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REDATOR\Desktop\"/>
    </mc:Choice>
  </mc:AlternateContent>
  <xr:revisionPtr revIDLastSave="0" documentId="13_ncr:1_{A1C8A73E-B904-4C9E-928B-9EFD8F2CA21F}" xr6:coauthVersionLast="47" xr6:coauthVersionMax="47" xr10:uidLastSave="{00000000-0000-0000-0000-000000000000}"/>
  <workbookProtection workbookAlgorithmName="SHA-512" workbookHashValue="NwMMCdIu81SDa3x3g9BhuBTbsBik0slZzmJtQGgTivvpeiI+6SGgumeI98z/FPYaf5nT0Rhd0RiLXfk/ZD1TuA==" workbookSaltValue="VPG0t/yhzNuwnpZCd9I68g==" workbookSpinCount="100000" lockStructure="1"/>
  <bookViews>
    <workbookView xWindow="-108" yWindow="-108" windowWidth="30936" windowHeight="16896" firstSheet="16" activeTab="16" xr2:uid="{00000000-000D-0000-FFFF-FFFF00000000}"/>
  </bookViews>
  <sheets>
    <sheet name="正常" sheetId="15" state="hidden" r:id="rId1"/>
    <sheet name="基础攻击" sheetId="9" state="hidden" r:id="rId2"/>
    <sheet name="力道" sheetId="10" state="hidden" r:id="rId3"/>
    <sheet name="武器伤害" sheetId="12" state="hidden" r:id="rId4"/>
    <sheet name="会心" sheetId="5" state="hidden" r:id="rId5"/>
    <sheet name="会效" sheetId="6" state="hidden" r:id="rId6"/>
    <sheet name="破防" sheetId="4" state="hidden" r:id="rId7"/>
    <sheet name="破招" sheetId="7" state="hidden" r:id="rId8"/>
    <sheet name="无双" sheetId="8" state="hidden" r:id="rId9"/>
    <sheet name="循环" sheetId="17" state="hidden" r:id="rId10"/>
    <sheet name="加速" sheetId="11" state="hidden" r:id="rId11"/>
    <sheet name="加速循环" sheetId="18" state="hidden" r:id="rId12"/>
    <sheet name="属性开关" sheetId="2" state="hidden" r:id="rId13"/>
    <sheet name="大附魔数值" sheetId="3" state="hidden" r:id="rId14"/>
    <sheet name="装备库" sheetId="13" state="hidden" r:id="rId15"/>
    <sheet name="装备显示页" sheetId="16" state="hidden" r:id="rId16"/>
    <sheet name="配装页面" sheetId="14" r:id="rId17"/>
    <sheet name="导出数据处理" sheetId="19" state="hidden" r:id="rId18"/>
  </sheets>
  <externalReferences>
    <externalReference r:id="rId19"/>
  </externalReferences>
  <definedNames>
    <definedName name="_xlnm._FilterDatabase" localSheetId="14" hidden="1">装备库!$A$1:$BN$673</definedName>
    <definedName name="Z_1FA5F82F_E003_4967_9CFA_E539A86F7F8F_.wvu.Cols" localSheetId="13" hidden="1">大附魔数值!$A:$C,大附魔数值!$V:$V</definedName>
    <definedName name="Z_1FA5F82F_E003_4967_9CFA_E539A86F7F8F_.wvu.Cols" localSheetId="16" hidden="1">配装页面!$A:$A</definedName>
    <definedName name="Z_1FA5F82F_E003_4967_9CFA_E539A86F7F8F_.wvu.FilterData" localSheetId="14" hidden="1">装备库!$A$1:$BN$412</definedName>
    <definedName name="Z_1FA5F82F_E003_4967_9CFA_E539A86F7F8F_.wvu.Rows" localSheetId="16" hidden="1">配装页面!$1:$9</definedName>
    <definedName name="暗器1">INDEX([1]五彩石!$A$45:$B$52,MATCH([1]五彩石!$G$68,[1]五彩石!$A$45:$A$52,0),2)</definedName>
    <definedName name="次等蓝色无双" localSheetId="17">[1]原始数据页!$BZ$5054</definedName>
    <definedName name="次等蓝色无双">大附魔数值!$H$44</definedName>
    <definedName name="次等紫色攻击" localSheetId="17">[1]原始数据页!$BZ$5048</definedName>
    <definedName name="次等紫色攻击">大附魔数值!$H$38</definedName>
    <definedName name="次等紫色气血" localSheetId="17">[1]原始数据页!$BZ$5052</definedName>
    <definedName name="次等紫色气血">大附魔数值!$H$42</definedName>
    <definedName name="次等紫色身法" localSheetId="17">[1]原始数据页!$BZ$5050</definedName>
    <definedName name="次等紫色身法">大附魔数值!$H$40</definedName>
    <definedName name="次等紫色体质" localSheetId="17">[1]原始数据页!$BZ$5051</definedName>
    <definedName name="次等紫色体质">大附魔数值!$H$41</definedName>
    <definedName name="次等紫色通用" localSheetId="17">[1]原始数据页!$BZ$5049</definedName>
    <definedName name="次等紫色通用">大附魔数值!$H$39</definedName>
    <definedName name="次等紫色武伤" localSheetId="17">[1]原始数据页!$BZ$5053</definedName>
    <definedName name="次等紫色武伤">大附魔数值!$H$43</definedName>
    <definedName name="非侠士">大附魔数值!$F$21</definedName>
    <definedName name="护腕1">INDEX([1]五彩石!$A$45:$B$52,MATCH([1]五彩石!$G$60,[1]五彩石!$A$45:$A$52,0),2)</definedName>
    <definedName name="护腕2">INDEX([1]五彩石!$A$45:$B$52,MATCH([1]五彩石!$G$61,[1]五彩石!$A$45:$A$52,0),2)</definedName>
    <definedName name="护腕山市">INDEX([1]五彩石!$E$29:$F$32,[1]五彩石!$H$44+1,2)</definedName>
    <definedName name="旧破防" localSheetId="17">[1]原始数据页!$BY$5056</definedName>
    <definedName name="旧破防">大附魔数值!$G$46</definedName>
    <definedName name="旧破招" localSheetId="17">[1]原始数据页!$BY$5055</definedName>
    <definedName name="旧破招">大附魔数值!$G$45</definedName>
    <definedName name="裤子1">INDEX([1]五彩石!$A$45:$B$52,MATCH([1]五彩石!$G$62,[1]五彩石!$A$45:$A$52,0),2)</definedName>
    <definedName name="裤子2">INDEX([1]五彩石!$A$45:$B$52,MATCH([1]五彩石!$G$63,[1]五彩石!$A$45:$A$52,0),2)</definedName>
    <definedName name="蓝色攻击" localSheetId="17">[1]原始数据页!$CA$5048</definedName>
    <definedName name="蓝色攻击">大附魔数值!$I$38</definedName>
    <definedName name="蓝色气血" localSheetId="17">[1]原始数据页!$CA$5052</definedName>
    <definedName name="蓝色气血">大附魔数值!$I$42</definedName>
    <definedName name="蓝色身法" localSheetId="17">[1]原始数据页!$CA$5050</definedName>
    <definedName name="蓝色身法">大附魔数值!$I$40</definedName>
    <definedName name="蓝色体质" localSheetId="17">[1]原始数据页!$CA$5051</definedName>
    <definedName name="蓝色体质">大附魔数值!$I$41</definedName>
    <definedName name="蓝色通用" localSheetId="17">[1]原始数据页!$CA$5049</definedName>
    <definedName name="蓝色通用">大附魔数值!$I$39</definedName>
    <definedName name="蓝色无双" localSheetId="17">[1]原始数据页!$BY$5054</definedName>
    <definedName name="蓝色无双">大附魔数值!$G$44</definedName>
    <definedName name="蓝色武伤" localSheetId="17">[1]原始数据页!$CA$5053</definedName>
    <definedName name="蓝色武伤">大附魔数值!$I$43</definedName>
    <definedName name="雷无视">正常!$B$18</definedName>
    <definedName name="帽子1">INDEX([1]五彩石!$A$45:$B$52,MATCH([1]五彩石!$G$54,[1]五彩石!$A$45:$A$52,0),2)</definedName>
    <definedName name="帽子2">INDEX([1]五彩石!$A$45:$B$52,MATCH([1]五彩石!$G$55,[1]五彩石!$A$45:$A$52,0),2)</definedName>
    <definedName name="帽子山市">INDEX([1]五彩石!$E$29:$F$32,[1]五彩石!$H$41+1,2)</definedName>
    <definedName name="轻剑1">INDEX([1]五彩石!$A$45:$B$52,MATCH([1]五彩石!$G$69,[1]五彩石!$A$45:$A$52,0),2)</definedName>
    <definedName name="轻剑2">INDEX([1]五彩石!$A$45:$B$52,MATCH([1]五彩石!$G$70,[1]五彩石!$A$45:$A$52,0),2)</definedName>
    <definedName name="轻剑3">INDEX([1]五彩石!$A$45:$B$52,MATCH([1]五彩石!$G$71,[1]五彩石!$A$45:$A$52,0),2)</definedName>
    <definedName name="轻五彩">INDEX([1]五彩石!$A$39:$B$41,MATCH([1]五彩石!$B$35,[1]五彩石!$A$39:$A$41,0),2)</definedName>
    <definedName name="群侠万变">属性开关!$S$39</definedName>
    <definedName name="套装">[1]原始数据页!$D$5027:$D$5032</definedName>
    <definedName name="五行石测试">INDEX([1]五彩石!$A$45:$B$52,MATCH([1]五彩石!$H$47,[1]五彩石!$A$45:$A$52,0),2)</definedName>
    <definedName name="项链1">INDEX([1]五彩石!$A$45:$B$52,MATCH([1]五彩石!$G$66,[1]五彩石!$A$45:$A$52,0),2)</definedName>
    <definedName name="鞋子1">INDEX([1]五彩石!$A$45:$B$52,MATCH([1]五彩石!$G$64,[1]五彩石!$A$45:$A$52,0),2)</definedName>
    <definedName name="鞋子2">INDEX([1]五彩石!$A$45:$B$52,MATCH([1]五彩石!$G$65,[1]五彩石!$A$45:$A$52,0),2)</definedName>
    <definedName name="鞋子山市">INDEX([1]五彩石!$E$29:$F$32,[1]五彩石!$H$45+1,2)</definedName>
    <definedName name="腰带1">INDEX([1]五彩石!$A$45:$B$52,MATCH([1]五彩石!$G$58,[1]五彩石!$A$45:$A$52,0),2)</definedName>
    <definedName name="腰带2">INDEX([1]五彩石!$A$45:$B$52,MATCH([1]五彩石!$G$59,[1]五彩石!$A$45:$A$52,0),2)</definedName>
    <definedName name="腰带山市">INDEX([1]五彩石!$E$29:$F$32,[1]五彩石!$H$43+1,2)</definedName>
    <definedName name="腰坠1">INDEX([1]五彩石!$A$45:$B$52,MATCH([1]五彩石!$G$67,[1]五彩石!$A$45:$A$52,0),2)</definedName>
    <definedName name="衣服1">INDEX([1]五彩石!$A$45:$B$52,MATCH([1]五彩石!$G$56,[1]五彩石!$A$45:$A$52,0),2)</definedName>
    <definedName name="衣服2">INDEX([1]五彩石!$A$45:$B$52,MATCH([1]五彩石!$G$57,[1]五彩石!$A$45:$A$52,0),2)</definedName>
    <definedName name="衣服山市">INDEX([1]五彩石!$E$29:$F$32,[1]五彩石!$H$42+1,2)</definedName>
    <definedName name="重剑1">INDEX([1]五彩石!$A$45:$B$52,MATCH([1]五彩石!$G$72,[1]五彩石!$A$45:$A$52,0),2)</definedName>
    <definedName name="重剑2">INDEX([1]五彩石!$A$45:$B$52,MATCH([1]五彩石!$G$73,[1]五彩石!$A$45:$A$52,0),2)</definedName>
    <definedName name="重剑3">INDEX([1]五彩石!$A$45:$B$52,MATCH([1]五彩石!$G$74,[1]五彩石!$A$45:$A$52,0),2)</definedName>
    <definedName name="重五彩">INDEX([1]五彩石!$A$42:$B$44,MATCH([1]五彩石!$B$36,[1]五彩石!$A$42:$A$44,0),2)</definedName>
    <definedName name="紫色攻击" localSheetId="17">[1]原始数据页!$BY$5048</definedName>
    <definedName name="紫色攻击">大附魔数值!$G$38</definedName>
    <definedName name="紫色气血" localSheetId="17">[1]原始数据页!$BY$5052</definedName>
    <definedName name="紫色气血">大附魔数值!$G$42</definedName>
    <definedName name="紫色身法" localSheetId="17">[1]原始数据页!$BY$5050</definedName>
    <definedName name="紫色身法">大附魔数值!$G$40</definedName>
    <definedName name="紫色体质" localSheetId="17">[1]原始数据页!$BY$5051</definedName>
    <definedName name="紫色体质">大附魔数值!$G$41</definedName>
    <definedName name="紫色通用" localSheetId="17">[1]原始数据页!$BY$5049</definedName>
    <definedName name="紫色通用">大附魔数值!$G$39</definedName>
    <definedName name="紫色武伤" localSheetId="17">[1]原始数据页!$BY$5053</definedName>
    <definedName name="紫色武伤">大附魔数值!$G$43</definedName>
  </definedNames>
  <calcPr calcId="181029"/>
  <customWorkbookViews>
    <customWorkbookView name="打开" guid="{1FA5F82F-E003-4967-9CFA-E539A86F7F8F}" maximized="1" xWindow="-8" yWindow="-8" windowWidth="1936" windowHeight="1056" activeSheetId="14"/>
  </customWorkbookViews>
</workbook>
</file>

<file path=xl/calcChain.xml><?xml version="1.0" encoding="utf-8"?>
<calcChain xmlns="http://schemas.openxmlformats.org/spreadsheetml/2006/main">
  <c r="AH642" i="13" l="1"/>
  <c r="AI642" i="13"/>
  <c r="AJ642" i="13"/>
  <c r="AK642" i="13"/>
  <c r="AL642" i="13"/>
  <c r="AM642" i="13"/>
  <c r="AN642" i="13"/>
  <c r="N65" i="19" l="1"/>
  <c r="N54" i="19"/>
  <c r="N43" i="19"/>
  <c r="N21" i="19"/>
  <c r="N32" i="19"/>
  <c r="R20" i="19"/>
  <c r="R21" i="19"/>
  <c r="C20" i="19"/>
  <c r="C19" i="19"/>
  <c r="J20" i="19"/>
  <c r="J21" i="19"/>
  <c r="J22" i="19"/>
  <c r="J23" i="19"/>
  <c r="J24" i="19"/>
  <c r="R19" i="19"/>
  <c r="N7" i="19"/>
  <c r="AZ6" i="11"/>
  <c r="AZ6" i="8"/>
  <c r="AZ6" i="7"/>
  <c r="AZ6" i="4"/>
  <c r="AZ6" i="6"/>
  <c r="AZ6" i="5"/>
  <c r="AZ6" i="12"/>
  <c r="AZ6" i="10"/>
  <c r="AZ6" i="9"/>
  <c r="AZ6" i="15"/>
  <c r="T50" i="3" l="1"/>
  <c r="S50" i="3"/>
  <c r="R50" i="3"/>
  <c r="P50" i="3"/>
  <c r="C28" i="11" l="1"/>
  <c r="B24" i="11"/>
  <c r="C22" i="11"/>
  <c r="C28" i="8"/>
  <c r="B24" i="8"/>
  <c r="C22" i="8"/>
  <c r="C28" i="7"/>
  <c r="B24" i="7"/>
  <c r="C22" i="7"/>
  <c r="C28" i="4"/>
  <c r="B24" i="4"/>
  <c r="C22" i="4"/>
  <c r="C28" i="6"/>
  <c r="B24" i="6"/>
  <c r="C22" i="6"/>
  <c r="C28" i="5"/>
  <c r="B24" i="5"/>
  <c r="C22" i="5"/>
  <c r="C28" i="12"/>
  <c r="B24" i="12"/>
  <c r="C22" i="12"/>
  <c r="C28" i="10"/>
  <c r="B24" i="10"/>
  <c r="C22" i="10"/>
  <c r="C28" i="9"/>
  <c r="B24" i="9"/>
  <c r="C22" i="9"/>
  <c r="AH572" i="13"/>
  <c r="AI572" i="13"/>
  <c r="AJ572" i="13"/>
  <c r="AK572" i="13"/>
  <c r="AL572" i="13"/>
  <c r="AM572" i="13"/>
  <c r="AH573" i="13"/>
  <c r="AI573" i="13"/>
  <c r="AJ573" i="13"/>
  <c r="AK573" i="13"/>
  <c r="AL573" i="13"/>
  <c r="AM573" i="13"/>
  <c r="AH574" i="13"/>
  <c r="AI574" i="13"/>
  <c r="AJ574" i="13"/>
  <c r="AK574" i="13"/>
  <c r="AL574" i="13"/>
  <c r="AM574" i="13"/>
  <c r="AH575" i="13"/>
  <c r="AI575" i="13"/>
  <c r="AJ575" i="13"/>
  <c r="AK575" i="13"/>
  <c r="AL575" i="13"/>
  <c r="AM575" i="13"/>
  <c r="AH576" i="13"/>
  <c r="AI576" i="13"/>
  <c r="AJ576" i="13"/>
  <c r="AK576" i="13"/>
  <c r="AL576" i="13"/>
  <c r="AM576" i="13"/>
  <c r="AH577" i="13"/>
  <c r="AI577" i="13"/>
  <c r="AJ577" i="13"/>
  <c r="AK577" i="13"/>
  <c r="AL577" i="13"/>
  <c r="AM577" i="13"/>
  <c r="AH578" i="13"/>
  <c r="AI578" i="13"/>
  <c r="AJ578" i="13"/>
  <c r="AK578" i="13"/>
  <c r="AL578" i="13"/>
  <c r="AM578" i="13"/>
  <c r="AH579" i="13"/>
  <c r="AI579" i="13"/>
  <c r="AJ579" i="13"/>
  <c r="AK579" i="13"/>
  <c r="AL579" i="13"/>
  <c r="AM579" i="13"/>
  <c r="AH580" i="13"/>
  <c r="AI580" i="13"/>
  <c r="AJ580" i="13"/>
  <c r="AK580" i="13"/>
  <c r="AL580" i="13"/>
  <c r="AM580" i="13"/>
  <c r="AH581" i="13"/>
  <c r="AI581" i="13"/>
  <c r="AJ581" i="13"/>
  <c r="AK581" i="13"/>
  <c r="AL581" i="13"/>
  <c r="AM581" i="13"/>
  <c r="AH582" i="13"/>
  <c r="AI582" i="13"/>
  <c r="AJ582" i="13"/>
  <c r="AK582" i="13"/>
  <c r="AL582" i="13"/>
  <c r="AM582" i="13"/>
  <c r="AH583" i="13"/>
  <c r="AI583" i="13"/>
  <c r="AJ583" i="13"/>
  <c r="AK583" i="13"/>
  <c r="AL583" i="13"/>
  <c r="AM583" i="13"/>
  <c r="AH584" i="13"/>
  <c r="AI584" i="13"/>
  <c r="AJ584" i="13"/>
  <c r="AK584" i="13"/>
  <c r="AL584" i="13"/>
  <c r="AM584" i="13"/>
  <c r="AH585" i="13"/>
  <c r="AI585" i="13"/>
  <c r="AJ585" i="13"/>
  <c r="AK585" i="13"/>
  <c r="AL585" i="13"/>
  <c r="AM585" i="13"/>
  <c r="AH586" i="13"/>
  <c r="AI586" i="13"/>
  <c r="AJ586" i="13"/>
  <c r="AK586" i="13"/>
  <c r="AL586" i="13"/>
  <c r="AM586" i="13"/>
  <c r="AH587" i="13"/>
  <c r="AI587" i="13"/>
  <c r="AJ587" i="13"/>
  <c r="AK587" i="13"/>
  <c r="AL587" i="13"/>
  <c r="AM587" i="13"/>
  <c r="AH588" i="13"/>
  <c r="AI588" i="13"/>
  <c r="AJ588" i="13"/>
  <c r="AK588" i="13"/>
  <c r="AL588" i="13"/>
  <c r="AM588" i="13"/>
  <c r="AH589" i="13"/>
  <c r="AI589" i="13"/>
  <c r="AJ589" i="13"/>
  <c r="AK589" i="13"/>
  <c r="AL589" i="13"/>
  <c r="AM589" i="13"/>
  <c r="AH590" i="13"/>
  <c r="AI590" i="13"/>
  <c r="AJ590" i="13"/>
  <c r="AK590" i="13"/>
  <c r="AL590" i="13"/>
  <c r="AM590" i="13"/>
  <c r="AH591" i="13"/>
  <c r="AI591" i="13"/>
  <c r="AJ591" i="13"/>
  <c r="AK591" i="13"/>
  <c r="AL591" i="13"/>
  <c r="AM591" i="13"/>
  <c r="AH592" i="13"/>
  <c r="AI592" i="13"/>
  <c r="AJ592" i="13"/>
  <c r="AK592" i="13"/>
  <c r="AL592" i="13"/>
  <c r="AM592" i="13"/>
  <c r="AH593" i="13"/>
  <c r="AI593" i="13"/>
  <c r="AJ593" i="13"/>
  <c r="AK593" i="13"/>
  <c r="AL593" i="13"/>
  <c r="AM593" i="13"/>
  <c r="AH594" i="13"/>
  <c r="AI594" i="13"/>
  <c r="AJ594" i="13"/>
  <c r="AK594" i="13"/>
  <c r="AL594" i="13"/>
  <c r="AM594" i="13"/>
  <c r="AH595" i="13"/>
  <c r="AI595" i="13"/>
  <c r="AJ595" i="13"/>
  <c r="AK595" i="13"/>
  <c r="AL595" i="13"/>
  <c r="AM595" i="13"/>
  <c r="AH596" i="13"/>
  <c r="AI596" i="13"/>
  <c r="AJ596" i="13"/>
  <c r="AK596" i="13"/>
  <c r="AL596" i="13"/>
  <c r="AM596" i="13"/>
  <c r="AH597" i="13"/>
  <c r="AI597" i="13"/>
  <c r="AJ597" i="13"/>
  <c r="AK597" i="13"/>
  <c r="AL597" i="13"/>
  <c r="AM597" i="13"/>
  <c r="AH598" i="13"/>
  <c r="AI598" i="13"/>
  <c r="AJ598" i="13"/>
  <c r="AK598" i="13"/>
  <c r="AL598" i="13"/>
  <c r="AM598" i="13"/>
  <c r="AH599" i="13"/>
  <c r="AI599" i="13"/>
  <c r="AJ599" i="13"/>
  <c r="AK599" i="13"/>
  <c r="AL599" i="13"/>
  <c r="AM599" i="13"/>
  <c r="AH600" i="13"/>
  <c r="AI600" i="13"/>
  <c r="AJ600" i="13"/>
  <c r="AK600" i="13"/>
  <c r="AL600" i="13"/>
  <c r="AM600" i="13"/>
  <c r="AH601" i="13"/>
  <c r="AI601" i="13"/>
  <c r="AJ601" i="13"/>
  <c r="AK601" i="13"/>
  <c r="AL601" i="13"/>
  <c r="AM601" i="13"/>
  <c r="AH602" i="13"/>
  <c r="AI602" i="13"/>
  <c r="AJ602" i="13"/>
  <c r="AK602" i="13"/>
  <c r="AL602" i="13"/>
  <c r="AM602" i="13"/>
  <c r="AH603" i="13"/>
  <c r="AI603" i="13"/>
  <c r="AJ603" i="13"/>
  <c r="AK603" i="13"/>
  <c r="AL603" i="13"/>
  <c r="AM603" i="13"/>
  <c r="AH604" i="13"/>
  <c r="AI604" i="13"/>
  <c r="AJ604" i="13"/>
  <c r="AK604" i="13"/>
  <c r="AL604" i="13"/>
  <c r="AM604" i="13"/>
  <c r="AH605" i="13"/>
  <c r="AI605" i="13"/>
  <c r="AJ605" i="13"/>
  <c r="AK605" i="13"/>
  <c r="AL605" i="13"/>
  <c r="AM605" i="13"/>
  <c r="AH606" i="13"/>
  <c r="AI606" i="13"/>
  <c r="AJ606" i="13"/>
  <c r="AK606" i="13"/>
  <c r="AL606" i="13"/>
  <c r="AM606" i="13"/>
  <c r="AH607" i="13"/>
  <c r="AI607" i="13"/>
  <c r="AJ607" i="13"/>
  <c r="AK607" i="13"/>
  <c r="AL607" i="13"/>
  <c r="AM607" i="13"/>
  <c r="AH608" i="13"/>
  <c r="AI608" i="13"/>
  <c r="AJ608" i="13"/>
  <c r="AK608" i="13"/>
  <c r="AL608" i="13"/>
  <c r="AM608" i="13"/>
  <c r="AH609" i="13"/>
  <c r="AI609" i="13"/>
  <c r="AJ609" i="13"/>
  <c r="AK609" i="13"/>
  <c r="AL609" i="13"/>
  <c r="AM609" i="13"/>
  <c r="AH610" i="13"/>
  <c r="AI610" i="13"/>
  <c r="AJ610" i="13"/>
  <c r="AK610" i="13"/>
  <c r="AL610" i="13"/>
  <c r="AM610" i="13"/>
  <c r="AH611" i="13"/>
  <c r="AI611" i="13"/>
  <c r="AJ611" i="13"/>
  <c r="AK611" i="13"/>
  <c r="AL611" i="13"/>
  <c r="AM611" i="13"/>
  <c r="AH612" i="13"/>
  <c r="AI612" i="13"/>
  <c r="AJ612" i="13"/>
  <c r="AK612" i="13"/>
  <c r="AL612" i="13"/>
  <c r="AM612" i="13"/>
  <c r="AH613" i="13"/>
  <c r="AI613" i="13"/>
  <c r="AJ613" i="13"/>
  <c r="AK613" i="13"/>
  <c r="AL613" i="13"/>
  <c r="AM613" i="13"/>
  <c r="AH614" i="13"/>
  <c r="AI614" i="13"/>
  <c r="AJ614" i="13"/>
  <c r="AK614" i="13"/>
  <c r="AL614" i="13"/>
  <c r="AM614" i="13"/>
  <c r="AH615" i="13"/>
  <c r="AI615" i="13"/>
  <c r="AJ615" i="13"/>
  <c r="AK615" i="13"/>
  <c r="AL615" i="13"/>
  <c r="AM615" i="13"/>
  <c r="AH616" i="13"/>
  <c r="AI616" i="13"/>
  <c r="AJ616" i="13"/>
  <c r="AK616" i="13"/>
  <c r="AL616" i="13"/>
  <c r="AM616" i="13"/>
  <c r="AH617" i="13"/>
  <c r="AI617" i="13"/>
  <c r="AJ617" i="13"/>
  <c r="AK617" i="13"/>
  <c r="AL617" i="13"/>
  <c r="AM617" i="13"/>
  <c r="AH618" i="13"/>
  <c r="AI618" i="13"/>
  <c r="AJ618" i="13"/>
  <c r="AK618" i="13"/>
  <c r="AL618" i="13"/>
  <c r="AM618" i="13"/>
  <c r="AH619" i="13"/>
  <c r="AI619" i="13"/>
  <c r="AJ619" i="13"/>
  <c r="AK619" i="13"/>
  <c r="AL619" i="13"/>
  <c r="AM619" i="13"/>
  <c r="AH620" i="13"/>
  <c r="AI620" i="13"/>
  <c r="AJ620" i="13"/>
  <c r="AK620" i="13"/>
  <c r="AL620" i="13"/>
  <c r="AM620" i="13"/>
  <c r="AH621" i="13"/>
  <c r="AI621" i="13"/>
  <c r="AJ621" i="13"/>
  <c r="AK621" i="13"/>
  <c r="AL621" i="13"/>
  <c r="AM621" i="13"/>
  <c r="AH622" i="13"/>
  <c r="AI622" i="13"/>
  <c r="AJ622" i="13"/>
  <c r="AK622" i="13"/>
  <c r="AL622" i="13"/>
  <c r="AM622" i="13"/>
  <c r="AH623" i="13"/>
  <c r="AI623" i="13"/>
  <c r="AJ623" i="13"/>
  <c r="AK623" i="13"/>
  <c r="AL623" i="13"/>
  <c r="AM623" i="13"/>
  <c r="AH624" i="13"/>
  <c r="AI624" i="13"/>
  <c r="AJ624" i="13"/>
  <c r="AK624" i="13"/>
  <c r="AL624" i="13"/>
  <c r="AM624" i="13"/>
  <c r="AH625" i="13"/>
  <c r="AI625" i="13"/>
  <c r="AJ625" i="13"/>
  <c r="AK625" i="13"/>
  <c r="AL625" i="13"/>
  <c r="AM625" i="13"/>
  <c r="AH626" i="13"/>
  <c r="AI626" i="13"/>
  <c r="AJ626" i="13"/>
  <c r="AK626" i="13"/>
  <c r="AL626" i="13"/>
  <c r="AM626" i="13"/>
  <c r="AH627" i="13"/>
  <c r="AI627" i="13"/>
  <c r="AJ627" i="13"/>
  <c r="AK627" i="13"/>
  <c r="AL627" i="13"/>
  <c r="AM627" i="13"/>
  <c r="AH628" i="13"/>
  <c r="AI628" i="13"/>
  <c r="AJ628" i="13"/>
  <c r="AK628" i="13"/>
  <c r="AL628" i="13"/>
  <c r="AM628" i="13"/>
  <c r="AH629" i="13"/>
  <c r="AI629" i="13"/>
  <c r="AJ629" i="13"/>
  <c r="AK629" i="13"/>
  <c r="AL629" i="13"/>
  <c r="AM629" i="13"/>
  <c r="AH630" i="13"/>
  <c r="AI630" i="13"/>
  <c r="AJ630" i="13"/>
  <c r="AK630" i="13"/>
  <c r="AL630" i="13"/>
  <c r="AM630" i="13"/>
  <c r="AH631" i="13"/>
  <c r="AI631" i="13"/>
  <c r="AJ631" i="13"/>
  <c r="AK631" i="13"/>
  <c r="AL631" i="13"/>
  <c r="AM631" i="13"/>
  <c r="AH632" i="13"/>
  <c r="AI632" i="13"/>
  <c r="AJ632" i="13"/>
  <c r="AK632" i="13"/>
  <c r="AL632" i="13"/>
  <c r="AM632" i="13"/>
  <c r="AH633" i="13"/>
  <c r="AI633" i="13"/>
  <c r="AJ633" i="13"/>
  <c r="AK633" i="13"/>
  <c r="AL633" i="13"/>
  <c r="AM633" i="13"/>
  <c r="AH634" i="13"/>
  <c r="AI634" i="13"/>
  <c r="AJ634" i="13"/>
  <c r="AK634" i="13"/>
  <c r="AL634" i="13"/>
  <c r="AM634" i="13"/>
  <c r="AH635" i="13"/>
  <c r="AI635" i="13"/>
  <c r="AJ635" i="13"/>
  <c r="AK635" i="13"/>
  <c r="AL635" i="13"/>
  <c r="AM635" i="13"/>
  <c r="AH636" i="13"/>
  <c r="AI636" i="13"/>
  <c r="AJ636" i="13"/>
  <c r="AK636" i="13"/>
  <c r="AL636" i="13"/>
  <c r="AM636" i="13"/>
  <c r="AH637" i="13"/>
  <c r="AI637" i="13"/>
  <c r="AJ637" i="13"/>
  <c r="AK637" i="13"/>
  <c r="AL637" i="13"/>
  <c r="AM637" i="13"/>
  <c r="AH638" i="13"/>
  <c r="AI638" i="13"/>
  <c r="AJ638" i="13"/>
  <c r="AK638" i="13"/>
  <c r="AL638" i="13"/>
  <c r="AM638" i="13"/>
  <c r="AH639" i="13"/>
  <c r="AI639" i="13"/>
  <c r="AJ639" i="13"/>
  <c r="AK639" i="13"/>
  <c r="AL639" i="13"/>
  <c r="AM639" i="13"/>
  <c r="AH640" i="13"/>
  <c r="AI640" i="13"/>
  <c r="AJ640" i="13"/>
  <c r="AK640" i="13"/>
  <c r="AL640" i="13"/>
  <c r="AM640" i="13"/>
  <c r="AH641" i="13"/>
  <c r="AI641" i="13"/>
  <c r="AJ641" i="13"/>
  <c r="AK641" i="13"/>
  <c r="AL641" i="13"/>
  <c r="AM641" i="13"/>
  <c r="A73" i="2" l="1"/>
  <c r="AM570" i="13" l="1"/>
  <c r="AL570" i="13"/>
  <c r="AK570" i="13"/>
  <c r="AJ570" i="13"/>
  <c r="AI570" i="13"/>
  <c r="AH570" i="13"/>
  <c r="CQ15" i="11" l="1"/>
  <c r="CP15" i="11"/>
  <c r="CO15" i="11"/>
  <c r="CN15" i="11"/>
  <c r="CQ15" i="8"/>
  <c r="CP15" i="8"/>
  <c r="CO15" i="8"/>
  <c r="CN15" i="8"/>
  <c r="CQ15" i="7"/>
  <c r="CP15" i="7"/>
  <c r="CO15" i="7"/>
  <c r="CN15" i="7"/>
  <c r="CQ15" i="4"/>
  <c r="CP15" i="4"/>
  <c r="CO15" i="4"/>
  <c r="CN15" i="4"/>
  <c r="CQ15" i="6"/>
  <c r="CP15" i="6"/>
  <c r="CO15" i="6"/>
  <c r="CN15" i="6"/>
  <c r="CQ15" i="5"/>
  <c r="CP15" i="5"/>
  <c r="CO15" i="5"/>
  <c r="CN15" i="5"/>
  <c r="CQ15" i="12"/>
  <c r="CP15" i="12"/>
  <c r="CO15" i="12"/>
  <c r="CN15" i="12"/>
  <c r="CQ15" i="10"/>
  <c r="CP15" i="10"/>
  <c r="CO15" i="10"/>
  <c r="CN15" i="10"/>
  <c r="CQ15" i="9"/>
  <c r="CP15" i="9"/>
  <c r="CO15" i="9"/>
  <c r="CN15" i="9"/>
  <c r="AM50" i="13" l="1"/>
  <c r="AL50" i="13"/>
  <c r="AK50" i="13"/>
  <c r="AJ50" i="13"/>
  <c r="AI50" i="13"/>
  <c r="AH50" i="13"/>
  <c r="X1" i="17"/>
  <c r="AM571" i="13"/>
  <c r="AL571" i="13"/>
  <c r="AK571" i="13"/>
  <c r="AJ571" i="13"/>
  <c r="AI571" i="13"/>
  <c r="AH571" i="13"/>
  <c r="CO15" i="15"/>
  <c r="CP15" i="15"/>
  <c r="CQ15" i="15"/>
  <c r="CN15" i="15"/>
  <c r="X3" i="17" l="1"/>
  <c r="S26" i="11"/>
  <c r="S26" i="8"/>
  <c r="S26" i="7"/>
  <c r="S26" i="4"/>
  <c r="S26" i="6"/>
  <c r="S26" i="5"/>
  <c r="S26" i="12"/>
  <c r="S26" i="10"/>
  <c r="S26" i="9"/>
  <c r="AM566" i="13" l="1"/>
  <c r="AL566" i="13"/>
  <c r="AK566" i="13"/>
  <c r="AJ566" i="13"/>
  <c r="AI566" i="13"/>
  <c r="AH566" i="13"/>
  <c r="Y5" i="17" l="1"/>
  <c r="J13" i="2" s="1"/>
  <c r="F21" i="3"/>
  <c r="Y5" i="18"/>
  <c r="AP30" i="2"/>
  <c r="BE6" i="11"/>
  <c r="BE6" i="6"/>
  <c r="BE6" i="9"/>
  <c r="BD6" i="7"/>
  <c r="BD6" i="12"/>
  <c r="BF6" i="11"/>
  <c r="BF6" i="6"/>
  <c r="BF6" i="9"/>
  <c r="BE6" i="8"/>
  <c r="BE6" i="5"/>
  <c r="BE6" i="15"/>
  <c r="BD6" i="4"/>
  <c r="BD6" i="10"/>
  <c r="BF6" i="8"/>
  <c r="BF6" i="5"/>
  <c r="BF6" i="15"/>
  <c r="BE6" i="7"/>
  <c r="BE6" i="12"/>
  <c r="BD6" i="11"/>
  <c r="BD6" i="6"/>
  <c r="BD6" i="9"/>
  <c r="BF6" i="7"/>
  <c r="BF6" i="12"/>
  <c r="BE6" i="4"/>
  <c r="BE6" i="10"/>
  <c r="BD6" i="8"/>
  <c r="BD6" i="5"/>
  <c r="BD6" i="15"/>
  <c r="BF6" i="4"/>
  <c r="BF6" i="10"/>
  <c r="I58" i="3"/>
  <c r="S83" i="2"/>
  <c r="S89" i="2"/>
  <c r="S80" i="2"/>
  <c r="A79" i="2"/>
  <c r="A72" i="2"/>
  <c r="A58" i="2"/>
  <c r="A51" i="2"/>
  <c r="BB6" i="11"/>
  <c r="BB8" i="7"/>
  <c r="N6" i="7"/>
  <c r="BH6" i="4"/>
  <c r="M6" i="4"/>
  <c r="BB6" i="6"/>
  <c r="BB8" i="12"/>
  <c r="N6" i="12"/>
  <c r="BH6" i="10"/>
  <c r="M6" i="10"/>
  <c r="BB6" i="9"/>
  <c r="W101" i="2"/>
  <c r="G58" i="3"/>
  <c r="S86" i="2"/>
  <c r="S90" i="2"/>
  <c r="S88" i="2"/>
  <c r="S79" i="2"/>
  <c r="A77" i="2"/>
  <c r="A69" i="2"/>
  <c r="A57" i="2"/>
  <c r="A49" i="2"/>
  <c r="BB8" i="8"/>
  <c r="N6" i="8"/>
  <c r="BH6" i="7"/>
  <c r="M6" i="7"/>
  <c r="BB6" i="4"/>
  <c r="BB8" i="5"/>
  <c r="N6" i="5"/>
  <c r="BH6" i="12"/>
  <c r="M6" i="12"/>
  <c r="BB6" i="10"/>
  <c r="BB8" i="15"/>
  <c r="N6" i="15"/>
  <c r="A81" i="2"/>
  <c r="S85" i="2"/>
  <c r="S92" i="2"/>
  <c r="S82" i="2"/>
  <c r="A61" i="2"/>
  <c r="A55" i="2"/>
  <c r="BB8" i="11"/>
  <c r="N6" i="11"/>
  <c r="BH6" i="8"/>
  <c r="M6" i="8"/>
  <c r="BB6" i="7"/>
  <c r="BB8" i="6"/>
  <c r="N6" i="6"/>
  <c r="BH6" i="5"/>
  <c r="M6" i="5"/>
  <c r="BB6" i="12"/>
  <c r="BB8" i="9"/>
  <c r="N6" i="9"/>
  <c r="BH6" i="15"/>
  <c r="M6" i="15"/>
  <c r="A82" i="2"/>
  <c r="S84" i="2"/>
  <c r="S91" i="2"/>
  <c r="S81" i="2"/>
  <c r="A84" i="2"/>
  <c r="BH6" i="11"/>
  <c r="M6" i="6"/>
  <c r="BB8" i="10"/>
  <c r="BB6" i="15"/>
  <c r="A70" i="2"/>
  <c r="M6" i="11"/>
  <c r="BB8" i="4"/>
  <c r="BB6" i="5"/>
  <c r="N6" i="10"/>
  <c r="A60" i="2"/>
  <c r="BB6" i="8"/>
  <c r="N6" i="4"/>
  <c r="BH6" i="9"/>
  <c r="A53" i="2"/>
  <c r="BH6" i="6"/>
  <c r="M6" i="9"/>
  <c r="W102" i="2"/>
  <c r="W103" i="2"/>
  <c r="W104" i="2"/>
  <c r="I13" i="2" l="1"/>
  <c r="AH563" i="13"/>
  <c r="AI563" i="13"/>
  <c r="AJ563" i="13"/>
  <c r="AK563" i="13"/>
  <c r="AL563" i="13"/>
  <c r="AM563" i="13"/>
  <c r="AH564" i="13"/>
  <c r="AI564" i="13"/>
  <c r="AJ564" i="13"/>
  <c r="AK564" i="13"/>
  <c r="AL564" i="13"/>
  <c r="AM564" i="13"/>
  <c r="AH565" i="13"/>
  <c r="AI565" i="13"/>
  <c r="AJ565" i="13"/>
  <c r="AK565" i="13"/>
  <c r="AL565" i="13"/>
  <c r="AM565" i="13"/>
  <c r="AH567" i="13"/>
  <c r="AI567" i="13"/>
  <c r="AJ567" i="13"/>
  <c r="AK567" i="13"/>
  <c r="AL567" i="13"/>
  <c r="AM567" i="13"/>
  <c r="AH568" i="13"/>
  <c r="AI568" i="13"/>
  <c r="AJ568" i="13"/>
  <c r="AK568" i="13"/>
  <c r="AL568" i="13"/>
  <c r="AM568" i="13"/>
  <c r="AH569" i="13"/>
  <c r="AI569" i="13"/>
  <c r="AJ569" i="13"/>
  <c r="AK569" i="13"/>
  <c r="AL569" i="13"/>
  <c r="AM569" i="13"/>
  <c r="BG6" i="11" l="1"/>
  <c r="BG6" i="8"/>
  <c r="BG6" i="7"/>
  <c r="BG6" i="4"/>
  <c r="BG6" i="6"/>
  <c r="BG6" i="5"/>
  <c r="BG6" i="12"/>
  <c r="BG6" i="10"/>
  <c r="BG6" i="9"/>
  <c r="BG6" i="15"/>
  <c r="G1097" i="13" l="1"/>
  <c r="E17" i="19"/>
  <c r="E15" i="19"/>
  <c r="E14" i="19"/>
  <c r="E13" i="19"/>
  <c r="E12" i="19"/>
  <c r="E11" i="19"/>
  <c r="E10" i="19"/>
  <c r="E8" i="19"/>
  <c r="E7" i="19"/>
  <c r="E5" i="19"/>
  <c r="F19" i="3"/>
  <c r="Q17" i="3" l="1"/>
  <c r="S11" i="3"/>
  <c r="CP2" i="4"/>
  <c r="CP2" i="10"/>
  <c r="CP2" i="11"/>
  <c r="CP2" i="6"/>
  <c r="CP2" i="8"/>
  <c r="CP2" i="5"/>
  <c r="CP2" i="7"/>
  <c r="CP2" i="12"/>
  <c r="CP2" i="9"/>
  <c r="AB1" i="18"/>
  <c r="CP2" i="15"/>
  <c r="Z101" i="2"/>
  <c r="AB1" i="17"/>
  <c r="A1" i="19"/>
  <c r="N52" i="19" l="1"/>
  <c r="R17" i="19"/>
  <c r="R18" i="19"/>
  <c r="R16" i="19"/>
  <c r="N64" i="19"/>
  <c r="J19" i="19"/>
  <c r="N5" i="19"/>
  <c r="J12" i="19"/>
  <c r="N20" i="19"/>
  <c r="C9" i="19"/>
  <c r="D9" i="19" s="1"/>
  <c r="F9" i="19" s="1"/>
  <c r="C18" i="19"/>
  <c r="N40" i="19"/>
  <c r="N62" i="19"/>
  <c r="N6" i="19"/>
  <c r="R9" i="19"/>
  <c r="C12" i="19"/>
  <c r="R13" i="19"/>
  <c r="C16" i="19"/>
  <c r="D16" i="19" s="1"/>
  <c r="F16" i="19" s="1"/>
  <c r="N18" i="19"/>
  <c r="R5" i="19"/>
  <c r="C8" i="19"/>
  <c r="D8" i="19" s="1"/>
  <c r="J8" i="19"/>
  <c r="C11" i="19"/>
  <c r="J11" i="19"/>
  <c r="R12" i="19"/>
  <c r="C15" i="19"/>
  <c r="D15" i="19" s="1"/>
  <c r="F15" i="19" s="1"/>
  <c r="J15" i="19"/>
  <c r="N19" i="19"/>
  <c r="N29" i="19"/>
  <c r="N41" i="19"/>
  <c r="N53" i="19"/>
  <c r="C5" i="19"/>
  <c r="J5" i="19"/>
  <c r="C6" i="19"/>
  <c r="D6" i="19" s="1"/>
  <c r="F6" i="19" s="1"/>
  <c r="J6" i="19"/>
  <c r="C7" i="19"/>
  <c r="D7" i="19" s="1"/>
  <c r="F7" i="19" s="1"/>
  <c r="R7" i="19"/>
  <c r="J9" i="19"/>
  <c r="R10" i="19"/>
  <c r="C13" i="19"/>
  <c r="J13" i="19"/>
  <c r="R14" i="19"/>
  <c r="J16" i="19"/>
  <c r="J18" i="19"/>
  <c r="N31" i="19"/>
  <c r="N51" i="19"/>
  <c r="N63" i="19"/>
  <c r="R6" i="19"/>
  <c r="J7" i="19"/>
  <c r="R8" i="19"/>
  <c r="C10" i="19"/>
  <c r="J10" i="19"/>
  <c r="R11" i="19"/>
  <c r="C14" i="19"/>
  <c r="J14" i="19"/>
  <c r="R15" i="19"/>
  <c r="C17" i="19"/>
  <c r="J17" i="19"/>
  <c r="N30" i="19"/>
  <c r="N42" i="19"/>
  <c r="AR6" i="11"/>
  <c r="AR6" i="8"/>
  <c r="AR6" i="7"/>
  <c r="AR6" i="4"/>
  <c r="AR6" i="6"/>
  <c r="AR6" i="5"/>
  <c r="AR6" i="12"/>
  <c r="AR6" i="10"/>
  <c r="AR6" i="9"/>
  <c r="C26" i="19" l="1"/>
  <c r="S9" i="3" s="1"/>
  <c r="C27" i="19"/>
  <c r="D27" i="19" s="1"/>
  <c r="F8" i="19"/>
  <c r="C25" i="19"/>
  <c r="D25" i="19" s="1"/>
  <c r="C24" i="19"/>
  <c r="C23" i="19"/>
  <c r="D23" i="19" s="1"/>
  <c r="C22" i="19"/>
  <c r="D22" i="19" s="1"/>
  <c r="C21" i="19"/>
  <c r="D21" i="19" s="1"/>
  <c r="D17" i="19"/>
  <c r="F17" i="19" s="1"/>
  <c r="D18" i="19"/>
  <c r="F18" i="19" s="1"/>
  <c r="B2" i="19"/>
  <c r="D5" i="19"/>
  <c r="F5" i="19" s="1"/>
  <c r="D20" i="19"/>
  <c r="D19" i="19"/>
  <c r="AR6" i="15"/>
  <c r="S5" i="3" l="1"/>
  <c r="D26" i="19"/>
  <c r="S10" i="3"/>
  <c r="D24" i="19"/>
  <c r="Q19" i="3"/>
  <c r="Q18" i="3"/>
  <c r="AH540" i="13"/>
  <c r="AI540" i="13"/>
  <c r="AJ540" i="13"/>
  <c r="AK540" i="13"/>
  <c r="AL540" i="13"/>
  <c r="AM540" i="13"/>
  <c r="AH541" i="13"/>
  <c r="AI541" i="13"/>
  <c r="AJ541" i="13"/>
  <c r="AK541" i="13"/>
  <c r="AL541" i="13"/>
  <c r="AM541" i="13"/>
  <c r="AH542" i="13"/>
  <c r="AI542" i="13"/>
  <c r="AJ542" i="13"/>
  <c r="AK542" i="13"/>
  <c r="AL542" i="13"/>
  <c r="AM542" i="13"/>
  <c r="AH543" i="13"/>
  <c r="AI543" i="13"/>
  <c r="AJ543" i="13"/>
  <c r="AK543" i="13"/>
  <c r="AL543" i="13"/>
  <c r="AM543" i="13"/>
  <c r="AH544" i="13"/>
  <c r="AI544" i="13"/>
  <c r="AJ544" i="13"/>
  <c r="AK544" i="13"/>
  <c r="AL544" i="13"/>
  <c r="AM544" i="13"/>
  <c r="AH545" i="13"/>
  <c r="AI545" i="13"/>
  <c r="AJ545" i="13"/>
  <c r="AK545" i="13"/>
  <c r="AL545" i="13"/>
  <c r="AM545" i="13"/>
  <c r="AH546" i="13"/>
  <c r="AI546" i="13"/>
  <c r="AJ546" i="13"/>
  <c r="AK546" i="13"/>
  <c r="AL546" i="13"/>
  <c r="AM546" i="13"/>
  <c r="AH547" i="13"/>
  <c r="AI547" i="13"/>
  <c r="AJ547" i="13"/>
  <c r="AK547" i="13"/>
  <c r="AL547" i="13"/>
  <c r="AM547" i="13"/>
  <c r="AH548" i="13"/>
  <c r="AI548" i="13"/>
  <c r="AJ548" i="13"/>
  <c r="AK548" i="13"/>
  <c r="AL548" i="13"/>
  <c r="AM548" i="13"/>
  <c r="AH549" i="13"/>
  <c r="AI549" i="13"/>
  <c r="AJ549" i="13"/>
  <c r="AK549" i="13"/>
  <c r="AL549" i="13"/>
  <c r="AM549" i="13"/>
  <c r="AH550" i="13"/>
  <c r="AI550" i="13"/>
  <c r="AJ550" i="13"/>
  <c r="AK550" i="13"/>
  <c r="AL550" i="13"/>
  <c r="AM550" i="13"/>
  <c r="AH551" i="13"/>
  <c r="AI551" i="13"/>
  <c r="AJ551" i="13"/>
  <c r="AK551" i="13"/>
  <c r="AL551" i="13"/>
  <c r="AM551" i="13"/>
  <c r="AH552" i="13"/>
  <c r="AI552" i="13"/>
  <c r="AJ552" i="13"/>
  <c r="AK552" i="13"/>
  <c r="AL552" i="13"/>
  <c r="AM552" i="13"/>
  <c r="AH553" i="13"/>
  <c r="AI553" i="13"/>
  <c r="AJ553" i="13"/>
  <c r="AK553" i="13"/>
  <c r="AL553" i="13"/>
  <c r="AM553" i="13"/>
  <c r="AH554" i="13"/>
  <c r="AI554" i="13"/>
  <c r="AJ554" i="13"/>
  <c r="AK554" i="13"/>
  <c r="AL554" i="13"/>
  <c r="AM554" i="13"/>
  <c r="AH555" i="13"/>
  <c r="AI555" i="13"/>
  <c r="AJ555" i="13"/>
  <c r="AK555" i="13"/>
  <c r="AL555" i="13"/>
  <c r="AM555" i="13"/>
  <c r="AH556" i="13"/>
  <c r="AI556" i="13"/>
  <c r="AJ556" i="13"/>
  <c r="AK556" i="13"/>
  <c r="AL556" i="13"/>
  <c r="AM556" i="13"/>
  <c r="AH557" i="13"/>
  <c r="AI557" i="13"/>
  <c r="AJ557" i="13"/>
  <c r="AK557" i="13"/>
  <c r="AL557" i="13"/>
  <c r="AM557" i="13"/>
  <c r="AH558" i="13"/>
  <c r="AI558" i="13"/>
  <c r="AJ558" i="13"/>
  <c r="AK558" i="13"/>
  <c r="AL558" i="13"/>
  <c r="AM558" i="13"/>
  <c r="AH559" i="13"/>
  <c r="AI559" i="13"/>
  <c r="AJ559" i="13"/>
  <c r="AK559" i="13"/>
  <c r="AL559" i="13"/>
  <c r="AM559" i="13"/>
  <c r="AH560" i="13"/>
  <c r="AI560" i="13"/>
  <c r="AJ560" i="13"/>
  <c r="AK560" i="13"/>
  <c r="AL560" i="13"/>
  <c r="AM560" i="13"/>
  <c r="AH561" i="13"/>
  <c r="AI561" i="13"/>
  <c r="AJ561" i="13"/>
  <c r="AK561" i="13"/>
  <c r="AL561" i="13"/>
  <c r="AM561" i="13"/>
  <c r="AH562" i="13"/>
  <c r="AI562" i="13"/>
  <c r="AJ562" i="13"/>
  <c r="AK562" i="13"/>
  <c r="AL562" i="13"/>
  <c r="AM562" i="13"/>
  <c r="AT8" i="12" l="1"/>
  <c r="AT8" i="8"/>
  <c r="AT8" i="6"/>
  <c r="AT8" i="10"/>
  <c r="AT8" i="5"/>
  <c r="AT8" i="11"/>
  <c r="AT8" i="15"/>
  <c r="AT8" i="7"/>
  <c r="AT8" i="9"/>
  <c r="AT8" i="4"/>
  <c r="U38" i="6"/>
  <c r="U38" i="9"/>
  <c r="U38" i="10"/>
  <c r="U38" i="5"/>
  <c r="U38" i="11"/>
  <c r="U38" i="4"/>
  <c r="U38" i="12"/>
  <c r="U38" i="8"/>
  <c r="U38" i="15"/>
  <c r="U38" i="7"/>
  <c r="D1182" i="13"/>
  <c r="D1179" i="13"/>
  <c r="D1175" i="13"/>
  <c r="D1172" i="13"/>
  <c r="D1147" i="13"/>
  <c r="D1143" i="13"/>
  <c r="D1139" i="13"/>
  <c r="S48" i="3" l="1"/>
  <c r="S49" i="3"/>
  <c r="S47" i="3"/>
  <c r="R48" i="3"/>
  <c r="R49" i="3"/>
  <c r="U32" i="2" l="1"/>
  <c r="AH539" i="13"/>
  <c r="AI539" i="13"/>
  <c r="AJ539" i="13"/>
  <c r="AK539" i="13"/>
  <c r="AL539" i="13"/>
  <c r="AM539" i="13"/>
  <c r="P47" i="3" l="1"/>
  <c r="T47" i="3"/>
  <c r="P48" i="3"/>
  <c r="T48" i="3"/>
  <c r="P49" i="3"/>
  <c r="T49" i="3"/>
  <c r="X1" i="18"/>
  <c r="X3" i="18" s="1"/>
  <c r="AH529" i="13" l="1"/>
  <c r="AI529" i="13"/>
  <c r="AJ529" i="13"/>
  <c r="AK529" i="13"/>
  <c r="AL529" i="13"/>
  <c r="AM529" i="13"/>
  <c r="AH530" i="13"/>
  <c r="AI530" i="13"/>
  <c r="AJ530" i="13"/>
  <c r="AK530" i="13"/>
  <c r="AL530" i="13"/>
  <c r="AM530" i="13"/>
  <c r="AH531" i="13"/>
  <c r="AI531" i="13"/>
  <c r="AJ531" i="13"/>
  <c r="AK531" i="13"/>
  <c r="AL531" i="13"/>
  <c r="AM531" i="13"/>
  <c r="AH532" i="13"/>
  <c r="AI532" i="13"/>
  <c r="AJ532" i="13"/>
  <c r="AK532" i="13"/>
  <c r="AL532" i="13"/>
  <c r="AM532" i="13"/>
  <c r="AH533" i="13"/>
  <c r="AI533" i="13"/>
  <c r="AJ533" i="13"/>
  <c r="AK533" i="13"/>
  <c r="AL533" i="13"/>
  <c r="AM533" i="13"/>
  <c r="AH534" i="13"/>
  <c r="AI534" i="13"/>
  <c r="AJ534" i="13"/>
  <c r="AK534" i="13"/>
  <c r="AL534" i="13"/>
  <c r="AM534" i="13"/>
  <c r="AH535" i="13"/>
  <c r="AI535" i="13"/>
  <c r="AJ535" i="13"/>
  <c r="AK535" i="13"/>
  <c r="AL535" i="13"/>
  <c r="AM535" i="13"/>
  <c r="AH536" i="13"/>
  <c r="AI536" i="13"/>
  <c r="AJ536" i="13"/>
  <c r="AK536" i="13"/>
  <c r="AL536" i="13"/>
  <c r="AM536" i="13"/>
  <c r="AH537" i="13"/>
  <c r="AI537" i="13"/>
  <c r="AJ537" i="13"/>
  <c r="AK537" i="13"/>
  <c r="AL537" i="13"/>
  <c r="AM537" i="13"/>
  <c r="AH538" i="13"/>
  <c r="AI538" i="13"/>
  <c r="AJ538" i="13"/>
  <c r="AK538" i="13"/>
  <c r="AL538" i="13"/>
  <c r="AM538" i="13"/>
  <c r="B1138" i="13" l="1"/>
  <c r="B1151" i="13"/>
  <c r="B1162" i="13"/>
  <c r="B1169" i="13"/>
  <c r="B1176" i="13"/>
  <c r="B1183" i="13"/>
  <c r="B1187" i="13"/>
  <c r="N1168" i="13"/>
  <c r="M1168" i="13"/>
  <c r="N1166" i="13"/>
  <c r="M1166" i="13"/>
  <c r="N1164" i="13"/>
  <c r="M1164" i="13"/>
  <c r="L1181" i="13"/>
  <c r="I1180" i="13"/>
  <c r="L1178" i="13"/>
  <c r="I1177" i="13"/>
  <c r="J1173" i="13"/>
  <c r="J1170" i="13"/>
  <c r="I1161" i="13"/>
  <c r="J1160" i="13"/>
  <c r="K1155" i="13"/>
  <c r="K1154" i="13"/>
  <c r="K1150" i="13"/>
  <c r="G1149" i="13"/>
  <c r="I1148" i="13"/>
  <c r="K1146" i="13"/>
  <c r="G1145" i="13"/>
  <c r="I1144" i="13"/>
  <c r="K1142" i="13"/>
  <c r="G1141" i="13"/>
  <c r="I1140" i="13"/>
  <c r="J1137" i="13"/>
  <c r="L1136" i="13"/>
  <c r="J1134" i="13"/>
  <c r="L1133" i="13"/>
  <c r="J1131" i="13"/>
  <c r="L1130" i="13"/>
  <c r="F1174" i="13"/>
  <c r="F1171" i="13"/>
  <c r="F1167" i="13"/>
  <c r="F1165" i="13"/>
  <c r="F1163" i="13"/>
  <c r="F1135" i="13"/>
  <c r="F1132" i="13"/>
  <c r="F1129" i="13"/>
  <c r="E1182" i="13"/>
  <c r="E1179" i="13"/>
  <c r="E1175" i="13"/>
  <c r="E1172" i="13"/>
  <c r="E1147" i="13"/>
  <c r="E1143" i="13"/>
  <c r="E1139" i="13"/>
  <c r="D1186" i="13"/>
  <c r="D1185" i="13"/>
  <c r="D1181" i="13"/>
  <c r="D1180" i="13"/>
  <c r="D1178" i="13"/>
  <c r="D1177" i="13"/>
  <c r="D1174" i="13"/>
  <c r="D1173" i="13"/>
  <c r="D1171" i="13"/>
  <c r="D1170" i="13"/>
  <c r="D1168" i="13"/>
  <c r="D1167" i="13"/>
  <c r="D1166" i="13"/>
  <c r="D1165" i="13"/>
  <c r="D1164" i="13"/>
  <c r="D1163" i="13"/>
  <c r="D1161" i="13"/>
  <c r="D1160" i="13"/>
  <c r="D1159" i="13"/>
  <c r="D1158" i="13"/>
  <c r="D1157" i="13"/>
  <c r="D1156" i="13"/>
  <c r="D1155" i="13"/>
  <c r="D1154" i="13"/>
  <c r="D1153" i="13"/>
  <c r="D1152" i="13"/>
  <c r="D1150" i="13"/>
  <c r="D1149" i="13"/>
  <c r="D1148" i="13"/>
  <c r="D1146" i="13"/>
  <c r="D1145" i="13"/>
  <c r="D1144" i="13"/>
  <c r="D1142" i="13"/>
  <c r="D1141" i="13"/>
  <c r="D1140" i="13"/>
  <c r="D1137" i="13"/>
  <c r="D1136" i="13"/>
  <c r="D1135" i="13"/>
  <c r="D1134" i="13"/>
  <c r="D1133" i="13"/>
  <c r="D1132" i="13"/>
  <c r="D1131" i="13"/>
  <c r="D1130" i="13"/>
  <c r="D1129" i="13"/>
  <c r="B1146" i="13"/>
  <c r="B1179" i="13"/>
  <c r="B1186" i="13"/>
  <c r="B1139" i="13"/>
  <c r="B1153" i="13"/>
  <c r="B1165" i="13"/>
  <c r="B1180" i="13"/>
  <c r="B1135" i="13"/>
  <c r="B1166" i="13"/>
  <c r="B1147" i="13"/>
  <c r="B1142" i="13"/>
  <c r="B1172" i="13"/>
  <c r="B1141" i="13"/>
  <c r="B1181" i="13"/>
  <c r="B1155" i="13"/>
  <c r="B1177" i="13"/>
  <c r="B1168" i="13"/>
  <c r="B1156" i="13"/>
  <c r="B1157" i="13"/>
  <c r="B1185" i="13"/>
  <c r="B1145" i="13"/>
  <c r="B1130" i="13"/>
  <c r="B1174" i="13"/>
  <c r="B1175" i="13"/>
  <c r="B1178" i="13"/>
  <c r="B1159" i="13"/>
  <c r="B1133" i="13"/>
  <c r="B1144" i="13"/>
  <c r="B1182" i="13"/>
  <c r="B1143" i="13"/>
  <c r="B1136" i="13"/>
  <c r="B1170" i="13"/>
  <c r="B1171" i="13"/>
  <c r="B1132" i="13"/>
  <c r="B1129" i="13"/>
  <c r="B1149" i="13"/>
  <c r="B1184" i="13"/>
  <c r="B1158" i="13"/>
  <c r="B1134" i="13"/>
  <c r="B1131" i="13"/>
  <c r="B1154" i="13"/>
  <c r="B1173" i="13"/>
  <c r="B1148" i="13"/>
  <c r="B1167" i="13"/>
  <c r="B1140" i="13"/>
  <c r="B1150" i="13"/>
  <c r="B1160" i="13"/>
  <c r="B1164" i="13"/>
  <c r="B1163" i="13"/>
  <c r="B1161" i="13"/>
  <c r="B1152" i="13"/>
  <c r="B1137" i="13"/>
  <c r="AH421" i="13" l="1"/>
  <c r="AI421" i="13"/>
  <c r="AJ421" i="13"/>
  <c r="AK421" i="13"/>
  <c r="AL421" i="13"/>
  <c r="AM421" i="13"/>
  <c r="AH422" i="13"/>
  <c r="AI422" i="13"/>
  <c r="AJ422" i="13"/>
  <c r="AK422" i="13"/>
  <c r="AL422" i="13"/>
  <c r="AM422" i="13"/>
  <c r="AH423" i="13"/>
  <c r="AI423" i="13"/>
  <c r="AJ423" i="13"/>
  <c r="AK423" i="13"/>
  <c r="AL423" i="13"/>
  <c r="AM423" i="13"/>
  <c r="AH424" i="13"/>
  <c r="AI424" i="13"/>
  <c r="AJ424" i="13"/>
  <c r="AK424" i="13"/>
  <c r="AL424" i="13"/>
  <c r="AM424" i="13"/>
  <c r="AH425" i="13"/>
  <c r="AI425" i="13"/>
  <c r="AJ425" i="13"/>
  <c r="AK425" i="13"/>
  <c r="AL425" i="13"/>
  <c r="AM425" i="13"/>
  <c r="AH426" i="13"/>
  <c r="AI426" i="13"/>
  <c r="AJ426" i="13"/>
  <c r="AK426" i="13"/>
  <c r="AL426" i="13"/>
  <c r="AM426" i="13"/>
  <c r="AH427" i="13"/>
  <c r="AI427" i="13"/>
  <c r="AJ427" i="13"/>
  <c r="AK427" i="13"/>
  <c r="AL427" i="13"/>
  <c r="AM427" i="13"/>
  <c r="AH428" i="13"/>
  <c r="AI428" i="13"/>
  <c r="AJ428" i="13"/>
  <c r="AK428" i="13"/>
  <c r="AL428" i="13"/>
  <c r="AM428" i="13"/>
  <c r="AH429" i="13"/>
  <c r="AI429" i="13"/>
  <c r="AJ429" i="13"/>
  <c r="AK429" i="13"/>
  <c r="AL429" i="13"/>
  <c r="AM429" i="13"/>
  <c r="AH430" i="13"/>
  <c r="AI430" i="13"/>
  <c r="AJ430" i="13"/>
  <c r="AK430" i="13"/>
  <c r="AL430" i="13"/>
  <c r="AM430" i="13"/>
  <c r="AH431" i="13"/>
  <c r="AI431" i="13"/>
  <c r="AJ431" i="13"/>
  <c r="AK431" i="13"/>
  <c r="AL431" i="13"/>
  <c r="AM431" i="13"/>
  <c r="AH432" i="13"/>
  <c r="AI432" i="13"/>
  <c r="AJ432" i="13"/>
  <c r="AK432" i="13"/>
  <c r="AL432" i="13"/>
  <c r="AM432" i="13"/>
  <c r="AH433" i="13"/>
  <c r="AI433" i="13"/>
  <c r="AJ433" i="13"/>
  <c r="AK433" i="13"/>
  <c r="AL433" i="13"/>
  <c r="AM433" i="13"/>
  <c r="AH434" i="13"/>
  <c r="AI434" i="13"/>
  <c r="AJ434" i="13"/>
  <c r="AK434" i="13"/>
  <c r="AL434" i="13"/>
  <c r="AM434" i="13"/>
  <c r="AH435" i="13"/>
  <c r="AI435" i="13"/>
  <c r="AJ435" i="13"/>
  <c r="AK435" i="13"/>
  <c r="AL435" i="13"/>
  <c r="AM435" i="13"/>
  <c r="AH436" i="13"/>
  <c r="AI436" i="13"/>
  <c r="AJ436" i="13"/>
  <c r="AK436" i="13"/>
  <c r="AL436" i="13"/>
  <c r="AM436" i="13"/>
  <c r="AH437" i="13"/>
  <c r="AI437" i="13"/>
  <c r="AJ437" i="13"/>
  <c r="AK437" i="13"/>
  <c r="AL437" i="13"/>
  <c r="AM437" i="13"/>
  <c r="AH438" i="13"/>
  <c r="AI438" i="13"/>
  <c r="AJ438" i="13"/>
  <c r="AK438" i="13"/>
  <c r="AL438" i="13"/>
  <c r="AM438" i="13"/>
  <c r="AH439" i="13"/>
  <c r="AI439" i="13"/>
  <c r="AJ439" i="13"/>
  <c r="AK439" i="13"/>
  <c r="AL439" i="13"/>
  <c r="AM439" i="13"/>
  <c r="AH440" i="13"/>
  <c r="AI440" i="13"/>
  <c r="AJ440" i="13"/>
  <c r="AK440" i="13"/>
  <c r="AL440" i="13"/>
  <c r="AM440" i="13"/>
  <c r="AH441" i="13"/>
  <c r="AI441" i="13"/>
  <c r="AJ441" i="13"/>
  <c r="AK441" i="13"/>
  <c r="AL441" i="13"/>
  <c r="AM441" i="13"/>
  <c r="AH442" i="13"/>
  <c r="AI442" i="13"/>
  <c r="AJ442" i="13"/>
  <c r="AK442" i="13"/>
  <c r="AL442" i="13"/>
  <c r="AM442" i="13"/>
  <c r="AH443" i="13"/>
  <c r="AI443" i="13"/>
  <c r="AJ443" i="13"/>
  <c r="AK443" i="13"/>
  <c r="AL443" i="13"/>
  <c r="AM443" i="13"/>
  <c r="AH444" i="13"/>
  <c r="AI444" i="13"/>
  <c r="AJ444" i="13"/>
  <c r="AK444" i="13"/>
  <c r="AL444" i="13"/>
  <c r="AM444" i="13"/>
  <c r="AH445" i="13"/>
  <c r="AI445" i="13"/>
  <c r="AJ445" i="13"/>
  <c r="AK445" i="13"/>
  <c r="AL445" i="13"/>
  <c r="AM445" i="13"/>
  <c r="AH446" i="13"/>
  <c r="AI446" i="13"/>
  <c r="AJ446" i="13"/>
  <c r="AK446" i="13"/>
  <c r="AL446" i="13"/>
  <c r="AM446" i="13"/>
  <c r="AH447" i="13"/>
  <c r="AI447" i="13"/>
  <c r="AJ447" i="13"/>
  <c r="AK447" i="13"/>
  <c r="AL447" i="13"/>
  <c r="AM447" i="13"/>
  <c r="AH448" i="13"/>
  <c r="AI448" i="13"/>
  <c r="AJ448" i="13"/>
  <c r="AK448" i="13"/>
  <c r="AL448" i="13"/>
  <c r="AM448" i="13"/>
  <c r="AH449" i="13"/>
  <c r="AI449" i="13"/>
  <c r="AJ449" i="13"/>
  <c r="AK449" i="13"/>
  <c r="AL449" i="13"/>
  <c r="AM449" i="13"/>
  <c r="AH450" i="13"/>
  <c r="AI450" i="13"/>
  <c r="AJ450" i="13"/>
  <c r="AK450" i="13"/>
  <c r="AL450" i="13"/>
  <c r="AM450" i="13"/>
  <c r="AH451" i="13"/>
  <c r="AI451" i="13"/>
  <c r="AJ451" i="13"/>
  <c r="AK451" i="13"/>
  <c r="AL451" i="13"/>
  <c r="AM451" i="13"/>
  <c r="AH452" i="13"/>
  <c r="AI452" i="13"/>
  <c r="AJ452" i="13"/>
  <c r="AK452" i="13"/>
  <c r="AL452" i="13"/>
  <c r="AM452" i="13"/>
  <c r="AH453" i="13"/>
  <c r="AI453" i="13"/>
  <c r="AJ453" i="13"/>
  <c r="AK453" i="13"/>
  <c r="AL453" i="13"/>
  <c r="AM453" i="13"/>
  <c r="AH454" i="13"/>
  <c r="AI454" i="13"/>
  <c r="AJ454" i="13"/>
  <c r="AK454" i="13"/>
  <c r="AL454" i="13"/>
  <c r="AM454" i="13"/>
  <c r="AH455" i="13"/>
  <c r="AI455" i="13"/>
  <c r="AJ455" i="13"/>
  <c r="AK455" i="13"/>
  <c r="AL455" i="13"/>
  <c r="AM455" i="13"/>
  <c r="AH456" i="13"/>
  <c r="AI456" i="13"/>
  <c r="AJ456" i="13"/>
  <c r="AK456" i="13"/>
  <c r="AL456" i="13"/>
  <c r="AM456" i="13"/>
  <c r="AH457" i="13"/>
  <c r="AI457" i="13"/>
  <c r="AJ457" i="13"/>
  <c r="AK457" i="13"/>
  <c r="AL457" i="13"/>
  <c r="AM457" i="13"/>
  <c r="AH458" i="13"/>
  <c r="AI458" i="13"/>
  <c r="AJ458" i="13"/>
  <c r="AK458" i="13"/>
  <c r="AL458" i="13"/>
  <c r="AM458" i="13"/>
  <c r="AH459" i="13"/>
  <c r="AI459" i="13"/>
  <c r="AJ459" i="13"/>
  <c r="AK459" i="13"/>
  <c r="AL459" i="13"/>
  <c r="AM459" i="13"/>
  <c r="AH460" i="13"/>
  <c r="AI460" i="13"/>
  <c r="AJ460" i="13"/>
  <c r="AK460" i="13"/>
  <c r="AL460" i="13"/>
  <c r="AM460" i="13"/>
  <c r="AH461" i="13"/>
  <c r="AI461" i="13"/>
  <c r="AJ461" i="13"/>
  <c r="AK461" i="13"/>
  <c r="AL461" i="13"/>
  <c r="AM461" i="13"/>
  <c r="AH462" i="13"/>
  <c r="AI462" i="13"/>
  <c r="AJ462" i="13"/>
  <c r="AK462" i="13"/>
  <c r="AL462" i="13"/>
  <c r="AM462" i="13"/>
  <c r="AH463" i="13"/>
  <c r="AI463" i="13"/>
  <c r="AJ463" i="13"/>
  <c r="AK463" i="13"/>
  <c r="AL463" i="13"/>
  <c r="AM463" i="13"/>
  <c r="AH464" i="13"/>
  <c r="AI464" i="13"/>
  <c r="AJ464" i="13"/>
  <c r="AK464" i="13"/>
  <c r="AL464" i="13"/>
  <c r="AM464" i="13"/>
  <c r="AH465" i="13"/>
  <c r="AI465" i="13"/>
  <c r="AJ465" i="13"/>
  <c r="AK465" i="13"/>
  <c r="AL465" i="13"/>
  <c r="AM465" i="13"/>
  <c r="AH466" i="13"/>
  <c r="AI466" i="13"/>
  <c r="AJ466" i="13"/>
  <c r="AK466" i="13"/>
  <c r="AL466" i="13"/>
  <c r="AM466" i="13"/>
  <c r="AH467" i="13"/>
  <c r="AI467" i="13"/>
  <c r="AJ467" i="13"/>
  <c r="AK467" i="13"/>
  <c r="AL467" i="13"/>
  <c r="AM467" i="13"/>
  <c r="AH468" i="13"/>
  <c r="AI468" i="13"/>
  <c r="AJ468" i="13"/>
  <c r="AK468" i="13"/>
  <c r="AL468" i="13"/>
  <c r="AM468" i="13"/>
  <c r="AH469" i="13"/>
  <c r="AI469" i="13"/>
  <c r="AJ469" i="13"/>
  <c r="AK469" i="13"/>
  <c r="AL469" i="13"/>
  <c r="AM469" i="13"/>
  <c r="AH470" i="13"/>
  <c r="AI470" i="13"/>
  <c r="AJ470" i="13"/>
  <c r="AK470" i="13"/>
  <c r="AL470" i="13"/>
  <c r="AM470" i="13"/>
  <c r="AH471" i="13"/>
  <c r="AI471" i="13"/>
  <c r="AJ471" i="13"/>
  <c r="AK471" i="13"/>
  <c r="AL471" i="13"/>
  <c r="AM471" i="13"/>
  <c r="AH472" i="13"/>
  <c r="AI472" i="13"/>
  <c r="AJ472" i="13"/>
  <c r="AK472" i="13"/>
  <c r="AL472" i="13"/>
  <c r="AM472" i="13"/>
  <c r="AH473" i="13"/>
  <c r="AI473" i="13"/>
  <c r="AJ473" i="13"/>
  <c r="AK473" i="13"/>
  <c r="AL473" i="13"/>
  <c r="AM473" i="13"/>
  <c r="AH474" i="13"/>
  <c r="AI474" i="13"/>
  <c r="AJ474" i="13"/>
  <c r="AK474" i="13"/>
  <c r="AL474" i="13"/>
  <c r="AM474" i="13"/>
  <c r="AH475" i="13"/>
  <c r="AI475" i="13"/>
  <c r="AJ475" i="13"/>
  <c r="AK475" i="13"/>
  <c r="AL475" i="13"/>
  <c r="AM475" i="13"/>
  <c r="AH476" i="13"/>
  <c r="AI476" i="13"/>
  <c r="AJ476" i="13"/>
  <c r="AK476" i="13"/>
  <c r="AL476" i="13"/>
  <c r="AM476" i="13"/>
  <c r="AH477" i="13"/>
  <c r="AI477" i="13"/>
  <c r="AJ477" i="13"/>
  <c r="AK477" i="13"/>
  <c r="AL477" i="13"/>
  <c r="AM477" i="13"/>
  <c r="AH478" i="13"/>
  <c r="AI478" i="13"/>
  <c r="AJ478" i="13"/>
  <c r="AK478" i="13"/>
  <c r="AL478" i="13"/>
  <c r="AM478" i="13"/>
  <c r="AH479" i="13"/>
  <c r="AI479" i="13"/>
  <c r="AJ479" i="13"/>
  <c r="AK479" i="13"/>
  <c r="AL479" i="13"/>
  <c r="AM479" i="13"/>
  <c r="AH480" i="13"/>
  <c r="AI480" i="13"/>
  <c r="AJ480" i="13"/>
  <c r="AK480" i="13"/>
  <c r="AL480" i="13"/>
  <c r="AM480" i="13"/>
  <c r="AH481" i="13"/>
  <c r="AI481" i="13"/>
  <c r="AJ481" i="13"/>
  <c r="AK481" i="13"/>
  <c r="AL481" i="13"/>
  <c r="AM481" i="13"/>
  <c r="AH482" i="13"/>
  <c r="AI482" i="13"/>
  <c r="AJ482" i="13"/>
  <c r="AK482" i="13"/>
  <c r="AL482" i="13"/>
  <c r="AM482" i="13"/>
  <c r="AH483" i="13"/>
  <c r="AI483" i="13"/>
  <c r="AJ483" i="13"/>
  <c r="AK483" i="13"/>
  <c r="AL483" i="13"/>
  <c r="AM483" i="13"/>
  <c r="AH484" i="13"/>
  <c r="AI484" i="13"/>
  <c r="AJ484" i="13"/>
  <c r="AK484" i="13"/>
  <c r="AL484" i="13"/>
  <c r="AM484" i="13"/>
  <c r="AH485" i="13"/>
  <c r="AI485" i="13"/>
  <c r="AJ485" i="13"/>
  <c r="AK485" i="13"/>
  <c r="AL485" i="13"/>
  <c r="AM485" i="13"/>
  <c r="AH486" i="13"/>
  <c r="AI486" i="13"/>
  <c r="AJ486" i="13"/>
  <c r="AK486" i="13"/>
  <c r="AL486" i="13"/>
  <c r="AM486" i="13"/>
  <c r="AH487" i="13"/>
  <c r="AI487" i="13"/>
  <c r="AJ487" i="13"/>
  <c r="AK487" i="13"/>
  <c r="AL487" i="13"/>
  <c r="AM487" i="13"/>
  <c r="AH488" i="13"/>
  <c r="AI488" i="13"/>
  <c r="AJ488" i="13"/>
  <c r="AK488" i="13"/>
  <c r="AL488" i="13"/>
  <c r="AM488" i="13"/>
  <c r="AH489" i="13"/>
  <c r="AI489" i="13"/>
  <c r="AJ489" i="13"/>
  <c r="AK489" i="13"/>
  <c r="AL489" i="13"/>
  <c r="AM489" i="13"/>
  <c r="AH490" i="13"/>
  <c r="AI490" i="13"/>
  <c r="AJ490" i="13"/>
  <c r="AK490" i="13"/>
  <c r="AL490" i="13"/>
  <c r="AM490" i="13"/>
  <c r="AH491" i="13"/>
  <c r="AI491" i="13"/>
  <c r="AJ491" i="13"/>
  <c r="AK491" i="13"/>
  <c r="AL491" i="13"/>
  <c r="AM491" i="13"/>
  <c r="AH492" i="13"/>
  <c r="AI492" i="13"/>
  <c r="AJ492" i="13"/>
  <c r="AK492" i="13"/>
  <c r="AL492" i="13"/>
  <c r="AM492" i="13"/>
  <c r="AH493" i="13"/>
  <c r="AI493" i="13"/>
  <c r="AJ493" i="13"/>
  <c r="AK493" i="13"/>
  <c r="AL493" i="13"/>
  <c r="AM493" i="13"/>
  <c r="AH494" i="13"/>
  <c r="AI494" i="13"/>
  <c r="AJ494" i="13"/>
  <c r="AK494" i="13"/>
  <c r="AL494" i="13"/>
  <c r="AM494" i="13"/>
  <c r="AH495" i="13"/>
  <c r="AI495" i="13"/>
  <c r="AJ495" i="13"/>
  <c r="AK495" i="13"/>
  <c r="AL495" i="13"/>
  <c r="AM495" i="13"/>
  <c r="AH496" i="13"/>
  <c r="AI496" i="13"/>
  <c r="AJ496" i="13"/>
  <c r="AK496" i="13"/>
  <c r="AL496" i="13"/>
  <c r="AM496" i="13"/>
  <c r="AH497" i="13"/>
  <c r="AI497" i="13"/>
  <c r="AJ497" i="13"/>
  <c r="AK497" i="13"/>
  <c r="AL497" i="13"/>
  <c r="AM497" i="13"/>
  <c r="AH498" i="13"/>
  <c r="AI498" i="13"/>
  <c r="AJ498" i="13"/>
  <c r="AK498" i="13"/>
  <c r="AL498" i="13"/>
  <c r="AM498" i="13"/>
  <c r="AH499" i="13"/>
  <c r="AI499" i="13"/>
  <c r="AJ499" i="13"/>
  <c r="AK499" i="13"/>
  <c r="AL499" i="13"/>
  <c r="AM499" i="13"/>
  <c r="AH500" i="13"/>
  <c r="AI500" i="13"/>
  <c r="AJ500" i="13"/>
  <c r="AK500" i="13"/>
  <c r="AL500" i="13"/>
  <c r="AM500" i="13"/>
  <c r="AH501" i="13"/>
  <c r="AI501" i="13"/>
  <c r="AJ501" i="13"/>
  <c r="AK501" i="13"/>
  <c r="AL501" i="13"/>
  <c r="AM501" i="13"/>
  <c r="AH502" i="13"/>
  <c r="AI502" i="13"/>
  <c r="AJ502" i="13"/>
  <c r="AK502" i="13"/>
  <c r="AL502" i="13"/>
  <c r="AM502" i="13"/>
  <c r="AH503" i="13"/>
  <c r="AI503" i="13"/>
  <c r="AJ503" i="13"/>
  <c r="AK503" i="13"/>
  <c r="AL503" i="13"/>
  <c r="AM503" i="13"/>
  <c r="AH504" i="13"/>
  <c r="AI504" i="13"/>
  <c r="AJ504" i="13"/>
  <c r="AK504" i="13"/>
  <c r="AL504" i="13"/>
  <c r="AM504" i="13"/>
  <c r="AH505" i="13"/>
  <c r="AI505" i="13"/>
  <c r="AJ505" i="13"/>
  <c r="AK505" i="13"/>
  <c r="AL505" i="13"/>
  <c r="AM505" i="13"/>
  <c r="AH506" i="13"/>
  <c r="AI506" i="13"/>
  <c r="AJ506" i="13"/>
  <c r="AK506" i="13"/>
  <c r="AL506" i="13"/>
  <c r="AM506" i="13"/>
  <c r="AH507" i="13"/>
  <c r="AI507" i="13"/>
  <c r="AJ507" i="13"/>
  <c r="AK507" i="13"/>
  <c r="AL507" i="13"/>
  <c r="AM507" i="13"/>
  <c r="AH508" i="13"/>
  <c r="AI508" i="13"/>
  <c r="AJ508" i="13"/>
  <c r="AK508" i="13"/>
  <c r="AL508" i="13"/>
  <c r="AM508" i="13"/>
  <c r="AH509" i="13"/>
  <c r="AI509" i="13"/>
  <c r="AJ509" i="13"/>
  <c r="AK509" i="13"/>
  <c r="AL509" i="13"/>
  <c r="AM509" i="13"/>
  <c r="AH510" i="13"/>
  <c r="AI510" i="13"/>
  <c r="AJ510" i="13"/>
  <c r="AK510" i="13"/>
  <c r="AL510" i="13"/>
  <c r="AM510" i="13"/>
  <c r="AH511" i="13"/>
  <c r="AI511" i="13"/>
  <c r="AJ511" i="13"/>
  <c r="AK511" i="13"/>
  <c r="AL511" i="13"/>
  <c r="AM511" i="13"/>
  <c r="AH512" i="13"/>
  <c r="AI512" i="13"/>
  <c r="AJ512" i="13"/>
  <c r="AK512" i="13"/>
  <c r="AL512" i="13"/>
  <c r="AM512" i="13"/>
  <c r="AH513" i="13"/>
  <c r="AI513" i="13"/>
  <c r="AJ513" i="13"/>
  <c r="AK513" i="13"/>
  <c r="AL513" i="13"/>
  <c r="AM513" i="13"/>
  <c r="AH514" i="13"/>
  <c r="AI514" i="13"/>
  <c r="AJ514" i="13"/>
  <c r="AK514" i="13"/>
  <c r="AL514" i="13"/>
  <c r="AM514" i="13"/>
  <c r="AH515" i="13"/>
  <c r="AI515" i="13"/>
  <c r="AJ515" i="13"/>
  <c r="AK515" i="13"/>
  <c r="AL515" i="13"/>
  <c r="AM515" i="13"/>
  <c r="AH516" i="13"/>
  <c r="AI516" i="13"/>
  <c r="AJ516" i="13"/>
  <c r="AK516" i="13"/>
  <c r="AL516" i="13"/>
  <c r="AM516" i="13"/>
  <c r="AH517" i="13"/>
  <c r="AI517" i="13"/>
  <c r="AJ517" i="13"/>
  <c r="AK517" i="13"/>
  <c r="AL517" i="13"/>
  <c r="AM517" i="13"/>
  <c r="AH518" i="13"/>
  <c r="AI518" i="13"/>
  <c r="AJ518" i="13"/>
  <c r="AK518" i="13"/>
  <c r="AL518" i="13"/>
  <c r="AM518" i="13"/>
  <c r="AH519" i="13"/>
  <c r="AI519" i="13"/>
  <c r="AJ519" i="13"/>
  <c r="AK519" i="13"/>
  <c r="AL519" i="13"/>
  <c r="AM519" i="13"/>
  <c r="AH520" i="13"/>
  <c r="AI520" i="13"/>
  <c r="AJ520" i="13"/>
  <c r="AK520" i="13"/>
  <c r="AL520" i="13"/>
  <c r="AM520" i="13"/>
  <c r="AH521" i="13"/>
  <c r="AI521" i="13"/>
  <c r="AJ521" i="13"/>
  <c r="AK521" i="13"/>
  <c r="AL521" i="13"/>
  <c r="AM521" i="13"/>
  <c r="AH522" i="13"/>
  <c r="AI522" i="13"/>
  <c r="AJ522" i="13"/>
  <c r="AK522" i="13"/>
  <c r="AL522" i="13"/>
  <c r="AM522" i="13"/>
  <c r="AH523" i="13"/>
  <c r="AI523" i="13"/>
  <c r="AJ523" i="13"/>
  <c r="AK523" i="13"/>
  <c r="AL523" i="13"/>
  <c r="AM523" i="13"/>
  <c r="AH524" i="13"/>
  <c r="AI524" i="13"/>
  <c r="AJ524" i="13"/>
  <c r="AK524" i="13"/>
  <c r="AL524" i="13"/>
  <c r="AM524" i="13"/>
  <c r="AH525" i="13"/>
  <c r="AI525" i="13"/>
  <c r="AJ525" i="13"/>
  <c r="AK525" i="13"/>
  <c r="AL525" i="13"/>
  <c r="AM525" i="13"/>
  <c r="AH526" i="13"/>
  <c r="AI526" i="13"/>
  <c r="AJ526" i="13"/>
  <c r="AK526" i="13"/>
  <c r="AL526" i="13"/>
  <c r="AM526" i="13"/>
  <c r="AH527" i="13"/>
  <c r="AI527" i="13"/>
  <c r="AJ527" i="13"/>
  <c r="AK527" i="13"/>
  <c r="AL527" i="13"/>
  <c r="AM527" i="13"/>
  <c r="AH528" i="13"/>
  <c r="AI528" i="13"/>
  <c r="AJ528" i="13"/>
  <c r="AK528" i="13"/>
  <c r="AL528" i="13"/>
  <c r="AM528" i="13"/>
  <c r="AB25" i="2" l="1"/>
  <c r="AB26" i="2"/>
  <c r="CB30" i="7"/>
  <c r="CG15" i="11"/>
  <c r="CG8" i="11"/>
  <c r="CG7" i="11"/>
  <c r="CG15" i="8"/>
  <c r="CG8" i="8"/>
  <c r="CG7" i="8"/>
  <c r="CG15" i="7"/>
  <c r="CG8" i="7"/>
  <c r="CG7" i="7"/>
  <c r="CG15" i="4"/>
  <c r="CG8" i="4"/>
  <c r="CG7" i="4"/>
  <c r="CG15" i="6"/>
  <c r="CG8" i="6"/>
  <c r="CG7" i="6"/>
  <c r="CG15" i="5"/>
  <c r="CG8" i="5"/>
  <c r="CG7" i="5"/>
  <c r="CG15" i="12"/>
  <c r="CG8" i="12"/>
  <c r="CG7" i="12"/>
  <c r="CG15" i="10"/>
  <c r="CG8" i="10"/>
  <c r="CG7" i="10"/>
  <c r="CG15" i="9"/>
  <c r="CG8" i="9"/>
  <c r="CG7" i="9"/>
  <c r="CA8" i="11"/>
  <c r="CA6" i="11"/>
  <c r="CA8" i="8"/>
  <c r="CA6" i="8"/>
  <c r="CA8" i="7"/>
  <c r="CA6" i="7"/>
  <c r="CA8" i="4"/>
  <c r="CA6" i="4"/>
  <c r="CA8" i="6"/>
  <c r="CA6" i="6"/>
  <c r="CA8" i="5"/>
  <c r="CA6" i="5"/>
  <c r="CA8" i="12"/>
  <c r="CA6" i="12"/>
  <c r="CA8" i="10"/>
  <c r="CA6" i="10"/>
  <c r="CA8" i="9"/>
  <c r="CA6" i="9"/>
  <c r="CG7" i="15"/>
  <c r="CG8" i="15"/>
  <c r="CG15" i="15"/>
  <c r="CA6" i="15"/>
  <c r="CA8" i="15"/>
  <c r="CB3" i="11"/>
  <c r="CB3" i="8"/>
  <c r="CB3" i="7"/>
  <c r="CB3" i="4"/>
  <c r="CB3" i="6"/>
  <c r="CB3" i="5"/>
  <c r="CB3" i="12"/>
  <c r="CB3" i="10"/>
  <c r="CB3" i="9"/>
  <c r="CB30" i="8"/>
  <c r="V16" i="18"/>
  <c r="V16" i="17"/>
  <c r="CD8" i="11"/>
  <c r="CD7" i="11"/>
  <c r="CD8" i="8"/>
  <c r="CD7" i="8"/>
  <c r="CD8" i="7"/>
  <c r="CD7" i="7"/>
  <c r="CD8" i="4"/>
  <c r="CD7" i="4"/>
  <c r="CD8" i="6"/>
  <c r="CD7" i="6"/>
  <c r="CD8" i="5"/>
  <c r="CD7" i="5"/>
  <c r="CD8" i="12"/>
  <c r="CD7" i="12"/>
  <c r="CD8" i="10"/>
  <c r="CD7" i="10"/>
  <c r="CD8" i="9"/>
  <c r="CD7" i="9"/>
  <c r="CD7" i="15"/>
  <c r="CD8" i="15"/>
  <c r="I6" i="6" l="1"/>
  <c r="I6" i="10"/>
  <c r="I6" i="8"/>
  <c r="I6" i="9"/>
  <c r="I6" i="7"/>
  <c r="I6" i="15"/>
  <c r="I6" i="11"/>
  <c r="I6" i="4"/>
  <c r="I6" i="12"/>
  <c r="I6" i="5"/>
  <c r="I8" i="15"/>
  <c r="I8" i="11"/>
  <c r="I8" i="9"/>
  <c r="I8" i="7"/>
  <c r="I8" i="12"/>
  <c r="I8" i="6"/>
  <c r="I7" i="10"/>
  <c r="I7" i="5"/>
  <c r="I7" i="4"/>
  <c r="I7" i="8"/>
  <c r="I8" i="10"/>
  <c r="I8" i="5"/>
  <c r="I8" i="4"/>
  <c r="I8" i="8"/>
  <c r="I7" i="9"/>
  <c r="I7" i="12"/>
  <c r="I7" i="6"/>
  <c r="I7" i="7"/>
  <c r="I7" i="11"/>
  <c r="I7" i="15"/>
  <c r="CB30" i="5"/>
  <c r="CB30" i="10"/>
  <c r="CB30" i="9"/>
  <c r="CB30" i="6"/>
  <c r="CB30" i="4"/>
  <c r="CB30" i="11"/>
  <c r="CB30" i="12"/>
  <c r="CI15" i="11"/>
  <c r="CH15" i="11"/>
  <c r="CH8" i="11"/>
  <c r="CC8" i="11"/>
  <c r="CB8" i="11"/>
  <c r="CI7" i="11"/>
  <c r="CH7" i="11"/>
  <c r="CF7" i="11"/>
  <c r="CE7" i="11"/>
  <c r="CC7" i="11"/>
  <c r="CB6" i="11"/>
  <c r="CI15" i="8"/>
  <c r="CH15" i="8"/>
  <c r="CH8" i="8"/>
  <c r="CC8" i="8"/>
  <c r="CB8" i="8"/>
  <c r="CI7" i="8"/>
  <c r="CH7" i="8"/>
  <c r="CF7" i="8"/>
  <c r="CE7" i="8"/>
  <c r="CC7" i="8"/>
  <c r="CB6" i="8"/>
  <c r="CI15" i="7"/>
  <c r="CH15" i="7"/>
  <c r="CH8" i="7"/>
  <c r="CC8" i="7"/>
  <c r="CB8" i="7"/>
  <c r="CI7" i="7"/>
  <c r="CH7" i="7"/>
  <c r="CF7" i="7"/>
  <c r="CE7" i="7"/>
  <c r="CC7" i="7"/>
  <c r="CB6" i="7"/>
  <c r="CI15" i="4"/>
  <c r="CH15" i="4"/>
  <c r="CH8" i="4"/>
  <c r="CC8" i="4"/>
  <c r="CB8" i="4"/>
  <c r="CI7" i="4"/>
  <c r="CH7" i="4"/>
  <c r="CF7" i="4"/>
  <c r="CE7" i="4"/>
  <c r="CC7" i="4"/>
  <c r="CB6" i="4"/>
  <c r="CI15" i="6"/>
  <c r="CH15" i="6"/>
  <c r="CH8" i="6"/>
  <c r="CC8" i="6"/>
  <c r="CB8" i="6"/>
  <c r="CI7" i="6"/>
  <c r="CH7" i="6"/>
  <c r="CF7" i="6"/>
  <c r="CE7" i="6"/>
  <c r="CC7" i="6"/>
  <c r="CB6" i="6"/>
  <c r="CI15" i="5"/>
  <c r="CH15" i="5"/>
  <c r="CH8" i="5"/>
  <c r="CC8" i="5"/>
  <c r="CB8" i="5"/>
  <c r="CI7" i="5"/>
  <c r="CH7" i="5"/>
  <c r="CF7" i="5"/>
  <c r="CE7" i="5"/>
  <c r="CC7" i="5"/>
  <c r="CB6" i="5"/>
  <c r="CI15" i="12"/>
  <c r="CH15" i="12"/>
  <c r="CH8" i="12"/>
  <c r="CC8" i="12"/>
  <c r="CB8" i="12"/>
  <c r="CI7" i="12"/>
  <c r="CH7" i="12"/>
  <c r="CF7" i="12"/>
  <c r="CE7" i="12"/>
  <c r="CC7" i="12"/>
  <c r="CB6" i="12"/>
  <c r="CI15" i="10"/>
  <c r="CH15" i="10"/>
  <c r="CH8" i="10"/>
  <c r="CC8" i="10"/>
  <c r="CB8" i="10"/>
  <c r="CI7" i="10"/>
  <c r="CH7" i="10"/>
  <c r="CF7" i="10"/>
  <c r="CE7" i="10"/>
  <c r="CC7" i="10"/>
  <c r="CB6" i="10"/>
  <c r="CI15" i="9"/>
  <c r="CH15" i="9"/>
  <c r="CH8" i="9"/>
  <c r="CC8" i="9"/>
  <c r="CB8" i="9"/>
  <c r="CI7" i="9"/>
  <c r="CH7" i="9"/>
  <c r="CF7" i="9"/>
  <c r="CE7" i="9"/>
  <c r="CC7" i="9"/>
  <c r="CB6" i="9"/>
  <c r="CH15" i="15" l="1"/>
  <c r="CH8" i="15"/>
  <c r="CH7" i="15"/>
  <c r="AB27" i="2"/>
  <c r="AB28" i="2"/>
  <c r="CI7" i="15"/>
  <c r="CI15" i="15"/>
  <c r="CF7" i="15"/>
  <c r="CC7" i="15"/>
  <c r="CC8" i="15"/>
  <c r="CE7" i="15"/>
  <c r="CB8" i="15"/>
  <c r="CB6" i="15"/>
  <c r="V11" i="17" l="1"/>
  <c r="J3" i="17" s="1"/>
  <c r="V11" i="18"/>
  <c r="J3" i="18" l="1"/>
  <c r="J2" i="18"/>
  <c r="J2" i="17"/>
  <c r="AX15" i="8"/>
  <c r="AZ15" i="8" s="1"/>
  <c r="BF8" i="8"/>
  <c r="BE8" i="8"/>
  <c r="BD8" i="8"/>
  <c r="BC8" i="8"/>
  <c r="AZ8" i="8"/>
  <c r="AX8" i="8"/>
  <c r="BC6" i="8"/>
  <c r="AX6" i="8"/>
  <c r="AX15" i="7"/>
  <c r="AZ15" i="7" s="1"/>
  <c r="BF8" i="7"/>
  <c r="BE8" i="7"/>
  <c r="BD8" i="7"/>
  <c r="BC8" i="7"/>
  <c r="AZ8" i="7"/>
  <c r="AX8" i="7"/>
  <c r="BC6" i="7"/>
  <c r="AX6" i="7"/>
  <c r="AX15" i="4"/>
  <c r="AZ15" i="4" s="1"/>
  <c r="BF8" i="4"/>
  <c r="BE8" i="4"/>
  <c r="BD8" i="4"/>
  <c r="BC8" i="4"/>
  <c r="AZ8" i="4"/>
  <c r="AX8" i="4"/>
  <c r="BC6" i="4"/>
  <c r="AX6" i="4"/>
  <c r="AX15" i="6"/>
  <c r="AZ15" i="6" s="1"/>
  <c r="BF8" i="6"/>
  <c r="BE8" i="6"/>
  <c r="BD8" i="6"/>
  <c r="BC8" i="6"/>
  <c r="AZ8" i="6"/>
  <c r="AX8" i="6"/>
  <c r="BC6" i="6"/>
  <c r="AX6" i="6"/>
  <c r="AX15" i="5"/>
  <c r="AZ15" i="5" s="1"/>
  <c r="BF8" i="5"/>
  <c r="BE8" i="5"/>
  <c r="BD8" i="5"/>
  <c r="BC8" i="5"/>
  <c r="AZ8" i="5"/>
  <c r="AX8" i="5"/>
  <c r="BC6" i="5"/>
  <c r="AX6" i="5"/>
  <c r="AX15" i="12"/>
  <c r="AZ15" i="12" s="1"/>
  <c r="BF8" i="12"/>
  <c r="BE8" i="12"/>
  <c r="BD8" i="12"/>
  <c r="BC8" i="12"/>
  <c r="AZ8" i="12"/>
  <c r="AX8" i="12"/>
  <c r="BC6" i="12"/>
  <c r="AX6" i="12"/>
  <c r="AX15" i="10"/>
  <c r="AZ15" i="10" s="1"/>
  <c r="BF8" i="10"/>
  <c r="BE8" i="10"/>
  <c r="BD8" i="10"/>
  <c r="BC8" i="10"/>
  <c r="AZ8" i="10"/>
  <c r="AX8" i="10"/>
  <c r="BC6" i="10"/>
  <c r="AX6" i="10"/>
  <c r="AX15" i="9"/>
  <c r="AZ15" i="9" s="1"/>
  <c r="BF8" i="9"/>
  <c r="BE8" i="9"/>
  <c r="BD8" i="9"/>
  <c r="BC8" i="9"/>
  <c r="AZ8" i="9"/>
  <c r="AX8" i="9"/>
  <c r="BC6" i="9"/>
  <c r="AX6" i="9"/>
  <c r="BF8" i="11"/>
  <c r="BE8" i="11"/>
  <c r="BD8" i="11"/>
  <c r="BE8" i="15"/>
  <c r="BF8" i="15"/>
  <c r="BD8" i="15"/>
  <c r="AB30" i="2"/>
  <c r="AB33" i="2"/>
  <c r="BD15" i="8" l="1"/>
  <c r="BE15" i="8" s="1"/>
  <c r="BF15" i="8" s="1"/>
  <c r="CB15" i="8"/>
  <c r="CA15" i="8"/>
  <c r="BD15" i="7"/>
  <c r="BE15" i="7" s="1"/>
  <c r="BF15" i="7" s="1"/>
  <c r="CB15" i="7"/>
  <c r="CA15" i="7"/>
  <c r="BD15" i="4"/>
  <c r="BE15" i="4" s="1"/>
  <c r="BF15" i="4" s="1"/>
  <c r="CB15" i="4"/>
  <c r="CA15" i="4"/>
  <c r="CB15" i="6"/>
  <c r="CA15" i="6"/>
  <c r="BD15" i="6"/>
  <c r="BE15" i="6" s="1"/>
  <c r="BF15" i="6" s="1"/>
  <c r="BD15" i="5"/>
  <c r="BE15" i="5" s="1"/>
  <c r="BF15" i="5" s="1"/>
  <c r="CB15" i="5"/>
  <c r="CA15" i="5"/>
  <c r="BD15" i="12"/>
  <c r="BE15" i="12" s="1"/>
  <c r="BF15" i="12" s="1"/>
  <c r="CB15" i="12"/>
  <c r="CA15" i="12"/>
  <c r="BD15" i="10"/>
  <c r="BE15" i="10" s="1"/>
  <c r="BF15" i="10" s="1"/>
  <c r="CB15" i="10"/>
  <c r="CA15" i="10"/>
  <c r="BD15" i="9"/>
  <c r="BE15" i="9" s="1"/>
  <c r="BF15" i="9" s="1"/>
  <c r="CB15" i="9"/>
  <c r="CA15" i="9"/>
  <c r="V6" i="18"/>
  <c r="V6" i="17"/>
  <c r="AJ27" i="2"/>
  <c r="AJ26" i="2"/>
  <c r="AJ24" i="2"/>
  <c r="S21" i="3" l="1"/>
  <c r="D1096" i="13" l="1"/>
  <c r="AH413" i="13"/>
  <c r="AI413" i="13"/>
  <c r="AJ413" i="13"/>
  <c r="AK413" i="13"/>
  <c r="AL413" i="13"/>
  <c r="AM413" i="13"/>
  <c r="AH414" i="13"/>
  <c r="AI414" i="13"/>
  <c r="AJ414" i="13"/>
  <c r="AK414" i="13"/>
  <c r="AL414" i="13"/>
  <c r="AM414" i="13"/>
  <c r="AH415" i="13"/>
  <c r="AI415" i="13"/>
  <c r="AJ415" i="13"/>
  <c r="AK415" i="13"/>
  <c r="AL415" i="13"/>
  <c r="AM415" i="13"/>
  <c r="AH416" i="13"/>
  <c r="AI416" i="13"/>
  <c r="AJ416" i="13"/>
  <c r="AK416" i="13"/>
  <c r="AL416" i="13"/>
  <c r="AM416" i="13"/>
  <c r="AH417" i="13"/>
  <c r="AI417" i="13"/>
  <c r="AJ417" i="13"/>
  <c r="AK417" i="13"/>
  <c r="AL417" i="13"/>
  <c r="AM417" i="13"/>
  <c r="AH418" i="13"/>
  <c r="AI418" i="13"/>
  <c r="AJ418" i="13"/>
  <c r="AK418" i="13"/>
  <c r="AL418" i="13"/>
  <c r="AM418" i="13"/>
  <c r="AH419" i="13"/>
  <c r="AI419" i="13"/>
  <c r="AJ419" i="13"/>
  <c r="AK419" i="13"/>
  <c r="AL419" i="13"/>
  <c r="AM419" i="13"/>
  <c r="AH420" i="13"/>
  <c r="AI420" i="13"/>
  <c r="AJ420" i="13"/>
  <c r="AK420" i="13"/>
  <c r="AL420" i="13"/>
  <c r="AM420" i="13"/>
  <c r="AZ8" i="11" l="1"/>
  <c r="R35" i="2"/>
  <c r="R37" i="2"/>
  <c r="AZ8" i="15"/>
  <c r="Q10" i="3" l="1"/>
  <c r="H15" i="11" l="1"/>
  <c r="H15" i="8"/>
  <c r="H15" i="7"/>
  <c r="H15" i="4"/>
  <c r="H15" i="6"/>
  <c r="H15" i="5"/>
  <c r="H15" i="12"/>
  <c r="H15" i="10"/>
  <c r="H15" i="9"/>
  <c r="AJ34" i="11"/>
  <c r="AP33" i="11"/>
  <c r="AP32" i="11"/>
  <c r="AI31" i="11"/>
  <c r="AP30" i="11"/>
  <c r="AO30" i="11"/>
  <c r="AP29" i="11"/>
  <c r="AJ34" i="8"/>
  <c r="AP33" i="8"/>
  <c r="AP32" i="8"/>
  <c r="AI31" i="8"/>
  <c r="AP30" i="8"/>
  <c r="AO30" i="8"/>
  <c r="AP29" i="8"/>
  <c r="AJ34" i="7"/>
  <c r="AP33" i="7"/>
  <c r="AP32" i="7"/>
  <c r="AI31" i="7"/>
  <c r="AJ31" i="7" s="1"/>
  <c r="AP30" i="7"/>
  <c r="AO30" i="7"/>
  <c r="AP29" i="7"/>
  <c r="AJ34" i="4"/>
  <c r="AP33" i="4"/>
  <c r="AP32" i="4"/>
  <c r="AI31" i="4"/>
  <c r="AP30" i="4"/>
  <c r="AO30" i="4"/>
  <c r="AP29" i="4"/>
  <c r="AJ34" i="6"/>
  <c r="AP33" i="6"/>
  <c r="AP32" i="6"/>
  <c r="AI31" i="6"/>
  <c r="AP30" i="6"/>
  <c r="AO30" i="6"/>
  <c r="AP29" i="6"/>
  <c r="AJ34" i="5"/>
  <c r="AP33" i="5"/>
  <c r="AP32" i="5"/>
  <c r="AI31" i="5"/>
  <c r="AP30" i="5"/>
  <c r="AO30" i="5"/>
  <c r="AP29" i="5"/>
  <c r="AJ34" i="12"/>
  <c r="AP33" i="12"/>
  <c r="AP32" i="12"/>
  <c r="AI31" i="12"/>
  <c r="AP30" i="12"/>
  <c r="AO30" i="12"/>
  <c r="AP29" i="12"/>
  <c r="AJ34" i="10"/>
  <c r="AP33" i="10"/>
  <c r="AP32" i="10"/>
  <c r="AI31" i="10"/>
  <c r="AP30" i="10"/>
  <c r="AO30" i="10"/>
  <c r="AP29" i="10"/>
  <c r="AJ34" i="9"/>
  <c r="AP33" i="9"/>
  <c r="AP32" i="9"/>
  <c r="AI31" i="9"/>
  <c r="AP30" i="9"/>
  <c r="AO30" i="9"/>
  <c r="AP29" i="9"/>
  <c r="AX15" i="11"/>
  <c r="AZ15" i="11" s="1"/>
  <c r="AX8" i="11"/>
  <c r="AX6" i="11"/>
  <c r="C18" i="11"/>
  <c r="D17" i="8"/>
  <c r="C18" i="7"/>
  <c r="C18" i="4"/>
  <c r="C18" i="6"/>
  <c r="D17" i="5"/>
  <c r="D17" i="12"/>
  <c r="C18" i="10"/>
  <c r="D17" i="9"/>
  <c r="AX15" i="15"/>
  <c r="AZ15" i="15" s="1"/>
  <c r="AX6" i="15"/>
  <c r="AX8" i="15"/>
  <c r="AB31" i="2"/>
  <c r="V7" i="18" s="1"/>
  <c r="AJ31" i="9" l="1"/>
  <c r="AJ31" i="5"/>
  <c r="AJ31" i="11"/>
  <c r="AJ31" i="10"/>
  <c r="AJ31" i="12"/>
  <c r="AJ31" i="8"/>
  <c r="AJ31" i="6"/>
  <c r="CB15" i="11"/>
  <c r="CA15" i="11"/>
  <c r="BD15" i="11"/>
  <c r="BE15" i="11" s="1"/>
  <c r="BF15" i="11" s="1"/>
  <c r="AJ31" i="4"/>
  <c r="CA15" i="15"/>
  <c r="CB15" i="15"/>
  <c r="BD15" i="15"/>
  <c r="BE15" i="15" s="1"/>
  <c r="BF15" i="15" s="1"/>
  <c r="C18" i="12"/>
  <c r="C17" i="12" s="1"/>
  <c r="C18" i="9"/>
  <c r="C17" i="9" s="1"/>
  <c r="D17" i="4"/>
  <c r="D17" i="10"/>
  <c r="D17" i="7"/>
  <c r="C18" i="5"/>
  <c r="C17" i="5" s="1"/>
  <c r="C18" i="8"/>
  <c r="C17" i="8" s="1"/>
  <c r="D17" i="6"/>
  <c r="D17" i="11"/>
  <c r="V7" i="17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1" i="2"/>
  <c r="AB52" i="2"/>
  <c r="AB53" i="2"/>
  <c r="AB55" i="2"/>
  <c r="AB36" i="2"/>
  <c r="BX18" i="12"/>
  <c r="BX24" i="12" s="1"/>
  <c r="BW18" i="12"/>
  <c r="BW21" i="12" s="1"/>
  <c r="BV18" i="12"/>
  <c r="BV25" i="12" s="1"/>
  <c r="BU18" i="12"/>
  <c r="BU25" i="12" s="1"/>
  <c r="BT18" i="12"/>
  <c r="BT21" i="12" s="1"/>
  <c r="BS18" i="12"/>
  <c r="BS21" i="12" s="1"/>
  <c r="BR18" i="12"/>
  <c r="BR19" i="12" s="1"/>
  <c r="BQ18" i="12"/>
  <c r="BQ19" i="12" s="1"/>
  <c r="BX19" i="11"/>
  <c r="BX18" i="11"/>
  <c r="BX24" i="11" s="1"/>
  <c r="BW18" i="11"/>
  <c r="BW21" i="11" s="1"/>
  <c r="BV18" i="11"/>
  <c r="BV25" i="11" s="1"/>
  <c r="BU18" i="11"/>
  <c r="BU25" i="11" s="1"/>
  <c r="BT18" i="11"/>
  <c r="BT21" i="11" s="1"/>
  <c r="BS18" i="11"/>
  <c r="BS21" i="11" s="1"/>
  <c r="BR18" i="11"/>
  <c r="BR19" i="11" s="1"/>
  <c r="BQ18" i="11"/>
  <c r="BQ19" i="11" s="1"/>
  <c r="BX18" i="10"/>
  <c r="BX24" i="10" s="1"/>
  <c r="BW18" i="10"/>
  <c r="BW24" i="10" s="1"/>
  <c r="BV18" i="10"/>
  <c r="BV19" i="10" s="1"/>
  <c r="BU18" i="10"/>
  <c r="BU25" i="10" s="1"/>
  <c r="BT18" i="10"/>
  <c r="BT21" i="10" s="1"/>
  <c r="BS18" i="10"/>
  <c r="BS21" i="10" s="1"/>
  <c r="BR18" i="10"/>
  <c r="BR19" i="10" s="1"/>
  <c r="BQ18" i="10"/>
  <c r="BQ19" i="10" s="1"/>
  <c r="BX18" i="9"/>
  <c r="BX24" i="9" s="1"/>
  <c r="BW18" i="9"/>
  <c r="BW21" i="9" s="1"/>
  <c r="BV18" i="9"/>
  <c r="BV19" i="9" s="1"/>
  <c r="BU18" i="9"/>
  <c r="BU25" i="9" s="1"/>
  <c r="BT18" i="9"/>
  <c r="BT21" i="9" s="1"/>
  <c r="BS18" i="9"/>
  <c r="BS21" i="9" s="1"/>
  <c r="BR18" i="9"/>
  <c r="BR19" i="9" s="1"/>
  <c r="BQ18" i="9"/>
  <c r="BQ19" i="9" s="1"/>
  <c r="BV19" i="8"/>
  <c r="BX18" i="8"/>
  <c r="BX24" i="8" s="1"/>
  <c r="BW18" i="8"/>
  <c r="BW21" i="8" s="1"/>
  <c r="BV18" i="8"/>
  <c r="BV25" i="8" s="1"/>
  <c r="BU18" i="8"/>
  <c r="BU25" i="8" s="1"/>
  <c r="BT18" i="8"/>
  <c r="BT21" i="8" s="1"/>
  <c r="BS18" i="8"/>
  <c r="BS21" i="8" s="1"/>
  <c r="BR18" i="8"/>
  <c r="BR19" i="8" s="1"/>
  <c r="BQ18" i="8"/>
  <c r="BQ19" i="8" s="1"/>
  <c r="BX18" i="7"/>
  <c r="BX24" i="7" s="1"/>
  <c r="BW18" i="7"/>
  <c r="BW21" i="7" s="1"/>
  <c r="BV18" i="7"/>
  <c r="BV25" i="7" s="1"/>
  <c r="BU18" i="7"/>
  <c r="BU25" i="7" s="1"/>
  <c r="BT18" i="7"/>
  <c r="BT21" i="7" s="1"/>
  <c r="BS18" i="7"/>
  <c r="BS21" i="7" s="1"/>
  <c r="BR18" i="7"/>
  <c r="BR19" i="7" s="1"/>
  <c r="BQ18" i="7"/>
  <c r="BQ19" i="7" s="1"/>
  <c r="BX18" i="6"/>
  <c r="BX24" i="6" s="1"/>
  <c r="BW18" i="6"/>
  <c r="BW21" i="6" s="1"/>
  <c r="BV18" i="6"/>
  <c r="BV25" i="6" s="1"/>
  <c r="BU18" i="6"/>
  <c r="BU25" i="6" s="1"/>
  <c r="BT18" i="6"/>
  <c r="BT21" i="6" s="1"/>
  <c r="BS18" i="6"/>
  <c r="BS21" i="6" s="1"/>
  <c r="BR18" i="6"/>
  <c r="BR19" i="6" s="1"/>
  <c r="BQ18" i="6"/>
  <c r="BQ19" i="6" s="1"/>
  <c r="BS21" i="5"/>
  <c r="BX18" i="5"/>
  <c r="BX24" i="5" s="1"/>
  <c r="BW18" i="5"/>
  <c r="BW21" i="5" s="1"/>
  <c r="BV18" i="5"/>
  <c r="BV25" i="5" s="1"/>
  <c r="BU18" i="5"/>
  <c r="BU25" i="5" s="1"/>
  <c r="BT18" i="5"/>
  <c r="BT21" i="5" s="1"/>
  <c r="BS18" i="5"/>
  <c r="BR18" i="5"/>
  <c r="BR19" i="5" s="1"/>
  <c r="BQ18" i="5"/>
  <c r="BQ19" i="5" s="1"/>
  <c r="BX18" i="4"/>
  <c r="BX19" i="4" s="1"/>
  <c r="BW18" i="4"/>
  <c r="BW21" i="4" s="1"/>
  <c r="BV18" i="4"/>
  <c r="BV25" i="4" s="1"/>
  <c r="BU18" i="4"/>
  <c r="BU25" i="4" s="1"/>
  <c r="BT18" i="4"/>
  <c r="BT21" i="4" s="1"/>
  <c r="BS18" i="4"/>
  <c r="BS21" i="4" s="1"/>
  <c r="BR18" i="4"/>
  <c r="BR19" i="4" s="1"/>
  <c r="BQ18" i="4"/>
  <c r="BQ19" i="4" s="1"/>
  <c r="AP32" i="15"/>
  <c r="AP33" i="15"/>
  <c r="AP30" i="15"/>
  <c r="AP29" i="15"/>
  <c r="AJ34" i="15"/>
  <c r="AI31" i="15"/>
  <c r="BX18" i="15"/>
  <c r="BX24" i="15" s="1"/>
  <c r="BW18" i="15"/>
  <c r="BW21" i="15" s="1"/>
  <c r="BV18" i="15"/>
  <c r="BV19" i="15" s="1"/>
  <c r="BU18" i="15"/>
  <c r="BU25" i="15" s="1"/>
  <c r="BT18" i="15"/>
  <c r="BT21" i="15" s="1"/>
  <c r="BS18" i="15"/>
  <c r="BS21" i="15" s="1"/>
  <c r="BR18" i="15"/>
  <c r="BR19" i="15" s="1"/>
  <c r="BQ18" i="15"/>
  <c r="BQ19" i="15" s="1"/>
  <c r="AO30" i="15"/>
  <c r="Z47" i="2"/>
  <c r="Z48" i="2"/>
  <c r="Z49" i="2"/>
  <c r="Z51" i="2"/>
  <c r="Z52" i="2"/>
  <c r="Z53" i="2"/>
  <c r="Z46" i="2"/>
  <c r="AB32" i="2"/>
  <c r="BX19" i="12" l="1"/>
  <c r="BW24" i="9"/>
  <c r="BW21" i="10"/>
  <c r="BW24" i="11"/>
  <c r="BW24" i="12"/>
  <c r="BW24" i="15"/>
  <c r="BW24" i="4"/>
  <c r="AJ31" i="15"/>
  <c r="BX19" i="6"/>
  <c r="BV25" i="15"/>
  <c r="BX19" i="7"/>
  <c r="BV25" i="9"/>
  <c r="BX19" i="5"/>
  <c r="BW24" i="8"/>
  <c r="BX24" i="4"/>
  <c r="BW24" i="5"/>
  <c r="BV25" i="10"/>
  <c r="BW24" i="6"/>
  <c r="BW24" i="7"/>
  <c r="V8" i="17"/>
  <c r="V8" i="18"/>
  <c r="C17" i="10"/>
  <c r="C17" i="4"/>
  <c r="C17" i="6"/>
  <c r="C17" i="11"/>
  <c r="C17" i="7"/>
  <c r="BU19" i="12"/>
  <c r="BV19" i="12"/>
  <c r="BU19" i="11"/>
  <c r="BV19" i="11"/>
  <c r="BX19" i="10"/>
  <c r="BU19" i="10"/>
  <c r="BX19" i="9"/>
  <c r="BU19" i="9"/>
  <c r="BX19" i="8"/>
  <c r="BU19" i="8"/>
  <c r="BU19" i="7"/>
  <c r="BV19" i="7"/>
  <c r="BU19" i="6"/>
  <c r="BV19" i="6"/>
  <c r="BU19" i="5"/>
  <c r="BV19" i="5"/>
  <c r="BU19" i="4"/>
  <c r="BV19" i="4"/>
  <c r="BX19" i="15"/>
  <c r="BU19" i="15"/>
  <c r="H15" i="15"/>
  <c r="Y6" i="18" l="1"/>
  <c r="Y6" i="17"/>
  <c r="B24" i="15"/>
  <c r="D17" i="15" s="1"/>
  <c r="C18" i="15" l="1"/>
  <c r="U28" i="2"/>
  <c r="D14" i="19" s="1"/>
  <c r="F14" i="19" s="1"/>
  <c r="U27" i="2"/>
  <c r="D13" i="19" s="1"/>
  <c r="F13" i="19" s="1"/>
  <c r="U26" i="2"/>
  <c r="U25" i="2"/>
  <c r="D12" i="19" l="1"/>
  <c r="F12" i="19" s="1"/>
  <c r="D10" i="19"/>
  <c r="F10" i="19" s="1"/>
  <c r="D11" i="19"/>
  <c r="F11" i="19" s="1"/>
  <c r="AM98" i="13"/>
  <c r="AL98" i="13"/>
  <c r="AK98" i="13"/>
  <c r="AJ98" i="13"/>
  <c r="AI98" i="13"/>
  <c r="AH98" i="13"/>
  <c r="G6" i="12" l="1"/>
  <c r="G6" i="11"/>
  <c r="G6" i="10"/>
  <c r="G6" i="9"/>
  <c r="G6" i="8"/>
  <c r="G6" i="7"/>
  <c r="G6" i="6"/>
  <c r="G6" i="5"/>
  <c r="G6" i="15"/>
  <c r="G6" i="4"/>
  <c r="AU8" i="12" l="1"/>
  <c r="AU6" i="12"/>
  <c r="AU8" i="11"/>
  <c r="AU6" i="11"/>
  <c r="AU8" i="10"/>
  <c r="AU6" i="10"/>
  <c r="AU8" i="9"/>
  <c r="AU6" i="9"/>
  <c r="AU8" i="8"/>
  <c r="AU6" i="8"/>
  <c r="AU8" i="7"/>
  <c r="AU6" i="7"/>
  <c r="AU8" i="6"/>
  <c r="AU6" i="6"/>
  <c r="AU8" i="5"/>
  <c r="AU6" i="5"/>
  <c r="AU8" i="4"/>
  <c r="AU6" i="4"/>
  <c r="AU8" i="15"/>
  <c r="AU6" i="15"/>
  <c r="AU15" i="12" l="1"/>
  <c r="AU15" i="11"/>
  <c r="AU15" i="10"/>
  <c r="AU15" i="9"/>
  <c r="AU15" i="8"/>
  <c r="AU15" i="7"/>
  <c r="AU15" i="6"/>
  <c r="AU15" i="5"/>
  <c r="AU15" i="4"/>
  <c r="AU15" i="15"/>
  <c r="AM1070" i="13"/>
  <c r="AM1069" i="13"/>
  <c r="AT15" i="15"/>
  <c r="AR15" i="15" s="1"/>
  <c r="AK1083" i="13" l="1"/>
  <c r="AK1082" i="13"/>
  <c r="AK1081" i="13"/>
  <c r="AK1080" i="13"/>
  <c r="AK1079" i="13"/>
  <c r="AK1078" i="13"/>
  <c r="AK1077" i="13"/>
  <c r="AK1076" i="13"/>
  <c r="Q54" i="3" l="1"/>
  <c r="R54" i="3"/>
  <c r="S54" i="3"/>
  <c r="D1102" i="13" l="1"/>
  <c r="C1102" i="13" s="1"/>
  <c r="D1101" i="13"/>
  <c r="C1101" i="13" s="1"/>
  <c r="AM176" i="13"/>
  <c r="AL176" i="13"/>
  <c r="AK176" i="13"/>
  <c r="AJ176" i="13"/>
  <c r="AI176" i="13"/>
  <c r="AH176" i="13"/>
  <c r="AY1097" i="13" l="1"/>
  <c r="AY1098" i="13"/>
  <c r="C4" i="2" l="1"/>
  <c r="AM88" i="13"/>
  <c r="AL88" i="13"/>
  <c r="AK88" i="13"/>
  <c r="AJ88" i="13"/>
  <c r="AI88" i="13"/>
  <c r="AH88" i="13"/>
  <c r="CD6" i="12" l="1"/>
  <c r="CD6" i="11"/>
  <c r="CD6" i="10"/>
  <c r="CD6" i="9"/>
  <c r="CD6" i="8"/>
  <c r="CD6" i="7"/>
  <c r="CD6" i="6"/>
  <c r="CD6" i="5"/>
  <c r="CD6" i="15"/>
  <c r="CD6" i="4"/>
  <c r="AS6" i="12" l="1"/>
  <c r="BC6" i="11"/>
  <c r="AS6" i="11"/>
  <c r="AS6" i="10"/>
  <c r="AS6" i="9"/>
  <c r="AS6" i="8"/>
  <c r="AS6" i="7"/>
  <c r="AS6" i="6"/>
  <c r="AS6" i="5"/>
  <c r="AS6" i="4"/>
  <c r="A15" i="2"/>
  <c r="AH3" i="13"/>
  <c r="AI3" i="13"/>
  <c r="AJ3" i="13"/>
  <c r="AK3" i="13"/>
  <c r="AL3" i="13"/>
  <c r="AM3" i="13"/>
  <c r="AH4" i="13"/>
  <c r="AI4" i="13"/>
  <c r="AJ4" i="13"/>
  <c r="AK4" i="13"/>
  <c r="AL4" i="13"/>
  <c r="AM4" i="13"/>
  <c r="AH5" i="13"/>
  <c r="AI5" i="13"/>
  <c r="AJ5" i="13"/>
  <c r="AK5" i="13"/>
  <c r="AL5" i="13"/>
  <c r="AM5" i="13"/>
  <c r="AH6" i="13"/>
  <c r="AI6" i="13"/>
  <c r="AJ6" i="13"/>
  <c r="AK6" i="13"/>
  <c r="AL6" i="13"/>
  <c r="AM6" i="13"/>
  <c r="AH7" i="13"/>
  <c r="AI7" i="13"/>
  <c r="AJ7" i="13"/>
  <c r="AK7" i="13"/>
  <c r="AL7" i="13"/>
  <c r="AM7" i="13"/>
  <c r="AH8" i="13"/>
  <c r="AI8" i="13"/>
  <c r="AJ8" i="13"/>
  <c r="AK8" i="13"/>
  <c r="AL8" i="13"/>
  <c r="AM8" i="13"/>
  <c r="AH9" i="13"/>
  <c r="AI9" i="13"/>
  <c r="AJ9" i="13"/>
  <c r="AK9" i="13"/>
  <c r="AL9" i="13"/>
  <c r="AM9" i="13"/>
  <c r="AH10" i="13"/>
  <c r="AI10" i="13"/>
  <c r="AJ10" i="13"/>
  <c r="AK10" i="13"/>
  <c r="AL10" i="13"/>
  <c r="AM10" i="13"/>
  <c r="AH11" i="13"/>
  <c r="AI11" i="13"/>
  <c r="AJ11" i="13"/>
  <c r="AK11" i="13"/>
  <c r="AL11" i="13"/>
  <c r="AM11" i="13"/>
  <c r="AH12" i="13"/>
  <c r="AI12" i="13"/>
  <c r="AJ12" i="13"/>
  <c r="AK12" i="13"/>
  <c r="AL12" i="13"/>
  <c r="AM12" i="13"/>
  <c r="AH13" i="13"/>
  <c r="AI13" i="13"/>
  <c r="AJ13" i="13"/>
  <c r="AK13" i="13"/>
  <c r="AL13" i="13"/>
  <c r="AM13" i="13"/>
  <c r="AH14" i="13"/>
  <c r="AI14" i="13"/>
  <c r="AJ14" i="13"/>
  <c r="AK14" i="13"/>
  <c r="AL14" i="13"/>
  <c r="AM14" i="13"/>
  <c r="AH15" i="13"/>
  <c r="AI15" i="13"/>
  <c r="AJ15" i="13"/>
  <c r="AK15" i="13"/>
  <c r="AL15" i="13"/>
  <c r="AM15" i="13"/>
  <c r="AH16" i="13"/>
  <c r="AI16" i="13"/>
  <c r="AJ16" i="13"/>
  <c r="AK16" i="13"/>
  <c r="AL16" i="13"/>
  <c r="AM16" i="13"/>
  <c r="AH17" i="13"/>
  <c r="AI17" i="13"/>
  <c r="AJ17" i="13"/>
  <c r="AK17" i="13"/>
  <c r="AL17" i="13"/>
  <c r="AM17" i="13"/>
  <c r="AH18" i="13"/>
  <c r="AI18" i="13"/>
  <c r="AJ18" i="13"/>
  <c r="AK18" i="13"/>
  <c r="AL18" i="13"/>
  <c r="AM18" i="13"/>
  <c r="AH19" i="13"/>
  <c r="AI19" i="13"/>
  <c r="AJ19" i="13"/>
  <c r="AK19" i="13"/>
  <c r="AL19" i="13"/>
  <c r="AM19" i="13"/>
  <c r="AH20" i="13"/>
  <c r="AI20" i="13"/>
  <c r="AJ20" i="13"/>
  <c r="AK20" i="13"/>
  <c r="AL20" i="13"/>
  <c r="AM20" i="13"/>
  <c r="AH21" i="13"/>
  <c r="AI21" i="13"/>
  <c r="AJ21" i="13"/>
  <c r="AK21" i="13"/>
  <c r="AL21" i="13"/>
  <c r="AM21" i="13"/>
  <c r="AH22" i="13"/>
  <c r="AI22" i="13"/>
  <c r="AJ22" i="13"/>
  <c r="AK22" i="13"/>
  <c r="AL22" i="13"/>
  <c r="AM22" i="13"/>
  <c r="AH23" i="13"/>
  <c r="AI23" i="13"/>
  <c r="AJ23" i="13"/>
  <c r="AK23" i="13"/>
  <c r="AL23" i="13"/>
  <c r="AM23" i="13"/>
  <c r="AH24" i="13"/>
  <c r="AI24" i="13"/>
  <c r="AJ24" i="13"/>
  <c r="AK24" i="13"/>
  <c r="AL24" i="13"/>
  <c r="AM24" i="13"/>
  <c r="AH25" i="13"/>
  <c r="AI25" i="13"/>
  <c r="AJ25" i="13"/>
  <c r="AK25" i="13"/>
  <c r="AL25" i="13"/>
  <c r="AM25" i="13"/>
  <c r="AH26" i="13"/>
  <c r="AI26" i="13"/>
  <c r="AJ26" i="13"/>
  <c r="AK26" i="13"/>
  <c r="AL26" i="13"/>
  <c r="AM26" i="13"/>
  <c r="AH27" i="13"/>
  <c r="AI27" i="13"/>
  <c r="AJ27" i="13"/>
  <c r="AK27" i="13"/>
  <c r="AL27" i="13"/>
  <c r="AM27" i="13"/>
  <c r="AH28" i="13"/>
  <c r="AI28" i="13"/>
  <c r="AJ28" i="13"/>
  <c r="AK28" i="13"/>
  <c r="AL28" i="13"/>
  <c r="AM28" i="13"/>
  <c r="AH29" i="13"/>
  <c r="AI29" i="13"/>
  <c r="AJ29" i="13"/>
  <c r="AK29" i="13"/>
  <c r="AL29" i="13"/>
  <c r="AM29" i="13"/>
  <c r="AH30" i="13"/>
  <c r="AI30" i="13"/>
  <c r="AJ30" i="13"/>
  <c r="AK30" i="13"/>
  <c r="AL30" i="13"/>
  <c r="AM30" i="13"/>
  <c r="AH31" i="13"/>
  <c r="AI31" i="13"/>
  <c r="AJ31" i="13"/>
  <c r="AK31" i="13"/>
  <c r="AL31" i="13"/>
  <c r="AM31" i="13"/>
  <c r="AH32" i="13"/>
  <c r="AI32" i="13"/>
  <c r="AJ32" i="13"/>
  <c r="AK32" i="13"/>
  <c r="AL32" i="13"/>
  <c r="AM32" i="13"/>
  <c r="AH33" i="13"/>
  <c r="AI33" i="13"/>
  <c r="AJ33" i="13"/>
  <c r="AK33" i="13"/>
  <c r="AL33" i="13"/>
  <c r="AM33" i="13"/>
  <c r="AH34" i="13"/>
  <c r="AI34" i="13"/>
  <c r="AJ34" i="13"/>
  <c r="AK34" i="13"/>
  <c r="AL34" i="13"/>
  <c r="AM34" i="13"/>
  <c r="AH35" i="13"/>
  <c r="AI35" i="13"/>
  <c r="AJ35" i="13"/>
  <c r="AK35" i="13"/>
  <c r="AL35" i="13"/>
  <c r="AM35" i="13"/>
  <c r="AH36" i="13"/>
  <c r="AI36" i="13"/>
  <c r="AJ36" i="13"/>
  <c r="AK36" i="13"/>
  <c r="AL36" i="13"/>
  <c r="AM36" i="13"/>
  <c r="AH37" i="13"/>
  <c r="AI37" i="13"/>
  <c r="AJ37" i="13"/>
  <c r="AK37" i="13"/>
  <c r="AL37" i="13"/>
  <c r="AM37" i="13"/>
  <c r="AH38" i="13"/>
  <c r="AI38" i="13"/>
  <c r="AJ38" i="13"/>
  <c r="AK38" i="13"/>
  <c r="AL38" i="13"/>
  <c r="AM38" i="13"/>
  <c r="AH39" i="13"/>
  <c r="AI39" i="13"/>
  <c r="AJ39" i="13"/>
  <c r="AK39" i="13"/>
  <c r="AL39" i="13"/>
  <c r="AM39" i="13"/>
  <c r="AH40" i="13"/>
  <c r="AI40" i="13"/>
  <c r="AJ40" i="13"/>
  <c r="AK40" i="13"/>
  <c r="AL40" i="13"/>
  <c r="AM40" i="13"/>
  <c r="AH41" i="13"/>
  <c r="AI41" i="13"/>
  <c r="AJ41" i="13"/>
  <c r="AK41" i="13"/>
  <c r="AL41" i="13"/>
  <c r="AM41" i="13"/>
  <c r="AH42" i="13"/>
  <c r="AI42" i="13"/>
  <c r="AJ42" i="13"/>
  <c r="AK42" i="13"/>
  <c r="AL42" i="13"/>
  <c r="AM42" i="13"/>
  <c r="AH43" i="13"/>
  <c r="AI43" i="13"/>
  <c r="AJ43" i="13"/>
  <c r="AK43" i="13"/>
  <c r="AL43" i="13"/>
  <c r="AM43" i="13"/>
  <c r="AH44" i="13"/>
  <c r="AI44" i="13"/>
  <c r="AJ44" i="13"/>
  <c r="AK44" i="13"/>
  <c r="AL44" i="13"/>
  <c r="AM44" i="13"/>
  <c r="AH45" i="13"/>
  <c r="AI45" i="13"/>
  <c r="AJ45" i="13"/>
  <c r="AK45" i="13"/>
  <c r="AL45" i="13"/>
  <c r="AM45" i="13"/>
  <c r="AH46" i="13"/>
  <c r="AI46" i="13"/>
  <c r="AJ46" i="13"/>
  <c r="AK46" i="13"/>
  <c r="AL46" i="13"/>
  <c r="AM46" i="13"/>
  <c r="AH47" i="13"/>
  <c r="AI47" i="13"/>
  <c r="AJ47" i="13"/>
  <c r="AK47" i="13"/>
  <c r="AL47" i="13"/>
  <c r="AM47" i="13"/>
  <c r="AH48" i="13"/>
  <c r="AI48" i="13"/>
  <c r="AJ48" i="13"/>
  <c r="AK48" i="13"/>
  <c r="AL48" i="13"/>
  <c r="AM48" i="13"/>
  <c r="AH49" i="13"/>
  <c r="AI49" i="13"/>
  <c r="AJ49" i="13"/>
  <c r="AK49" i="13"/>
  <c r="AL49" i="13"/>
  <c r="AM49" i="13"/>
  <c r="AH51" i="13"/>
  <c r="AI51" i="13"/>
  <c r="AJ51" i="13"/>
  <c r="AK51" i="13"/>
  <c r="AL51" i="13"/>
  <c r="AM51" i="13"/>
  <c r="AH52" i="13"/>
  <c r="AI52" i="13"/>
  <c r="AJ52" i="13"/>
  <c r="AK52" i="13"/>
  <c r="AL52" i="13"/>
  <c r="AM52" i="13"/>
  <c r="AH53" i="13"/>
  <c r="AI53" i="13"/>
  <c r="AJ53" i="13"/>
  <c r="AK53" i="13"/>
  <c r="AL53" i="13"/>
  <c r="AM53" i="13"/>
  <c r="AH54" i="13"/>
  <c r="AI54" i="13"/>
  <c r="AJ54" i="13"/>
  <c r="AK54" i="13"/>
  <c r="AL54" i="13"/>
  <c r="AM54" i="13"/>
  <c r="AH55" i="13"/>
  <c r="AI55" i="13"/>
  <c r="AJ55" i="13"/>
  <c r="AK55" i="13"/>
  <c r="AL55" i="13"/>
  <c r="AM55" i="13"/>
  <c r="AH56" i="13"/>
  <c r="AI56" i="13"/>
  <c r="AJ56" i="13"/>
  <c r="AK56" i="13"/>
  <c r="AL56" i="13"/>
  <c r="AM56" i="13"/>
  <c r="AH57" i="13"/>
  <c r="AI57" i="13"/>
  <c r="AJ57" i="13"/>
  <c r="AK57" i="13"/>
  <c r="AL57" i="13"/>
  <c r="AM57" i="13"/>
  <c r="AH58" i="13"/>
  <c r="AI58" i="13"/>
  <c r="AJ58" i="13"/>
  <c r="AK58" i="13"/>
  <c r="AL58" i="13"/>
  <c r="AM58" i="13"/>
  <c r="AH59" i="13"/>
  <c r="AI59" i="13"/>
  <c r="AJ59" i="13"/>
  <c r="AK59" i="13"/>
  <c r="AL59" i="13"/>
  <c r="AM59" i="13"/>
  <c r="AH60" i="13"/>
  <c r="AI60" i="13"/>
  <c r="AJ60" i="13"/>
  <c r="AK60" i="13"/>
  <c r="AL60" i="13"/>
  <c r="AM60" i="13"/>
  <c r="AH61" i="13"/>
  <c r="AI61" i="13"/>
  <c r="AJ61" i="13"/>
  <c r="AK61" i="13"/>
  <c r="AL61" i="13"/>
  <c r="AM61" i="13"/>
  <c r="AH62" i="13"/>
  <c r="AI62" i="13"/>
  <c r="AJ62" i="13"/>
  <c r="AK62" i="13"/>
  <c r="AL62" i="13"/>
  <c r="AM62" i="13"/>
  <c r="AH63" i="13"/>
  <c r="AI63" i="13"/>
  <c r="AJ63" i="13"/>
  <c r="AK63" i="13"/>
  <c r="AL63" i="13"/>
  <c r="AM63" i="13"/>
  <c r="AH64" i="13"/>
  <c r="AI64" i="13"/>
  <c r="AJ64" i="13"/>
  <c r="AK64" i="13"/>
  <c r="AL64" i="13"/>
  <c r="AM64" i="13"/>
  <c r="AH65" i="13"/>
  <c r="AI65" i="13"/>
  <c r="AJ65" i="13"/>
  <c r="AK65" i="13"/>
  <c r="AL65" i="13"/>
  <c r="AM65" i="13"/>
  <c r="AH66" i="13"/>
  <c r="AI66" i="13"/>
  <c r="AJ66" i="13"/>
  <c r="AK66" i="13"/>
  <c r="AL66" i="13"/>
  <c r="AM66" i="13"/>
  <c r="AH67" i="13"/>
  <c r="AI67" i="13"/>
  <c r="AJ67" i="13"/>
  <c r="AK67" i="13"/>
  <c r="AL67" i="13"/>
  <c r="AM67" i="13"/>
  <c r="AH68" i="13"/>
  <c r="AI68" i="13"/>
  <c r="AJ68" i="13"/>
  <c r="AK68" i="13"/>
  <c r="AL68" i="13"/>
  <c r="AM68" i="13"/>
  <c r="AH69" i="13"/>
  <c r="AI69" i="13"/>
  <c r="AJ69" i="13"/>
  <c r="AK69" i="13"/>
  <c r="AL69" i="13"/>
  <c r="AM69" i="13"/>
  <c r="AH70" i="13"/>
  <c r="AI70" i="13"/>
  <c r="AJ70" i="13"/>
  <c r="AK70" i="13"/>
  <c r="AL70" i="13"/>
  <c r="AM70" i="13"/>
  <c r="AH71" i="13"/>
  <c r="AI71" i="13"/>
  <c r="AJ71" i="13"/>
  <c r="AK71" i="13"/>
  <c r="AL71" i="13"/>
  <c r="AM71" i="13"/>
  <c r="AH72" i="13"/>
  <c r="AI72" i="13"/>
  <c r="AJ72" i="13"/>
  <c r="AK72" i="13"/>
  <c r="AL72" i="13"/>
  <c r="AM72" i="13"/>
  <c r="AH73" i="13"/>
  <c r="AI73" i="13"/>
  <c r="AJ73" i="13"/>
  <c r="AK73" i="13"/>
  <c r="AL73" i="13"/>
  <c r="AM73" i="13"/>
  <c r="AH74" i="13"/>
  <c r="AI74" i="13"/>
  <c r="AJ74" i="13"/>
  <c r="AK74" i="13"/>
  <c r="AL74" i="13"/>
  <c r="AM74" i="13"/>
  <c r="AH75" i="13"/>
  <c r="AI75" i="13"/>
  <c r="AJ75" i="13"/>
  <c r="AK75" i="13"/>
  <c r="AL75" i="13"/>
  <c r="AM75" i="13"/>
  <c r="AH76" i="13"/>
  <c r="AI76" i="13"/>
  <c r="AJ76" i="13"/>
  <c r="AK76" i="13"/>
  <c r="AL76" i="13"/>
  <c r="AM76" i="13"/>
  <c r="AH77" i="13"/>
  <c r="AI77" i="13"/>
  <c r="AJ77" i="13"/>
  <c r="AK77" i="13"/>
  <c r="AL77" i="13"/>
  <c r="AM77" i="13"/>
  <c r="AH78" i="13"/>
  <c r="AI78" i="13"/>
  <c r="AJ78" i="13"/>
  <c r="AK78" i="13"/>
  <c r="AL78" i="13"/>
  <c r="AM78" i="13"/>
  <c r="AH79" i="13"/>
  <c r="AI79" i="13"/>
  <c r="AJ79" i="13"/>
  <c r="AK79" i="13"/>
  <c r="AL79" i="13"/>
  <c r="AM79" i="13"/>
  <c r="AH80" i="13"/>
  <c r="AI80" i="13"/>
  <c r="AJ80" i="13"/>
  <c r="AK80" i="13"/>
  <c r="AL80" i="13"/>
  <c r="AM80" i="13"/>
  <c r="AH81" i="13"/>
  <c r="AI81" i="13"/>
  <c r="AJ81" i="13"/>
  <c r="AK81" i="13"/>
  <c r="AL81" i="13"/>
  <c r="AM81" i="13"/>
  <c r="AH82" i="13"/>
  <c r="AI82" i="13"/>
  <c r="AJ82" i="13"/>
  <c r="AK82" i="13"/>
  <c r="AL82" i="13"/>
  <c r="AM82" i="13"/>
  <c r="AH83" i="13"/>
  <c r="AI83" i="13"/>
  <c r="AJ83" i="13"/>
  <c r="AK83" i="13"/>
  <c r="AL83" i="13"/>
  <c r="AM83" i="13"/>
  <c r="AH84" i="13"/>
  <c r="AI84" i="13"/>
  <c r="AJ84" i="13"/>
  <c r="AK84" i="13"/>
  <c r="AL84" i="13"/>
  <c r="AM84" i="13"/>
  <c r="AH85" i="13"/>
  <c r="AI85" i="13"/>
  <c r="AJ85" i="13"/>
  <c r="AK85" i="13"/>
  <c r="AL85" i="13"/>
  <c r="AM85" i="13"/>
  <c r="AH86" i="13"/>
  <c r="AI86" i="13"/>
  <c r="AJ86" i="13"/>
  <c r="AK86" i="13"/>
  <c r="AL86" i="13"/>
  <c r="AM86" i="13"/>
  <c r="AH87" i="13"/>
  <c r="AI87" i="13"/>
  <c r="AJ87" i="13"/>
  <c r="AK87" i="13"/>
  <c r="AL87" i="13"/>
  <c r="AM87" i="13"/>
  <c r="AH89" i="13"/>
  <c r="AI89" i="13"/>
  <c r="AJ89" i="13"/>
  <c r="AK89" i="13"/>
  <c r="AL89" i="13"/>
  <c r="AM89" i="13"/>
  <c r="AH90" i="13"/>
  <c r="AI90" i="13"/>
  <c r="AJ90" i="13"/>
  <c r="AK90" i="13"/>
  <c r="AL90" i="13"/>
  <c r="AM90" i="13"/>
  <c r="AH91" i="13"/>
  <c r="AI91" i="13"/>
  <c r="AJ91" i="13"/>
  <c r="AK91" i="13"/>
  <c r="AL91" i="13"/>
  <c r="AM91" i="13"/>
  <c r="AH92" i="13"/>
  <c r="AI92" i="13"/>
  <c r="AJ92" i="13"/>
  <c r="AK92" i="13"/>
  <c r="AL92" i="13"/>
  <c r="AM92" i="13"/>
  <c r="AH93" i="13"/>
  <c r="AI93" i="13"/>
  <c r="AJ93" i="13"/>
  <c r="AK93" i="13"/>
  <c r="AL93" i="13"/>
  <c r="AM93" i="13"/>
  <c r="AH94" i="13"/>
  <c r="AI94" i="13"/>
  <c r="AJ94" i="13"/>
  <c r="AK94" i="13"/>
  <c r="AL94" i="13"/>
  <c r="AM94" i="13"/>
  <c r="AH95" i="13"/>
  <c r="AI95" i="13"/>
  <c r="AJ95" i="13"/>
  <c r="AK95" i="13"/>
  <c r="AL95" i="13"/>
  <c r="AM95" i="13"/>
  <c r="AH96" i="13"/>
  <c r="AI96" i="13"/>
  <c r="AJ96" i="13"/>
  <c r="AK96" i="13"/>
  <c r="AL96" i="13"/>
  <c r="AM96" i="13"/>
  <c r="AH97" i="13"/>
  <c r="AI97" i="13"/>
  <c r="AJ97" i="13"/>
  <c r="AK97" i="13"/>
  <c r="AL97" i="13"/>
  <c r="AM97" i="13"/>
  <c r="AH99" i="13"/>
  <c r="AI99" i="13"/>
  <c r="AJ99" i="13"/>
  <c r="AK99" i="13"/>
  <c r="AL99" i="13"/>
  <c r="AM99" i="13"/>
  <c r="AH100" i="13"/>
  <c r="AI100" i="13"/>
  <c r="AJ100" i="13"/>
  <c r="AK100" i="13"/>
  <c r="AL100" i="13"/>
  <c r="AM100" i="13"/>
  <c r="AH101" i="13"/>
  <c r="AI101" i="13"/>
  <c r="AJ101" i="13"/>
  <c r="AK101" i="13"/>
  <c r="AL101" i="13"/>
  <c r="AM101" i="13"/>
  <c r="AH102" i="13"/>
  <c r="AI102" i="13"/>
  <c r="AJ102" i="13"/>
  <c r="AK102" i="13"/>
  <c r="AL102" i="13"/>
  <c r="AM102" i="13"/>
  <c r="AH103" i="13"/>
  <c r="AI103" i="13"/>
  <c r="AJ103" i="13"/>
  <c r="AK103" i="13"/>
  <c r="AL103" i="13"/>
  <c r="AM103" i="13"/>
  <c r="AH104" i="13"/>
  <c r="AI104" i="13"/>
  <c r="AJ104" i="13"/>
  <c r="AK104" i="13"/>
  <c r="AL104" i="13"/>
  <c r="AM104" i="13"/>
  <c r="AH105" i="13"/>
  <c r="AI105" i="13"/>
  <c r="AJ105" i="13"/>
  <c r="AK105" i="13"/>
  <c r="AL105" i="13"/>
  <c r="AM105" i="13"/>
  <c r="AH106" i="13"/>
  <c r="AI106" i="13"/>
  <c r="AJ106" i="13"/>
  <c r="AK106" i="13"/>
  <c r="AL106" i="13"/>
  <c r="AM106" i="13"/>
  <c r="AH107" i="13"/>
  <c r="AI107" i="13"/>
  <c r="AJ107" i="13"/>
  <c r="AK107" i="13"/>
  <c r="AL107" i="13"/>
  <c r="AM107" i="13"/>
  <c r="AH108" i="13"/>
  <c r="AI108" i="13"/>
  <c r="AJ108" i="13"/>
  <c r="AK108" i="13"/>
  <c r="AL108" i="13"/>
  <c r="AM108" i="13"/>
  <c r="AH109" i="13"/>
  <c r="AI109" i="13"/>
  <c r="AJ109" i="13"/>
  <c r="AK109" i="13"/>
  <c r="AL109" i="13"/>
  <c r="AM109" i="13"/>
  <c r="AH110" i="13"/>
  <c r="AI110" i="13"/>
  <c r="AJ110" i="13"/>
  <c r="AK110" i="13"/>
  <c r="AL110" i="13"/>
  <c r="AM110" i="13"/>
  <c r="AH111" i="13"/>
  <c r="AI111" i="13"/>
  <c r="AJ111" i="13"/>
  <c r="AK111" i="13"/>
  <c r="AL111" i="13"/>
  <c r="AM111" i="13"/>
  <c r="AH112" i="13"/>
  <c r="AI112" i="13"/>
  <c r="AJ112" i="13"/>
  <c r="AK112" i="13"/>
  <c r="AL112" i="13"/>
  <c r="AM112" i="13"/>
  <c r="AH113" i="13"/>
  <c r="AI113" i="13"/>
  <c r="AJ113" i="13"/>
  <c r="AK113" i="13"/>
  <c r="AL113" i="13"/>
  <c r="AM113" i="13"/>
  <c r="AH114" i="13"/>
  <c r="AI114" i="13"/>
  <c r="AJ114" i="13"/>
  <c r="AK114" i="13"/>
  <c r="AL114" i="13"/>
  <c r="AM114" i="13"/>
  <c r="AH115" i="13"/>
  <c r="AI115" i="13"/>
  <c r="AJ115" i="13"/>
  <c r="AK115" i="13"/>
  <c r="AL115" i="13"/>
  <c r="AM115" i="13"/>
  <c r="AH116" i="13"/>
  <c r="AI116" i="13"/>
  <c r="AJ116" i="13"/>
  <c r="AK116" i="13"/>
  <c r="AL116" i="13"/>
  <c r="AM116" i="13"/>
  <c r="AH117" i="13"/>
  <c r="AI117" i="13"/>
  <c r="AJ117" i="13"/>
  <c r="AK117" i="13"/>
  <c r="AL117" i="13"/>
  <c r="AM117" i="13"/>
  <c r="AH118" i="13"/>
  <c r="AI118" i="13"/>
  <c r="AJ118" i="13"/>
  <c r="AK118" i="13"/>
  <c r="AL118" i="13"/>
  <c r="AM118" i="13"/>
  <c r="AH119" i="13"/>
  <c r="AI119" i="13"/>
  <c r="AJ119" i="13"/>
  <c r="AK119" i="13"/>
  <c r="AL119" i="13"/>
  <c r="AM119" i="13"/>
  <c r="AH120" i="13"/>
  <c r="AI120" i="13"/>
  <c r="AJ120" i="13"/>
  <c r="AK120" i="13"/>
  <c r="AL120" i="13"/>
  <c r="AM120" i="13"/>
  <c r="AH121" i="13"/>
  <c r="AI121" i="13"/>
  <c r="AJ121" i="13"/>
  <c r="AK121" i="13"/>
  <c r="AL121" i="13"/>
  <c r="AM121" i="13"/>
  <c r="AH122" i="13"/>
  <c r="AI122" i="13"/>
  <c r="AJ122" i="13"/>
  <c r="AK122" i="13"/>
  <c r="AL122" i="13"/>
  <c r="AM122" i="13"/>
  <c r="AH123" i="13"/>
  <c r="AI123" i="13"/>
  <c r="AJ123" i="13"/>
  <c r="AK123" i="13"/>
  <c r="AL123" i="13"/>
  <c r="AM123" i="13"/>
  <c r="AH124" i="13"/>
  <c r="AI124" i="13"/>
  <c r="AJ124" i="13"/>
  <c r="AK124" i="13"/>
  <c r="AL124" i="13"/>
  <c r="AM124" i="13"/>
  <c r="AH125" i="13"/>
  <c r="AI125" i="13"/>
  <c r="AJ125" i="13"/>
  <c r="AK125" i="13"/>
  <c r="AL125" i="13"/>
  <c r="AM125" i="13"/>
  <c r="AH126" i="13"/>
  <c r="AI126" i="13"/>
  <c r="AJ126" i="13"/>
  <c r="AK126" i="13"/>
  <c r="AL126" i="13"/>
  <c r="AM126" i="13"/>
  <c r="AH127" i="13"/>
  <c r="AI127" i="13"/>
  <c r="AJ127" i="13"/>
  <c r="AK127" i="13"/>
  <c r="AL127" i="13"/>
  <c r="AM127" i="13"/>
  <c r="AH128" i="13"/>
  <c r="AI128" i="13"/>
  <c r="AJ128" i="13"/>
  <c r="AK128" i="13"/>
  <c r="AL128" i="13"/>
  <c r="AM128" i="13"/>
  <c r="AH129" i="13"/>
  <c r="AI129" i="13"/>
  <c r="AJ129" i="13"/>
  <c r="AK129" i="13"/>
  <c r="AL129" i="13"/>
  <c r="AM129" i="13"/>
  <c r="AH130" i="13"/>
  <c r="AI130" i="13"/>
  <c r="AJ130" i="13"/>
  <c r="AK130" i="13"/>
  <c r="AL130" i="13"/>
  <c r="AM130" i="13"/>
  <c r="AH131" i="13"/>
  <c r="AI131" i="13"/>
  <c r="AJ131" i="13"/>
  <c r="AK131" i="13"/>
  <c r="AL131" i="13"/>
  <c r="AM131" i="13"/>
  <c r="AH132" i="13"/>
  <c r="AI132" i="13"/>
  <c r="AJ132" i="13"/>
  <c r="AK132" i="13"/>
  <c r="AL132" i="13"/>
  <c r="AM132" i="13"/>
  <c r="AH133" i="13"/>
  <c r="AI133" i="13"/>
  <c r="AJ133" i="13"/>
  <c r="AK133" i="13"/>
  <c r="AL133" i="13"/>
  <c r="AM133" i="13"/>
  <c r="AH134" i="13"/>
  <c r="AI134" i="13"/>
  <c r="AJ134" i="13"/>
  <c r="AK134" i="13"/>
  <c r="AL134" i="13"/>
  <c r="AM134" i="13"/>
  <c r="AH135" i="13"/>
  <c r="AI135" i="13"/>
  <c r="AJ135" i="13"/>
  <c r="AK135" i="13"/>
  <c r="AL135" i="13"/>
  <c r="AM135" i="13"/>
  <c r="AH136" i="13"/>
  <c r="AI136" i="13"/>
  <c r="AJ136" i="13"/>
  <c r="AK136" i="13"/>
  <c r="AL136" i="13"/>
  <c r="AM136" i="13"/>
  <c r="AH137" i="13"/>
  <c r="AI137" i="13"/>
  <c r="AJ137" i="13"/>
  <c r="AK137" i="13"/>
  <c r="AL137" i="13"/>
  <c r="AM137" i="13"/>
  <c r="AH138" i="13"/>
  <c r="AI138" i="13"/>
  <c r="AJ138" i="13"/>
  <c r="AK138" i="13"/>
  <c r="AL138" i="13"/>
  <c r="AM138" i="13"/>
  <c r="AH139" i="13"/>
  <c r="AI139" i="13"/>
  <c r="AJ139" i="13"/>
  <c r="AK139" i="13"/>
  <c r="AL139" i="13"/>
  <c r="AM139" i="13"/>
  <c r="AH140" i="13"/>
  <c r="AI140" i="13"/>
  <c r="AJ140" i="13"/>
  <c r="AK140" i="13"/>
  <c r="AL140" i="13"/>
  <c r="AM140" i="13"/>
  <c r="AH141" i="13"/>
  <c r="AI141" i="13"/>
  <c r="AJ141" i="13"/>
  <c r="AK141" i="13"/>
  <c r="AL141" i="13"/>
  <c r="AM141" i="13"/>
  <c r="AH145" i="13"/>
  <c r="AI145" i="13"/>
  <c r="AJ145" i="13"/>
  <c r="AK145" i="13"/>
  <c r="AL145" i="13"/>
  <c r="AM145" i="13"/>
  <c r="AH142" i="13"/>
  <c r="AI142" i="13"/>
  <c r="AJ142" i="13"/>
  <c r="AK142" i="13"/>
  <c r="AL142" i="13"/>
  <c r="AM142" i="13"/>
  <c r="AH143" i="13"/>
  <c r="AI143" i="13"/>
  <c r="AJ143" i="13"/>
  <c r="AK143" i="13"/>
  <c r="AL143" i="13"/>
  <c r="AM143" i="13"/>
  <c r="AH144" i="13"/>
  <c r="AI144" i="13"/>
  <c r="AJ144" i="13"/>
  <c r="AK144" i="13"/>
  <c r="AL144" i="13"/>
  <c r="AM144" i="13"/>
  <c r="AH146" i="13"/>
  <c r="AI146" i="13"/>
  <c r="AJ146" i="13"/>
  <c r="AK146" i="13"/>
  <c r="AL146" i="13"/>
  <c r="AM146" i="13"/>
  <c r="AH147" i="13"/>
  <c r="AI147" i="13"/>
  <c r="AJ147" i="13"/>
  <c r="AK147" i="13"/>
  <c r="AL147" i="13"/>
  <c r="AM147" i="13"/>
  <c r="AH148" i="13"/>
  <c r="AI148" i="13"/>
  <c r="AJ148" i="13"/>
  <c r="AK148" i="13"/>
  <c r="AL148" i="13"/>
  <c r="AM148" i="13"/>
  <c r="AH149" i="13"/>
  <c r="AI149" i="13"/>
  <c r="AJ149" i="13"/>
  <c r="AK149" i="13"/>
  <c r="AL149" i="13"/>
  <c r="AM149" i="13"/>
  <c r="AH150" i="13"/>
  <c r="AI150" i="13"/>
  <c r="AJ150" i="13"/>
  <c r="AK150" i="13"/>
  <c r="AL150" i="13"/>
  <c r="AM150" i="13"/>
  <c r="AH151" i="13"/>
  <c r="AI151" i="13"/>
  <c r="AJ151" i="13"/>
  <c r="AK151" i="13"/>
  <c r="AL151" i="13"/>
  <c r="AM151" i="13"/>
  <c r="AH152" i="13"/>
  <c r="AI152" i="13"/>
  <c r="AJ152" i="13"/>
  <c r="AK152" i="13"/>
  <c r="AL152" i="13"/>
  <c r="AM152" i="13"/>
  <c r="AH153" i="13"/>
  <c r="AI153" i="13"/>
  <c r="AJ153" i="13"/>
  <c r="AK153" i="13"/>
  <c r="AL153" i="13"/>
  <c r="AM153" i="13"/>
  <c r="AH154" i="13"/>
  <c r="AI154" i="13"/>
  <c r="AJ154" i="13"/>
  <c r="AK154" i="13"/>
  <c r="AL154" i="13"/>
  <c r="AM154" i="13"/>
  <c r="AH155" i="13"/>
  <c r="AI155" i="13"/>
  <c r="AJ155" i="13"/>
  <c r="AK155" i="13"/>
  <c r="AL155" i="13"/>
  <c r="AM155" i="13"/>
  <c r="AH156" i="13"/>
  <c r="AI156" i="13"/>
  <c r="AJ156" i="13"/>
  <c r="AK156" i="13"/>
  <c r="AL156" i="13"/>
  <c r="AM156" i="13"/>
  <c r="AH157" i="13"/>
  <c r="AI157" i="13"/>
  <c r="AJ157" i="13"/>
  <c r="AK157" i="13"/>
  <c r="AL157" i="13"/>
  <c r="AM157" i="13"/>
  <c r="AH158" i="13"/>
  <c r="AI158" i="13"/>
  <c r="AJ158" i="13"/>
  <c r="AK158" i="13"/>
  <c r="AL158" i="13"/>
  <c r="AM158" i="13"/>
  <c r="AH159" i="13"/>
  <c r="AI159" i="13"/>
  <c r="AJ159" i="13"/>
  <c r="AK159" i="13"/>
  <c r="AL159" i="13"/>
  <c r="AM159" i="13"/>
  <c r="AH160" i="13"/>
  <c r="AI160" i="13"/>
  <c r="AJ160" i="13"/>
  <c r="AK160" i="13"/>
  <c r="AL160" i="13"/>
  <c r="AM160" i="13"/>
  <c r="AH161" i="13"/>
  <c r="AI161" i="13"/>
  <c r="AJ161" i="13"/>
  <c r="AK161" i="13"/>
  <c r="AL161" i="13"/>
  <c r="AM161" i="13"/>
  <c r="AH162" i="13"/>
  <c r="AI162" i="13"/>
  <c r="AJ162" i="13"/>
  <c r="AK162" i="13"/>
  <c r="AL162" i="13"/>
  <c r="AM162" i="13"/>
  <c r="AH163" i="13"/>
  <c r="AI163" i="13"/>
  <c r="AJ163" i="13"/>
  <c r="AK163" i="13"/>
  <c r="AL163" i="13"/>
  <c r="AM163" i="13"/>
  <c r="AH164" i="13"/>
  <c r="AI164" i="13"/>
  <c r="AJ164" i="13"/>
  <c r="AK164" i="13"/>
  <c r="AL164" i="13"/>
  <c r="AM164" i="13"/>
  <c r="AH165" i="13"/>
  <c r="AI165" i="13"/>
  <c r="AJ165" i="13"/>
  <c r="AK165" i="13"/>
  <c r="AL165" i="13"/>
  <c r="AM165" i="13"/>
  <c r="AH166" i="13"/>
  <c r="AI166" i="13"/>
  <c r="AJ166" i="13"/>
  <c r="AK166" i="13"/>
  <c r="AL166" i="13"/>
  <c r="AM166" i="13"/>
  <c r="AH167" i="13"/>
  <c r="AI167" i="13"/>
  <c r="AJ167" i="13"/>
  <c r="AK167" i="13"/>
  <c r="AL167" i="13"/>
  <c r="AM167" i="13"/>
  <c r="AH168" i="13"/>
  <c r="AI168" i="13"/>
  <c r="AJ168" i="13"/>
  <c r="AK168" i="13"/>
  <c r="AL168" i="13"/>
  <c r="AM168" i="13"/>
  <c r="AH169" i="13"/>
  <c r="AI169" i="13"/>
  <c r="AJ169" i="13"/>
  <c r="AK169" i="13"/>
  <c r="AL169" i="13"/>
  <c r="AM169" i="13"/>
  <c r="AH170" i="13"/>
  <c r="AI170" i="13"/>
  <c r="AJ170" i="13"/>
  <c r="AK170" i="13"/>
  <c r="AL170" i="13"/>
  <c r="AM170" i="13"/>
  <c r="AH171" i="13"/>
  <c r="AI171" i="13"/>
  <c r="AJ171" i="13"/>
  <c r="AK171" i="13"/>
  <c r="AL171" i="13"/>
  <c r="AM171" i="13"/>
  <c r="AH172" i="13"/>
  <c r="AI172" i="13"/>
  <c r="AJ172" i="13"/>
  <c r="AK172" i="13"/>
  <c r="AL172" i="13"/>
  <c r="AM172" i="13"/>
  <c r="AH173" i="13"/>
  <c r="AI173" i="13"/>
  <c r="AJ173" i="13"/>
  <c r="AK173" i="13"/>
  <c r="AL173" i="13"/>
  <c r="AM173" i="13"/>
  <c r="AH174" i="13"/>
  <c r="AI174" i="13"/>
  <c r="AJ174" i="13"/>
  <c r="AK174" i="13"/>
  <c r="AL174" i="13"/>
  <c r="AM174" i="13"/>
  <c r="AH175" i="13"/>
  <c r="AI175" i="13"/>
  <c r="AJ175" i="13"/>
  <c r="AK175" i="13"/>
  <c r="AL175" i="13"/>
  <c r="AM175" i="13"/>
  <c r="AH177" i="13"/>
  <c r="AI177" i="13"/>
  <c r="AJ177" i="13"/>
  <c r="AK177" i="13"/>
  <c r="AL177" i="13"/>
  <c r="AM177" i="13"/>
  <c r="AH178" i="13"/>
  <c r="AI178" i="13"/>
  <c r="AJ178" i="13"/>
  <c r="AK178" i="13"/>
  <c r="AL178" i="13"/>
  <c r="AM178" i="13"/>
  <c r="AH179" i="13"/>
  <c r="AI179" i="13"/>
  <c r="AJ179" i="13"/>
  <c r="AK179" i="13"/>
  <c r="AL179" i="13"/>
  <c r="AM179" i="13"/>
  <c r="AH180" i="13"/>
  <c r="AI180" i="13"/>
  <c r="AJ180" i="13"/>
  <c r="AK180" i="13"/>
  <c r="AL180" i="13"/>
  <c r="AM180" i="13"/>
  <c r="AH181" i="13"/>
  <c r="AI181" i="13"/>
  <c r="AJ181" i="13"/>
  <c r="AK181" i="13"/>
  <c r="AL181" i="13"/>
  <c r="AM181" i="13"/>
  <c r="AH182" i="13"/>
  <c r="AI182" i="13"/>
  <c r="AJ182" i="13"/>
  <c r="AK182" i="13"/>
  <c r="AL182" i="13"/>
  <c r="AM182" i="13"/>
  <c r="AH183" i="13"/>
  <c r="AI183" i="13"/>
  <c r="AJ183" i="13"/>
  <c r="AK183" i="13"/>
  <c r="AL183" i="13"/>
  <c r="AM183" i="13"/>
  <c r="AH184" i="13"/>
  <c r="AI184" i="13"/>
  <c r="AJ184" i="13"/>
  <c r="AK184" i="13"/>
  <c r="AL184" i="13"/>
  <c r="AM184" i="13"/>
  <c r="AH185" i="13"/>
  <c r="AI185" i="13"/>
  <c r="AJ185" i="13"/>
  <c r="AK185" i="13"/>
  <c r="AL185" i="13"/>
  <c r="AM185" i="13"/>
  <c r="AH186" i="13"/>
  <c r="AI186" i="13"/>
  <c r="AJ186" i="13"/>
  <c r="AK186" i="13"/>
  <c r="AL186" i="13"/>
  <c r="AM186" i="13"/>
  <c r="AH187" i="13"/>
  <c r="AI187" i="13"/>
  <c r="AJ187" i="13"/>
  <c r="AK187" i="13"/>
  <c r="AL187" i="13"/>
  <c r="AM187" i="13"/>
  <c r="AH188" i="13"/>
  <c r="AI188" i="13"/>
  <c r="AJ188" i="13"/>
  <c r="AK188" i="13"/>
  <c r="AL188" i="13"/>
  <c r="AM188" i="13"/>
  <c r="AH189" i="13"/>
  <c r="AI189" i="13"/>
  <c r="AJ189" i="13"/>
  <c r="AK189" i="13"/>
  <c r="AL189" i="13"/>
  <c r="AM189" i="13"/>
  <c r="AH190" i="13"/>
  <c r="AI190" i="13"/>
  <c r="AJ190" i="13"/>
  <c r="AK190" i="13"/>
  <c r="AL190" i="13"/>
  <c r="AM190" i="13"/>
  <c r="AH191" i="13"/>
  <c r="AI191" i="13"/>
  <c r="AJ191" i="13"/>
  <c r="AK191" i="13"/>
  <c r="AL191" i="13"/>
  <c r="AM191" i="13"/>
  <c r="AH192" i="13"/>
  <c r="AI192" i="13"/>
  <c r="AJ192" i="13"/>
  <c r="AK192" i="13"/>
  <c r="AL192" i="13"/>
  <c r="AM192" i="13"/>
  <c r="AH193" i="13"/>
  <c r="AI193" i="13"/>
  <c r="AJ193" i="13"/>
  <c r="AK193" i="13"/>
  <c r="AL193" i="13"/>
  <c r="AM193" i="13"/>
  <c r="AH194" i="13"/>
  <c r="AI194" i="13"/>
  <c r="AJ194" i="13"/>
  <c r="AK194" i="13"/>
  <c r="AL194" i="13"/>
  <c r="AM194" i="13"/>
  <c r="AH195" i="13"/>
  <c r="AI195" i="13"/>
  <c r="AJ195" i="13"/>
  <c r="AK195" i="13"/>
  <c r="AL195" i="13"/>
  <c r="AM195" i="13"/>
  <c r="AH196" i="13"/>
  <c r="AI196" i="13"/>
  <c r="AJ196" i="13"/>
  <c r="AK196" i="13"/>
  <c r="AL196" i="13"/>
  <c r="AM196" i="13"/>
  <c r="AH197" i="13"/>
  <c r="AI197" i="13"/>
  <c r="AJ197" i="13"/>
  <c r="AK197" i="13"/>
  <c r="AL197" i="13"/>
  <c r="AM197" i="13"/>
  <c r="AH198" i="13"/>
  <c r="AI198" i="13"/>
  <c r="AJ198" i="13"/>
  <c r="AK198" i="13"/>
  <c r="AL198" i="13"/>
  <c r="AM198" i="13"/>
  <c r="AH199" i="13"/>
  <c r="AI199" i="13"/>
  <c r="AJ199" i="13"/>
  <c r="AK199" i="13"/>
  <c r="AL199" i="13"/>
  <c r="AM199" i="13"/>
  <c r="AH200" i="13"/>
  <c r="AI200" i="13"/>
  <c r="AJ200" i="13"/>
  <c r="AK200" i="13"/>
  <c r="AL200" i="13"/>
  <c r="AM200" i="13"/>
  <c r="AH201" i="13"/>
  <c r="AI201" i="13"/>
  <c r="AJ201" i="13"/>
  <c r="AK201" i="13"/>
  <c r="AL201" i="13"/>
  <c r="AM201" i="13"/>
  <c r="AH202" i="13"/>
  <c r="AI202" i="13"/>
  <c r="AJ202" i="13"/>
  <c r="AK202" i="13"/>
  <c r="AL202" i="13"/>
  <c r="AM202" i="13"/>
  <c r="AH203" i="13"/>
  <c r="AI203" i="13"/>
  <c r="AJ203" i="13"/>
  <c r="AK203" i="13"/>
  <c r="AL203" i="13"/>
  <c r="AM203" i="13"/>
  <c r="AH204" i="13"/>
  <c r="AI204" i="13"/>
  <c r="AJ204" i="13"/>
  <c r="AK204" i="13"/>
  <c r="AL204" i="13"/>
  <c r="AM204" i="13"/>
  <c r="AH205" i="13"/>
  <c r="AI205" i="13"/>
  <c r="AJ205" i="13"/>
  <c r="AK205" i="13"/>
  <c r="AL205" i="13"/>
  <c r="AM205" i="13"/>
  <c r="AH206" i="13"/>
  <c r="AI206" i="13"/>
  <c r="AJ206" i="13"/>
  <c r="AK206" i="13"/>
  <c r="AL206" i="13"/>
  <c r="AM206" i="13"/>
  <c r="AH207" i="13"/>
  <c r="AI207" i="13"/>
  <c r="AJ207" i="13"/>
  <c r="AK207" i="13"/>
  <c r="AL207" i="13"/>
  <c r="AM207" i="13"/>
  <c r="AH208" i="13"/>
  <c r="AI208" i="13"/>
  <c r="AJ208" i="13"/>
  <c r="AK208" i="13"/>
  <c r="AL208" i="13"/>
  <c r="AM208" i="13"/>
  <c r="AH209" i="13"/>
  <c r="AI209" i="13"/>
  <c r="AJ209" i="13"/>
  <c r="AK209" i="13"/>
  <c r="AL209" i="13"/>
  <c r="AM209" i="13"/>
  <c r="AH210" i="13"/>
  <c r="AI210" i="13"/>
  <c r="AJ210" i="13"/>
  <c r="AK210" i="13"/>
  <c r="AL210" i="13"/>
  <c r="AM210" i="13"/>
  <c r="AH211" i="13"/>
  <c r="AI211" i="13"/>
  <c r="AJ211" i="13"/>
  <c r="AK211" i="13"/>
  <c r="AL211" i="13"/>
  <c r="AM211" i="13"/>
  <c r="AH212" i="13"/>
  <c r="AI212" i="13"/>
  <c r="AJ212" i="13"/>
  <c r="AK212" i="13"/>
  <c r="AL212" i="13"/>
  <c r="AM212" i="13"/>
  <c r="AH213" i="13"/>
  <c r="AI213" i="13"/>
  <c r="AJ213" i="13"/>
  <c r="AK213" i="13"/>
  <c r="AL213" i="13"/>
  <c r="AM213" i="13"/>
  <c r="AH214" i="13"/>
  <c r="AI214" i="13"/>
  <c r="AJ214" i="13"/>
  <c r="AK214" i="13"/>
  <c r="AL214" i="13"/>
  <c r="AM214" i="13"/>
  <c r="AH215" i="13"/>
  <c r="AI215" i="13"/>
  <c r="AJ215" i="13"/>
  <c r="AK215" i="13"/>
  <c r="AL215" i="13"/>
  <c r="AM215" i="13"/>
  <c r="AH216" i="13"/>
  <c r="AI216" i="13"/>
  <c r="AJ216" i="13"/>
  <c r="AK216" i="13"/>
  <c r="AL216" i="13"/>
  <c r="AM216" i="13"/>
  <c r="AH217" i="13"/>
  <c r="AI217" i="13"/>
  <c r="AJ217" i="13"/>
  <c r="AK217" i="13"/>
  <c r="AL217" i="13"/>
  <c r="AM217" i="13"/>
  <c r="AH218" i="13"/>
  <c r="AI218" i="13"/>
  <c r="AJ218" i="13"/>
  <c r="AK218" i="13"/>
  <c r="AL218" i="13"/>
  <c r="AM218" i="13"/>
  <c r="AH219" i="13"/>
  <c r="AI219" i="13"/>
  <c r="AJ219" i="13"/>
  <c r="AK219" i="13"/>
  <c r="AL219" i="13"/>
  <c r="AM219" i="13"/>
  <c r="AH220" i="13"/>
  <c r="AI220" i="13"/>
  <c r="AJ220" i="13"/>
  <c r="AK220" i="13"/>
  <c r="AL220" i="13"/>
  <c r="AM220" i="13"/>
  <c r="AH221" i="13"/>
  <c r="AI221" i="13"/>
  <c r="AJ221" i="13"/>
  <c r="AK221" i="13"/>
  <c r="AL221" i="13"/>
  <c r="AM221" i="13"/>
  <c r="AH222" i="13"/>
  <c r="AI222" i="13"/>
  <c r="AJ222" i="13"/>
  <c r="AK222" i="13"/>
  <c r="AL222" i="13"/>
  <c r="AM222" i="13"/>
  <c r="AH223" i="13"/>
  <c r="AI223" i="13"/>
  <c r="AJ223" i="13"/>
  <c r="AK223" i="13"/>
  <c r="AL223" i="13"/>
  <c r="AM223" i="13"/>
  <c r="AH224" i="13"/>
  <c r="AI224" i="13"/>
  <c r="AJ224" i="13"/>
  <c r="AK224" i="13"/>
  <c r="AL224" i="13"/>
  <c r="AM224" i="13"/>
  <c r="AH225" i="13"/>
  <c r="AI225" i="13"/>
  <c r="AJ225" i="13"/>
  <c r="AK225" i="13"/>
  <c r="AL225" i="13"/>
  <c r="AM225" i="13"/>
  <c r="AH226" i="13"/>
  <c r="AI226" i="13"/>
  <c r="AJ226" i="13"/>
  <c r="AK226" i="13"/>
  <c r="AL226" i="13"/>
  <c r="AM226" i="13"/>
  <c r="AH227" i="13"/>
  <c r="AI227" i="13"/>
  <c r="AJ227" i="13"/>
  <c r="AK227" i="13"/>
  <c r="AL227" i="13"/>
  <c r="AM227" i="13"/>
  <c r="AH228" i="13"/>
  <c r="AI228" i="13"/>
  <c r="AJ228" i="13"/>
  <c r="AK228" i="13"/>
  <c r="AL228" i="13"/>
  <c r="AM228" i="13"/>
  <c r="AH229" i="13"/>
  <c r="AI229" i="13"/>
  <c r="AJ229" i="13"/>
  <c r="AK229" i="13"/>
  <c r="AL229" i="13"/>
  <c r="AM229" i="13"/>
  <c r="AH230" i="13"/>
  <c r="AI230" i="13"/>
  <c r="AJ230" i="13"/>
  <c r="AK230" i="13"/>
  <c r="AL230" i="13"/>
  <c r="AM230" i="13"/>
  <c r="AH231" i="13"/>
  <c r="AI231" i="13"/>
  <c r="AJ231" i="13"/>
  <c r="AK231" i="13"/>
  <c r="AL231" i="13"/>
  <c r="AM231" i="13"/>
  <c r="AH232" i="13"/>
  <c r="AI232" i="13"/>
  <c r="AJ232" i="13"/>
  <c r="AK232" i="13"/>
  <c r="AL232" i="13"/>
  <c r="AM232" i="13"/>
  <c r="AH233" i="13"/>
  <c r="AI233" i="13"/>
  <c r="AJ233" i="13"/>
  <c r="AK233" i="13"/>
  <c r="AL233" i="13"/>
  <c r="AM233" i="13"/>
  <c r="AH234" i="13"/>
  <c r="AI234" i="13"/>
  <c r="AJ234" i="13"/>
  <c r="AK234" i="13"/>
  <c r="AL234" i="13"/>
  <c r="AM234" i="13"/>
  <c r="AH235" i="13"/>
  <c r="AI235" i="13"/>
  <c r="AJ235" i="13"/>
  <c r="AK235" i="13"/>
  <c r="AL235" i="13"/>
  <c r="AM235" i="13"/>
  <c r="AH236" i="13"/>
  <c r="AI236" i="13"/>
  <c r="AJ236" i="13"/>
  <c r="AK236" i="13"/>
  <c r="AL236" i="13"/>
  <c r="AM236" i="13"/>
  <c r="AH237" i="13"/>
  <c r="AI237" i="13"/>
  <c r="AJ237" i="13"/>
  <c r="AK237" i="13"/>
  <c r="AL237" i="13"/>
  <c r="AM237" i="13"/>
  <c r="AH238" i="13"/>
  <c r="AI238" i="13"/>
  <c r="AJ238" i="13"/>
  <c r="AK238" i="13"/>
  <c r="AL238" i="13"/>
  <c r="AM238" i="13"/>
  <c r="AH239" i="13"/>
  <c r="AI239" i="13"/>
  <c r="AJ239" i="13"/>
  <c r="AK239" i="13"/>
  <c r="AL239" i="13"/>
  <c r="AM239" i="13"/>
  <c r="AH240" i="13"/>
  <c r="AI240" i="13"/>
  <c r="AJ240" i="13"/>
  <c r="AK240" i="13"/>
  <c r="AL240" i="13"/>
  <c r="AM240" i="13"/>
  <c r="AH241" i="13"/>
  <c r="AI241" i="13"/>
  <c r="AJ241" i="13"/>
  <c r="AK241" i="13"/>
  <c r="AL241" i="13"/>
  <c r="AM241" i="13"/>
  <c r="AH242" i="13"/>
  <c r="AI242" i="13"/>
  <c r="AJ242" i="13"/>
  <c r="AK242" i="13"/>
  <c r="AL242" i="13"/>
  <c r="AM242" i="13"/>
  <c r="AH243" i="13"/>
  <c r="AI243" i="13"/>
  <c r="AJ243" i="13"/>
  <c r="AK243" i="13"/>
  <c r="AL243" i="13"/>
  <c r="AM243" i="13"/>
  <c r="AH244" i="13"/>
  <c r="AI244" i="13"/>
  <c r="AJ244" i="13"/>
  <c r="AK244" i="13"/>
  <c r="AL244" i="13"/>
  <c r="AM244" i="13"/>
  <c r="AH245" i="13"/>
  <c r="AI245" i="13"/>
  <c r="AJ245" i="13"/>
  <c r="AK245" i="13"/>
  <c r="AL245" i="13"/>
  <c r="AM245" i="13"/>
  <c r="AH246" i="13"/>
  <c r="AI246" i="13"/>
  <c r="AJ246" i="13"/>
  <c r="AK246" i="13"/>
  <c r="AL246" i="13"/>
  <c r="AM246" i="13"/>
  <c r="AH247" i="13"/>
  <c r="AI247" i="13"/>
  <c r="AJ247" i="13"/>
  <c r="AK247" i="13"/>
  <c r="AL247" i="13"/>
  <c r="AM247" i="13"/>
  <c r="AH248" i="13"/>
  <c r="AI248" i="13"/>
  <c r="AJ248" i="13"/>
  <c r="AK248" i="13"/>
  <c r="AL248" i="13"/>
  <c r="AM248" i="13"/>
  <c r="AH249" i="13"/>
  <c r="AI249" i="13"/>
  <c r="AJ249" i="13"/>
  <c r="AK249" i="13"/>
  <c r="AL249" i="13"/>
  <c r="AM249" i="13"/>
  <c r="AH250" i="13"/>
  <c r="AI250" i="13"/>
  <c r="AJ250" i="13"/>
  <c r="AK250" i="13"/>
  <c r="AL250" i="13"/>
  <c r="AM250" i="13"/>
  <c r="AH251" i="13"/>
  <c r="AI251" i="13"/>
  <c r="AJ251" i="13"/>
  <c r="AK251" i="13"/>
  <c r="AL251" i="13"/>
  <c r="AM251" i="13"/>
  <c r="AH252" i="13"/>
  <c r="AI252" i="13"/>
  <c r="AJ252" i="13"/>
  <c r="AK252" i="13"/>
  <c r="AL252" i="13"/>
  <c r="AM252" i="13"/>
  <c r="AH253" i="13"/>
  <c r="AI253" i="13"/>
  <c r="AJ253" i="13"/>
  <c r="AK253" i="13"/>
  <c r="AL253" i="13"/>
  <c r="AM253" i="13"/>
  <c r="AH254" i="13"/>
  <c r="AI254" i="13"/>
  <c r="AJ254" i="13"/>
  <c r="AK254" i="13"/>
  <c r="AL254" i="13"/>
  <c r="AM254" i="13"/>
  <c r="AH255" i="13"/>
  <c r="AI255" i="13"/>
  <c r="AJ255" i="13"/>
  <c r="AK255" i="13"/>
  <c r="AL255" i="13"/>
  <c r="AM255" i="13"/>
  <c r="AH256" i="13"/>
  <c r="AI256" i="13"/>
  <c r="AJ256" i="13"/>
  <c r="AK256" i="13"/>
  <c r="AL256" i="13"/>
  <c r="AM256" i="13"/>
  <c r="AH257" i="13"/>
  <c r="AI257" i="13"/>
  <c r="AJ257" i="13"/>
  <c r="AK257" i="13"/>
  <c r="AL257" i="13"/>
  <c r="AM257" i="13"/>
  <c r="AH258" i="13"/>
  <c r="AI258" i="13"/>
  <c r="AJ258" i="13"/>
  <c r="AK258" i="13"/>
  <c r="AL258" i="13"/>
  <c r="AM258" i="13"/>
  <c r="AH259" i="13"/>
  <c r="AI259" i="13"/>
  <c r="AJ259" i="13"/>
  <c r="AK259" i="13"/>
  <c r="AL259" i="13"/>
  <c r="AM259" i="13"/>
  <c r="AH260" i="13"/>
  <c r="AI260" i="13"/>
  <c r="AJ260" i="13"/>
  <c r="AK260" i="13"/>
  <c r="AL260" i="13"/>
  <c r="AM260" i="13"/>
  <c r="AH261" i="13"/>
  <c r="AI261" i="13"/>
  <c r="AJ261" i="13"/>
  <c r="AK261" i="13"/>
  <c r="AL261" i="13"/>
  <c r="AM261" i="13"/>
  <c r="AH262" i="13"/>
  <c r="AI262" i="13"/>
  <c r="AJ262" i="13"/>
  <c r="AK262" i="13"/>
  <c r="AL262" i="13"/>
  <c r="AM262" i="13"/>
  <c r="AH263" i="13"/>
  <c r="AI263" i="13"/>
  <c r="AJ263" i="13"/>
  <c r="AK263" i="13"/>
  <c r="AL263" i="13"/>
  <c r="AM263" i="13"/>
  <c r="AH264" i="13"/>
  <c r="AI264" i="13"/>
  <c r="AJ264" i="13"/>
  <c r="AK264" i="13"/>
  <c r="AL264" i="13"/>
  <c r="AM264" i="13"/>
  <c r="AH265" i="13"/>
  <c r="AI265" i="13"/>
  <c r="AJ265" i="13"/>
  <c r="AK265" i="13"/>
  <c r="AL265" i="13"/>
  <c r="AM265" i="13"/>
  <c r="AH266" i="13"/>
  <c r="AI266" i="13"/>
  <c r="AJ266" i="13"/>
  <c r="AK266" i="13"/>
  <c r="AL266" i="13"/>
  <c r="AM266" i="13"/>
  <c r="AH267" i="13"/>
  <c r="AI267" i="13"/>
  <c r="AJ267" i="13"/>
  <c r="AK267" i="13"/>
  <c r="AL267" i="13"/>
  <c r="AM267" i="13"/>
  <c r="AH268" i="13"/>
  <c r="AI268" i="13"/>
  <c r="AJ268" i="13"/>
  <c r="AK268" i="13"/>
  <c r="AL268" i="13"/>
  <c r="AM268" i="13"/>
  <c r="AH269" i="13"/>
  <c r="AI269" i="13"/>
  <c r="AJ269" i="13"/>
  <c r="AK269" i="13"/>
  <c r="AL269" i="13"/>
  <c r="AM269" i="13"/>
  <c r="AH270" i="13"/>
  <c r="AI270" i="13"/>
  <c r="AJ270" i="13"/>
  <c r="AK270" i="13"/>
  <c r="AL270" i="13"/>
  <c r="AM270" i="13"/>
  <c r="AH271" i="13"/>
  <c r="AI271" i="13"/>
  <c r="AJ271" i="13"/>
  <c r="AK271" i="13"/>
  <c r="AL271" i="13"/>
  <c r="AM271" i="13"/>
  <c r="AH272" i="13"/>
  <c r="AI272" i="13"/>
  <c r="AJ272" i="13"/>
  <c r="AK272" i="13"/>
  <c r="AL272" i="13"/>
  <c r="AM272" i="13"/>
  <c r="AH273" i="13"/>
  <c r="AI273" i="13"/>
  <c r="AJ273" i="13"/>
  <c r="AK273" i="13"/>
  <c r="AL273" i="13"/>
  <c r="AM273" i="13"/>
  <c r="AH274" i="13"/>
  <c r="AI274" i="13"/>
  <c r="AJ274" i="13"/>
  <c r="AK274" i="13"/>
  <c r="AL274" i="13"/>
  <c r="AM274" i="13"/>
  <c r="AH275" i="13"/>
  <c r="AI275" i="13"/>
  <c r="AJ275" i="13"/>
  <c r="AK275" i="13"/>
  <c r="AL275" i="13"/>
  <c r="AM275" i="13"/>
  <c r="AH276" i="13"/>
  <c r="AI276" i="13"/>
  <c r="AJ276" i="13"/>
  <c r="AK276" i="13"/>
  <c r="AL276" i="13"/>
  <c r="AM276" i="13"/>
  <c r="AH277" i="13"/>
  <c r="AI277" i="13"/>
  <c r="AJ277" i="13"/>
  <c r="AK277" i="13"/>
  <c r="AL277" i="13"/>
  <c r="AM277" i="13"/>
  <c r="AH278" i="13"/>
  <c r="AI278" i="13"/>
  <c r="AJ278" i="13"/>
  <c r="AK278" i="13"/>
  <c r="AL278" i="13"/>
  <c r="AM278" i="13"/>
  <c r="AH279" i="13"/>
  <c r="AI279" i="13"/>
  <c r="AJ279" i="13"/>
  <c r="AK279" i="13"/>
  <c r="AL279" i="13"/>
  <c r="AM279" i="13"/>
  <c r="AH280" i="13"/>
  <c r="AI280" i="13"/>
  <c r="AJ280" i="13"/>
  <c r="AK280" i="13"/>
  <c r="AL280" i="13"/>
  <c r="AM280" i="13"/>
  <c r="AH281" i="13"/>
  <c r="AI281" i="13"/>
  <c r="AJ281" i="13"/>
  <c r="AK281" i="13"/>
  <c r="AL281" i="13"/>
  <c r="AM281" i="13"/>
  <c r="AH282" i="13"/>
  <c r="AI282" i="13"/>
  <c r="AJ282" i="13"/>
  <c r="AK282" i="13"/>
  <c r="AL282" i="13"/>
  <c r="AM282" i="13"/>
  <c r="AH283" i="13"/>
  <c r="AI283" i="13"/>
  <c r="AJ283" i="13"/>
  <c r="AK283" i="13"/>
  <c r="AL283" i="13"/>
  <c r="AM283" i="13"/>
  <c r="AH284" i="13"/>
  <c r="AI284" i="13"/>
  <c r="AJ284" i="13"/>
  <c r="AK284" i="13"/>
  <c r="AL284" i="13"/>
  <c r="AM284" i="13"/>
  <c r="AH285" i="13"/>
  <c r="AI285" i="13"/>
  <c r="AJ285" i="13"/>
  <c r="AK285" i="13"/>
  <c r="AL285" i="13"/>
  <c r="AM285" i="13"/>
  <c r="AH286" i="13"/>
  <c r="AI286" i="13"/>
  <c r="AJ286" i="13"/>
  <c r="AK286" i="13"/>
  <c r="AL286" i="13"/>
  <c r="AM286" i="13"/>
  <c r="AH287" i="13"/>
  <c r="AI287" i="13"/>
  <c r="AJ287" i="13"/>
  <c r="AK287" i="13"/>
  <c r="AL287" i="13"/>
  <c r="AM287" i="13"/>
  <c r="AH288" i="13"/>
  <c r="AI288" i="13"/>
  <c r="AJ288" i="13"/>
  <c r="AK288" i="13"/>
  <c r="AL288" i="13"/>
  <c r="AM288" i="13"/>
  <c r="AH289" i="13"/>
  <c r="AI289" i="13"/>
  <c r="AJ289" i="13"/>
  <c r="AK289" i="13"/>
  <c r="AL289" i="13"/>
  <c r="AM289" i="13"/>
  <c r="AH290" i="13"/>
  <c r="AI290" i="13"/>
  <c r="AJ290" i="13"/>
  <c r="AK290" i="13"/>
  <c r="AL290" i="13"/>
  <c r="AM290" i="13"/>
  <c r="AH291" i="13"/>
  <c r="AI291" i="13"/>
  <c r="AJ291" i="13"/>
  <c r="AK291" i="13"/>
  <c r="AL291" i="13"/>
  <c r="AM291" i="13"/>
  <c r="AH292" i="13"/>
  <c r="AI292" i="13"/>
  <c r="AJ292" i="13"/>
  <c r="AK292" i="13"/>
  <c r="AL292" i="13"/>
  <c r="AM292" i="13"/>
  <c r="AH293" i="13"/>
  <c r="AI293" i="13"/>
  <c r="AJ293" i="13"/>
  <c r="AK293" i="13"/>
  <c r="AL293" i="13"/>
  <c r="AM293" i="13"/>
  <c r="AH294" i="13"/>
  <c r="AI294" i="13"/>
  <c r="AJ294" i="13"/>
  <c r="AK294" i="13"/>
  <c r="AL294" i="13"/>
  <c r="AM294" i="13"/>
  <c r="AH295" i="13"/>
  <c r="AI295" i="13"/>
  <c r="AJ295" i="13"/>
  <c r="AK295" i="13"/>
  <c r="AL295" i="13"/>
  <c r="AM295" i="13"/>
  <c r="AH296" i="13"/>
  <c r="AI296" i="13"/>
  <c r="AJ296" i="13"/>
  <c r="AK296" i="13"/>
  <c r="AL296" i="13"/>
  <c r="AM296" i="13"/>
  <c r="AH297" i="13"/>
  <c r="AI297" i="13"/>
  <c r="AJ297" i="13"/>
  <c r="AK297" i="13"/>
  <c r="AL297" i="13"/>
  <c r="AM297" i="13"/>
  <c r="AH298" i="13"/>
  <c r="AI298" i="13"/>
  <c r="AJ298" i="13"/>
  <c r="AK298" i="13"/>
  <c r="AL298" i="13"/>
  <c r="AM298" i="13"/>
  <c r="AH299" i="13"/>
  <c r="AI299" i="13"/>
  <c r="AJ299" i="13"/>
  <c r="AK299" i="13"/>
  <c r="AL299" i="13"/>
  <c r="AM299" i="13"/>
  <c r="AH300" i="13"/>
  <c r="AI300" i="13"/>
  <c r="AJ300" i="13"/>
  <c r="AK300" i="13"/>
  <c r="AL300" i="13"/>
  <c r="AM300" i="13"/>
  <c r="AH301" i="13"/>
  <c r="AI301" i="13"/>
  <c r="AJ301" i="13"/>
  <c r="AK301" i="13"/>
  <c r="AL301" i="13"/>
  <c r="AM301" i="13"/>
  <c r="AH302" i="13"/>
  <c r="AI302" i="13"/>
  <c r="AJ302" i="13"/>
  <c r="AK302" i="13"/>
  <c r="AL302" i="13"/>
  <c r="AM302" i="13"/>
  <c r="AH303" i="13"/>
  <c r="AI303" i="13"/>
  <c r="AJ303" i="13"/>
  <c r="AK303" i="13"/>
  <c r="AL303" i="13"/>
  <c r="AM303" i="13"/>
  <c r="AH304" i="13"/>
  <c r="AI304" i="13"/>
  <c r="AJ304" i="13"/>
  <c r="AK304" i="13"/>
  <c r="AL304" i="13"/>
  <c r="AM304" i="13"/>
  <c r="AH305" i="13"/>
  <c r="AI305" i="13"/>
  <c r="AJ305" i="13"/>
  <c r="AK305" i="13"/>
  <c r="AL305" i="13"/>
  <c r="AM305" i="13"/>
  <c r="AH306" i="13"/>
  <c r="AI306" i="13"/>
  <c r="AJ306" i="13"/>
  <c r="AK306" i="13"/>
  <c r="AL306" i="13"/>
  <c r="AM306" i="13"/>
  <c r="AH307" i="13"/>
  <c r="AI307" i="13"/>
  <c r="AJ307" i="13"/>
  <c r="AK307" i="13"/>
  <c r="AL307" i="13"/>
  <c r="AM307" i="13"/>
  <c r="AH308" i="13"/>
  <c r="AI308" i="13"/>
  <c r="AJ308" i="13"/>
  <c r="AK308" i="13"/>
  <c r="AL308" i="13"/>
  <c r="AM308" i="13"/>
  <c r="AH309" i="13"/>
  <c r="AI309" i="13"/>
  <c r="AJ309" i="13"/>
  <c r="AK309" i="13"/>
  <c r="AL309" i="13"/>
  <c r="AM309" i="13"/>
  <c r="AH310" i="13"/>
  <c r="AI310" i="13"/>
  <c r="AJ310" i="13"/>
  <c r="AK310" i="13"/>
  <c r="AL310" i="13"/>
  <c r="AM310" i="13"/>
  <c r="AH311" i="13"/>
  <c r="AI311" i="13"/>
  <c r="AJ311" i="13"/>
  <c r="AK311" i="13"/>
  <c r="AL311" i="13"/>
  <c r="AM311" i="13"/>
  <c r="AH312" i="13"/>
  <c r="AI312" i="13"/>
  <c r="AJ312" i="13"/>
  <c r="AK312" i="13"/>
  <c r="AL312" i="13"/>
  <c r="AM312" i="13"/>
  <c r="AH313" i="13"/>
  <c r="AI313" i="13"/>
  <c r="AJ313" i="13"/>
  <c r="AK313" i="13"/>
  <c r="AL313" i="13"/>
  <c r="AM313" i="13"/>
  <c r="AH314" i="13"/>
  <c r="AI314" i="13"/>
  <c r="AJ314" i="13"/>
  <c r="AK314" i="13"/>
  <c r="AL314" i="13"/>
  <c r="AM314" i="13"/>
  <c r="AH315" i="13"/>
  <c r="AI315" i="13"/>
  <c r="AJ315" i="13"/>
  <c r="AK315" i="13"/>
  <c r="AL315" i="13"/>
  <c r="AM315" i="13"/>
  <c r="AH316" i="13"/>
  <c r="AI316" i="13"/>
  <c r="AJ316" i="13"/>
  <c r="AK316" i="13"/>
  <c r="AL316" i="13"/>
  <c r="AM316" i="13"/>
  <c r="AH317" i="13"/>
  <c r="AI317" i="13"/>
  <c r="AJ317" i="13"/>
  <c r="AK317" i="13"/>
  <c r="AL317" i="13"/>
  <c r="AM317" i="13"/>
  <c r="AH318" i="13"/>
  <c r="AI318" i="13"/>
  <c r="AJ318" i="13"/>
  <c r="AK318" i="13"/>
  <c r="AL318" i="13"/>
  <c r="AM318" i="13"/>
  <c r="AH319" i="13"/>
  <c r="AI319" i="13"/>
  <c r="AJ319" i="13"/>
  <c r="AK319" i="13"/>
  <c r="AL319" i="13"/>
  <c r="AM319" i="13"/>
  <c r="AH320" i="13"/>
  <c r="AI320" i="13"/>
  <c r="AJ320" i="13"/>
  <c r="AK320" i="13"/>
  <c r="AL320" i="13"/>
  <c r="AM320" i="13"/>
  <c r="AH321" i="13"/>
  <c r="AI321" i="13"/>
  <c r="AJ321" i="13"/>
  <c r="AK321" i="13"/>
  <c r="AL321" i="13"/>
  <c r="AM321" i="13"/>
  <c r="AH322" i="13"/>
  <c r="AI322" i="13"/>
  <c r="AJ322" i="13"/>
  <c r="AK322" i="13"/>
  <c r="AL322" i="13"/>
  <c r="AM322" i="13"/>
  <c r="AH323" i="13"/>
  <c r="AI323" i="13"/>
  <c r="AJ323" i="13"/>
  <c r="AK323" i="13"/>
  <c r="AL323" i="13"/>
  <c r="AM323" i="13"/>
  <c r="AH324" i="13"/>
  <c r="AI324" i="13"/>
  <c r="AJ324" i="13"/>
  <c r="AK324" i="13"/>
  <c r="AL324" i="13"/>
  <c r="AM324" i="13"/>
  <c r="AH325" i="13"/>
  <c r="AI325" i="13"/>
  <c r="AJ325" i="13"/>
  <c r="AK325" i="13"/>
  <c r="AL325" i="13"/>
  <c r="AM325" i="13"/>
  <c r="AH326" i="13"/>
  <c r="AI326" i="13"/>
  <c r="AJ326" i="13"/>
  <c r="AK326" i="13"/>
  <c r="AL326" i="13"/>
  <c r="AM326" i="13"/>
  <c r="AH327" i="13"/>
  <c r="AI327" i="13"/>
  <c r="AJ327" i="13"/>
  <c r="AK327" i="13"/>
  <c r="AL327" i="13"/>
  <c r="AM327" i="13"/>
  <c r="AH328" i="13"/>
  <c r="AI328" i="13"/>
  <c r="AJ328" i="13"/>
  <c r="AK328" i="13"/>
  <c r="AL328" i="13"/>
  <c r="AM328" i="13"/>
  <c r="AH329" i="13"/>
  <c r="AI329" i="13"/>
  <c r="AJ329" i="13"/>
  <c r="AK329" i="13"/>
  <c r="AL329" i="13"/>
  <c r="AM329" i="13"/>
  <c r="AH330" i="13"/>
  <c r="AI330" i="13"/>
  <c r="AJ330" i="13"/>
  <c r="AK330" i="13"/>
  <c r="AL330" i="13"/>
  <c r="AM330" i="13"/>
  <c r="AH331" i="13"/>
  <c r="AI331" i="13"/>
  <c r="AJ331" i="13"/>
  <c r="AK331" i="13"/>
  <c r="AL331" i="13"/>
  <c r="AM331" i="13"/>
  <c r="AH332" i="13"/>
  <c r="AI332" i="13"/>
  <c r="AJ332" i="13"/>
  <c r="AK332" i="13"/>
  <c r="AL332" i="13"/>
  <c r="AM332" i="13"/>
  <c r="AH333" i="13"/>
  <c r="AI333" i="13"/>
  <c r="AJ333" i="13"/>
  <c r="AK333" i="13"/>
  <c r="AL333" i="13"/>
  <c r="AM333" i="13"/>
  <c r="AH334" i="13"/>
  <c r="AI334" i="13"/>
  <c r="AJ334" i="13"/>
  <c r="AK334" i="13"/>
  <c r="AL334" i="13"/>
  <c r="AM334" i="13"/>
  <c r="AH335" i="13"/>
  <c r="AI335" i="13"/>
  <c r="AJ335" i="13"/>
  <c r="AK335" i="13"/>
  <c r="AL335" i="13"/>
  <c r="AM335" i="13"/>
  <c r="AH336" i="13"/>
  <c r="AI336" i="13"/>
  <c r="AJ336" i="13"/>
  <c r="AK336" i="13"/>
  <c r="AL336" i="13"/>
  <c r="AM336" i="13"/>
  <c r="AH337" i="13"/>
  <c r="AI337" i="13"/>
  <c r="AJ337" i="13"/>
  <c r="AK337" i="13"/>
  <c r="AL337" i="13"/>
  <c r="AM337" i="13"/>
  <c r="AH338" i="13"/>
  <c r="AI338" i="13"/>
  <c r="AJ338" i="13"/>
  <c r="AK338" i="13"/>
  <c r="AL338" i="13"/>
  <c r="AM338" i="13"/>
  <c r="AH339" i="13"/>
  <c r="AI339" i="13"/>
  <c r="AJ339" i="13"/>
  <c r="AK339" i="13"/>
  <c r="AL339" i="13"/>
  <c r="AM339" i="13"/>
  <c r="AH340" i="13"/>
  <c r="AI340" i="13"/>
  <c r="AJ340" i="13"/>
  <c r="AK340" i="13"/>
  <c r="AL340" i="13"/>
  <c r="AM340" i="13"/>
  <c r="AH341" i="13"/>
  <c r="AI341" i="13"/>
  <c r="AJ341" i="13"/>
  <c r="AK341" i="13"/>
  <c r="AL341" i="13"/>
  <c r="AM341" i="13"/>
  <c r="AH342" i="13"/>
  <c r="AI342" i="13"/>
  <c r="AJ342" i="13"/>
  <c r="AK342" i="13"/>
  <c r="AL342" i="13"/>
  <c r="AM342" i="13"/>
  <c r="AH343" i="13"/>
  <c r="AI343" i="13"/>
  <c r="AJ343" i="13"/>
  <c r="AK343" i="13"/>
  <c r="AL343" i="13"/>
  <c r="AM343" i="13"/>
  <c r="AH344" i="13"/>
  <c r="AI344" i="13"/>
  <c r="AJ344" i="13"/>
  <c r="AK344" i="13"/>
  <c r="AL344" i="13"/>
  <c r="AM344" i="13"/>
  <c r="AH345" i="13"/>
  <c r="AI345" i="13"/>
  <c r="AJ345" i="13"/>
  <c r="AK345" i="13"/>
  <c r="AL345" i="13"/>
  <c r="AM345" i="13"/>
  <c r="AH346" i="13"/>
  <c r="AI346" i="13"/>
  <c r="AJ346" i="13"/>
  <c r="AK346" i="13"/>
  <c r="AL346" i="13"/>
  <c r="AM346" i="13"/>
  <c r="AH347" i="13"/>
  <c r="AI347" i="13"/>
  <c r="AJ347" i="13"/>
  <c r="AK347" i="13"/>
  <c r="AL347" i="13"/>
  <c r="AM347" i="13"/>
  <c r="AH348" i="13"/>
  <c r="AI348" i="13"/>
  <c r="AJ348" i="13"/>
  <c r="AK348" i="13"/>
  <c r="AL348" i="13"/>
  <c r="AM348" i="13"/>
  <c r="AH349" i="13"/>
  <c r="AI349" i="13"/>
  <c r="AJ349" i="13"/>
  <c r="AK349" i="13"/>
  <c r="AL349" i="13"/>
  <c r="AM349" i="13"/>
  <c r="AH350" i="13"/>
  <c r="AI350" i="13"/>
  <c r="AJ350" i="13"/>
  <c r="AK350" i="13"/>
  <c r="AL350" i="13"/>
  <c r="AM350" i="13"/>
  <c r="AH351" i="13"/>
  <c r="AI351" i="13"/>
  <c r="AJ351" i="13"/>
  <c r="AK351" i="13"/>
  <c r="AL351" i="13"/>
  <c r="AM351" i="13"/>
  <c r="AH352" i="13"/>
  <c r="AI352" i="13"/>
  <c r="AJ352" i="13"/>
  <c r="AK352" i="13"/>
  <c r="AL352" i="13"/>
  <c r="AM352" i="13"/>
  <c r="AH353" i="13"/>
  <c r="AI353" i="13"/>
  <c r="AJ353" i="13"/>
  <c r="AK353" i="13"/>
  <c r="AL353" i="13"/>
  <c r="AM353" i="13"/>
  <c r="AH354" i="13"/>
  <c r="AI354" i="13"/>
  <c r="AJ354" i="13"/>
  <c r="AK354" i="13"/>
  <c r="AL354" i="13"/>
  <c r="AM354" i="13"/>
  <c r="AH355" i="13"/>
  <c r="AI355" i="13"/>
  <c r="AJ355" i="13"/>
  <c r="AK355" i="13"/>
  <c r="AL355" i="13"/>
  <c r="AM355" i="13"/>
  <c r="AH356" i="13"/>
  <c r="AI356" i="13"/>
  <c r="AJ356" i="13"/>
  <c r="AK356" i="13"/>
  <c r="AL356" i="13"/>
  <c r="AM356" i="13"/>
  <c r="AH357" i="13"/>
  <c r="AI357" i="13"/>
  <c r="AJ357" i="13"/>
  <c r="AK357" i="13"/>
  <c r="AL357" i="13"/>
  <c r="AM357" i="13"/>
  <c r="AH358" i="13"/>
  <c r="AI358" i="13"/>
  <c r="AJ358" i="13"/>
  <c r="AK358" i="13"/>
  <c r="AL358" i="13"/>
  <c r="AM358" i="13"/>
  <c r="AH359" i="13"/>
  <c r="AI359" i="13"/>
  <c r="AJ359" i="13"/>
  <c r="AK359" i="13"/>
  <c r="AL359" i="13"/>
  <c r="AM359" i="13"/>
  <c r="AH360" i="13"/>
  <c r="AI360" i="13"/>
  <c r="AJ360" i="13"/>
  <c r="AK360" i="13"/>
  <c r="AL360" i="13"/>
  <c r="AM360" i="13"/>
  <c r="AH361" i="13"/>
  <c r="AI361" i="13"/>
  <c r="AJ361" i="13"/>
  <c r="AK361" i="13"/>
  <c r="AL361" i="13"/>
  <c r="AM361" i="13"/>
  <c r="AH362" i="13"/>
  <c r="AI362" i="13"/>
  <c r="AJ362" i="13"/>
  <c r="AK362" i="13"/>
  <c r="AL362" i="13"/>
  <c r="AM362" i="13"/>
  <c r="AH363" i="13"/>
  <c r="AI363" i="13"/>
  <c r="AJ363" i="13"/>
  <c r="AK363" i="13"/>
  <c r="AL363" i="13"/>
  <c r="AM363" i="13"/>
  <c r="AH364" i="13"/>
  <c r="AI364" i="13"/>
  <c r="AJ364" i="13"/>
  <c r="AK364" i="13"/>
  <c r="AL364" i="13"/>
  <c r="AM364" i="13"/>
  <c r="AH365" i="13"/>
  <c r="AI365" i="13"/>
  <c r="AJ365" i="13"/>
  <c r="AK365" i="13"/>
  <c r="AL365" i="13"/>
  <c r="AM365" i="13"/>
  <c r="AH366" i="13"/>
  <c r="AI366" i="13"/>
  <c r="AJ366" i="13"/>
  <c r="AK366" i="13"/>
  <c r="AL366" i="13"/>
  <c r="AM366" i="13"/>
  <c r="AH367" i="13"/>
  <c r="AI367" i="13"/>
  <c r="AJ367" i="13"/>
  <c r="AK367" i="13"/>
  <c r="AL367" i="13"/>
  <c r="AM367" i="13"/>
  <c r="AH368" i="13"/>
  <c r="AI368" i="13"/>
  <c r="AJ368" i="13"/>
  <c r="AK368" i="13"/>
  <c r="AL368" i="13"/>
  <c r="AM368" i="13"/>
  <c r="AH369" i="13"/>
  <c r="AI369" i="13"/>
  <c r="AJ369" i="13"/>
  <c r="AK369" i="13"/>
  <c r="AL369" i="13"/>
  <c r="AM369" i="13"/>
  <c r="AH370" i="13"/>
  <c r="AI370" i="13"/>
  <c r="AJ370" i="13"/>
  <c r="AK370" i="13"/>
  <c r="AL370" i="13"/>
  <c r="AM370" i="13"/>
  <c r="AH371" i="13"/>
  <c r="AI371" i="13"/>
  <c r="AJ371" i="13"/>
  <c r="AK371" i="13"/>
  <c r="AL371" i="13"/>
  <c r="AM371" i="13"/>
  <c r="AH372" i="13"/>
  <c r="AI372" i="13"/>
  <c r="AJ372" i="13"/>
  <c r="AK372" i="13"/>
  <c r="AL372" i="13"/>
  <c r="AM372" i="13"/>
  <c r="AH373" i="13"/>
  <c r="AI373" i="13"/>
  <c r="AJ373" i="13"/>
  <c r="AK373" i="13"/>
  <c r="AL373" i="13"/>
  <c r="AM373" i="13"/>
  <c r="AH374" i="13"/>
  <c r="AI374" i="13"/>
  <c r="AJ374" i="13"/>
  <c r="AK374" i="13"/>
  <c r="AL374" i="13"/>
  <c r="AM374" i="13"/>
  <c r="AH375" i="13"/>
  <c r="AI375" i="13"/>
  <c r="AJ375" i="13"/>
  <c r="AK375" i="13"/>
  <c r="AL375" i="13"/>
  <c r="AM375" i="13"/>
  <c r="AH376" i="13"/>
  <c r="AI376" i="13"/>
  <c r="AJ376" i="13"/>
  <c r="AK376" i="13"/>
  <c r="AL376" i="13"/>
  <c r="AM376" i="13"/>
  <c r="AH377" i="13"/>
  <c r="AI377" i="13"/>
  <c r="AJ377" i="13"/>
  <c r="AK377" i="13"/>
  <c r="AL377" i="13"/>
  <c r="AM377" i="13"/>
  <c r="AH378" i="13"/>
  <c r="AI378" i="13"/>
  <c r="AJ378" i="13"/>
  <c r="AK378" i="13"/>
  <c r="AL378" i="13"/>
  <c r="AM378" i="13"/>
  <c r="AH379" i="13"/>
  <c r="AI379" i="13"/>
  <c r="AJ379" i="13"/>
  <c r="AK379" i="13"/>
  <c r="AL379" i="13"/>
  <c r="AM379" i="13"/>
  <c r="AH380" i="13"/>
  <c r="AI380" i="13"/>
  <c r="AJ380" i="13"/>
  <c r="AK380" i="13"/>
  <c r="AL380" i="13"/>
  <c r="AM380" i="13"/>
  <c r="AH381" i="13"/>
  <c r="AI381" i="13"/>
  <c r="AJ381" i="13"/>
  <c r="AK381" i="13"/>
  <c r="AL381" i="13"/>
  <c r="AM381" i="13"/>
  <c r="AH382" i="13"/>
  <c r="AI382" i="13"/>
  <c r="AJ382" i="13"/>
  <c r="AK382" i="13"/>
  <c r="AL382" i="13"/>
  <c r="AM382" i="13"/>
  <c r="AH383" i="13"/>
  <c r="AI383" i="13"/>
  <c r="AJ383" i="13"/>
  <c r="AK383" i="13"/>
  <c r="AL383" i="13"/>
  <c r="AM383" i="13"/>
  <c r="AH384" i="13"/>
  <c r="AI384" i="13"/>
  <c r="AJ384" i="13"/>
  <c r="AK384" i="13"/>
  <c r="AL384" i="13"/>
  <c r="AM384" i="13"/>
  <c r="AH385" i="13"/>
  <c r="AI385" i="13"/>
  <c r="AJ385" i="13"/>
  <c r="AK385" i="13"/>
  <c r="AL385" i="13"/>
  <c r="AM385" i="13"/>
  <c r="AH386" i="13"/>
  <c r="AI386" i="13"/>
  <c r="AJ386" i="13"/>
  <c r="AK386" i="13"/>
  <c r="AL386" i="13"/>
  <c r="AM386" i="13"/>
  <c r="AH387" i="13"/>
  <c r="AI387" i="13"/>
  <c r="AJ387" i="13"/>
  <c r="AK387" i="13"/>
  <c r="AL387" i="13"/>
  <c r="AM387" i="13"/>
  <c r="AH388" i="13"/>
  <c r="AI388" i="13"/>
  <c r="AJ388" i="13"/>
  <c r="AK388" i="13"/>
  <c r="AL388" i="13"/>
  <c r="AM388" i="13"/>
  <c r="AH389" i="13"/>
  <c r="AI389" i="13"/>
  <c r="AJ389" i="13"/>
  <c r="AK389" i="13"/>
  <c r="AL389" i="13"/>
  <c r="AM389" i="13"/>
  <c r="AH390" i="13"/>
  <c r="AI390" i="13"/>
  <c r="AJ390" i="13"/>
  <c r="AK390" i="13"/>
  <c r="AL390" i="13"/>
  <c r="AM390" i="13"/>
  <c r="AH391" i="13"/>
  <c r="AI391" i="13"/>
  <c r="AJ391" i="13"/>
  <c r="AK391" i="13"/>
  <c r="AL391" i="13"/>
  <c r="AM391" i="13"/>
  <c r="AH392" i="13"/>
  <c r="AI392" i="13"/>
  <c r="AJ392" i="13"/>
  <c r="AK392" i="13"/>
  <c r="AL392" i="13"/>
  <c r="AM392" i="13"/>
  <c r="AH393" i="13"/>
  <c r="AI393" i="13"/>
  <c r="AJ393" i="13"/>
  <c r="AK393" i="13"/>
  <c r="AL393" i="13"/>
  <c r="AM393" i="13"/>
  <c r="AH394" i="13"/>
  <c r="AI394" i="13"/>
  <c r="AJ394" i="13"/>
  <c r="AK394" i="13"/>
  <c r="AL394" i="13"/>
  <c r="AM394" i="13"/>
  <c r="AH395" i="13"/>
  <c r="AI395" i="13"/>
  <c r="AJ395" i="13"/>
  <c r="AK395" i="13"/>
  <c r="AL395" i="13"/>
  <c r="AM395" i="13"/>
  <c r="AH396" i="13"/>
  <c r="AI396" i="13"/>
  <c r="AJ396" i="13"/>
  <c r="AK396" i="13"/>
  <c r="AL396" i="13"/>
  <c r="AM396" i="13"/>
  <c r="AH397" i="13"/>
  <c r="AI397" i="13"/>
  <c r="AJ397" i="13"/>
  <c r="AK397" i="13"/>
  <c r="AL397" i="13"/>
  <c r="AM397" i="13"/>
  <c r="AH398" i="13"/>
  <c r="AI398" i="13"/>
  <c r="AJ398" i="13"/>
  <c r="AK398" i="13"/>
  <c r="AL398" i="13"/>
  <c r="AM398" i="13"/>
  <c r="AH399" i="13"/>
  <c r="AI399" i="13"/>
  <c r="AJ399" i="13"/>
  <c r="AK399" i="13"/>
  <c r="AL399" i="13"/>
  <c r="AM399" i="13"/>
  <c r="AH400" i="13"/>
  <c r="AI400" i="13"/>
  <c r="AJ400" i="13"/>
  <c r="AK400" i="13"/>
  <c r="AL400" i="13"/>
  <c r="AM400" i="13"/>
  <c r="AH401" i="13"/>
  <c r="AI401" i="13"/>
  <c r="AJ401" i="13"/>
  <c r="AK401" i="13"/>
  <c r="AL401" i="13"/>
  <c r="AM401" i="13"/>
  <c r="AH402" i="13"/>
  <c r="AI402" i="13"/>
  <c r="AJ402" i="13"/>
  <c r="AK402" i="13"/>
  <c r="AL402" i="13"/>
  <c r="AM402" i="13"/>
  <c r="AH403" i="13"/>
  <c r="AI403" i="13"/>
  <c r="AJ403" i="13"/>
  <c r="AK403" i="13"/>
  <c r="AL403" i="13"/>
  <c r="AM403" i="13"/>
  <c r="AH404" i="13"/>
  <c r="AI404" i="13"/>
  <c r="AJ404" i="13"/>
  <c r="AK404" i="13"/>
  <c r="AL404" i="13"/>
  <c r="AM404" i="13"/>
  <c r="AH405" i="13"/>
  <c r="AI405" i="13"/>
  <c r="AJ405" i="13"/>
  <c r="AK405" i="13"/>
  <c r="AL405" i="13"/>
  <c r="AM405" i="13"/>
  <c r="AH406" i="13"/>
  <c r="AI406" i="13"/>
  <c r="AJ406" i="13"/>
  <c r="AK406" i="13"/>
  <c r="AL406" i="13"/>
  <c r="AM406" i="13"/>
  <c r="AH407" i="13"/>
  <c r="AI407" i="13"/>
  <c r="AJ407" i="13"/>
  <c r="AK407" i="13"/>
  <c r="AL407" i="13"/>
  <c r="AM407" i="13"/>
  <c r="AH408" i="13"/>
  <c r="AI408" i="13"/>
  <c r="AJ408" i="13"/>
  <c r="AK408" i="13"/>
  <c r="AL408" i="13"/>
  <c r="AM408" i="13"/>
  <c r="AH409" i="13"/>
  <c r="AI409" i="13"/>
  <c r="AJ409" i="13"/>
  <c r="AK409" i="13"/>
  <c r="AL409" i="13"/>
  <c r="AM409" i="13"/>
  <c r="AH410" i="13"/>
  <c r="AI410" i="13"/>
  <c r="AJ410" i="13"/>
  <c r="AK410" i="13"/>
  <c r="AL410" i="13"/>
  <c r="AM410" i="13"/>
  <c r="AH411" i="13"/>
  <c r="AI411" i="13"/>
  <c r="AJ411" i="13"/>
  <c r="AK411" i="13"/>
  <c r="AL411" i="13"/>
  <c r="AM411" i="13"/>
  <c r="AH412" i="13"/>
  <c r="AI412" i="13"/>
  <c r="AJ412" i="13"/>
  <c r="AK412" i="13"/>
  <c r="AL412" i="13"/>
  <c r="AM412" i="13"/>
  <c r="Q21" i="3" l="1"/>
  <c r="L6" i="5"/>
  <c r="CC6" i="5" s="1"/>
  <c r="L6" i="9"/>
  <c r="CC6" i="9" s="1"/>
  <c r="L6" i="7"/>
  <c r="CC6" i="7" s="1"/>
  <c r="L6" i="11"/>
  <c r="CC6" i="11" s="1"/>
  <c r="K6" i="4"/>
  <c r="CF6" i="4" s="1"/>
  <c r="CH6" i="5"/>
  <c r="K6" i="6"/>
  <c r="CF6" i="6" s="1"/>
  <c r="CH6" i="7"/>
  <c r="K6" i="8"/>
  <c r="CF6" i="8" s="1"/>
  <c r="CH6" i="9"/>
  <c r="K6" i="10"/>
  <c r="CF6" i="10" s="1"/>
  <c r="CH6" i="11"/>
  <c r="K6" i="12"/>
  <c r="CF6" i="12" s="1"/>
  <c r="L6" i="4"/>
  <c r="CC6" i="4" s="1"/>
  <c r="L6" i="6"/>
  <c r="CC6" i="6" s="1"/>
  <c r="L6" i="8"/>
  <c r="CC6" i="8" s="1"/>
  <c r="L6" i="10"/>
  <c r="CC6" i="10" s="1"/>
  <c r="L6" i="12"/>
  <c r="CC6" i="12" s="1"/>
  <c r="CH6" i="4"/>
  <c r="K6" i="5"/>
  <c r="CF6" i="5" s="1"/>
  <c r="CH6" i="6"/>
  <c r="K6" i="7"/>
  <c r="CF6" i="7" s="1"/>
  <c r="CH6" i="8"/>
  <c r="K6" i="9"/>
  <c r="CF6" i="9" s="1"/>
  <c r="CH6" i="10"/>
  <c r="K6" i="11"/>
  <c r="CF6" i="11" s="1"/>
  <c r="CH6" i="12"/>
  <c r="K6" i="15"/>
  <c r="CF6" i="15" s="1"/>
  <c r="L6" i="15"/>
  <c r="CC6" i="15" s="1"/>
  <c r="CH6" i="15"/>
  <c r="X84" i="2" l="1"/>
  <c r="AT4" i="7" l="1"/>
  <c r="AT4" i="9"/>
  <c r="AT4" i="11"/>
  <c r="AT4" i="4"/>
  <c r="AT4" i="6"/>
  <c r="AT4" i="8"/>
  <c r="AT4" i="10"/>
  <c r="AT4" i="12"/>
  <c r="AT4" i="5"/>
  <c r="AT4" i="15"/>
  <c r="BH7" i="12" l="1"/>
  <c r="BH4" i="12"/>
  <c r="BH7" i="11"/>
  <c r="BH4" i="11"/>
  <c r="BH7" i="10"/>
  <c r="BH4" i="10"/>
  <c r="BH7" i="9"/>
  <c r="BH4" i="9"/>
  <c r="BH7" i="8"/>
  <c r="BH4" i="8"/>
  <c r="BH7" i="7"/>
  <c r="BH4" i="7"/>
  <c r="BH7" i="6"/>
  <c r="BH4" i="6"/>
  <c r="BH7" i="5"/>
  <c r="BH4" i="5"/>
  <c r="BH7" i="4"/>
  <c r="BH4" i="4"/>
  <c r="BH4" i="15"/>
  <c r="AS71" i="15" l="1"/>
  <c r="AS69" i="15"/>
  <c r="AS70" i="15"/>
  <c r="AS74" i="15"/>
  <c r="BC8" i="11" l="1"/>
  <c r="BC8" i="15"/>
  <c r="BC6" i="15"/>
  <c r="AO12" i="2"/>
  <c r="AO15" i="2" s="1"/>
  <c r="AO16" i="2"/>
  <c r="AO14" i="2"/>
  <c r="X51" i="2" l="1"/>
  <c r="C45" i="2" l="1"/>
  <c r="AP15" i="2"/>
  <c r="AP16" i="2"/>
  <c r="AP14" i="2"/>
  <c r="AP13" i="2" l="1"/>
  <c r="AR16" i="2" s="1"/>
  <c r="AR17" i="2" s="1"/>
  <c r="AA22" i="14" l="1"/>
  <c r="AR22" i="2"/>
  <c r="AR19" i="2"/>
  <c r="AR20" i="2"/>
  <c r="AR18" i="2"/>
  <c r="AR21" i="2"/>
  <c r="AR23" i="2"/>
  <c r="B2" i="2" l="1"/>
  <c r="C44" i="2" l="1"/>
  <c r="K44" i="2" s="1"/>
  <c r="G3" i="2"/>
  <c r="V80" i="2"/>
  <c r="M13" i="2"/>
  <c r="V82" i="2"/>
  <c r="V81" i="2"/>
  <c r="V83" i="2"/>
  <c r="N19" i="2"/>
  <c r="O10" i="3"/>
  <c r="M12" i="2"/>
  <c r="C88" i="2"/>
  <c r="M11" i="2" s="1"/>
  <c r="O15" i="2"/>
  <c r="L15" i="2" s="1"/>
  <c r="X52" i="2"/>
  <c r="M15" i="2" l="1"/>
  <c r="O21" i="3"/>
  <c r="BA1087" i="13" s="1"/>
  <c r="K94" i="2" l="1"/>
  <c r="AH2" i="13"/>
  <c r="AI2" i="13"/>
  <c r="AJ2" i="13"/>
  <c r="AK2" i="13"/>
  <c r="AL2" i="13"/>
  <c r="AM2" i="13"/>
  <c r="D1074" i="13"/>
  <c r="D1075" i="13"/>
  <c r="D1076" i="13"/>
  <c r="D1077" i="13"/>
  <c r="D1078" i="13"/>
  <c r="AR1066" i="13" s="1"/>
  <c r="D1079" i="13"/>
  <c r="AR1067" i="13" s="1"/>
  <c r="D1080" i="13"/>
  <c r="D1081" i="13"/>
  <c r="D1094" i="13"/>
  <c r="D1087" i="13"/>
  <c r="AY1090" i="13" s="1"/>
  <c r="D1088" i="13"/>
  <c r="S18" i="3"/>
  <c r="D93" i="2" s="1"/>
  <c r="D91" i="2"/>
  <c r="O19" i="3"/>
  <c r="O9" i="3"/>
  <c r="B17" i="2" s="1"/>
  <c r="D1083" i="13"/>
  <c r="D1073" i="13"/>
  <c r="Q16" i="3"/>
  <c r="D92" i="2" s="1"/>
  <c r="AS4" i="11"/>
  <c r="AT15" i="12"/>
  <c r="AR15" i="12" s="1"/>
  <c r="AT15" i="11"/>
  <c r="AR15" i="11" s="1"/>
  <c r="AT15" i="10"/>
  <c r="AR15" i="10" s="1"/>
  <c r="AT15" i="9"/>
  <c r="AR15" i="9" s="1"/>
  <c r="AT15" i="7"/>
  <c r="AR15" i="7" s="1"/>
  <c r="AT15" i="8"/>
  <c r="AR15" i="8" s="1"/>
  <c r="AT15" i="6"/>
  <c r="AR15" i="6" s="1"/>
  <c r="AT15" i="5"/>
  <c r="AR15" i="5" s="1"/>
  <c r="AT15" i="4"/>
  <c r="AR15" i="4" s="1"/>
  <c r="BC1069" i="13"/>
  <c r="BC1068" i="13"/>
  <c r="BB1069" i="13"/>
  <c r="BB1068" i="13"/>
  <c r="I15" i="2"/>
  <c r="BD1078" i="13"/>
  <c r="AJ1069" i="13"/>
  <c r="AK1069" i="13"/>
  <c r="AL1069" i="13"/>
  <c r="AN1069" i="13"/>
  <c r="AO1069" i="13"/>
  <c r="AP1068" i="13"/>
  <c r="AQ1068" i="13"/>
  <c r="AJ1070" i="13"/>
  <c r="AK1070" i="13"/>
  <c r="AL1070" i="13"/>
  <c r="AN1070" i="13"/>
  <c r="AO1070" i="13"/>
  <c r="AP1069" i="13"/>
  <c r="AQ1069" i="13"/>
  <c r="C22" i="15"/>
  <c r="D8" i="12"/>
  <c r="E5" i="9"/>
  <c r="BP18" i="12"/>
  <c r="BP24" i="12" s="1"/>
  <c r="BO18" i="12"/>
  <c r="BN18" i="12"/>
  <c r="BN19" i="12" s="1"/>
  <c r="BM18" i="12"/>
  <c r="BM25" i="12" s="1"/>
  <c r="BL18" i="12"/>
  <c r="BL21" i="12" s="1"/>
  <c r="BK18" i="12"/>
  <c r="BK21" i="12" s="1"/>
  <c r="BJ18" i="12"/>
  <c r="BJ19" i="12" s="1"/>
  <c r="BI18" i="12"/>
  <c r="BI19" i="12" s="1"/>
  <c r="BG8" i="12"/>
  <c r="BH8" i="12" s="1"/>
  <c r="BG4" i="12"/>
  <c r="BP18" i="11"/>
  <c r="BP24" i="11" s="1"/>
  <c r="BO18" i="11"/>
  <c r="BO24" i="11" s="1"/>
  <c r="BN18" i="11"/>
  <c r="BN19" i="11" s="1"/>
  <c r="BM18" i="11"/>
  <c r="BM19" i="11" s="1"/>
  <c r="BL18" i="11"/>
  <c r="BL21" i="11" s="1"/>
  <c r="BK18" i="11"/>
  <c r="BK21" i="11" s="1"/>
  <c r="BJ18" i="11"/>
  <c r="BJ19" i="11" s="1"/>
  <c r="BI18" i="11"/>
  <c r="BI19" i="11" s="1"/>
  <c r="BG8" i="11"/>
  <c r="BH8" i="11" s="1"/>
  <c r="BG4" i="11"/>
  <c r="BP18" i="10"/>
  <c r="BO18" i="10"/>
  <c r="BO21" i="10" s="1"/>
  <c r="BN18" i="10"/>
  <c r="BN25" i="10" s="1"/>
  <c r="BM18" i="10"/>
  <c r="BM19" i="10" s="1"/>
  <c r="BL18" i="10"/>
  <c r="BL21" i="10" s="1"/>
  <c r="BK18" i="10"/>
  <c r="BK21" i="10" s="1"/>
  <c r="BJ18" i="10"/>
  <c r="BJ19" i="10" s="1"/>
  <c r="BI18" i="10"/>
  <c r="BI19" i="10" s="1"/>
  <c r="BG8" i="10"/>
  <c r="BH8" i="10" s="1"/>
  <c r="BG4" i="10"/>
  <c r="BP18" i="9"/>
  <c r="BO18" i="9"/>
  <c r="BO24" i="9" s="1"/>
  <c r="BN18" i="9"/>
  <c r="BM18" i="9"/>
  <c r="BM25" i="9" s="1"/>
  <c r="BL18" i="9"/>
  <c r="BL21" i="9" s="1"/>
  <c r="BK18" i="9"/>
  <c r="BK21" i="9" s="1"/>
  <c r="BJ18" i="9"/>
  <c r="BJ19" i="9" s="1"/>
  <c r="BI18" i="9"/>
  <c r="BI19" i="9" s="1"/>
  <c r="BG8" i="9"/>
  <c r="BH8" i="9" s="1"/>
  <c r="BG4" i="9"/>
  <c r="BP18" i="8"/>
  <c r="BO18" i="8"/>
  <c r="BO21" i="8" s="1"/>
  <c r="BN18" i="8"/>
  <c r="BN25" i="8" s="1"/>
  <c r="BM18" i="8"/>
  <c r="BM19" i="8" s="1"/>
  <c r="BL18" i="8"/>
  <c r="BL21" i="8" s="1"/>
  <c r="BK18" i="8"/>
  <c r="BK21" i="8" s="1"/>
  <c r="BJ18" i="8"/>
  <c r="BJ19" i="8" s="1"/>
  <c r="BI18" i="8"/>
  <c r="BI19" i="8" s="1"/>
  <c r="BG8" i="8"/>
  <c r="BH8" i="8" s="1"/>
  <c r="BG4" i="8"/>
  <c r="BP18" i="7"/>
  <c r="BO18" i="7"/>
  <c r="BO24" i="7" s="1"/>
  <c r="BN18" i="7"/>
  <c r="BM18" i="7"/>
  <c r="BL18" i="7"/>
  <c r="BL21" i="7" s="1"/>
  <c r="BK18" i="7"/>
  <c r="BK21" i="7" s="1"/>
  <c r="BJ18" i="7"/>
  <c r="BJ19" i="7" s="1"/>
  <c r="BI18" i="7"/>
  <c r="BI19" i="7" s="1"/>
  <c r="BG12" i="7"/>
  <c r="BH12" i="7" s="1"/>
  <c r="BG8" i="7"/>
  <c r="BH8" i="7" s="1"/>
  <c r="BG4" i="7"/>
  <c r="BP18" i="6"/>
  <c r="BP24" i="6" s="1"/>
  <c r="BO18" i="6"/>
  <c r="BO21" i="6" s="1"/>
  <c r="BN18" i="6"/>
  <c r="BM18" i="6"/>
  <c r="BM19" i="6" s="1"/>
  <c r="BL18" i="6"/>
  <c r="BL21" i="6" s="1"/>
  <c r="BK18" i="6"/>
  <c r="BK21" i="6" s="1"/>
  <c r="BJ18" i="6"/>
  <c r="BJ19" i="6" s="1"/>
  <c r="BI18" i="6"/>
  <c r="BI19" i="6" s="1"/>
  <c r="BG8" i="6"/>
  <c r="BH8" i="6" s="1"/>
  <c r="BG4" i="6"/>
  <c r="BP18" i="5"/>
  <c r="BP24" i="5" s="1"/>
  <c r="BO18" i="5"/>
  <c r="BO24" i="5" s="1"/>
  <c r="BN18" i="5"/>
  <c r="BN25" i="5" s="1"/>
  <c r="BM18" i="5"/>
  <c r="BL18" i="5"/>
  <c r="BL21" i="5" s="1"/>
  <c r="BK18" i="5"/>
  <c r="BK21" i="5" s="1"/>
  <c r="BJ18" i="5"/>
  <c r="BJ19" i="5" s="1"/>
  <c r="BI18" i="5"/>
  <c r="BI19" i="5" s="1"/>
  <c r="BG8" i="5"/>
  <c r="BH8" i="5" s="1"/>
  <c r="BG4" i="5"/>
  <c r="BP18" i="4"/>
  <c r="BO18" i="4"/>
  <c r="BO24" i="4" s="1"/>
  <c r="BN18" i="4"/>
  <c r="BN19" i="4" s="1"/>
  <c r="BM18" i="4"/>
  <c r="BL18" i="4"/>
  <c r="BL21" i="4" s="1"/>
  <c r="BK18" i="4"/>
  <c r="BK21" i="4" s="1"/>
  <c r="BJ18" i="4"/>
  <c r="BJ19" i="4" s="1"/>
  <c r="BI18" i="4"/>
  <c r="BI19" i="4" s="1"/>
  <c r="BG8" i="4"/>
  <c r="BH8" i="4" s="1"/>
  <c r="BG4" i="4"/>
  <c r="BJ18" i="15"/>
  <c r="BJ19" i="15" s="1"/>
  <c r="BL18" i="15"/>
  <c r="BL21" i="15" s="1"/>
  <c r="BN18" i="15"/>
  <c r="BN25" i="15" s="1"/>
  <c r="BP18" i="15"/>
  <c r="BP24" i="15" s="1"/>
  <c r="BK18" i="15"/>
  <c r="BK21" i="15" s="1"/>
  <c r="BM18" i="15"/>
  <c r="BO18" i="15"/>
  <c r="BO24" i="15" s="1"/>
  <c r="BI18" i="15"/>
  <c r="BI19" i="15" s="1"/>
  <c r="X53" i="2"/>
  <c r="BH7" i="15"/>
  <c r="BG4" i="15"/>
  <c r="BG8" i="15"/>
  <c r="BH8" i="15" s="1"/>
  <c r="AP3" i="13"/>
  <c r="AU3" i="13"/>
  <c r="AT3" i="13"/>
  <c r="AS3" i="13"/>
  <c r="AR3" i="13"/>
  <c r="AQ3" i="13"/>
  <c r="D1072" i="13"/>
  <c r="AS6" i="15"/>
  <c r="AK1089" i="13"/>
  <c r="AK1087" i="13" a="1"/>
  <c r="AK1087" i="13" s="1"/>
  <c r="AK1084" i="13"/>
  <c r="AK1085" i="13"/>
  <c r="AK1086" i="13"/>
  <c r="D1082" i="13"/>
  <c r="AR1070" i="13" s="1"/>
  <c r="D1089" i="13"/>
  <c r="D1084" i="13"/>
  <c r="D1095" i="13"/>
  <c r="D1086" i="13"/>
  <c r="D1085" i="13"/>
  <c r="T37" i="2"/>
  <c r="R51" i="3"/>
  <c r="S51" i="3"/>
  <c r="AC1088" i="13"/>
  <c r="AH1075" i="13" s="1"/>
  <c r="AC1077" i="13"/>
  <c r="AE1077" i="13" s="1"/>
  <c r="S61" i="15"/>
  <c r="I18" i="3"/>
  <c r="E1112" i="13"/>
  <c r="B87" i="2"/>
  <c r="U79" i="2" s="1"/>
  <c r="B86" i="2"/>
  <c r="C86" i="2" s="1"/>
  <c r="D86" i="2" s="1"/>
  <c r="P44" i="3"/>
  <c r="Q44" i="3"/>
  <c r="R44" i="3"/>
  <c r="S44" i="3"/>
  <c r="T44" i="3"/>
  <c r="P45" i="3"/>
  <c r="Q45" i="3"/>
  <c r="R45" i="3"/>
  <c r="S45" i="3"/>
  <c r="T45" i="3"/>
  <c r="Q43" i="3"/>
  <c r="R43" i="3"/>
  <c r="S43" i="3"/>
  <c r="T43" i="3"/>
  <c r="P43" i="3"/>
  <c r="L1066" i="13"/>
  <c r="BA1060" i="13" s="1"/>
  <c r="I20" i="3"/>
  <c r="R70" i="2"/>
  <c r="V36" i="14" s="1"/>
  <c r="R68" i="2"/>
  <c r="AD68" i="2" s="1"/>
  <c r="R65" i="2"/>
  <c r="R62" i="2"/>
  <c r="R60" i="2"/>
  <c r="AC60" i="2" s="1"/>
  <c r="Q47" i="2"/>
  <c r="D30" i="14" s="1"/>
  <c r="Q46" i="2"/>
  <c r="D29" i="14" s="1"/>
  <c r="T45" i="2"/>
  <c r="V37" i="2"/>
  <c r="D34" i="15" a="1"/>
  <c r="D34" i="15" s="1"/>
  <c r="I2" i="15"/>
  <c r="L3" i="15"/>
  <c r="D39" i="12"/>
  <c r="G15" i="12" s="1"/>
  <c r="I15" i="12" s="1"/>
  <c r="D38" i="12"/>
  <c r="K15" i="12" s="1"/>
  <c r="CF15" i="12" s="1"/>
  <c r="D37" i="12"/>
  <c r="D36" i="12"/>
  <c r="L15" i="12" s="1"/>
  <c r="D35" i="12"/>
  <c r="K8" i="12"/>
  <c r="CF8" i="12" s="1"/>
  <c r="J8" i="12"/>
  <c r="CE8" i="12" s="1"/>
  <c r="G8" i="12"/>
  <c r="D39" i="11"/>
  <c r="G15" i="11" s="1"/>
  <c r="I15" i="11" s="1"/>
  <c r="D38" i="11"/>
  <c r="K15" i="11" s="1"/>
  <c r="CF15" i="11" s="1"/>
  <c r="D37" i="11"/>
  <c r="D36" i="11"/>
  <c r="L15" i="11" s="1"/>
  <c r="D35" i="11"/>
  <c r="K8" i="11"/>
  <c r="CF8" i="11" s="1"/>
  <c r="J8" i="11"/>
  <c r="CE8" i="11" s="1"/>
  <c r="G8" i="11"/>
  <c r="D39" i="10"/>
  <c r="G15" i="10" s="1"/>
  <c r="I15" i="10" s="1"/>
  <c r="D38" i="10"/>
  <c r="K15" i="10" s="1"/>
  <c r="CF15" i="10" s="1"/>
  <c r="D37" i="10"/>
  <c r="D36" i="10"/>
  <c r="J15" i="10" s="1"/>
  <c r="CE15" i="10" s="1"/>
  <c r="D35" i="10"/>
  <c r="K8" i="10"/>
  <c r="CF8" i="10" s="1"/>
  <c r="J8" i="10"/>
  <c r="CE8" i="10" s="1"/>
  <c r="G8" i="10"/>
  <c r="D39" i="9"/>
  <c r="G15" i="9" s="1"/>
  <c r="I15" i="9" s="1"/>
  <c r="D38" i="9"/>
  <c r="K15" i="9" s="1"/>
  <c r="CF15" i="9" s="1"/>
  <c r="D37" i="9"/>
  <c r="D36" i="9"/>
  <c r="D35" i="9"/>
  <c r="K8" i="9"/>
  <c r="CF8" i="9" s="1"/>
  <c r="J8" i="9"/>
  <c r="CE8" i="9" s="1"/>
  <c r="G8" i="9"/>
  <c r="D39" i="8"/>
  <c r="G15" i="8" s="1"/>
  <c r="I15" i="8" s="1"/>
  <c r="D38" i="8"/>
  <c r="K15" i="8" s="1"/>
  <c r="CF15" i="8" s="1"/>
  <c r="D37" i="8"/>
  <c r="D36" i="8"/>
  <c r="D35" i="8"/>
  <c r="K8" i="8"/>
  <c r="CF8" i="8" s="1"/>
  <c r="J8" i="8"/>
  <c r="CE8" i="8" s="1"/>
  <c r="G8" i="8"/>
  <c r="D39" i="7"/>
  <c r="G15" i="7" s="1"/>
  <c r="I15" i="7" s="1"/>
  <c r="D38" i="7"/>
  <c r="K15" i="7" s="1"/>
  <c r="CF15" i="7" s="1"/>
  <c r="D37" i="7"/>
  <c r="D36" i="7"/>
  <c r="L15" i="7" s="1"/>
  <c r="D35" i="7"/>
  <c r="K8" i="7"/>
  <c r="CF8" i="7" s="1"/>
  <c r="J8" i="7"/>
  <c r="CE8" i="7" s="1"/>
  <c r="G8" i="7"/>
  <c r="D39" i="6"/>
  <c r="G15" i="6" s="1"/>
  <c r="I15" i="6" s="1"/>
  <c r="D38" i="6"/>
  <c r="K15" i="6" s="1"/>
  <c r="CF15" i="6" s="1"/>
  <c r="D37" i="6"/>
  <c r="D36" i="6"/>
  <c r="D35" i="6"/>
  <c r="K8" i="6"/>
  <c r="CF8" i="6" s="1"/>
  <c r="J8" i="6"/>
  <c r="CE8" i="6" s="1"/>
  <c r="G8" i="6"/>
  <c r="D39" i="5"/>
  <c r="G15" i="5" s="1"/>
  <c r="I15" i="5" s="1"/>
  <c r="D38" i="5"/>
  <c r="K15" i="5" s="1"/>
  <c r="CF15" i="5" s="1"/>
  <c r="D37" i="5"/>
  <c r="D36" i="5"/>
  <c r="L15" i="5" s="1"/>
  <c r="D35" i="5"/>
  <c r="K8" i="5"/>
  <c r="CF8" i="5" s="1"/>
  <c r="J8" i="5"/>
  <c r="CE8" i="5" s="1"/>
  <c r="G8" i="5"/>
  <c r="D39" i="4"/>
  <c r="G15" i="4" s="1"/>
  <c r="I15" i="4" s="1"/>
  <c r="D38" i="4"/>
  <c r="K15" i="4" s="1"/>
  <c r="CF15" i="4" s="1"/>
  <c r="D37" i="4"/>
  <c r="D36" i="4"/>
  <c r="L15" i="4" s="1"/>
  <c r="D35" i="4"/>
  <c r="K8" i="4"/>
  <c r="CF8" i="4" s="1"/>
  <c r="J8" i="4"/>
  <c r="CE8" i="4" s="1"/>
  <c r="G8" i="4"/>
  <c r="D39" i="15"/>
  <c r="G15" i="15" s="1"/>
  <c r="I15" i="15" s="1"/>
  <c r="D38" i="15"/>
  <c r="K15" i="15" s="1"/>
  <c r="CF15" i="15" s="1"/>
  <c r="D37" i="15"/>
  <c r="D36" i="15"/>
  <c r="D35" i="15"/>
  <c r="C28" i="15"/>
  <c r="K8" i="15"/>
  <c r="CF8" i="15" s="1"/>
  <c r="J8" i="15"/>
  <c r="CE8" i="15" s="1"/>
  <c r="G8" i="15"/>
  <c r="D31" i="14"/>
  <c r="D1093" i="13"/>
  <c r="C1093" i="13" s="1"/>
  <c r="D1092" i="13"/>
  <c r="D1091" i="13"/>
  <c r="D1090" i="13"/>
  <c r="P20" i="3"/>
  <c r="O18" i="3"/>
  <c r="I84" i="2" s="1"/>
  <c r="O17" i="3"/>
  <c r="D80" i="2" s="1"/>
  <c r="I17" i="3"/>
  <c r="O16" i="3"/>
  <c r="Q15" i="3"/>
  <c r="O15" i="3"/>
  <c r="O14" i="3"/>
  <c r="O13" i="3"/>
  <c r="Q12" i="3"/>
  <c r="O17" i="2" s="1"/>
  <c r="O12" i="3"/>
  <c r="Q11" i="3"/>
  <c r="O11" i="3"/>
  <c r="I22" i="3"/>
  <c r="Q9" i="3"/>
  <c r="C3" i="2" s="1"/>
  <c r="M14" i="2" s="1"/>
  <c r="Q8" i="3"/>
  <c r="O8" i="3"/>
  <c r="Q7" i="3"/>
  <c r="O7" i="3"/>
  <c r="Q6" i="3"/>
  <c r="O6" i="3"/>
  <c r="O5" i="3"/>
  <c r="AA13" i="2"/>
  <c r="AB13" i="2"/>
  <c r="Y13" i="2"/>
  <c r="K12" i="7"/>
  <c r="CF12" i="7" s="1"/>
  <c r="L12" i="7"/>
  <c r="N12" i="7"/>
  <c r="I21" i="3"/>
  <c r="I19" i="3"/>
  <c r="BO21" i="15"/>
  <c r="BO21" i="4"/>
  <c r="BO24" i="6"/>
  <c r="BO21" i="7"/>
  <c r="BM25" i="10"/>
  <c r="BO21" i="9"/>
  <c r="J15" i="12"/>
  <c r="CE15" i="12" s="1"/>
  <c r="V9" i="2"/>
  <c r="AU1070" i="13"/>
  <c r="AU1067" i="13"/>
  <c r="AU1066" i="13"/>
  <c r="D57" i="2" l="1"/>
  <c r="D66" i="2"/>
  <c r="D62" i="2"/>
  <c r="I50" i="2"/>
  <c r="F50" i="2"/>
  <c r="F49" i="2"/>
  <c r="D78" i="2"/>
  <c r="D74" i="2"/>
  <c r="I54" i="2"/>
  <c r="F53" i="2"/>
  <c r="F54" i="2"/>
  <c r="S15" i="3"/>
  <c r="Q14" i="3"/>
  <c r="C7" i="2" s="1"/>
  <c r="S14" i="3"/>
  <c r="Q13" i="3"/>
  <c r="C40" i="2" s="1"/>
  <c r="I1098" i="13"/>
  <c r="J15" i="7"/>
  <c r="CE15" i="7" s="1"/>
  <c r="BP19" i="6"/>
  <c r="BO24" i="8"/>
  <c r="BM19" i="9"/>
  <c r="BN25" i="11"/>
  <c r="BM25" i="6"/>
  <c r="BO21" i="5"/>
  <c r="O12" i="7"/>
  <c r="P12" i="7" s="1"/>
  <c r="AV12" i="7" s="1"/>
  <c r="CH12" i="7"/>
  <c r="M12" i="7"/>
  <c r="CD12" i="7" s="1"/>
  <c r="CC12" i="7"/>
  <c r="X55" i="2"/>
  <c r="X56" i="2"/>
  <c r="BM25" i="11"/>
  <c r="E1098" i="13"/>
  <c r="I75" i="2"/>
  <c r="L77" i="2"/>
  <c r="L72" i="2"/>
  <c r="D69" i="2"/>
  <c r="K45" i="2"/>
  <c r="Z11" i="2" s="1"/>
  <c r="S13" i="3"/>
  <c r="S12" i="3"/>
  <c r="BA1073" i="13"/>
  <c r="BA1076" i="13" s="1"/>
  <c r="F83" i="2"/>
  <c r="D84" i="2"/>
  <c r="AH4" i="2" s="1"/>
  <c r="BA1074" i="13"/>
  <c r="X47" i="2"/>
  <c r="A32" i="2" s="1"/>
  <c r="Y17" i="2"/>
  <c r="Y9" i="2"/>
  <c r="Y10" i="2"/>
  <c r="M15" i="5"/>
  <c r="CD15" i="5" s="1"/>
  <c r="CC15" i="5"/>
  <c r="M15" i="7"/>
  <c r="CD15" i="7" s="1"/>
  <c r="CC15" i="7"/>
  <c r="M15" i="11"/>
  <c r="CD15" i="11" s="1"/>
  <c r="CC15" i="11"/>
  <c r="M15" i="4"/>
  <c r="CD15" i="4" s="1"/>
  <c r="CC15" i="4"/>
  <c r="M15" i="12"/>
  <c r="CD15" i="12" s="1"/>
  <c r="CC15" i="12"/>
  <c r="D22" i="11"/>
  <c r="CD3" i="11"/>
  <c r="D22" i="8"/>
  <c r="CD3" i="8"/>
  <c r="D22" i="7"/>
  <c r="CD3" i="7"/>
  <c r="D22" i="4"/>
  <c r="CD3" i="4"/>
  <c r="D22" i="6"/>
  <c r="CD3" i="6"/>
  <c r="D22" i="5"/>
  <c r="CD3" i="5"/>
  <c r="D22" i="12"/>
  <c r="CD3" i="12"/>
  <c r="D22" i="10"/>
  <c r="CD3" i="10"/>
  <c r="D22" i="9"/>
  <c r="CD3" i="9"/>
  <c r="D22" i="15"/>
  <c r="CD3" i="15"/>
  <c r="J15" i="11"/>
  <c r="CE15" i="11" s="1"/>
  <c r="BP19" i="5"/>
  <c r="J15" i="5"/>
  <c r="CE15" i="5" s="1"/>
  <c r="AZ1070" i="13"/>
  <c r="AS1060" i="13"/>
  <c r="F14" i="14" s="1"/>
  <c r="AR1060" i="13"/>
  <c r="AT1071" i="13"/>
  <c r="H36" i="14" s="1"/>
  <c r="AR1071" i="13"/>
  <c r="AS1071" i="13"/>
  <c r="F36" i="14" s="1"/>
  <c r="AS1062" i="13"/>
  <c r="AR1062" i="13"/>
  <c r="AR1065" i="13"/>
  <c r="AS1065" i="13"/>
  <c r="AR1064" i="13"/>
  <c r="AS1064" i="13"/>
  <c r="N19" i="14" s="1"/>
  <c r="AR1061" i="13"/>
  <c r="AS1061" i="13"/>
  <c r="AS1063" i="13"/>
  <c r="N14" i="14" s="1"/>
  <c r="AR1063" i="13"/>
  <c r="BN19" i="15"/>
  <c r="D43" i="2"/>
  <c r="Z4" i="2" s="1"/>
  <c r="AD1067" i="13"/>
  <c r="AH1066" i="13"/>
  <c r="AG1067" i="13"/>
  <c r="AC1067" i="13"/>
  <c r="C1077" i="13"/>
  <c r="R42" i="3" s="1"/>
  <c r="R40" i="3" s="1"/>
  <c r="AF1067" i="13"/>
  <c r="AB1067" i="13"/>
  <c r="B1077" i="13"/>
  <c r="A1077" i="13" s="1"/>
  <c r="N1077" i="13"/>
  <c r="Y1077" i="13"/>
  <c r="S23" i="14" s="1"/>
  <c r="AE1067" i="13"/>
  <c r="AI1066" i="13"/>
  <c r="M1077" i="13"/>
  <c r="AE1064" i="13"/>
  <c r="AI1063" i="13"/>
  <c r="C1074" i="13"/>
  <c r="Q42" i="3" s="1"/>
  <c r="Y1074" i="13"/>
  <c r="K23" i="14" s="1"/>
  <c r="AD1064" i="13"/>
  <c r="AH1063" i="13"/>
  <c r="B1074" i="13"/>
  <c r="A1074" i="13" s="1"/>
  <c r="AG1064" i="13"/>
  <c r="AC1064" i="13"/>
  <c r="N1074" i="13"/>
  <c r="AF1064" i="13"/>
  <c r="AB1064" i="13"/>
  <c r="M1074" i="13"/>
  <c r="AF1063" i="13"/>
  <c r="AB1063" i="13"/>
  <c r="B1073" i="13"/>
  <c r="A1073" i="13" s="1"/>
  <c r="Y1073" i="13"/>
  <c r="K18" i="14" s="1"/>
  <c r="AD1063" i="13"/>
  <c r="AH1062" i="13"/>
  <c r="N1073" i="13"/>
  <c r="AG1063" i="13"/>
  <c r="AC1063" i="13"/>
  <c r="C1073" i="13"/>
  <c r="T42" i="3" s="1"/>
  <c r="T40" i="3" s="1"/>
  <c r="M1073" i="13"/>
  <c r="AE1063" i="13"/>
  <c r="AI1062" i="13"/>
  <c r="AG1062" i="13"/>
  <c r="AC1062" i="13"/>
  <c r="AF1062" i="13"/>
  <c r="AB1062" i="13"/>
  <c r="AE1062" i="13"/>
  <c r="AI1061" i="13"/>
  <c r="C1072" i="13"/>
  <c r="N1072" i="13"/>
  <c r="Y1072" i="13"/>
  <c r="K13" i="14" s="1"/>
  <c r="AD1062" i="13"/>
  <c r="AH1061" i="13"/>
  <c r="B1072" i="13"/>
  <c r="A1072" i="13" s="1"/>
  <c r="M1072" i="13"/>
  <c r="AA10" i="2"/>
  <c r="J5" i="2"/>
  <c r="AF1072" i="13"/>
  <c r="AB1072" i="13"/>
  <c r="C1082" i="13"/>
  <c r="S1082" i="13"/>
  <c r="O1082" i="13"/>
  <c r="Y1082" i="13"/>
  <c r="S35" i="14" s="1"/>
  <c r="AE1072" i="13"/>
  <c r="B1082" i="13"/>
  <c r="A1082" i="13" s="1"/>
  <c r="R1082" i="13"/>
  <c r="N1082" i="13"/>
  <c r="AD1072" i="13"/>
  <c r="AI1071" i="13"/>
  <c r="U1082" i="13"/>
  <c r="Q1082" i="13"/>
  <c r="M1082" i="13"/>
  <c r="AG1072" i="13"/>
  <c r="AC1072" i="13"/>
  <c r="AH1071" i="13"/>
  <c r="T1082" i="13"/>
  <c r="P1082" i="13"/>
  <c r="AG1073" i="13"/>
  <c r="AC1073" i="13"/>
  <c r="AH1072" i="13"/>
  <c r="Y1083" i="13"/>
  <c r="K35" i="14" s="1"/>
  <c r="AF1073" i="13"/>
  <c r="AB1073" i="13"/>
  <c r="AE1073" i="13"/>
  <c r="C1083" i="13"/>
  <c r="N1083" i="13"/>
  <c r="AD1073" i="13"/>
  <c r="AI1072" i="13"/>
  <c r="B1083" i="13"/>
  <c r="A1083" i="13" s="1"/>
  <c r="L1083" i="13" s="1"/>
  <c r="M1083" i="13"/>
  <c r="AF1065" i="13"/>
  <c r="AB1065" i="13"/>
  <c r="M1075" i="13"/>
  <c r="AH1064" i="13"/>
  <c r="B1075" i="13"/>
  <c r="A1075" i="13" s="1"/>
  <c r="AA1065" i="13" s="1"/>
  <c r="AG1065" i="13"/>
  <c r="N1075" i="13"/>
  <c r="AE1065" i="13"/>
  <c r="AI1064" i="13"/>
  <c r="C1075" i="13"/>
  <c r="S42" i="3" s="1"/>
  <c r="AD1065" i="13"/>
  <c r="Y1075" i="13"/>
  <c r="S13" i="14" s="1"/>
  <c r="AC1065" i="13"/>
  <c r="AF1066" i="13"/>
  <c r="AB1066" i="13"/>
  <c r="AE1066" i="13"/>
  <c r="AI1065" i="13"/>
  <c r="C1076" i="13"/>
  <c r="N1076" i="13"/>
  <c r="Y1076" i="13"/>
  <c r="S18" i="14" s="1"/>
  <c r="AD1066" i="13"/>
  <c r="AH1065" i="13"/>
  <c r="B1076" i="13"/>
  <c r="A1076" i="13" s="1"/>
  <c r="M1076" i="13"/>
  <c r="AG1066" i="13"/>
  <c r="AC1066" i="13"/>
  <c r="AD1069" i="13"/>
  <c r="AH1068" i="13"/>
  <c r="R1079" i="13"/>
  <c r="N1079" i="13"/>
  <c r="AG1069" i="13"/>
  <c r="AC1069" i="13"/>
  <c r="C1079" i="13"/>
  <c r="U1079" i="13"/>
  <c r="Q1079" i="13"/>
  <c r="M1079" i="13"/>
  <c r="AF1069" i="13"/>
  <c r="AB1069" i="13"/>
  <c r="B1079" i="13"/>
  <c r="A1079" i="13" s="1"/>
  <c r="T1079" i="13"/>
  <c r="P1079" i="13"/>
  <c r="Y1079" i="13"/>
  <c r="S28" i="14" s="1"/>
  <c r="AE1069" i="13"/>
  <c r="AI1068" i="13"/>
  <c r="S1079" i="13"/>
  <c r="O1079" i="13"/>
  <c r="Y1081" i="13"/>
  <c r="S32" i="14" s="1"/>
  <c r="AD1071" i="13"/>
  <c r="AH1070" i="13"/>
  <c r="M1081" i="13"/>
  <c r="AG1071" i="13"/>
  <c r="AC1071" i="13"/>
  <c r="C1081" i="13"/>
  <c r="AF1071" i="13"/>
  <c r="AB1071" i="13"/>
  <c r="B1081" i="13"/>
  <c r="A1081" i="13" s="1"/>
  <c r="AE1071" i="13"/>
  <c r="AI1070" i="13"/>
  <c r="N1081" i="13"/>
  <c r="AE1070" i="13"/>
  <c r="AI1069" i="13"/>
  <c r="C1080" i="13"/>
  <c r="N1080" i="13"/>
  <c r="AD1070" i="13"/>
  <c r="AH1069" i="13"/>
  <c r="B1080" i="13"/>
  <c r="A1080" i="13" s="1"/>
  <c r="M1080" i="13"/>
  <c r="Y1080" i="13"/>
  <c r="K32" i="14" s="1"/>
  <c r="AG1070" i="13"/>
  <c r="AC1070" i="13"/>
  <c r="AF1070" i="13"/>
  <c r="AB1070" i="13"/>
  <c r="AG1068" i="13"/>
  <c r="AC1068" i="13"/>
  <c r="T1078" i="13"/>
  <c r="P1078" i="13"/>
  <c r="AF1068" i="13"/>
  <c r="AB1068" i="13"/>
  <c r="S1078" i="13"/>
  <c r="O1078" i="13"/>
  <c r="AE1068" i="13"/>
  <c r="AI1067" i="13"/>
  <c r="C1078" i="13"/>
  <c r="R1078" i="13"/>
  <c r="N1078" i="13"/>
  <c r="Y1078" i="13"/>
  <c r="K28" i="14" s="1"/>
  <c r="AD1068" i="13"/>
  <c r="AH1067" i="13"/>
  <c r="B1078" i="13"/>
  <c r="A1078" i="13" s="1"/>
  <c r="U1078" i="13"/>
  <c r="Q1078" i="13"/>
  <c r="M1078" i="13"/>
  <c r="S20" i="3"/>
  <c r="S19" i="3"/>
  <c r="N1091" i="13"/>
  <c r="AY1094" i="13"/>
  <c r="M1088" i="13"/>
  <c r="AY1091" i="13"/>
  <c r="C1090" i="13"/>
  <c r="AY1093" i="13"/>
  <c r="K1092" i="13"/>
  <c r="AY1095" i="13"/>
  <c r="I1089" i="13"/>
  <c r="AY1092" i="13"/>
  <c r="AY1096" i="13"/>
  <c r="E1086" i="13"/>
  <c r="AY1089" i="13"/>
  <c r="AY1088" i="13"/>
  <c r="N1084" i="13"/>
  <c r="AY1087" i="13"/>
  <c r="J6" i="11"/>
  <c r="CE6" i="11" s="1"/>
  <c r="J6" i="5"/>
  <c r="CE6" i="5" s="1"/>
  <c r="J6" i="10"/>
  <c r="CE6" i="10" s="1"/>
  <c r="J6" i="12"/>
  <c r="CE6" i="12" s="1"/>
  <c r="J6" i="9"/>
  <c r="CE6" i="9" s="1"/>
  <c r="J6" i="15"/>
  <c r="CE6" i="15" s="1"/>
  <c r="J6" i="4"/>
  <c r="CE6" i="4" s="1"/>
  <c r="J6" i="6"/>
  <c r="CE6" i="6" s="1"/>
  <c r="J6" i="7"/>
  <c r="CE6" i="7" s="1"/>
  <c r="J6" i="8"/>
  <c r="CE6" i="8" s="1"/>
  <c r="BP19" i="12"/>
  <c r="BP19" i="11"/>
  <c r="BN19" i="10"/>
  <c r="BO24" i="10"/>
  <c r="BN19" i="8"/>
  <c r="BN19" i="5"/>
  <c r="BN25" i="4"/>
  <c r="BP19" i="15"/>
  <c r="AD79" i="12"/>
  <c r="AD75" i="12"/>
  <c r="AD64" i="12"/>
  <c r="AD60" i="12"/>
  <c r="AD81" i="11"/>
  <c r="AD77" i="11"/>
  <c r="AD66" i="11"/>
  <c r="AD62" i="11"/>
  <c r="AD58" i="11"/>
  <c r="AD79" i="10"/>
  <c r="AD75" i="10"/>
  <c r="AD64" i="10"/>
  <c r="AD60" i="10"/>
  <c r="AD81" i="9"/>
  <c r="AD77" i="9"/>
  <c r="AD66" i="9"/>
  <c r="AD62" i="9"/>
  <c r="AD58" i="9"/>
  <c r="AD79" i="8"/>
  <c r="AD75" i="8"/>
  <c r="AD64" i="8"/>
  <c r="AD60" i="8"/>
  <c r="AD81" i="7"/>
  <c r="AD77" i="7"/>
  <c r="AD66" i="7"/>
  <c r="AD62" i="7"/>
  <c r="AD58" i="7"/>
  <c r="AD79" i="6"/>
  <c r="AD75" i="6"/>
  <c r="AD64" i="6"/>
  <c r="AD60" i="6"/>
  <c r="AD81" i="5"/>
  <c r="AD77" i="5"/>
  <c r="AD66" i="5"/>
  <c r="AD62" i="5"/>
  <c r="AD58" i="5"/>
  <c r="AD79" i="4"/>
  <c r="AD75" i="4"/>
  <c r="AD64" i="4"/>
  <c r="AD60" i="4"/>
  <c r="AD76" i="15"/>
  <c r="AD80" i="15"/>
  <c r="AD82" i="12"/>
  <c r="AD78" i="12"/>
  <c r="AD74" i="12"/>
  <c r="AD63" i="12"/>
  <c r="AD59" i="12"/>
  <c r="AD80" i="11"/>
  <c r="AD76" i="11"/>
  <c r="AD65" i="11"/>
  <c r="AD61" i="11"/>
  <c r="AD82" i="10"/>
  <c r="AD78" i="10"/>
  <c r="AD74" i="10"/>
  <c r="AD63" i="10"/>
  <c r="AD59" i="10"/>
  <c r="AD80" i="9"/>
  <c r="AD76" i="9"/>
  <c r="AD65" i="9"/>
  <c r="AD61" i="9"/>
  <c r="AD82" i="8"/>
  <c r="AD78" i="8"/>
  <c r="AD74" i="8"/>
  <c r="AD63" i="8"/>
  <c r="AD59" i="8"/>
  <c r="AD80" i="7"/>
  <c r="AD76" i="7"/>
  <c r="AD65" i="7"/>
  <c r="AD61" i="7"/>
  <c r="AD82" i="6"/>
  <c r="AD78" i="6"/>
  <c r="AD74" i="6"/>
  <c r="AD63" i="6"/>
  <c r="AD59" i="6"/>
  <c r="AD80" i="5"/>
  <c r="AD76" i="5"/>
  <c r="AD65" i="5"/>
  <c r="AD61" i="5"/>
  <c r="AD82" i="4"/>
  <c r="AD78" i="4"/>
  <c r="AD74" i="4"/>
  <c r="AD63" i="4"/>
  <c r="AD59" i="4"/>
  <c r="AD77" i="15"/>
  <c r="AD81" i="15"/>
  <c r="AD76" i="12"/>
  <c r="AD61" i="12"/>
  <c r="AD78" i="11"/>
  <c r="AD63" i="11"/>
  <c r="AD80" i="10"/>
  <c r="AD65" i="10"/>
  <c r="AD82" i="9"/>
  <c r="AD74" i="9"/>
  <c r="AD59" i="9"/>
  <c r="AD76" i="8"/>
  <c r="AD61" i="8"/>
  <c r="AD78" i="7"/>
  <c r="AD63" i="7"/>
  <c r="AD80" i="6"/>
  <c r="AD65" i="6"/>
  <c r="AD82" i="5"/>
  <c r="AD74" i="5"/>
  <c r="AD59" i="5"/>
  <c r="AD76" i="4"/>
  <c r="AD61" i="4"/>
  <c r="AD79" i="15"/>
  <c r="AD81" i="12"/>
  <c r="AD66" i="12"/>
  <c r="AD58" i="12"/>
  <c r="AD75" i="11"/>
  <c r="AD60" i="11"/>
  <c r="AD77" i="10"/>
  <c r="AD62" i="10"/>
  <c r="AD79" i="9"/>
  <c r="AD64" i="9"/>
  <c r="AD81" i="8"/>
  <c r="AD66" i="8"/>
  <c r="AD58" i="8"/>
  <c r="AD75" i="7"/>
  <c r="AD60" i="7"/>
  <c r="AD77" i="6"/>
  <c r="AD62" i="6"/>
  <c r="AD79" i="5"/>
  <c r="AD64" i="5"/>
  <c r="AD81" i="4"/>
  <c r="AD66" i="4"/>
  <c r="AD58" i="4"/>
  <c r="AD82" i="15"/>
  <c r="AD80" i="12"/>
  <c r="AD65" i="12"/>
  <c r="AD82" i="11"/>
  <c r="AD74" i="11"/>
  <c r="AD59" i="11"/>
  <c r="AD76" i="10"/>
  <c r="AD61" i="10"/>
  <c r="AD78" i="9"/>
  <c r="AD63" i="9"/>
  <c r="AD80" i="8"/>
  <c r="AD65" i="8"/>
  <c r="AD82" i="7"/>
  <c r="AD74" i="7"/>
  <c r="AD59" i="7"/>
  <c r="AD76" i="6"/>
  <c r="AD61" i="6"/>
  <c r="AD78" i="5"/>
  <c r="AD63" i="5"/>
  <c r="AD80" i="4"/>
  <c r="AD65" i="4"/>
  <c r="AD75" i="15"/>
  <c r="AD74" i="15"/>
  <c r="AD77" i="12"/>
  <c r="AD62" i="12"/>
  <c r="AD79" i="11"/>
  <c r="AD64" i="11"/>
  <c r="AD81" i="10"/>
  <c r="AD66" i="10"/>
  <c r="AD58" i="10"/>
  <c r="AD75" i="9"/>
  <c r="AD60" i="9"/>
  <c r="AD77" i="8"/>
  <c r="AD62" i="8"/>
  <c r="AD79" i="7"/>
  <c r="AD64" i="7"/>
  <c r="AD81" i="6"/>
  <c r="AD66" i="6"/>
  <c r="AD58" i="6"/>
  <c r="AD75" i="5"/>
  <c r="AD60" i="5"/>
  <c r="AD77" i="4"/>
  <c r="AD62" i="4"/>
  <c r="AD78" i="15"/>
  <c r="Z36" i="7"/>
  <c r="AD61" i="15"/>
  <c r="AD65" i="15"/>
  <c r="AD62" i="15"/>
  <c r="AD66" i="15"/>
  <c r="AD59" i="15"/>
  <c r="AD63" i="15"/>
  <c r="AD58" i="15"/>
  <c r="AD60" i="15"/>
  <c r="AD64" i="15"/>
  <c r="F1087" i="13"/>
  <c r="I1087" i="13"/>
  <c r="I21" i="2"/>
  <c r="C17" i="15"/>
  <c r="I3" i="15"/>
  <c r="Z36" i="4"/>
  <c r="Z36" i="12"/>
  <c r="Z36" i="5"/>
  <c r="Z36" i="15"/>
  <c r="AB36" i="15" s="1"/>
  <c r="AB47" i="15" s="1"/>
  <c r="Z36" i="9"/>
  <c r="Z36" i="10"/>
  <c r="Z36" i="6"/>
  <c r="Z36" i="8"/>
  <c r="Z36" i="11"/>
  <c r="N1085" i="13"/>
  <c r="AZ1066" i="13"/>
  <c r="S17" i="3"/>
  <c r="S16" i="3"/>
  <c r="C8" i="2"/>
  <c r="C6" i="2"/>
  <c r="C41" i="2"/>
  <c r="C9" i="2"/>
  <c r="F9" i="2" s="1"/>
  <c r="AI45" i="2" s="1"/>
  <c r="O16" i="2"/>
  <c r="M16" i="2" s="1"/>
  <c r="AB14" i="2" s="1"/>
  <c r="F52" i="2"/>
  <c r="K73" i="2"/>
  <c r="K68" i="2"/>
  <c r="I70" i="2"/>
  <c r="F48" i="2"/>
  <c r="I63" i="2"/>
  <c r="I58" i="2"/>
  <c r="K61" i="2"/>
  <c r="K56" i="2"/>
  <c r="L65" i="2"/>
  <c r="L60" i="2"/>
  <c r="D81" i="2"/>
  <c r="AZ1098" i="13" s="1"/>
  <c r="AH9" i="2"/>
  <c r="L84" i="2"/>
  <c r="AH13" i="2" s="1"/>
  <c r="I86" i="2"/>
  <c r="AJ9" i="2" s="1"/>
  <c r="M86" i="2"/>
  <c r="AJ14" i="2" s="1"/>
  <c r="AJ4" i="2"/>
  <c r="L86" i="2"/>
  <c r="AJ13" i="2" s="1"/>
  <c r="K86" i="2"/>
  <c r="AJ11" i="2" s="1"/>
  <c r="C87" i="2"/>
  <c r="F87" i="2" s="1"/>
  <c r="AJ6" i="2" s="1"/>
  <c r="AA70" i="2"/>
  <c r="BM19" i="12"/>
  <c r="BO21" i="11"/>
  <c r="BM25" i="8"/>
  <c r="BN25" i="12"/>
  <c r="L15" i="10"/>
  <c r="J15" i="4"/>
  <c r="CE15" i="4" s="1"/>
  <c r="H1090" i="13"/>
  <c r="M1090" i="13"/>
  <c r="L1092" i="13"/>
  <c r="AL1084" i="13"/>
  <c r="AL1076" i="13"/>
  <c r="E1093" i="13"/>
  <c r="E1091" i="13"/>
  <c r="K1093" i="13"/>
  <c r="K1091" i="13"/>
  <c r="M1093" i="13"/>
  <c r="G1093" i="13"/>
  <c r="F1091" i="13"/>
  <c r="G1092" i="13"/>
  <c r="G1090" i="13"/>
  <c r="N1090" i="13"/>
  <c r="N1093" i="13"/>
  <c r="M1089" i="13"/>
  <c r="C1091" i="13"/>
  <c r="L1091" i="13"/>
  <c r="J1093" i="13"/>
  <c r="F1092" i="13"/>
  <c r="C1092" i="13"/>
  <c r="I1090" i="13"/>
  <c r="L1090" i="13"/>
  <c r="N1092" i="13"/>
  <c r="J1092" i="13"/>
  <c r="K1090" i="13"/>
  <c r="J1090" i="13"/>
  <c r="C1084" i="13"/>
  <c r="I1093" i="13"/>
  <c r="J1091" i="13"/>
  <c r="M1092" i="13"/>
  <c r="G1091" i="13"/>
  <c r="I1092" i="13"/>
  <c r="F1084" i="13"/>
  <c r="I1084" i="13"/>
  <c r="C1085" i="13"/>
  <c r="M1084" i="13"/>
  <c r="I1086" i="13"/>
  <c r="K1084" i="13"/>
  <c r="F1093" i="13"/>
  <c r="H1093" i="13"/>
  <c r="L1089" i="13"/>
  <c r="M1091" i="13"/>
  <c r="F1085" i="13"/>
  <c r="I1091" i="13"/>
  <c r="C1086" i="13"/>
  <c r="L1084" i="13"/>
  <c r="G1084" i="13"/>
  <c r="J1084" i="13"/>
  <c r="H1089" i="13"/>
  <c r="F1089" i="13"/>
  <c r="M1085" i="13"/>
  <c r="G1086" i="13"/>
  <c r="E1084" i="13"/>
  <c r="AL1085" i="13"/>
  <c r="K1089" i="13"/>
  <c r="E1089" i="13"/>
  <c r="C1089" i="13"/>
  <c r="N1089" i="13"/>
  <c r="H1092" i="13"/>
  <c r="E1092" i="13"/>
  <c r="H1086" i="13"/>
  <c r="E1090" i="13"/>
  <c r="F1090" i="13"/>
  <c r="H1084" i="13"/>
  <c r="G1085" i="13"/>
  <c r="G1089" i="13"/>
  <c r="J1089" i="13"/>
  <c r="H1085" i="13"/>
  <c r="AL1083" i="13"/>
  <c r="L17" i="2"/>
  <c r="AI13" i="2" s="1"/>
  <c r="M17" i="2"/>
  <c r="AI14" i="2" s="1"/>
  <c r="L15" i="8"/>
  <c r="J15" i="8"/>
  <c r="CE15" i="8" s="1"/>
  <c r="S45" i="2"/>
  <c r="AB34" i="2"/>
  <c r="V9" i="18" s="1"/>
  <c r="V13" i="18" s="1"/>
  <c r="B3" i="18" s="1"/>
  <c r="AA62" i="2"/>
  <c r="V30" i="14"/>
  <c r="AB62" i="2"/>
  <c r="J12" i="7" s="1"/>
  <c r="U26" i="7" s="1"/>
  <c r="AB35" i="2"/>
  <c r="V10" i="18" s="1"/>
  <c r="U37" i="2"/>
  <c r="AL1082" i="13"/>
  <c r="AL1081" i="13"/>
  <c r="AL1078" i="13"/>
  <c r="AL1077" i="13"/>
  <c r="J15" i="9"/>
  <c r="CE15" i="9" s="1"/>
  <c r="L15" i="9"/>
  <c r="BM25" i="15"/>
  <c r="BM19" i="15"/>
  <c r="BP24" i="4"/>
  <c r="BP19" i="4"/>
  <c r="BM19" i="5"/>
  <c r="BM25" i="5"/>
  <c r="BN25" i="6"/>
  <c r="BN19" i="6"/>
  <c r="BP19" i="7"/>
  <c r="BP24" i="7"/>
  <c r="BP19" i="8"/>
  <c r="BP24" i="8"/>
  <c r="BN25" i="9"/>
  <c r="BN19" i="9"/>
  <c r="BP19" i="10"/>
  <c r="BP24" i="10"/>
  <c r="BO24" i="12"/>
  <c r="BO21" i="12"/>
  <c r="J15" i="6"/>
  <c r="CE15" i="6" s="1"/>
  <c r="L15" i="6"/>
  <c r="V34" i="14"/>
  <c r="AC68" i="2"/>
  <c r="AA68" i="2"/>
  <c r="AL1080" i="13"/>
  <c r="AL1079" i="13"/>
  <c r="AL1086" i="13"/>
  <c r="BN19" i="7"/>
  <c r="BN25" i="7"/>
  <c r="BP24" i="9"/>
  <c r="BP19" i="9"/>
  <c r="J15" i="15"/>
  <c r="CE15" i="15" s="1"/>
  <c r="L15" i="15"/>
  <c r="AA65" i="2"/>
  <c r="AC65" i="2"/>
  <c r="R13" i="2"/>
  <c r="S13" i="2" s="1"/>
  <c r="I14" i="3"/>
  <c r="L2" i="2" s="1"/>
  <c r="L31" i="2" s="1"/>
  <c r="BM25" i="4"/>
  <c r="BM19" i="4"/>
  <c r="V32" i="14"/>
  <c r="V28" i="14"/>
  <c r="AB60" i="2"/>
  <c r="AA60" i="2"/>
  <c r="AV2" i="13"/>
  <c r="BM19" i="7"/>
  <c r="BM25" i="7"/>
  <c r="C17" i="2"/>
  <c r="L1093" i="13"/>
  <c r="J1086" i="13"/>
  <c r="H1091" i="13"/>
  <c r="I24" i="2"/>
  <c r="M22" i="2"/>
  <c r="I22" i="2"/>
  <c r="J28" i="2"/>
  <c r="I25" i="2"/>
  <c r="AI46" i="2" s="1"/>
  <c r="I18" i="2"/>
  <c r="I27" i="2"/>
  <c r="M24" i="2"/>
  <c r="J21" i="2"/>
  <c r="AS4" i="6"/>
  <c r="AS4" i="5"/>
  <c r="AZ1067" i="13"/>
  <c r="F1088" i="13"/>
  <c r="AS4" i="4"/>
  <c r="J1088" i="13"/>
  <c r="G1088" i="13"/>
  <c r="K1088" i="13"/>
  <c r="L1088" i="13"/>
  <c r="I92" i="2"/>
  <c r="AD1081" i="13"/>
  <c r="E1087" i="13"/>
  <c r="AD1079" i="13"/>
  <c r="AD1078" i="13"/>
  <c r="AE1078" i="13"/>
  <c r="AE1079" i="13" s="1"/>
  <c r="AE1080" i="13" s="1"/>
  <c r="AD1080" i="13"/>
  <c r="C1088" i="13"/>
  <c r="I1088" i="13"/>
  <c r="E1088" i="13"/>
  <c r="H1088" i="13"/>
  <c r="N1088" i="13"/>
  <c r="G1087" i="13"/>
  <c r="N1087" i="13"/>
  <c r="L1087" i="13"/>
  <c r="C1087" i="13"/>
  <c r="M1087" i="13"/>
  <c r="K1087" i="13"/>
  <c r="J1087" i="13"/>
  <c r="H1087" i="13"/>
  <c r="AS4" i="7"/>
  <c r="AS4" i="8"/>
  <c r="AS4" i="12"/>
  <c r="AS4" i="9"/>
  <c r="AS4" i="10"/>
  <c r="AS4" i="15"/>
  <c r="N1086" i="13"/>
  <c r="L1086" i="13"/>
  <c r="F1086" i="13"/>
  <c r="M1086" i="13"/>
  <c r="K1086" i="13"/>
  <c r="J1085" i="13"/>
  <c r="I1085" i="13"/>
  <c r="E1085" i="13"/>
  <c r="L1085" i="13"/>
  <c r="K1085" i="13"/>
  <c r="AV1060" i="13"/>
  <c r="AU1062" i="13"/>
  <c r="AV1071" i="13"/>
  <c r="AV1061" i="13"/>
  <c r="AU1064" i="13"/>
  <c r="AU1063" i="13"/>
  <c r="AU1060" i="13"/>
  <c r="AU1061" i="13"/>
  <c r="AW1071" i="13"/>
  <c r="AU1071" i="13"/>
  <c r="AU1065" i="13"/>
  <c r="AV1063" i="13"/>
  <c r="AV1062" i="13"/>
  <c r="AV1064" i="13"/>
  <c r="AV1065" i="13"/>
  <c r="G1098" i="13" l="1"/>
  <c r="K1098" i="13"/>
  <c r="I9" i="2"/>
  <c r="AN570" i="13"/>
  <c r="AN635" i="13"/>
  <c r="AN603" i="13"/>
  <c r="AN640" i="13"/>
  <c r="AN608" i="13"/>
  <c r="AN576" i="13"/>
  <c r="AN599" i="13"/>
  <c r="AN572" i="13"/>
  <c r="AN627" i="13"/>
  <c r="AN611" i="13"/>
  <c r="AN595" i="13"/>
  <c r="AN579" i="13"/>
  <c r="AN629" i="13"/>
  <c r="AN604" i="13"/>
  <c r="AN639" i="13"/>
  <c r="AN623" i="13"/>
  <c r="AN607" i="13"/>
  <c r="AN575" i="13"/>
  <c r="AN589" i="13"/>
  <c r="AN633" i="13"/>
  <c r="AN601" i="13"/>
  <c r="AN626" i="13"/>
  <c r="AN594" i="13"/>
  <c r="AN636" i="13"/>
  <c r="AN588" i="13"/>
  <c r="AN641" i="13"/>
  <c r="AN625" i="13"/>
  <c r="AN609" i="13"/>
  <c r="AN593" i="13"/>
  <c r="AN577" i="13"/>
  <c r="AN622" i="13"/>
  <c r="AN597" i="13"/>
  <c r="AN637" i="13"/>
  <c r="AN621" i="13"/>
  <c r="AN619" i="13"/>
  <c r="AN587" i="13"/>
  <c r="AN624" i="13"/>
  <c r="AN592" i="13"/>
  <c r="AN615" i="13"/>
  <c r="AN583" i="13"/>
  <c r="AN634" i="13"/>
  <c r="AN618" i="13"/>
  <c r="AN602" i="13"/>
  <c r="AN586" i="13"/>
  <c r="AN638" i="13"/>
  <c r="AN620" i="13"/>
  <c r="AN590" i="13"/>
  <c r="AN630" i="13"/>
  <c r="AN614" i="13"/>
  <c r="AN598" i="13"/>
  <c r="AN582" i="13"/>
  <c r="AN573" i="13"/>
  <c r="AN617" i="13"/>
  <c r="AN585" i="13"/>
  <c r="AN610" i="13"/>
  <c r="AN578" i="13"/>
  <c r="AN606" i="13"/>
  <c r="AN574" i="13"/>
  <c r="AN632" i="13"/>
  <c r="AN616" i="13"/>
  <c r="AN600" i="13"/>
  <c r="AN584" i="13"/>
  <c r="AN631" i="13"/>
  <c r="AN613" i="13"/>
  <c r="AN581" i="13"/>
  <c r="AN628" i="13"/>
  <c r="AN612" i="13"/>
  <c r="AN596" i="13"/>
  <c r="AN580" i="13"/>
  <c r="AN591" i="13"/>
  <c r="AN605" i="13"/>
  <c r="D18" i="15"/>
  <c r="B25" i="8"/>
  <c r="B25" i="9"/>
  <c r="B25" i="12"/>
  <c r="B25" i="5"/>
  <c r="B25" i="7"/>
  <c r="B25" i="6"/>
  <c r="B25" i="10"/>
  <c r="B25" i="11"/>
  <c r="B25" i="4"/>
  <c r="AI47" i="2"/>
  <c r="AN566" i="13"/>
  <c r="AN50" i="13"/>
  <c r="AN571" i="13"/>
  <c r="S3" i="18"/>
  <c r="C3" i="18"/>
  <c r="G3" i="18"/>
  <c r="H12" i="7"/>
  <c r="CG12" i="7"/>
  <c r="AN567" i="13"/>
  <c r="AN565" i="13"/>
  <c r="AN569" i="13"/>
  <c r="AN564" i="13"/>
  <c r="AN563" i="13"/>
  <c r="AN568" i="13"/>
  <c r="AF44" i="3"/>
  <c r="AZ1091" i="13" s="1"/>
  <c r="R39" i="3"/>
  <c r="Q6" i="15" s="1"/>
  <c r="Q8" i="15" s="1"/>
  <c r="AC44" i="3"/>
  <c r="T39" i="3"/>
  <c r="S7" i="3" s="1"/>
  <c r="Q40" i="3"/>
  <c r="AN560" i="13"/>
  <c r="AN552" i="13"/>
  <c r="AN544" i="13"/>
  <c r="AN559" i="13"/>
  <c r="AN551" i="13"/>
  <c r="AN543" i="13"/>
  <c r="AN558" i="13"/>
  <c r="AN550" i="13"/>
  <c r="AN542" i="13"/>
  <c r="AN557" i="13"/>
  <c r="AN549" i="13"/>
  <c r="AN541" i="13"/>
  <c r="AN556" i="13"/>
  <c r="AN548" i="13"/>
  <c r="AN540" i="13"/>
  <c r="AN555" i="13"/>
  <c r="AN547" i="13"/>
  <c r="AN562" i="13"/>
  <c r="AN554" i="13"/>
  <c r="AN546" i="13"/>
  <c r="AN561" i="13"/>
  <c r="AN553" i="13"/>
  <c r="AN545" i="13"/>
  <c r="AN539" i="13"/>
  <c r="Q12" i="7"/>
  <c r="R12" i="7" s="1"/>
  <c r="BG1065" i="13"/>
  <c r="S40" i="3"/>
  <c r="Q5" i="15"/>
  <c r="Q5" i="4"/>
  <c r="Q5" i="10"/>
  <c r="Q5" i="11"/>
  <c r="Q5" i="6"/>
  <c r="Q5" i="9"/>
  <c r="Q5" i="8"/>
  <c r="Q5" i="5"/>
  <c r="W37" i="15"/>
  <c r="Q5" i="7"/>
  <c r="Q5" i="12"/>
  <c r="AN537" i="13"/>
  <c r="AN529" i="13"/>
  <c r="AN532" i="13"/>
  <c r="AN535" i="13"/>
  <c r="AN538" i="13"/>
  <c r="AN530" i="13"/>
  <c r="AN533" i="13"/>
  <c r="AN536" i="13"/>
  <c r="AN531" i="13"/>
  <c r="AN534" i="13"/>
  <c r="AN98" i="13"/>
  <c r="AN517" i="13"/>
  <c r="AN509" i="13"/>
  <c r="AN525" i="13"/>
  <c r="AN505" i="13"/>
  <c r="AN521" i="13"/>
  <c r="AN513" i="13"/>
  <c r="AN524" i="13"/>
  <c r="AN510" i="13"/>
  <c r="AN526" i="13"/>
  <c r="AN520" i="13"/>
  <c r="AN516" i="13"/>
  <c r="AN467" i="13"/>
  <c r="AN491" i="13"/>
  <c r="AN487" i="13"/>
  <c r="AN448" i="13"/>
  <c r="AN432" i="13"/>
  <c r="AN500" i="13"/>
  <c r="AN484" i="13"/>
  <c r="AN468" i="13"/>
  <c r="AN453" i="13"/>
  <c r="AN437" i="13"/>
  <c r="AN421" i="13"/>
  <c r="AN489" i="13"/>
  <c r="AN473" i="13"/>
  <c r="AN458" i="13"/>
  <c r="AN442" i="13"/>
  <c r="AN426" i="13"/>
  <c r="AN494" i="13"/>
  <c r="AN478" i="13"/>
  <c r="AN447" i="13"/>
  <c r="AN431" i="13"/>
  <c r="AN506" i="13"/>
  <c r="AN504" i="13"/>
  <c r="AN441" i="13"/>
  <c r="AN446" i="13"/>
  <c r="AN498" i="13"/>
  <c r="AN519" i="13"/>
  <c r="AN527" i="13"/>
  <c r="AN515" i="13"/>
  <c r="AN528" i="13"/>
  <c r="AN507" i="13"/>
  <c r="AN495" i="13"/>
  <c r="AN475" i="13"/>
  <c r="AN471" i="13"/>
  <c r="AN444" i="13"/>
  <c r="AN428" i="13"/>
  <c r="AN496" i="13"/>
  <c r="AN480" i="13"/>
  <c r="AN464" i="13"/>
  <c r="AN449" i="13"/>
  <c r="AN433" i="13"/>
  <c r="AN501" i="13"/>
  <c r="AN485" i="13"/>
  <c r="AN469" i="13"/>
  <c r="AN454" i="13"/>
  <c r="AN438" i="13"/>
  <c r="AN422" i="13"/>
  <c r="AN490" i="13"/>
  <c r="AN474" i="13"/>
  <c r="AN459" i="13"/>
  <c r="AN443" i="13"/>
  <c r="AN427" i="13"/>
  <c r="AN512" i="13"/>
  <c r="AN436" i="13"/>
  <c r="AN425" i="13"/>
  <c r="AN462" i="13"/>
  <c r="AN482" i="13"/>
  <c r="AN435" i="13"/>
  <c r="AN514" i="13"/>
  <c r="AN511" i="13"/>
  <c r="AN508" i="13"/>
  <c r="AN523" i="13"/>
  <c r="AN499" i="13"/>
  <c r="AN479" i="13"/>
  <c r="AN460" i="13"/>
  <c r="AN456" i="13"/>
  <c r="AN440" i="13"/>
  <c r="AN424" i="13"/>
  <c r="AN492" i="13"/>
  <c r="AN476" i="13"/>
  <c r="AN461" i="13"/>
  <c r="AN445" i="13"/>
  <c r="AN429" i="13"/>
  <c r="AN497" i="13"/>
  <c r="AN481" i="13"/>
  <c r="AN465" i="13"/>
  <c r="AN450" i="13"/>
  <c r="AN434" i="13"/>
  <c r="AN502" i="13"/>
  <c r="AN486" i="13"/>
  <c r="AN470" i="13"/>
  <c r="AN455" i="13"/>
  <c r="AN439" i="13"/>
  <c r="AN423" i="13"/>
  <c r="AN522" i="13"/>
  <c r="AN518" i="13"/>
  <c r="AN483" i="13"/>
  <c r="AN463" i="13"/>
  <c r="AN503" i="13"/>
  <c r="AN452" i="13"/>
  <c r="AN488" i="13"/>
  <c r="AN472" i="13"/>
  <c r="AN457" i="13"/>
  <c r="AN493" i="13"/>
  <c r="AN477" i="13"/>
  <c r="AN430" i="13"/>
  <c r="AN466" i="13"/>
  <c r="AN451" i="13"/>
  <c r="AN420" i="13"/>
  <c r="AN417" i="13"/>
  <c r="AN413" i="13"/>
  <c r="AN419" i="13"/>
  <c r="AN418" i="13"/>
  <c r="AN415" i="13"/>
  <c r="AN416" i="13"/>
  <c r="AN414" i="13"/>
  <c r="AC17" i="2"/>
  <c r="M15" i="10"/>
  <c r="CD15" i="10" s="1"/>
  <c r="CC15" i="10"/>
  <c r="M15" i="15"/>
  <c r="CD15" i="15" s="1"/>
  <c r="CC15" i="15"/>
  <c r="BB12" i="7"/>
  <c r="AX12" i="7"/>
  <c r="AZ12" i="7" s="1"/>
  <c r="BC12" i="7"/>
  <c r="M15" i="9"/>
  <c r="CD15" i="9" s="1"/>
  <c r="CC15" i="9"/>
  <c r="M15" i="8"/>
  <c r="CD15" i="8" s="1"/>
  <c r="CC15" i="8"/>
  <c r="M15" i="6"/>
  <c r="CD15" i="6" s="1"/>
  <c r="CC15" i="6"/>
  <c r="CE12" i="7"/>
  <c r="D18" i="8"/>
  <c r="D18" i="5"/>
  <c r="D18" i="9"/>
  <c r="D18" i="12"/>
  <c r="D18" i="6"/>
  <c r="D18" i="4"/>
  <c r="D18" i="10"/>
  <c r="D18" i="7"/>
  <c r="D18" i="11"/>
  <c r="B25" i="15"/>
  <c r="AB36" i="8"/>
  <c r="AA39" i="8" s="1"/>
  <c r="AB36" i="6"/>
  <c r="AA39" i="6" s="1"/>
  <c r="AB36" i="5"/>
  <c r="AB46" i="5" s="1"/>
  <c r="AB36" i="7"/>
  <c r="AA39" i="7" s="1"/>
  <c r="AB36" i="10"/>
  <c r="AB42" i="10" s="1"/>
  <c r="AC42" i="10" s="1"/>
  <c r="AB36" i="12"/>
  <c r="AA39" i="12" s="1"/>
  <c r="AB36" i="11"/>
  <c r="AB36" i="9"/>
  <c r="AB47" i="9" s="1"/>
  <c r="AB36" i="4"/>
  <c r="AB51" i="4" s="1"/>
  <c r="AU12" i="7"/>
  <c r="V10" i="17"/>
  <c r="V9" i="17"/>
  <c r="V13" i="17" s="1"/>
  <c r="B3" i="17" s="1"/>
  <c r="AC33" i="2"/>
  <c r="AC34" i="2" s="1"/>
  <c r="AZ1062" i="13"/>
  <c r="AZ1061" i="13"/>
  <c r="AZ1065" i="13"/>
  <c r="AZ1064" i="13"/>
  <c r="AZ1060" i="13"/>
  <c r="BF1065" i="13"/>
  <c r="AZ1063" i="13"/>
  <c r="AZ1071" i="13"/>
  <c r="F19" i="14"/>
  <c r="BB1061" i="13"/>
  <c r="F24" i="14"/>
  <c r="AM1064" i="13"/>
  <c r="R1075" i="13" s="1"/>
  <c r="H1075" i="13" s="1"/>
  <c r="AN176" i="13"/>
  <c r="AN88" i="13"/>
  <c r="AN412" i="13"/>
  <c r="AN392" i="13"/>
  <c r="AN374" i="13"/>
  <c r="AN354" i="13"/>
  <c r="AN334" i="13"/>
  <c r="AN314" i="13"/>
  <c r="AN297" i="13"/>
  <c r="AN273" i="13"/>
  <c r="AN404" i="13"/>
  <c r="AN388" i="13"/>
  <c r="AN366" i="13"/>
  <c r="AN350" i="13"/>
  <c r="AN330" i="13"/>
  <c r="AN305" i="13"/>
  <c r="AN291" i="13"/>
  <c r="AN283" i="13"/>
  <c r="AN253" i="13"/>
  <c r="AN245" i="13"/>
  <c r="AN237" i="13"/>
  <c r="AN229" i="13"/>
  <c r="AN221" i="13"/>
  <c r="AN213" i="13"/>
  <c r="AN206" i="13"/>
  <c r="AN198" i="13"/>
  <c r="AN190" i="13"/>
  <c r="AN182" i="13"/>
  <c r="AN173" i="13"/>
  <c r="AN356" i="13"/>
  <c r="AN312" i="13"/>
  <c r="AN271" i="13"/>
  <c r="AN167" i="13"/>
  <c r="AN153" i="13"/>
  <c r="AN144" i="13"/>
  <c r="AN138" i="13"/>
  <c r="AN131" i="13"/>
  <c r="AN123" i="13"/>
  <c r="AN116" i="13"/>
  <c r="AN108" i="13"/>
  <c r="AN100" i="13"/>
  <c r="AN91" i="13"/>
  <c r="AN408" i="13"/>
  <c r="AN386" i="13"/>
  <c r="AN368" i="13"/>
  <c r="AN348" i="13"/>
  <c r="AN326" i="13"/>
  <c r="AN311" i="13"/>
  <c r="AN293" i="13"/>
  <c r="AN269" i="13"/>
  <c r="AN400" i="13"/>
  <c r="AN376" i="13"/>
  <c r="AN362" i="13"/>
  <c r="AN346" i="13"/>
  <c r="AN328" i="13"/>
  <c r="AN301" i="13"/>
  <c r="AN289" i="13"/>
  <c r="AN259" i="13"/>
  <c r="AN251" i="13"/>
  <c r="AN243" i="13"/>
  <c r="AN235" i="13"/>
  <c r="AN227" i="13"/>
  <c r="AN219" i="13"/>
  <c r="AN211" i="13"/>
  <c r="AN204" i="13"/>
  <c r="AN196" i="13"/>
  <c r="AN188" i="13"/>
  <c r="AN180" i="13"/>
  <c r="AN171" i="13"/>
  <c r="AN394" i="13"/>
  <c r="AN340" i="13"/>
  <c r="AN309" i="13"/>
  <c r="AN267" i="13"/>
  <c r="AN165" i="13"/>
  <c r="AN151" i="13"/>
  <c r="AN142" i="13"/>
  <c r="AN136" i="13"/>
  <c r="AN129" i="13"/>
  <c r="AN114" i="13"/>
  <c r="AN106" i="13"/>
  <c r="AN97" i="13"/>
  <c r="AN402" i="13"/>
  <c r="AN382" i="13"/>
  <c r="AN364" i="13"/>
  <c r="AN342" i="13"/>
  <c r="AN322" i="13"/>
  <c r="AN307" i="13"/>
  <c r="AN281" i="13"/>
  <c r="AN265" i="13"/>
  <c r="AN410" i="13"/>
  <c r="AN398" i="13"/>
  <c r="AN372" i="13"/>
  <c r="AN360" i="13"/>
  <c r="AN344" i="13"/>
  <c r="AN324" i="13"/>
  <c r="AN299" i="13"/>
  <c r="AN287" i="13"/>
  <c r="AN257" i="13"/>
  <c r="AN249" i="13"/>
  <c r="AN241" i="13"/>
  <c r="AN233" i="13"/>
  <c r="AN225" i="13"/>
  <c r="AN217" i="13"/>
  <c r="AN209" i="13"/>
  <c r="AN202" i="13"/>
  <c r="AN194" i="13"/>
  <c r="AN186" i="13"/>
  <c r="AN178" i="13"/>
  <c r="AN384" i="13"/>
  <c r="AN336" i="13"/>
  <c r="AN279" i="13"/>
  <c r="AN263" i="13"/>
  <c r="AN163" i="13"/>
  <c r="AN157" i="13"/>
  <c r="AN149" i="13"/>
  <c r="AN141" i="13"/>
  <c r="AN134" i="13"/>
  <c r="AN127" i="13"/>
  <c r="AN120" i="13"/>
  <c r="AN112" i="13"/>
  <c r="AN104" i="13"/>
  <c r="AN95" i="13"/>
  <c r="AN396" i="13"/>
  <c r="AN378" i="13"/>
  <c r="AN358" i="13"/>
  <c r="AN338" i="13"/>
  <c r="AN318" i="13"/>
  <c r="AN303" i="13"/>
  <c r="AN277" i="13"/>
  <c r="AN261" i="13"/>
  <c r="AN406" i="13"/>
  <c r="AN390" i="13"/>
  <c r="AN370" i="13"/>
  <c r="AN352" i="13"/>
  <c r="AN332" i="13"/>
  <c r="AN316" i="13"/>
  <c r="AN295" i="13"/>
  <c r="AN285" i="13"/>
  <c r="AN255" i="13"/>
  <c r="AN247" i="13"/>
  <c r="AN239" i="13"/>
  <c r="AN231" i="13"/>
  <c r="AN223" i="13"/>
  <c r="AN215" i="13"/>
  <c r="AN208" i="13"/>
  <c r="AN200" i="13"/>
  <c r="AN192" i="13"/>
  <c r="AN184" i="13"/>
  <c r="AN175" i="13"/>
  <c r="AN380" i="13"/>
  <c r="AN320" i="13"/>
  <c r="AN275" i="13"/>
  <c r="AN169" i="13"/>
  <c r="AN161" i="13"/>
  <c r="AN155" i="13"/>
  <c r="AN147" i="13"/>
  <c r="AN125" i="13"/>
  <c r="AN118" i="13"/>
  <c r="AN110" i="13"/>
  <c r="AN102" i="13"/>
  <c r="AN93" i="13"/>
  <c r="AN89" i="13"/>
  <c r="AN80" i="13"/>
  <c r="AN72" i="13"/>
  <c r="AN64" i="13"/>
  <c r="AN56" i="13"/>
  <c r="AN47" i="13"/>
  <c r="AN39" i="13"/>
  <c r="AN31" i="13"/>
  <c r="AN23" i="13"/>
  <c r="AN15" i="13"/>
  <c r="AN7" i="13"/>
  <c r="AN308" i="13"/>
  <c r="AN300" i="13"/>
  <c r="AN292" i="13"/>
  <c r="AN284" i="13"/>
  <c r="AN276" i="13"/>
  <c r="AN268" i="13"/>
  <c r="AN260" i="13"/>
  <c r="AN252" i="13"/>
  <c r="AN244" i="13"/>
  <c r="AN236" i="13"/>
  <c r="AN228" i="13"/>
  <c r="AN220" i="13"/>
  <c r="AN212" i="13"/>
  <c r="AN205" i="13"/>
  <c r="AN197" i="13"/>
  <c r="AN189" i="13"/>
  <c r="AN181" i="13"/>
  <c r="AN172" i="13"/>
  <c r="AN164" i="13"/>
  <c r="AN158" i="13"/>
  <c r="AN150" i="13"/>
  <c r="AN145" i="13"/>
  <c r="AN135" i="13"/>
  <c r="AN128" i="13"/>
  <c r="AN121" i="13"/>
  <c r="AN113" i="13"/>
  <c r="AN105" i="13"/>
  <c r="AN96" i="13"/>
  <c r="AN87" i="13"/>
  <c r="AN79" i="13"/>
  <c r="AN71" i="13"/>
  <c r="AN63" i="13"/>
  <c r="AN55" i="13"/>
  <c r="AN46" i="13"/>
  <c r="AN38" i="13"/>
  <c r="AN30" i="13"/>
  <c r="AN22" i="13"/>
  <c r="AN14" i="13"/>
  <c r="AN6" i="13"/>
  <c r="AN86" i="13"/>
  <c r="AN78" i="13"/>
  <c r="AN70" i="13"/>
  <c r="AN62" i="13"/>
  <c r="AN54" i="13"/>
  <c r="AN45" i="13"/>
  <c r="AN37" i="13"/>
  <c r="AN29" i="13"/>
  <c r="AN21" i="13"/>
  <c r="AN13" i="13"/>
  <c r="AN5" i="13"/>
  <c r="AN306" i="13"/>
  <c r="AN298" i="13"/>
  <c r="AN290" i="13"/>
  <c r="AN282" i="13"/>
  <c r="AN274" i="13"/>
  <c r="AN266" i="13"/>
  <c r="AN258" i="13"/>
  <c r="AN250" i="13"/>
  <c r="AN242" i="13"/>
  <c r="AN234" i="13"/>
  <c r="AN226" i="13"/>
  <c r="AN218" i="13"/>
  <c r="AN210" i="13"/>
  <c r="AN203" i="13"/>
  <c r="AN195" i="13"/>
  <c r="AN187" i="13"/>
  <c r="AN179" i="13"/>
  <c r="AN170" i="13"/>
  <c r="AN162" i="13"/>
  <c r="AN156" i="13"/>
  <c r="AN148" i="13"/>
  <c r="AN140" i="13"/>
  <c r="AN133" i="13"/>
  <c r="AN126" i="13"/>
  <c r="AN119" i="13"/>
  <c r="AN111" i="13"/>
  <c r="AN103" i="13"/>
  <c r="AN94" i="13"/>
  <c r="AN85" i="13"/>
  <c r="AN77" i="13"/>
  <c r="AN69" i="13"/>
  <c r="AN61" i="13"/>
  <c r="AN53" i="13"/>
  <c r="AN44" i="13"/>
  <c r="AN36" i="13"/>
  <c r="AN28" i="13"/>
  <c r="AN20" i="13"/>
  <c r="AN12" i="13"/>
  <c r="AN4" i="13"/>
  <c r="AN84" i="13"/>
  <c r="AN76" i="13"/>
  <c r="AN68" i="13"/>
  <c r="AN60" i="13"/>
  <c r="AN52" i="13"/>
  <c r="AN43" i="13"/>
  <c r="AN35" i="13"/>
  <c r="AN27" i="13"/>
  <c r="AN19" i="13"/>
  <c r="AN11" i="13"/>
  <c r="AN3" i="13"/>
  <c r="AN304" i="13"/>
  <c r="AN296" i="13"/>
  <c r="AN288" i="13"/>
  <c r="AN280" i="13"/>
  <c r="AN272" i="13"/>
  <c r="AN264" i="13"/>
  <c r="AN256" i="13"/>
  <c r="AN248" i="13"/>
  <c r="AN240" i="13"/>
  <c r="AN232" i="13"/>
  <c r="AN224" i="13"/>
  <c r="AN216" i="13"/>
  <c r="AN201" i="13"/>
  <c r="AN193" i="13"/>
  <c r="AN185" i="13"/>
  <c r="AN177" i="13"/>
  <c r="AN168" i="13"/>
  <c r="AN160" i="13"/>
  <c r="AN154" i="13"/>
  <c r="AN146" i="13"/>
  <c r="AN139" i="13"/>
  <c r="AN132" i="13"/>
  <c r="AN124" i="13"/>
  <c r="AN117" i="13"/>
  <c r="AN109" i="13"/>
  <c r="AN101" i="13"/>
  <c r="AN92" i="13"/>
  <c r="AN83" i="13"/>
  <c r="AN75" i="13"/>
  <c r="AN67" i="13"/>
  <c r="AN59" i="13"/>
  <c r="AN51" i="13"/>
  <c r="AN42" i="13"/>
  <c r="AN34" i="13"/>
  <c r="AN26" i="13"/>
  <c r="AN18" i="13"/>
  <c r="AN10" i="13"/>
  <c r="AN82" i="13"/>
  <c r="AN74" i="13"/>
  <c r="AN66" i="13"/>
  <c r="AN58" i="13"/>
  <c r="AN49" i="13"/>
  <c r="AN41" i="13"/>
  <c r="AN33" i="13"/>
  <c r="AN25" i="13"/>
  <c r="AN17" i="13"/>
  <c r="AN9" i="13"/>
  <c r="AN310" i="13"/>
  <c r="AN302" i="13"/>
  <c r="AN294" i="13"/>
  <c r="AN286" i="13"/>
  <c r="AN278" i="13"/>
  <c r="AN270" i="13"/>
  <c r="AN262" i="13"/>
  <c r="AN254" i="13"/>
  <c r="AN246" i="13"/>
  <c r="AN238" i="13"/>
  <c r="AN230" i="13"/>
  <c r="AN222" i="13"/>
  <c r="AN214" i="13"/>
  <c r="AN207" i="13"/>
  <c r="AN199" i="13"/>
  <c r="AN191" i="13"/>
  <c r="AN183" i="13"/>
  <c r="AN174" i="13"/>
  <c r="AN166" i="13"/>
  <c r="AN159" i="13"/>
  <c r="AN152" i="13"/>
  <c r="AN143" i="13"/>
  <c r="AN137" i="13"/>
  <c r="AN130" i="13"/>
  <c r="AN122" i="13"/>
  <c r="AN115" i="13"/>
  <c r="AN107" i="13"/>
  <c r="AN99" i="13"/>
  <c r="AN90" i="13"/>
  <c r="AN81" i="13"/>
  <c r="AN73" i="13"/>
  <c r="AN65" i="13"/>
  <c r="AN57" i="13"/>
  <c r="AN48" i="13"/>
  <c r="AN40" i="13"/>
  <c r="AN32" i="13"/>
  <c r="AN24" i="13"/>
  <c r="AN16" i="13"/>
  <c r="AN8" i="13"/>
  <c r="AN409" i="13"/>
  <c r="AN401" i="13"/>
  <c r="AN393" i="13"/>
  <c r="AN385" i="13"/>
  <c r="AN377" i="13"/>
  <c r="AN369" i="13"/>
  <c r="AN361" i="13"/>
  <c r="AN353" i="13"/>
  <c r="AN345" i="13"/>
  <c r="AN337" i="13"/>
  <c r="AN329" i="13"/>
  <c r="AN321" i="13"/>
  <c r="AN313" i="13"/>
  <c r="AN407" i="13"/>
  <c r="AN399" i="13"/>
  <c r="AN391" i="13"/>
  <c r="AN383" i="13"/>
  <c r="AN375" i="13"/>
  <c r="AN367" i="13"/>
  <c r="AN359" i="13"/>
  <c r="AN351" i="13"/>
  <c r="AN343" i="13"/>
  <c r="AN335" i="13"/>
  <c r="AN327" i="13"/>
  <c r="AN319" i="13"/>
  <c r="AN405" i="13"/>
  <c r="AN397" i="13"/>
  <c r="AN389" i="13"/>
  <c r="AN381" i="13"/>
  <c r="AN373" i="13"/>
  <c r="AN365" i="13"/>
  <c r="AN357" i="13"/>
  <c r="AN349" i="13"/>
  <c r="AN341" i="13"/>
  <c r="AN333" i="13"/>
  <c r="AN325" i="13"/>
  <c r="AN317" i="13"/>
  <c r="AN411" i="13"/>
  <c r="AN403" i="13"/>
  <c r="AN395" i="13"/>
  <c r="AN387" i="13"/>
  <c r="AN379" i="13"/>
  <c r="AN371" i="13"/>
  <c r="AN363" i="13"/>
  <c r="AN355" i="13"/>
  <c r="AN347" i="13"/>
  <c r="AN339" i="13"/>
  <c r="AN331" i="13"/>
  <c r="AN323" i="13"/>
  <c r="AN315" i="13"/>
  <c r="AN2" i="13"/>
  <c r="AM1063" i="13"/>
  <c r="R1074" i="13" s="1"/>
  <c r="H1074" i="13" s="1"/>
  <c r="AM1066" i="13"/>
  <c r="R1077" i="13" s="1"/>
  <c r="H1077" i="13" s="1"/>
  <c r="F28" i="14"/>
  <c r="AM1067" i="13"/>
  <c r="F23" i="14"/>
  <c r="BC1070" i="13"/>
  <c r="AM1071" i="13"/>
  <c r="AM1061" i="13"/>
  <c r="R1072" i="13" s="1"/>
  <c r="H1072" i="13" s="1"/>
  <c r="F18" i="14"/>
  <c r="AM1062" i="13"/>
  <c r="R1073" i="13" s="1"/>
  <c r="H1073" i="13" s="1"/>
  <c r="AM1065" i="13"/>
  <c r="R1076" i="13" s="1"/>
  <c r="H1076" i="13" s="1"/>
  <c r="BC1067" i="13"/>
  <c r="AM1068" i="13"/>
  <c r="F35" i="14"/>
  <c r="AM1072" i="13"/>
  <c r="R1083" i="13" s="1"/>
  <c r="H1083" i="13" s="1"/>
  <c r="J8" i="2"/>
  <c r="V10" i="2"/>
  <c r="AA1062" i="13"/>
  <c r="L1072" i="13"/>
  <c r="AA1069" i="13"/>
  <c r="H1079" i="13"/>
  <c r="E1079" i="13"/>
  <c r="L1079" i="13"/>
  <c r="I1079" i="13"/>
  <c r="F1079" i="13"/>
  <c r="K1079" i="13"/>
  <c r="G1079" i="13"/>
  <c r="J1079" i="13"/>
  <c r="L1076" i="13"/>
  <c r="AA1070" i="13"/>
  <c r="I1080" i="13"/>
  <c r="E1080" i="13"/>
  <c r="L1080" i="13"/>
  <c r="H1080" i="13"/>
  <c r="J1080" i="13"/>
  <c r="F1080" i="13"/>
  <c r="K1080" i="13"/>
  <c r="G1080" i="13"/>
  <c r="L1075" i="13"/>
  <c r="AA1067" i="13"/>
  <c r="L1077" i="13"/>
  <c r="AA1064" i="13"/>
  <c r="L1074" i="13"/>
  <c r="AA1072" i="13"/>
  <c r="G1082" i="13"/>
  <c r="L1082" i="13"/>
  <c r="H1082" i="13"/>
  <c r="K1082" i="13"/>
  <c r="F1082" i="13"/>
  <c r="E1082" i="13"/>
  <c r="J1082" i="13"/>
  <c r="I1082" i="13"/>
  <c r="AA1063" i="13"/>
  <c r="L1073" i="13"/>
  <c r="AA1071" i="13"/>
  <c r="K1081" i="13"/>
  <c r="G1081" i="13"/>
  <c r="J1081" i="13"/>
  <c r="F1081" i="13"/>
  <c r="L1081" i="13"/>
  <c r="H1081" i="13"/>
  <c r="I1081" i="13"/>
  <c r="E1081" i="13"/>
  <c r="AA1068" i="13"/>
  <c r="J1078" i="13"/>
  <c r="I1078" i="13"/>
  <c r="F1078" i="13"/>
  <c r="L1078" i="13"/>
  <c r="E1078" i="13"/>
  <c r="G1078" i="13"/>
  <c r="H1078" i="13"/>
  <c r="K1078" i="13"/>
  <c r="AA1066" i="13"/>
  <c r="R37" i="3"/>
  <c r="T37" i="3"/>
  <c r="D28" i="9"/>
  <c r="AY1066" i="13"/>
  <c r="BD1066" i="13" s="1"/>
  <c r="AE58" i="6"/>
  <c r="AE74" i="15"/>
  <c r="AE58" i="8"/>
  <c r="AE74" i="5"/>
  <c r="AE58" i="10"/>
  <c r="AE74" i="10"/>
  <c r="AE58" i="9"/>
  <c r="AE74" i="7"/>
  <c r="AE58" i="12"/>
  <c r="AE74" i="9"/>
  <c r="AE74" i="4"/>
  <c r="AE74" i="12"/>
  <c r="AE58" i="11"/>
  <c r="AE74" i="11"/>
  <c r="AE74" i="6"/>
  <c r="AE58" i="5"/>
  <c r="AE58" i="4"/>
  <c r="AE74" i="8"/>
  <c r="AE58" i="7"/>
  <c r="AE58" i="15"/>
  <c r="AQ1065" i="13"/>
  <c r="AY1069" i="13"/>
  <c r="BD1069" i="13" s="1"/>
  <c r="N23" i="14"/>
  <c r="AY1064" i="13"/>
  <c r="BD1064" i="13" s="1"/>
  <c r="AT12" i="7"/>
  <c r="AR12" i="7" s="1"/>
  <c r="AY1068" i="13"/>
  <c r="BD1068" i="13" s="1"/>
  <c r="AJ1072" i="13"/>
  <c r="O1083" i="13" s="1"/>
  <c r="E1083" i="13" s="1"/>
  <c r="AY1070" i="13"/>
  <c r="BD1070" i="13" s="1"/>
  <c r="AD9" i="2"/>
  <c r="D28" i="4"/>
  <c r="C29" i="4" s="1"/>
  <c r="C30" i="4" s="1"/>
  <c r="D28" i="15"/>
  <c r="C29" i="15" s="1"/>
  <c r="C30" i="15" s="1"/>
  <c r="D28" i="10"/>
  <c r="C29" i="10" s="1"/>
  <c r="C30" i="10" s="1"/>
  <c r="BC1061" i="13"/>
  <c r="BC1065" i="13"/>
  <c r="D28" i="12"/>
  <c r="C29" i="12" s="1"/>
  <c r="C30" i="12" s="1"/>
  <c r="D28" i="11"/>
  <c r="AF11" i="2"/>
  <c r="AF9" i="2"/>
  <c r="AD13" i="2"/>
  <c r="AC6" i="2"/>
  <c r="C14" i="2"/>
  <c r="C12" i="2" s="1"/>
  <c r="I6" i="2"/>
  <c r="U9" i="2" s="1"/>
  <c r="D28" i="8"/>
  <c r="C29" i="8" s="1"/>
  <c r="C30" i="8" s="1"/>
  <c r="D28" i="5"/>
  <c r="C29" i="5" s="1"/>
  <c r="C30" i="5" s="1"/>
  <c r="D28" i="6"/>
  <c r="D28" i="7"/>
  <c r="C29" i="7" s="1"/>
  <c r="C30" i="7" s="1"/>
  <c r="AF13" i="2"/>
  <c r="AF4" i="2"/>
  <c r="AH6" i="2"/>
  <c r="M21" i="2"/>
  <c r="M28" i="2"/>
  <c r="I26" i="2"/>
  <c r="J18" i="2"/>
  <c r="AG4" i="2"/>
  <c r="J26" i="2"/>
  <c r="J25" i="2"/>
  <c r="AJ46" i="2" s="1"/>
  <c r="AJ47" i="2" s="1"/>
  <c r="I28" i="2"/>
  <c r="AB49" i="15"/>
  <c r="AB42" i="15"/>
  <c r="AC42" i="15" s="1"/>
  <c r="AA39" i="15"/>
  <c r="AB50" i="15"/>
  <c r="AB45" i="15"/>
  <c r="AB51" i="15"/>
  <c r="AA38" i="15"/>
  <c r="AB43" i="15"/>
  <c r="AC43" i="15" s="1"/>
  <c r="AB41" i="15"/>
  <c r="AB46" i="15"/>
  <c r="AY1065" i="13"/>
  <c r="AN1066" i="13"/>
  <c r="S1077" i="13" s="1"/>
  <c r="I1077" i="13" s="1"/>
  <c r="BB1065" i="13"/>
  <c r="AK1066" i="13"/>
  <c r="P1077" i="13" s="1"/>
  <c r="F1077" i="13" s="1"/>
  <c r="AL1066" i="13"/>
  <c r="Q1077" i="13" s="1"/>
  <c r="G1077" i="13" s="1"/>
  <c r="AJ1066" i="13"/>
  <c r="O1077" i="13" s="1"/>
  <c r="E1077" i="13" s="1"/>
  <c r="AP1065" i="13"/>
  <c r="U1077" i="13" s="1"/>
  <c r="K1077" i="13" s="1"/>
  <c r="N24" i="14"/>
  <c r="AO1066" i="13"/>
  <c r="T1077" i="13" s="1"/>
  <c r="J1077" i="13" s="1"/>
  <c r="BB1067" i="13"/>
  <c r="AJ1068" i="13"/>
  <c r="AL1068" i="13"/>
  <c r="AK1068" i="13"/>
  <c r="AQ1067" i="13"/>
  <c r="AN1068" i="13"/>
  <c r="AO1068" i="13"/>
  <c r="N28" i="14"/>
  <c r="AP1067" i="13"/>
  <c r="BC1060" i="13"/>
  <c r="AL1071" i="13"/>
  <c r="AK1071" i="13"/>
  <c r="N35" i="14"/>
  <c r="AQ1070" i="13"/>
  <c r="AP1070" i="13"/>
  <c r="AN1071" i="13"/>
  <c r="AJ1071" i="13"/>
  <c r="AO1071" i="13"/>
  <c r="BB1070" i="13"/>
  <c r="AS12" i="7"/>
  <c r="G12" i="7"/>
  <c r="T34" i="7"/>
  <c r="S45" i="7" s="1"/>
  <c r="T37" i="7"/>
  <c r="AE6" i="2"/>
  <c r="AD4" i="2"/>
  <c r="R36" i="3"/>
  <c r="C13" i="10"/>
  <c r="L32" i="2"/>
  <c r="L33" i="2" s="1"/>
  <c r="L34" i="2" s="1"/>
  <c r="L35" i="2" s="1"/>
  <c r="L36" i="2" s="1"/>
  <c r="L37" i="2" s="1"/>
  <c r="C13" i="8"/>
  <c r="C13" i="5"/>
  <c r="C13" i="9"/>
  <c r="C13" i="15"/>
  <c r="C13" i="12"/>
  <c r="C13" i="6"/>
  <c r="C13" i="11"/>
  <c r="C13" i="4"/>
  <c r="AD11" i="2"/>
  <c r="AY1060" i="13"/>
  <c r="P42" i="3"/>
  <c r="AP1060" i="13"/>
  <c r="U1072" i="13" s="1"/>
  <c r="K1072" i="13" s="1"/>
  <c r="AL1061" i="13"/>
  <c r="Q1072" i="13" s="1"/>
  <c r="G1072" i="13" s="1"/>
  <c r="AQ1060" i="13"/>
  <c r="BB1060" i="13"/>
  <c r="F13" i="14"/>
  <c r="AK1061" i="13"/>
  <c r="P1072" i="13" s="1"/>
  <c r="F1072" i="13" s="1"/>
  <c r="AO1061" i="13"/>
  <c r="T1072" i="13" s="1"/>
  <c r="J1072" i="13" s="1"/>
  <c r="AJ1061" i="13"/>
  <c r="O1072" i="13" s="1"/>
  <c r="E1072" i="13" s="1"/>
  <c r="AN1061" i="13"/>
  <c r="S1072" i="13" s="1"/>
  <c r="I1072" i="13" s="1"/>
  <c r="AJ1067" i="13"/>
  <c r="AN1067" i="13"/>
  <c r="BB1066" i="13"/>
  <c r="AQ1066" i="13"/>
  <c r="AY1067" i="13"/>
  <c r="BD1067" i="13" s="1"/>
  <c r="AO1063" i="13"/>
  <c r="T1074" i="13" s="1"/>
  <c r="J1074" i="13" s="1"/>
  <c r="AP1066" i="13"/>
  <c r="AL1067" i="13"/>
  <c r="BC1066" i="13"/>
  <c r="AO1067" i="13"/>
  <c r="AK1067" i="13"/>
  <c r="AK1062" i="13"/>
  <c r="P1073" i="13" s="1"/>
  <c r="F1073" i="13" s="1"/>
  <c r="AL1062" i="13"/>
  <c r="Q1073" i="13" s="1"/>
  <c r="G1073" i="13" s="1"/>
  <c r="AY1061" i="13"/>
  <c r="BD1061" i="13" s="1"/>
  <c r="AO1062" i="13"/>
  <c r="T1073" i="13" s="1"/>
  <c r="J1073" i="13" s="1"/>
  <c r="AQ1061" i="13"/>
  <c r="AN1062" i="13"/>
  <c r="S1073" i="13" s="1"/>
  <c r="I1073" i="13" s="1"/>
  <c r="AP1061" i="13"/>
  <c r="U1073" i="13" s="1"/>
  <c r="K1073" i="13" s="1"/>
  <c r="AJ1062" i="13"/>
  <c r="O1073" i="13" s="1"/>
  <c r="E1073" i="13" s="1"/>
  <c r="AP1071" i="13"/>
  <c r="U1083" i="13" s="1"/>
  <c r="K1083" i="13" s="1"/>
  <c r="AQ1071" i="13"/>
  <c r="Y1068" i="13" s="1"/>
  <c r="Y1069" i="13" s="1"/>
  <c r="AL1072" i="13"/>
  <c r="Q1083" i="13" s="1"/>
  <c r="G1083" i="13" s="1"/>
  <c r="AY1063" i="13"/>
  <c r="BD1063" i="13" s="1"/>
  <c r="AJ1064" i="13"/>
  <c r="O1075" i="13" s="1"/>
  <c r="E1075" i="13" s="1"/>
  <c r="AN1064" i="13"/>
  <c r="S1075" i="13" s="1"/>
  <c r="I1075" i="13" s="1"/>
  <c r="BC1063" i="13"/>
  <c r="BB1063" i="13"/>
  <c r="AP1063" i="13"/>
  <c r="U1075" i="13" s="1"/>
  <c r="K1075" i="13" s="1"/>
  <c r="N13" i="14"/>
  <c r="AK1064" i="13"/>
  <c r="P1075" i="13" s="1"/>
  <c r="F1075" i="13" s="1"/>
  <c r="AL1064" i="13"/>
  <c r="Q1075" i="13" s="1"/>
  <c r="G1075" i="13" s="1"/>
  <c r="AO1064" i="13"/>
  <c r="T1075" i="13" s="1"/>
  <c r="J1075" i="13" s="1"/>
  <c r="AQ1063" i="13"/>
  <c r="AL1063" i="13"/>
  <c r="Q1074" i="13" s="1"/>
  <c r="G1074" i="13" s="1"/>
  <c r="AQ1062" i="13"/>
  <c r="AJ1063" i="13"/>
  <c r="O1074" i="13" s="1"/>
  <c r="E1074" i="13" s="1"/>
  <c r="AP1062" i="13"/>
  <c r="U1074" i="13" s="1"/>
  <c r="K1074" i="13" s="1"/>
  <c r="AY1062" i="13"/>
  <c r="BD1062" i="13" s="1"/>
  <c r="BB1062" i="13"/>
  <c r="AK1063" i="13"/>
  <c r="P1074" i="13" s="1"/>
  <c r="F1074" i="13" s="1"/>
  <c r="BC1062" i="13"/>
  <c r="AN1063" i="13"/>
  <c r="S1074" i="13" s="1"/>
  <c r="I1074" i="13" s="1"/>
  <c r="AN1072" i="13"/>
  <c r="S1083" i="13" s="1"/>
  <c r="I1083" i="13" s="1"/>
  <c r="AK1072" i="13"/>
  <c r="P1083" i="13" s="1"/>
  <c r="F1083" i="13" s="1"/>
  <c r="AA1073" i="13"/>
  <c r="AY1071" i="13"/>
  <c r="BB1071" i="13"/>
  <c r="AO1072" i="13"/>
  <c r="T1083" i="13" s="1"/>
  <c r="J1083" i="13" s="1"/>
  <c r="BC1071" i="13"/>
  <c r="AK1065" i="13"/>
  <c r="P1076" i="13" s="1"/>
  <c r="F1076" i="13" s="1"/>
  <c r="AP1064" i="13"/>
  <c r="U1076" i="13" s="1"/>
  <c r="K1076" i="13" s="1"/>
  <c r="AQ1064" i="13"/>
  <c r="N18" i="14"/>
  <c r="AJ1065" i="13"/>
  <c r="O1076" i="13" s="1"/>
  <c r="E1076" i="13" s="1"/>
  <c r="BB1064" i="13"/>
  <c r="AO1065" i="13"/>
  <c r="T1076" i="13" s="1"/>
  <c r="J1076" i="13" s="1"/>
  <c r="BC1064" i="13"/>
  <c r="AN1065" i="13"/>
  <c r="S1076" i="13" s="1"/>
  <c r="I1076" i="13" s="1"/>
  <c r="AL1065" i="13"/>
  <c r="Q1076" i="13" s="1"/>
  <c r="G1076" i="13" s="1"/>
  <c r="BA1078" i="13"/>
  <c r="AO6" i="13" l="1"/>
  <c r="AO10" i="13"/>
  <c r="AO14" i="13"/>
  <c r="AO18" i="13"/>
  <c r="AO22" i="13"/>
  <c r="AO26" i="13"/>
  <c r="AO30" i="13"/>
  <c r="AO34" i="13"/>
  <c r="AO38" i="13"/>
  <c r="AO42" i="13"/>
  <c r="AO46" i="13"/>
  <c r="AO50" i="13"/>
  <c r="AO54" i="13"/>
  <c r="AO58" i="13"/>
  <c r="AO62" i="13"/>
  <c r="AO66" i="13"/>
  <c r="AO70" i="13"/>
  <c r="AO74" i="13"/>
  <c r="AO78" i="13"/>
  <c r="AO82" i="13"/>
  <c r="AO86" i="13"/>
  <c r="AO90" i="13"/>
  <c r="AO94" i="13"/>
  <c r="AO98" i="13"/>
  <c r="AO102" i="13"/>
  <c r="AO106" i="13"/>
  <c r="AO110" i="13"/>
  <c r="AO114" i="13"/>
  <c r="AO118" i="13"/>
  <c r="AO122" i="13"/>
  <c r="AO126" i="13"/>
  <c r="AO130" i="13"/>
  <c r="AO134" i="13"/>
  <c r="AO138" i="13"/>
  <c r="AO142" i="13"/>
  <c r="AO146" i="13"/>
  <c r="AO150" i="13"/>
  <c r="AO154" i="13"/>
  <c r="AO158" i="13"/>
  <c r="AO162" i="13"/>
  <c r="AO166" i="13"/>
  <c r="AO170" i="13"/>
  <c r="AO174" i="13"/>
  <c r="AO178" i="13"/>
  <c r="AO182" i="13"/>
  <c r="AO186" i="13"/>
  <c r="AO190" i="13"/>
  <c r="AO194" i="13"/>
  <c r="AO198" i="13"/>
  <c r="AO202" i="13"/>
  <c r="AO206" i="13"/>
  <c r="AO210" i="13"/>
  <c r="AO214" i="13"/>
  <c r="AO218" i="13"/>
  <c r="AO222" i="13"/>
  <c r="AO226" i="13"/>
  <c r="AO230" i="13"/>
  <c r="AO234" i="13"/>
  <c r="AO238" i="13"/>
  <c r="AO242" i="13"/>
  <c r="AO246" i="13"/>
  <c r="AO250" i="13"/>
  <c r="AO254" i="13"/>
  <c r="AO258" i="13"/>
  <c r="AO262" i="13"/>
  <c r="AO266" i="13"/>
  <c r="AO270" i="13"/>
  <c r="AO274" i="13"/>
  <c r="AO278" i="13"/>
  <c r="AO282" i="13"/>
  <c r="AO286" i="13"/>
  <c r="AO290" i="13"/>
  <c r="AO294" i="13"/>
  <c r="AO298" i="13"/>
  <c r="AO302" i="13"/>
  <c r="AO306" i="13"/>
  <c r="AO310" i="13"/>
  <c r="AO314" i="13"/>
  <c r="AO318" i="13"/>
  <c r="AO322" i="13"/>
  <c r="AO326" i="13"/>
  <c r="AO330" i="13"/>
  <c r="AO334" i="13"/>
  <c r="AO338" i="13"/>
  <c r="AO342" i="13"/>
  <c r="AO3" i="13"/>
  <c r="AO7" i="13"/>
  <c r="AO11" i="13"/>
  <c r="AO15" i="13"/>
  <c r="AO19" i="13"/>
  <c r="AO23" i="13"/>
  <c r="AO27" i="13"/>
  <c r="AO31" i="13"/>
  <c r="AO35" i="13"/>
  <c r="AO39" i="13"/>
  <c r="AO43" i="13"/>
  <c r="AO47" i="13"/>
  <c r="AO51" i="13"/>
  <c r="AO55" i="13"/>
  <c r="AO59" i="13"/>
  <c r="AO63" i="13"/>
  <c r="AO67" i="13"/>
  <c r="AO71" i="13"/>
  <c r="AO75" i="13"/>
  <c r="AO79" i="13"/>
  <c r="AO83" i="13"/>
  <c r="AO87" i="13"/>
  <c r="AO91" i="13"/>
  <c r="AO95" i="13"/>
  <c r="AO99" i="13"/>
  <c r="AO103" i="13"/>
  <c r="AO107" i="13"/>
  <c r="AO111" i="13"/>
  <c r="AO115" i="13"/>
  <c r="AO119" i="13"/>
  <c r="AO123" i="13"/>
  <c r="AO127" i="13"/>
  <c r="AO131" i="13"/>
  <c r="AO135" i="13"/>
  <c r="AO139" i="13"/>
  <c r="AO143" i="13"/>
  <c r="AO147" i="13"/>
  <c r="AO151" i="13"/>
  <c r="AO155" i="13"/>
  <c r="AO159" i="13"/>
  <c r="AO163" i="13"/>
  <c r="AO167" i="13"/>
  <c r="AO171" i="13"/>
  <c r="AO175" i="13"/>
  <c r="AO179" i="13"/>
  <c r="AO183" i="13"/>
  <c r="AO187" i="13"/>
  <c r="AO191" i="13"/>
  <c r="AO195" i="13"/>
  <c r="AO199" i="13"/>
  <c r="AO203" i="13"/>
  <c r="AO207" i="13"/>
  <c r="AO211" i="13"/>
  <c r="AO215" i="13"/>
  <c r="AO219" i="13"/>
  <c r="AO223" i="13"/>
  <c r="AO227" i="13"/>
  <c r="AO231" i="13"/>
  <c r="AO235" i="13"/>
  <c r="AO239" i="13"/>
  <c r="AO243" i="13"/>
  <c r="AO247" i="13"/>
  <c r="AO251" i="13"/>
  <c r="AO255" i="13"/>
  <c r="AO259" i="13"/>
  <c r="AO263" i="13"/>
  <c r="AO267" i="13"/>
  <c r="AO271" i="13"/>
  <c r="AO275" i="13"/>
  <c r="AO279" i="13"/>
  <c r="AO283" i="13"/>
  <c r="AO287" i="13"/>
  <c r="AO291" i="13"/>
  <c r="AO295" i="13"/>
  <c r="AO299" i="13"/>
  <c r="AO303" i="13"/>
  <c r="AO307" i="13"/>
  <c r="AO311" i="13"/>
  <c r="AO315" i="13"/>
  <c r="AO319" i="13"/>
  <c r="AO323" i="13"/>
  <c r="AO327" i="13"/>
  <c r="AO331" i="13"/>
  <c r="AO335" i="13"/>
  <c r="AO339" i="13"/>
  <c r="AO4" i="13"/>
  <c r="AO8" i="13"/>
  <c r="AO12" i="13"/>
  <c r="AO16" i="13"/>
  <c r="AO20" i="13"/>
  <c r="AO24" i="13"/>
  <c r="AO28" i="13"/>
  <c r="AO32" i="13"/>
  <c r="AO36" i="13"/>
  <c r="AO40" i="13"/>
  <c r="AO44" i="13"/>
  <c r="AO48" i="13"/>
  <c r="AO52" i="13"/>
  <c r="AO56" i="13"/>
  <c r="AO60" i="13"/>
  <c r="AO64" i="13"/>
  <c r="AO68" i="13"/>
  <c r="AO72" i="13"/>
  <c r="AO76" i="13"/>
  <c r="AO80" i="13"/>
  <c r="AO84" i="13"/>
  <c r="AO88" i="13"/>
  <c r="AO92" i="13"/>
  <c r="AO96" i="13"/>
  <c r="AO100" i="13"/>
  <c r="AO104" i="13"/>
  <c r="AO108" i="13"/>
  <c r="AO112" i="13"/>
  <c r="AO116" i="13"/>
  <c r="AO120" i="13"/>
  <c r="AO124" i="13"/>
  <c r="AO128" i="13"/>
  <c r="AO132" i="13"/>
  <c r="AO136" i="13"/>
  <c r="AO140" i="13"/>
  <c r="AO144" i="13"/>
  <c r="AO148" i="13"/>
  <c r="AO152" i="13"/>
  <c r="AO156" i="13"/>
  <c r="AO160" i="13"/>
  <c r="AO164" i="13"/>
  <c r="AO168" i="13"/>
  <c r="AO172" i="13"/>
  <c r="AO176" i="13"/>
  <c r="AO180" i="13"/>
  <c r="AO184" i="13"/>
  <c r="AO188" i="13"/>
  <c r="AO192" i="13"/>
  <c r="AO196" i="13"/>
  <c r="AO200" i="13"/>
  <c r="AO204" i="13"/>
  <c r="AO208" i="13"/>
  <c r="AO212" i="13"/>
  <c r="AO216" i="13"/>
  <c r="AO220" i="13"/>
  <c r="AO224" i="13"/>
  <c r="AO228" i="13"/>
  <c r="AO232" i="13"/>
  <c r="AO236" i="13"/>
  <c r="AO240" i="13"/>
  <c r="AO244" i="13"/>
  <c r="AO248" i="13"/>
  <c r="AO252" i="13"/>
  <c r="AO256" i="13"/>
  <c r="AO260" i="13"/>
  <c r="AO264" i="13"/>
  <c r="AO268" i="13"/>
  <c r="AO272" i="13"/>
  <c r="AO276" i="13"/>
  <c r="AO280" i="13"/>
  <c r="AO284" i="13"/>
  <c r="AO288" i="13"/>
  <c r="AO292" i="13"/>
  <c r="AO296" i="13"/>
  <c r="AO300" i="13"/>
  <c r="AO304" i="13"/>
  <c r="AO308" i="13"/>
  <c r="AO312" i="13"/>
  <c r="AO316" i="13"/>
  <c r="AO320" i="13"/>
  <c r="AO324" i="13"/>
  <c r="AO328" i="13"/>
  <c r="AO332" i="13"/>
  <c r="AO336" i="13"/>
  <c r="AO340" i="13"/>
  <c r="AO5" i="13"/>
  <c r="AO9" i="13"/>
  <c r="AO13" i="13"/>
  <c r="AO17" i="13"/>
  <c r="AO21" i="13"/>
  <c r="AO25" i="13"/>
  <c r="AO29" i="13"/>
  <c r="AO33" i="13"/>
  <c r="AO37" i="13"/>
  <c r="AO41" i="13"/>
  <c r="AO45" i="13"/>
  <c r="AO49" i="13"/>
  <c r="AO53" i="13"/>
  <c r="AO57" i="13"/>
  <c r="AO61" i="13"/>
  <c r="AO65" i="13"/>
  <c r="AO69" i="13"/>
  <c r="AO73" i="13"/>
  <c r="AO77" i="13"/>
  <c r="AO81" i="13"/>
  <c r="AO85" i="13"/>
  <c r="AO89" i="13"/>
  <c r="AO93" i="13"/>
  <c r="AO97" i="13"/>
  <c r="AO101" i="13"/>
  <c r="AO105" i="13"/>
  <c r="AO109" i="13"/>
  <c r="AO113" i="13"/>
  <c r="AO117" i="13"/>
  <c r="AO121" i="13"/>
  <c r="AO125" i="13"/>
  <c r="AO129" i="13"/>
  <c r="AO133" i="13"/>
  <c r="AO137" i="13"/>
  <c r="AO141" i="13"/>
  <c r="AO145" i="13"/>
  <c r="AO149" i="13"/>
  <c r="AO153" i="13"/>
  <c r="AO157" i="13"/>
  <c r="AO161" i="13"/>
  <c r="AO165" i="13"/>
  <c r="AO169" i="13"/>
  <c r="AO173" i="13"/>
  <c r="AO177" i="13"/>
  <c r="AO181" i="13"/>
  <c r="AO185" i="13"/>
  <c r="AO189" i="13"/>
  <c r="AO193" i="13"/>
  <c r="AO197" i="13"/>
  <c r="AO201" i="13"/>
  <c r="AO205" i="13"/>
  <c r="AO209" i="13"/>
  <c r="AO213" i="13"/>
  <c r="AO217" i="13"/>
  <c r="AO221" i="13"/>
  <c r="AO225" i="13"/>
  <c r="AO229" i="13"/>
  <c r="AO233" i="13"/>
  <c r="AO237" i="13"/>
  <c r="AO241" i="13"/>
  <c r="AO245" i="13"/>
  <c r="AO249" i="13"/>
  <c r="AO253" i="13"/>
  <c r="AO257" i="13"/>
  <c r="AO261" i="13"/>
  <c r="AO265" i="13"/>
  <c r="AO269" i="13"/>
  <c r="AO273" i="13"/>
  <c r="AO277" i="13"/>
  <c r="AO281" i="13"/>
  <c r="AO285" i="13"/>
  <c r="AO289" i="13"/>
  <c r="AO293" i="13"/>
  <c r="AO297" i="13"/>
  <c r="AO301" i="13"/>
  <c r="AO305" i="13"/>
  <c r="AO309" i="13"/>
  <c r="AO313" i="13"/>
  <c r="AO317" i="13"/>
  <c r="AO321" i="13"/>
  <c r="AO325" i="13"/>
  <c r="AO329" i="13"/>
  <c r="AO333" i="13"/>
  <c r="AO337" i="13"/>
  <c r="AO341" i="13"/>
  <c r="AO346" i="13"/>
  <c r="AO350" i="13"/>
  <c r="AO354" i="13"/>
  <c r="AO358" i="13"/>
  <c r="AO362" i="13"/>
  <c r="AO366" i="13"/>
  <c r="AO370" i="13"/>
  <c r="AO374" i="13"/>
  <c r="AO378" i="13"/>
  <c r="AO382" i="13"/>
  <c r="AO386" i="13"/>
  <c r="AO390" i="13"/>
  <c r="AO394" i="13"/>
  <c r="AO398" i="13"/>
  <c r="AO402" i="13"/>
  <c r="AO406" i="13"/>
  <c r="AO410" i="13"/>
  <c r="AO414" i="13"/>
  <c r="AO418" i="13"/>
  <c r="AO422" i="13"/>
  <c r="AO426" i="13"/>
  <c r="AO430" i="13"/>
  <c r="AO434" i="13"/>
  <c r="AO438" i="13"/>
  <c r="AO442" i="13"/>
  <c r="AO446" i="13"/>
  <c r="AO450" i="13"/>
  <c r="AO454" i="13"/>
  <c r="AO458" i="13"/>
  <c r="AO462" i="13"/>
  <c r="AO466" i="13"/>
  <c r="AO470" i="13"/>
  <c r="AO474" i="13"/>
  <c r="AO478" i="13"/>
  <c r="AO482" i="13"/>
  <c r="AO486" i="13"/>
  <c r="AO490" i="13"/>
  <c r="AO494" i="13"/>
  <c r="AO498" i="13"/>
  <c r="AO502" i="13"/>
  <c r="AO506" i="13"/>
  <c r="AO510" i="13"/>
  <c r="AO514" i="13"/>
  <c r="AO518" i="13"/>
  <c r="AO522" i="13"/>
  <c r="AO526" i="13"/>
  <c r="AO530" i="13"/>
  <c r="AO534" i="13"/>
  <c r="AO538" i="13"/>
  <c r="AO542" i="13"/>
  <c r="AO546" i="13"/>
  <c r="AO550" i="13"/>
  <c r="AO554" i="13"/>
  <c r="AO558" i="13"/>
  <c r="AO562" i="13"/>
  <c r="AO566" i="13"/>
  <c r="AO570" i="13"/>
  <c r="AO574" i="13"/>
  <c r="AO578" i="13"/>
  <c r="AO582" i="13"/>
  <c r="AO586" i="13"/>
  <c r="AO590" i="13"/>
  <c r="AO594" i="13"/>
  <c r="AO598" i="13"/>
  <c r="AO602" i="13"/>
  <c r="AO606" i="13"/>
  <c r="AO610" i="13"/>
  <c r="AO614" i="13"/>
  <c r="AO618" i="13"/>
  <c r="AO622" i="13"/>
  <c r="AO626" i="13"/>
  <c r="AO630" i="13"/>
  <c r="AO634" i="13"/>
  <c r="AO638" i="13"/>
  <c r="AO642" i="13"/>
  <c r="AO646" i="13"/>
  <c r="AO650" i="13"/>
  <c r="AO654" i="13"/>
  <c r="AO658" i="13"/>
  <c r="AO662" i="13"/>
  <c r="AO666" i="13"/>
  <c r="AO670" i="13"/>
  <c r="AO2" i="13"/>
  <c r="AO344" i="13"/>
  <c r="AO348" i="13"/>
  <c r="AO352" i="13"/>
  <c r="AO356" i="13"/>
  <c r="AO360" i="13"/>
  <c r="AO364" i="13"/>
  <c r="AO368" i="13"/>
  <c r="AO372" i="13"/>
  <c r="AO376" i="13"/>
  <c r="AO380" i="13"/>
  <c r="AO384" i="13"/>
  <c r="AO388" i="13"/>
  <c r="AO392" i="13"/>
  <c r="AO396" i="13"/>
  <c r="AO400" i="13"/>
  <c r="AO404" i="13"/>
  <c r="AO408" i="13"/>
  <c r="AO412" i="13"/>
  <c r="AO416" i="13"/>
  <c r="AO420" i="13"/>
  <c r="AO424" i="13"/>
  <c r="AO428" i="13"/>
  <c r="AO432" i="13"/>
  <c r="AO436" i="13"/>
  <c r="AO440" i="13"/>
  <c r="AO444" i="13"/>
  <c r="AO448" i="13"/>
  <c r="AO452" i="13"/>
  <c r="AO456" i="13"/>
  <c r="AO460" i="13"/>
  <c r="AO464" i="13"/>
  <c r="AO468" i="13"/>
  <c r="AO472" i="13"/>
  <c r="AO476" i="13"/>
  <c r="AO480" i="13"/>
  <c r="AO484" i="13"/>
  <c r="AO488" i="13"/>
  <c r="AO492" i="13"/>
  <c r="AO496" i="13"/>
  <c r="AO500" i="13"/>
  <c r="AO504" i="13"/>
  <c r="AO508" i="13"/>
  <c r="AO512" i="13"/>
  <c r="AO516" i="13"/>
  <c r="AO520" i="13"/>
  <c r="AO524" i="13"/>
  <c r="AO528" i="13"/>
  <c r="AO532" i="13"/>
  <c r="AO536" i="13"/>
  <c r="AO540" i="13"/>
  <c r="AO544" i="13"/>
  <c r="AO548" i="13"/>
  <c r="AO552" i="13"/>
  <c r="AO556" i="13"/>
  <c r="AO560" i="13"/>
  <c r="AO564" i="13"/>
  <c r="AO568" i="13"/>
  <c r="AO572" i="13"/>
  <c r="AO576" i="13"/>
  <c r="AO580" i="13"/>
  <c r="AO584" i="13"/>
  <c r="AO588" i="13"/>
  <c r="AO592" i="13"/>
  <c r="AO596" i="13"/>
  <c r="AO600" i="13"/>
  <c r="AO604" i="13"/>
  <c r="AO608" i="13"/>
  <c r="AO612" i="13"/>
  <c r="AO616" i="13"/>
  <c r="AO620" i="13"/>
  <c r="AO624" i="13"/>
  <c r="AO628" i="13"/>
  <c r="AO632" i="13"/>
  <c r="AO636" i="13"/>
  <c r="AO640" i="13"/>
  <c r="AO644" i="13"/>
  <c r="AO648" i="13"/>
  <c r="AO652" i="13"/>
  <c r="AO656" i="13"/>
  <c r="AO660" i="13"/>
  <c r="AO664" i="13"/>
  <c r="AO668" i="13"/>
  <c r="AO672" i="13"/>
  <c r="AO343" i="13"/>
  <c r="AO355" i="13"/>
  <c r="AO345" i="13"/>
  <c r="AO349" i="13"/>
  <c r="AO353" i="13"/>
  <c r="AO357" i="13"/>
  <c r="AO361" i="13"/>
  <c r="AO365" i="13"/>
  <c r="AO369" i="13"/>
  <c r="AO373" i="13"/>
  <c r="AO377" i="13"/>
  <c r="AO381" i="13"/>
  <c r="AO385" i="13"/>
  <c r="AO389" i="13"/>
  <c r="AO393" i="13"/>
  <c r="AO397" i="13"/>
  <c r="AO401" i="13"/>
  <c r="AO405" i="13"/>
  <c r="AO409" i="13"/>
  <c r="AO413" i="13"/>
  <c r="AO417" i="13"/>
  <c r="AO421" i="13"/>
  <c r="AO425" i="13"/>
  <c r="AO429" i="13"/>
  <c r="AO433" i="13"/>
  <c r="AO437" i="13"/>
  <c r="AO441" i="13"/>
  <c r="AO445" i="13"/>
  <c r="AO449" i="13"/>
  <c r="AO453" i="13"/>
  <c r="AO457" i="13"/>
  <c r="AO461" i="13"/>
  <c r="AO465" i="13"/>
  <c r="AO469" i="13"/>
  <c r="AO473" i="13"/>
  <c r="AO477" i="13"/>
  <c r="AO481" i="13"/>
  <c r="AO485" i="13"/>
  <c r="AO489" i="13"/>
  <c r="AO493" i="13"/>
  <c r="AO497" i="13"/>
  <c r="AO501" i="13"/>
  <c r="AO505" i="13"/>
  <c r="AO509" i="13"/>
  <c r="AO513" i="13"/>
  <c r="AO517" i="13"/>
  <c r="AO521" i="13"/>
  <c r="AO525" i="13"/>
  <c r="AO529" i="13"/>
  <c r="AO533" i="13"/>
  <c r="AO537" i="13"/>
  <c r="AO541" i="13"/>
  <c r="AO545" i="13"/>
  <c r="AO549" i="13"/>
  <c r="AO553" i="13"/>
  <c r="AO557" i="13"/>
  <c r="AO561" i="13"/>
  <c r="AO565" i="13"/>
  <c r="AO569" i="13"/>
  <c r="AO573" i="13"/>
  <c r="AO577" i="13"/>
  <c r="AO581" i="13"/>
  <c r="AO585" i="13"/>
  <c r="AO589" i="13"/>
  <c r="AO593" i="13"/>
  <c r="AO597" i="13"/>
  <c r="AO601" i="13"/>
  <c r="AO605" i="13"/>
  <c r="AO609" i="13"/>
  <c r="AO613" i="13"/>
  <c r="AO617" i="13"/>
  <c r="AO621" i="13"/>
  <c r="AO625" i="13"/>
  <c r="AO629" i="13"/>
  <c r="AO633" i="13"/>
  <c r="AO637" i="13"/>
  <c r="AO641" i="13"/>
  <c r="AO645" i="13"/>
  <c r="AO649" i="13"/>
  <c r="AO653" i="13"/>
  <c r="AO657" i="13"/>
  <c r="AO661" i="13"/>
  <c r="AO665" i="13"/>
  <c r="AO669" i="13"/>
  <c r="AO673" i="13"/>
  <c r="AO363" i="13"/>
  <c r="AO379" i="13"/>
  <c r="AO395" i="13"/>
  <c r="AO411" i="13"/>
  <c r="AO427" i="13"/>
  <c r="AO443" i="13"/>
  <c r="AO459" i="13"/>
  <c r="AO475" i="13"/>
  <c r="AO491" i="13"/>
  <c r="AO507" i="13"/>
  <c r="AO523" i="13"/>
  <c r="AO539" i="13"/>
  <c r="AO555" i="13"/>
  <c r="AO571" i="13"/>
  <c r="AO587" i="13"/>
  <c r="AO603" i="13"/>
  <c r="AO619" i="13"/>
  <c r="AO635" i="13"/>
  <c r="AO651" i="13"/>
  <c r="AO667" i="13"/>
  <c r="AO347" i="13"/>
  <c r="AO367" i="13"/>
  <c r="AO383" i="13"/>
  <c r="AO399" i="13"/>
  <c r="AO415" i="13"/>
  <c r="AO431" i="13"/>
  <c r="AO447" i="13"/>
  <c r="AO463" i="13"/>
  <c r="AO479" i="13"/>
  <c r="AO495" i="13"/>
  <c r="AO511" i="13"/>
  <c r="AO527" i="13"/>
  <c r="AO543" i="13"/>
  <c r="AO559" i="13"/>
  <c r="AO575" i="13"/>
  <c r="AO591" i="13"/>
  <c r="AO607" i="13"/>
  <c r="AO623" i="13"/>
  <c r="AO639" i="13"/>
  <c r="AO655" i="13"/>
  <c r="AO671" i="13"/>
  <c r="AO351" i="13"/>
  <c r="AO371" i="13"/>
  <c r="AO387" i="13"/>
  <c r="AO403" i="13"/>
  <c r="AO419" i="13"/>
  <c r="AO435" i="13"/>
  <c r="AO451" i="13"/>
  <c r="AO467" i="13"/>
  <c r="AO483" i="13"/>
  <c r="AO499" i="13"/>
  <c r="AO515" i="13"/>
  <c r="AO531" i="13"/>
  <c r="AO547" i="13"/>
  <c r="AO563" i="13"/>
  <c r="AO579" i="13"/>
  <c r="AO595" i="13"/>
  <c r="AO611" i="13"/>
  <c r="AO627" i="13"/>
  <c r="AO643" i="13"/>
  <c r="AO659" i="13"/>
  <c r="AO359" i="13"/>
  <c r="AO375" i="13"/>
  <c r="AO391" i="13"/>
  <c r="AO407" i="13"/>
  <c r="AO423" i="13"/>
  <c r="AO439" i="13"/>
  <c r="AO455" i="13"/>
  <c r="AO471" i="13"/>
  <c r="AO487" i="13"/>
  <c r="AO503" i="13"/>
  <c r="AO519" i="13"/>
  <c r="AO535" i="13"/>
  <c r="AO551" i="13"/>
  <c r="AO567" i="13"/>
  <c r="AO583" i="13"/>
  <c r="AO599" i="13"/>
  <c r="AO615" i="13"/>
  <c r="AO631" i="13"/>
  <c r="AO647" i="13"/>
  <c r="AO663" i="13"/>
  <c r="B27" i="10"/>
  <c r="B30" i="10"/>
  <c r="B32" i="10" s="1"/>
  <c r="B31" i="10"/>
  <c r="B33" i="10" s="1"/>
  <c r="B26" i="10"/>
  <c r="B28" i="10" s="1"/>
  <c r="B27" i="12"/>
  <c r="B30" i="12"/>
  <c r="B32" i="12" s="1"/>
  <c r="B31" i="12"/>
  <c r="B33" i="12" s="1"/>
  <c r="B26" i="12"/>
  <c r="B28" i="12" s="1"/>
  <c r="D29" i="6"/>
  <c r="D30" i="6" s="1"/>
  <c r="D31" i="6" s="1"/>
  <c r="C29" i="6"/>
  <c r="C30" i="6" s="1"/>
  <c r="B26" i="15"/>
  <c r="B28" i="15" s="1"/>
  <c r="B31" i="15"/>
  <c r="B33" i="15" s="1"/>
  <c r="B27" i="6"/>
  <c r="B26" i="6"/>
  <c r="B28" i="6" s="1"/>
  <c r="B31" i="6"/>
  <c r="B33" i="6" s="1"/>
  <c r="B30" i="6"/>
  <c r="B32" i="6" s="1"/>
  <c r="B27" i="9"/>
  <c r="B26" i="9"/>
  <c r="B28" i="9" s="1"/>
  <c r="B30" i="9"/>
  <c r="B32" i="9" s="1"/>
  <c r="B31" i="9"/>
  <c r="B33" i="9" s="1"/>
  <c r="D29" i="11"/>
  <c r="D30" i="11" s="1"/>
  <c r="D31" i="11" s="1"/>
  <c r="C29" i="11"/>
  <c r="C30" i="11" s="1"/>
  <c r="B27" i="4"/>
  <c r="B26" i="4"/>
  <c r="B28" i="4" s="1"/>
  <c r="B30" i="4"/>
  <c r="B32" i="4" s="1"/>
  <c r="B31" i="4"/>
  <c r="B33" i="4" s="1"/>
  <c r="B27" i="7"/>
  <c r="B31" i="7"/>
  <c r="B33" i="7" s="1"/>
  <c r="B26" i="7"/>
  <c r="B28" i="7" s="1"/>
  <c r="B30" i="7"/>
  <c r="B32" i="7" s="1"/>
  <c r="B27" i="8"/>
  <c r="B26" i="8"/>
  <c r="B28" i="8" s="1"/>
  <c r="B30" i="8"/>
  <c r="B32" i="8" s="1"/>
  <c r="B31" i="8"/>
  <c r="B33" i="8" s="1"/>
  <c r="D29" i="9"/>
  <c r="D30" i="9" s="1"/>
  <c r="D31" i="9" s="1"/>
  <c r="C29" i="9"/>
  <c r="C30" i="9" s="1"/>
  <c r="B27" i="11"/>
  <c r="B31" i="11"/>
  <c r="B33" i="11" s="1"/>
  <c r="B26" i="11"/>
  <c r="B28" i="11" s="1"/>
  <c r="B30" i="11"/>
  <c r="B32" i="11" s="1"/>
  <c r="B27" i="5"/>
  <c r="B30" i="5"/>
  <c r="B32" i="5" s="1"/>
  <c r="B31" i="5"/>
  <c r="B33" i="5" s="1"/>
  <c r="B26" i="5"/>
  <c r="B28" i="5" s="1"/>
  <c r="A19" i="15"/>
  <c r="A20" i="15" s="1"/>
  <c r="C19" i="15"/>
  <c r="C20" i="15" s="1"/>
  <c r="C19" i="11"/>
  <c r="C20" i="11" s="1"/>
  <c r="A19" i="11"/>
  <c r="A20" i="11" s="1"/>
  <c r="B19" i="11"/>
  <c r="B20" i="11" s="1"/>
  <c r="C19" i="8"/>
  <c r="C20" i="8" s="1"/>
  <c r="B19" i="8"/>
  <c r="B20" i="8" s="1"/>
  <c r="A19" i="8"/>
  <c r="A20" i="8" s="1"/>
  <c r="C19" i="7"/>
  <c r="C20" i="7" s="1"/>
  <c r="B19" i="7"/>
  <c r="B20" i="7" s="1"/>
  <c r="A19" i="7"/>
  <c r="A20" i="7" s="1"/>
  <c r="B19" i="4"/>
  <c r="B20" i="4" s="1"/>
  <c r="A19" i="4"/>
  <c r="A20" i="4" s="1"/>
  <c r="C19" i="4"/>
  <c r="C20" i="4" s="1"/>
  <c r="C19" i="6"/>
  <c r="C20" i="6" s="1"/>
  <c r="B19" i="6"/>
  <c r="B20" i="6" s="1"/>
  <c r="A19" i="6"/>
  <c r="A20" i="6" s="1"/>
  <c r="C19" i="5"/>
  <c r="C20" i="5" s="1"/>
  <c r="B19" i="5"/>
  <c r="B20" i="5" s="1"/>
  <c r="A19" i="5"/>
  <c r="A20" i="5" s="1"/>
  <c r="C19" i="12"/>
  <c r="C20" i="12" s="1"/>
  <c r="B19" i="12"/>
  <c r="B20" i="12" s="1"/>
  <c r="A19" i="12"/>
  <c r="A20" i="12" s="1"/>
  <c r="C19" i="10"/>
  <c r="C20" i="10" s="1"/>
  <c r="B19" i="10"/>
  <c r="B20" i="10" s="1"/>
  <c r="A19" i="10"/>
  <c r="A20" i="10" s="1"/>
  <c r="B19" i="9"/>
  <c r="B20" i="9" s="1"/>
  <c r="A19" i="9"/>
  <c r="A20" i="9" s="1"/>
  <c r="C19" i="9"/>
  <c r="C20" i="9" s="1"/>
  <c r="CQ12" i="7"/>
  <c r="CP12" i="7"/>
  <c r="CO12" i="7"/>
  <c r="CN12" i="7"/>
  <c r="CP10" i="11"/>
  <c r="CP10" i="8"/>
  <c r="CP10" i="7"/>
  <c r="CP10" i="4"/>
  <c r="CP10" i="6"/>
  <c r="CP10" i="5"/>
  <c r="CP10" i="12"/>
  <c r="CP10" i="10"/>
  <c r="CP10" i="9"/>
  <c r="CO10" i="11"/>
  <c r="CO10" i="8"/>
  <c r="CO10" i="7"/>
  <c r="CO10" i="4"/>
  <c r="CO10" i="6"/>
  <c r="CO10" i="5"/>
  <c r="CO10" i="12"/>
  <c r="CO10" i="10"/>
  <c r="CO10" i="9"/>
  <c r="CP10" i="15"/>
  <c r="CO10" i="15"/>
  <c r="CO9" i="15"/>
  <c r="CP9" i="15"/>
  <c r="CP9" i="11"/>
  <c r="CP9" i="8"/>
  <c r="CP9" i="7"/>
  <c r="CP9" i="4"/>
  <c r="CP9" i="6"/>
  <c r="CP9" i="5"/>
  <c r="CP9" i="12"/>
  <c r="CP9" i="10"/>
  <c r="CP9" i="9"/>
  <c r="CO9" i="11"/>
  <c r="CO9" i="8"/>
  <c r="CO9" i="7"/>
  <c r="CO9" i="4"/>
  <c r="CO9" i="6"/>
  <c r="CO9" i="5"/>
  <c r="CO9" i="12"/>
  <c r="CO9" i="10"/>
  <c r="CO9" i="9"/>
  <c r="CI12" i="7"/>
  <c r="BB1076" i="13"/>
  <c r="BB1078" i="13" s="1"/>
  <c r="AD44" i="3"/>
  <c r="AZ1089" i="13" s="1"/>
  <c r="Q39" i="3"/>
  <c r="S8" i="3" s="1"/>
  <c r="S37" i="3"/>
  <c r="S39" i="3"/>
  <c r="P40" i="3"/>
  <c r="AB44" i="3" s="1"/>
  <c r="Q37" i="3"/>
  <c r="AQ25" i="15"/>
  <c r="BY18" i="15" s="1"/>
  <c r="AQ25" i="4"/>
  <c r="AQ25" i="5"/>
  <c r="AQ25" i="6"/>
  <c r="AQ25" i="8"/>
  <c r="AQ25" i="11"/>
  <c r="AQ25" i="7"/>
  <c r="AQ25" i="12"/>
  <c r="AQ25" i="9"/>
  <c r="AQ25" i="10"/>
  <c r="AE44" i="3"/>
  <c r="AZ1090" i="13" s="1"/>
  <c r="BG1066" i="13"/>
  <c r="J1094" i="13" s="1"/>
  <c r="BG1067" i="13"/>
  <c r="BG1068" i="13"/>
  <c r="Y14" i="2"/>
  <c r="B19" i="15"/>
  <c r="B20" i="15" s="1"/>
  <c r="B30" i="15"/>
  <c r="B32" i="15" s="1"/>
  <c r="AZ1075" i="13"/>
  <c r="BD12" i="7"/>
  <c r="BE12" i="7" s="1"/>
  <c r="BF12" i="7" s="1"/>
  <c r="CB12" i="7"/>
  <c r="CA12" i="7"/>
  <c r="AB50" i="10"/>
  <c r="AB46" i="10"/>
  <c r="AC46" i="10" s="1"/>
  <c r="AB47" i="12"/>
  <c r="AB49" i="10"/>
  <c r="AB45" i="4"/>
  <c r="AB45" i="8"/>
  <c r="AB47" i="8"/>
  <c r="AB47" i="10"/>
  <c r="AC47" i="10" s="1"/>
  <c r="AB50" i="12"/>
  <c r="AB46" i="12"/>
  <c r="AB49" i="12"/>
  <c r="AB50" i="4"/>
  <c r="AB46" i="4"/>
  <c r="AB47" i="4"/>
  <c r="AY1072" i="13"/>
  <c r="AB50" i="9"/>
  <c r="AB45" i="12"/>
  <c r="AB49" i="9"/>
  <c r="AB46" i="9"/>
  <c r="AB49" i="4"/>
  <c r="AB51" i="7"/>
  <c r="AB47" i="7"/>
  <c r="AA38" i="4"/>
  <c r="AB45" i="10"/>
  <c r="AB51" i="12"/>
  <c r="AB42" i="12"/>
  <c r="AC42" i="12" s="1"/>
  <c r="AA39" i="10"/>
  <c r="AB45" i="7"/>
  <c r="AB49" i="6"/>
  <c r="AA39" i="4"/>
  <c r="AB51" i="10"/>
  <c r="AB42" i="4"/>
  <c r="AC42" i="4" s="1"/>
  <c r="AA38" i="12"/>
  <c r="AB43" i="9"/>
  <c r="AC43" i="9" s="1"/>
  <c r="AB41" i="9"/>
  <c r="AB43" i="11"/>
  <c r="AC43" i="11" s="1"/>
  <c r="AB41" i="11"/>
  <c r="AB43" i="5"/>
  <c r="AC43" i="5" s="1"/>
  <c r="AB41" i="5"/>
  <c r="AB50" i="6"/>
  <c r="AB45" i="11"/>
  <c r="AB46" i="6"/>
  <c r="AB45" i="5"/>
  <c r="AB47" i="6"/>
  <c r="AB45" i="9"/>
  <c r="AB47" i="5"/>
  <c r="AB51" i="6"/>
  <c r="AA38" i="9"/>
  <c r="AA38" i="11"/>
  <c r="AB43" i="7"/>
  <c r="AC43" i="7" s="1"/>
  <c r="AB41" i="7"/>
  <c r="AA38" i="5"/>
  <c r="AA38" i="6"/>
  <c r="AB43" i="8"/>
  <c r="AC43" i="8" s="1"/>
  <c r="AB41" i="8"/>
  <c r="AB50" i="11"/>
  <c r="AB49" i="11"/>
  <c r="AB50" i="8"/>
  <c r="AB50" i="7"/>
  <c r="AB49" i="5"/>
  <c r="AB51" i="11"/>
  <c r="AB49" i="8"/>
  <c r="AB47" i="11"/>
  <c r="AA39" i="9"/>
  <c r="AA39" i="11"/>
  <c r="AB43" i="10"/>
  <c r="AC43" i="10" s="1"/>
  <c r="AB41" i="10"/>
  <c r="AB42" i="7"/>
  <c r="AC42" i="7" s="1"/>
  <c r="AB42" i="5"/>
  <c r="AC42" i="5" s="1"/>
  <c r="AB51" i="5"/>
  <c r="AA38" i="8"/>
  <c r="AB43" i="6"/>
  <c r="AC43" i="6" s="1"/>
  <c r="AB41" i="6"/>
  <c r="AB46" i="8"/>
  <c r="AB46" i="7"/>
  <c r="AB49" i="7"/>
  <c r="AB50" i="5"/>
  <c r="AB51" i="9"/>
  <c r="AB45" i="6"/>
  <c r="AB43" i="4"/>
  <c r="AC43" i="4" s="1"/>
  <c r="AB41" i="4"/>
  <c r="AB42" i="9"/>
  <c r="AC42" i="9" s="1"/>
  <c r="AB42" i="11"/>
  <c r="AC42" i="11" s="1"/>
  <c r="AB46" i="11"/>
  <c r="AB43" i="12"/>
  <c r="AC43" i="12" s="1"/>
  <c r="AB41" i="12"/>
  <c r="AA38" i="10"/>
  <c r="AA38" i="7"/>
  <c r="AA39" i="5"/>
  <c r="AB42" i="6"/>
  <c r="AC42" i="6" s="1"/>
  <c r="AB42" i="8"/>
  <c r="AC42" i="8" s="1"/>
  <c r="AB51" i="8"/>
  <c r="B27" i="15"/>
  <c r="BC1076" i="13"/>
  <c r="BC1078" i="13" s="1"/>
  <c r="X6" i="2"/>
  <c r="X9" i="2" s="1"/>
  <c r="AZ1088" i="13"/>
  <c r="BD1065" i="13"/>
  <c r="S36" i="3"/>
  <c r="BD1060" i="13"/>
  <c r="D19" i="5"/>
  <c r="D20" i="5" s="1"/>
  <c r="Q6" i="11"/>
  <c r="Q8" i="11" s="1"/>
  <c r="Q6" i="9"/>
  <c r="Q8" i="9" s="1"/>
  <c r="Q6" i="7"/>
  <c r="Q8" i="7" s="1"/>
  <c r="Q6" i="5"/>
  <c r="Q8" i="5" s="1"/>
  <c r="Q6" i="12"/>
  <c r="Q8" i="12" s="1"/>
  <c r="Q6" i="10"/>
  <c r="Q8" i="10" s="1"/>
  <c r="Q6" i="8"/>
  <c r="Q8" i="8" s="1"/>
  <c r="Q6" i="6"/>
  <c r="Q8" i="6" s="1"/>
  <c r="Q6" i="4"/>
  <c r="Q8" i="4" s="1"/>
  <c r="D29" i="10"/>
  <c r="D30" i="10" s="1"/>
  <c r="D19" i="15"/>
  <c r="D20" i="15" s="1"/>
  <c r="AC46" i="15"/>
  <c r="D29" i="12"/>
  <c r="D30" i="12" s="1"/>
  <c r="D19" i="8"/>
  <c r="D20" i="8" s="1"/>
  <c r="D19" i="9"/>
  <c r="D20" i="9" s="1"/>
  <c r="AB52" i="15"/>
  <c r="AC52" i="15" s="1"/>
  <c r="AC47" i="15"/>
  <c r="AC50" i="15"/>
  <c r="T36" i="3"/>
  <c r="D29" i="5"/>
  <c r="D30" i="5" s="1"/>
  <c r="D29" i="4"/>
  <c r="D30" i="4" s="1"/>
  <c r="D29" i="15"/>
  <c r="D30" i="15" s="1"/>
  <c r="D31" i="15" s="1"/>
  <c r="AC51" i="15"/>
  <c r="T13" i="2"/>
  <c r="L14" i="3" s="1"/>
  <c r="D19" i="4"/>
  <c r="D20" i="4" s="1"/>
  <c r="D19" i="6"/>
  <c r="D20" i="6" s="1"/>
  <c r="D19" i="11"/>
  <c r="D20" i="11" s="1"/>
  <c r="D29" i="8"/>
  <c r="D30" i="8" s="1"/>
  <c r="C31" i="8" s="1"/>
  <c r="D29" i="7"/>
  <c r="D30" i="7" s="1"/>
  <c r="D19" i="12"/>
  <c r="D20" i="12" s="1"/>
  <c r="AB48" i="15"/>
  <c r="AC48" i="15" s="1"/>
  <c r="AB44" i="15"/>
  <c r="AC44" i="15" s="1"/>
  <c r="L12" i="11"/>
  <c r="AS12" i="11"/>
  <c r="K12" i="11"/>
  <c r="CF12" i="11" s="1"/>
  <c r="G12" i="11"/>
  <c r="BG12" i="11"/>
  <c r="BH12" i="11" s="1"/>
  <c r="J12" i="11"/>
  <c r="U26" i="11" s="1"/>
  <c r="N12" i="11"/>
  <c r="AS12" i="9"/>
  <c r="G12" i="9"/>
  <c r="BG12" i="9"/>
  <c r="BH12" i="9" s="1"/>
  <c r="L12" i="9"/>
  <c r="K12" i="9"/>
  <c r="CF12" i="9" s="1"/>
  <c r="N12" i="9"/>
  <c r="J12" i="9"/>
  <c r="U26" i="9" s="1"/>
  <c r="J12" i="10"/>
  <c r="U26" i="10" s="1"/>
  <c r="BG12" i="10"/>
  <c r="BH12" i="10" s="1"/>
  <c r="N12" i="10"/>
  <c r="K12" i="10"/>
  <c r="CF12" i="10" s="1"/>
  <c r="G12" i="10"/>
  <c r="L12" i="10"/>
  <c r="AS12" i="10"/>
  <c r="D19" i="10"/>
  <c r="D20" i="10" s="1"/>
  <c r="D19" i="7"/>
  <c r="D20" i="7" s="1"/>
  <c r="J12" i="12"/>
  <c r="U26" i="12" s="1"/>
  <c r="L12" i="12"/>
  <c r="G12" i="12"/>
  <c r="K12" i="12"/>
  <c r="CF12" i="12" s="1"/>
  <c r="BG12" i="12"/>
  <c r="BH12" i="12" s="1"/>
  <c r="N12" i="12"/>
  <c r="AS12" i="12"/>
  <c r="L12" i="8"/>
  <c r="AS12" i="8"/>
  <c r="N12" i="8"/>
  <c r="J12" i="8"/>
  <c r="U26" i="8" s="1"/>
  <c r="G12" i="8"/>
  <c r="BG12" i="8"/>
  <c r="BH12" i="8" s="1"/>
  <c r="K12" i="8"/>
  <c r="CF12" i="8" s="1"/>
  <c r="AS12" i="6"/>
  <c r="J12" i="6"/>
  <c r="U26" i="6" s="1"/>
  <c r="L12" i="6"/>
  <c r="G12" i="6"/>
  <c r="K12" i="6"/>
  <c r="CF12" i="6" s="1"/>
  <c r="N12" i="6"/>
  <c r="BG12" i="6"/>
  <c r="BH12" i="6" s="1"/>
  <c r="G12" i="5"/>
  <c r="J12" i="5"/>
  <c r="U26" i="5" s="1"/>
  <c r="AS12" i="5"/>
  <c r="L12" i="5"/>
  <c r="K12" i="5"/>
  <c r="CF12" i="5" s="1"/>
  <c r="BG12" i="5"/>
  <c r="BH12" i="5" s="1"/>
  <c r="N12" i="5"/>
  <c r="I12" i="7"/>
  <c r="D33" i="7" a="1"/>
  <c r="D33" i="7" s="1"/>
  <c r="J12" i="4"/>
  <c r="U26" i="4" s="1"/>
  <c r="L12" i="4"/>
  <c r="AS12" i="4"/>
  <c r="K12" i="4"/>
  <c r="CF12" i="4" s="1"/>
  <c r="G12" i="4"/>
  <c r="BG12" i="4"/>
  <c r="BH12" i="4" s="1"/>
  <c r="N12" i="4"/>
  <c r="L12" i="15"/>
  <c r="G12" i="15"/>
  <c r="J12" i="15"/>
  <c r="K12" i="15"/>
  <c r="CF12" i="15" s="1"/>
  <c r="BG12" i="15"/>
  <c r="BH12" i="15" s="1"/>
  <c r="AS12" i="15"/>
  <c r="N12" i="15"/>
  <c r="Q36" i="3"/>
  <c r="U1071" i="13"/>
  <c r="R1071" i="13"/>
  <c r="T1071" i="13"/>
  <c r="BD1071" i="13"/>
  <c r="S1071" i="13"/>
  <c r="O1071" i="13"/>
  <c r="Q1071" i="13"/>
  <c r="P1071" i="13"/>
  <c r="B34" i="7" l="1"/>
  <c r="B34" i="5"/>
  <c r="B34" i="12"/>
  <c r="B34" i="10"/>
  <c r="B21" i="6"/>
  <c r="B21" i="4"/>
  <c r="C31" i="6"/>
  <c r="B21" i="12"/>
  <c r="B29" i="5"/>
  <c r="B29" i="12"/>
  <c r="B29" i="10"/>
  <c r="C31" i="11"/>
  <c r="B29" i="11"/>
  <c r="B21" i="10"/>
  <c r="B21" i="8"/>
  <c r="C31" i="9"/>
  <c r="B29" i="8"/>
  <c r="B29" i="4"/>
  <c r="B34" i="9"/>
  <c r="B21" i="9"/>
  <c r="D21" i="15"/>
  <c r="B34" i="6"/>
  <c r="B21" i="7"/>
  <c r="B34" i="11"/>
  <c r="B34" i="8"/>
  <c r="B34" i="4"/>
  <c r="B29" i="9"/>
  <c r="B29" i="6"/>
  <c r="B21" i="5"/>
  <c r="B29" i="7"/>
  <c r="B21" i="11"/>
  <c r="D31" i="7"/>
  <c r="C31" i="7"/>
  <c r="D31" i="4"/>
  <c r="C31" i="4"/>
  <c r="D31" i="5"/>
  <c r="C31" i="5"/>
  <c r="D31" i="12"/>
  <c r="C31" i="12"/>
  <c r="D31" i="10"/>
  <c r="C31" i="10"/>
  <c r="P36" i="3"/>
  <c r="P37" i="3"/>
  <c r="P39" i="3"/>
  <c r="S6" i="3" s="1"/>
  <c r="I1099" i="13" s="1"/>
  <c r="BC1077" i="13"/>
  <c r="BY20" i="15"/>
  <c r="BY22" i="15"/>
  <c r="BY19" i="15"/>
  <c r="BY24" i="15"/>
  <c r="BY21" i="15"/>
  <c r="BY23" i="15"/>
  <c r="BY25" i="15"/>
  <c r="AC50" i="4"/>
  <c r="M1094" i="13"/>
  <c r="H1094" i="13"/>
  <c r="F1094" i="13"/>
  <c r="N1094" i="13"/>
  <c r="G1094" i="13"/>
  <c r="K1094" i="13"/>
  <c r="E1094" i="13"/>
  <c r="L1094" i="13"/>
  <c r="I1094" i="13"/>
  <c r="M1096" i="13"/>
  <c r="N1096" i="13" s="1"/>
  <c r="F1096" i="13"/>
  <c r="J1096" i="13"/>
  <c r="K1096" i="13"/>
  <c r="E1096" i="13"/>
  <c r="H1096" i="13"/>
  <c r="G1096" i="13"/>
  <c r="L1096" i="13"/>
  <c r="I1096" i="13"/>
  <c r="K1095" i="13"/>
  <c r="E1095" i="13"/>
  <c r="I1095" i="13"/>
  <c r="G1095" i="13"/>
  <c r="J1095" i="13"/>
  <c r="L1095" i="13"/>
  <c r="N1095" i="13"/>
  <c r="H1095" i="13"/>
  <c r="F1095" i="13"/>
  <c r="M1095" i="13"/>
  <c r="AZ1087" i="13"/>
  <c r="BA1085" i="13" s="1"/>
  <c r="BD1072" i="13"/>
  <c r="CE12" i="11"/>
  <c r="M12" i="11"/>
  <c r="CC12" i="11"/>
  <c r="CI8" i="11"/>
  <c r="CI6" i="11"/>
  <c r="O12" i="11"/>
  <c r="P12" i="11" s="1"/>
  <c r="AV12" i="11" s="1"/>
  <c r="CH12" i="11"/>
  <c r="CE12" i="8"/>
  <c r="CI8" i="8"/>
  <c r="CI6" i="8"/>
  <c r="M12" i="8"/>
  <c r="CC12" i="8"/>
  <c r="O12" i="8"/>
  <c r="CH12" i="8"/>
  <c r="CI8" i="7"/>
  <c r="CI6" i="7"/>
  <c r="CI8" i="4"/>
  <c r="CI6" i="4"/>
  <c r="O12" i="4"/>
  <c r="P12" i="4" s="1"/>
  <c r="Q12" i="4" s="1"/>
  <c r="R12" i="4" s="1"/>
  <c r="CH12" i="4"/>
  <c r="M12" i="4"/>
  <c r="CC12" i="4"/>
  <c r="CE12" i="4"/>
  <c r="O12" i="6"/>
  <c r="P12" i="6" s="1"/>
  <c r="AV12" i="6" s="1"/>
  <c r="CH12" i="6"/>
  <c r="CE12" i="6"/>
  <c r="M12" i="6"/>
  <c r="CC12" i="6"/>
  <c r="CI8" i="6"/>
  <c r="CI6" i="6"/>
  <c r="O12" i="5"/>
  <c r="CH12" i="5"/>
  <c r="CE12" i="5"/>
  <c r="M12" i="5"/>
  <c r="CC12" i="5"/>
  <c r="CI8" i="5"/>
  <c r="CI6" i="5"/>
  <c r="CI8" i="12"/>
  <c r="CI6" i="12"/>
  <c r="CE12" i="12"/>
  <c r="O12" i="12"/>
  <c r="CH12" i="12"/>
  <c r="M12" i="12"/>
  <c r="CC12" i="12"/>
  <c r="O12" i="10"/>
  <c r="P12" i="10" s="1"/>
  <c r="AV12" i="10" s="1"/>
  <c r="CH12" i="10"/>
  <c r="CI8" i="10"/>
  <c r="CI6" i="10"/>
  <c r="M12" i="10"/>
  <c r="CC12" i="10"/>
  <c r="CE12" i="10"/>
  <c r="O12" i="9"/>
  <c r="CH12" i="9"/>
  <c r="CI8" i="9"/>
  <c r="CI6" i="9"/>
  <c r="CE12" i="9"/>
  <c r="M12" i="9"/>
  <c r="CC12" i="9"/>
  <c r="O12" i="15"/>
  <c r="CG12" i="15" s="1"/>
  <c r="CH12" i="15"/>
  <c r="T37" i="15"/>
  <c r="CE12" i="15"/>
  <c r="M12" i="15"/>
  <c r="CD12" i="15" s="1"/>
  <c r="CC12" i="15"/>
  <c r="CI8" i="15"/>
  <c r="CI6" i="15"/>
  <c r="AB48" i="9"/>
  <c r="AC48" i="9" s="1"/>
  <c r="AC51" i="4"/>
  <c r="AC51" i="11"/>
  <c r="AB52" i="10"/>
  <c r="AC52" i="10" s="1"/>
  <c r="AB48" i="12"/>
  <c r="AC48" i="12" s="1"/>
  <c r="AB48" i="10"/>
  <c r="AC48" i="10" s="1"/>
  <c r="AB52" i="12"/>
  <c r="AC52" i="12" s="1"/>
  <c r="AB48" i="8"/>
  <c r="AC48" i="8" s="1"/>
  <c r="AC46" i="4"/>
  <c r="AB48" i="4"/>
  <c r="AC48" i="4" s="1"/>
  <c r="AC51" i="7"/>
  <c r="AC51" i="12"/>
  <c r="AB44" i="4"/>
  <c r="AC44" i="4" s="1"/>
  <c r="AC50" i="5"/>
  <c r="AC50" i="6"/>
  <c r="AB52" i="4"/>
  <c r="AC52" i="4" s="1"/>
  <c r="AC50" i="9"/>
  <c r="AB52" i="11"/>
  <c r="AC52" i="11" s="1"/>
  <c r="AC46" i="5"/>
  <c r="AC47" i="12"/>
  <c r="AC47" i="11"/>
  <c r="AC50" i="12"/>
  <c r="AC46" i="12"/>
  <c r="AC51" i="9"/>
  <c r="AC51" i="5"/>
  <c r="AC50" i="8"/>
  <c r="AC46" i="6"/>
  <c r="AB52" i="9"/>
  <c r="AC52" i="9" s="1"/>
  <c r="AC47" i="6"/>
  <c r="AC47" i="9"/>
  <c r="AC46" i="9"/>
  <c r="AC51" i="10"/>
  <c r="AB48" i="6"/>
  <c r="AC48" i="6" s="1"/>
  <c r="AC46" i="7"/>
  <c r="AB44" i="10"/>
  <c r="AC44" i="10" s="1"/>
  <c r="AB48" i="11"/>
  <c r="AC48" i="11" s="1"/>
  <c r="AC50" i="7"/>
  <c r="AB44" i="7"/>
  <c r="AC44" i="7" s="1"/>
  <c r="AB48" i="5"/>
  <c r="AC48" i="5" s="1"/>
  <c r="AB44" i="9"/>
  <c r="AC44" i="9" s="1"/>
  <c r="AB52" i="5"/>
  <c r="AC52" i="5" s="1"/>
  <c r="AC50" i="11"/>
  <c r="BA1077" i="13"/>
  <c r="AC47" i="4"/>
  <c r="AC51" i="6"/>
  <c r="AB44" i="5"/>
  <c r="AC44" i="5" s="1"/>
  <c r="AC47" i="8"/>
  <c r="AB44" i="12"/>
  <c r="AC44" i="12" s="1"/>
  <c r="AC46" i="8"/>
  <c r="AB52" i="8"/>
  <c r="AC52" i="8" s="1"/>
  <c r="AC47" i="5"/>
  <c r="AC46" i="11"/>
  <c r="AB48" i="7"/>
  <c r="AC48" i="7" s="1"/>
  <c r="AB52" i="6"/>
  <c r="AC52" i="6" s="1"/>
  <c r="AC50" i="10"/>
  <c r="AB44" i="6"/>
  <c r="AC44" i="6" s="1"/>
  <c r="AB44" i="11"/>
  <c r="AC44" i="11" s="1"/>
  <c r="AC47" i="7"/>
  <c r="AB44" i="8"/>
  <c r="AC44" i="8" s="1"/>
  <c r="AB52" i="7"/>
  <c r="AC52" i="7" s="1"/>
  <c r="AC51" i="8"/>
  <c r="B21" i="15"/>
  <c r="B34" i="15"/>
  <c r="B29" i="15"/>
  <c r="BY22" i="6"/>
  <c r="BY21" i="6"/>
  <c r="BY20" i="6"/>
  <c r="BY23" i="6"/>
  <c r="BY19" i="6"/>
  <c r="BY18" i="6"/>
  <c r="BY25" i="6"/>
  <c r="BY24" i="6"/>
  <c r="BY22" i="7"/>
  <c r="BY20" i="7"/>
  <c r="BY23" i="7"/>
  <c r="BY19" i="7"/>
  <c r="BY18" i="7"/>
  <c r="BY25" i="7"/>
  <c r="BY21" i="7"/>
  <c r="BY24" i="7"/>
  <c r="BY22" i="9"/>
  <c r="BY18" i="9"/>
  <c r="BY24" i="9"/>
  <c r="BY23" i="9"/>
  <c r="BY19" i="9"/>
  <c r="BY25" i="9"/>
  <c r="BY21" i="9"/>
  <c r="BY20" i="9"/>
  <c r="BY18" i="5"/>
  <c r="BY20" i="5"/>
  <c r="BY23" i="5"/>
  <c r="BY19" i="5"/>
  <c r="BY22" i="5"/>
  <c r="BY25" i="5"/>
  <c r="BY21" i="5"/>
  <c r="BY24" i="5"/>
  <c r="BY22" i="8"/>
  <c r="BY25" i="8"/>
  <c r="BY24" i="8"/>
  <c r="BY23" i="8"/>
  <c r="BY19" i="8"/>
  <c r="BY18" i="8"/>
  <c r="BY21" i="8"/>
  <c r="BY20" i="8"/>
  <c r="BY22" i="11"/>
  <c r="BY18" i="11"/>
  <c r="BY24" i="11"/>
  <c r="BY23" i="11"/>
  <c r="BY19" i="11"/>
  <c r="BY25" i="11"/>
  <c r="BY21" i="11"/>
  <c r="BY20" i="11"/>
  <c r="BY22" i="12"/>
  <c r="BY18" i="12"/>
  <c r="BY24" i="12"/>
  <c r="BY23" i="12"/>
  <c r="BY19" i="12"/>
  <c r="BY25" i="12"/>
  <c r="BY21" i="12"/>
  <c r="BY20" i="12"/>
  <c r="BY25" i="4"/>
  <c r="BY20" i="4"/>
  <c r="BY23" i="4"/>
  <c r="BY19" i="4"/>
  <c r="BY22" i="4"/>
  <c r="BY18" i="4"/>
  <c r="BY21" i="4"/>
  <c r="BY24" i="4"/>
  <c r="BY22" i="10"/>
  <c r="BY18" i="10"/>
  <c r="BY24" i="10"/>
  <c r="BY23" i="10"/>
  <c r="BY19" i="10"/>
  <c r="BY25" i="10"/>
  <c r="BY21" i="10"/>
  <c r="BY20" i="10"/>
  <c r="F1099" i="13"/>
  <c r="W1167" i="16"/>
  <c r="S1167" i="16"/>
  <c r="O1167" i="16"/>
  <c r="K1167" i="16"/>
  <c r="G1167" i="16"/>
  <c r="C1167" i="16"/>
  <c r="X1166" i="16"/>
  <c r="T1166" i="16"/>
  <c r="P1166" i="16"/>
  <c r="L1166" i="16"/>
  <c r="H1166" i="16"/>
  <c r="D1166" i="16"/>
  <c r="Y1165" i="16"/>
  <c r="U1165" i="16"/>
  <c r="Q1165" i="16"/>
  <c r="M1165" i="16"/>
  <c r="I1165" i="16"/>
  <c r="E1165" i="16"/>
  <c r="A1165" i="16"/>
  <c r="V1164" i="16"/>
  <c r="R1164" i="16"/>
  <c r="N1164" i="16"/>
  <c r="J1164" i="16"/>
  <c r="F1164" i="16"/>
  <c r="B1164" i="16"/>
  <c r="W1163" i="16"/>
  <c r="S1163" i="16"/>
  <c r="O1163" i="16"/>
  <c r="K1163" i="16"/>
  <c r="G1163" i="16"/>
  <c r="C1163" i="16"/>
  <c r="X1162" i="16"/>
  <c r="T1162" i="16"/>
  <c r="P1162" i="16"/>
  <c r="L1162" i="16"/>
  <c r="H1162" i="16"/>
  <c r="D1162" i="16"/>
  <c r="Y1161" i="16"/>
  <c r="U1161" i="16"/>
  <c r="Q1161" i="16"/>
  <c r="M1161" i="16"/>
  <c r="I1161" i="16"/>
  <c r="E1161" i="16"/>
  <c r="A1161" i="16"/>
  <c r="V1160" i="16"/>
  <c r="R1160" i="16"/>
  <c r="N1160" i="16"/>
  <c r="J1160" i="16"/>
  <c r="F1160" i="16"/>
  <c r="B1160" i="16"/>
  <c r="W1159" i="16"/>
  <c r="S1159" i="16"/>
  <c r="O1159" i="16"/>
  <c r="K1159" i="16"/>
  <c r="G1159" i="16"/>
  <c r="C1159" i="16"/>
  <c r="X1158" i="16"/>
  <c r="T1158" i="16"/>
  <c r="P1158" i="16"/>
  <c r="L1158" i="16"/>
  <c r="H1158" i="16"/>
  <c r="D1158" i="16"/>
  <c r="Y1157" i="16"/>
  <c r="U1157" i="16"/>
  <c r="Q1157" i="16"/>
  <c r="M1157" i="16"/>
  <c r="I1157" i="16"/>
  <c r="E1157" i="16"/>
  <c r="A1157" i="16"/>
  <c r="V1156" i="16"/>
  <c r="R1156" i="16"/>
  <c r="N1156" i="16"/>
  <c r="J1156" i="16"/>
  <c r="F1156" i="16"/>
  <c r="B1156" i="16"/>
  <c r="W1155" i="16"/>
  <c r="S1155" i="16"/>
  <c r="O1155" i="16"/>
  <c r="K1155" i="16"/>
  <c r="G1155" i="16"/>
  <c r="C1155" i="16"/>
  <c r="X1154" i="16"/>
  <c r="T1154" i="16"/>
  <c r="P1154" i="16"/>
  <c r="L1154" i="16"/>
  <c r="V1167" i="16"/>
  <c r="Q1167" i="16"/>
  <c r="L1167" i="16"/>
  <c r="F1167" i="16"/>
  <c r="A1167" i="16"/>
  <c r="U1166" i="16"/>
  <c r="O1166" i="16"/>
  <c r="J1166" i="16"/>
  <c r="E1166" i="16"/>
  <c r="X1165" i="16"/>
  <c r="S1165" i="16"/>
  <c r="N1165" i="16"/>
  <c r="H1165" i="16"/>
  <c r="C1165" i="16"/>
  <c r="W1164" i="16"/>
  <c r="Q1164" i="16"/>
  <c r="L1164" i="16"/>
  <c r="G1164" i="16"/>
  <c r="A1164" i="16"/>
  <c r="U1163" i="16"/>
  <c r="P1163" i="16"/>
  <c r="J1163" i="16"/>
  <c r="E1163" i="16"/>
  <c r="Y1162" i="16"/>
  <c r="S1162" i="16"/>
  <c r="N1162" i="16"/>
  <c r="I1162" i="16"/>
  <c r="C1162" i="16"/>
  <c r="W1161" i="16"/>
  <c r="R1161" i="16"/>
  <c r="L1161" i="16"/>
  <c r="G1161" i="16"/>
  <c r="B1161" i="16"/>
  <c r="U1160" i="16"/>
  <c r="P1160" i="16"/>
  <c r="K1160" i="16"/>
  <c r="E1160" i="16"/>
  <c r="Y1159" i="16"/>
  <c r="T1159" i="16"/>
  <c r="N1159" i="16"/>
  <c r="I1159" i="16"/>
  <c r="D1159" i="16"/>
  <c r="W1158" i="16"/>
  <c r="R1158" i="16"/>
  <c r="M1158" i="16"/>
  <c r="G1158" i="16"/>
  <c r="B1158" i="16"/>
  <c r="V1157" i="16"/>
  <c r="P1157" i="16"/>
  <c r="K1157" i="16"/>
  <c r="F1157" i="16"/>
  <c r="Y1156" i="16"/>
  <c r="T1156" i="16"/>
  <c r="O1156" i="16"/>
  <c r="I1156" i="16"/>
  <c r="D1156" i="16"/>
  <c r="X1155" i="16"/>
  <c r="R1155" i="16"/>
  <c r="M1155" i="16"/>
  <c r="H1155" i="16"/>
  <c r="B1155" i="16"/>
  <c r="V1154" i="16"/>
  <c r="Q1154" i="16"/>
  <c r="K1154" i="16"/>
  <c r="G1154" i="16"/>
  <c r="C1154" i="16"/>
  <c r="X1153" i="16"/>
  <c r="T1153" i="16"/>
  <c r="P1153" i="16"/>
  <c r="L1153" i="16"/>
  <c r="H1153" i="16"/>
  <c r="D1153" i="16"/>
  <c r="Y1152" i="16"/>
  <c r="U1152" i="16"/>
  <c r="Q1152" i="16"/>
  <c r="M1152" i="16"/>
  <c r="I1152" i="16"/>
  <c r="E1152" i="16"/>
  <c r="A1152" i="16"/>
  <c r="V1151" i="16"/>
  <c r="R1151" i="16"/>
  <c r="N1151" i="16"/>
  <c r="J1151" i="16"/>
  <c r="F1151" i="16"/>
  <c r="B1151" i="16"/>
  <c r="W1150" i="16"/>
  <c r="S1150" i="16"/>
  <c r="O1150" i="16"/>
  <c r="K1150" i="16"/>
  <c r="G1150" i="16"/>
  <c r="C1150" i="16"/>
  <c r="X1149" i="16"/>
  <c r="T1149" i="16"/>
  <c r="P1149" i="16"/>
  <c r="L1149" i="16"/>
  <c r="H1149" i="16"/>
  <c r="D1149" i="16"/>
  <c r="Y1148" i="16"/>
  <c r="U1148" i="16"/>
  <c r="Q1148" i="16"/>
  <c r="M1148" i="16"/>
  <c r="I1148" i="16"/>
  <c r="E1148" i="16"/>
  <c r="A1148" i="16"/>
  <c r="V1147" i="16"/>
  <c r="R1147" i="16"/>
  <c r="N1147" i="16"/>
  <c r="J1147" i="16"/>
  <c r="F1147" i="16"/>
  <c r="B1147" i="16"/>
  <c r="W1146" i="16"/>
  <c r="S1146" i="16"/>
  <c r="O1146" i="16"/>
  <c r="K1146" i="16"/>
  <c r="G1146" i="16"/>
  <c r="C1146" i="16"/>
  <c r="X1145" i="16"/>
  <c r="T1145" i="16"/>
  <c r="P1145" i="16"/>
  <c r="L1145" i="16"/>
  <c r="H1145" i="16"/>
  <c r="D1145" i="16"/>
  <c r="Y1144" i="16"/>
  <c r="U1144" i="16"/>
  <c r="Q1144" i="16"/>
  <c r="M1144" i="16"/>
  <c r="I1144" i="16"/>
  <c r="E1144" i="16"/>
  <c r="A1144" i="16"/>
  <c r="V1143" i="16"/>
  <c r="R1143" i="16"/>
  <c r="N1143" i="16"/>
  <c r="J1143" i="16"/>
  <c r="F1143" i="16"/>
  <c r="B1143" i="16"/>
  <c r="W1142" i="16"/>
  <c r="S1142" i="16"/>
  <c r="O1142" i="16"/>
  <c r="K1142" i="16"/>
  <c r="G1142" i="16"/>
  <c r="C1142" i="16"/>
  <c r="X1141" i="16"/>
  <c r="T1141" i="16"/>
  <c r="P1141" i="16"/>
  <c r="L1141" i="16"/>
  <c r="H1141" i="16"/>
  <c r="D1141" i="16"/>
  <c r="Y1140" i="16"/>
  <c r="U1140" i="16"/>
  <c r="Q1140" i="16"/>
  <c r="M1140" i="16"/>
  <c r="I1140" i="16"/>
  <c r="E1140" i="16"/>
  <c r="A1140" i="16"/>
  <c r="V1139" i="16"/>
  <c r="R1139" i="16"/>
  <c r="N1139" i="16"/>
  <c r="J1139" i="16"/>
  <c r="F1139" i="16"/>
  <c r="B1139" i="16"/>
  <c r="W1138" i="16"/>
  <c r="S1138" i="16"/>
  <c r="O1138" i="16"/>
  <c r="K1138" i="16"/>
  <c r="G1138" i="16"/>
  <c r="C1138" i="16"/>
  <c r="X1137" i="16"/>
  <c r="T1137" i="16"/>
  <c r="P1137" i="16"/>
  <c r="L1137" i="16"/>
  <c r="U1167" i="16"/>
  <c r="N1167" i="16"/>
  <c r="H1167" i="16"/>
  <c r="Y1166" i="16"/>
  <c r="R1166" i="16"/>
  <c r="K1166" i="16"/>
  <c r="C1166" i="16"/>
  <c r="V1165" i="16"/>
  <c r="O1165" i="16"/>
  <c r="G1165" i="16"/>
  <c r="Y1164" i="16"/>
  <c r="S1164" i="16"/>
  <c r="K1164" i="16"/>
  <c r="D1164" i="16"/>
  <c r="V1163" i="16"/>
  <c r="N1163" i="16"/>
  <c r="H1163" i="16"/>
  <c r="A1163" i="16"/>
  <c r="R1162" i="16"/>
  <c r="K1162" i="16"/>
  <c r="E1162" i="16"/>
  <c r="V1161" i="16"/>
  <c r="O1161" i="16"/>
  <c r="H1161" i="16"/>
  <c r="Y1160" i="16"/>
  <c r="S1160" i="16"/>
  <c r="L1160" i="16"/>
  <c r="D1160" i="16"/>
  <c r="V1159" i="16"/>
  <c r="P1159" i="16"/>
  <c r="H1159" i="16"/>
  <c r="A1159" i="16"/>
  <c r="S1158" i="16"/>
  <c r="K1158" i="16"/>
  <c r="E1158" i="16"/>
  <c r="W1157" i="16"/>
  <c r="O1157" i="16"/>
  <c r="H1157" i="16"/>
  <c r="B1157" i="16"/>
  <c r="S1156" i="16"/>
  <c r="L1156" i="16"/>
  <c r="E1156" i="16"/>
  <c r="V1155" i="16"/>
  <c r="P1155" i="16"/>
  <c r="I1155" i="16"/>
  <c r="A1155" i="16"/>
  <c r="S1154" i="16"/>
  <c r="M1154" i="16"/>
  <c r="F1154" i="16"/>
  <c r="A1154" i="16"/>
  <c r="U1153" i="16"/>
  <c r="O1153" i="16"/>
  <c r="J1153" i="16"/>
  <c r="E1153" i="16"/>
  <c r="X1152" i="16"/>
  <c r="S1152" i="16"/>
  <c r="N1152" i="16"/>
  <c r="H1152" i="16"/>
  <c r="C1152" i="16"/>
  <c r="W1151" i="16"/>
  <c r="Q1151" i="16"/>
  <c r="L1151" i="16"/>
  <c r="G1151" i="16"/>
  <c r="A1151" i="16"/>
  <c r="U1150" i="16"/>
  <c r="P1150" i="16"/>
  <c r="J1150" i="16"/>
  <c r="E1150" i="16"/>
  <c r="Y1149" i="16"/>
  <c r="S1149" i="16"/>
  <c r="N1149" i="16"/>
  <c r="I1149" i="16"/>
  <c r="C1149" i="16"/>
  <c r="W1148" i="16"/>
  <c r="R1148" i="16"/>
  <c r="L1148" i="16"/>
  <c r="G1148" i="16"/>
  <c r="B1148" i="16"/>
  <c r="U1147" i="16"/>
  <c r="P1147" i="16"/>
  <c r="K1147" i="16"/>
  <c r="E1147" i="16"/>
  <c r="Y1146" i="16"/>
  <c r="T1146" i="16"/>
  <c r="N1146" i="16"/>
  <c r="I1146" i="16"/>
  <c r="D1146" i="16"/>
  <c r="W1145" i="16"/>
  <c r="R1145" i="16"/>
  <c r="M1145" i="16"/>
  <c r="G1145" i="16"/>
  <c r="B1145" i="16"/>
  <c r="V1144" i="16"/>
  <c r="P1144" i="16"/>
  <c r="K1144" i="16"/>
  <c r="F1144" i="16"/>
  <c r="Y1143" i="16"/>
  <c r="T1143" i="16"/>
  <c r="O1143" i="16"/>
  <c r="I1143" i="16"/>
  <c r="D1143" i="16"/>
  <c r="X1142" i="16"/>
  <c r="R1142" i="16"/>
  <c r="M1142" i="16"/>
  <c r="H1142" i="16"/>
  <c r="B1142" i="16"/>
  <c r="V1141" i="16"/>
  <c r="Q1141" i="16"/>
  <c r="K1141" i="16"/>
  <c r="F1141" i="16"/>
  <c r="A1141" i="16"/>
  <c r="T1140" i="16"/>
  <c r="O1140" i="16"/>
  <c r="J1140" i="16"/>
  <c r="D1140" i="16"/>
  <c r="X1139" i="16"/>
  <c r="S1139" i="16"/>
  <c r="M1139" i="16"/>
  <c r="H1139" i="16"/>
  <c r="C1139" i="16"/>
  <c r="V1138" i="16"/>
  <c r="Q1138" i="16"/>
  <c r="L1138" i="16"/>
  <c r="F1138" i="16"/>
  <c r="A1138" i="16"/>
  <c r="U1137" i="16"/>
  <c r="O1137" i="16"/>
  <c r="J1137" i="16"/>
  <c r="F1137" i="16"/>
  <c r="B1137" i="16"/>
  <c r="W1136" i="16"/>
  <c r="S1136" i="16"/>
  <c r="O1136" i="16"/>
  <c r="K1136" i="16"/>
  <c r="G1136" i="16"/>
  <c r="C1136" i="16"/>
  <c r="X1135" i="16"/>
  <c r="T1135" i="16"/>
  <c r="P1135" i="16"/>
  <c r="L1135" i="16"/>
  <c r="H1135" i="16"/>
  <c r="D1135" i="16"/>
  <c r="Y1134" i="16"/>
  <c r="U1134" i="16"/>
  <c r="Q1134" i="16"/>
  <c r="M1134" i="16"/>
  <c r="I1134" i="16"/>
  <c r="E1134" i="16"/>
  <c r="A1134" i="16"/>
  <c r="V1133" i="16"/>
  <c r="R1133" i="16"/>
  <c r="N1133" i="16"/>
  <c r="J1133" i="16"/>
  <c r="F1133" i="16"/>
  <c r="B1133" i="16"/>
  <c r="W1132" i="16"/>
  <c r="S1132" i="16"/>
  <c r="O1132" i="16"/>
  <c r="K1132" i="16"/>
  <c r="G1132" i="16"/>
  <c r="C1132" i="16"/>
  <c r="X1131" i="16"/>
  <c r="T1131" i="16"/>
  <c r="P1131" i="16"/>
  <c r="L1131" i="16"/>
  <c r="H1131" i="16"/>
  <c r="D1131" i="16"/>
  <c r="Y1130" i="16"/>
  <c r="U1130" i="16"/>
  <c r="Q1130" i="16"/>
  <c r="M1130" i="16"/>
  <c r="I1130" i="16"/>
  <c r="E1130" i="16"/>
  <c r="A1130" i="16"/>
  <c r="V1129" i="16"/>
  <c r="R1129" i="16"/>
  <c r="N1129" i="16"/>
  <c r="J1129" i="16"/>
  <c r="F1129" i="16"/>
  <c r="B1129" i="16"/>
  <c r="W1128" i="16"/>
  <c r="S1128" i="16"/>
  <c r="O1128" i="16"/>
  <c r="K1128" i="16"/>
  <c r="G1128" i="16"/>
  <c r="C1128" i="16"/>
  <c r="X1127" i="16"/>
  <c r="T1127" i="16"/>
  <c r="P1127" i="16"/>
  <c r="L1127" i="16"/>
  <c r="H1127" i="16"/>
  <c r="D1127" i="16"/>
  <c r="Y1126" i="16"/>
  <c r="U1126" i="16"/>
  <c r="Q1126" i="16"/>
  <c r="M1126" i="16"/>
  <c r="I1126" i="16"/>
  <c r="E1126" i="16"/>
  <c r="A1126" i="16"/>
  <c r="V1125" i="16"/>
  <c r="R1125" i="16"/>
  <c r="N1125" i="16"/>
  <c r="J1125" i="16"/>
  <c r="F1125" i="16"/>
  <c r="B1125" i="16"/>
  <c r="W1124" i="16"/>
  <c r="S1124" i="16"/>
  <c r="O1124" i="16"/>
  <c r="K1124" i="16"/>
  <c r="G1124" i="16"/>
  <c r="C1124" i="16"/>
  <c r="X1123" i="16"/>
  <c r="T1123" i="16"/>
  <c r="P1123" i="16"/>
  <c r="L1123" i="16"/>
  <c r="H1123" i="16"/>
  <c r="D1123" i="16"/>
  <c r="Y1122" i="16"/>
  <c r="U1122" i="16"/>
  <c r="Q1122" i="16"/>
  <c r="M1122" i="16"/>
  <c r="I1122" i="16"/>
  <c r="E1122" i="16"/>
  <c r="A1122" i="16"/>
  <c r="V1121" i="16"/>
  <c r="R1121" i="16"/>
  <c r="N1121" i="16"/>
  <c r="J1121" i="16"/>
  <c r="F1121" i="16"/>
  <c r="B1121" i="16"/>
  <c r="W1120" i="16"/>
  <c r="S1120" i="16"/>
  <c r="O1120" i="16"/>
  <c r="K1120" i="16"/>
  <c r="G1120" i="16"/>
  <c r="C1120" i="16"/>
  <c r="X1119" i="16"/>
  <c r="T1119" i="16"/>
  <c r="P1119" i="16"/>
  <c r="L1119" i="16"/>
  <c r="H1119" i="16"/>
  <c r="D1119" i="16"/>
  <c r="Y1118" i="16"/>
  <c r="U1118" i="16"/>
  <c r="Q1118" i="16"/>
  <c r="M1118" i="16"/>
  <c r="I1118" i="16"/>
  <c r="E1118" i="16"/>
  <c r="A1118" i="16"/>
  <c r="V1117" i="16"/>
  <c r="R1117" i="16"/>
  <c r="N1117" i="16"/>
  <c r="J1117" i="16"/>
  <c r="F1117" i="16"/>
  <c r="B1117" i="16"/>
  <c r="W1116" i="16"/>
  <c r="S1116" i="16"/>
  <c r="O1116" i="16"/>
  <c r="K1116" i="16"/>
  <c r="G1116" i="16"/>
  <c r="C1116" i="16"/>
  <c r="X1115" i="16"/>
  <c r="T1115" i="16"/>
  <c r="P1115" i="16"/>
  <c r="L1115" i="16"/>
  <c r="H1115" i="16"/>
  <c r="D1115" i="16"/>
  <c r="Y1114" i="16"/>
  <c r="U1114" i="16"/>
  <c r="Q1114" i="16"/>
  <c r="M1114" i="16"/>
  <c r="I1114" i="16"/>
  <c r="E1114" i="16"/>
  <c r="A1114" i="16"/>
  <c r="V1113" i="16"/>
  <c r="R1113" i="16"/>
  <c r="N1113" i="16"/>
  <c r="J1113" i="16"/>
  <c r="F1113" i="16"/>
  <c r="B1113" i="16"/>
  <c r="W1112" i="16"/>
  <c r="S1112" i="16"/>
  <c r="O1112" i="16"/>
  <c r="K1112" i="16"/>
  <c r="G1112" i="16"/>
  <c r="C1112" i="16"/>
  <c r="X1111" i="16"/>
  <c r="T1111" i="16"/>
  <c r="P1111" i="16"/>
  <c r="L1111" i="16"/>
  <c r="H1111" i="16"/>
  <c r="D1111" i="16"/>
  <c r="Y1110" i="16"/>
  <c r="U1110" i="16"/>
  <c r="Q1110" i="16"/>
  <c r="M1110" i="16"/>
  <c r="I1110" i="16"/>
  <c r="E1110" i="16"/>
  <c r="A1110" i="16"/>
  <c r="V1109" i="16"/>
  <c r="R1109" i="16"/>
  <c r="N1109" i="16"/>
  <c r="J1109" i="16"/>
  <c r="F1109" i="16"/>
  <c r="B1109" i="16"/>
  <c r="W1108" i="16"/>
  <c r="S1108" i="16"/>
  <c r="O1108" i="16"/>
  <c r="K1108" i="16"/>
  <c r="G1108" i="16"/>
  <c r="C1108" i="16"/>
  <c r="X1107" i="16"/>
  <c r="T1107" i="16"/>
  <c r="P1107" i="16"/>
  <c r="L1107" i="16"/>
  <c r="H1107" i="16"/>
  <c r="D1107" i="16"/>
  <c r="Y1106" i="16"/>
  <c r="U1106" i="16"/>
  <c r="Q1106" i="16"/>
  <c r="M1106" i="16"/>
  <c r="I1106" i="16"/>
  <c r="E1106" i="16"/>
  <c r="A1106" i="16"/>
  <c r="V1105" i="16"/>
  <c r="R1105" i="16"/>
  <c r="N1105" i="16"/>
  <c r="J1105" i="16"/>
  <c r="F1105" i="16"/>
  <c r="B1105" i="16"/>
  <c r="W1104" i="16"/>
  <c r="S1104" i="16"/>
  <c r="O1104" i="16"/>
  <c r="K1104" i="16"/>
  <c r="G1104" i="16"/>
  <c r="C1104" i="16"/>
  <c r="X1103" i="16"/>
  <c r="T1103" i="16"/>
  <c r="P1103" i="16"/>
  <c r="L1103" i="16"/>
  <c r="H1103" i="16"/>
  <c r="T1167" i="16"/>
  <c r="J1167" i="16"/>
  <c r="B1167" i="16"/>
  <c r="Q1166" i="16"/>
  <c r="G1166" i="16"/>
  <c r="W1165" i="16"/>
  <c r="L1165" i="16"/>
  <c r="D1165" i="16"/>
  <c r="T1164" i="16"/>
  <c r="I1164" i="16"/>
  <c r="Y1163" i="16"/>
  <c r="Q1163" i="16"/>
  <c r="F1163" i="16"/>
  <c r="V1162" i="16"/>
  <c r="M1162" i="16"/>
  <c r="B1162" i="16"/>
  <c r="S1161" i="16"/>
  <c r="J1161" i="16"/>
  <c r="X1160" i="16"/>
  <c r="O1160" i="16"/>
  <c r="G1160" i="16"/>
  <c r="U1159" i="16"/>
  <c r="L1159" i="16"/>
  <c r="B1159" i="16"/>
  <c r="Q1158" i="16"/>
  <c r="I1158" i="16"/>
  <c r="X1157" i="16"/>
  <c r="N1157" i="16"/>
  <c r="D1157" i="16"/>
  <c r="U1156" i="16"/>
  <c r="K1156" i="16"/>
  <c r="A1156" i="16"/>
  <c r="Q1155" i="16"/>
  <c r="F1155" i="16"/>
  <c r="W1154" i="16"/>
  <c r="N1154" i="16"/>
  <c r="E1154" i="16"/>
  <c r="W1153" i="16"/>
  <c r="Q1153" i="16"/>
  <c r="I1153" i="16"/>
  <c r="B1153" i="16"/>
  <c r="T1152" i="16"/>
  <c r="L1152" i="16"/>
  <c r="F1152" i="16"/>
  <c r="X1151" i="16"/>
  <c r="P1151" i="16"/>
  <c r="I1151" i="16"/>
  <c r="C1151" i="16"/>
  <c r="T1150" i="16"/>
  <c r="M1150" i="16"/>
  <c r="F1150" i="16"/>
  <c r="W1149" i="16"/>
  <c r="Q1149" i="16"/>
  <c r="J1149" i="16"/>
  <c r="B1149" i="16"/>
  <c r="T1148" i="16"/>
  <c r="N1148" i="16"/>
  <c r="F1148" i="16"/>
  <c r="X1147" i="16"/>
  <c r="Q1147" i="16"/>
  <c r="I1147" i="16"/>
  <c r="C1147" i="16"/>
  <c r="U1146" i="16"/>
  <c r="M1146" i="16"/>
  <c r="F1146" i="16"/>
  <c r="Y1145" i="16"/>
  <c r="Q1145" i="16"/>
  <c r="J1145" i="16"/>
  <c r="C1145" i="16"/>
  <c r="T1144" i="16"/>
  <c r="N1144" i="16"/>
  <c r="G1144" i="16"/>
  <c r="X1143" i="16"/>
  <c r="Q1143" i="16"/>
  <c r="K1143" i="16"/>
  <c r="C1143" i="16"/>
  <c r="U1142" i="16"/>
  <c r="N1142" i="16"/>
  <c r="F1142" i="16"/>
  <c r="Y1141" i="16"/>
  <c r="R1141" i="16"/>
  <c r="J1141" i="16"/>
  <c r="C1141" i="16"/>
  <c r="V1140" i="16"/>
  <c r="N1140" i="16"/>
  <c r="G1140" i="16"/>
  <c r="Y1139" i="16"/>
  <c r="Q1139" i="16"/>
  <c r="K1139" i="16"/>
  <c r="D1139" i="16"/>
  <c r="U1138" i="16"/>
  <c r="N1138" i="16"/>
  <c r="H1138" i="16"/>
  <c r="Y1137" i="16"/>
  <c r="R1137" i="16"/>
  <c r="K1137" i="16"/>
  <c r="E1137" i="16"/>
  <c r="Y1136" i="16"/>
  <c r="T1136" i="16"/>
  <c r="N1136" i="16"/>
  <c r="I1136" i="16"/>
  <c r="D1136" i="16"/>
  <c r="W1135" i="16"/>
  <c r="R1135" i="16"/>
  <c r="M1135" i="16"/>
  <c r="G1135" i="16"/>
  <c r="B1135" i="16"/>
  <c r="V1134" i="16"/>
  <c r="P1134" i="16"/>
  <c r="K1134" i="16"/>
  <c r="F1134" i="16"/>
  <c r="Y1133" i="16"/>
  <c r="T1133" i="16"/>
  <c r="O1133" i="16"/>
  <c r="I1133" i="16"/>
  <c r="D1133" i="16"/>
  <c r="X1132" i="16"/>
  <c r="R1132" i="16"/>
  <c r="M1132" i="16"/>
  <c r="H1132" i="16"/>
  <c r="B1132" i="16"/>
  <c r="V1131" i="16"/>
  <c r="Q1131" i="16"/>
  <c r="K1131" i="16"/>
  <c r="F1131" i="16"/>
  <c r="A1131" i="16"/>
  <c r="T1130" i="16"/>
  <c r="O1130" i="16"/>
  <c r="J1130" i="16"/>
  <c r="D1130" i="16"/>
  <c r="X1129" i="16"/>
  <c r="S1129" i="16"/>
  <c r="M1129" i="16"/>
  <c r="H1129" i="16"/>
  <c r="C1129" i="16"/>
  <c r="V1128" i="16"/>
  <c r="Q1128" i="16"/>
  <c r="L1128" i="16"/>
  <c r="F1128" i="16"/>
  <c r="A1128" i="16"/>
  <c r="U1127" i="16"/>
  <c r="O1127" i="16"/>
  <c r="J1127" i="16"/>
  <c r="E1127" i="16"/>
  <c r="X1126" i="16"/>
  <c r="S1126" i="16"/>
  <c r="N1126" i="16"/>
  <c r="H1126" i="16"/>
  <c r="C1126" i="16"/>
  <c r="W1125" i="16"/>
  <c r="Q1125" i="16"/>
  <c r="L1125" i="16"/>
  <c r="G1125" i="16"/>
  <c r="A1125" i="16"/>
  <c r="U1124" i="16"/>
  <c r="P1124" i="16"/>
  <c r="J1124" i="16"/>
  <c r="E1124" i="16"/>
  <c r="Y1123" i="16"/>
  <c r="S1123" i="16"/>
  <c r="N1123" i="16"/>
  <c r="I1123" i="16"/>
  <c r="C1123" i="16"/>
  <c r="W1122" i="16"/>
  <c r="R1122" i="16"/>
  <c r="L1122" i="16"/>
  <c r="G1122" i="16"/>
  <c r="B1122" i="16"/>
  <c r="U1121" i="16"/>
  <c r="P1121" i="16"/>
  <c r="K1121" i="16"/>
  <c r="E1121" i="16"/>
  <c r="Y1120" i="16"/>
  <c r="T1120" i="16"/>
  <c r="N1120" i="16"/>
  <c r="I1120" i="16"/>
  <c r="D1120" i="16"/>
  <c r="W1119" i="16"/>
  <c r="R1119" i="16"/>
  <c r="M1119" i="16"/>
  <c r="G1119" i="16"/>
  <c r="B1119" i="16"/>
  <c r="V1118" i="16"/>
  <c r="P1118" i="16"/>
  <c r="K1118" i="16"/>
  <c r="F1118" i="16"/>
  <c r="Y1117" i="16"/>
  <c r="T1117" i="16"/>
  <c r="O1117" i="16"/>
  <c r="I1117" i="16"/>
  <c r="D1117" i="16"/>
  <c r="X1116" i="16"/>
  <c r="R1116" i="16"/>
  <c r="M1116" i="16"/>
  <c r="H1116" i="16"/>
  <c r="B1116" i="16"/>
  <c r="V1115" i="16"/>
  <c r="Q1115" i="16"/>
  <c r="K1115" i="16"/>
  <c r="F1115" i="16"/>
  <c r="A1115" i="16"/>
  <c r="T1114" i="16"/>
  <c r="O1114" i="16"/>
  <c r="J1114" i="16"/>
  <c r="D1114" i="16"/>
  <c r="X1113" i="16"/>
  <c r="S1113" i="16"/>
  <c r="M1113" i="16"/>
  <c r="H1113" i="16"/>
  <c r="C1113" i="16"/>
  <c r="V1112" i="16"/>
  <c r="Q1112" i="16"/>
  <c r="L1112" i="16"/>
  <c r="F1112" i="16"/>
  <c r="A1112" i="16"/>
  <c r="U1111" i="16"/>
  <c r="O1111" i="16"/>
  <c r="J1111" i="16"/>
  <c r="E1111" i="16"/>
  <c r="X1110" i="16"/>
  <c r="S1110" i="16"/>
  <c r="N1110" i="16"/>
  <c r="H1110" i="16"/>
  <c r="C1110" i="16"/>
  <c r="W1109" i="16"/>
  <c r="Q1109" i="16"/>
  <c r="L1109" i="16"/>
  <c r="G1109" i="16"/>
  <c r="A1109" i="16"/>
  <c r="U1108" i="16"/>
  <c r="P1108" i="16"/>
  <c r="J1108" i="16"/>
  <c r="E1108" i="16"/>
  <c r="Y1107" i="16"/>
  <c r="S1107" i="16"/>
  <c r="N1107" i="16"/>
  <c r="I1107" i="16"/>
  <c r="C1107" i="16"/>
  <c r="W1106" i="16"/>
  <c r="R1106" i="16"/>
  <c r="L1106" i="16"/>
  <c r="G1106" i="16"/>
  <c r="B1106" i="16"/>
  <c r="U1105" i="16"/>
  <c r="P1105" i="16"/>
  <c r="K1105" i="16"/>
  <c r="E1105" i="16"/>
  <c r="Y1104" i="16"/>
  <c r="T1104" i="16"/>
  <c r="N1104" i="16"/>
  <c r="I1104" i="16"/>
  <c r="D1104" i="16"/>
  <c r="W1103" i="16"/>
  <c r="R1103" i="16"/>
  <c r="M1103" i="16"/>
  <c r="G1103" i="16"/>
  <c r="C1103" i="16"/>
  <c r="X1102" i="16"/>
  <c r="T1102" i="16"/>
  <c r="P1102" i="16"/>
  <c r="L1102" i="16"/>
  <c r="H1102" i="16"/>
  <c r="D1102" i="16"/>
  <c r="Y1101" i="16"/>
  <c r="U1101" i="16"/>
  <c r="Q1101" i="16"/>
  <c r="M1101" i="16"/>
  <c r="I1101" i="16"/>
  <c r="E1101" i="16"/>
  <c r="A1101" i="16"/>
  <c r="V1100" i="16"/>
  <c r="R1100" i="16"/>
  <c r="N1100" i="16"/>
  <c r="J1100" i="16"/>
  <c r="F1100" i="16"/>
  <c r="B1100" i="16"/>
  <c r="W1099" i="16"/>
  <c r="S1099" i="16"/>
  <c r="O1099" i="16"/>
  <c r="K1099" i="16"/>
  <c r="G1099" i="16"/>
  <c r="C1099" i="16"/>
  <c r="X1098" i="16"/>
  <c r="T1098" i="16"/>
  <c r="P1098" i="16"/>
  <c r="L1098" i="16"/>
  <c r="H1098" i="16"/>
  <c r="D1098" i="16"/>
  <c r="Y1097" i="16"/>
  <c r="U1097" i="16"/>
  <c r="Q1097" i="16"/>
  <c r="M1097" i="16"/>
  <c r="I1097" i="16"/>
  <c r="E1097" i="16"/>
  <c r="A1097" i="16"/>
  <c r="V1096" i="16"/>
  <c r="R1096" i="16"/>
  <c r="N1096" i="16"/>
  <c r="J1096" i="16"/>
  <c r="F1096" i="16"/>
  <c r="B1096" i="16"/>
  <c r="W1095" i="16"/>
  <c r="S1095" i="16"/>
  <c r="O1095" i="16"/>
  <c r="K1095" i="16"/>
  <c r="G1095" i="16"/>
  <c r="C1095" i="16"/>
  <c r="X1094" i="16"/>
  <c r="T1094" i="16"/>
  <c r="P1094" i="16"/>
  <c r="L1094" i="16"/>
  <c r="H1094" i="16"/>
  <c r="D1094" i="16"/>
  <c r="Y1093" i="16"/>
  <c r="U1093" i="16"/>
  <c r="Q1093" i="16"/>
  <c r="M1093" i="16"/>
  <c r="I1093" i="16"/>
  <c r="E1093" i="16"/>
  <c r="A1093" i="16"/>
  <c r="V1092" i="16"/>
  <c r="R1092" i="16"/>
  <c r="N1092" i="16"/>
  <c r="J1092" i="16"/>
  <c r="F1092" i="16"/>
  <c r="B1092" i="16"/>
  <c r="W1091" i="16"/>
  <c r="S1091" i="16"/>
  <c r="O1091" i="16"/>
  <c r="K1091" i="16"/>
  <c r="G1091" i="16"/>
  <c r="C1091" i="16"/>
  <c r="X1090" i="16"/>
  <c r="T1090" i="16"/>
  <c r="P1090" i="16"/>
  <c r="L1090" i="16"/>
  <c r="H1090" i="16"/>
  <c r="D1090" i="16"/>
  <c r="Y1089" i="16"/>
  <c r="U1089" i="16"/>
  <c r="Q1089" i="16"/>
  <c r="M1089" i="16"/>
  <c r="I1089" i="16"/>
  <c r="E1089" i="16"/>
  <c r="A1089" i="16"/>
  <c r="V1088" i="16"/>
  <c r="R1088" i="16"/>
  <c r="N1088" i="16"/>
  <c r="J1088" i="16"/>
  <c r="F1088" i="16"/>
  <c r="B1088" i="16"/>
  <c r="W1087" i="16"/>
  <c r="S1087" i="16"/>
  <c r="O1087" i="16"/>
  <c r="K1087" i="16"/>
  <c r="G1087" i="16"/>
  <c r="C1087" i="16"/>
  <c r="X1086" i="16"/>
  <c r="T1086" i="16"/>
  <c r="P1086" i="16"/>
  <c r="L1086" i="16"/>
  <c r="H1086" i="16"/>
  <c r="D1086" i="16"/>
  <c r="Y1085" i="16"/>
  <c r="U1085" i="16"/>
  <c r="Q1085" i="16"/>
  <c r="M1085" i="16"/>
  <c r="I1085" i="16"/>
  <c r="E1085" i="16"/>
  <c r="A1085" i="16"/>
  <c r="V1084" i="16"/>
  <c r="R1084" i="16"/>
  <c r="N1084" i="16"/>
  <c r="J1084" i="16"/>
  <c r="F1084" i="16"/>
  <c r="B1084" i="16"/>
  <c r="W1083" i="16"/>
  <c r="S1083" i="16"/>
  <c r="O1083" i="16"/>
  <c r="K1083" i="16"/>
  <c r="G1083" i="16"/>
  <c r="C1083" i="16"/>
  <c r="X1082" i="16"/>
  <c r="T1082" i="16"/>
  <c r="P1082" i="16"/>
  <c r="L1082" i="16"/>
  <c r="H1082" i="16"/>
  <c r="D1082" i="16"/>
  <c r="Y1081" i="16"/>
  <c r="U1081" i="16"/>
  <c r="Q1081" i="16"/>
  <c r="M1081" i="16"/>
  <c r="I1081" i="16"/>
  <c r="E1081" i="16"/>
  <c r="A1081" i="16"/>
  <c r="V1080" i="16"/>
  <c r="R1080" i="16"/>
  <c r="N1080" i="16"/>
  <c r="J1080" i="16"/>
  <c r="F1080" i="16"/>
  <c r="B1080" i="16"/>
  <c r="W1079" i="16"/>
  <c r="S1079" i="16"/>
  <c r="O1079" i="16"/>
  <c r="K1079" i="16"/>
  <c r="G1079" i="16"/>
  <c r="C1079" i="16"/>
  <c r="X1078" i="16"/>
  <c r="T1078" i="16"/>
  <c r="P1078" i="16"/>
  <c r="L1078" i="16"/>
  <c r="H1078" i="16"/>
  <c r="D1078" i="16"/>
  <c r="Y1077" i="16"/>
  <c r="U1077" i="16"/>
  <c r="Q1077" i="16"/>
  <c r="M1077" i="16"/>
  <c r="I1077" i="16"/>
  <c r="E1077" i="16"/>
  <c r="A1077" i="16"/>
  <c r="V1076" i="16"/>
  <c r="R1076" i="16"/>
  <c r="N1076" i="16"/>
  <c r="J1076" i="16"/>
  <c r="F1076" i="16"/>
  <c r="B1076" i="16"/>
  <c r="W1075" i="16"/>
  <c r="S1075" i="16"/>
  <c r="O1075" i="16"/>
  <c r="K1075" i="16"/>
  <c r="G1075" i="16"/>
  <c r="C1075" i="16"/>
  <c r="X1074" i="16"/>
  <c r="T1074" i="16"/>
  <c r="P1074" i="16"/>
  <c r="L1074" i="16"/>
  <c r="H1074" i="16"/>
  <c r="D1074" i="16"/>
  <c r="Y1073" i="16"/>
  <c r="U1073" i="16"/>
  <c r="Q1073" i="16"/>
  <c r="M1073" i="16"/>
  <c r="I1073" i="16"/>
  <c r="E1073" i="16"/>
  <c r="A1073" i="16"/>
  <c r="V1072" i="16"/>
  <c r="R1072" i="16"/>
  <c r="N1072" i="16"/>
  <c r="J1072" i="16"/>
  <c r="F1072" i="16"/>
  <c r="B1072" i="16"/>
  <c r="W1071" i="16"/>
  <c r="S1071" i="16"/>
  <c r="O1071" i="16"/>
  <c r="K1071" i="16"/>
  <c r="G1071" i="16"/>
  <c r="C1071" i="16"/>
  <c r="X1070" i="16"/>
  <c r="T1070" i="16"/>
  <c r="P1070" i="16"/>
  <c r="L1070" i="16"/>
  <c r="H1070" i="16"/>
  <c r="D1070" i="16"/>
  <c r="Y1069" i="16"/>
  <c r="U1069" i="16"/>
  <c r="Q1069" i="16"/>
  <c r="M1069" i="16"/>
  <c r="I1069" i="16"/>
  <c r="E1069" i="16"/>
  <c r="A1069" i="16"/>
  <c r="V1068" i="16"/>
  <c r="R1068" i="16"/>
  <c r="N1068" i="16"/>
  <c r="J1068" i="16"/>
  <c r="F1068" i="16"/>
  <c r="B1068" i="16"/>
  <c r="W1067" i="16"/>
  <c r="S1067" i="16"/>
  <c r="O1067" i="16"/>
  <c r="K1067" i="16"/>
  <c r="G1067" i="16"/>
  <c r="C1067" i="16"/>
  <c r="X1066" i="16"/>
  <c r="T1066" i="16"/>
  <c r="P1066" i="16"/>
  <c r="L1066" i="16"/>
  <c r="H1066" i="16"/>
  <c r="D1066" i="16"/>
  <c r="Y1065" i="16"/>
  <c r="U1065" i="16"/>
  <c r="Q1065" i="16"/>
  <c r="M1065" i="16"/>
  <c r="I1065" i="16"/>
  <c r="E1065" i="16"/>
  <c r="A1065" i="16"/>
  <c r="V1064" i="16"/>
  <c r="R1064" i="16"/>
  <c r="N1064" i="16"/>
  <c r="J1064" i="16"/>
  <c r="F1064" i="16"/>
  <c r="B1064" i="16"/>
  <c r="W1063" i="16"/>
  <c r="S1063" i="16"/>
  <c r="O1063" i="16"/>
  <c r="K1063" i="16"/>
  <c r="G1063" i="16"/>
  <c r="C1063" i="16"/>
  <c r="X1062" i="16"/>
  <c r="T1062" i="16"/>
  <c r="P1062" i="16"/>
  <c r="L1062" i="16"/>
  <c r="H1062" i="16"/>
  <c r="D1062" i="16"/>
  <c r="Y1061" i="16"/>
  <c r="U1061" i="16"/>
  <c r="Q1061" i="16"/>
  <c r="M1061" i="16"/>
  <c r="I1061" i="16"/>
  <c r="E1061" i="16"/>
  <c r="A1061" i="16"/>
  <c r="V1060" i="16"/>
  <c r="R1060" i="16"/>
  <c r="N1060" i="16"/>
  <c r="J1060" i="16"/>
  <c r="F1060" i="16"/>
  <c r="B1060" i="16"/>
  <c r="W1059" i="16"/>
  <c r="S1059" i="16"/>
  <c r="O1059" i="16"/>
  <c r="K1059" i="16"/>
  <c r="G1059" i="16"/>
  <c r="C1059" i="16"/>
  <c r="X1058" i="16"/>
  <c r="T1058" i="16"/>
  <c r="P1058" i="16"/>
  <c r="L1058" i="16"/>
  <c r="H1058" i="16"/>
  <c r="D1058" i="16"/>
  <c r="Y1057" i="16"/>
  <c r="U1057" i="16"/>
  <c r="Q1057" i="16"/>
  <c r="M1057" i="16"/>
  <c r="I1057" i="16"/>
  <c r="E1057" i="16"/>
  <c r="A1057" i="16"/>
  <c r="V1056" i="16"/>
  <c r="R1056" i="16"/>
  <c r="N1056" i="16"/>
  <c r="J1056" i="16"/>
  <c r="F1056" i="16"/>
  <c r="B1056" i="16"/>
  <c r="W1055" i="16"/>
  <c r="S1055" i="16"/>
  <c r="O1055" i="16"/>
  <c r="K1055" i="16"/>
  <c r="G1055" i="16"/>
  <c r="C1055" i="16"/>
  <c r="X1054" i="16"/>
  <c r="T1054" i="16"/>
  <c r="P1054" i="16"/>
  <c r="L1054" i="16"/>
  <c r="H1054" i="16"/>
  <c r="D1054" i="16"/>
  <c r="Y1053" i="16"/>
  <c r="U1053" i="16"/>
  <c r="Q1053" i="16"/>
  <c r="M1053" i="16"/>
  <c r="I1053" i="16"/>
  <c r="E1053" i="16"/>
  <c r="A1053" i="16"/>
  <c r="V1052" i="16"/>
  <c r="R1052" i="16"/>
  <c r="N1052" i="16"/>
  <c r="J1052" i="16"/>
  <c r="F1052" i="16"/>
  <c r="B1052" i="16"/>
  <c r="W1051" i="16"/>
  <c r="S1051" i="16"/>
  <c r="O1051" i="16"/>
  <c r="K1051" i="16"/>
  <c r="G1051" i="16"/>
  <c r="C1051" i="16"/>
  <c r="X1050" i="16"/>
  <c r="T1050" i="16"/>
  <c r="P1050" i="16"/>
  <c r="L1050" i="16"/>
  <c r="H1050" i="16"/>
  <c r="D1050" i="16"/>
  <c r="Y1049" i="16"/>
  <c r="U1049" i="16"/>
  <c r="Q1049" i="16"/>
  <c r="M1049" i="16"/>
  <c r="I1049" i="16"/>
  <c r="E1049" i="16"/>
  <c r="A1049" i="16"/>
  <c r="V1048" i="16"/>
  <c r="R1048" i="16"/>
  <c r="N1048" i="16"/>
  <c r="J1048" i="16"/>
  <c r="F1048" i="16"/>
  <c r="B1048" i="16"/>
  <c r="W1047" i="16"/>
  <c r="S1047" i="16"/>
  <c r="O1047" i="16"/>
  <c r="K1047" i="16"/>
  <c r="G1047" i="16"/>
  <c r="C1047" i="16"/>
  <c r="X1046" i="16"/>
  <c r="T1046" i="16"/>
  <c r="P1046" i="16"/>
  <c r="L1046" i="16"/>
  <c r="H1046" i="16"/>
  <c r="D1046" i="16"/>
  <c r="Y1045" i="16"/>
  <c r="U1045" i="16"/>
  <c r="Q1045" i="16"/>
  <c r="M1045" i="16"/>
  <c r="I1045" i="16"/>
  <c r="E1045" i="16"/>
  <c r="A1045" i="16"/>
  <c r="V1044" i="16"/>
  <c r="R1044" i="16"/>
  <c r="N1044" i="16"/>
  <c r="J1044" i="16"/>
  <c r="F1044" i="16"/>
  <c r="B1044" i="16"/>
  <c r="W1043" i="16"/>
  <c r="S1043" i="16"/>
  <c r="O1043" i="16"/>
  <c r="K1043" i="16"/>
  <c r="G1043" i="16"/>
  <c r="C1043" i="16"/>
  <c r="X1042" i="16"/>
  <c r="T1042" i="16"/>
  <c r="P1042" i="16"/>
  <c r="L1042" i="16"/>
  <c r="H1042" i="16"/>
  <c r="D1042" i="16"/>
  <c r="Y1041" i="16"/>
  <c r="U1041" i="16"/>
  <c r="Q1041" i="16"/>
  <c r="M1041" i="16"/>
  <c r="I1041" i="16"/>
  <c r="E1041" i="16"/>
  <c r="A1041" i="16"/>
  <c r="V1040" i="16"/>
  <c r="R1040" i="16"/>
  <c r="N1040" i="16"/>
  <c r="J1040" i="16"/>
  <c r="F1040" i="16"/>
  <c r="B1040" i="16"/>
  <c r="W1039" i="16"/>
  <c r="S1039" i="16"/>
  <c r="O1039" i="16"/>
  <c r="K1039" i="16"/>
  <c r="G1039" i="16"/>
  <c r="C1039" i="16"/>
  <c r="X1038" i="16"/>
  <c r="T1038" i="16"/>
  <c r="P1038" i="16"/>
  <c r="L1038" i="16"/>
  <c r="H1038" i="16"/>
  <c r="D1038" i="16"/>
  <c r="Y1037" i="16"/>
  <c r="U1037" i="16"/>
  <c r="Q1037" i="16"/>
  <c r="M1037" i="16"/>
  <c r="I1037" i="16"/>
  <c r="E1037" i="16"/>
  <c r="A1037" i="16"/>
  <c r="V1036" i="16"/>
  <c r="R1036" i="16"/>
  <c r="N1036" i="16"/>
  <c r="J1036" i="16"/>
  <c r="F1036" i="16"/>
  <c r="B1036" i="16"/>
  <c r="W1035" i="16"/>
  <c r="S1035" i="16"/>
  <c r="O1035" i="16"/>
  <c r="K1035" i="16"/>
  <c r="G1035" i="16"/>
  <c r="C1035" i="16"/>
  <c r="R1167" i="16"/>
  <c r="E1167" i="16"/>
  <c r="S1166" i="16"/>
  <c r="F1166" i="16"/>
  <c r="R1165" i="16"/>
  <c r="F1165" i="16"/>
  <c r="P1164" i="16"/>
  <c r="E1164" i="16"/>
  <c r="R1163" i="16"/>
  <c r="D1163" i="16"/>
  <c r="Q1162" i="16"/>
  <c r="F1162" i="16"/>
  <c r="P1161" i="16"/>
  <c r="D1161" i="16"/>
  <c r="Q1160" i="16"/>
  <c r="C1160" i="16"/>
  <c r="Q1159" i="16"/>
  <c r="E1159" i="16"/>
  <c r="O1158" i="16"/>
  <c r="C1158" i="16"/>
  <c r="R1157" i="16"/>
  <c r="C1157" i="16"/>
  <c r="P1156" i="16"/>
  <c r="C1156" i="16"/>
  <c r="N1155" i="16"/>
  <c r="D1155" i="16"/>
  <c r="O1154" i="16"/>
  <c r="D1154" i="16"/>
  <c r="S1153" i="16"/>
  <c r="K1153" i="16"/>
  <c r="A1153" i="16"/>
  <c r="P1152" i="16"/>
  <c r="G1152" i="16"/>
  <c r="U1151" i="16"/>
  <c r="M1151" i="16"/>
  <c r="D1151" i="16"/>
  <c r="R1150" i="16"/>
  <c r="I1150" i="16"/>
  <c r="A1150" i="16"/>
  <c r="O1149" i="16"/>
  <c r="F1149" i="16"/>
  <c r="V1148" i="16"/>
  <c r="K1148" i="16"/>
  <c r="C1148" i="16"/>
  <c r="S1147" i="16"/>
  <c r="H1147" i="16"/>
  <c r="X1146" i="16"/>
  <c r="P1146" i="16"/>
  <c r="E1146" i="16"/>
  <c r="U1145" i="16"/>
  <c r="K1145" i="16"/>
  <c r="A1145" i="16"/>
  <c r="R1144" i="16"/>
  <c r="H1144" i="16"/>
  <c r="W1143" i="16"/>
  <c r="M1143" i="16"/>
  <c r="E1143" i="16"/>
  <c r="T1142" i="16"/>
  <c r="J1142" i="16"/>
  <c r="A1142" i="16"/>
  <c r="O1141" i="16"/>
  <c r="G1141" i="16"/>
  <c r="W1140" i="16"/>
  <c r="L1140" i="16"/>
  <c r="C1140" i="16"/>
  <c r="T1139" i="16"/>
  <c r="I1139" i="16"/>
  <c r="Y1138" i="16"/>
  <c r="P1138" i="16"/>
  <c r="E1138" i="16"/>
  <c r="V1137" i="16"/>
  <c r="M1137" i="16"/>
  <c r="D1137" i="16"/>
  <c r="V1136" i="16"/>
  <c r="P1136" i="16"/>
  <c r="H1136" i="16"/>
  <c r="A1136" i="16"/>
  <c r="S1135" i="16"/>
  <c r="K1135" i="16"/>
  <c r="E1135" i="16"/>
  <c r="W1134" i="16"/>
  <c r="O1134" i="16"/>
  <c r="H1134" i="16"/>
  <c r="B1134" i="16"/>
  <c r="S1133" i="16"/>
  <c r="L1133" i="16"/>
  <c r="E1133" i="16"/>
  <c r="V1132" i="16"/>
  <c r="P1132" i="16"/>
  <c r="I1132" i="16"/>
  <c r="A1132" i="16"/>
  <c r="S1131" i="16"/>
  <c r="M1131" i="16"/>
  <c r="E1131" i="16"/>
  <c r="W1130" i="16"/>
  <c r="P1130" i="16"/>
  <c r="H1130" i="16"/>
  <c r="B1130" i="16"/>
  <c r="T1129" i="16"/>
  <c r="L1129" i="16"/>
  <c r="E1129" i="16"/>
  <c r="X1128" i="16"/>
  <c r="P1128" i="16"/>
  <c r="I1128" i="16"/>
  <c r="B1128" i="16"/>
  <c r="S1127" i="16"/>
  <c r="M1127" i="16"/>
  <c r="F1127" i="16"/>
  <c r="W1126" i="16"/>
  <c r="P1126" i="16"/>
  <c r="J1126" i="16"/>
  <c r="B1126" i="16"/>
  <c r="T1125" i="16"/>
  <c r="M1125" i="16"/>
  <c r="E1125" i="16"/>
  <c r="X1124" i="16"/>
  <c r="Q1124" i="16"/>
  <c r="I1124" i="16"/>
  <c r="B1124" i="16"/>
  <c r="U1123" i="16"/>
  <c r="M1123" i="16"/>
  <c r="F1123" i="16"/>
  <c r="X1122" i="16"/>
  <c r="P1122" i="16"/>
  <c r="J1122" i="16"/>
  <c r="C1122" i="16"/>
  <c r="T1121" i="16"/>
  <c r="M1121" i="16"/>
  <c r="G1121" i="16"/>
  <c r="X1120" i="16"/>
  <c r="Q1120" i="16"/>
  <c r="J1120" i="16"/>
  <c r="B1120" i="16"/>
  <c r="U1119" i="16"/>
  <c r="N1119" i="16"/>
  <c r="F1119" i="16"/>
  <c r="X1118" i="16"/>
  <c r="R1118" i="16"/>
  <c r="J1118" i="16"/>
  <c r="C1118" i="16"/>
  <c r="U1117" i="16"/>
  <c r="M1117" i="16"/>
  <c r="G1117" i="16"/>
  <c r="Y1116" i="16"/>
  <c r="Q1116" i="16"/>
  <c r="J1116" i="16"/>
  <c r="D1116" i="16"/>
  <c r="U1115" i="16"/>
  <c r="N1115" i="16"/>
  <c r="G1115" i="16"/>
  <c r="X1114" i="16"/>
  <c r="R1114" i="16"/>
  <c r="K1114" i="16"/>
  <c r="C1114" i="16"/>
  <c r="U1113" i="16"/>
  <c r="O1113" i="16"/>
  <c r="G1113" i="16"/>
  <c r="Y1112" i="16"/>
  <c r="R1112" i="16"/>
  <c r="J1112" i="16"/>
  <c r="D1112" i="16"/>
  <c r="V1111" i="16"/>
  <c r="N1111" i="16"/>
  <c r="G1111" i="16"/>
  <c r="A1111" i="16"/>
  <c r="R1110" i="16"/>
  <c r="K1110" i="16"/>
  <c r="D1110" i="16"/>
  <c r="U1109" i="16"/>
  <c r="O1109" i="16"/>
  <c r="H1109" i="16"/>
  <c r="Y1108" i="16"/>
  <c r="R1108" i="16"/>
  <c r="L1108" i="16"/>
  <c r="D1108" i="16"/>
  <c r="V1107" i="16"/>
  <c r="O1107" i="16"/>
  <c r="G1107" i="16"/>
  <c r="A1107" i="16"/>
  <c r="S1106" i="16"/>
  <c r="K1106" i="16"/>
  <c r="D1106" i="16"/>
  <c r="W1105" i="16"/>
  <c r="O1105" i="16"/>
  <c r="H1105" i="16"/>
  <c r="A1105" i="16"/>
  <c r="R1104" i="16"/>
  <c r="L1104" i="16"/>
  <c r="E1104" i="16"/>
  <c r="V1103" i="16"/>
  <c r="O1103" i="16"/>
  <c r="I1103" i="16"/>
  <c r="B1103" i="16"/>
  <c r="V1102" i="16"/>
  <c r="Q1102" i="16"/>
  <c r="K1102" i="16"/>
  <c r="F1102" i="16"/>
  <c r="A1102" i="16"/>
  <c r="T1101" i="16"/>
  <c r="O1101" i="16"/>
  <c r="J1101" i="16"/>
  <c r="D1101" i="16"/>
  <c r="X1100" i="16"/>
  <c r="S1100" i="16"/>
  <c r="M1100" i="16"/>
  <c r="H1100" i="16"/>
  <c r="C1100" i="16"/>
  <c r="V1099" i="16"/>
  <c r="Q1099" i="16"/>
  <c r="L1099" i="16"/>
  <c r="F1099" i="16"/>
  <c r="A1099" i="16"/>
  <c r="U1098" i="16"/>
  <c r="O1098" i="16"/>
  <c r="J1098" i="16"/>
  <c r="E1098" i="16"/>
  <c r="X1097" i="16"/>
  <c r="S1097" i="16"/>
  <c r="N1097" i="16"/>
  <c r="H1097" i="16"/>
  <c r="C1097" i="16"/>
  <c r="W1096" i="16"/>
  <c r="Q1096" i="16"/>
  <c r="L1096" i="16"/>
  <c r="G1096" i="16"/>
  <c r="A1096" i="16"/>
  <c r="U1095" i="16"/>
  <c r="P1095" i="16"/>
  <c r="J1095" i="16"/>
  <c r="E1095" i="16"/>
  <c r="Y1094" i="16"/>
  <c r="S1094" i="16"/>
  <c r="N1094" i="16"/>
  <c r="I1094" i="16"/>
  <c r="C1094" i="16"/>
  <c r="W1093" i="16"/>
  <c r="R1093" i="16"/>
  <c r="L1093" i="16"/>
  <c r="G1093" i="16"/>
  <c r="B1093" i="16"/>
  <c r="U1092" i="16"/>
  <c r="P1092" i="16"/>
  <c r="K1092" i="16"/>
  <c r="E1092" i="16"/>
  <c r="Y1091" i="16"/>
  <c r="T1091" i="16"/>
  <c r="N1091" i="16"/>
  <c r="I1091" i="16"/>
  <c r="D1091" i="16"/>
  <c r="W1090" i="16"/>
  <c r="R1090" i="16"/>
  <c r="M1090" i="16"/>
  <c r="G1090" i="16"/>
  <c r="B1090" i="16"/>
  <c r="V1089" i="16"/>
  <c r="P1089" i="16"/>
  <c r="K1089" i="16"/>
  <c r="F1089" i="16"/>
  <c r="Y1088" i="16"/>
  <c r="T1088" i="16"/>
  <c r="O1088" i="16"/>
  <c r="I1088" i="16"/>
  <c r="D1088" i="16"/>
  <c r="X1087" i="16"/>
  <c r="R1087" i="16"/>
  <c r="M1087" i="16"/>
  <c r="H1087" i="16"/>
  <c r="B1087" i="16"/>
  <c r="V1086" i="16"/>
  <c r="Q1086" i="16"/>
  <c r="K1086" i="16"/>
  <c r="F1086" i="16"/>
  <c r="A1086" i="16"/>
  <c r="T1085" i="16"/>
  <c r="O1085" i="16"/>
  <c r="J1085" i="16"/>
  <c r="D1085" i="16"/>
  <c r="X1084" i="16"/>
  <c r="S1084" i="16"/>
  <c r="M1084" i="16"/>
  <c r="H1084" i="16"/>
  <c r="C1084" i="16"/>
  <c r="V1083" i="16"/>
  <c r="Q1083" i="16"/>
  <c r="L1083" i="16"/>
  <c r="F1083" i="16"/>
  <c r="A1083" i="16"/>
  <c r="U1082" i="16"/>
  <c r="O1082" i="16"/>
  <c r="J1082" i="16"/>
  <c r="E1082" i="16"/>
  <c r="X1081" i="16"/>
  <c r="S1081" i="16"/>
  <c r="N1081" i="16"/>
  <c r="H1081" i="16"/>
  <c r="C1081" i="16"/>
  <c r="W1080" i="16"/>
  <c r="Q1080" i="16"/>
  <c r="L1080" i="16"/>
  <c r="G1080" i="16"/>
  <c r="A1080" i="16"/>
  <c r="U1079" i="16"/>
  <c r="P1079" i="16"/>
  <c r="J1079" i="16"/>
  <c r="E1079" i="16"/>
  <c r="Y1078" i="16"/>
  <c r="S1078" i="16"/>
  <c r="N1078" i="16"/>
  <c r="I1078" i="16"/>
  <c r="C1078" i="16"/>
  <c r="W1077" i="16"/>
  <c r="R1077" i="16"/>
  <c r="L1077" i="16"/>
  <c r="G1077" i="16"/>
  <c r="B1077" i="16"/>
  <c r="U1076" i="16"/>
  <c r="P1076" i="16"/>
  <c r="K1076" i="16"/>
  <c r="E1076" i="16"/>
  <c r="Y1075" i="16"/>
  <c r="T1075" i="16"/>
  <c r="N1075" i="16"/>
  <c r="I1075" i="16"/>
  <c r="D1075" i="16"/>
  <c r="W1074" i="16"/>
  <c r="R1074" i="16"/>
  <c r="M1074" i="16"/>
  <c r="G1074" i="16"/>
  <c r="B1074" i="16"/>
  <c r="V1073" i="16"/>
  <c r="P1073" i="16"/>
  <c r="K1073" i="16"/>
  <c r="F1073" i="16"/>
  <c r="Y1072" i="16"/>
  <c r="T1072" i="16"/>
  <c r="O1072" i="16"/>
  <c r="I1072" i="16"/>
  <c r="D1072" i="16"/>
  <c r="X1071" i="16"/>
  <c r="R1071" i="16"/>
  <c r="M1071" i="16"/>
  <c r="H1071" i="16"/>
  <c r="B1071" i="16"/>
  <c r="V1070" i="16"/>
  <c r="Q1070" i="16"/>
  <c r="K1070" i="16"/>
  <c r="F1070" i="16"/>
  <c r="A1070" i="16"/>
  <c r="T1069" i="16"/>
  <c r="O1069" i="16"/>
  <c r="J1069" i="16"/>
  <c r="D1069" i="16"/>
  <c r="X1068" i="16"/>
  <c r="S1068" i="16"/>
  <c r="M1068" i="16"/>
  <c r="H1068" i="16"/>
  <c r="C1068" i="16"/>
  <c r="V1067" i="16"/>
  <c r="Q1067" i="16"/>
  <c r="L1067" i="16"/>
  <c r="F1067" i="16"/>
  <c r="A1067" i="16"/>
  <c r="U1066" i="16"/>
  <c r="O1066" i="16"/>
  <c r="J1066" i="16"/>
  <c r="E1066" i="16"/>
  <c r="X1065" i="16"/>
  <c r="S1065" i="16"/>
  <c r="N1065" i="16"/>
  <c r="H1065" i="16"/>
  <c r="C1065" i="16"/>
  <c r="W1064" i="16"/>
  <c r="Q1064" i="16"/>
  <c r="L1064" i="16"/>
  <c r="G1064" i="16"/>
  <c r="A1064" i="16"/>
  <c r="U1063" i="16"/>
  <c r="P1063" i="16"/>
  <c r="J1063" i="16"/>
  <c r="E1063" i="16"/>
  <c r="Y1062" i="16"/>
  <c r="S1062" i="16"/>
  <c r="N1062" i="16"/>
  <c r="I1062" i="16"/>
  <c r="C1062" i="16"/>
  <c r="W1061" i="16"/>
  <c r="R1061" i="16"/>
  <c r="L1061" i="16"/>
  <c r="G1061" i="16"/>
  <c r="B1061" i="16"/>
  <c r="U1060" i="16"/>
  <c r="P1060" i="16"/>
  <c r="K1060" i="16"/>
  <c r="E1060" i="16"/>
  <c r="Y1059" i="16"/>
  <c r="T1059" i="16"/>
  <c r="N1059" i="16"/>
  <c r="I1059" i="16"/>
  <c r="D1059" i="16"/>
  <c r="W1058" i="16"/>
  <c r="R1058" i="16"/>
  <c r="M1058" i="16"/>
  <c r="G1058" i="16"/>
  <c r="B1058" i="16"/>
  <c r="V1057" i="16"/>
  <c r="P1057" i="16"/>
  <c r="K1057" i="16"/>
  <c r="F1057" i="16"/>
  <c r="Y1056" i="16"/>
  <c r="T1056" i="16"/>
  <c r="O1056" i="16"/>
  <c r="I1056" i="16"/>
  <c r="D1056" i="16"/>
  <c r="X1055" i="16"/>
  <c r="R1055" i="16"/>
  <c r="M1055" i="16"/>
  <c r="H1055" i="16"/>
  <c r="B1055" i="16"/>
  <c r="V1054" i="16"/>
  <c r="Q1054" i="16"/>
  <c r="K1054" i="16"/>
  <c r="F1054" i="16"/>
  <c r="A1054" i="16"/>
  <c r="T1053" i="16"/>
  <c r="O1053" i="16"/>
  <c r="J1053" i="16"/>
  <c r="D1053" i="16"/>
  <c r="X1052" i="16"/>
  <c r="S1052" i="16"/>
  <c r="M1052" i="16"/>
  <c r="H1052" i="16"/>
  <c r="C1052" i="16"/>
  <c r="V1051" i="16"/>
  <c r="Q1051" i="16"/>
  <c r="L1051" i="16"/>
  <c r="F1051" i="16"/>
  <c r="A1051" i="16"/>
  <c r="U1050" i="16"/>
  <c r="O1050" i="16"/>
  <c r="J1050" i="16"/>
  <c r="E1050" i="16"/>
  <c r="X1049" i="16"/>
  <c r="S1049" i="16"/>
  <c r="N1049" i="16"/>
  <c r="H1049" i="16"/>
  <c r="C1049" i="16"/>
  <c r="W1048" i="16"/>
  <c r="Q1048" i="16"/>
  <c r="L1048" i="16"/>
  <c r="G1048" i="16"/>
  <c r="A1048" i="16"/>
  <c r="U1047" i="16"/>
  <c r="P1047" i="16"/>
  <c r="J1047" i="16"/>
  <c r="E1047" i="16"/>
  <c r="Y1046" i="16"/>
  <c r="S1046" i="16"/>
  <c r="N1046" i="16"/>
  <c r="I1046" i="16"/>
  <c r="C1046" i="16"/>
  <c r="W1045" i="16"/>
  <c r="R1045" i="16"/>
  <c r="L1045" i="16"/>
  <c r="G1045" i="16"/>
  <c r="B1045" i="16"/>
  <c r="U1044" i="16"/>
  <c r="P1044" i="16"/>
  <c r="K1044" i="16"/>
  <c r="E1044" i="16"/>
  <c r="Y1043" i="16"/>
  <c r="T1043" i="16"/>
  <c r="N1043" i="16"/>
  <c r="I1043" i="16"/>
  <c r="D1043" i="16"/>
  <c r="W1042" i="16"/>
  <c r="R1042" i="16"/>
  <c r="M1042" i="16"/>
  <c r="G1042" i="16"/>
  <c r="B1042" i="16"/>
  <c r="V1041" i="16"/>
  <c r="P1041" i="16"/>
  <c r="K1041" i="16"/>
  <c r="F1041" i="16"/>
  <c r="Y1040" i="16"/>
  <c r="T1040" i="16"/>
  <c r="O1040" i="16"/>
  <c r="I1040" i="16"/>
  <c r="D1040" i="16"/>
  <c r="X1039" i="16"/>
  <c r="R1039" i="16"/>
  <c r="M1039" i="16"/>
  <c r="H1039" i="16"/>
  <c r="B1039" i="16"/>
  <c r="V1038" i="16"/>
  <c r="Q1038" i="16"/>
  <c r="K1038" i="16"/>
  <c r="F1038" i="16"/>
  <c r="A1038" i="16"/>
  <c r="T1037" i="16"/>
  <c r="O1037" i="16"/>
  <c r="J1037" i="16"/>
  <c r="D1037" i="16"/>
  <c r="X1036" i="16"/>
  <c r="S1036" i="16"/>
  <c r="M1036" i="16"/>
  <c r="H1036" i="16"/>
  <c r="C1036" i="16"/>
  <c r="V1035" i="16"/>
  <c r="Q1035" i="16"/>
  <c r="L1035" i="16"/>
  <c r="F1035" i="16"/>
  <c r="A1035" i="16"/>
  <c r="V1034" i="16"/>
  <c r="R1034" i="16"/>
  <c r="N1034" i="16"/>
  <c r="J1034" i="16"/>
  <c r="F1034" i="16"/>
  <c r="B1034" i="16"/>
  <c r="W1033" i="16"/>
  <c r="S1033" i="16"/>
  <c r="O1033" i="16"/>
  <c r="K1033" i="16"/>
  <c r="G1033" i="16"/>
  <c r="C1033" i="16"/>
  <c r="X1032" i="16"/>
  <c r="T1032" i="16"/>
  <c r="P1032" i="16"/>
  <c r="L1032" i="16"/>
  <c r="H1032" i="16"/>
  <c r="D1032" i="16"/>
  <c r="Y1031" i="16"/>
  <c r="U1031" i="16"/>
  <c r="Q1031" i="16"/>
  <c r="M1031" i="16"/>
  <c r="I1031" i="16"/>
  <c r="E1031" i="16"/>
  <c r="A1031" i="16"/>
  <c r="V1030" i="16"/>
  <c r="R1030" i="16"/>
  <c r="N1030" i="16"/>
  <c r="J1030" i="16"/>
  <c r="F1030" i="16"/>
  <c r="B1030" i="16"/>
  <c r="W1029" i="16"/>
  <c r="S1029" i="16"/>
  <c r="O1029" i="16"/>
  <c r="K1029" i="16"/>
  <c r="G1029" i="16"/>
  <c r="C1029" i="16"/>
  <c r="X1028" i="16"/>
  <c r="T1028" i="16"/>
  <c r="P1028" i="16"/>
  <c r="L1028" i="16"/>
  <c r="H1028" i="16"/>
  <c r="D1028" i="16"/>
  <c r="Y1027" i="16"/>
  <c r="U1027" i="16"/>
  <c r="Q1027" i="16"/>
  <c r="M1027" i="16"/>
  <c r="I1027" i="16"/>
  <c r="E1027" i="16"/>
  <c r="A1027" i="16"/>
  <c r="V1026" i="16"/>
  <c r="R1026" i="16"/>
  <c r="N1026" i="16"/>
  <c r="J1026" i="16"/>
  <c r="F1026" i="16"/>
  <c r="B1026" i="16"/>
  <c r="W1025" i="16"/>
  <c r="S1025" i="16"/>
  <c r="O1025" i="16"/>
  <c r="K1025" i="16"/>
  <c r="G1025" i="16"/>
  <c r="C1025" i="16"/>
  <c r="X1024" i="16"/>
  <c r="T1024" i="16"/>
  <c r="P1024" i="16"/>
  <c r="L1024" i="16"/>
  <c r="H1024" i="16"/>
  <c r="D1024" i="16"/>
  <c r="Y1023" i="16"/>
  <c r="U1023" i="16"/>
  <c r="Q1023" i="16"/>
  <c r="M1023" i="16"/>
  <c r="I1023" i="16"/>
  <c r="E1023" i="16"/>
  <c r="A1023" i="16"/>
  <c r="V1022" i="16"/>
  <c r="R1022" i="16"/>
  <c r="N1022" i="16"/>
  <c r="J1022" i="16"/>
  <c r="F1022" i="16"/>
  <c r="B1022" i="16"/>
  <c r="W1021" i="16"/>
  <c r="S1021" i="16"/>
  <c r="O1021" i="16"/>
  <c r="K1021" i="16"/>
  <c r="G1021" i="16"/>
  <c r="C1021" i="16"/>
  <c r="X1020" i="16"/>
  <c r="T1020" i="16"/>
  <c r="P1020" i="16"/>
  <c r="L1020" i="16"/>
  <c r="H1020" i="16"/>
  <c r="D1020" i="16"/>
  <c r="Y1019" i="16"/>
  <c r="U1019" i="16"/>
  <c r="Q1019" i="16"/>
  <c r="M1019" i="16"/>
  <c r="I1019" i="16"/>
  <c r="E1019" i="16"/>
  <c r="A1019" i="16"/>
  <c r="V1018" i="16"/>
  <c r="R1018" i="16"/>
  <c r="N1018" i="16"/>
  <c r="J1018" i="16"/>
  <c r="F1018" i="16"/>
  <c r="B1018" i="16"/>
  <c r="W1017" i="16"/>
  <c r="S1017" i="16"/>
  <c r="O1017" i="16"/>
  <c r="K1017" i="16"/>
  <c r="G1017" i="16"/>
  <c r="C1017" i="16"/>
  <c r="X1016" i="16"/>
  <c r="T1016" i="16"/>
  <c r="P1016" i="16"/>
  <c r="L1016" i="16"/>
  <c r="H1016" i="16"/>
  <c r="D1016" i="16"/>
  <c r="Y1015" i="16"/>
  <c r="U1015" i="16"/>
  <c r="Q1015" i="16"/>
  <c r="M1015" i="16"/>
  <c r="I1015" i="16"/>
  <c r="E1015" i="16"/>
  <c r="A1015" i="16"/>
  <c r="V1014" i="16"/>
  <c r="R1014" i="16"/>
  <c r="N1014" i="16"/>
  <c r="J1014" i="16"/>
  <c r="F1014" i="16"/>
  <c r="B1014" i="16"/>
  <c r="W1013" i="16"/>
  <c r="S1013" i="16"/>
  <c r="O1013" i="16"/>
  <c r="K1013" i="16"/>
  <c r="G1013" i="16"/>
  <c r="C1013" i="16"/>
  <c r="X1012" i="16"/>
  <c r="T1012" i="16"/>
  <c r="P1012" i="16"/>
  <c r="L1012" i="16"/>
  <c r="H1012" i="16"/>
  <c r="D1012" i="16"/>
  <c r="Y1011" i="16"/>
  <c r="U1011" i="16"/>
  <c r="Q1011" i="16"/>
  <c r="M1011" i="16"/>
  <c r="I1011" i="16"/>
  <c r="E1011" i="16"/>
  <c r="A1011" i="16"/>
  <c r="V1010" i="16"/>
  <c r="R1010" i="16"/>
  <c r="N1010" i="16"/>
  <c r="J1010" i="16"/>
  <c r="F1010" i="16"/>
  <c r="B1010" i="16"/>
  <c r="W1009" i="16"/>
  <c r="S1009" i="16"/>
  <c r="O1009" i="16"/>
  <c r="K1009" i="16"/>
  <c r="G1009" i="16"/>
  <c r="C1009" i="16"/>
  <c r="X1008" i="16"/>
  <c r="T1008" i="16"/>
  <c r="P1008" i="16"/>
  <c r="L1008" i="16"/>
  <c r="H1008" i="16"/>
  <c r="D1008" i="16"/>
  <c r="Y1007" i="16"/>
  <c r="U1007" i="16"/>
  <c r="Q1007" i="16"/>
  <c r="M1007" i="16"/>
  <c r="I1007" i="16"/>
  <c r="E1007" i="16"/>
  <c r="A1007" i="16"/>
  <c r="V1006" i="16"/>
  <c r="R1006" i="16"/>
  <c r="N1006" i="16"/>
  <c r="J1006" i="16"/>
  <c r="F1006" i="16"/>
  <c r="B1006" i="16"/>
  <c r="W1005" i="16"/>
  <c r="S1005" i="16"/>
  <c r="O1005" i="16"/>
  <c r="K1005" i="16"/>
  <c r="G1005" i="16"/>
  <c r="C1005" i="16"/>
  <c r="X1004" i="16"/>
  <c r="T1004" i="16"/>
  <c r="P1004" i="16"/>
  <c r="L1004" i="16"/>
  <c r="H1004" i="16"/>
  <c r="D1004" i="16"/>
  <c r="Y1003" i="16"/>
  <c r="U1003" i="16"/>
  <c r="Q1003" i="16"/>
  <c r="M1003" i="16"/>
  <c r="I1003" i="16"/>
  <c r="E1003" i="16"/>
  <c r="A1003" i="16"/>
  <c r="V1002" i="16"/>
  <c r="R1002" i="16"/>
  <c r="N1002" i="16"/>
  <c r="J1002" i="16"/>
  <c r="F1002" i="16"/>
  <c r="B1002" i="16"/>
  <c r="W1001" i="16"/>
  <c r="S1001" i="16"/>
  <c r="O1001" i="16"/>
  <c r="K1001" i="16"/>
  <c r="G1001" i="16"/>
  <c r="C1001" i="16"/>
  <c r="X1000" i="16"/>
  <c r="T1000" i="16"/>
  <c r="P1000" i="16"/>
  <c r="L1000" i="16"/>
  <c r="H1000" i="16"/>
  <c r="D1000" i="16"/>
  <c r="Y999" i="16"/>
  <c r="U999" i="16"/>
  <c r="Q999" i="16"/>
  <c r="M999" i="16"/>
  <c r="I999" i="16"/>
  <c r="E999" i="16"/>
  <c r="A999" i="16"/>
  <c r="V998" i="16"/>
  <c r="R998" i="16"/>
  <c r="N998" i="16"/>
  <c r="J998" i="16"/>
  <c r="F998" i="16"/>
  <c r="B998" i="16"/>
  <c r="W997" i="16"/>
  <c r="S997" i="16"/>
  <c r="O997" i="16"/>
  <c r="K997" i="16"/>
  <c r="G997" i="16"/>
  <c r="C997" i="16"/>
  <c r="X996" i="16"/>
  <c r="T996" i="16"/>
  <c r="P996" i="16"/>
  <c r="L996" i="16"/>
  <c r="H996" i="16"/>
  <c r="D996" i="16"/>
  <c r="Y995" i="16"/>
  <c r="U995" i="16"/>
  <c r="Q995" i="16"/>
  <c r="M995" i="16"/>
  <c r="I995" i="16"/>
  <c r="E995" i="16"/>
  <c r="A995" i="16"/>
  <c r="V994" i="16"/>
  <c r="R994" i="16"/>
  <c r="N994" i="16"/>
  <c r="J994" i="16"/>
  <c r="F994" i="16"/>
  <c r="B994" i="16"/>
  <c r="W993" i="16"/>
  <c r="S993" i="16"/>
  <c r="O993" i="16"/>
  <c r="K993" i="16"/>
  <c r="G993" i="16"/>
  <c r="C993" i="16"/>
  <c r="X992" i="16"/>
  <c r="T992" i="16"/>
  <c r="P992" i="16"/>
  <c r="L992" i="16"/>
  <c r="H992" i="16"/>
  <c r="D992" i="16"/>
  <c r="Y991" i="16"/>
  <c r="U991" i="16"/>
  <c r="Q991" i="16"/>
  <c r="M991" i="16"/>
  <c r="I991" i="16"/>
  <c r="E991" i="16"/>
  <c r="A991" i="16"/>
  <c r="V990" i="16"/>
  <c r="R990" i="16"/>
  <c r="N990" i="16"/>
  <c r="J990" i="16"/>
  <c r="F990" i="16"/>
  <c r="B990" i="16"/>
  <c r="W989" i="16"/>
  <c r="S989" i="16"/>
  <c r="O989" i="16"/>
  <c r="K989" i="16"/>
  <c r="G989" i="16"/>
  <c r="C989" i="16"/>
  <c r="X988" i="16"/>
  <c r="T988" i="16"/>
  <c r="P988" i="16"/>
  <c r="L988" i="16"/>
  <c r="H988" i="16"/>
  <c r="D988" i="16"/>
  <c r="Y987" i="16"/>
  <c r="U987" i="16"/>
  <c r="Q987" i="16"/>
  <c r="M987" i="16"/>
  <c r="I987" i="16"/>
  <c r="E987" i="16"/>
  <c r="A987" i="16"/>
  <c r="V986" i="16"/>
  <c r="R986" i="16"/>
  <c r="N986" i="16"/>
  <c r="J986" i="16"/>
  <c r="F986" i="16"/>
  <c r="B986" i="16"/>
  <c r="W985" i="16"/>
  <c r="S985" i="16"/>
  <c r="O985" i="16"/>
  <c r="K985" i="16"/>
  <c r="G985" i="16"/>
  <c r="C985" i="16"/>
  <c r="X984" i="16"/>
  <c r="T984" i="16"/>
  <c r="P984" i="16"/>
  <c r="L984" i="16"/>
  <c r="H984" i="16"/>
  <c r="D984" i="16"/>
  <c r="Y983" i="16"/>
  <c r="U983" i="16"/>
  <c r="Q983" i="16"/>
  <c r="M983" i="16"/>
  <c r="I983" i="16"/>
  <c r="E983" i="16"/>
  <c r="A983" i="16"/>
  <c r="V982" i="16"/>
  <c r="R982" i="16"/>
  <c r="N982" i="16"/>
  <c r="J982" i="16"/>
  <c r="F982" i="16"/>
  <c r="B982" i="16"/>
  <c r="W981" i="16"/>
  <c r="S981" i="16"/>
  <c r="O981" i="16"/>
  <c r="K981" i="16"/>
  <c r="G981" i="16"/>
  <c r="C981" i="16"/>
  <c r="X980" i="16"/>
  <c r="T980" i="16"/>
  <c r="P980" i="16"/>
  <c r="L980" i="16"/>
  <c r="H980" i="16"/>
  <c r="D980" i="16"/>
  <c r="Y979" i="16"/>
  <c r="U979" i="16"/>
  <c r="Q979" i="16"/>
  <c r="M979" i="16"/>
  <c r="I979" i="16"/>
  <c r="E979" i="16"/>
  <c r="A979" i="16"/>
  <c r="V978" i="16"/>
  <c r="R978" i="16"/>
  <c r="N978" i="16"/>
  <c r="J978" i="16"/>
  <c r="F978" i="16"/>
  <c r="B978" i="16"/>
  <c r="W977" i="16"/>
  <c r="S977" i="16"/>
  <c r="O977" i="16"/>
  <c r="K977" i="16"/>
  <c r="G977" i="16"/>
  <c r="C977" i="16"/>
  <c r="X976" i="16"/>
  <c r="T976" i="16"/>
  <c r="P976" i="16"/>
  <c r="L976" i="16"/>
  <c r="H976" i="16"/>
  <c r="D976" i="16"/>
  <c r="Y975" i="16"/>
  <c r="U975" i="16"/>
  <c r="Q975" i="16"/>
  <c r="M975" i="16"/>
  <c r="I975" i="16"/>
  <c r="E975" i="16"/>
  <c r="A975" i="16"/>
  <c r="V974" i="16"/>
  <c r="R974" i="16"/>
  <c r="N974" i="16"/>
  <c r="J974" i="16"/>
  <c r="F974" i="16"/>
  <c r="B974" i="16"/>
  <c r="W973" i="16"/>
  <c r="S973" i="16"/>
  <c r="O973" i="16"/>
  <c r="K973" i="16"/>
  <c r="G973" i="16"/>
  <c r="C973" i="16"/>
  <c r="X972" i="16"/>
  <c r="T972" i="16"/>
  <c r="P972" i="16"/>
  <c r="L972" i="16"/>
  <c r="H972" i="16"/>
  <c r="D972" i="16"/>
  <c r="Y971" i="16"/>
  <c r="U971" i="16"/>
  <c r="Q971" i="16"/>
  <c r="M971" i="16"/>
  <c r="I971" i="16"/>
  <c r="E971" i="16"/>
  <c r="A971" i="16"/>
  <c r="V970" i="16"/>
  <c r="R970" i="16"/>
  <c r="N970" i="16"/>
  <c r="J970" i="16"/>
  <c r="F970" i="16"/>
  <c r="B970" i="16"/>
  <c r="W969" i="16"/>
  <c r="S969" i="16"/>
  <c r="O969" i="16"/>
  <c r="K969" i="16"/>
  <c r="G969" i="16"/>
  <c r="C969" i="16"/>
  <c r="X968" i="16"/>
  <c r="T968" i="16"/>
  <c r="P968" i="16"/>
  <c r="L968" i="16"/>
  <c r="H968" i="16"/>
  <c r="D968" i="16"/>
  <c r="Y967" i="16"/>
  <c r="U967" i="16"/>
  <c r="Q967" i="16"/>
  <c r="M967" i="16"/>
  <c r="I967" i="16"/>
  <c r="E967" i="16"/>
  <c r="A967" i="16"/>
  <c r="V966" i="16"/>
  <c r="R966" i="16"/>
  <c r="N966" i="16"/>
  <c r="J966" i="16"/>
  <c r="F966" i="16"/>
  <c r="B966" i="16"/>
  <c r="W965" i="16"/>
  <c r="S965" i="16"/>
  <c r="O965" i="16"/>
  <c r="K965" i="16"/>
  <c r="G965" i="16"/>
  <c r="C965" i="16"/>
  <c r="X964" i="16"/>
  <c r="T964" i="16"/>
  <c r="P964" i="16"/>
  <c r="L964" i="16"/>
  <c r="H964" i="16"/>
  <c r="D964" i="16"/>
  <c r="Y963" i="16"/>
  <c r="U963" i="16"/>
  <c r="Q963" i="16"/>
  <c r="M963" i="16"/>
  <c r="I963" i="16"/>
  <c r="E963" i="16"/>
  <c r="A963" i="16"/>
  <c r="V962" i="16"/>
  <c r="R962" i="16"/>
  <c r="N962" i="16"/>
  <c r="J962" i="16"/>
  <c r="F962" i="16"/>
  <c r="B962" i="16"/>
  <c r="W961" i="16"/>
  <c r="S961" i="16"/>
  <c r="O961" i="16"/>
  <c r="K961" i="16"/>
  <c r="G961" i="16"/>
  <c r="C961" i="16"/>
  <c r="X960" i="16"/>
  <c r="T960" i="16"/>
  <c r="P960" i="16"/>
  <c r="L960" i="16"/>
  <c r="H960" i="16"/>
  <c r="D960" i="16"/>
  <c r="Y959" i="16"/>
  <c r="U959" i="16"/>
  <c r="Q959" i="16"/>
  <c r="M959" i="16"/>
  <c r="I959" i="16"/>
  <c r="E959" i="16"/>
  <c r="A959" i="16"/>
  <c r="V958" i="16"/>
  <c r="R958" i="16"/>
  <c r="N958" i="16"/>
  <c r="J958" i="16"/>
  <c r="F958" i="16"/>
  <c r="B958" i="16"/>
  <c r="W957" i="16"/>
  <c r="S957" i="16"/>
  <c r="O957" i="16"/>
  <c r="K957" i="16"/>
  <c r="G957" i="16"/>
  <c r="C957" i="16"/>
  <c r="X956" i="16"/>
  <c r="T956" i="16"/>
  <c r="P956" i="16"/>
  <c r="L956" i="16"/>
  <c r="H956" i="16"/>
  <c r="D956" i="16"/>
  <c r="Y955" i="16"/>
  <c r="U955" i="16"/>
  <c r="Q955" i="16"/>
  <c r="M955" i="16"/>
  <c r="I955" i="16"/>
  <c r="E955" i="16"/>
  <c r="A955" i="16"/>
  <c r="V954" i="16"/>
  <c r="R954" i="16"/>
  <c r="N954" i="16"/>
  <c r="J954" i="16"/>
  <c r="F954" i="16"/>
  <c r="B954" i="16"/>
  <c r="W953" i="16"/>
  <c r="S953" i="16"/>
  <c r="O953" i="16"/>
  <c r="K953" i="16"/>
  <c r="G953" i="16"/>
  <c r="C953" i="16"/>
  <c r="X952" i="16"/>
  <c r="T952" i="16"/>
  <c r="P952" i="16"/>
  <c r="L952" i="16"/>
  <c r="H952" i="16"/>
  <c r="D952" i="16"/>
  <c r="Y951" i="16"/>
  <c r="U951" i="16"/>
  <c r="Q951" i="16"/>
  <c r="M951" i="16"/>
  <c r="I951" i="16"/>
  <c r="E951" i="16"/>
  <c r="A951" i="16"/>
  <c r="V950" i="16"/>
  <c r="R950" i="16"/>
  <c r="N950" i="16"/>
  <c r="J950" i="16"/>
  <c r="F950" i="16"/>
  <c r="B950" i="16"/>
  <c r="W949" i="16"/>
  <c r="S949" i="16"/>
  <c r="O949" i="16"/>
  <c r="K949" i="16"/>
  <c r="G949" i="16"/>
  <c r="C949" i="16"/>
  <c r="X948" i="16"/>
  <c r="T948" i="16"/>
  <c r="P948" i="16"/>
  <c r="L948" i="16"/>
  <c r="H948" i="16"/>
  <c r="D948" i="16"/>
  <c r="Y947" i="16"/>
  <c r="U947" i="16"/>
  <c r="Q947" i="16"/>
  <c r="M947" i="16"/>
  <c r="I947" i="16"/>
  <c r="E947" i="16"/>
  <c r="A947" i="16"/>
  <c r="V946" i="16"/>
  <c r="R946" i="16"/>
  <c r="N946" i="16"/>
  <c r="J946" i="16"/>
  <c r="F946" i="16"/>
  <c r="B946" i="16"/>
  <c r="W945" i="16"/>
  <c r="S945" i="16"/>
  <c r="O945" i="16"/>
  <c r="K945" i="16"/>
  <c r="G945" i="16"/>
  <c r="C945" i="16"/>
  <c r="X944" i="16"/>
  <c r="T944" i="16"/>
  <c r="P944" i="16"/>
  <c r="L944" i="16"/>
  <c r="H944" i="16"/>
  <c r="D944" i="16"/>
  <c r="Y943" i="16"/>
  <c r="U943" i="16"/>
  <c r="Q943" i="16"/>
  <c r="M943" i="16"/>
  <c r="I943" i="16"/>
  <c r="E943" i="16"/>
  <c r="A943" i="16"/>
  <c r="V942" i="16"/>
  <c r="R942" i="16"/>
  <c r="N942" i="16"/>
  <c r="J942" i="16"/>
  <c r="F942" i="16"/>
  <c r="B942" i="16"/>
  <c r="W941" i="16"/>
  <c r="S941" i="16"/>
  <c r="O941" i="16"/>
  <c r="K941" i="16"/>
  <c r="G941" i="16"/>
  <c r="C941" i="16"/>
  <c r="X940" i="16"/>
  <c r="T940" i="16"/>
  <c r="P940" i="16"/>
  <c r="L940" i="16"/>
  <c r="H940" i="16"/>
  <c r="D940" i="16"/>
  <c r="Y939" i="16"/>
  <c r="U939" i="16"/>
  <c r="Q939" i="16"/>
  <c r="M939" i="16"/>
  <c r="I939" i="16"/>
  <c r="E939" i="16"/>
  <c r="A939" i="16"/>
  <c r="V938" i="16"/>
  <c r="R938" i="16"/>
  <c r="N938" i="16"/>
  <c r="J938" i="16"/>
  <c r="F938" i="16"/>
  <c r="B938" i="16"/>
  <c r="W937" i="16"/>
  <c r="S937" i="16"/>
  <c r="O937" i="16"/>
  <c r="K937" i="16"/>
  <c r="G937" i="16"/>
  <c r="C937" i="16"/>
  <c r="X936" i="16"/>
  <c r="T936" i="16"/>
  <c r="P936" i="16"/>
  <c r="L936" i="16"/>
  <c r="H936" i="16"/>
  <c r="D936" i="16"/>
  <c r="Y935" i="16"/>
  <c r="U935" i="16"/>
  <c r="Q935" i="16"/>
  <c r="M935" i="16"/>
  <c r="I935" i="16"/>
  <c r="E935" i="16"/>
  <c r="A935" i="16"/>
  <c r="V934" i="16"/>
  <c r="R934" i="16"/>
  <c r="N934" i="16"/>
  <c r="J934" i="16"/>
  <c r="F934" i="16"/>
  <c r="B934" i="16"/>
  <c r="W933" i="16"/>
  <c r="S933" i="16"/>
  <c r="O933" i="16"/>
  <c r="K933" i="16"/>
  <c r="G933" i="16"/>
  <c r="C933" i="16"/>
  <c r="X932" i="16"/>
  <c r="T932" i="16"/>
  <c r="P932" i="16"/>
  <c r="L932" i="16"/>
  <c r="H932" i="16"/>
  <c r="D932" i="16"/>
  <c r="Y931" i="16"/>
  <c r="U931" i="16"/>
  <c r="Q931" i="16"/>
  <c r="M931" i="16"/>
  <c r="I931" i="16"/>
  <c r="E931" i="16"/>
  <c r="A931" i="16"/>
  <c r="V930" i="16"/>
  <c r="R930" i="16"/>
  <c r="N930" i="16"/>
  <c r="J930" i="16"/>
  <c r="F930" i="16"/>
  <c r="B930" i="16"/>
  <c r="W929" i="16"/>
  <c r="S929" i="16"/>
  <c r="O929" i="16"/>
  <c r="K929" i="16"/>
  <c r="G929" i="16"/>
  <c r="C929" i="16"/>
  <c r="X928" i="16"/>
  <c r="T928" i="16"/>
  <c r="P928" i="16"/>
  <c r="L928" i="16"/>
  <c r="H928" i="16"/>
  <c r="D928" i="16"/>
  <c r="Y927" i="16"/>
  <c r="U927" i="16"/>
  <c r="Q927" i="16"/>
  <c r="M927" i="16"/>
  <c r="I927" i="16"/>
  <c r="E927" i="16"/>
  <c r="A927" i="16"/>
  <c r="V926" i="16"/>
  <c r="R926" i="16"/>
  <c r="N926" i="16"/>
  <c r="J926" i="16"/>
  <c r="F926" i="16"/>
  <c r="B926" i="16"/>
  <c r="W925" i="16"/>
  <c r="S925" i="16"/>
  <c r="O925" i="16"/>
  <c r="K925" i="16"/>
  <c r="G925" i="16"/>
  <c r="C925" i="16"/>
  <c r="X924" i="16"/>
  <c r="T924" i="16"/>
  <c r="P924" i="16"/>
  <c r="L924" i="16"/>
  <c r="H924" i="16"/>
  <c r="D924" i="16"/>
  <c r="Y923" i="16"/>
  <c r="U923" i="16"/>
  <c r="Q923" i="16"/>
  <c r="M923" i="16"/>
  <c r="I923" i="16"/>
  <c r="E923" i="16"/>
  <c r="A923" i="16"/>
  <c r="V922" i="16"/>
  <c r="R922" i="16"/>
  <c r="N922" i="16"/>
  <c r="J922" i="16"/>
  <c r="F922" i="16"/>
  <c r="B922" i="16"/>
  <c r="W921" i="16"/>
  <c r="S921" i="16"/>
  <c r="O921" i="16"/>
  <c r="K921" i="16"/>
  <c r="G921" i="16"/>
  <c r="C921" i="16"/>
  <c r="X920" i="16"/>
  <c r="T920" i="16"/>
  <c r="P920" i="16"/>
  <c r="L920" i="16"/>
  <c r="H920" i="16"/>
  <c r="D920" i="16"/>
  <c r="Y919" i="16"/>
  <c r="U919" i="16"/>
  <c r="Q919" i="16"/>
  <c r="M919" i="16"/>
  <c r="I919" i="16"/>
  <c r="E919" i="16"/>
  <c r="A919" i="16"/>
  <c r="V918" i="16"/>
  <c r="R918" i="16"/>
  <c r="N918" i="16"/>
  <c r="J918" i="16"/>
  <c r="F918" i="16"/>
  <c r="B918" i="16"/>
  <c r="W917" i="16"/>
  <c r="S917" i="16"/>
  <c r="O917" i="16"/>
  <c r="K917" i="16"/>
  <c r="G917" i="16"/>
  <c r="C917" i="16"/>
  <c r="X916" i="16"/>
  <c r="T916" i="16"/>
  <c r="P916" i="16"/>
  <c r="L916" i="16"/>
  <c r="H916" i="16"/>
  <c r="D916" i="16"/>
  <c r="Y915" i="16"/>
  <c r="U915" i="16"/>
  <c r="Q915" i="16"/>
  <c r="M915" i="16"/>
  <c r="I915" i="16"/>
  <c r="E915" i="16"/>
  <c r="A915" i="16"/>
  <c r="V914" i="16"/>
  <c r="R914" i="16"/>
  <c r="N914" i="16"/>
  <c r="J914" i="16"/>
  <c r="F914" i="16"/>
  <c r="B914" i="16"/>
  <c r="W913" i="16"/>
  <c r="S913" i="16"/>
  <c r="O913" i="16"/>
  <c r="K913" i="16"/>
  <c r="G913" i="16"/>
  <c r="C913" i="16"/>
  <c r="X912" i="16"/>
  <c r="T912" i="16"/>
  <c r="P912" i="16"/>
  <c r="L912" i="16"/>
  <c r="H912" i="16"/>
  <c r="D912" i="16"/>
  <c r="Y911" i="16"/>
  <c r="U911" i="16"/>
  <c r="Q911" i="16"/>
  <c r="M911" i="16"/>
  <c r="I911" i="16"/>
  <c r="E911" i="16"/>
  <c r="A911" i="16"/>
  <c r="V910" i="16"/>
  <c r="R910" i="16"/>
  <c r="N910" i="16"/>
  <c r="J910" i="16"/>
  <c r="F910" i="16"/>
  <c r="B910" i="16"/>
  <c r="W909" i="16"/>
  <c r="S909" i="16"/>
  <c r="O909" i="16"/>
  <c r="K909" i="16"/>
  <c r="G909" i="16"/>
  <c r="C909" i="16"/>
  <c r="X908" i="16"/>
  <c r="T908" i="16"/>
  <c r="P908" i="16"/>
  <c r="L908" i="16"/>
  <c r="H908" i="16"/>
  <c r="D908" i="16"/>
  <c r="Y907" i="16"/>
  <c r="U907" i="16"/>
  <c r="Q907" i="16"/>
  <c r="M907" i="16"/>
  <c r="I907" i="16"/>
  <c r="E907" i="16"/>
  <c r="A907" i="16"/>
  <c r="V906" i="16"/>
  <c r="R906" i="16"/>
  <c r="N906" i="16"/>
  <c r="J906" i="16"/>
  <c r="F906" i="16"/>
  <c r="B906" i="16"/>
  <c r="W905" i="16"/>
  <c r="S905" i="16"/>
  <c r="O905" i="16"/>
  <c r="K905" i="16"/>
  <c r="G905" i="16"/>
  <c r="C905" i="16"/>
  <c r="X904" i="16"/>
  <c r="T904" i="16"/>
  <c r="P904" i="16"/>
  <c r="L904" i="16"/>
  <c r="H904" i="16"/>
  <c r="D904" i="16"/>
  <c r="Y903" i="16"/>
  <c r="U903" i="16"/>
  <c r="Q903" i="16"/>
  <c r="M903" i="16"/>
  <c r="I903" i="16"/>
  <c r="E903" i="16"/>
  <c r="A903" i="16"/>
  <c r="V902" i="16"/>
  <c r="R902" i="16"/>
  <c r="N902" i="16"/>
  <c r="J902" i="16"/>
  <c r="F902" i="16"/>
  <c r="B902" i="16"/>
  <c r="W901" i="16"/>
  <c r="S901" i="16"/>
  <c r="O901" i="16"/>
  <c r="K901" i="16"/>
  <c r="G901" i="16"/>
  <c r="C901" i="16"/>
  <c r="X900" i="16"/>
  <c r="T900" i="16"/>
  <c r="P900" i="16"/>
  <c r="L900" i="16"/>
  <c r="H900" i="16"/>
  <c r="D900" i="16"/>
  <c r="Y899" i="16"/>
  <c r="U899" i="16"/>
  <c r="Q899" i="16"/>
  <c r="M899" i="16"/>
  <c r="I899" i="16"/>
  <c r="E899" i="16"/>
  <c r="A899" i="16"/>
  <c r="V898" i="16"/>
  <c r="R898" i="16"/>
  <c r="N898" i="16"/>
  <c r="P1167" i="16"/>
  <c r="W1166" i="16"/>
  <c r="I1166" i="16"/>
  <c r="P1165" i="16"/>
  <c r="X1164" i="16"/>
  <c r="H1164" i="16"/>
  <c r="M1163" i="16"/>
  <c r="W1162" i="16"/>
  <c r="G1162" i="16"/>
  <c r="N1161" i="16"/>
  <c r="W1160" i="16"/>
  <c r="H1160" i="16"/>
  <c r="M1159" i="16"/>
  <c r="V1158" i="16"/>
  <c r="F1158" i="16"/>
  <c r="L1157" i="16"/>
  <c r="W1156" i="16"/>
  <c r="G1156" i="16"/>
  <c r="L1155" i="16"/>
  <c r="U1154" i="16"/>
  <c r="H1154" i="16"/>
  <c r="R1153" i="16"/>
  <c r="F1153" i="16"/>
  <c r="R1152" i="16"/>
  <c r="D1152" i="16"/>
  <c r="S1151" i="16"/>
  <c r="E1151" i="16"/>
  <c r="Q1150" i="16"/>
  <c r="D1150" i="16"/>
  <c r="R1149" i="16"/>
  <c r="E1149" i="16"/>
  <c r="P1148" i="16"/>
  <c r="D1148" i="16"/>
  <c r="O1147" i="16"/>
  <c r="D1147" i="16"/>
  <c r="Q1146" i="16"/>
  <c r="B1146" i="16"/>
  <c r="O1145" i="16"/>
  <c r="E1145" i="16"/>
  <c r="O1144" i="16"/>
  <c r="C1144" i="16"/>
  <c r="P1143" i="16"/>
  <c r="A1143" i="16"/>
  <c r="P1142" i="16"/>
  <c r="D1142" i="16"/>
  <c r="N1141" i="16"/>
  <c r="B1141" i="16"/>
  <c r="P1140" i="16"/>
  <c r="B1140" i="16"/>
  <c r="O1139" i="16"/>
  <c r="A1139" i="16"/>
  <c r="M1138" i="16"/>
  <c r="B1138" i="16"/>
  <c r="N1137" i="16"/>
  <c r="C1137" i="16"/>
  <c r="R1136" i="16"/>
  <c r="J1136" i="16"/>
  <c r="Y1135" i="16"/>
  <c r="O1135" i="16"/>
  <c r="F1135" i="16"/>
  <c r="T1134" i="16"/>
  <c r="L1134" i="16"/>
  <c r="C1134" i="16"/>
  <c r="Q1133" i="16"/>
  <c r="H1133" i="16"/>
  <c r="Y1132" i="16"/>
  <c r="N1132" i="16"/>
  <c r="E1132" i="16"/>
  <c r="U1131" i="16"/>
  <c r="J1131" i="16"/>
  <c r="B1131" i="16"/>
  <c r="R1130" i="16"/>
  <c r="G1130" i="16"/>
  <c r="W1129" i="16"/>
  <c r="O1129" i="16"/>
  <c r="D1129" i="16"/>
  <c r="T1128" i="16"/>
  <c r="J1128" i="16"/>
  <c r="Y1127" i="16"/>
  <c r="Q1127" i="16"/>
  <c r="G1127" i="16"/>
  <c r="V1126" i="16"/>
  <c r="L1126" i="16"/>
  <c r="D1126" i="16"/>
  <c r="S1125" i="16"/>
  <c r="I1125" i="16"/>
  <c r="Y1124" i="16"/>
  <c r="N1124" i="16"/>
  <c r="F1124" i="16"/>
  <c r="V1123" i="16"/>
  <c r="K1123" i="16"/>
  <c r="B1123" i="16"/>
  <c r="S1122" i="16"/>
  <c r="H1122" i="16"/>
  <c r="X1121" i="16"/>
  <c r="O1121" i="16"/>
  <c r="D1121" i="16"/>
  <c r="U1120" i="16"/>
  <c r="L1120" i="16"/>
  <c r="A1120" i="16"/>
  <c r="Q1119" i="16"/>
  <c r="I1119" i="16"/>
  <c r="W1118" i="16"/>
  <c r="N1118" i="16"/>
  <c r="D1118" i="16"/>
  <c r="S1117" i="16"/>
  <c r="K1117" i="16"/>
  <c r="A1117" i="16"/>
  <c r="P1116" i="16"/>
  <c r="F1116" i="16"/>
  <c r="W1115" i="16"/>
  <c r="M1115" i="16"/>
  <c r="C1115" i="16"/>
  <c r="S1114" i="16"/>
  <c r="H1114" i="16"/>
  <c r="Y1113" i="16"/>
  <c r="P1113" i="16"/>
  <c r="E1113" i="16"/>
  <c r="U1112" i="16"/>
  <c r="M1112" i="16"/>
  <c r="B1112" i="16"/>
  <c r="R1111" i="16"/>
  <c r="I1111" i="16"/>
  <c r="W1110" i="16"/>
  <c r="O1110" i="16"/>
  <c r="F1110" i="16"/>
  <c r="T1109" i="16"/>
  <c r="K1109" i="16"/>
  <c r="C1109" i="16"/>
  <c r="Q1108" i="16"/>
  <c r="H1108" i="16"/>
  <c r="W1107" i="16"/>
  <c r="M1107" i="16"/>
  <c r="E1107" i="16"/>
  <c r="T1106" i="16"/>
  <c r="J1106" i="16"/>
  <c r="Y1105" i="16"/>
  <c r="Q1105" i="16"/>
  <c r="G1105" i="16"/>
  <c r="V1104" i="16"/>
  <c r="M1104" i="16"/>
  <c r="B1104" i="16"/>
  <c r="S1103" i="16"/>
  <c r="J1103" i="16"/>
  <c r="A1103" i="16"/>
  <c r="S1102" i="16"/>
  <c r="M1102" i="16"/>
  <c r="E1102" i="16"/>
  <c r="W1101" i="16"/>
  <c r="P1101" i="16"/>
  <c r="H1101" i="16"/>
  <c r="B1101" i="16"/>
  <c r="T1100" i="16"/>
  <c r="L1100" i="16"/>
  <c r="E1100" i="16"/>
  <c r="X1099" i="16"/>
  <c r="P1099" i="16"/>
  <c r="I1099" i="16"/>
  <c r="B1099" i="16"/>
  <c r="S1098" i="16"/>
  <c r="M1098" i="16"/>
  <c r="F1098" i="16"/>
  <c r="W1097" i="16"/>
  <c r="P1097" i="16"/>
  <c r="J1097" i="16"/>
  <c r="B1097" i="16"/>
  <c r="T1096" i="16"/>
  <c r="M1096" i="16"/>
  <c r="E1096" i="16"/>
  <c r="X1095" i="16"/>
  <c r="Q1095" i="16"/>
  <c r="I1095" i="16"/>
  <c r="B1095" i="16"/>
  <c r="U1094" i="16"/>
  <c r="M1094" i="16"/>
  <c r="F1094" i="16"/>
  <c r="X1093" i="16"/>
  <c r="P1093" i="16"/>
  <c r="J1093" i="16"/>
  <c r="C1093" i="16"/>
  <c r="T1092" i="16"/>
  <c r="M1092" i="16"/>
  <c r="G1092" i="16"/>
  <c r="X1091" i="16"/>
  <c r="Q1091" i="16"/>
  <c r="J1091" i="16"/>
  <c r="B1091" i="16"/>
  <c r="U1090" i="16"/>
  <c r="N1090" i="16"/>
  <c r="F1090" i="16"/>
  <c r="X1089" i="16"/>
  <c r="R1089" i="16"/>
  <c r="J1089" i="16"/>
  <c r="C1089" i="16"/>
  <c r="U1088" i="16"/>
  <c r="M1088" i="16"/>
  <c r="G1088" i="16"/>
  <c r="Y1087" i="16"/>
  <c r="Q1087" i="16"/>
  <c r="J1087" i="16"/>
  <c r="D1087" i="16"/>
  <c r="U1086" i="16"/>
  <c r="N1086" i="16"/>
  <c r="G1086" i="16"/>
  <c r="X1085" i="16"/>
  <c r="R1085" i="16"/>
  <c r="K1085" i="16"/>
  <c r="C1085" i="16"/>
  <c r="U1084" i="16"/>
  <c r="O1084" i="16"/>
  <c r="G1084" i="16"/>
  <c r="Y1083" i="16"/>
  <c r="R1083" i="16"/>
  <c r="J1083" i="16"/>
  <c r="D1083" i="16"/>
  <c r="V1082" i="16"/>
  <c r="N1082" i="16"/>
  <c r="G1082" i="16"/>
  <c r="A1082" i="16"/>
  <c r="R1081" i="16"/>
  <c r="K1081" i="16"/>
  <c r="D1081" i="16"/>
  <c r="U1080" i="16"/>
  <c r="O1080" i="16"/>
  <c r="H1080" i="16"/>
  <c r="Y1079" i="16"/>
  <c r="R1079" i="16"/>
  <c r="L1079" i="16"/>
  <c r="D1079" i="16"/>
  <c r="V1078" i="16"/>
  <c r="O1078" i="16"/>
  <c r="G1078" i="16"/>
  <c r="A1078" i="16"/>
  <c r="S1077" i="16"/>
  <c r="K1077" i="16"/>
  <c r="D1077" i="16"/>
  <c r="W1076" i="16"/>
  <c r="O1076" i="16"/>
  <c r="H1076" i="16"/>
  <c r="A1076" i="16"/>
  <c r="R1075" i="16"/>
  <c r="L1075" i="16"/>
  <c r="E1075" i="16"/>
  <c r="V1074" i="16"/>
  <c r="O1074" i="16"/>
  <c r="I1074" i="16"/>
  <c r="A1074" i="16"/>
  <c r="S1073" i="16"/>
  <c r="L1073" i="16"/>
  <c r="D1073" i="16"/>
  <c r="W1072" i="16"/>
  <c r="P1072" i="16"/>
  <c r="H1072" i="16"/>
  <c r="A1072" i="16"/>
  <c r="T1071" i="16"/>
  <c r="L1071" i="16"/>
  <c r="E1071" i="16"/>
  <c r="W1070" i="16"/>
  <c r="O1070" i="16"/>
  <c r="I1070" i="16"/>
  <c r="B1070" i="16"/>
  <c r="S1069" i="16"/>
  <c r="L1069" i="16"/>
  <c r="F1069" i="16"/>
  <c r="W1068" i="16"/>
  <c r="P1068" i="16"/>
  <c r="I1068" i="16"/>
  <c r="A1068" i="16"/>
  <c r="T1067" i="16"/>
  <c r="M1067" i="16"/>
  <c r="E1067" i="16"/>
  <c r="W1066" i="16"/>
  <c r="Q1066" i="16"/>
  <c r="I1066" i="16"/>
  <c r="B1066" i="16"/>
  <c r="T1065" i="16"/>
  <c r="L1065" i="16"/>
  <c r="F1065" i="16"/>
  <c r="X1064" i="16"/>
  <c r="P1064" i="16"/>
  <c r="I1064" i="16"/>
  <c r="C1064" i="16"/>
  <c r="T1063" i="16"/>
  <c r="M1063" i="16"/>
  <c r="F1063" i="16"/>
  <c r="W1062" i="16"/>
  <c r="Q1062" i="16"/>
  <c r="J1062" i="16"/>
  <c r="B1062" i="16"/>
  <c r="T1061" i="16"/>
  <c r="N1061" i="16"/>
  <c r="F1061" i="16"/>
  <c r="X1060" i="16"/>
  <c r="Q1060" i="16"/>
  <c r="I1060" i="16"/>
  <c r="C1060" i="16"/>
  <c r="U1059" i="16"/>
  <c r="M1059" i="16"/>
  <c r="F1059" i="16"/>
  <c r="Y1058" i="16"/>
  <c r="Q1058" i="16"/>
  <c r="J1058" i="16"/>
  <c r="C1058" i="16"/>
  <c r="T1057" i="16"/>
  <c r="N1057" i="16"/>
  <c r="G1057" i="16"/>
  <c r="X1056" i="16"/>
  <c r="Q1056" i="16"/>
  <c r="K1056" i="16"/>
  <c r="C1056" i="16"/>
  <c r="U1055" i="16"/>
  <c r="N1055" i="16"/>
  <c r="F1055" i="16"/>
  <c r="Y1054" i="16"/>
  <c r="R1054" i="16"/>
  <c r="J1054" i="16"/>
  <c r="C1054" i="16"/>
  <c r="V1053" i="16"/>
  <c r="N1053" i="16"/>
  <c r="G1053" i="16"/>
  <c r="Y1052" i="16"/>
  <c r="Q1052" i="16"/>
  <c r="K1052" i="16"/>
  <c r="D1052" i="16"/>
  <c r="U1051" i="16"/>
  <c r="N1051" i="16"/>
  <c r="H1051" i="16"/>
  <c r="Y1050" i="16"/>
  <c r="R1050" i="16"/>
  <c r="K1050" i="16"/>
  <c r="C1050" i="16"/>
  <c r="V1049" i="16"/>
  <c r="O1049" i="16"/>
  <c r="G1049" i="16"/>
  <c r="Y1048" i="16"/>
  <c r="S1048" i="16"/>
  <c r="K1048" i="16"/>
  <c r="D1048" i="16"/>
  <c r="V1047" i="16"/>
  <c r="N1047" i="16"/>
  <c r="H1047" i="16"/>
  <c r="A1047" i="16"/>
  <c r="R1046" i="16"/>
  <c r="K1046" i="16"/>
  <c r="E1046" i="16"/>
  <c r="V1045" i="16"/>
  <c r="O1045" i="16"/>
  <c r="H1045" i="16"/>
  <c r="Y1044" i="16"/>
  <c r="S1044" i="16"/>
  <c r="L1044" i="16"/>
  <c r="D1044" i="16"/>
  <c r="V1043" i="16"/>
  <c r="P1043" i="16"/>
  <c r="H1043" i="16"/>
  <c r="A1043" i="16"/>
  <c r="S1042" i="16"/>
  <c r="K1042" i="16"/>
  <c r="E1042" i="16"/>
  <c r="W1041" i="16"/>
  <c r="O1041" i="16"/>
  <c r="H1041" i="16"/>
  <c r="B1041" i="16"/>
  <c r="S1040" i="16"/>
  <c r="L1040" i="16"/>
  <c r="E1040" i="16"/>
  <c r="V1039" i="16"/>
  <c r="P1039" i="16"/>
  <c r="I1039" i="16"/>
  <c r="A1039" i="16"/>
  <c r="S1038" i="16"/>
  <c r="M1038" i="16"/>
  <c r="E1038" i="16"/>
  <c r="W1037" i="16"/>
  <c r="P1037" i="16"/>
  <c r="H1037" i="16"/>
  <c r="B1037" i="16"/>
  <c r="T1036" i="16"/>
  <c r="L1036" i="16"/>
  <c r="E1036" i="16"/>
  <c r="X1035" i="16"/>
  <c r="P1035" i="16"/>
  <c r="I1035" i="16"/>
  <c r="B1035" i="16"/>
  <c r="U1034" i="16"/>
  <c r="P1034" i="16"/>
  <c r="K1034" i="16"/>
  <c r="E1034" i="16"/>
  <c r="Y1033" i="16"/>
  <c r="T1033" i="16"/>
  <c r="N1033" i="16"/>
  <c r="I1033" i="16"/>
  <c r="D1033" i="16"/>
  <c r="W1032" i="16"/>
  <c r="R1032" i="16"/>
  <c r="M1032" i="16"/>
  <c r="G1032" i="16"/>
  <c r="B1032" i="16"/>
  <c r="V1031" i="16"/>
  <c r="P1031" i="16"/>
  <c r="K1031" i="16"/>
  <c r="F1031" i="16"/>
  <c r="Y1030" i="16"/>
  <c r="T1030" i="16"/>
  <c r="O1030" i="16"/>
  <c r="I1030" i="16"/>
  <c r="D1030" i="16"/>
  <c r="X1029" i="16"/>
  <c r="R1029" i="16"/>
  <c r="M1029" i="16"/>
  <c r="H1029" i="16"/>
  <c r="B1029" i="16"/>
  <c r="V1028" i="16"/>
  <c r="Q1028" i="16"/>
  <c r="K1028" i="16"/>
  <c r="F1028" i="16"/>
  <c r="A1028" i="16"/>
  <c r="T1027" i="16"/>
  <c r="O1027" i="16"/>
  <c r="J1027" i="16"/>
  <c r="D1027" i="16"/>
  <c r="X1026" i="16"/>
  <c r="S1026" i="16"/>
  <c r="M1026" i="16"/>
  <c r="H1026" i="16"/>
  <c r="C1026" i="16"/>
  <c r="V1025" i="16"/>
  <c r="Q1025" i="16"/>
  <c r="L1025" i="16"/>
  <c r="F1025" i="16"/>
  <c r="A1025" i="16"/>
  <c r="U1024" i="16"/>
  <c r="O1024" i="16"/>
  <c r="J1024" i="16"/>
  <c r="E1024" i="16"/>
  <c r="X1023" i="16"/>
  <c r="S1023" i="16"/>
  <c r="N1023" i="16"/>
  <c r="H1023" i="16"/>
  <c r="C1023" i="16"/>
  <c r="W1022" i="16"/>
  <c r="Q1022" i="16"/>
  <c r="L1022" i="16"/>
  <c r="G1022" i="16"/>
  <c r="A1022" i="16"/>
  <c r="U1021" i="16"/>
  <c r="P1021" i="16"/>
  <c r="J1021" i="16"/>
  <c r="E1021" i="16"/>
  <c r="Y1020" i="16"/>
  <c r="S1020" i="16"/>
  <c r="N1020" i="16"/>
  <c r="I1020" i="16"/>
  <c r="C1020" i="16"/>
  <c r="W1019" i="16"/>
  <c r="R1019" i="16"/>
  <c r="L1019" i="16"/>
  <c r="G1019" i="16"/>
  <c r="B1019" i="16"/>
  <c r="U1018" i="16"/>
  <c r="P1018" i="16"/>
  <c r="K1018" i="16"/>
  <c r="E1018" i="16"/>
  <c r="Y1017" i="16"/>
  <c r="T1017" i="16"/>
  <c r="N1017" i="16"/>
  <c r="I1017" i="16"/>
  <c r="D1017" i="16"/>
  <c r="W1016" i="16"/>
  <c r="R1016" i="16"/>
  <c r="M1016" i="16"/>
  <c r="G1016" i="16"/>
  <c r="B1016" i="16"/>
  <c r="V1015" i="16"/>
  <c r="P1015" i="16"/>
  <c r="K1015" i="16"/>
  <c r="F1015" i="16"/>
  <c r="Y1014" i="16"/>
  <c r="T1014" i="16"/>
  <c r="O1014" i="16"/>
  <c r="I1014" i="16"/>
  <c r="D1014" i="16"/>
  <c r="X1013" i="16"/>
  <c r="R1013" i="16"/>
  <c r="M1013" i="16"/>
  <c r="H1013" i="16"/>
  <c r="B1013" i="16"/>
  <c r="V1012" i="16"/>
  <c r="Q1012" i="16"/>
  <c r="K1012" i="16"/>
  <c r="F1012" i="16"/>
  <c r="A1012" i="16"/>
  <c r="T1011" i="16"/>
  <c r="O1011" i="16"/>
  <c r="J1011" i="16"/>
  <c r="D1011" i="16"/>
  <c r="X1010" i="16"/>
  <c r="S1010" i="16"/>
  <c r="M1010" i="16"/>
  <c r="H1010" i="16"/>
  <c r="C1010" i="16"/>
  <c r="V1009" i="16"/>
  <c r="Q1009" i="16"/>
  <c r="L1009" i="16"/>
  <c r="F1009" i="16"/>
  <c r="A1009" i="16"/>
  <c r="U1008" i="16"/>
  <c r="O1008" i="16"/>
  <c r="J1008" i="16"/>
  <c r="E1008" i="16"/>
  <c r="X1007" i="16"/>
  <c r="S1007" i="16"/>
  <c r="N1007" i="16"/>
  <c r="H1007" i="16"/>
  <c r="C1007" i="16"/>
  <c r="W1006" i="16"/>
  <c r="Q1006" i="16"/>
  <c r="L1006" i="16"/>
  <c r="G1006" i="16"/>
  <c r="A1006" i="16"/>
  <c r="U1005" i="16"/>
  <c r="P1005" i="16"/>
  <c r="J1005" i="16"/>
  <c r="E1005" i="16"/>
  <c r="Y1004" i="16"/>
  <c r="S1004" i="16"/>
  <c r="N1004" i="16"/>
  <c r="I1004" i="16"/>
  <c r="C1004" i="16"/>
  <c r="W1003" i="16"/>
  <c r="R1003" i="16"/>
  <c r="L1003" i="16"/>
  <c r="G1003" i="16"/>
  <c r="B1003" i="16"/>
  <c r="U1002" i="16"/>
  <c r="P1002" i="16"/>
  <c r="K1002" i="16"/>
  <c r="E1002" i="16"/>
  <c r="Y1001" i="16"/>
  <c r="T1001" i="16"/>
  <c r="N1001" i="16"/>
  <c r="I1001" i="16"/>
  <c r="D1001" i="16"/>
  <c r="W1000" i="16"/>
  <c r="R1000" i="16"/>
  <c r="M1000" i="16"/>
  <c r="G1000" i="16"/>
  <c r="B1000" i="16"/>
  <c r="V999" i="16"/>
  <c r="P999" i="16"/>
  <c r="K999" i="16"/>
  <c r="F999" i="16"/>
  <c r="Y998" i="16"/>
  <c r="T998" i="16"/>
  <c r="O998" i="16"/>
  <c r="I998" i="16"/>
  <c r="D998" i="16"/>
  <c r="X997" i="16"/>
  <c r="R997" i="16"/>
  <c r="M997" i="16"/>
  <c r="H997" i="16"/>
  <c r="B997" i="16"/>
  <c r="V996" i="16"/>
  <c r="Q996" i="16"/>
  <c r="K996" i="16"/>
  <c r="F996" i="16"/>
  <c r="A996" i="16"/>
  <c r="T995" i="16"/>
  <c r="O995" i="16"/>
  <c r="J995" i="16"/>
  <c r="D995" i="16"/>
  <c r="X994" i="16"/>
  <c r="S994" i="16"/>
  <c r="M994" i="16"/>
  <c r="H994" i="16"/>
  <c r="C994" i="16"/>
  <c r="V993" i="16"/>
  <c r="Q993" i="16"/>
  <c r="L993" i="16"/>
  <c r="F993" i="16"/>
  <c r="A993" i="16"/>
  <c r="U992" i="16"/>
  <c r="O992" i="16"/>
  <c r="J992" i="16"/>
  <c r="E992" i="16"/>
  <c r="X991" i="16"/>
  <c r="S991" i="16"/>
  <c r="N991" i="16"/>
  <c r="H991" i="16"/>
  <c r="C991" i="16"/>
  <c r="W990" i="16"/>
  <c r="Q990" i="16"/>
  <c r="L990" i="16"/>
  <c r="G990" i="16"/>
  <c r="A990" i="16"/>
  <c r="U989" i="16"/>
  <c r="P989" i="16"/>
  <c r="J989" i="16"/>
  <c r="E989" i="16"/>
  <c r="Y988" i="16"/>
  <c r="S988" i="16"/>
  <c r="N988" i="16"/>
  <c r="I988" i="16"/>
  <c r="C988" i="16"/>
  <c r="W987" i="16"/>
  <c r="R987" i="16"/>
  <c r="L987" i="16"/>
  <c r="G987" i="16"/>
  <c r="B987" i="16"/>
  <c r="U986" i="16"/>
  <c r="P986" i="16"/>
  <c r="K986" i="16"/>
  <c r="E986" i="16"/>
  <c r="Y985" i="16"/>
  <c r="T985" i="16"/>
  <c r="N985" i="16"/>
  <c r="I985" i="16"/>
  <c r="D985" i="16"/>
  <c r="W984" i="16"/>
  <c r="R984" i="16"/>
  <c r="M984" i="16"/>
  <c r="G984" i="16"/>
  <c r="B984" i="16"/>
  <c r="V983" i="16"/>
  <c r="P983" i="16"/>
  <c r="K983" i="16"/>
  <c r="F983" i="16"/>
  <c r="Y982" i="16"/>
  <c r="T982" i="16"/>
  <c r="O982" i="16"/>
  <c r="I982" i="16"/>
  <c r="D982" i="16"/>
  <c r="X981" i="16"/>
  <c r="R981" i="16"/>
  <c r="M981" i="16"/>
  <c r="H981" i="16"/>
  <c r="B981" i="16"/>
  <c r="V980" i="16"/>
  <c r="Q980" i="16"/>
  <c r="K980" i="16"/>
  <c r="F980" i="16"/>
  <c r="A980" i="16"/>
  <c r="T979" i="16"/>
  <c r="O979" i="16"/>
  <c r="J979" i="16"/>
  <c r="D979" i="16"/>
  <c r="X978" i="16"/>
  <c r="S978" i="16"/>
  <c r="M978" i="16"/>
  <c r="H978" i="16"/>
  <c r="C978" i="16"/>
  <c r="V977" i="16"/>
  <c r="Q977" i="16"/>
  <c r="L977" i="16"/>
  <c r="F977" i="16"/>
  <c r="A977" i="16"/>
  <c r="U976" i="16"/>
  <c r="O976" i="16"/>
  <c r="J976" i="16"/>
  <c r="E976" i="16"/>
  <c r="X975" i="16"/>
  <c r="S975" i="16"/>
  <c r="N975" i="16"/>
  <c r="H975" i="16"/>
  <c r="C975" i="16"/>
  <c r="W974" i="16"/>
  <c r="Q974" i="16"/>
  <c r="L974" i="16"/>
  <c r="G974" i="16"/>
  <c r="A974" i="16"/>
  <c r="U973" i="16"/>
  <c r="P973" i="16"/>
  <c r="J973" i="16"/>
  <c r="E973" i="16"/>
  <c r="Y972" i="16"/>
  <c r="S972" i="16"/>
  <c r="N972" i="16"/>
  <c r="I972" i="16"/>
  <c r="C972" i="16"/>
  <c r="W971" i="16"/>
  <c r="R971" i="16"/>
  <c r="L971" i="16"/>
  <c r="G971" i="16"/>
  <c r="B971" i="16"/>
  <c r="U970" i="16"/>
  <c r="P970" i="16"/>
  <c r="K970" i="16"/>
  <c r="E970" i="16"/>
  <c r="Y969" i="16"/>
  <c r="T969" i="16"/>
  <c r="N969" i="16"/>
  <c r="I969" i="16"/>
  <c r="D969" i="16"/>
  <c r="W968" i="16"/>
  <c r="R968" i="16"/>
  <c r="M968" i="16"/>
  <c r="G968" i="16"/>
  <c r="B968" i="16"/>
  <c r="V967" i="16"/>
  <c r="P967" i="16"/>
  <c r="K967" i="16"/>
  <c r="F967" i="16"/>
  <c r="Y966" i="16"/>
  <c r="T966" i="16"/>
  <c r="O966" i="16"/>
  <c r="I966" i="16"/>
  <c r="D966" i="16"/>
  <c r="X965" i="16"/>
  <c r="R965" i="16"/>
  <c r="M965" i="16"/>
  <c r="H965" i="16"/>
  <c r="B965" i="16"/>
  <c r="V964" i="16"/>
  <c r="Q964" i="16"/>
  <c r="K964" i="16"/>
  <c r="F964" i="16"/>
  <c r="A964" i="16"/>
  <c r="T963" i="16"/>
  <c r="O963" i="16"/>
  <c r="J963" i="16"/>
  <c r="D963" i="16"/>
  <c r="X962" i="16"/>
  <c r="S962" i="16"/>
  <c r="M962" i="16"/>
  <c r="H962" i="16"/>
  <c r="C962" i="16"/>
  <c r="V961" i="16"/>
  <c r="Q961" i="16"/>
  <c r="L961" i="16"/>
  <c r="F961" i="16"/>
  <c r="A961" i="16"/>
  <c r="U960" i="16"/>
  <c r="O960" i="16"/>
  <c r="J960" i="16"/>
  <c r="E960" i="16"/>
  <c r="X959" i="16"/>
  <c r="S959" i="16"/>
  <c r="N959" i="16"/>
  <c r="H959" i="16"/>
  <c r="C959" i="16"/>
  <c r="W958" i="16"/>
  <c r="Q958" i="16"/>
  <c r="L958" i="16"/>
  <c r="G958" i="16"/>
  <c r="A958" i="16"/>
  <c r="U957" i="16"/>
  <c r="P957" i="16"/>
  <c r="J957" i="16"/>
  <c r="E957" i="16"/>
  <c r="Y956" i="16"/>
  <c r="S956" i="16"/>
  <c r="N956" i="16"/>
  <c r="I956" i="16"/>
  <c r="C956" i="16"/>
  <c r="W955" i="16"/>
  <c r="R955" i="16"/>
  <c r="L955" i="16"/>
  <c r="G955" i="16"/>
  <c r="B955" i="16"/>
  <c r="U954" i="16"/>
  <c r="P954" i="16"/>
  <c r="K954" i="16"/>
  <c r="E954" i="16"/>
  <c r="Y953" i="16"/>
  <c r="T953" i="16"/>
  <c r="N953" i="16"/>
  <c r="I953" i="16"/>
  <c r="D953" i="16"/>
  <c r="W952" i="16"/>
  <c r="R952" i="16"/>
  <c r="M952" i="16"/>
  <c r="G952" i="16"/>
  <c r="B952" i="16"/>
  <c r="V951" i="16"/>
  <c r="P951" i="16"/>
  <c r="K951" i="16"/>
  <c r="F951" i="16"/>
  <c r="Y950" i="16"/>
  <c r="T950" i="16"/>
  <c r="O950" i="16"/>
  <c r="I950" i="16"/>
  <c r="D950" i="16"/>
  <c r="X949" i="16"/>
  <c r="R949" i="16"/>
  <c r="M949" i="16"/>
  <c r="H949" i="16"/>
  <c r="B949" i="16"/>
  <c r="V948" i="16"/>
  <c r="Q948" i="16"/>
  <c r="K948" i="16"/>
  <c r="F948" i="16"/>
  <c r="A948" i="16"/>
  <c r="T947" i="16"/>
  <c r="O947" i="16"/>
  <c r="J947" i="16"/>
  <c r="D947" i="16"/>
  <c r="X946" i="16"/>
  <c r="S946" i="16"/>
  <c r="M946" i="16"/>
  <c r="H946" i="16"/>
  <c r="C946" i="16"/>
  <c r="V945" i="16"/>
  <c r="Q945" i="16"/>
  <c r="L945" i="16"/>
  <c r="F945" i="16"/>
  <c r="A945" i="16"/>
  <c r="U944" i="16"/>
  <c r="O944" i="16"/>
  <c r="J944" i="16"/>
  <c r="E944" i="16"/>
  <c r="X943" i="16"/>
  <c r="S943" i="16"/>
  <c r="N943" i="16"/>
  <c r="H943" i="16"/>
  <c r="C943" i="16"/>
  <c r="W942" i="16"/>
  <c r="Q942" i="16"/>
  <c r="L942" i="16"/>
  <c r="G942" i="16"/>
  <c r="A942" i="16"/>
  <c r="U941" i="16"/>
  <c r="P941" i="16"/>
  <c r="J941" i="16"/>
  <c r="E941" i="16"/>
  <c r="Y940" i="16"/>
  <c r="S940" i="16"/>
  <c r="N940" i="16"/>
  <c r="I940" i="16"/>
  <c r="C940" i="16"/>
  <c r="W939" i="16"/>
  <c r="R939" i="16"/>
  <c r="L939" i="16"/>
  <c r="G939" i="16"/>
  <c r="B939" i="16"/>
  <c r="U938" i="16"/>
  <c r="P938" i="16"/>
  <c r="K938" i="16"/>
  <c r="E938" i="16"/>
  <c r="Y937" i="16"/>
  <c r="T937" i="16"/>
  <c r="N937" i="16"/>
  <c r="I937" i="16"/>
  <c r="D937" i="16"/>
  <c r="W936" i="16"/>
  <c r="R936" i="16"/>
  <c r="M936" i="16"/>
  <c r="G936" i="16"/>
  <c r="B936" i="16"/>
  <c r="V935" i="16"/>
  <c r="P935" i="16"/>
  <c r="K935" i="16"/>
  <c r="F935" i="16"/>
  <c r="Y934" i="16"/>
  <c r="T934" i="16"/>
  <c r="O934" i="16"/>
  <c r="I934" i="16"/>
  <c r="D934" i="16"/>
  <c r="X933" i="16"/>
  <c r="R933" i="16"/>
  <c r="M933" i="16"/>
  <c r="H933" i="16"/>
  <c r="B933" i="16"/>
  <c r="V932" i="16"/>
  <c r="Q932" i="16"/>
  <c r="K932" i="16"/>
  <c r="F932" i="16"/>
  <c r="A932" i="16"/>
  <c r="T931" i="16"/>
  <c r="O931" i="16"/>
  <c r="J931" i="16"/>
  <c r="D931" i="16"/>
  <c r="X930" i="16"/>
  <c r="S930" i="16"/>
  <c r="M930" i="16"/>
  <c r="H930" i="16"/>
  <c r="C930" i="16"/>
  <c r="V929" i="16"/>
  <c r="Q929" i="16"/>
  <c r="L929" i="16"/>
  <c r="F929" i="16"/>
  <c r="A929" i="16"/>
  <c r="U928" i="16"/>
  <c r="O928" i="16"/>
  <c r="J928" i="16"/>
  <c r="E928" i="16"/>
  <c r="X927" i="16"/>
  <c r="S927" i="16"/>
  <c r="N927" i="16"/>
  <c r="H927" i="16"/>
  <c r="C927" i="16"/>
  <c r="W926" i="16"/>
  <c r="Q926" i="16"/>
  <c r="L926" i="16"/>
  <c r="G926" i="16"/>
  <c r="A926" i="16"/>
  <c r="U925" i="16"/>
  <c r="P925" i="16"/>
  <c r="J925" i="16"/>
  <c r="E925" i="16"/>
  <c r="Y924" i="16"/>
  <c r="S924" i="16"/>
  <c r="N924" i="16"/>
  <c r="I924" i="16"/>
  <c r="C924" i="16"/>
  <c r="W923" i="16"/>
  <c r="R923" i="16"/>
  <c r="L923" i="16"/>
  <c r="G923" i="16"/>
  <c r="B923" i="16"/>
  <c r="U922" i="16"/>
  <c r="P922" i="16"/>
  <c r="K922" i="16"/>
  <c r="E922" i="16"/>
  <c r="Y921" i="16"/>
  <c r="T921" i="16"/>
  <c r="N921" i="16"/>
  <c r="I921" i="16"/>
  <c r="D921" i="16"/>
  <c r="W920" i="16"/>
  <c r="R920" i="16"/>
  <c r="M920" i="16"/>
  <c r="G920" i="16"/>
  <c r="B920" i="16"/>
  <c r="V919" i="16"/>
  <c r="P919" i="16"/>
  <c r="K919" i="16"/>
  <c r="F919" i="16"/>
  <c r="Y918" i="16"/>
  <c r="T918" i="16"/>
  <c r="O918" i="16"/>
  <c r="I918" i="16"/>
  <c r="D918" i="16"/>
  <c r="X917" i="16"/>
  <c r="R917" i="16"/>
  <c r="M917" i="16"/>
  <c r="H917" i="16"/>
  <c r="B917" i="16"/>
  <c r="V916" i="16"/>
  <c r="Q916" i="16"/>
  <c r="K916" i="16"/>
  <c r="F916" i="16"/>
  <c r="A916" i="16"/>
  <c r="T915" i="16"/>
  <c r="O915" i="16"/>
  <c r="J915" i="16"/>
  <c r="D915" i="16"/>
  <c r="X914" i="16"/>
  <c r="S914" i="16"/>
  <c r="M914" i="16"/>
  <c r="H914" i="16"/>
  <c r="C914" i="16"/>
  <c r="V913" i="16"/>
  <c r="Q913" i="16"/>
  <c r="L913" i="16"/>
  <c r="F913" i="16"/>
  <c r="A913" i="16"/>
  <c r="U912" i="16"/>
  <c r="O912" i="16"/>
  <c r="J912" i="16"/>
  <c r="E912" i="16"/>
  <c r="X911" i="16"/>
  <c r="S911" i="16"/>
  <c r="N911" i="16"/>
  <c r="H911" i="16"/>
  <c r="C911" i="16"/>
  <c r="W910" i="16"/>
  <c r="Q910" i="16"/>
  <c r="L910" i="16"/>
  <c r="G910" i="16"/>
  <c r="A910" i="16"/>
  <c r="U909" i="16"/>
  <c r="P909" i="16"/>
  <c r="J909" i="16"/>
  <c r="E909" i="16"/>
  <c r="Y908" i="16"/>
  <c r="S908" i="16"/>
  <c r="N908" i="16"/>
  <c r="I908" i="16"/>
  <c r="C908" i="16"/>
  <c r="W907" i="16"/>
  <c r="R907" i="16"/>
  <c r="L907" i="16"/>
  <c r="G907" i="16"/>
  <c r="B907" i="16"/>
  <c r="U906" i="16"/>
  <c r="P906" i="16"/>
  <c r="K906" i="16"/>
  <c r="E906" i="16"/>
  <c r="Y905" i="16"/>
  <c r="T905" i="16"/>
  <c r="N905" i="16"/>
  <c r="I905" i="16"/>
  <c r="D905" i="16"/>
  <c r="W904" i="16"/>
  <c r="R904" i="16"/>
  <c r="M904" i="16"/>
  <c r="G904" i="16"/>
  <c r="B904" i="16"/>
  <c r="V903" i="16"/>
  <c r="P903" i="16"/>
  <c r="K903" i="16"/>
  <c r="F903" i="16"/>
  <c r="Y902" i="16"/>
  <c r="T902" i="16"/>
  <c r="O902" i="16"/>
  <c r="I902" i="16"/>
  <c r="D902" i="16"/>
  <c r="X901" i="16"/>
  <c r="R901" i="16"/>
  <c r="M901" i="16"/>
  <c r="H901" i="16"/>
  <c r="B901" i="16"/>
  <c r="V900" i="16"/>
  <c r="Q900" i="16"/>
  <c r="K900" i="16"/>
  <c r="F900" i="16"/>
  <c r="A900" i="16"/>
  <c r="T899" i="16"/>
  <c r="O899" i="16"/>
  <c r="J899" i="16"/>
  <c r="D899" i="16"/>
  <c r="X898" i="16"/>
  <c r="S898" i="16"/>
  <c r="M898" i="16"/>
  <c r="I898" i="16"/>
  <c r="E898" i="16"/>
  <c r="A898" i="16"/>
  <c r="V897" i="16"/>
  <c r="R897" i="16"/>
  <c r="N897" i="16"/>
  <c r="J897" i="16"/>
  <c r="F897" i="16"/>
  <c r="B897" i="16"/>
  <c r="W896" i="16"/>
  <c r="S896" i="16"/>
  <c r="O896" i="16"/>
  <c r="K896" i="16"/>
  <c r="G896" i="16"/>
  <c r="C896" i="16"/>
  <c r="X895" i="16"/>
  <c r="T895" i="16"/>
  <c r="P895" i="16"/>
  <c r="L895" i="16"/>
  <c r="H895" i="16"/>
  <c r="D895" i="16"/>
  <c r="Y894" i="16"/>
  <c r="U894" i="16"/>
  <c r="Q894" i="16"/>
  <c r="M894" i="16"/>
  <c r="I894" i="16"/>
  <c r="E894" i="16"/>
  <c r="A894" i="16"/>
  <c r="V893" i="16"/>
  <c r="R893" i="16"/>
  <c r="N893" i="16"/>
  <c r="J893" i="16"/>
  <c r="F893" i="16"/>
  <c r="B893" i="16"/>
  <c r="W892" i="16"/>
  <c r="S892" i="16"/>
  <c r="O892" i="16"/>
  <c r="K892" i="16"/>
  <c r="G892" i="16"/>
  <c r="C892" i="16"/>
  <c r="X891" i="16"/>
  <c r="T891" i="16"/>
  <c r="P891" i="16"/>
  <c r="L891" i="16"/>
  <c r="H891" i="16"/>
  <c r="D891" i="16"/>
  <c r="Y890" i="16"/>
  <c r="U890" i="16"/>
  <c r="Q890" i="16"/>
  <c r="M890" i="16"/>
  <c r="I890" i="16"/>
  <c r="E890" i="16"/>
  <c r="A890" i="16"/>
  <c r="V889" i="16"/>
  <c r="R889" i="16"/>
  <c r="N889" i="16"/>
  <c r="J889" i="16"/>
  <c r="F889" i="16"/>
  <c r="B889" i="16"/>
  <c r="W888" i="16"/>
  <c r="S888" i="16"/>
  <c r="O888" i="16"/>
  <c r="K888" i="16"/>
  <c r="G888" i="16"/>
  <c r="C888" i="16"/>
  <c r="X887" i="16"/>
  <c r="T887" i="16"/>
  <c r="P887" i="16"/>
  <c r="L887" i="16"/>
  <c r="H887" i="16"/>
  <c r="D887" i="16"/>
  <c r="Y886" i="16"/>
  <c r="U886" i="16"/>
  <c r="Q886" i="16"/>
  <c r="M886" i="16"/>
  <c r="I886" i="16"/>
  <c r="E886" i="16"/>
  <c r="A886" i="16"/>
  <c r="V885" i="16"/>
  <c r="R885" i="16"/>
  <c r="N885" i="16"/>
  <c r="J885" i="16"/>
  <c r="F885" i="16"/>
  <c r="B885" i="16"/>
  <c r="W884" i="16"/>
  <c r="S884" i="16"/>
  <c r="O884" i="16"/>
  <c r="K884" i="16"/>
  <c r="G884" i="16"/>
  <c r="C884" i="16"/>
  <c r="X883" i="16"/>
  <c r="T883" i="16"/>
  <c r="P883" i="16"/>
  <c r="L883" i="16"/>
  <c r="H883" i="16"/>
  <c r="D883" i="16"/>
  <c r="Y882" i="16"/>
  <c r="U882" i="16"/>
  <c r="Q882" i="16"/>
  <c r="M882" i="16"/>
  <c r="I882" i="16"/>
  <c r="E882" i="16"/>
  <c r="A882" i="16"/>
  <c r="V881" i="16"/>
  <c r="R881" i="16"/>
  <c r="N881" i="16"/>
  <c r="J881" i="16"/>
  <c r="F881" i="16"/>
  <c r="B881" i="16"/>
  <c r="W880" i="16"/>
  <c r="S880" i="16"/>
  <c r="O880" i="16"/>
  <c r="K880" i="16"/>
  <c r="G880" i="16"/>
  <c r="C880" i="16"/>
  <c r="X879" i="16"/>
  <c r="T879" i="16"/>
  <c r="P879" i="16"/>
  <c r="L879" i="16"/>
  <c r="H879" i="16"/>
  <c r="D879" i="16"/>
  <c r="Y878" i="16"/>
  <c r="U878" i="16"/>
  <c r="Q878" i="16"/>
  <c r="M878" i="16"/>
  <c r="I878" i="16"/>
  <c r="E878" i="16"/>
  <c r="A878" i="16"/>
  <c r="V877" i="16"/>
  <c r="R877" i="16"/>
  <c r="N877" i="16"/>
  <c r="J877" i="16"/>
  <c r="F877" i="16"/>
  <c r="B877" i="16"/>
  <c r="W876" i="16"/>
  <c r="S876" i="16"/>
  <c r="O876" i="16"/>
  <c r="K876" i="16"/>
  <c r="G876" i="16"/>
  <c r="C876" i="16"/>
  <c r="X875" i="16"/>
  <c r="T875" i="16"/>
  <c r="P875" i="16"/>
  <c r="L875" i="16"/>
  <c r="H875" i="16"/>
  <c r="D875" i="16"/>
  <c r="Y874" i="16"/>
  <c r="U874" i="16"/>
  <c r="Q874" i="16"/>
  <c r="M874" i="16"/>
  <c r="I874" i="16"/>
  <c r="E874" i="16"/>
  <c r="A874" i="16"/>
  <c r="V873" i="16"/>
  <c r="R873" i="16"/>
  <c r="N873" i="16"/>
  <c r="J873" i="16"/>
  <c r="F873" i="16"/>
  <c r="B873" i="16"/>
  <c r="W872" i="16"/>
  <c r="S872" i="16"/>
  <c r="O872" i="16"/>
  <c r="K872" i="16"/>
  <c r="G872" i="16"/>
  <c r="C872" i="16"/>
  <c r="X871" i="16"/>
  <c r="T871" i="16"/>
  <c r="P871" i="16"/>
  <c r="L871" i="16"/>
  <c r="H871" i="16"/>
  <c r="D871" i="16"/>
  <c r="Y870" i="16"/>
  <c r="U870" i="16"/>
  <c r="Q870" i="16"/>
  <c r="M870" i="16"/>
  <c r="I870" i="16"/>
  <c r="E870" i="16"/>
  <c r="A870" i="16"/>
  <c r="V869" i="16"/>
  <c r="R869" i="16"/>
  <c r="N869" i="16"/>
  <c r="J869" i="16"/>
  <c r="F869" i="16"/>
  <c r="B869" i="16"/>
  <c r="W868" i="16"/>
  <c r="S868" i="16"/>
  <c r="O868" i="16"/>
  <c r="K868" i="16"/>
  <c r="G868" i="16"/>
  <c r="C868" i="16"/>
  <c r="X867" i="16"/>
  <c r="T867" i="16"/>
  <c r="P867" i="16"/>
  <c r="L867" i="16"/>
  <c r="H867" i="16"/>
  <c r="D867" i="16"/>
  <c r="Y866" i="16"/>
  <c r="U866" i="16"/>
  <c r="Q866" i="16"/>
  <c r="M866" i="16"/>
  <c r="I866" i="16"/>
  <c r="E866" i="16"/>
  <c r="A866" i="16"/>
  <c r="V865" i="16"/>
  <c r="R865" i="16"/>
  <c r="N865" i="16"/>
  <c r="J865" i="16"/>
  <c r="F865" i="16"/>
  <c r="B865" i="16"/>
  <c r="W864" i="16"/>
  <c r="S864" i="16"/>
  <c r="O864" i="16"/>
  <c r="K864" i="16"/>
  <c r="G864" i="16"/>
  <c r="C864" i="16"/>
  <c r="X863" i="16"/>
  <c r="T863" i="16"/>
  <c r="P863" i="16"/>
  <c r="L863" i="16"/>
  <c r="H863" i="16"/>
  <c r="D863" i="16"/>
  <c r="Y862" i="16"/>
  <c r="U862" i="16"/>
  <c r="Q862" i="16"/>
  <c r="M862" i="16"/>
  <c r="I862" i="16"/>
  <c r="E862" i="16"/>
  <c r="A862" i="16"/>
  <c r="V861" i="16"/>
  <c r="R861" i="16"/>
  <c r="N861" i="16"/>
  <c r="J861" i="16"/>
  <c r="F861" i="16"/>
  <c r="B861" i="16"/>
  <c r="W860" i="16"/>
  <c r="S860" i="16"/>
  <c r="O860" i="16"/>
  <c r="K860" i="16"/>
  <c r="G860" i="16"/>
  <c r="C860" i="16"/>
  <c r="X859" i="16"/>
  <c r="T859" i="16"/>
  <c r="P859" i="16"/>
  <c r="L859" i="16"/>
  <c r="H859" i="16"/>
  <c r="D859" i="16"/>
  <c r="Y858" i="16"/>
  <c r="U858" i="16"/>
  <c r="Q858" i="16"/>
  <c r="M858" i="16"/>
  <c r="I858" i="16"/>
  <c r="E858" i="16"/>
  <c r="A858" i="16"/>
  <c r="V857" i="16"/>
  <c r="R857" i="16"/>
  <c r="N857" i="16"/>
  <c r="J857" i="16"/>
  <c r="F857" i="16"/>
  <c r="B857" i="16"/>
  <c r="W856" i="16"/>
  <c r="S856" i="16"/>
  <c r="O856" i="16"/>
  <c r="K856" i="16"/>
  <c r="G856" i="16"/>
  <c r="C856" i="16"/>
  <c r="X855" i="16"/>
  <c r="T855" i="16"/>
  <c r="P855" i="16"/>
  <c r="L855" i="16"/>
  <c r="H855" i="16"/>
  <c r="D855" i="16"/>
  <c r="Y854" i="16"/>
  <c r="U854" i="16"/>
  <c r="Q854" i="16"/>
  <c r="M854" i="16"/>
  <c r="I854" i="16"/>
  <c r="E854" i="16"/>
  <c r="A854" i="16"/>
  <c r="V853" i="16"/>
  <c r="R853" i="16"/>
  <c r="N853" i="16"/>
  <c r="J853" i="16"/>
  <c r="F853" i="16"/>
  <c r="B853" i="16"/>
  <c r="W852" i="16"/>
  <c r="S852" i="16"/>
  <c r="O852" i="16"/>
  <c r="K852" i="16"/>
  <c r="G852" i="16"/>
  <c r="C852" i="16"/>
  <c r="X851" i="16"/>
  <c r="T851" i="16"/>
  <c r="P851" i="16"/>
  <c r="L851" i="16"/>
  <c r="H851" i="16"/>
  <c r="D851" i="16"/>
  <c r="Y850" i="16"/>
  <c r="U850" i="16"/>
  <c r="Q850" i="16"/>
  <c r="M850" i="16"/>
  <c r="I850" i="16"/>
  <c r="E850" i="16"/>
  <c r="A850" i="16"/>
  <c r="V849" i="16"/>
  <c r="R849" i="16"/>
  <c r="N849" i="16"/>
  <c r="J849" i="16"/>
  <c r="F849" i="16"/>
  <c r="B849" i="16"/>
  <c r="W848" i="16"/>
  <c r="S848" i="16"/>
  <c r="O848" i="16"/>
  <c r="K848" i="16"/>
  <c r="G848" i="16"/>
  <c r="C848" i="16"/>
  <c r="X847" i="16"/>
  <c r="T847" i="16"/>
  <c r="P847" i="16"/>
  <c r="L847" i="16"/>
  <c r="H847" i="16"/>
  <c r="D847" i="16"/>
  <c r="Y846" i="16"/>
  <c r="U846" i="16"/>
  <c r="Q846" i="16"/>
  <c r="M846" i="16"/>
  <c r="I846" i="16"/>
  <c r="E846" i="16"/>
  <c r="A846" i="16"/>
  <c r="V845" i="16"/>
  <c r="R845" i="16"/>
  <c r="N845" i="16"/>
  <c r="J845" i="16"/>
  <c r="F845" i="16"/>
  <c r="B845" i="16"/>
  <c r="W844" i="16"/>
  <c r="S844" i="16"/>
  <c r="O844" i="16"/>
  <c r="K844" i="16"/>
  <c r="G844" i="16"/>
  <c r="C844" i="16"/>
  <c r="X843" i="16"/>
  <c r="T843" i="16"/>
  <c r="P843" i="16"/>
  <c r="L843" i="16"/>
  <c r="H843" i="16"/>
  <c r="D843" i="16"/>
  <c r="Y842" i="16"/>
  <c r="U842" i="16"/>
  <c r="Q842" i="16"/>
  <c r="M842" i="16"/>
  <c r="I842" i="16"/>
  <c r="E842" i="16"/>
  <c r="A842" i="16"/>
  <c r="V841" i="16"/>
  <c r="R841" i="16"/>
  <c r="N841" i="16"/>
  <c r="J841" i="16"/>
  <c r="F841" i="16"/>
  <c r="B841" i="16"/>
  <c r="W840" i="16"/>
  <c r="S840" i="16"/>
  <c r="O840" i="16"/>
  <c r="K840" i="16"/>
  <c r="G840" i="16"/>
  <c r="C840" i="16"/>
  <c r="X839" i="16"/>
  <c r="T839" i="16"/>
  <c r="P839" i="16"/>
  <c r="L839" i="16"/>
  <c r="H839" i="16"/>
  <c r="D839" i="16"/>
  <c r="Y838" i="16"/>
  <c r="U838" i="16"/>
  <c r="Q838" i="16"/>
  <c r="M838" i="16"/>
  <c r="I838" i="16"/>
  <c r="E838" i="16"/>
  <c r="A838" i="16"/>
  <c r="V837" i="16"/>
  <c r="R837" i="16"/>
  <c r="N837" i="16"/>
  <c r="J837" i="16"/>
  <c r="F837" i="16"/>
  <c r="B837" i="16"/>
  <c r="W836" i="16"/>
  <c r="S836" i="16"/>
  <c r="O836" i="16"/>
  <c r="K836" i="16"/>
  <c r="G836" i="16"/>
  <c r="C836" i="16"/>
  <c r="X835" i="16"/>
  <c r="T835" i="16"/>
  <c r="P835" i="16"/>
  <c r="L835" i="16"/>
  <c r="H835" i="16"/>
  <c r="D835" i="16"/>
  <c r="Y834" i="16"/>
  <c r="U834" i="16"/>
  <c r="Q834" i="16"/>
  <c r="M834" i="16"/>
  <c r="I834" i="16"/>
  <c r="E834" i="16"/>
  <c r="A834" i="16"/>
  <c r="V833" i="16"/>
  <c r="R833" i="16"/>
  <c r="N833" i="16"/>
  <c r="J833" i="16"/>
  <c r="F833" i="16"/>
  <c r="B833" i="16"/>
  <c r="W832" i="16"/>
  <c r="S832" i="16"/>
  <c r="O832" i="16"/>
  <c r="K832" i="16"/>
  <c r="G832" i="16"/>
  <c r="C832" i="16"/>
  <c r="X831" i="16"/>
  <c r="T831" i="16"/>
  <c r="P831" i="16"/>
  <c r="L831" i="16"/>
  <c r="H831" i="16"/>
  <c r="D831" i="16"/>
  <c r="Y830" i="16"/>
  <c r="U830" i="16"/>
  <c r="Q830" i="16"/>
  <c r="M830" i="16"/>
  <c r="I830" i="16"/>
  <c r="E830" i="16"/>
  <c r="A830" i="16"/>
  <c r="V829" i="16"/>
  <c r="R829" i="16"/>
  <c r="N829" i="16"/>
  <c r="J829" i="16"/>
  <c r="F829" i="16"/>
  <c r="B829" i="16"/>
  <c r="W828" i="16"/>
  <c r="S828" i="16"/>
  <c r="O828" i="16"/>
  <c r="K828" i="16"/>
  <c r="G828" i="16"/>
  <c r="C828" i="16"/>
  <c r="X827" i="16"/>
  <c r="T827" i="16"/>
  <c r="P827" i="16"/>
  <c r="L827" i="16"/>
  <c r="H827" i="16"/>
  <c r="D827" i="16"/>
  <c r="Y826" i="16"/>
  <c r="U826" i="16"/>
  <c r="Q826" i="16"/>
  <c r="M826" i="16"/>
  <c r="I826" i="16"/>
  <c r="E826" i="16"/>
  <c r="A826" i="16"/>
  <c r="V825" i="16"/>
  <c r="R825" i="16"/>
  <c r="N825" i="16"/>
  <c r="J825" i="16"/>
  <c r="F825" i="16"/>
  <c r="B825" i="16"/>
  <c r="W824" i="16"/>
  <c r="S824" i="16"/>
  <c r="O824" i="16"/>
  <c r="K824" i="16"/>
  <c r="G824" i="16"/>
  <c r="C824" i="16"/>
  <c r="X823" i="16"/>
  <c r="T823" i="16"/>
  <c r="P823" i="16"/>
  <c r="L823" i="16"/>
  <c r="H823" i="16"/>
  <c r="D823" i="16"/>
  <c r="Y822" i="16"/>
  <c r="U822" i="16"/>
  <c r="Q822" i="16"/>
  <c r="M822" i="16"/>
  <c r="I822" i="16"/>
  <c r="E822" i="16"/>
  <c r="A822" i="16"/>
  <c r="V821" i="16"/>
  <c r="R821" i="16"/>
  <c r="N821" i="16"/>
  <c r="J821" i="16"/>
  <c r="F821" i="16"/>
  <c r="B821" i="16"/>
  <c r="W820" i="16"/>
  <c r="S820" i="16"/>
  <c r="O820" i="16"/>
  <c r="K820" i="16"/>
  <c r="G820" i="16"/>
  <c r="C820" i="16"/>
  <c r="X819" i="16"/>
  <c r="T819" i="16"/>
  <c r="P819" i="16"/>
  <c r="L819" i="16"/>
  <c r="H819" i="16"/>
  <c r="D819" i="16"/>
  <c r="Y818" i="16"/>
  <c r="U818" i="16"/>
  <c r="Q818" i="16"/>
  <c r="M818" i="16"/>
  <c r="I818" i="16"/>
  <c r="E818" i="16"/>
  <c r="A818" i="16"/>
  <c r="V817" i="16"/>
  <c r="R817" i="16"/>
  <c r="N817" i="16"/>
  <c r="J817" i="16"/>
  <c r="F817" i="16"/>
  <c r="B817" i="16"/>
  <c r="W816" i="16"/>
  <c r="S816" i="16"/>
  <c r="O816" i="16"/>
  <c r="K816" i="16"/>
  <c r="G816" i="16"/>
  <c r="C816" i="16"/>
  <c r="X815" i="16"/>
  <c r="T815" i="16"/>
  <c r="P815" i="16"/>
  <c r="L815" i="16"/>
  <c r="H815" i="16"/>
  <c r="D815" i="16"/>
  <c r="Y814" i="16"/>
  <c r="U814" i="16"/>
  <c r="Q814" i="16"/>
  <c r="M814" i="16"/>
  <c r="I814" i="16"/>
  <c r="E814" i="16"/>
  <c r="A814" i="16"/>
  <c r="V813" i="16"/>
  <c r="R813" i="16"/>
  <c r="N813" i="16"/>
  <c r="J813" i="16"/>
  <c r="F813" i="16"/>
  <c r="B813" i="16"/>
  <c r="W812" i="16"/>
  <c r="S812" i="16"/>
  <c r="O812" i="16"/>
  <c r="K812" i="16"/>
  <c r="G812" i="16"/>
  <c r="C812" i="16"/>
  <c r="X811" i="16"/>
  <c r="T811" i="16"/>
  <c r="P811" i="16"/>
  <c r="L811" i="16"/>
  <c r="H811" i="16"/>
  <c r="D811" i="16"/>
  <c r="Y810" i="16"/>
  <c r="U810" i="16"/>
  <c r="Q810" i="16"/>
  <c r="M810" i="16"/>
  <c r="I810" i="16"/>
  <c r="E810" i="16"/>
  <c r="A810" i="16"/>
  <c r="V809" i="16"/>
  <c r="R809" i="16"/>
  <c r="N809" i="16"/>
  <c r="J809" i="16"/>
  <c r="F809" i="16"/>
  <c r="B809" i="16"/>
  <c r="W808" i="16"/>
  <c r="S808" i="16"/>
  <c r="O808" i="16"/>
  <c r="K808" i="16"/>
  <c r="G808" i="16"/>
  <c r="C808" i="16"/>
  <c r="X807" i="16"/>
  <c r="T807" i="16"/>
  <c r="P807" i="16"/>
  <c r="L807" i="16"/>
  <c r="H807" i="16"/>
  <c r="D807" i="16"/>
  <c r="Y806" i="16"/>
  <c r="U806" i="16"/>
  <c r="Q806" i="16"/>
  <c r="M806" i="16"/>
  <c r="I806" i="16"/>
  <c r="E806" i="16"/>
  <c r="A806" i="16"/>
  <c r="V805" i="16"/>
  <c r="R805" i="16"/>
  <c r="N805" i="16"/>
  <c r="J805" i="16"/>
  <c r="F805" i="16"/>
  <c r="B805" i="16"/>
  <c r="W804" i="16"/>
  <c r="S804" i="16"/>
  <c r="O804" i="16"/>
  <c r="K804" i="16"/>
  <c r="G804" i="16"/>
  <c r="C804" i="16"/>
  <c r="X803" i="16"/>
  <c r="T803" i="16"/>
  <c r="P803" i="16"/>
  <c r="L803" i="16"/>
  <c r="H803" i="16"/>
  <c r="D803" i="16"/>
  <c r="Y802" i="16"/>
  <c r="U802" i="16"/>
  <c r="Q802" i="16"/>
  <c r="M802" i="16"/>
  <c r="I802" i="16"/>
  <c r="E802" i="16"/>
  <c r="A802" i="16"/>
  <c r="V801" i="16"/>
  <c r="R801" i="16"/>
  <c r="N801" i="16"/>
  <c r="J801" i="16"/>
  <c r="F801" i="16"/>
  <c r="B801" i="16"/>
  <c r="W800" i="16"/>
  <c r="S800" i="16"/>
  <c r="O800" i="16"/>
  <c r="K800" i="16"/>
  <c r="G800" i="16"/>
  <c r="C800" i="16"/>
  <c r="X799" i="16"/>
  <c r="T799" i="16"/>
  <c r="P799" i="16"/>
  <c r="L799" i="16"/>
  <c r="H799" i="16"/>
  <c r="D799" i="16"/>
  <c r="Y798" i="16"/>
  <c r="U798" i="16"/>
  <c r="Q798" i="16"/>
  <c r="M798" i="16"/>
  <c r="I798" i="16"/>
  <c r="E798" i="16"/>
  <c r="A798" i="16"/>
  <c r="V797" i="16"/>
  <c r="R797" i="16"/>
  <c r="N797" i="16"/>
  <c r="J797" i="16"/>
  <c r="F797" i="16"/>
  <c r="B797" i="16"/>
  <c r="W796" i="16"/>
  <c r="S796" i="16"/>
  <c r="O796" i="16"/>
  <c r="K796" i="16"/>
  <c r="G796" i="16"/>
  <c r="C796" i="16"/>
  <c r="X795" i="16"/>
  <c r="T795" i="16"/>
  <c r="P795" i="16"/>
  <c r="L795" i="16"/>
  <c r="H795" i="16"/>
  <c r="D795" i="16"/>
  <c r="Y794" i="16"/>
  <c r="U794" i="16"/>
  <c r="Q794" i="16"/>
  <c r="M794" i="16"/>
  <c r="I794" i="16"/>
  <c r="E794" i="16"/>
  <c r="A794" i="16"/>
  <c r="V793" i="16"/>
  <c r="R793" i="16"/>
  <c r="N793" i="16"/>
  <c r="J793" i="16"/>
  <c r="F793" i="16"/>
  <c r="B793" i="16"/>
  <c r="W792" i="16"/>
  <c r="S792" i="16"/>
  <c r="O792" i="16"/>
  <c r="K792" i="16"/>
  <c r="G792" i="16"/>
  <c r="C792" i="16"/>
  <c r="X791" i="16"/>
  <c r="T791" i="16"/>
  <c r="P791" i="16"/>
  <c r="L791" i="16"/>
  <c r="H791" i="16"/>
  <c r="D791" i="16"/>
  <c r="Y790" i="16"/>
  <c r="U790" i="16"/>
  <c r="Q790" i="16"/>
  <c r="M790" i="16"/>
  <c r="I790" i="16"/>
  <c r="E790" i="16"/>
  <c r="A790" i="16"/>
  <c r="V789" i="16"/>
  <c r="R789" i="16"/>
  <c r="N789" i="16"/>
  <c r="J789" i="16"/>
  <c r="F789" i="16"/>
  <c r="B789" i="16"/>
  <c r="W788" i="16"/>
  <c r="S788" i="16"/>
  <c r="O788" i="16"/>
  <c r="K788" i="16"/>
  <c r="G788" i="16"/>
  <c r="C788" i="16"/>
  <c r="X787" i="16"/>
  <c r="T787" i="16"/>
  <c r="P787" i="16"/>
  <c r="L787" i="16"/>
  <c r="H787" i="16"/>
  <c r="D787" i="16"/>
  <c r="Y786" i="16"/>
  <c r="U786" i="16"/>
  <c r="Q786" i="16"/>
  <c r="M786" i="16"/>
  <c r="I786" i="16"/>
  <c r="E786" i="16"/>
  <c r="A786" i="16"/>
  <c r="V785" i="16"/>
  <c r="R785" i="16"/>
  <c r="N785" i="16"/>
  <c r="J785" i="16"/>
  <c r="F785" i="16"/>
  <c r="B785" i="16"/>
  <c r="W784" i="16"/>
  <c r="S784" i="16"/>
  <c r="O784" i="16"/>
  <c r="K784" i="16"/>
  <c r="G784" i="16"/>
  <c r="C784" i="16"/>
  <c r="X783" i="16"/>
  <c r="T783" i="16"/>
  <c r="P783" i="16"/>
  <c r="L783" i="16"/>
  <c r="H783" i="16"/>
  <c r="D783" i="16"/>
  <c r="Y782" i="16"/>
  <c r="U782" i="16"/>
  <c r="Q782" i="16"/>
  <c r="M782" i="16"/>
  <c r="I782" i="16"/>
  <c r="E782" i="16"/>
  <c r="A782" i="16"/>
  <c r="V781" i="16"/>
  <c r="R781" i="16"/>
  <c r="N781" i="16"/>
  <c r="J781" i="16"/>
  <c r="F781" i="16"/>
  <c r="B781" i="16"/>
  <c r="W780" i="16"/>
  <c r="S780" i="16"/>
  <c r="O780" i="16"/>
  <c r="K780" i="16"/>
  <c r="G780" i="16"/>
  <c r="C780" i="16"/>
  <c r="X779" i="16"/>
  <c r="T779" i="16"/>
  <c r="P779" i="16"/>
  <c r="L779" i="16"/>
  <c r="H779" i="16"/>
  <c r="D779" i="16"/>
  <c r="Y778" i="16"/>
  <c r="U778" i="16"/>
  <c r="Q778" i="16"/>
  <c r="M778" i="16"/>
  <c r="I778" i="16"/>
  <c r="E778" i="16"/>
  <c r="A778" i="16"/>
  <c r="V777" i="16"/>
  <c r="R777" i="16"/>
  <c r="N777" i="16"/>
  <c r="J777" i="16"/>
  <c r="F777" i="16"/>
  <c r="B777" i="16"/>
  <c r="W776" i="16"/>
  <c r="S776" i="16"/>
  <c r="O776" i="16"/>
  <c r="K776" i="16"/>
  <c r="G776" i="16"/>
  <c r="C776" i="16"/>
  <c r="X775" i="16"/>
  <c r="T775" i="16"/>
  <c r="P775" i="16"/>
  <c r="L775" i="16"/>
  <c r="H775" i="16"/>
  <c r="D775" i="16"/>
  <c r="Y774" i="16"/>
  <c r="U774" i="16"/>
  <c r="Q774" i="16"/>
  <c r="M774" i="16"/>
  <c r="I774" i="16"/>
  <c r="E774" i="16"/>
  <c r="A774" i="16"/>
  <c r="V773" i="16"/>
  <c r="R773" i="16"/>
  <c r="N773" i="16"/>
  <c r="J773" i="16"/>
  <c r="F773" i="16"/>
  <c r="B773" i="16"/>
  <c r="W772" i="16"/>
  <c r="S772" i="16"/>
  <c r="O772" i="16"/>
  <c r="K772" i="16"/>
  <c r="G772" i="16"/>
  <c r="C772" i="16"/>
  <c r="X771" i="16"/>
  <c r="T771" i="16"/>
  <c r="P771" i="16"/>
  <c r="L771" i="16"/>
  <c r="H771" i="16"/>
  <c r="D771" i="16"/>
  <c r="Y770" i="16"/>
  <c r="U770" i="16"/>
  <c r="Q770" i="16"/>
  <c r="M770" i="16"/>
  <c r="I770" i="16"/>
  <c r="E770" i="16"/>
  <c r="A770" i="16"/>
  <c r="V769" i="16"/>
  <c r="R769" i="16"/>
  <c r="N769" i="16"/>
  <c r="J769" i="16"/>
  <c r="F769" i="16"/>
  <c r="B769" i="16"/>
  <c r="W768" i="16"/>
  <c r="S768" i="16"/>
  <c r="O768" i="16"/>
  <c r="K768" i="16"/>
  <c r="G768" i="16"/>
  <c r="C768" i="16"/>
  <c r="X767" i="16"/>
  <c r="T767" i="16"/>
  <c r="P767" i="16"/>
  <c r="L767" i="16"/>
  <c r="H767" i="16"/>
  <c r="D767" i="16"/>
  <c r="Y766" i="16"/>
  <c r="U766" i="16"/>
  <c r="Q766" i="16"/>
  <c r="M766" i="16"/>
  <c r="I766" i="16"/>
  <c r="E766" i="16"/>
  <c r="A766" i="16"/>
  <c r="V765" i="16"/>
  <c r="R765" i="16"/>
  <c r="N765" i="16"/>
  <c r="J765" i="16"/>
  <c r="F765" i="16"/>
  <c r="B765" i="16"/>
  <c r="W764" i="16"/>
  <c r="S764" i="16"/>
  <c r="O764" i="16"/>
  <c r="K764" i="16"/>
  <c r="G764" i="16"/>
  <c r="C764" i="16"/>
  <c r="X763" i="16"/>
  <c r="T763" i="16"/>
  <c r="P763" i="16"/>
  <c r="L763" i="16"/>
  <c r="H763" i="16"/>
  <c r="D763" i="16"/>
  <c r="Y762" i="16"/>
  <c r="U762" i="16"/>
  <c r="Q762" i="16"/>
  <c r="M762" i="16"/>
  <c r="I762" i="16"/>
  <c r="E762" i="16"/>
  <c r="A762" i="16"/>
  <c r="V761" i="16"/>
  <c r="R761" i="16"/>
  <c r="N761" i="16"/>
  <c r="J761" i="16"/>
  <c r="F761" i="16"/>
  <c r="B761" i="16"/>
  <c r="W760" i="16"/>
  <c r="S760" i="16"/>
  <c r="O760" i="16"/>
  <c r="K760" i="16"/>
  <c r="G760" i="16"/>
  <c r="C760" i="16"/>
  <c r="X759" i="16"/>
  <c r="T759" i="16"/>
  <c r="P759" i="16"/>
  <c r="L759" i="16"/>
  <c r="H759" i="16"/>
  <c r="D759" i="16"/>
  <c r="Y758" i="16"/>
  <c r="U758" i="16"/>
  <c r="Q758" i="16"/>
  <c r="M758" i="16"/>
  <c r="I758" i="16"/>
  <c r="E758" i="16"/>
  <c r="A758" i="16"/>
  <c r="V757" i="16"/>
  <c r="R757" i="16"/>
  <c r="N757" i="16"/>
  <c r="J757" i="16"/>
  <c r="F757" i="16"/>
  <c r="B757" i="16"/>
  <c r="W756" i="16"/>
  <c r="S756" i="16"/>
  <c r="O756" i="16"/>
  <c r="K756" i="16"/>
  <c r="G756" i="16"/>
  <c r="C756" i="16"/>
  <c r="X755" i="16"/>
  <c r="T755" i="16"/>
  <c r="P755" i="16"/>
  <c r="L755" i="16"/>
  <c r="H755" i="16"/>
  <c r="D755" i="16"/>
  <c r="Y754" i="16"/>
  <c r="U754" i="16"/>
  <c r="Q754" i="16"/>
  <c r="M754" i="16"/>
  <c r="I754" i="16"/>
  <c r="E754" i="16"/>
  <c r="A754" i="16"/>
  <c r="V753" i="16"/>
  <c r="R753" i="16"/>
  <c r="N753" i="16"/>
  <c r="J753" i="16"/>
  <c r="F753" i="16"/>
  <c r="B753" i="16"/>
  <c r="W752" i="16"/>
  <c r="S752" i="16"/>
  <c r="O752" i="16"/>
  <c r="K752" i="16"/>
  <c r="G752" i="16"/>
  <c r="C752" i="16"/>
  <c r="X751" i="16"/>
  <c r="T751" i="16"/>
  <c r="P751" i="16"/>
  <c r="L751" i="16"/>
  <c r="H751" i="16"/>
  <c r="D751" i="16"/>
  <c r="Y750" i="16"/>
  <c r="U750" i="16"/>
  <c r="Q750" i="16"/>
  <c r="M750" i="16"/>
  <c r="I750" i="16"/>
  <c r="E750" i="16"/>
  <c r="A750" i="16"/>
  <c r="V749" i="16"/>
  <c r="R749" i="16"/>
  <c r="N749" i="16"/>
  <c r="J749" i="16"/>
  <c r="F749" i="16"/>
  <c r="B749" i="16"/>
  <c r="W748" i="16"/>
  <c r="S748" i="16"/>
  <c r="O748" i="16"/>
  <c r="K748" i="16"/>
  <c r="G748" i="16"/>
  <c r="C748" i="16"/>
  <c r="X747" i="16"/>
  <c r="T747" i="16"/>
  <c r="P747" i="16"/>
  <c r="L747" i="16"/>
  <c r="H747" i="16"/>
  <c r="D747" i="16"/>
  <c r="Y746" i="16"/>
  <c r="U746" i="16"/>
  <c r="Q746" i="16"/>
  <c r="M746" i="16"/>
  <c r="I746" i="16"/>
  <c r="E746" i="16"/>
  <c r="A746" i="16"/>
  <c r="V745" i="16"/>
  <c r="R745" i="16"/>
  <c r="N745" i="16"/>
  <c r="J745" i="16"/>
  <c r="F745" i="16"/>
  <c r="B745" i="16"/>
  <c r="W744" i="16"/>
  <c r="S744" i="16"/>
  <c r="O744" i="16"/>
  <c r="K744" i="16"/>
  <c r="G744" i="16"/>
  <c r="C744" i="16"/>
  <c r="X743" i="16"/>
  <c r="T743" i="16"/>
  <c r="P743" i="16"/>
  <c r="L743" i="16"/>
  <c r="H743" i="16"/>
  <c r="D743" i="16"/>
  <c r="Y742" i="16"/>
  <c r="U742" i="16"/>
  <c r="Q742" i="16"/>
  <c r="M742" i="16"/>
  <c r="I742" i="16"/>
  <c r="E742" i="16"/>
  <c r="A742" i="16"/>
  <c r="V741" i="16"/>
  <c r="R741" i="16"/>
  <c r="N741" i="16"/>
  <c r="J741" i="16"/>
  <c r="F741" i="16"/>
  <c r="B741" i="16"/>
  <c r="W740" i="16"/>
  <c r="S740" i="16"/>
  <c r="O740" i="16"/>
  <c r="K740" i="16"/>
  <c r="G740" i="16"/>
  <c r="C740" i="16"/>
  <c r="X739" i="16"/>
  <c r="T739" i="16"/>
  <c r="P739" i="16"/>
  <c r="L739" i="16"/>
  <c r="H739" i="16"/>
  <c r="D739" i="16"/>
  <c r="Y738" i="16"/>
  <c r="U738" i="16"/>
  <c r="Q738" i="16"/>
  <c r="M738" i="16"/>
  <c r="I738" i="16"/>
  <c r="E738" i="16"/>
  <c r="A738" i="16"/>
  <c r="V737" i="16"/>
  <c r="R737" i="16"/>
  <c r="N737" i="16"/>
  <c r="J737" i="16"/>
  <c r="F737" i="16"/>
  <c r="B737" i="16"/>
  <c r="W736" i="16"/>
  <c r="S736" i="16"/>
  <c r="O736" i="16"/>
  <c r="K736" i="16"/>
  <c r="G736" i="16"/>
  <c r="C736" i="16"/>
  <c r="X735" i="16"/>
  <c r="T735" i="16"/>
  <c r="P735" i="16"/>
  <c r="L735" i="16"/>
  <c r="H735" i="16"/>
  <c r="D735" i="16"/>
  <c r="Y734" i="16"/>
  <c r="U734" i="16"/>
  <c r="Q734" i="16"/>
  <c r="M734" i="16"/>
  <c r="I734" i="16"/>
  <c r="E734" i="16"/>
  <c r="A734" i="16"/>
  <c r="V733" i="16"/>
  <c r="R733" i="16"/>
  <c r="N733" i="16"/>
  <c r="J733" i="16"/>
  <c r="F733" i="16"/>
  <c r="B733" i="16"/>
  <c r="W732" i="16"/>
  <c r="S732" i="16"/>
  <c r="O732" i="16"/>
  <c r="K732" i="16"/>
  <c r="G732" i="16"/>
  <c r="C732" i="16"/>
  <c r="X731" i="16"/>
  <c r="T731" i="16"/>
  <c r="P731" i="16"/>
  <c r="L731" i="16"/>
  <c r="H731" i="16"/>
  <c r="D731" i="16"/>
  <c r="Y730" i="16"/>
  <c r="U730" i="16"/>
  <c r="Q730" i="16"/>
  <c r="M730" i="16"/>
  <c r="I730" i="16"/>
  <c r="E730" i="16"/>
  <c r="A730" i="16"/>
  <c r="V729" i="16"/>
  <c r="R729" i="16"/>
  <c r="N729" i="16"/>
  <c r="J729" i="16"/>
  <c r="F729" i="16"/>
  <c r="B729" i="16"/>
  <c r="W728" i="16"/>
  <c r="S728" i="16"/>
  <c r="O728" i="16"/>
  <c r="K728" i="16"/>
  <c r="G728" i="16"/>
  <c r="C728" i="16"/>
  <c r="X727" i="16"/>
  <c r="T727" i="16"/>
  <c r="P727" i="16"/>
  <c r="L727" i="16"/>
  <c r="H727" i="16"/>
  <c r="D727" i="16"/>
  <c r="Y726" i="16"/>
  <c r="U726" i="16"/>
  <c r="Q726" i="16"/>
  <c r="M726" i="16"/>
  <c r="I726" i="16"/>
  <c r="E726" i="16"/>
  <c r="A726" i="16"/>
  <c r="V725" i="16"/>
  <c r="R725" i="16"/>
  <c r="N725" i="16"/>
  <c r="J725" i="16"/>
  <c r="F725" i="16"/>
  <c r="B725" i="16"/>
  <c r="W724" i="16"/>
  <c r="S724" i="16"/>
  <c r="O724" i="16"/>
  <c r="K724" i="16"/>
  <c r="G724" i="16"/>
  <c r="C724" i="16"/>
  <c r="X723" i="16"/>
  <c r="T723" i="16"/>
  <c r="P723" i="16"/>
  <c r="L723" i="16"/>
  <c r="H723" i="16"/>
  <c r="D723" i="16"/>
  <c r="Y722" i="16"/>
  <c r="U722" i="16"/>
  <c r="Q722" i="16"/>
  <c r="M722" i="16"/>
  <c r="I722" i="16"/>
  <c r="E722" i="16"/>
  <c r="A722" i="16"/>
  <c r="V721" i="16"/>
  <c r="R721" i="16"/>
  <c r="N721" i="16"/>
  <c r="J721" i="16"/>
  <c r="F721" i="16"/>
  <c r="B721" i="16"/>
  <c r="W720" i="16"/>
  <c r="S720" i="16"/>
  <c r="O720" i="16"/>
  <c r="K720" i="16"/>
  <c r="G720" i="16"/>
  <c r="C720" i="16"/>
  <c r="X719" i="16"/>
  <c r="T719" i="16"/>
  <c r="P719" i="16"/>
  <c r="L719" i="16"/>
  <c r="H719" i="16"/>
  <c r="D719" i="16"/>
  <c r="Y718" i="16"/>
  <c r="U718" i="16"/>
  <c r="Q718" i="16"/>
  <c r="M718" i="16"/>
  <c r="I718" i="16"/>
  <c r="E718" i="16"/>
  <c r="A718" i="16"/>
  <c r="V717" i="16"/>
  <c r="R717" i="16"/>
  <c r="N717" i="16"/>
  <c r="J717" i="16"/>
  <c r="F717" i="16"/>
  <c r="B717" i="16"/>
  <c r="W716" i="16"/>
  <c r="S716" i="16"/>
  <c r="O716" i="16"/>
  <c r="K716" i="16"/>
  <c r="G716" i="16"/>
  <c r="C716" i="16"/>
  <c r="X715" i="16"/>
  <c r="T715" i="16"/>
  <c r="P715" i="16"/>
  <c r="L715" i="16"/>
  <c r="H715" i="16"/>
  <c r="D715" i="16"/>
  <c r="Y714" i="16"/>
  <c r="U714" i="16"/>
  <c r="Q714" i="16"/>
  <c r="M714" i="16"/>
  <c r="I714" i="16"/>
  <c r="E714" i="16"/>
  <c r="A714" i="16"/>
  <c r="V713" i="16"/>
  <c r="R713" i="16"/>
  <c r="N713" i="16"/>
  <c r="J713" i="16"/>
  <c r="F713" i="16"/>
  <c r="B713" i="16"/>
  <c r="W712" i="16"/>
  <c r="S712" i="16"/>
  <c r="O712" i="16"/>
  <c r="K712" i="16"/>
  <c r="G712" i="16"/>
  <c r="C712" i="16"/>
  <c r="X711" i="16"/>
  <c r="T711" i="16"/>
  <c r="P711" i="16"/>
  <c r="L711" i="16"/>
  <c r="H711" i="16"/>
  <c r="D711" i="16"/>
  <c r="Y710" i="16"/>
  <c r="U710" i="16"/>
  <c r="Q710" i="16"/>
  <c r="M710" i="16"/>
  <c r="I710" i="16"/>
  <c r="E710" i="16"/>
  <c r="A710" i="16"/>
  <c r="V709" i="16"/>
  <c r="R709" i="16"/>
  <c r="N709" i="16"/>
  <c r="J709" i="16"/>
  <c r="F709" i="16"/>
  <c r="B709" i="16"/>
  <c r="W708" i="16"/>
  <c r="S708" i="16"/>
  <c r="O708" i="16"/>
  <c r="K708" i="16"/>
  <c r="G708" i="16"/>
  <c r="C708" i="16"/>
  <c r="X707" i="16"/>
  <c r="T707" i="16"/>
  <c r="P707" i="16"/>
  <c r="L707" i="16"/>
  <c r="H707" i="16"/>
  <c r="D707" i="16"/>
  <c r="Y706" i="16"/>
  <c r="U706" i="16"/>
  <c r="Q706" i="16"/>
  <c r="M706" i="16"/>
  <c r="I706" i="16"/>
  <c r="E706" i="16"/>
  <c r="A706" i="16"/>
  <c r="V705" i="16"/>
  <c r="R705" i="16"/>
  <c r="N705" i="16"/>
  <c r="J705" i="16"/>
  <c r="F705" i="16"/>
  <c r="B705" i="16"/>
  <c r="W704" i="16"/>
  <c r="S704" i="16"/>
  <c r="O704" i="16"/>
  <c r="K704" i="16"/>
  <c r="G704" i="16"/>
  <c r="C704" i="16"/>
  <c r="X703" i="16"/>
  <c r="T703" i="16"/>
  <c r="P703" i="16"/>
  <c r="L703" i="16"/>
  <c r="H703" i="16"/>
  <c r="D703" i="16"/>
  <c r="Y702" i="16"/>
  <c r="U702" i="16"/>
  <c r="Q702" i="16"/>
  <c r="M702" i="16"/>
  <c r="I702" i="16"/>
  <c r="E702" i="16"/>
  <c r="A702" i="16"/>
  <c r="V701" i="16"/>
  <c r="R701" i="16"/>
  <c r="N701" i="16"/>
  <c r="J701" i="16"/>
  <c r="F701" i="16"/>
  <c r="B701" i="16"/>
  <c r="W700" i="16"/>
  <c r="S700" i="16"/>
  <c r="O700" i="16"/>
  <c r="K700" i="16"/>
  <c r="G700" i="16"/>
  <c r="C700" i="16"/>
  <c r="X699" i="16"/>
  <c r="T699" i="16"/>
  <c r="P699" i="16"/>
  <c r="L699" i="16"/>
  <c r="H699" i="16"/>
  <c r="D699" i="16"/>
  <c r="Y698" i="16"/>
  <c r="U698" i="16"/>
  <c r="Q698" i="16"/>
  <c r="M698" i="16"/>
  <c r="I698" i="16"/>
  <c r="E698" i="16"/>
  <c r="A698" i="16"/>
  <c r="V697" i="16"/>
  <c r="R697" i="16"/>
  <c r="N697" i="16"/>
  <c r="J697" i="16"/>
  <c r="F697" i="16"/>
  <c r="B697" i="16"/>
  <c r="W696" i="16"/>
  <c r="S696" i="16"/>
  <c r="O696" i="16"/>
  <c r="K696" i="16"/>
  <c r="G696" i="16"/>
  <c r="C696" i="16"/>
  <c r="X695" i="16"/>
  <c r="T695" i="16"/>
  <c r="P695" i="16"/>
  <c r="L695" i="16"/>
  <c r="H695" i="16"/>
  <c r="D695" i="16"/>
  <c r="Y694" i="16"/>
  <c r="U694" i="16"/>
  <c r="Q694" i="16"/>
  <c r="M694" i="16"/>
  <c r="I694" i="16"/>
  <c r="E694" i="16"/>
  <c r="A694" i="16"/>
  <c r="V693" i="16"/>
  <c r="R693" i="16"/>
  <c r="N693" i="16"/>
  <c r="J693" i="16"/>
  <c r="F693" i="16"/>
  <c r="B693" i="16"/>
  <c r="W692" i="16"/>
  <c r="S692" i="16"/>
  <c r="O692" i="16"/>
  <c r="K692" i="16"/>
  <c r="G692" i="16"/>
  <c r="C692" i="16"/>
  <c r="X691" i="16"/>
  <c r="T691" i="16"/>
  <c r="P691" i="16"/>
  <c r="L691" i="16"/>
  <c r="H691" i="16"/>
  <c r="D691" i="16"/>
  <c r="Y690" i="16"/>
  <c r="U690" i="16"/>
  <c r="Q690" i="16"/>
  <c r="M690" i="16"/>
  <c r="I690" i="16"/>
  <c r="E690" i="16"/>
  <c r="A690" i="16"/>
  <c r="V689" i="16"/>
  <c r="R689" i="16"/>
  <c r="N689" i="16"/>
  <c r="J689" i="16"/>
  <c r="F689" i="16"/>
  <c r="B689" i="16"/>
  <c r="W688" i="16"/>
  <c r="S688" i="16"/>
  <c r="O688" i="16"/>
  <c r="K688" i="16"/>
  <c r="G688" i="16"/>
  <c r="C688" i="16"/>
  <c r="X687" i="16"/>
  <c r="T687" i="16"/>
  <c r="P687" i="16"/>
  <c r="L687" i="16"/>
  <c r="H687" i="16"/>
  <c r="D687" i="16"/>
  <c r="Y686" i="16"/>
  <c r="U686" i="16"/>
  <c r="Q686" i="16"/>
  <c r="M686" i="16"/>
  <c r="I686" i="16"/>
  <c r="E686" i="16"/>
  <c r="A686" i="16"/>
  <c r="V685" i="16"/>
  <c r="R685" i="16"/>
  <c r="N685" i="16"/>
  <c r="J685" i="16"/>
  <c r="F685" i="16"/>
  <c r="B685" i="16"/>
  <c r="W684" i="16"/>
  <c r="S684" i="16"/>
  <c r="O684" i="16"/>
  <c r="K684" i="16"/>
  <c r="G684" i="16"/>
  <c r="C684" i="16"/>
  <c r="X683" i="16"/>
  <c r="T683" i="16"/>
  <c r="P683" i="16"/>
  <c r="L683" i="16"/>
  <c r="H683" i="16"/>
  <c r="D683" i="16"/>
  <c r="Y682" i="16"/>
  <c r="U682" i="16"/>
  <c r="Q682" i="16"/>
  <c r="M682" i="16"/>
  <c r="I682" i="16"/>
  <c r="E682" i="16"/>
  <c r="A682" i="16"/>
  <c r="V681" i="16"/>
  <c r="R681" i="16"/>
  <c r="N681" i="16"/>
  <c r="J681" i="16"/>
  <c r="F681" i="16"/>
  <c r="B681" i="16"/>
  <c r="W680" i="16"/>
  <c r="S680" i="16"/>
  <c r="O680" i="16"/>
  <c r="K680" i="16"/>
  <c r="G680" i="16"/>
  <c r="C680" i="16"/>
  <c r="X679" i="16"/>
  <c r="T679" i="16"/>
  <c r="P679" i="16"/>
  <c r="L679" i="16"/>
  <c r="H679" i="16"/>
  <c r="D679" i="16"/>
  <c r="Y678" i="16"/>
  <c r="U678" i="16"/>
  <c r="Q678" i="16"/>
  <c r="M678" i="16"/>
  <c r="I678" i="16"/>
  <c r="E678" i="16"/>
  <c r="A678" i="16"/>
  <c r="V677" i="16"/>
  <c r="R677" i="16"/>
  <c r="N677" i="16"/>
  <c r="J677" i="16"/>
  <c r="F677" i="16"/>
  <c r="B677" i="16"/>
  <c r="W676" i="16"/>
  <c r="S676" i="16"/>
  <c r="O676" i="16"/>
  <c r="K676" i="16"/>
  <c r="G676" i="16"/>
  <c r="C676" i="16"/>
  <c r="X675" i="16"/>
  <c r="T675" i="16"/>
  <c r="P675" i="16"/>
  <c r="L675" i="16"/>
  <c r="H675" i="16"/>
  <c r="D675" i="16"/>
  <c r="Y674" i="16"/>
  <c r="U674" i="16"/>
  <c r="Q674" i="16"/>
  <c r="M674" i="16"/>
  <c r="I674" i="16"/>
  <c r="E674" i="16"/>
  <c r="A674" i="16"/>
  <c r="V673" i="16"/>
  <c r="R673" i="16"/>
  <c r="N673" i="16"/>
  <c r="J673" i="16"/>
  <c r="F673" i="16"/>
  <c r="B673" i="16"/>
  <c r="W672" i="16"/>
  <c r="S672" i="16"/>
  <c r="O672" i="16"/>
  <c r="K672" i="16"/>
  <c r="G672" i="16"/>
  <c r="C672" i="16"/>
  <c r="X671" i="16"/>
  <c r="T671" i="16"/>
  <c r="P671" i="16"/>
  <c r="L671" i="16"/>
  <c r="H671" i="16"/>
  <c r="D671" i="16"/>
  <c r="Y670" i="16"/>
  <c r="U670" i="16"/>
  <c r="Q670" i="16"/>
  <c r="M670" i="16"/>
  <c r="I670" i="16"/>
  <c r="E670" i="16"/>
  <c r="A670" i="16"/>
  <c r="V669" i="16"/>
  <c r="R669" i="16"/>
  <c r="N669" i="16"/>
  <c r="J669" i="16"/>
  <c r="F669" i="16"/>
  <c r="B669" i="16"/>
  <c r="W668" i="16"/>
  <c r="S668" i="16"/>
  <c r="O668" i="16"/>
  <c r="K668" i="16"/>
  <c r="G668" i="16"/>
  <c r="C668" i="16"/>
  <c r="X667" i="16"/>
  <c r="T667" i="16"/>
  <c r="P667" i="16"/>
  <c r="L667" i="16"/>
  <c r="H667" i="16"/>
  <c r="D667" i="16"/>
  <c r="Y666" i="16"/>
  <c r="U666" i="16"/>
  <c r="Q666" i="16"/>
  <c r="M666" i="16"/>
  <c r="I666" i="16"/>
  <c r="E666" i="16"/>
  <c r="A666" i="16"/>
  <c r="V665" i="16"/>
  <c r="R665" i="16"/>
  <c r="N665" i="16"/>
  <c r="J665" i="16"/>
  <c r="F665" i="16"/>
  <c r="B665" i="16"/>
  <c r="W664" i="16"/>
  <c r="S664" i="16"/>
  <c r="O664" i="16"/>
  <c r="K664" i="16"/>
  <c r="G664" i="16"/>
  <c r="C664" i="16"/>
  <c r="X663" i="16"/>
  <c r="T663" i="16"/>
  <c r="P663" i="16"/>
  <c r="L663" i="16"/>
  <c r="H663" i="16"/>
  <c r="D663" i="16"/>
  <c r="Y662" i="16"/>
  <c r="U662" i="16"/>
  <c r="Q662" i="16"/>
  <c r="M662" i="16"/>
  <c r="I662" i="16"/>
  <c r="E662" i="16"/>
  <c r="A662" i="16"/>
  <c r="V661" i="16"/>
  <c r="R661" i="16"/>
  <c r="N661" i="16"/>
  <c r="J661" i="16"/>
  <c r="F661" i="16"/>
  <c r="B661" i="16"/>
  <c r="W660" i="16"/>
  <c r="S660" i="16"/>
  <c r="O660" i="16"/>
  <c r="K660" i="16"/>
  <c r="G660" i="16"/>
  <c r="C660" i="16"/>
  <c r="X659" i="16"/>
  <c r="T659" i="16"/>
  <c r="P659" i="16"/>
  <c r="L659" i="16"/>
  <c r="H659" i="16"/>
  <c r="D659" i="16"/>
  <c r="Y658" i="16"/>
  <c r="U658" i="16"/>
  <c r="Q658" i="16"/>
  <c r="M658" i="16"/>
  <c r="I658" i="16"/>
  <c r="E658" i="16"/>
  <c r="A658" i="16"/>
  <c r="V657" i="16"/>
  <c r="R657" i="16"/>
  <c r="N657" i="16"/>
  <c r="J657" i="16"/>
  <c r="F657" i="16"/>
  <c r="B657" i="16"/>
  <c r="W656" i="16"/>
  <c r="S656" i="16"/>
  <c r="O656" i="16"/>
  <c r="K656" i="16"/>
  <c r="G656" i="16"/>
  <c r="C656" i="16"/>
  <c r="X655" i="16"/>
  <c r="T655" i="16"/>
  <c r="P655" i="16"/>
  <c r="L655" i="16"/>
  <c r="H655" i="16"/>
  <c r="D655" i="16"/>
  <c r="Y654" i="16"/>
  <c r="U654" i="16"/>
  <c r="Q654" i="16"/>
  <c r="M654" i="16"/>
  <c r="I654" i="16"/>
  <c r="E654" i="16"/>
  <c r="A654" i="16"/>
  <c r="V653" i="16"/>
  <c r="R653" i="16"/>
  <c r="N653" i="16"/>
  <c r="J653" i="16"/>
  <c r="F653" i="16"/>
  <c r="B653" i="16"/>
  <c r="W652" i="16"/>
  <c r="S652" i="16"/>
  <c r="O652" i="16"/>
  <c r="K652" i="16"/>
  <c r="G652" i="16"/>
  <c r="C652" i="16"/>
  <c r="X651" i="16"/>
  <c r="T651" i="16"/>
  <c r="P651" i="16"/>
  <c r="L651" i="16"/>
  <c r="H651" i="16"/>
  <c r="D651" i="16"/>
  <c r="Y650" i="16"/>
  <c r="U650" i="16"/>
  <c r="Q650" i="16"/>
  <c r="M650" i="16"/>
  <c r="I650" i="16"/>
  <c r="E650" i="16"/>
  <c r="A650" i="16"/>
  <c r="V649" i="16"/>
  <c r="R649" i="16"/>
  <c r="N649" i="16"/>
  <c r="J649" i="16"/>
  <c r="F649" i="16"/>
  <c r="B649" i="16"/>
  <c r="W648" i="16"/>
  <c r="S648" i="16"/>
  <c r="O648" i="16"/>
  <c r="K648" i="16"/>
  <c r="G648" i="16"/>
  <c r="C648" i="16"/>
  <c r="X647" i="16"/>
  <c r="T647" i="16"/>
  <c r="P647" i="16"/>
  <c r="L647" i="16"/>
  <c r="H647" i="16"/>
  <c r="D647" i="16"/>
  <c r="Y646" i="16"/>
  <c r="U646" i="16"/>
  <c r="Q646" i="16"/>
  <c r="M646" i="16"/>
  <c r="I646" i="16"/>
  <c r="E646" i="16"/>
  <c r="A646" i="16"/>
  <c r="V645" i="16"/>
  <c r="R645" i="16"/>
  <c r="N645" i="16"/>
  <c r="J645" i="16"/>
  <c r="F645" i="16"/>
  <c r="B645" i="16"/>
  <c r="W644" i="16"/>
  <c r="S644" i="16"/>
  <c r="O644" i="16"/>
  <c r="K644" i="16"/>
  <c r="G644" i="16"/>
  <c r="C644" i="16"/>
  <c r="X643" i="16"/>
  <c r="T643" i="16"/>
  <c r="P643" i="16"/>
  <c r="L643" i="16"/>
  <c r="H643" i="16"/>
  <c r="D643" i="16"/>
  <c r="Y642" i="16"/>
  <c r="U642" i="16"/>
  <c r="Q642" i="16"/>
  <c r="M642" i="16"/>
  <c r="I642" i="16"/>
  <c r="E642" i="16"/>
  <c r="A642" i="16"/>
  <c r="V641" i="16"/>
  <c r="R641" i="16"/>
  <c r="N641" i="16"/>
  <c r="J641" i="16"/>
  <c r="F641" i="16"/>
  <c r="B641" i="16"/>
  <c r="W640" i="16"/>
  <c r="S640" i="16"/>
  <c r="O640" i="16"/>
  <c r="K640" i="16"/>
  <c r="G640" i="16"/>
  <c r="C640" i="16"/>
  <c r="X639" i="16"/>
  <c r="T639" i="16"/>
  <c r="P639" i="16"/>
  <c r="L639" i="16"/>
  <c r="H639" i="16"/>
  <c r="D639" i="16"/>
  <c r="Y638" i="16"/>
  <c r="U638" i="16"/>
  <c r="Q638" i="16"/>
  <c r="M638" i="16"/>
  <c r="I638" i="16"/>
  <c r="E638" i="16"/>
  <c r="A638" i="16"/>
  <c r="V637" i="16"/>
  <c r="R637" i="16"/>
  <c r="N637" i="16"/>
  <c r="J637" i="16"/>
  <c r="F637" i="16"/>
  <c r="B637" i="16"/>
  <c r="W636" i="16"/>
  <c r="S636" i="16"/>
  <c r="O636" i="16"/>
  <c r="K636" i="16"/>
  <c r="G636" i="16"/>
  <c r="C636" i="16"/>
  <c r="X635" i="16"/>
  <c r="T635" i="16"/>
  <c r="P635" i="16"/>
  <c r="L635" i="16"/>
  <c r="H635" i="16"/>
  <c r="D635" i="16"/>
  <c r="Y634" i="16"/>
  <c r="U634" i="16"/>
  <c r="Q634" i="16"/>
  <c r="M634" i="16"/>
  <c r="I634" i="16"/>
  <c r="E634" i="16"/>
  <c r="A634" i="16"/>
  <c r="V633" i="16"/>
  <c r="R633" i="16"/>
  <c r="N633" i="16"/>
  <c r="J633" i="16"/>
  <c r="F633" i="16"/>
  <c r="B633" i="16"/>
  <c r="W632" i="16"/>
  <c r="S632" i="16"/>
  <c r="O632" i="16"/>
  <c r="K632" i="16"/>
  <c r="G632" i="16"/>
  <c r="C632" i="16"/>
  <c r="X631" i="16"/>
  <c r="T631" i="16"/>
  <c r="P631" i="16"/>
  <c r="L631" i="16"/>
  <c r="H631" i="16"/>
  <c r="D631" i="16"/>
  <c r="Y630" i="16"/>
  <c r="U630" i="16"/>
  <c r="Q630" i="16"/>
  <c r="M630" i="16"/>
  <c r="I630" i="16"/>
  <c r="E630" i="16"/>
  <c r="A630" i="16"/>
  <c r="V629" i="16"/>
  <c r="R629" i="16"/>
  <c r="N629" i="16"/>
  <c r="J629" i="16"/>
  <c r="F629" i="16"/>
  <c r="B629" i="16"/>
  <c r="W628" i="16"/>
  <c r="S628" i="16"/>
  <c r="O628" i="16"/>
  <c r="K628" i="16"/>
  <c r="G628" i="16"/>
  <c r="C628" i="16"/>
  <c r="X627" i="16"/>
  <c r="T627" i="16"/>
  <c r="P627" i="16"/>
  <c r="L627" i="16"/>
  <c r="H627" i="16"/>
  <c r="D627" i="16"/>
  <c r="Y626" i="16"/>
  <c r="U626" i="16"/>
  <c r="Q626" i="16"/>
  <c r="M626" i="16"/>
  <c r="I626" i="16"/>
  <c r="E626" i="16"/>
  <c r="A626" i="16"/>
  <c r="V625" i="16"/>
  <c r="R625" i="16"/>
  <c r="N625" i="16"/>
  <c r="Y1167" i="16"/>
  <c r="D1167" i="16"/>
  <c r="B1166" i="16"/>
  <c r="J1165" i="16"/>
  <c r="M1164" i="16"/>
  <c r="L1163" i="16"/>
  <c r="O1162" i="16"/>
  <c r="T1161" i="16"/>
  <c r="T1160" i="16"/>
  <c r="X1159" i="16"/>
  <c r="Y1158" i="16"/>
  <c r="A1158" i="16"/>
  <c r="G1157" i="16"/>
  <c r="H1156" i="16"/>
  <c r="J1155" i="16"/>
  <c r="J1154" i="16"/>
  <c r="V1153" i="16"/>
  <c r="C1153" i="16"/>
  <c r="K1152" i="16"/>
  <c r="T1151" i="16"/>
  <c r="Y1150" i="16"/>
  <c r="L1150" i="16"/>
  <c r="U1149" i="16"/>
  <c r="A1149" i="16"/>
  <c r="J1148" i="16"/>
  <c r="T1147" i="16"/>
  <c r="A1147" i="16"/>
  <c r="J1146" i="16"/>
  <c r="S1145" i="16"/>
  <c r="X1144" i="16"/>
  <c r="J1144" i="16"/>
  <c r="S1143" i="16"/>
  <c r="Y1142" i="16"/>
  <c r="I1142" i="16"/>
  <c r="S1141" i="16"/>
  <c r="X1140" i="16"/>
  <c r="H1140" i="16"/>
  <c r="P1139" i="16"/>
  <c r="X1138" i="16"/>
  <c r="I1138" i="16"/>
  <c r="Q1137" i="16"/>
  <c r="A1137" i="16"/>
  <c r="M1136" i="16"/>
  <c r="B1136" i="16"/>
  <c r="N1135" i="16"/>
  <c r="A1135" i="16"/>
  <c r="N1134" i="16"/>
  <c r="X1133" i="16"/>
  <c r="M1133" i="16"/>
  <c r="A1133" i="16"/>
  <c r="L1132" i="16"/>
  <c r="Y1131" i="16"/>
  <c r="N1131" i="16"/>
  <c r="X1130" i="16"/>
  <c r="L1130" i="16"/>
  <c r="Y1129" i="16"/>
  <c r="K1129" i="16"/>
  <c r="Y1128" i="16"/>
  <c r="M1128" i="16"/>
  <c r="W1127" i="16"/>
  <c r="K1127" i="16"/>
  <c r="A1127" i="16"/>
  <c r="K1126" i="16"/>
  <c r="X1125" i="16"/>
  <c r="K1125" i="16"/>
  <c r="V1124" i="16"/>
  <c r="L1124" i="16"/>
  <c r="W1123" i="16"/>
  <c r="J1123" i="16"/>
  <c r="V1122" i="16"/>
  <c r="K1122" i="16"/>
  <c r="W1121" i="16"/>
  <c r="I1121" i="16"/>
  <c r="V1120" i="16"/>
  <c r="H1120" i="16"/>
  <c r="V1119" i="16"/>
  <c r="J1119" i="16"/>
  <c r="T1118" i="16"/>
  <c r="H1118" i="16"/>
  <c r="W1117" i="16"/>
  <c r="H1117" i="16"/>
  <c r="U1116" i="16"/>
  <c r="I1116" i="16"/>
  <c r="S1115" i="16"/>
  <c r="I1115" i="16"/>
  <c r="M1167" i="16"/>
  <c r="N1166" i="16"/>
  <c r="T1165" i="16"/>
  <c r="U1164" i="16"/>
  <c r="X1163" i="16"/>
  <c r="B1163" i="16"/>
  <c r="A1162" i="16"/>
  <c r="F1161" i="16"/>
  <c r="I1160" i="16"/>
  <c r="J1159" i="16"/>
  <c r="N1158" i="16"/>
  <c r="S1157" i="16"/>
  <c r="Q1156" i="16"/>
  <c r="U1155" i="16"/>
  <c r="Y1154" i="16"/>
  <c r="B1154" i="16"/>
  <c r="M1153" i="16"/>
  <c r="V1152" i="16"/>
  <c r="B1152" i="16"/>
  <c r="K1151" i="16"/>
  <c r="V1150" i="16"/>
  <c r="B1150" i="16"/>
  <c r="K1149" i="16"/>
  <c r="S1148" i="16"/>
  <c r="Y1147" i="16"/>
  <c r="L1147" i="16"/>
  <c r="R1146" i="16"/>
  <c r="A1146" i="16"/>
  <c r="I1145" i="16"/>
  <c r="S1144" i="16"/>
  <c r="B1144" i="16"/>
  <c r="H1143" i="16"/>
  <c r="Q1142" i="16"/>
  <c r="W1141" i="16"/>
  <c r="I1141" i="16"/>
  <c r="R1140" i="16"/>
  <c r="W1139" i="16"/>
  <c r="G1139" i="16"/>
  <c r="R1138" i="16"/>
  <c r="W1137" i="16"/>
  <c r="H1137" i="16"/>
  <c r="U1136" i="16"/>
  <c r="F1136" i="16"/>
  <c r="U1135" i="16"/>
  <c r="I1135" i="16"/>
  <c r="S1134" i="16"/>
  <c r="G1134" i="16"/>
  <c r="U1133" i="16"/>
  <c r="G1133" i="16"/>
  <c r="T1132" i="16"/>
  <c r="F1132" i="16"/>
  <c r="R1131" i="16"/>
  <c r="G1131" i="16"/>
  <c r="S1130" i="16"/>
  <c r="F1130" i="16"/>
  <c r="Q1129" i="16"/>
  <c r="G1129" i="16"/>
  <c r="R1128" i="16"/>
  <c r="E1128" i="16"/>
  <c r="R1127" i="16"/>
  <c r="C1127" i="16"/>
  <c r="R1126" i="16"/>
  <c r="F1126" i="16"/>
  <c r="P1125" i="16"/>
  <c r="D1125" i="16"/>
  <c r="R1124" i="16"/>
  <c r="D1124" i="16"/>
  <c r="Q1123" i="16"/>
  <c r="E1123" i="16"/>
  <c r="O1122" i="16"/>
  <c r="D1122" i="16"/>
  <c r="Q1121" i="16"/>
  <c r="C1121" i="16"/>
  <c r="P1120" i="16"/>
  <c r="E1120" i="16"/>
  <c r="O1119" i="16"/>
  <c r="C1119" i="16"/>
  <c r="O1118" i="16"/>
  <c r="B1118" i="16"/>
  <c r="P1117" i="16"/>
  <c r="C1117" i="16"/>
  <c r="N1116" i="16"/>
  <c r="A1116" i="16"/>
  <c r="O1115" i="16"/>
  <c r="B1115" i="16"/>
  <c r="N1114" i="16"/>
  <c r="B1114" i="16"/>
  <c r="L1113" i="16"/>
  <c r="A1113" i="16"/>
  <c r="N1112" i="16"/>
  <c r="Y1111" i="16"/>
  <c r="M1111" i="16"/>
  <c r="B1111" i="16"/>
  <c r="L1110" i="16"/>
  <c r="Y1109" i="16"/>
  <c r="M1109" i="16"/>
  <c r="X1108" i="16"/>
  <c r="M1108" i="16"/>
  <c r="A1108" i="16"/>
  <c r="K1107" i="16"/>
  <c r="X1106" i="16"/>
  <c r="N1106" i="16"/>
  <c r="X1105" i="16"/>
  <c r="L1105" i="16"/>
  <c r="X1104" i="16"/>
  <c r="J1104" i="16"/>
  <c r="Y1103" i="16"/>
  <c r="K1103" i="16"/>
  <c r="Y1102" i="16"/>
  <c r="O1102" i="16"/>
  <c r="G1102" i="16"/>
  <c r="V1101" i="16"/>
  <c r="L1101" i="16"/>
  <c r="C1101" i="16"/>
  <c r="Q1100" i="16"/>
  <c r="I1100" i="16"/>
  <c r="Y1099" i="16"/>
  <c r="N1099" i="16"/>
  <c r="E1099" i="16"/>
  <c r="V1098" i="16"/>
  <c r="K1098" i="16"/>
  <c r="B1098" i="16"/>
  <c r="R1097" i="16"/>
  <c r="G1097" i="16"/>
  <c r="X1096" i="16"/>
  <c r="O1096" i="16"/>
  <c r="D1096" i="16"/>
  <c r="T1095" i="16"/>
  <c r="L1095" i="16"/>
  <c r="A1095" i="16"/>
  <c r="Q1094" i="16"/>
  <c r="G1094" i="16"/>
  <c r="V1093" i="16"/>
  <c r="N1093" i="16"/>
  <c r="D1093" i="16"/>
  <c r="S1092" i="16"/>
  <c r="I1092" i="16"/>
  <c r="A1092" i="16"/>
  <c r="P1091" i="16"/>
  <c r="F1091" i="16"/>
  <c r="V1090" i="16"/>
  <c r="K1090" i="16"/>
  <c r="C1090" i="16"/>
  <c r="S1089" i="16"/>
  <c r="H1089" i="16"/>
  <c r="X1088" i="16"/>
  <c r="P1088" i="16"/>
  <c r="E1088" i="16"/>
  <c r="U1087" i="16"/>
  <c r="L1087" i="16"/>
  <c r="A1087" i="16"/>
  <c r="R1086" i="16"/>
  <c r="I1086" i="16"/>
  <c r="W1085" i="16"/>
  <c r="N1085" i="16"/>
  <c r="F1085" i="16"/>
  <c r="T1084" i="16"/>
  <c r="K1084" i="16"/>
  <c r="A1084" i="16"/>
  <c r="P1083" i="16"/>
  <c r="H1083" i="16"/>
  <c r="W1082" i="16"/>
  <c r="M1082" i="16"/>
  <c r="C1082" i="16"/>
  <c r="T1081" i="16"/>
  <c r="J1081" i="16"/>
  <c r="Y1080" i="16"/>
  <c r="P1080" i="16"/>
  <c r="E1080" i="16"/>
  <c r="V1079" i="16"/>
  <c r="M1079" i="16"/>
  <c r="B1079" i="16"/>
  <c r="R1078" i="16"/>
  <c r="J1078" i="16"/>
  <c r="X1077" i="16"/>
  <c r="O1077" i="16"/>
  <c r="F1077" i="16"/>
  <c r="T1076" i="16"/>
  <c r="L1076" i="16"/>
  <c r="C1076" i="16"/>
  <c r="Q1075" i="16"/>
  <c r="H1075" i="16"/>
  <c r="Y1074" i="16"/>
  <c r="N1074" i="16"/>
  <c r="E1074" i="16"/>
  <c r="T1073" i="16"/>
  <c r="J1073" i="16"/>
  <c r="B1073" i="16"/>
  <c r="Q1072" i="16"/>
  <c r="G1072" i="16"/>
  <c r="V1071" i="16"/>
  <c r="N1071" i="16"/>
  <c r="D1071" i="16"/>
  <c r="S1070" i="16"/>
  <c r="J1070" i="16"/>
  <c r="X1069" i="16"/>
  <c r="P1069" i="16"/>
  <c r="G1069" i="16"/>
  <c r="U1068" i="16"/>
  <c r="L1068" i="16"/>
  <c r="D1068" i="16"/>
  <c r="R1067" i="16"/>
  <c r="I1067" i="16"/>
  <c r="Y1066" i="16"/>
  <c r="N1066" i="16"/>
  <c r="F1066" i="16"/>
  <c r="V1065" i="16"/>
  <c r="K1065" i="16"/>
  <c r="B1065" i="16"/>
  <c r="S1064" i="16"/>
  <c r="H1064" i="16"/>
  <c r="X1063" i="16"/>
  <c r="N1063" i="16"/>
  <c r="D1063" i="16"/>
  <c r="U1062" i="16"/>
  <c r="K1062" i="16"/>
  <c r="A1062" i="16"/>
  <c r="P1061" i="16"/>
  <c r="H1061" i="16"/>
  <c r="W1060" i="16"/>
  <c r="M1060" i="16"/>
  <c r="D1060" i="16"/>
  <c r="R1059" i="16"/>
  <c r="J1059" i="16"/>
  <c r="A1059" i="16"/>
  <c r="O1058" i="16"/>
  <c r="F1058" i="16"/>
  <c r="W1057" i="16"/>
  <c r="L1057" i="16"/>
  <c r="C1057" i="16"/>
  <c r="S1056" i="16"/>
  <c r="H1056" i="16"/>
  <c r="Y1055" i="16"/>
  <c r="P1055" i="16"/>
  <c r="E1055" i="16"/>
  <c r="U1054" i="16"/>
  <c r="M1054" i="16"/>
  <c r="B1054" i="16"/>
  <c r="R1053" i="16"/>
  <c r="H1053" i="16"/>
  <c r="W1052" i="16"/>
  <c r="O1052" i="16"/>
  <c r="E1052" i="16"/>
  <c r="T1051" i="16"/>
  <c r="J1051" i="16"/>
  <c r="B1051" i="16"/>
  <c r="Q1050" i="16"/>
  <c r="G1050" i="16"/>
  <c r="W1049" i="16"/>
  <c r="L1049" i="16"/>
  <c r="D1049" i="16"/>
  <c r="T1048" i="16"/>
  <c r="I1048" i="16"/>
  <c r="Y1047" i="16"/>
  <c r="Q1047" i="16"/>
  <c r="F1047" i="16"/>
  <c r="V1046" i="16"/>
  <c r="M1046" i="16"/>
  <c r="B1046" i="16"/>
  <c r="S1045" i="16"/>
  <c r="J1045" i="16"/>
  <c r="X1044" i="16"/>
  <c r="O1044" i="16"/>
  <c r="G1044" i="16"/>
  <c r="U1043" i="16"/>
  <c r="L1043" i="16"/>
  <c r="B1043" i="16"/>
  <c r="Q1042" i="16"/>
  <c r="I1042" i="16"/>
  <c r="X1041" i="16"/>
  <c r="N1041" i="16"/>
  <c r="D1041" i="16"/>
  <c r="U1040" i="16"/>
  <c r="K1040" i="16"/>
  <c r="A1040" i="16"/>
  <c r="Q1039" i="16"/>
  <c r="F1039" i="16"/>
  <c r="W1038" i="16"/>
  <c r="N1038" i="16"/>
  <c r="C1038" i="16"/>
  <c r="S1037" i="16"/>
  <c r="K1037" i="16"/>
  <c r="Y1036" i="16"/>
  <c r="P1036" i="16"/>
  <c r="G1036" i="16"/>
  <c r="U1035" i="16"/>
  <c r="M1035" i="16"/>
  <c r="D1035" i="16"/>
  <c r="T1034" i="16"/>
  <c r="M1034" i="16"/>
  <c r="G1034" i="16"/>
  <c r="X1033" i="16"/>
  <c r="Q1033" i="16"/>
  <c r="J1033" i="16"/>
  <c r="B1033" i="16"/>
  <c r="U1032" i="16"/>
  <c r="N1032" i="16"/>
  <c r="F1032" i="16"/>
  <c r="X1031" i="16"/>
  <c r="R1031" i="16"/>
  <c r="J1031" i="16"/>
  <c r="C1031" i="16"/>
  <c r="U1030" i="16"/>
  <c r="M1030" i="16"/>
  <c r="G1030" i="16"/>
  <c r="Y1029" i="16"/>
  <c r="Q1029" i="16"/>
  <c r="J1029" i="16"/>
  <c r="D1029" i="16"/>
  <c r="U1028" i="16"/>
  <c r="N1028" i="16"/>
  <c r="G1028" i="16"/>
  <c r="X1027" i="16"/>
  <c r="R1027" i="16"/>
  <c r="K1027" i="16"/>
  <c r="C1027" i="16"/>
  <c r="U1026" i="16"/>
  <c r="O1026" i="16"/>
  <c r="G1026" i="16"/>
  <c r="Y1025" i="16"/>
  <c r="R1025" i="16"/>
  <c r="J1025" i="16"/>
  <c r="D1025" i="16"/>
  <c r="V1024" i="16"/>
  <c r="N1024" i="16"/>
  <c r="G1024" i="16"/>
  <c r="A1024" i="16"/>
  <c r="R1023" i="16"/>
  <c r="K1023" i="16"/>
  <c r="D1023" i="16"/>
  <c r="U1022" i="16"/>
  <c r="O1022" i="16"/>
  <c r="H1022" i="16"/>
  <c r="Y1021" i="16"/>
  <c r="R1021" i="16"/>
  <c r="L1021" i="16"/>
  <c r="D1021" i="16"/>
  <c r="V1020" i="16"/>
  <c r="O1020" i="16"/>
  <c r="G1020" i="16"/>
  <c r="A1020" i="16"/>
  <c r="S1019" i="16"/>
  <c r="K1019" i="16"/>
  <c r="D1019" i="16"/>
  <c r="W1018" i="16"/>
  <c r="O1018" i="16"/>
  <c r="H1018" i="16"/>
  <c r="A1018" i="16"/>
  <c r="R1017" i="16"/>
  <c r="L1017" i="16"/>
  <c r="E1017" i="16"/>
  <c r="V1016" i="16"/>
  <c r="O1016" i="16"/>
  <c r="I1016" i="16"/>
  <c r="A1016" i="16"/>
  <c r="S1015" i="16"/>
  <c r="L1015" i="16"/>
  <c r="D1015" i="16"/>
  <c r="W1014" i="16"/>
  <c r="P1014" i="16"/>
  <c r="H1014" i="16"/>
  <c r="A1014" i="16"/>
  <c r="T1013" i="16"/>
  <c r="L1013" i="16"/>
  <c r="E1013" i="16"/>
  <c r="W1012" i="16"/>
  <c r="O1012" i="16"/>
  <c r="I1012" i="16"/>
  <c r="B1012" i="16"/>
  <c r="S1011" i="16"/>
  <c r="L1011" i="16"/>
  <c r="F1011" i="16"/>
  <c r="W1010" i="16"/>
  <c r="P1010" i="16"/>
  <c r="I1010" i="16"/>
  <c r="A1010" i="16"/>
  <c r="T1009" i="16"/>
  <c r="M1009" i="16"/>
  <c r="E1009" i="16"/>
  <c r="W1008" i="16"/>
  <c r="Q1008" i="16"/>
  <c r="I1008" i="16"/>
  <c r="B1008" i="16"/>
  <c r="T1007" i="16"/>
  <c r="L1007" i="16"/>
  <c r="F1007" i="16"/>
  <c r="X1006" i="16"/>
  <c r="P1006" i="16"/>
  <c r="I1006" i="16"/>
  <c r="C1006" i="16"/>
  <c r="T1005" i="16"/>
  <c r="M1005" i="16"/>
  <c r="F1005" i="16"/>
  <c r="W1004" i="16"/>
  <c r="Q1004" i="16"/>
  <c r="J1004" i="16"/>
  <c r="B1004" i="16"/>
  <c r="T1003" i="16"/>
  <c r="N1003" i="16"/>
  <c r="F1003" i="16"/>
  <c r="X1002" i="16"/>
  <c r="Q1002" i="16"/>
  <c r="I1002" i="16"/>
  <c r="C1002" i="16"/>
  <c r="U1001" i="16"/>
  <c r="M1001" i="16"/>
  <c r="F1001" i="16"/>
  <c r="Y1000" i="16"/>
  <c r="Q1000" i="16"/>
  <c r="J1000" i="16"/>
  <c r="C1000" i="16"/>
  <c r="T999" i="16"/>
  <c r="N999" i="16"/>
  <c r="G999" i="16"/>
  <c r="X998" i="16"/>
  <c r="Q998" i="16"/>
  <c r="K998" i="16"/>
  <c r="C998" i="16"/>
  <c r="U997" i="16"/>
  <c r="N997" i="16"/>
  <c r="F997" i="16"/>
  <c r="Y996" i="16"/>
  <c r="R996" i="16"/>
  <c r="J996" i="16"/>
  <c r="C996" i="16"/>
  <c r="V995" i="16"/>
  <c r="N995" i="16"/>
  <c r="G995" i="16"/>
  <c r="Y994" i="16"/>
  <c r="Q994" i="16"/>
  <c r="K994" i="16"/>
  <c r="D994" i="16"/>
  <c r="U993" i="16"/>
  <c r="N993" i="16"/>
  <c r="H993" i="16"/>
  <c r="Y992" i="16"/>
  <c r="R992" i="16"/>
  <c r="K992" i="16"/>
  <c r="C992" i="16"/>
  <c r="V991" i="16"/>
  <c r="O991" i="16"/>
  <c r="G991" i="16"/>
  <c r="Y990" i="16"/>
  <c r="S990" i="16"/>
  <c r="K990" i="16"/>
  <c r="D990" i="16"/>
  <c r="V989" i="16"/>
  <c r="N989" i="16"/>
  <c r="H989" i="16"/>
  <c r="A989" i="16"/>
  <c r="R988" i="16"/>
  <c r="K988" i="16"/>
  <c r="E988" i="16"/>
  <c r="V987" i="16"/>
  <c r="O987" i="16"/>
  <c r="H987" i="16"/>
  <c r="Y986" i="16"/>
  <c r="S986" i="16"/>
  <c r="L986" i="16"/>
  <c r="D986" i="16"/>
  <c r="V985" i="16"/>
  <c r="P985" i="16"/>
  <c r="H985" i="16"/>
  <c r="A985" i="16"/>
  <c r="S984" i="16"/>
  <c r="K984" i="16"/>
  <c r="E984" i="16"/>
  <c r="W983" i="16"/>
  <c r="O983" i="16"/>
  <c r="H983" i="16"/>
  <c r="B983" i="16"/>
  <c r="S982" i="16"/>
  <c r="L982" i="16"/>
  <c r="E982" i="16"/>
  <c r="V981" i="16"/>
  <c r="P981" i="16"/>
  <c r="I981" i="16"/>
  <c r="A981" i="16"/>
  <c r="S980" i="16"/>
  <c r="M980" i="16"/>
  <c r="E980" i="16"/>
  <c r="W979" i="16"/>
  <c r="P979" i="16"/>
  <c r="H979" i="16"/>
  <c r="B979" i="16"/>
  <c r="T978" i="16"/>
  <c r="L978" i="16"/>
  <c r="E978" i="16"/>
  <c r="X977" i="16"/>
  <c r="P977" i="16"/>
  <c r="I977" i="16"/>
  <c r="B977" i="16"/>
  <c r="S976" i="16"/>
  <c r="M976" i="16"/>
  <c r="F976" i="16"/>
  <c r="W975" i="16"/>
  <c r="P975" i="16"/>
  <c r="J975" i="16"/>
  <c r="B975" i="16"/>
  <c r="T974" i="16"/>
  <c r="M974" i="16"/>
  <c r="E974" i="16"/>
  <c r="X973" i="16"/>
  <c r="Q973" i="16"/>
  <c r="I973" i="16"/>
  <c r="B973" i="16"/>
  <c r="U972" i="16"/>
  <c r="M972" i="16"/>
  <c r="F972" i="16"/>
  <c r="X971" i="16"/>
  <c r="P971" i="16"/>
  <c r="J971" i="16"/>
  <c r="C971" i="16"/>
  <c r="T970" i="16"/>
  <c r="M970" i="16"/>
  <c r="G970" i="16"/>
  <c r="X969" i="16"/>
  <c r="Q969" i="16"/>
  <c r="J969" i="16"/>
  <c r="B969" i="16"/>
  <c r="U968" i="16"/>
  <c r="N968" i="16"/>
  <c r="F968" i="16"/>
  <c r="X967" i="16"/>
  <c r="R967" i="16"/>
  <c r="J967" i="16"/>
  <c r="C967" i="16"/>
  <c r="U966" i="16"/>
  <c r="M966" i="16"/>
  <c r="G966" i="16"/>
  <c r="Y965" i="16"/>
  <c r="Q965" i="16"/>
  <c r="J965" i="16"/>
  <c r="D965" i="16"/>
  <c r="U964" i="16"/>
  <c r="N964" i="16"/>
  <c r="G964" i="16"/>
  <c r="X963" i="16"/>
  <c r="R963" i="16"/>
  <c r="K963" i="16"/>
  <c r="C963" i="16"/>
  <c r="U962" i="16"/>
  <c r="O962" i="16"/>
  <c r="G962" i="16"/>
  <c r="Y961" i="16"/>
  <c r="R961" i="16"/>
  <c r="J961" i="16"/>
  <c r="D961" i="16"/>
  <c r="V960" i="16"/>
  <c r="N960" i="16"/>
  <c r="G960" i="16"/>
  <c r="A960" i="16"/>
  <c r="R959" i="16"/>
  <c r="K959" i="16"/>
  <c r="D959" i="16"/>
  <c r="U958" i="16"/>
  <c r="O958" i="16"/>
  <c r="H958" i="16"/>
  <c r="Y957" i="16"/>
  <c r="R957" i="16"/>
  <c r="L957" i="16"/>
  <c r="D957" i="16"/>
  <c r="V956" i="16"/>
  <c r="O956" i="16"/>
  <c r="G956" i="16"/>
  <c r="A956" i="16"/>
  <c r="S955" i="16"/>
  <c r="K955" i="16"/>
  <c r="D955" i="16"/>
  <c r="W954" i="16"/>
  <c r="O954" i="16"/>
  <c r="H954" i="16"/>
  <c r="A954" i="16"/>
  <c r="R953" i="16"/>
  <c r="L953" i="16"/>
  <c r="E953" i="16"/>
  <c r="V952" i="16"/>
  <c r="O952" i="16"/>
  <c r="I952" i="16"/>
  <c r="A952" i="16"/>
  <c r="S951" i="16"/>
  <c r="L951" i="16"/>
  <c r="D951" i="16"/>
  <c r="W950" i="16"/>
  <c r="P950" i="16"/>
  <c r="H950" i="16"/>
  <c r="A950" i="16"/>
  <c r="T949" i="16"/>
  <c r="L949" i="16"/>
  <c r="E949" i="16"/>
  <c r="W948" i="16"/>
  <c r="O948" i="16"/>
  <c r="I948" i="16"/>
  <c r="B948" i="16"/>
  <c r="S947" i="16"/>
  <c r="L947" i="16"/>
  <c r="F947" i="16"/>
  <c r="W946" i="16"/>
  <c r="P946" i="16"/>
  <c r="I946" i="16"/>
  <c r="A946" i="16"/>
  <c r="T945" i="16"/>
  <c r="M945" i="16"/>
  <c r="E945" i="16"/>
  <c r="W944" i="16"/>
  <c r="Q944" i="16"/>
  <c r="I944" i="16"/>
  <c r="B944" i="16"/>
  <c r="T943" i="16"/>
  <c r="L943" i="16"/>
  <c r="F943" i="16"/>
  <c r="X942" i="16"/>
  <c r="P942" i="16"/>
  <c r="I942" i="16"/>
  <c r="C942" i="16"/>
  <c r="T941" i="16"/>
  <c r="M941" i="16"/>
  <c r="F941" i="16"/>
  <c r="W940" i="16"/>
  <c r="Q940" i="16"/>
  <c r="J940" i="16"/>
  <c r="B940" i="16"/>
  <c r="T939" i="16"/>
  <c r="N939" i="16"/>
  <c r="F939" i="16"/>
  <c r="X938" i="16"/>
  <c r="Q938" i="16"/>
  <c r="I938" i="16"/>
  <c r="C938" i="16"/>
  <c r="U937" i="16"/>
  <c r="M937" i="16"/>
  <c r="F937" i="16"/>
  <c r="Y936" i="16"/>
  <c r="Q936" i="16"/>
  <c r="J936" i="16"/>
  <c r="C936" i="16"/>
  <c r="T935" i="16"/>
  <c r="N935" i="16"/>
  <c r="G935" i="16"/>
  <c r="X934" i="16"/>
  <c r="Q934" i="16"/>
  <c r="K934" i="16"/>
  <c r="C934" i="16"/>
  <c r="U933" i="16"/>
  <c r="N933" i="16"/>
  <c r="F933" i="16"/>
  <c r="Y932" i="16"/>
  <c r="R932" i="16"/>
  <c r="J932" i="16"/>
  <c r="C932" i="16"/>
  <c r="V931" i="16"/>
  <c r="N931" i="16"/>
  <c r="G931" i="16"/>
  <c r="Y930" i="16"/>
  <c r="Q930" i="16"/>
  <c r="K930" i="16"/>
  <c r="D930" i="16"/>
  <c r="U929" i="16"/>
  <c r="N929" i="16"/>
  <c r="H929" i="16"/>
  <c r="Y928" i="16"/>
  <c r="R928" i="16"/>
  <c r="K928" i="16"/>
  <c r="C928" i="16"/>
  <c r="V927" i="16"/>
  <c r="O927" i="16"/>
  <c r="G927" i="16"/>
  <c r="Y926" i="16"/>
  <c r="S926" i="16"/>
  <c r="K926" i="16"/>
  <c r="D926" i="16"/>
  <c r="V925" i="16"/>
  <c r="N925" i="16"/>
  <c r="H925" i="16"/>
  <c r="A925" i="16"/>
  <c r="R924" i="16"/>
  <c r="K924" i="16"/>
  <c r="E924" i="16"/>
  <c r="V923" i="16"/>
  <c r="O923" i="16"/>
  <c r="H923" i="16"/>
  <c r="Y922" i="16"/>
  <c r="S922" i="16"/>
  <c r="L922" i="16"/>
  <c r="D922" i="16"/>
  <c r="V921" i="16"/>
  <c r="P921" i="16"/>
  <c r="H921" i="16"/>
  <c r="A921" i="16"/>
  <c r="S920" i="16"/>
  <c r="K920" i="16"/>
  <c r="E920" i="16"/>
  <c r="W919" i="16"/>
  <c r="O919" i="16"/>
  <c r="H919" i="16"/>
  <c r="B919" i="16"/>
  <c r="S918" i="16"/>
  <c r="L918" i="16"/>
  <c r="E918" i="16"/>
  <c r="V917" i="16"/>
  <c r="P917" i="16"/>
  <c r="I917" i="16"/>
  <c r="A917" i="16"/>
  <c r="S916" i="16"/>
  <c r="M916" i="16"/>
  <c r="E916" i="16"/>
  <c r="W915" i="16"/>
  <c r="P915" i="16"/>
  <c r="H915" i="16"/>
  <c r="B915" i="16"/>
  <c r="T914" i="16"/>
  <c r="L914" i="16"/>
  <c r="E914" i="16"/>
  <c r="X913" i="16"/>
  <c r="P913" i="16"/>
  <c r="I913" i="16"/>
  <c r="B913" i="16"/>
  <c r="S912" i="16"/>
  <c r="M912" i="16"/>
  <c r="F912" i="16"/>
  <c r="W911" i="16"/>
  <c r="P911" i="16"/>
  <c r="J911" i="16"/>
  <c r="B911" i="16"/>
  <c r="T910" i="16"/>
  <c r="M910" i="16"/>
  <c r="E910" i="16"/>
  <c r="X909" i="16"/>
  <c r="Q909" i="16"/>
  <c r="I909" i="16"/>
  <c r="B909" i="16"/>
  <c r="U908" i="16"/>
  <c r="M908" i="16"/>
  <c r="F908" i="16"/>
  <c r="X907" i="16"/>
  <c r="P907" i="16"/>
  <c r="J907" i="16"/>
  <c r="C907" i="16"/>
  <c r="T906" i="16"/>
  <c r="M906" i="16"/>
  <c r="G906" i="16"/>
  <c r="X905" i="16"/>
  <c r="Q905" i="16"/>
  <c r="J905" i="16"/>
  <c r="B905" i="16"/>
  <c r="U904" i="16"/>
  <c r="N904" i="16"/>
  <c r="F904" i="16"/>
  <c r="X903" i="16"/>
  <c r="R903" i="16"/>
  <c r="J903" i="16"/>
  <c r="C903" i="16"/>
  <c r="U902" i="16"/>
  <c r="M902" i="16"/>
  <c r="G902" i="16"/>
  <c r="Y901" i="16"/>
  <c r="Q901" i="16"/>
  <c r="J901" i="16"/>
  <c r="D901" i="16"/>
  <c r="U900" i="16"/>
  <c r="N900" i="16"/>
  <c r="G900" i="16"/>
  <c r="X899" i="16"/>
  <c r="R899" i="16"/>
  <c r="K899" i="16"/>
  <c r="C899" i="16"/>
  <c r="U898" i="16"/>
  <c r="O898" i="16"/>
  <c r="H898" i="16"/>
  <c r="C898" i="16"/>
  <c r="W897" i="16"/>
  <c r="Q897" i="16"/>
  <c r="L897" i="16"/>
  <c r="G897" i="16"/>
  <c r="A897" i="16"/>
  <c r="U896" i="16"/>
  <c r="P896" i="16"/>
  <c r="J896" i="16"/>
  <c r="E896" i="16"/>
  <c r="Y895" i="16"/>
  <c r="S895" i="16"/>
  <c r="N895" i="16"/>
  <c r="I895" i="16"/>
  <c r="C895" i="16"/>
  <c r="W894" i="16"/>
  <c r="R894" i="16"/>
  <c r="L894" i="16"/>
  <c r="G894" i="16"/>
  <c r="B894" i="16"/>
  <c r="U893" i="16"/>
  <c r="P893" i="16"/>
  <c r="K893" i="16"/>
  <c r="E893" i="16"/>
  <c r="Y892" i="16"/>
  <c r="T892" i="16"/>
  <c r="N892" i="16"/>
  <c r="I892" i="16"/>
  <c r="D892" i="16"/>
  <c r="W891" i="16"/>
  <c r="R891" i="16"/>
  <c r="M891" i="16"/>
  <c r="G891" i="16"/>
  <c r="B891" i="16"/>
  <c r="V890" i="16"/>
  <c r="P890" i="16"/>
  <c r="K890" i="16"/>
  <c r="F890" i="16"/>
  <c r="Y889" i="16"/>
  <c r="T889" i="16"/>
  <c r="O889" i="16"/>
  <c r="I889" i="16"/>
  <c r="D889" i="16"/>
  <c r="X888" i="16"/>
  <c r="R888" i="16"/>
  <c r="M888" i="16"/>
  <c r="H888" i="16"/>
  <c r="B888" i="16"/>
  <c r="V887" i="16"/>
  <c r="Q887" i="16"/>
  <c r="K887" i="16"/>
  <c r="F887" i="16"/>
  <c r="A887" i="16"/>
  <c r="T886" i="16"/>
  <c r="O886" i="16"/>
  <c r="J886" i="16"/>
  <c r="D886" i="16"/>
  <c r="X885" i="16"/>
  <c r="S885" i="16"/>
  <c r="M885" i="16"/>
  <c r="H885" i="16"/>
  <c r="C885" i="16"/>
  <c r="V884" i="16"/>
  <c r="Q884" i="16"/>
  <c r="L884" i="16"/>
  <c r="F884" i="16"/>
  <c r="A884" i="16"/>
  <c r="U883" i="16"/>
  <c r="O883" i="16"/>
  <c r="J883" i="16"/>
  <c r="E883" i="16"/>
  <c r="X882" i="16"/>
  <c r="S882" i="16"/>
  <c r="N882" i="16"/>
  <c r="H882" i="16"/>
  <c r="C882" i="16"/>
  <c r="W881" i="16"/>
  <c r="Q881" i="16"/>
  <c r="L881" i="16"/>
  <c r="G881" i="16"/>
  <c r="A881" i="16"/>
  <c r="U880" i="16"/>
  <c r="P880" i="16"/>
  <c r="J880" i="16"/>
  <c r="E880" i="16"/>
  <c r="Y879" i="16"/>
  <c r="S879" i="16"/>
  <c r="N879" i="16"/>
  <c r="I879" i="16"/>
  <c r="C879" i="16"/>
  <c r="W878" i="16"/>
  <c r="R878" i="16"/>
  <c r="L878" i="16"/>
  <c r="G878" i="16"/>
  <c r="B878" i="16"/>
  <c r="U877" i="16"/>
  <c r="P877" i="16"/>
  <c r="K877" i="16"/>
  <c r="E877" i="16"/>
  <c r="Y876" i="16"/>
  <c r="T876" i="16"/>
  <c r="N876" i="16"/>
  <c r="I876" i="16"/>
  <c r="D876" i="16"/>
  <c r="W875" i="16"/>
  <c r="R875" i="16"/>
  <c r="M875" i="16"/>
  <c r="G875" i="16"/>
  <c r="B875" i="16"/>
  <c r="V874" i="16"/>
  <c r="P874" i="16"/>
  <c r="K874" i="16"/>
  <c r="F874" i="16"/>
  <c r="Y873" i="16"/>
  <c r="T873" i="16"/>
  <c r="O873" i="16"/>
  <c r="I873" i="16"/>
  <c r="D873" i="16"/>
  <c r="X872" i="16"/>
  <c r="R872" i="16"/>
  <c r="M872" i="16"/>
  <c r="H872" i="16"/>
  <c r="B872" i="16"/>
  <c r="V871" i="16"/>
  <c r="Q871" i="16"/>
  <c r="K871" i="16"/>
  <c r="F871" i="16"/>
  <c r="A871" i="16"/>
  <c r="T870" i="16"/>
  <c r="O870" i="16"/>
  <c r="J870" i="16"/>
  <c r="D870" i="16"/>
  <c r="X869" i="16"/>
  <c r="S869" i="16"/>
  <c r="M869" i="16"/>
  <c r="H869" i="16"/>
  <c r="C869" i="16"/>
  <c r="V868" i="16"/>
  <c r="Q868" i="16"/>
  <c r="L868" i="16"/>
  <c r="F868" i="16"/>
  <c r="A868" i="16"/>
  <c r="U867" i="16"/>
  <c r="O867" i="16"/>
  <c r="J867" i="16"/>
  <c r="E867" i="16"/>
  <c r="X866" i="16"/>
  <c r="S866" i="16"/>
  <c r="N866" i="16"/>
  <c r="H866" i="16"/>
  <c r="C866" i="16"/>
  <c r="W865" i="16"/>
  <c r="Q865" i="16"/>
  <c r="L865" i="16"/>
  <c r="G865" i="16"/>
  <c r="A865" i="16"/>
  <c r="U864" i="16"/>
  <c r="P864" i="16"/>
  <c r="J864" i="16"/>
  <c r="E864" i="16"/>
  <c r="Y863" i="16"/>
  <c r="S863" i="16"/>
  <c r="N863" i="16"/>
  <c r="I863" i="16"/>
  <c r="C863" i="16"/>
  <c r="X1167" i="16"/>
  <c r="A1166" i="16"/>
  <c r="C1164" i="16"/>
  <c r="J1162" i="16"/>
  <c r="M1160" i="16"/>
  <c r="U1158" i="16"/>
  <c r="X1156" i="16"/>
  <c r="E1155" i="16"/>
  <c r="N1153" i="16"/>
  <c r="J1152" i="16"/>
  <c r="X1150" i="16"/>
  <c r="M1149" i="16"/>
  <c r="H1148" i="16"/>
  <c r="V1146" i="16"/>
  <c r="N1145" i="16"/>
  <c r="D1144" i="16"/>
  <c r="V1142" i="16"/>
  <c r="M1141" i="16"/>
  <c r="F1140" i="16"/>
  <c r="T1138" i="16"/>
  <c r="I1137" i="16"/>
  <c r="L1136" i="16"/>
  <c r="J1135" i="16"/>
  <c r="J1134" i="16"/>
  <c r="K1133" i="16"/>
  <c r="J1132" i="16"/>
  <c r="I1131" i="16"/>
  <c r="K1130" i="16"/>
  <c r="I1129" i="16"/>
  <c r="H1128" i="16"/>
  <c r="I1127" i="16"/>
  <c r="G1126" i="16"/>
  <c r="H1125" i="16"/>
  <c r="H1124" i="16"/>
  <c r="G1123" i="16"/>
  <c r="F1122" i="16"/>
  <c r="H1121" i="16"/>
  <c r="F1120" i="16"/>
  <c r="E1119" i="16"/>
  <c r="G1118" i="16"/>
  <c r="E1117" i="16"/>
  <c r="E1116" i="16"/>
  <c r="E1115" i="16"/>
  <c r="L1114" i="16"/>
  <c r="T1113" i="16"/>
  <c r="D1113" i="16"/>
  <c r="I1112" i="16"/>
  <c r="S1111" i="16"/>
  <c r="C1111" i="16"/>
  <c r="J1110" i="16"/>
  <c r="S1109" i="16"/>
  <c r="D1109" i="16"/>
  <c r="I1108" i="16"/>
  <c r="R1107" i="16"/>
  <c r="B1107" i="16"/>
  <c r="H1106" i="16"/>
  <c r="S1105" i="16"/>
  <c r="C1105" i="16"/>
  <c r="H1104" i="16"/>
  <c r="Q1103" i="16"/>
  <c r="D1103" i="16"/>
  <c r="N1102" i="16"/>
  <c r="B1102" i="16"/>
  <c r="N1101" i="16"/>
  <c r="Y1100" i="16"/>
  <c r="O1100" i="16"/>
  <c r="A1100" i="16"/>
  <c r="M1099" i="16"/>
  <c r="Y1098" i="16"/>
  <c r="N1098" i="16"/>
  <c r="A1098" i="16"/>
  <c r="L1097" i="16"/>
  <c r="Y1096" i="16"/>
  <c r="K1096" i="16"/>
  <c r="Y1095" i="16"/>
  <c r="M1095" i="16"/>
  <c r="W1094" i="16"/>
  <c r="K1094" i="16"/>
  <c r="A1094" i="16"/>
  <c r="K1093" i="16"/>
  <c r="X1092" i="16"/>
  <c r="L1092" i="16"/>
  <c r="V1091" i="16"/>
  <c r="L1091" i="16"/>
  <c r="Y1090" i="16"/>
  <c r="J1090" i="16"/>
  <c r="W1089" i="16"/>
  <c r="L1089" i="16"/>
  <c r="W1088" i="16"/>
  <c r="K1088" i="16"/>
  <c r="V1087" i="16"/>
  <c r="I1087" i="16"/>
  <c r="W1086" i="16"/>
  <c r="J1086" i="16"/>
  <c r="V1085" i="16"/>
  <c r="H1085" i="16"/>
  <c r="W1084" i="16"/>
  <c r="I1084" i="16"/>
  <c r="U1083" i="16"/>
  <c r="I1083" i="16"/>
  <c r="S1082" i="16"/>
  <c r="I1082" i="16"/>
  <c r="V1081" i="16"/>
  <c r="G1081" i="16"/>
  <c r="T1080" i="16"/>
  <c r="I1080" i="16"/>
  <c r="T1079" i="16"/>
  <c r="H1079" i="16"/>
  <c r="U1078" i="16"/>
  <c r="F1078" i="16"/>
  <c r="T1077" i="16"/>
  <c r="H1077" i="16"/>
  <c r="S1076" i="16"/>
  <c r="G1076" i="16"/>
  <c r="U1075" i="16"/>
  <c r="F1075" i="16"/>
  <c r="S1074" i="16"/>
  <c r="F1074" i="16"/>
  <c r="R1073" i="16"/>
  <c r="G1073" i="16"/>
  <c r="S1072" i="16"/>
  <c r="E1072" i="16"/>
  <c r="Q1071" i="16"/>
  <c r="F1071" i="16"/>
  <c r="R1070" i="16"/>
  <c r="E1070" i="16"/>
  <c r="R1069" i="16"/>
  <c r="C1069" i="16"/>
  <c r="Q1068" i="16"/>
  <c r="E1068" i="16"/>
  <c r="P1067" i="16"/>
  <c r="D1067" i="16"/>
  <c r="R1066" i="16"/>
  <c r="C1066" i="16"/>
  <c r="P1065" i="16"/>
  <c r="D1065" i="16"/>
  <c r="O1064" i="16"/>
  <c r="D1064" i="16"/>
  <c r="Q1063" i="16"/>
  <c r="B1063" i="16"/>
  <c r="O1062" i="16"/>
  <c r="E1062" i="16"/>
  <c r="O1061" i="16"/>
  <c r="C1061" i="16"/>
  <c r="O1060" i="16"/>
  <c r="A1060" i="16"/>
  <c r="P1059" i="16"/>
  <c r="B1059" i="16"/>
  <c r="N1058" i="16"/>
  <c r="A1058" i="16"/>
  <c r="O1057" i="16"/>
  <c r="B1057" i="16"/>
  <c r="M1056" i="16"/>
  <c r="A1056" i="16"/>
  <c r="L1055" i="16"/>
  <c r="A1055" i="16"/>
  <c r="N1054" i="16"/>
  <c r="X1053" i="16"/>
  <c r="L1053" i="16"/>
  <c r="B1053" i="16"/>
  <c r="L1052" i="16"/>
  <c r="Y1051" i="16"/>
  <c r="M1051" i="16"/>
  <c r="W1050" i="16"/>
  <c r="M1050" i="16"/>
  <c r="A1050" i="16"/>
  <c r="K1049" i="16"/>
  <c r="X1048" i="16"/>
  <c r="M1048" i="16"/>
  <c r="X1047" i="16"/>
  <c r="V1166" i="16"/>
  <c r="B1165" i="16"/>
  <c r="I1163" i="16"/>
  <c r="K1161" i="16"/>
  <c r="R1159" i="16"/>
  <c r="T1157" i="16"/>
  <c r="Y1155" i="16"/>
  <c r="I1154" i="16"/>
  <c r="W1152" i="16"/>
  <c r="O1151" i="16"/>
  <c r="H1150" i="16"/>
  <c r="X1148" i="16"/>
  <c r="M1147" i="16"/>
  <c r="H1146" i="16"/>
  <c r="W1144" i="16"/>
  <c r="L1143" i="16"/>
  <c r="E1142" i="16"/>
  <c r="S1140" i="16"/>
  <c r="L1139" i="16"/>
  <c r="D1138" i="16"/>
  <c r="X1136" i="16"/>
  <c r="V1135" i="16"/>
  <c r="X1134" i="16"/>
  <c r="W1133" i="16"/>
  <c r="U1132" i="16"/>
  <c r="W1131" i="16"/>
  <c r="V1130" i="16"/>
  <c r="U1129" i="16"/>
  <c r="U1128" i="16"/>
  <c r="V1127" i="16"/>
  <c r="T1126" i="16"/>
  <c r="U1125" i="16"/>
  <c r="T1124" i="16"/>
  <c r="R1123" i="16"/>
  <c r="T1122" i="16"/>
  <c r="S1121" i="16"/>
  <c r="R1120" i="16"/>
  <c r="S1119" i="16"/>
  <c r="S1118" i="16"/>
  <c r="Q1117" i="16"/>
  <c r="T1116" i="16"/>
  <c r="R1115" i="16"/>
  <c r="V1114" i="16"/>
  <c r="F1114" i="16"/>
  <c r="K1113" i="16"/>
  <c r="T1112" i="16"/>
  <c r="E1112" i="16"/>
  <c r="K1111" i="16"/>
  <c r="T1110" i="16"/>
  <c r="B1110" i="16"/>
  <c r="I1109" i="16"/>
  <c r="T1108" i="16"/>
  <c r="B1108" i="16"/>
  <c r="J1107" i="16"/>
  <c r="P1106" i="16"/>
  <c r="C1106" i="16"/>
  <c r="I1105" i="16"/>
  <c r="Q1104" i="16"/>
  <c r="A1104" i="16"/>
  <c r="F1103" i="16"/>
  <c r="U1102" i="16"/>
  <c r="I1102" i="16"/>
  <c r="S1101" i="16"/>
  <c r="G1101" i="16"/>
  <c r="U1100" i="16"/>
  <c r="G1100" i="16"/>
  <c r="T1099" i="16"/>
  <c r="H1099" i="16"/>
  <c r="R1098" i="16"/>
  <c r="G1098" i="16"/>
  <c r="T1097" i="16"/>
  <c r="F1097" i="16"/>
  <c r="S1096" i="16"/>
  <c r="H1096" i="16"/>
  <c r="R1095" i="16"/>
  <c r="F1095" i="16"/>
  <c r="R1094" i="16"/>
  <c r="E1094" i="16"/>
  <c r="S1093" i="16"/>
  <c r="F1093" i="16"/>
  <c r="Q1092" i="16"/>
  <c r="D1092" i="16"/>
  <c r="R1091" i="16"/>
  <c r="E1091" i="16"/>
  <c r="Q1090" i="16"/>
  <c r="E1090" i="16"/>
  <c r="O1089" i="16"/>
  <c r="D1089" i="16"/>
  <c r="Q1088" i="16"/>
  <c r="C1088" i="16"/>
  <c r="P1087" i="16"/>
  <c r="E1087" i="16"/>
  <c r="O1086" i="16"/>
  <c r="C1086" i="16"/>
  <c r="P1085" i="16"/>
  <c r="B1085" i="16"/>
  <c r="P1084" i="16"/>
  <c r="D1084" i="16"/>
  <c r="N1083" i="16"/>
  <c r="B1083" i="16"/>
  <c r="Q1082" i="16"/>
  <c r="B1082" i="16"/>
  <c r="O1081" i="16"/>
  <c r="B1081" i="16"/>
  <c r="M1080" i="16"/>
  <c r="C1080" i="16"/>
  <c r="N1079" i="16"/>
  <c r="A1079" i="16"/>
  <c r="M1078" i="16"/>
  <c r="B1078" i="16"/>
  <c r="N1077" i="16"/>
  <c r="Y1076" i="16"/>
  <c r="M1076" i="16"/>
  <c r="X1075" i="16"/>
  <c r="M1075" i="16"/>
  <c r="A1075" i="16"/>
  <c r="K1074" i="16"/>
  <c r="X1073" i="16"/>
  <c r="N1073" i="16"/>
  <c r="X1072" i="16"/>
  <c r="L1072" i="16"/>
  <c r="Y1071" i="16"/>
  <c r="J1071" i="16"/>
  <c r="Y1070" i="16"/>
  <c r="M1070" i="16"/>
  <c r="W1069" i="16"/>
  <c r="K1069" i="16"/>
  <c r="Y1068" i="16"/>
  <c r="K1068" i="16"/>
  <c r="X1067" i="16"/>
  <c r="J1067" i="16"/>
  <c r="V1066" i="16"/>
  <c r="K1066" i="16"/>
  <c r="W1065" i="16"/>
  <c r="J1065" i="16"/>
  <c r="U1064" i="16"/>
  <c r="K1064" i="16"/>
  <c r="V1063" i="16"/>
  <c r="I1063" i="16"/>
  <c r="V1062" i="16"/>
  <c r="G1062" i="16"/>
  <c r="V1061" i="16"/>
  <c r="J1061" i="16"/>
  <c r="T1060" i="16"/>
  <c r="H1060" i="16"/>
  <c r="V1059" i="16"/>
  <c r="H1059" i="16"/>
  <c r="U1058" i="16"/>
  <c r="I1058" i="16"/>
  <c r="S1057" i="16"/>
  <c r="H1057" i="16"/>
  <c r="U1056" i="16"/>
  <c r="G1056" i="16"/>
  <c r="T1055" i="16"/>
  <c r="I1055" i="16"/>
  <c r="S1054" i="16"/>
  <c r="G1054" i="16"/>
  <c r="S1053" i="16"/>
  <c r="F1053" i="16"/>
  <c r="T1052" i="16"/>
  <c r="G1052" i="16"/>
  <c r="R1051" i="16"/>
  <c r="E1051" i="16"/>
  <c r="S1050" i="16"/>
  <c r="F1050" i="16"/>
  <c r="R1049" i="16"/>
  <c r="F1049" i="16"/>
  <c r="P1048" i="16"/>
  <c r="E1048" i="16"/>
  <c r="R1047" i="16"/>
  <c r="D1047" i="16"/>
  <c r="Q1046" i="16"/>
  <c r="F1046" i="16"/>
  <c r="P1045" i="16"/>
  <c r="D1045" i="16"/>
  <c r="Q1044" i="16"/>
  <c r="C1044" i="16"/>
  <c r="Q1043" i="16"/>
  <c r="E1043" i="16"/>
  <c r="O1042" i="16"/>
  <c r="C1042" i="16"/>
  <c r="R1041" i="16"/>
  <c r="C1041" i="16"/>
  <c r="P1040" i="16"/>
  <c r="C1040" i="16"/>
  <c r="N1039" i="16"/>
  <c r="D1039" i="16"/>
  <c r="O1038" i="16"/>
  <c r="B1038" i="16"/>
  <c r="N1037" i="16"/>
  <c r="I1167" i="16"/>
  <c r="T1163" i="16"/>
  <c r="A1160" i="16"/>
  <c r="M1156" i="16"/>
  <c r="G1153" i="16"/>
  <c r="N1150" i="16"/>
  <c r="W1147" i="16"/>
  <c r="F1145" i="16"/>
  <c r="L1142" i="16"/>
  <c r="U1139" i="16"/>
  <c r="G1137" i="16"/>
  <c r="C1135" i="16"/>
  <c r="C1133" i="16"/>
  <c r="C1131" i="16"/>
  <c r="A1129" i="16"/>
  <c r="B1127" i="16"/>
  <c r="C1125" i="16"/>
  <c r="A1123" i="16"/>
  <c r="A1121" i="16"/>
  <c r="A1119" i="16"/>
  <c r="V1116" i="16"/>
  <c r="W1114" i="16"/>
  <c r="Q1113" i="16"/>
  <c r="H1112" i="16"/>
  <c r="V1110" i="16"/>
  <c r="P1109" i="16"/>
  <c r="F1108" i="16"/>
  <c r="V1106" i="16"/>
  <c r="M1105" i="16"/>
  <c r="F1104" i="16"/>
  <c r="W1102" i="16"/>
  <c r="X1101" i="16"/>
  <c r="W1100" i="16"/>
  <c r="U1099" i="16"/>
  <c r="W1098" i="16"/>
  <c r="V1097" i="16"/>
  <c r="U1096" i="16"/>
  <c r="V1095" i="16"/>
  <c r="V1094" i="16"/>
  <c r="T1093" i="16"/>
  <c r="W1092" i="16"/>
  <c r="U1091" i="16"/>
  <c r="S1090" i="16"/>
  <c r="T1089" i="16"/>
  <c r="S1088" i="16"/>
  <c r="T1087" i="16"/>
  <c r="S1086" i="16"/>
  <c r="S1085" i="16"/>
  <c r="Q1084" i="16"/>
  <c r="T1083" i="16"/>
  <c r="R1082" i="16"/>
  <c r="P1081" i="16"/>
  <c r="S1080" i="16"/>
  <c r="Q1079" i="16"/>
  <c r="Q1078" i="16"/>
  <c r="P1077" i="16"/>
  <c r="Q1076" i="16"/>
  <c r="P1075" i="16"/>
  <c r="Q1074" i="16"/>
  <c r="O1073" i="16"/>
  <c r="M1072" i="16"/>
  <c r="P1071" i="16"/>
  <c r="N1070" i="16"/>
  <c r="N1069" i="16"/>
  <c r="O1068" i="16"/>
  <c r="N1067" i="16"/>
  <c r="M1066" i="16"/>
  <c r="O1065" i="16"/>
  <c r="M1064" i="16"/>
  <c r="L1063" i="16"/>
  <c r="M1062" i="16"/>
  <c r="K1061" i="16"/>
  <c r="L1060" i="16"/>
  <c r="L1059" i="16"/>
  <c r="K1058" i="16"/>
  <c r="J1057" i="16"/>
  <c r="L1056" i="16"/>
  <c r="J1055" i="16"/>
  <c r="I1054" i="16"/>
  <c r="K1053" i="16"/>
  <c r="I1052" i="16"/>
  <c r="I1051" i="16"/>
  <c r="I1050" i="16"/>
  <c r="J1049" i="16"/>
  <c r="H1048" i="16"/>
  <c r="L1047" i="16"/>
  <c r="U1046" i="16"/>
  <c r="A1046" i="16"/>
  <c r="K1045" i="16"/>
  <c r="T1044" i="16"/>
  <c r="A1044" i="16"/>
  <c r="J1043" i="16"/>
  <c r="U1042" i="16"/>
  <c r="A1042" i="16"/>
  <c r="J1041" i="16"/>
  <c r="Q1040" i="16"/>
  <c r="Y1039" i="16"/>
  <c r="J1039" i="16"/>
  <c r="R1038" i="16"/>
  <c r="X1037" i="16"/>
  <c r="G1037" i="16"/>
  <c r="U1036" i="16"/>
  <c r="I1036" i="16"/>
  <c r="T1035" i="16"/>
  <c r="H1035" i="16"/>
  <c r="W1034" i="16"/>
  <c r="L1034" i="16"/>
  <c r="C1034" i="16"/>
  <c r="R1033" i="16"/>
  <c r="H1033" i="16"/>
  <c r="Y1032" i="16"/>
  <c r="O1032" i="16"/>
  <c r="E1032" i="16"/>
  <c r="T1031" i="16"/>
  <c r="L1031" i="16"/>
  <c r="B1031" i="16"/>
  <c r="Q1030" i="16"/>
  <c r="H1030" i="16"/>
  <c r="V1029" i="16"/>
  <c r="N1029" i="16"/>
  <c r="E1029" i="16"/>
  <c r="S1028" i="16"/>
  <c r="J1028" i="16"/>
  <c r="B1028" i="16"/>
  <c r="P1027" i="16"/>
  <c r="G1027" i="16"/>
  <c r="W1026" i="16"/>
  <c r="L1026" i="16"/>
  <c r="D1026" i="16"/>
  <c r="T1025" i="16"/>
  <c r="I1025" i="16"/>
  <c r="Y1024" i="16"/>
  <c r="Q1024" i="16"/>
  <c r="F1024" i="16"/>
  <c r="V1023" i="16"/>
  <c r="L1023" i="16"/>
  <c r="B1023" i="16"/>
  <c r="S1022" i="16"/>
  <c r="I1022" i="16"/>
  <c r="X1021" i="16"/>
  <c r="N1021" i="16"/>
  <c r="F1021" i="16"/>
  <c r="U1020" i="16"/>
  <c r="K1020" i="16"/>
  <c r="B1020" i="16"/>
  <c r="P1019" i="16"/>
  <c r="H1019" i="16"/>
  <c r="X1018" i="16"/>
  <c r="M1018" i="16"/>
  <c r="D1018" i="16"/>
  <c r="U1017" i="16"/>
  <c r="J1017" i="16"/>
  <c r="A1017" i="16"/>
  <c r="Q1016" i="16"/>
  <c r="F1016" i="16"/>
  <c r="W1015" i="16"/>
  <c r="N1015" i="16"/>
  <c r="C1015" i="16"/>
  <c r="S1014" i="16"/>
  <c r="K1014" i="16"/>
  <c r="Y1013" i="16"/>
  <c r="P1013" i="16"/>
  <c r="F1013" i="16"/>
  <c r="U1012" i="16"/>
  <c r="M1012" i="16"/>
  <c r="C1012" i="16"/>
  <c r="R1011" i="16"/>
  <c r="H1011" i="16"/>
  <c r="Y1010" i="16"/>
  <c r="O1010" i="16"/>
  <c r="E1010" i="16"/>
  <c r="U1009" i="16"/>
  <c r="J1009" i="16"/>
  <c r="B1009" i="16"/>
  <c r="R1008" i="16"/>
  <c r="G1008" i="16"/>
  <c r="W1007" i="16"/>
  <c r="O1007" i="16"/>
  <c r="D1007" i="16"/>
  <c r="T1006" i="16"/>
  <c r="K1006" i="16"/>
  <c r="Y1005" i="16"/>
  <c r="Q1005" i="16"/>
  <c r="H1005" i="16"/>
  <c r="V1004" i="16"/>
  <c r="M1004" i="16"/>
  <c r="E1004" i="16"/>
  <c r="S1003" i="16"/>
  <c r="J1003" i="16"/>
  <c r="Y1002" i="16"/>
  <c r="O1002" i="16"/>
  <c r="G1002" i="16"/>
  <c r="V1001" i="16"/>
  <c r="L1001" i="16"/>
  <c r="B1001" i="16"/>
  <c r="S1000" i="16"/>
  <c r="I1000" i="16"/>
  <c r="X999" i="16"/>
  <c r="O999" i="16"/>
  <c r="D999" i="16"/>
  <c r="U998" i="16"/>
  <c r="L998" i="16"/>
  <c r="A998" i="16"/>
  <c r="Q997" i="16"/>
  <c r="I997" i="16"/>
  <c r="W996" i="16"/>
  <c r="N996" i="16"/>
  <c r="E996" i="16"/>
  <c r="S995" i="16"/>
  <c r="K995" i="16"/>
  <c r="B995" i="16"/>
  <c r="P994" i="16"/>
  <c r="G994" i="16"/>
  <c r="X993" i="16"/>
  <c r="M993" i="16"/>
  <c r="D993" i="16"/>
  <c r="S992" i="16"/>
  <c r="I992" i="16"/>
  <c r="A992" i="16"/>
  <c r="P991" i="16"/>
  <c r="F991" i="16"/>
  <c r="U990" i="16"/>
  <c r="M990" i="16"/>
  <c r="C990" i="16"/>
  <c r="R989" i="16"/>
  <c r="I989" i="16"/>
  <c r="W988" i="16"/>
  <c r="O988" i="16"/>
  <c r="F988" i="16"/>
  <c r="T987" i="16"/>
  <c r="K987" i="16"/>
  <c r="C987" i="16"/>
  <c r="Q986" i="16"/>
  <c r="H986" i="16"/>
  <c r="X985" i="16"/>
  <c r="M985" i="16"/>
  <c r="E985" i="16"/>
  <c r="U984" i="16"/>
  <c r="J984" i="16"/>
  <c r="A984" i="16"/>
  <c r="R983" i="16"/>
  <c r="G983" i="16"/>
  <c r="W982" i="16"/>
  <c r="M982" i="16"/>
  <c r="C982" i="16"/>
  <c r="T981" i="16"/>
  <c r="J981" i="16"/>
  <c r="Y980" i="16"/>
  <c r="O980" i="16"/>
  <c r="G980" i="16"/>
  <c r="V979" i="16"/>
  <c r="L979" i="16"/>
  <c r="C979" i="16"/>
  <c r="Q978" i="16"/>
  <c r="I978" i="16"/>
  <c r="Y977" i="16"/>
  <c r="N977" i="16"/>
  <c r="E977" i="16"/>
  <c r="V976" i="16"/>
  <c r="K976" i="16"/>
  <c r="B976" i="16"/>
  <c r="R975" i="16"/>
  <c r="G975" i="16"/>
  <c r="X974" i="16"/>
  <c r="O974" i="16"/>
  <c r="D974" i="16"/>
  <c r="T973" i="16"/>
  <c r="L973" i="16"/>
  <c r="A973" i="16"/>
  <c r="Q972" i="16"/>
  <c r="G972" i="16"/>
  <c r="V971" i="16"/>
  <c r="N971" i="16"/>
  <c r="D971" i="16"/>
  <c r="S970" i="16"/>
  <c r="I970" i="16"/>
  <c r="A970" i="16"/>
  <c r="P969" i="16"/>
  <c r="F969" i="16"/>
  <c r="V968" i="16"/>
  <c r="K968" i="16"/>
  <c r="C968" i="16"/>
  <c r="S967" i="16"/>
  <c r="H967" i="16"/>
  <c r="X966" i="16"/>
  <c r="P966" i="16"/>
  <c r="E966" i="16"/>
  <c r="U965" i="16"/>
  <c r="L965" i="16"/>
  <c r="A965" i="16"/>
  <c r="R964" i="16"/>
  <c r="I964" i="16"/>
  <c r="W963" i="16"/>
  <c r="N963" i="16"/>
  <c r="F963" i="16"/>
  <c r="T962" i="16"/>
  <c r="K962" i="16"/>
  <c r="A962" i="16"/>
  <c r="P961" i="16"/>
  <c r="H961" i="16"/>
  <c r="W960" i="16"/>
  <c r="M960" i="16"/>
  <c r="C960" i="16"/>
  <c r="T959" i="16"/>
  <c r="J959" i="16"/>
  <c r="Y958" i="16"/>
  <c r="P958" i="16"/>
  <c r="E958" i="16"/>
  <c r="V957" i="16"/>
  <c r="M957" i="16"/>
  <c r="B957" i="16"/>
  <c r="R956" i="16"/>
  <c r="J956" i="16"/>
  <c r="X955" i="16"/>
  <c r="O955" i="16"/>
  <c r="F955" i="16"/>
  <c r="T954" i="16"/>
  <c r="L954" i="16"/>
  <c r="C954" i="16"/>
  <c r="Q953" i="16"/>
  <c r="H953" i="16"/>
  <c r="Y952" i="16"/>
  <c r="N952" i="16"/>
  <c r="E952" i="16"/>
  <c r="T951" i="16"/>
  <c r="J951" i="16"/>
  <c r="B951" i="16"/>
  <c r="Q950" i="16"/>
  <c r="G950" i="16"/>
  <c r="V949" i="16"/>
  <c r="N949" i="16"/>
  <c r="D949" i="16"/>
  <c r="S948" i="16"/>
  <c r="J948" i="16"/>
  <c r="X947" i="16"/>
  <c r="P947" i="16"/>
  <c r="G947" i="16"/>
  <c r="U946" i="16"/>
  <c r="L946" i="16"/>
  <c r="D946" i="16"/>
  <c r="R945" i="16"/>
  <c r="K1165" i="16"/>
  <c r="X1161" i="16"/>
  <c r="J1158" i="16"/>
  <c r="R1154" i="16"/>
  <c r="Y1151" i="16"/>
  <c r="G1149" i="16"/>
  <c r="L1146" i="16"/>
  <c r="U1143" i="16"/>
  <c r="E1141" i="16"/>
  <c r="J1138" i="16"/>
  <c r="E1136" i="16"/>
  <c r="D1134" i="16"/>
  <c r="D1132" i="16"/>
  <c r="C1130" i="16"/>
  <c r="D1128" i="16"/>
  <c r="Y1125" i="16"/>
  <c r="A1124" i="16"/>
  <c r="Y1121" i="16"/>
  <c r="Y1119" i="16"/>
  <c r="X1117" i="16"/>
  <c r="Y1115" i="16"/>
  <c r="G1114" i="16"/>
  <c r="X1112" i="16"/>
  <c r="Q1111" i="16"/>
  <c r="G1110" i="16"/>
  <c r="V1108" i="16"/>
  <c r="Q1107" i="16"/>
  <c r="F1106" i="16"/>
  <c r="U1104" i="16"/>
  <c r="N1103" i="16"/>
  <c r="J1102" i="16"/>
  <c r="K1101" i="16"/>
  <c r="K1100" i="16"/>
  <c r="J1099" i="16"/>
  <c r="I1098" i="16"/>
  <c r="K1097" i="16"/>
  <c r="I1096" i="16"/>
  <c r="H1095" i="16"/>
  <c r="J1094" i="16"/>
  <c r="H1093" i="16"/>
  <c r="H1092" i="16"/>
  <c r="H1091" i="16"/>
  <c r="I1090" i="16"/>
  <c r="G1089" i="16"/>
  <c r="H1088" i="16"/>
  <c r="F1087" i="16"/>
  <c r="E1086" i="16"/>
  <c r="G1085" i="16"/>
  <c r="E1084" i="16"/>
  <c r="E1083" i="16"/>
  <c r="F1082" i="16"/>
  <c r="F1081" i="16"/>
  <c r="D1080" i="16"/>
  <c r="F1079" i="16"/>
  <c r="E1078" i="16"/>
  <c r="C1077" i="16"/>
  <c r="D1076" i="16"/>
  <c r="B1075" i="16"/>
  <c r="C1074" i="16"/>
  <c r="C1073" i="16"/>
  <c r="C1072" i="16"/>
  <c r="A1071" i="16"/>
  <c r="C1070" i="16"/>
  <c r="B1069" i="16"/>
  <c r="Y1067" i="16"/>
  <c r="B1067" i="16"/>
  <c r="A1066" i="16"/>
  <c r="Y1064" i="16"/>
  <c r="Y1063" i="16"/>
  <c r="A1063" i="16"/>
  <c r="X1061" i="16"/>
  <c r="Y1060" i="16"/>
  <c r="X1059" i="16"/>
  <c r="V1058" i="16"/>
  <c r="X1057" i="16"/>
  <c r="W1056" i="16"/>
  <c r="V1055" i="16"/>
  <c r="W1054" i="16"/>
  <c r="W1053" i="16"/>
  <c r="U1052" i="16"/>
  <c r="X1051" i="16"/>
  <c r="V1050" i="16"/>
  <c r="T1049" i="16"/>
  <c r="U1048" i="16"/>
  <c r="T1047" i="16"/>
  <c r="B1047" i="16"/>
  <c r="J1046" i="16"/>
  <c r="T1045" i="16"/>
  <c r="C1045" i="16"/>
  <c r="I1044" i="16"/>
  <c r="R1043" i="16"/>
  <c r="Y1042" i="16"/>
  <c r="J1042" i="16"/>
  <c r="S1041" i="16"/>
  <c r="X1040" i="16"/>
  <c r="H1040" i="16"/>
  <c r="T1039" i="16"/>
  <c r="Y1038" i="16"/>
  <c r="I1038" i="16"/>
  <c r="R1037" i="16"/>
  <c r="C1037" i="16"/>
  <c r="O1036" i="16"/>
  <c r="A1036" i="16"/>
  <c r="N1035" i="16"/>
  <c r="Y1034" i="16"/>
  <c r="Q1034" i="16"/>
  <c r="H1034" i="16"/>
  <c r="V1033" i="16"/>
  <c r="M1033" i="16"/>
  <c r="E1033" i="16"/>
  <c r="S1032" i="16"/>
  <c r="J1032" i="16"/>
  <c r="A1032" i="16"/>
  <c r="O1031" i="16"/>
  <c r="G1031" i="16"/>
  <c r="W1030" i="16"/>
  <c r="L1030" i="16"/>
  <c r="C1030" i="16"/>
  <c r="T1029" i="16"/>
  <c r="I1029" i="16"/>
  <c r="Y1028" i="16"/>
  <c r="O1028" i="16"/>
  <c r="E1028" i="16"/>
  <c r="V1027" i="16"/>
  <c r="L1027" i="16"/>
  <c r="B1027" i="16"/>
  <c r="Q1026" i="16"/>
  <c r="I1026" i="16"/>
  <c r="X1025" i="16"/>
  <c r="N1025" i="16"/>
  <c r="E1025" i="16"/>
  <c r="S1024" i="16"/>
  <c r="K1024" i="16"/>
  <c r="B1024" i="16"/>
  <c r="P1023" i="16"/>
  <c r="G1023" i="16"/>
  <c r="X1022" i="16"/>
  <c r="M1022" i="16"/>
  <c r="D1022" i="16"/>
  <c r="T1021" i="16"/>
  <c r="I1021" i="16"/>
  <c r="A1021" i="16"/>
  <c r="Q1020" i="16"/>
  <c r="F1020" i="16"/>
  <c r="V1019" i="16"/>
  <c r="N1019" i="16"/>
  <c r="C1019" i="16"/>
  <c r="S1018" i="16"/>
  <c r="I1018" i="16"/>
  <c r="X1017" i="16"/>
  <c r="P1017" i="16"/>
  <c r="F1017" i="16"/>
  <c r="U1016" i="16"/>
  <c r="K1016" i="16"/>
  <c r="C1016" i="16"/>
  <c r="R1015" i="16"/>
  <c r="H1015" i="16"/>
  <c r="X1014" i="16"/>
  <c r="M1014" i="16"/>
  <c r="E1014" i="16"/>
  <c r="U1013" i="16"/>
  <c r="J1013" i="16"/>
  <c r="A1013" i="16"/>
  <c r="R1012" i="16"/>
  <c r="G1012" i="16"/>
  <c r="W1011" i="16"/>
  <c r="N1011" i="16"/>
  <c r="C1011" i="16"/>
  <c r="T1010" i="16"/>
  <c r="K1010" i="16"/>
  <c r="Y1009" i="16"/>
  <c r="P1009" i="16"/>
  <c r="H1009" i="16"/>
  <c r="V1008" i="16"/>
  <c r="M1008" i="16"/>
  <c r="C1008" i="16"/>
  <c r="R1007" i="16"/>
  <c r="J1007" i="16"/>
  <c r="Y1006" i="16"/>
  <c r="O1006" i="16"/>
  <c r="E1006" i="16"/>
  <c r="V1005" i="16"/>
  <c r="L1005" i="16"/>
  <c r="B1005" i="16"/>
  <c r="R1004" i="16"/>
  <c r="G1004" i="16"/>
  <c r="X1003" i="16"/>
  <c r="O1003" i="16"/>
  <c r="D1003" i="16"/>
  <c r="T1002" i="16"/>
  <c r="L1002" i="16"/>
  <c r="A1002" i="16"/>
  <c r="Q1001" i="16"/>
  <c r="H1001" i="16"/>
  <c r="V1000" i="16"/>
  <c r="N1000" i="16"/>
  <c r="E1000" i="16"/>
  <c r="S999" i="16"/>
  <c r="J999" i="16"/>
  <c r="B999" i="16"/>
  <c r="P998" i="16"/>
  <c r="G998" i="16"/>
  <c r="V997" i="16"/>
  <c r="L997" i="16"/>
  <c r="D997" i="16"/>
  <c r="S996" i="16"/>
  <c r="I996" i="16"/>
  <c r="X995" i="16"/>
  <c r="P995" i="16"/>
  <c r="F995" i="16"/>
  <c r="U994" i="16"/>
  <c r="L994" i="16"/>
  <c r="A994" i="16"/>
  <c r="R993" i="16"/>
  <c r="I993" i="16"/>
  <c r="W992" i="16"/>
  <c r="N992" i="16"/>
  <c r="F992" i="16"/>
  <c r="T991" i="16"/>
  <c r="K991" i="16"/>
  <c r="B991" i="16"/>
  <c r="P990" i="16"/>
  <c r="H990" i="16"/>
  <c r="X989" i="16"/>
  <c r="M989" i="16"/>
  <c r="D989" i="16"/>
  <c r="U988" i="16"/>
  <c r="J988" i="16"/>
  <c r="A988" i="16"/>
  <c r="P987" i="16"/>
  <c r="F987" i="16"/>
  <c r="W986" i="16"/>
  <c r="M986" i="16"/>
  <c r="C986" i="16"/>
  <c r="R985" i="16"/>
  <c r="J985" i="16"/>
  <c r="Y984" i="16"/>
  <c r="O984" i="16"/>
  <c r="F984" i="16"/>
  <c r="T983" i="16"/>
  <c r="L983" i="16"/>
  <c r="C983" i="16"/>
  <c r="Q982" i="16"/>
  <c r="H982" i="16"/>
  <c r="Y981" i="16"/>
  <c r="N981" i="16"/>
  <c r="E981" i="16"/>
  <c r="U980" i="16"/>
  <c r="J980" i="16"/>
  <c r="B980" i="16"/>
  <c r="R979" i="16"/>
  <c r="G979" i="16"/>
  <c r="W978" i="16"/>
  <c r="O978" i="16"/>
  <c r="D978" i="16"/>
  <c r="T977" i="16"/>
  <c r="J977" i="16"/>
  <c r="Y976" i="16"/>
  <c r="Q976" i="16"/>
  <c r="G976" i="16"/>
  <c r="V975" i="16"/>
  <c r="L975" i="16"/>
  <c r="D975" i="16"/>
  <c r="S974" i="16"/>
  <c r="I974" i="16"/>
  <c r="Y973" i="16"/>
  <c r="N973" i="16"/>
  <c r="F973" i="16"/>
  <c r="V972" i="16"/>
  <c r="K972" i="16"/>
  <c r="B972" i="16"/>
  <c r="S971" i="16"/>
  <c r="H971" i="16"/>
  <c r="X970" i="16"/>
  <c r="O970" i="16"/>
  <c r="D970" i="16"/>
  <c r="U969" i="16"/>
  <c r="L969" i="16"/>
  <c r="A969" i="16"/>
  <c r="Q968" i="16"/>
  <c r="I968" i="16"/>
  <c r="W967" i="16"/>
  <c r="N967" i="16"/>
  <c r="D967" i="16"/>
  <c r="S966" i="16"/>
  <c r="K966" i="16"/>
  <c r="A966" i="16"/>
  <c r="P965" i="16"/>
  <c r="F965" i="16"/>
  <c r="W964" i="16"/>
  <c r="M964" i="16"/>
  <c r="C964" i="16"/>
  <c r="S963" i="16"/>
  <c r="H963" i="16"/>
  <c r="Y962" i="16"/>
  <c r="P962" i="16"/>
  <c r="E962" i="16"/>
  <c r="U961" i="16"/>
  <c r="M961" i="16"/>
  <c r="B961" i="16"/>
  <c r="R960" i="16"/>
  <c r="I960" i="16"/>
  <c r="W959" i="16"/>
  <c r="O959" i="16"/>
  <c r="F959" i="16"/>
  <c r="T958" i="16"/>
  <c r="K958" i="16"/>
  <c r="C958" i="16"/>
  <c r="Q957" i="16"/>
  <c r="H957" i="16"/>
  <c r="W956" i="16"/>
  <c r="M956" i="16"/>
  <c r="E956" i="16"/>
  <c r="T955" i="16"/>
  <c r="J955" i="16"/>
  <c r="Y954" i="16"/>
  <c r="Q954" i="16"/>
  <c r="G954" i="16"/>
  <c r="V953" i="16"/>
  <c r="M953" i="16"/>
  <c r="B953" i="16"/>
  <c r="S952" i="16"/>
  <c r="J952" i="16"/>
  <c r="X951" i="16"/>
  <c r="O951" i="16"/>
  <c r="G951" i="16"/>
  <c r="U950" i="16"/>
  <c r="L950" i="16"/>
  <c r="C950" i="16"/>
  <c r="Q949" i="16"/>
  <c r="I949" i="16"/>
  <c r="Y948" i="16"/>
  <c r="N948" i="16"/>
  <c r="E948" i="16"/>
  <c r="V947" i="16"/>
  <c r="K947" i="16"/>
  <c r="B947" i="16"/>
  <c r="Q946" i="16"/>
  <c r="G946" i="16"/>
  <c r="X945" i="16"/>
  <c r="N945" i="16"/>
  <c r="M1166" i="16"/>
  <c r="F1159" i="16"/>
  <c r="O1152" i="16"/>
  <c r="G1147" i="16"/>
  <c r="U1141" i="16"/>
  <c r="Q1136" i="16"/>
  <c r="Q1132" i="16"/>
  <c r="N1128" i="16"/>
  <c r="M1124" i="16"/>
  <c r="M1120" i="16"/>
  <c r="L1116" i="16"/>
  <c r="I1113" i="16"/>
  <c r="P1110" i="16"/>
  <c r="U1107" i="16"/>
  <c r="D1105" i="16"/>
  <c r="R1102" i="16"/>
  <c r="P1100" i="16"/>
  <c r="Q1098" i="16"/>
  <c r="P1096" i="16"/>
  <c r="O1094" i="16"/>
  <c r="O1092" i="16"/>
  <c r="O1090" i="16"/>
  <c r="L1088" i="16"/>
  <c r="M1086" i="16"/>
  <c r="L1084" i="16"/>
  <c r="K1082" i="16"/>
  <c r="K1080" i="16"/>
  <c r="K1078" i="16"/>
  <c r="I1076" i="16"/>
  <c r="J1074" i="16"/>
  <c r="K1072" i="16"/>
  <c r="G1070" i="16"/>
  <c r="G1068" i="16"/>
  <c r="G1066" i="16"/>
  <c r="E1064" i="16"/>
  <c r="F1062" i="16"/>
  <c r="G1060" i="16"/>
  <c r="E1058" i="16"/>
  <c r="E1056" i="16"/>
  <c r="E1054" i="16"/>
  <c r="A1052" i="16"/>
  <c r="B1050" i="16"/>
  <c r="C1048" i="16"/>
  <c r="O1046" i="16"/>
  <c r="F1045" i="16"/>
  <c r="X1043" i="16"/>
  <c r="N1042" i="16"/>
  <c r="G1041" i="16"/>
  <c r="U1039" i="16"/>
  <c r="J1038" i="16"/>
  <c r="F1037" i="16"/>
  <c r="D1036" i="16"/>
  <c r="E1035" i="16"/>
  <c r="I1034" i="16"/>
  <c r="P1033" i="16"/>
  <c r="V1032" i="16"/>
  <c r="C1032" i="16"/>
  <c r="H1031" i="16"/>
  <c r="P1030" i="16"/>
  <c r="U1029" i="16"/>
  <c r="A1029" i="16"/>
  <c r="I1028" i="16"/>
  <c r="N1027" i="16"/>
  <c r="T1026" i="16"/>
  <c r="A1026" i="16"/>
  <c r="H1025" i="16"/>
  <c r="M1024" i="16"/>
  <c r="T1023" i="16"/>
  <c r="Y1022" i="16"/>
  <c r="E1022" i="16"/>
  <c r="M1021" i="16"/>
  <c r="R1020" i="16"/>
  <c r="X1019" i="16"/>
  <c r="F1019" i="16"/>
  <c r="L1018" i="16"/>
  <c r="Q1017" i="16"/>
  <c r="Y1016" i="16"/>
  <c r="E1016" i="16"/>
  <c r="J1015" i="16"/>
  <c r="Q1014" i="16"/>
  <c r="V1013" i="16"/>
  <c r="D1013" i="16"/>
  <c r="J1012" i="16"/>
  <c r="P1011" i="16"/>
  <c r="U1010" i="16"/>
  <c r="D1010" i="16"/>
  <c r="I1009" i="16"/>
  <c r="N1008" i="16"/>
  <c r="V1007" i="16"/>
  <c r="B1007" i="16"/>
  <c r="H1006" i="16"/>
  <c r="N1005" i="16"/>
  <c r="U1004" i="16"/>
  <c r="A1004" i="16"/>
  <c r="H1003" i="16"/>
  <c r="M1002" i="16"/>
  <c r="R1001" i="16"/>
  <c r="A1001" i="16"/>
  <c r="F1000" i="16"/>
  <c r="L999" i="16"/>
  <c r="S998" i="16"/>
  <c r="Y997" i="16"/>
  <c r="E997" i="16"/>
  <c r="M996" i="16"/>
  <c r="R995" i="16"/>
  <c r="W994" i="16"/>
  <c r="E994" i="16"/>
  <c r="J993" i="16"/>
  <c r="Q992" i="16"/>
  <c r="W991" i="16"/>
  <c r="D991" i="16"/>
  <c r="I990" i="16"/>
  <c r="Q989" i="16"/>
  <c r="V988" i="16"/>
  <c r="B988" i="16"/>
  <c r="J987" i="16"/>
  <c r="O986" i="16"/>
  <c r="U985" i="16"/>
  <c r="B985" i="16"/>
  <c r="I984" i="16"/>
  <c r="N983" i="16"/>
  <c r="U982" i="16"/>
  <c r="A982" i="16"/>
  <c r="F981" i="16"/>
  <c r="N980" i="16"/>
  <c r="S979" i="16"/>
  <c r="Y978" i="16"/>
  <c r="G978" i="16"/>
  <c r="M977" i="16"/>
  <c r="R976" i="16"/>
  <c r="A976" i="16"/>
  <c r="F975" i="16"/>
  <c r="K974" i="16"/>
  <c r="R973" i="16"/>
  <c r="W972" i="16"/>
  <c r="E972" i="16"/>
  <c r="K971" i="16"/>
  <c r="Q970" i="16"/>
  <c r="V969" i="16"/>
  <c r="E969" i="16"/>
  <c r="J968" i="16"/>
  <c r="O967" i="16"/>
  <c r="W966" i="16"/>
  <c r="C966" i="16"/>
  <c r="I965" i="16"/>
  <c r="O964" i="16"/>
  <c r="V963" i="16"/>
  <c r="B963" i="16"/>
  <c r="I962" i="16"/>
  <c r="N961" i="16"/>
  <c r="S960" i="16"/>
  <c r="B960" i="16"/>
  <c r="G959" i="16"/>
  <c r="M958" i="16"/>
  <c r="T957" i="16"/>
  <c r="A957" i="16"/>
  <c r="F956" i="16"/>
  <c r="N955" i="16"/>
  <c r="S954" i="16"/>
  <c r="X953" i="16"/>
  <c r="F953" i="16"/>
  <c r="K952" i="16"/>
  <c r="R951" i="16"/>
  <c r="X950" i="16"/>
  <c r="E950" i="16"/>
  <c r="J949" i="16"/>
  <c r="R948" i="16"/>
  <c r="W947" i="16"/>
  <c r="C947" i="16"/>
  <c r="K946" i="16"/>
  <c r="P945" i="16"/>
  <c r="D945" i="16"/>
  <c r="S944" i="16"/>
  <c r="K944" i="16"/>
  <c r="A944" i="16"/>
  <c r="P943" i="16"/>
  <c r="G943" i="16"/>
  <c r="U942" i="16"/>
  <c r="M942" i="16"/>
  <c r="D942" i="16"/>
  <c r="R941" i="16"/>
  <c r="I941" i="16"/>
  <c r="A941" i="16"/>
  <c r="O940" i="16"/>
  <c r="F940" i="16"/>
  <c r="V939" i="16"/>
  <c r="K939" i="16"/>
  <c r="C939" i="16"/>
  <c r="S938" i="16"/>
  <c r="H938" i="16"/>
  <c r="X937" i="16"/>
  <c r="P937" i="16"/>
  <c r="E937" i="16"/>
  <c r="U936" i="16"/>
  <c r="K936" i="16"/>
  <c r="A936" i="16"/>
  <c r="R935" i="16"/>
  <c r="H935" i="16"/>
  <c r="W934" i="16"/>
  <c r="M934" i="16"/>
  <c r="E934" i="16"/>
  <c r="T933" i="16"/>
  <c r="J933" i="16"/>
  <c r="A933" i="16"/>
  <c r="O932" i="16"/>
  <c r="G932" i="16"/>
  <c r="W931" i="16"/>
  <c r="L931" i="16"/>
  <c r="C931" i="16"/>
  <c r="T930" i="16"/>
  <c r="I930" i="16"/>
  <c r="Y929" i="16"/>
  <c r="P929" i="16"/>
  <c r="E929" i="16"/>
  <c r="V928" i="16"/>
  <c r="M928" i="16"/>
  <c r="B928" i="16"/>
  <c r="R927" i="16"/>
  <c r="J927" i="16"/>
  <c r="X926" i="16"/>
  <c r="O926" i="16"/>
  <c r="E926" i="16"/>
  <c r="T925" i="16"/>
  <c r="L925" i="16"/>
  <c r="B925" i="16"/>
  <c r="Q924" i="16"/>
  <c r="G924" i="16"/>
  <c r="X923" i="16"/>
  <c r="N923" i="16"/>
  <c r="D923" i="16"/>
  <c r="T922" i="16"/>
  <c r="I922" i="16"/>
  <c r="A922" i="16"/>
  <c r="Q921" i="16"/>
  <c r="F921" i="16"/>
  <c r="V920" i="16"/>
  <c r="N920" i="16"/>
  <c r="C920" i="16"/>
  <c r="S919" i="16"/>
  <c r="J919" i="16"/>
  <c r="X918" i="16"/>
  <c r="P918" i="16"/>
  <c r="G918" i="16"/>
  <c r="U917" i="16"/>
  <c r="L917" i="16"/>
  <c r="D917" i="16"/>
  <c r="R916" i="16"/>
  <c r="I916" i="16"/>
  <c r="X915" i="16"/>
  <c r="N915" i="16"/>
  <c r="F915" i="16"/>
  <c r="U914" i="16"/>
  <c r="K914" i="16"/>
  <c r="A914" i="16"/>
  <c r="R913" i="16"/>
  <c r="H913" i="16"/>
  <c r="W912" i="16"/>
  <c r="N912" i="16"/>
  <c r="C912" i="16"/>
  <c r="T911" i="16"/>
  <c r="K911" i="16"/>
  <c r="Y910" i="16"/>
  <c r="P910" i="16"/>
  <c r="H910" i="16"/>
  <c r="V909" i="16"/>
  <c r="M909" i="16"/>
  <c r="D909" i="16"/>
  <c r="R908" i="16"/>
  <c r="J908" i="16"/>
  <c r="A908" i="16"/>
  <c r="O907" i="16"/>
  <c r="F907" i="16"/>
  <c r="W906" i="16"/>
  <c r="L906" i="16"/>
  <c r="C906" i="16"/>
  <c r="R905" i="16"/>
  <c r="H905" i="16"/>
  <c r="Y904" i="16"/>
  <c r="O904" i="16"/>
  <c r="E904" i="16"/>
  <c r="T903" i="16"/>
  <c r="L903" i="16"/>
  <c r="B903" i="16"/>
  <c r="Q902" i="16"/>
  <c r="H902" i="16"/>
  <c r="V901" i="16"/>
  <c r="N901" i="16"/>
  <c r="E901" i="16"/>
  <c r="S900" i="16"/>
  <c r="J900" i="16"/>
  <c r="B900" i="16"/>
  <c r="P899" i="16"/>
  <c r="G899" i="16"/>
  <c r="W898" i="16"/>
  <c r="L898" i="16"/>
  <c r="F898" i="16"/>
  <c r="X897" i="16"/>
  <c r="P897" i="16"/>
  <c r="I897" i="16"/>
  <c r="C897" i="16"/>
  <c r="T896" i="16"/>
  <c r="M896" i="16"/>
  <c r="F896" i="16"/>
  <c r="W895" i="16"/>
  <c r="Q895" i="16"/>
  <c r="J895" i="16"/>
  <c r="B895" i="16"/>
  <c r="T894" i="16"/>
  <c r="N894" i="16"/>
  <c r="F894" i="16"/>
  <c r="X893" i="16"/>
  <c r="Q893" i="16"/>
  <c r="I893" i="16"/>
  <c r="C893" i="16"/>
  <c r="U892" i="16"/>
  <c r="M892" i="16"/>
  <c r="F892" i="16"/>
  <c r="Y891" i="16"/>
  <c r="Q891" i="16"/>
  <c r="J891" i="16"/>
  <c r="C891" i="16"/>
  <c r="T890" i="16"/>
  <c r="N890" i="16"/>
  <c r="G890" i="16"/>
  <c r="X889" i="16"/>
  <c r="Q889" i="16"/>
  <c r="K889" i="16"/>
  <c r="C889" i="16"/>
  <c r="U888" i="16"/>
  <c r="N888" i="16"/>
  <c r="F888" i="16"/>
  <c r="Y887" i="16"/>
  <c r="R887" i="16"/>
  <c r="J887" i="16"/>
  <c r="C887" i="16"/>
  <c r="V886" i="16"/>
  <c r="N886" i="16"/>
  <c r="G886" i="16"/>
  <c r="Y885" i="16"/>
  <c r="Q885" i="16"/>
  <c r="K885" i="16"/>
  <c r="D885" i="16"/>
  <c r="U884" i="16"/>
  <c r="N884" i="16"/>
  <c r="H884" i="16"/>
  <c r="Y883" i="16"/>
  <c r="R883" i="16"/>
  <c r="K883" i="16"/>
  <c r="C883" i="16"/>
  <c r="V882" i="16"/>
  <c r="O882" i="16"/>
  <c r="G882" i="16"/>
  <c r="Y881" i="16"/>
  <c r="S881" i="16"/>
  <c r="K881" i="16"/>
  <c r="D881" i="16"/>
  <c r="V880" i="16"/>
  <c r="N880" i="16"/>
  <c r="H880" i="16"/>
  <c r="A880" i="16"/>
  <c r="R879" i="16"/>
  <c r="K879" i="16"/>
  <c r="E879" i="16"/>
  <c r="V878" i="16"/>
  <c r="O878" i="16"/>
  <c r="H878" i="16"/>
  <c r="Y877" i="16"/>
  <c r="S877" i="16"/>
  <c r="L877" i="16"/>
  <c r="D877" i="16"/>
  <c r="V876" i="16"/>
  <c r="P876" i="16"/>
  <c r="H876" i="16"/>
  <c r="A876" i="16"/>
  <c r="S875" i="16"/>
  <c r="K875" i="16"/>
  <c r="E875" i="16"/>
  <c r="W874" i="16"/>
  <c r="O874" i="16"/>
  <c r="H874" i="16"/>
  <c r="B874" i="16"/>
  <c r="S873" i="16"/>
  <c r="L873" i="16"/>
  <c r="E873" i="16"/>
  <c r="V872" i="16"/>
  <c r="P872" i="16"/>
  <c r="I872" i="16"/>
  <c r="A872" i="16"/>
  <c r="S871" i="16"/>
  <c r="M871" i="16"/>
  <c r="E871" i="16"/>
  <c r="W870" i="16"/>
  <c r="P870" i="16"/>
  <c r="H870" i="16"/>
  <c r="B870" i="16"/>
  <c r="T869" i="16"/>
  <c r="L869" i="16"/>
  <c r="E869" i="16"/>
  <c r="X868" i="16"/>
  <c r="P868" i="16"/>
  <c r="I868" i="16"/>
  <c r="B868" i="16"/>
  <c r="S867" i="16"/>
  <c r="M867" i="16"/>
  <c r="F867" i="16"/>
  <c r="W866" i="16"/>
  <c r="P866" i="16"/>
  <c r="J866" i="16"/>
  <c r="B866" i="16"/>
  <c r="T865" i="16"/>
  <c r="M865" i="16"/>
  <c r="E865" i="16"/>
  <c r="X864" i="16"/>
  <c r="Q864" i="16"/>
  <c r="I864" i="16"/>
  <c r="B864" i="16"/>
  <c r="U863" i="16"/>
  <c r="M863" i="16"/>
  <c r="F863" i="16"/>
  <c r="X862" i="16"/>
  <c r="S862" i="16"/>
  <c r="N862" i="16"/>
  <c r="H862" i="16"/>
  <c r="C862" i="16"/>
  <c r="W861" i="16"/>
  <c r="Q861" i="16"/>
  <c r="L861" i="16"/>
  <c r="G861" i="16"/>
  <c r="A861" i="16"/>
  <c r="U860" i="16"/>
  <c r="P860" i="16"/>
  <c r="J860" i="16"/>
  <c r="E860" i="16"/>
  <c r="Y859" i="16"/>
  <c r="S859" i="16"/>
  <c r="N859" i="16"/>
  <c r="I859" i="16"/>
  <c r="C859" i="16"/>
  <c r="W858" i="16"/>
  <c r="R858" i="16"/>
  <c r="L858" i="16"/>
  <c r="G858" i="16"/>
  <c r="B858" i="16"/>
  <c r="U857" i="16"/>
  <c r="P857" i="16"/>
  <c r="K857" i="16"/>
  <c r="E857" i="16"/>
  <c r="Y856" i="16"/>
  <c r="T856" i="16"/>
  <c r="N856" i="16"/>
  <c r="I856" i="16"/>
  <c r="D856" i="16"/>
  <c r="W855" i="16"/>
  <c r="R855" i="16"/>
  <c r="M855" i="16"/>
  <c r="G855" i="16"/>
  <c r="B855" i="16"/>
  <c r="V854" i="16"/>
  <c r="P854" i="16"/>
  <c r="K854" i="16"/>
  <c r="F854" i="16"/>
  <c r="Y853" i="16"/>
  <c r="T853" i="16"/>
  <c r="O853" i="16"/>
  <c r="I853" i="16"/>
  <c r="D853" i="16"/>
  <c r="X852" i="16"/>
  <c r="R852" i="16"/>
  <c r="M852" i="16"/>
  <c r="H852" i="16"/>
  <c r="B852" i="16"/>
  <c r="V851" i="16"/>
  <c r="Q851" i="16"/>
  <c r="K851" i="16"/>
  <c r="F851" i="16"/>
  <c r="A851" i="16"/>
  <c r="T850" i="16"/>
  <c r="O850" i="16"/>
  <c r="J850" i="16"/>
  <c r="D850" i="16"/>
  <c r="X849" i="16"/>
  <c r="S849" i="16"/>
  <c r="M849" i="16"/>
  <c r="H849" i="16"/>
  <c r="C849" i="16"/>
  <c r="V848" i="16"/>
  <c r="Q848" i="16"/>
  <c r="L848" i="16"/>
  <c r="F848" i="16"/>
  <c r="A848" i="16"/>
  <c r="U847" i="16"/>
  <c r="O847" i="16"/>
  <c r="J847" i="16"/>
  <c r="E847" i="16"/>
  <c r="X846" i="16"/>
  <c r="S846" i="16"/>
  <c r="N846" i="16"/>
  <c r="H846" i="16"/>
  <c r="C846" i="16"/>
  <c r="W845" i="16"/>
  <c r="Q845" i="16"/>
  <c r="L845" i="16"/>
  <c r="G845" i="16"/>
  <c r="A845" i="16"/>
  <c r="U844" i="16"/>
  <c r="P844" i="16"/>
  <c r="J844" i="16"/>
  <c r="E844" i="16"/>
  <c r="Y843" i="16"/>
  <c r="S843" i="16"/>
  <c r="N843" i="16"/>
  <c r="I843" i="16"/>
  <c r="C843" i="16"/>
  <c r="W842" i="16"/>
  <c r="R842" i="16"/>
  <c r="L842" i="16"/>
  <c r="G842" i="16"/>
  <c r="B842" i="16"/>
  <c r="U841" i="16"/>
  <c r="P841" i="16"/>
  <c r="K841" i="16"/>
  <c r="E841" i="16"/>
  <c r="Y840" i="16"/>
  <c r="T840" i="16"/>
  <c r="N840" i="16"/>
  <c r="I840" i="16"/>
  <c r="D840" i="16"/>
  <c r="W839" i="16"/>
  <c r="R839" i="16"/>
  <c r="M839" i="16"/>
  <c r="G839" i="16"/>
  <c r="B839" i="16"/>
  <c r="V838" i="16"/>
  <c r="P838" i="16"/>
  <c r="K838" i="16"/>
  <c r="F838" i="16"/>
  <c r="Y837" i="16"/>
  <c r="T837" i="16"/>
  <c r="O837" i="16"/>
  <c r="I837" i="16"/>
  <c r="D837" i="16"/>
  <c r="X836" i="16"/>
  <c r="R836" i="16"/>
  <c r="M836" i="16"/>
  <c r="H836" i="16"/>
  <c r="B836" i="16"/>
  <c r="V835" i="16"/>
  <c r="Q835" i="16"/>
  <c r="K835" i="16"/>
  <c r="F835" i="16"/>
  <c r="A835" i="16"/>
  <c r="T834" i="16"/>
  <c r="O834" i="16"/>
  <c r="J834" i="16"/>
  <c r="D834" i="16"/>
  <c r="X833" i="16"/>
  <c r="S833" i="16"/>
  <c r="M833" i="16"/>
  <c r="H833" i="16"/>
  <c r="C833" i="16"/>
  <c r="V832" i="16"/>
  <c r="Q832" i="16"/>
  <c r="L832" i="16"/>
  <c r="F832" i="16"/>
  <c r="A832" i="16"/>
  <c r="U831" i="16"/>
  <c r="O831" i="16"/>
  <c r="J831" i="16"/>
  <c r="E831" i="16"/>
  <c r="X830" i="16"/>
  <c r="S830" i="16"/>
  <c r="N830" i="16"/>
  <c r="H830" i="16"/>
  <c r="C830" i="16"/>
  <c r="W829" i="16"/>
  <c r="Q829" i="16"/>
  <c r="L829" i="16"/>
  <c r="G829" i="16"/>
  <c r="A829" i="16"/>
  <c r="U828" i="16"/>
  <c r="P828" i="16"/>
  <c r="J828" i="16"/>
  <c r="E828" i="16"/>
  <c r="Y827" i="16"/>
  <c r="S827" i="16"/>
  <c r="N827" i="16"/>
  <c r="I827" i="16"/>
  <c r="C827" i="16"/>
  <c r="W826" i="16"/>
  <c r="R826" i="16"/>
  <c r="L826" i="16"/>
  <c r="G826" i="16"/>
  <c r="B826" i="16"/>
  <c r="U825" i="16"/>
  <c r="P825" i="16"/>
  <c r="K825" i="16"/>
  <c r="E825" i="16"/>
  <c r="Y824" i="16"/>
  <c r="T824" i="16"/>
  <c r="N824" i="16"/>
  <c r="I824" i="16"/>
  <c r="D824" i="16"/>
  <c r="W823" i="16"/>
  <c r="R823" i="16"/>
  <c r="M823" i="16"/>
  <c r="G823" i="16"/>
  <c r="B823" i="16"/>
  <c r="V822" i="16"/>
  <c r="P822" i="16"/>
  <c r="K822" i="16"/>
  <c r="F822" i="16"/>
  <c r="Y821" i="16"/>
  <c r="T821" i="16"/>
  <c r="O821" i="16"/>
  <c r="I821" i="16"/>
  <c r="D821" i="16"/>
  <c r="X820" i="16"/>
  <c r="R820" i="16"/>
  <c r="M820" i="16"/>
  <c r="H820" i="16"/>
  <c r="B820" i="16"/>
  <c r="V819" i="16"/>
  <c r="Q819" i="16"/>
  <c r="K819" i="16"/>
  <c r="F819" i="16"/>
  <c r="A819" i="16"/>
  <c r="T818" i="16"/>
  <c r="O818" i="16"/>
  <c r="J818" i="16"/>
  <c r="D818" i="16"/>
  <c r="X817" i="16"/>
  <c r="S817" i="16"/>
  <c r="M817" i="16"/>
  <c r="H817" i="16"/>
  <c r="C817" i="16"/>
  <c r="V816" i="16"/>
  <c r="Q816" i="16"/>
  <c r="L816" i="16"/>
  <c r="F816" i="16"/>
  <c r="A816" i="16"/>
  <c r="U815" i="16"/>
  <c r="O815" i="16"/>
  <c r="J815" i="16"/>
  <c r="E815" i="16"/>
  <c r="X814" i="16"/>
  <c r="S814" i="16"/>
  <c r="N814" i="16"/>
  <c r="H814" i="16"/>
  <c r="C814" i="16"/>
  <c r="W813" i="16"/>
  <c r="Q813" i="16"/>
  <c r="L813" i="16"/>
  <c r="G813" i="16"/>
  <c r="A813" i="16"/>
  <c r="U812" i="16"/>
  <c r="P812" i="16"/>
  <c r="J812" i="16"/>
  <c r="E812" i="16"/>
  <c r="Y811" i="16"/>
  <c r="S811" i="16"/>
  <c r="N811" i="16"/>
  <c r="I811" i="16"/>
  <c r="C811" i="16"/>
  <c r="W810" i="16"/>
  <c r="R810" i="16"/>
  <c r="L810" i="16"/>
  <c r="G810" i="16"/>
  <c r="B810" i="16"/>
  <c r="U809" i="16"/>
  <c r="P809" i="16"/>
  <c r="K809" i="16"/>
  <c r="E809" i="16"/>
  <c r="Y808" i="16"/>
  <c r="T808" i="16"/>
  <c r="N808" i="16"/>
  <c r="I808" i="16"/>
  <c r="D808" i="16"/>
  <c r="W807" i="16"/>
  <c r="R807" i="16"/>
  <c r="M807" i="16"/>
  <c r="G807" i="16"/>
  <c r="B807" i="16"/>
  <c r="U1162" i="16"/>
  <c r="T1155" i="16"/>
  <c r="V1149" i="16"/>
  <c r="L1144" i="16"/>
  <c r="E1139" i="16"/>
  <c r="R1134" i="16"/>
  <c r="N1130" i="16"/>
  <c r="O1126" i="16"/>
  <c r="N1122" i="16"/>
  <c r="L1118" i="16"/>
  <c r="P1114" i="16"/>
  <c r="W1111" i="16"/>
  <c r="E1109" i="16"/>
  <c r="O1106" i="16"/>
  <c r="U1103" i="16"/>
  <c r="R1101" i="16"/>
  <c r="R1099" i="16"/>
  <c r="O1097" i="16"/>
  <c r="N1095" i="16"/>
  <c r="O1093" i="16"/>
  <c r="M1091" i="16"/>
  <c r="N1089" i="16"/>
  <c r="N1087" i="16"/>
  <c r="L1085" i="16"/>
  <c r="M1083" i="16"/>
  <c r="L1081" i="16"/>
  <c r="I1079" i="16"/>
  <c r="J1077" i="16"/>
  <c r="J1075" i="16"/>
  <c r="H1073" i="16"/>
  <c r="I1071" i="16"/>
  <c r="H1069" i="16"/>
  <c r="H1067" i="16"/>
  <c r="G1065" i="16"/>
  <c r="H1063" i="16"/>
  <c r="D1061" i="16"/>
  <c r="E1059" i="16"/>
  <c r="D1057" i="16"/>
  <c r="D1055" i="16"/>
  <c r="C1053" i="16"/>
  <c r="D1051" i="16"/>
  <c r="B1049" i="16"/>
  <c r="I1047" i="16"/>
  <c r="X1045" i="16"/>
  <c r="M1044" i="16"/>
  <c r="F1043" i="16"/>
  <c r="T1041" i="16"/>
  <c r="M1040" i="16"/>
  <c r="E1039" i="16"/>
  <c r="V1037" i="16"/>
  <c r="Q1036" i="16"/>
  <c r="R1035" i="16"/>
  <c r="S1034" i="16"/>
  <c r="A1034" i="16"/>
  <c r="F1033" i="16"/>
  <c r="K1032" i="16"/>
  <c r="S1031" i="16"/>
  <c r="X1030" i="16"/>
  <c r="E1030" i="16"/>
  <c r="L1029" i="16"/>
  <c r="R1028" i="16"/>
  <c r="W1027" i="16"/>
  <c r="F1027" i="16"/>
  <c r="K1026" i="16"/>
  <c r="P1025" i="16"/>
  <c r="W1024" i="16"/>
  <c r="C1024" i="16"/>
  <c r="J1023" i="16"/>
  <c r="P1022" i="16"/>
  <c r="V1021" i="16"/>
  <c r="B1021" i="16"/>
  <c r="J1020" i="16"/>
  <c r="O1019" i="16"/>
  <c r="T1018" i="16"/>
  <c r="C1018" i="16"/>
  <c r="H1017" i="16"/>
  <c r="N1016" i="16"/>
  <c r="T1015" i="16"/>
  <c r="B1015" i="16"/>
  <c r="G1014" i="16"/>
  <c r="N1013" i="16"/>
  <c r="S1012" i="16"/>
  <c r="X1011" i="16"/>
  <c r="G1011" i="16"/>
  <c r="L1010" i="16"/>
  <c r="R1009" i="16"/>
  <c r="Y1008" i="16"/>
  <c r="F1008" i="16"/>
  <c r="K1007" i="16"/>
  <c r="S1006" i="16"/>
  <c r="X1005" i="16"/>
  <c r="D1005" i="16"/>
  <c r="K1004" i="16"/>
  <c r="P1003" i="16"/>
  <c r="W1002" i="16"/>
  <c r="D1002" i="16"/>
  <c r="J1001" i="16"/>
  <c r="O1000" i="16"/>
  <c r="W999" i="16"/>
  <c r="C999" i="16"/>
  <c r="H998" i="16"/>
  <c r="P997" i="16"/>
  <c r="U996" i="16"/>
  <c r="B996" i="16"/>
  <c r="H995" i="16"/>
  <c r="O994" i="16"/>
  <c r="T993" i="16"/>
  <c r="B993" i="16"/>
  <c r="G992" i="16"/>
  <c r="L991" i="16"/>
  <c r="T990" i="16"/>
  <c r="Y989" i="16"/>
  <c r="F989" i="16"/>
  <c r="M988" i="16"/>
  <c r="S987" i="16"/>
  <c r="X986" i="16"/>
  <c r="G986" i="16"/>
  <c r="L985" i="16"/>
  <c r="Q984" i="16"/>
  <c r="X983" i="16"/>
  <c r="D983" i="16"/>
  <c r="K982" i="16"/>
  <c r="Q981" i="16"/>
  <c r="W980" i="16"/>
  <c r="C980" i="16"/>
  <c r="K979" i="16"/>
  <c r="P978" i="16"/>
  <c r="U977" i="16"/>
  <c r="D977" i="16"/>
  <c r="I976" i="16"/>
  <c r="O975" i="16"/>
  <c r="U974" i="16"/>
  <c r="C974" i="16"/>
  <c r="H973" i="16"/>
  <c r="O972" i="16"/>
  <c r="T971" i="16"/>
  <c r="Y970" i="16"/>
  <c r="H970" i="16"/>
  <c r="M969" i="16"/>
  <c r="S968" i="16"/>
  <c r="A968" i="16"/>
  <c r="G967" i="16"/>
  <c r="L966" i="16"/>
  <c r="T965" i="16"/>
  <c r="Y964" i="16"/>
  <c r="E964" i="16"/>
  <c r="L963" i="16"/>
  <c r="Q962" i="16"/>
  <c r="X961" i="16"/>
  <c r="E961" i="16"/>
  <c r="K960" i="16"/>
  <c r="P959" i="16"/>
  <c r="X958" i="16"/>
  <c r="D958" i="16"/>
  <c r="I957" i="16"/>
  <c r="Q956" i="16"/>
  <c r="V955" i="16"/>
  <c r="C955" i="16"/>
  <c r="I954" i="16"/>
  <c r="P953" i="16"/>
  <c r="U952" i="16"/>
  <c r="C952" i="16"/>
  <c r="H951" i="16"/>
  <c r="M950" i="16"/>
  <c r="U949" i="16"/>
  <c r="A949" i="16"/>
  <c r="G948" i="16"/>
  <c r="N947" i="16"/>
  <c r="T946" i="16"/>
  <c r="Y945" i="16"/>
  <c r="I945" i="16"/>
  <c r="Y944" i="16"/>
  <c r="N944" i="16"/>
  <c r="F944" i="16"/>
  <c r="V943" i="16"/>
  <c r="K943" i="16"/>
  <c r="B943" i="16"/>
  <c r="S942" i="16"/>
  <c r="H942" i="16"/>
  <c r="X941" i="16"/>
  <c r="N941" i="16"/>
  <c r="D941" i="16"/>
  <c r="U940" i="16"/>
  <c r="K940" i="16"/>
  <c r="A940" i="16"/>
  <c r="P939" i="16"/>
  <c r="H939" i="16"/>
  <c r="W938" i="16"/>
  <c r="M938" i="16"/>
  <c r="D938" i="16"/>
  <c r="R937" i="16"/>
  <c r="J937" i="16"/>
  <c r="A937" i="16"/>
  <c r="O936" i="16"/>
  <c r="F936" i="16"/>
  <c r="W935" i="16"/>
  <c r="L935" i="16"/>
  <c r="C935" i="16"/>
  <c r="S934" i="16"/>
  <c r="H934" i="16"/>
  <c r="Y933" i="16"/>
  <c r="P933" i="16"/>
  <c r="E933" i="16"/>
  <c r="U932" i="16"/>
  <c r="M932" i="16"/>
  <c r="B932" i="16"/>
  <c r="R931" i="16"/>
  <c r="H931" i="16"/>
  <c r="W930" i="16"/>
  <c r="O930" i="16"/>
  <c r="E930" i="16"/>
  <c r="T929" i="16"/>
  <c r="J929" i="16"/>
  <c r="B929" i="16"/>
  <c r="Q928" i="16"/>
  <c r="G928" i="16"/>
  <c r="W927" i="16"/>
  <c r="L927" i="16"/>
  <c r="D927" i="16"/>
  <c r="T926" i="16"/>
  <c r="I926" i="16"/>
  <c r="Y925" i="16"/>
  <c r="Q925" i="16"/>
  <c r="F925" i="16"/>
  <c r="V924" i="16"/>
  <c r="M924" i="16"/>
  <c r="B924" i="16"/>
  <c r="S923" i="16"/>
  <c r="J923" i="16"/>
  <c r="X922" i="16"/>
  <c r="O922" i="16"/>
  <c r="G922" i="16"/>
  <c r="U921" i="16"/>
  <c r="L921" i="16"/>
  <c r="B921" i="16"/>
  <c r="Q920" i="16"/>
  <c r="I920" i="16"/>
  <c r="X919" i="16"/>
  <c r="N919" i="16"/>
  <c r="D919" i="16"/>
  <c r="U918" i="16"/>
  <c r="K918" i="16"/>
  <c r="A918" i="16"/>
  <c r="Q917" i="16"/>
  <c r="F917" i="16"/>
  <c r="W916" i="16"/>
  <c r="N916" i="16"/>
  <c r="C916" i="16"/>
  <c r="S915" i="16"/>
  <c r="K915" i="16"/>
  <c r="Y914" i="16"/>
  <c r="P914" i="16"/>
  <c r="G914" i="16"/>
  <c r="U913" i="16"/>
  <c r="M913" i="16"/>
  <c r="D913" i="16"/>
  <c r="R912" i="16"/>
  <c r="I912" i="16"/>
  <c r="A912" i="16"/>
  <c r="O911" i="16"/>
  <c r="F911" i="16"/>
  <c r="U910" i="16"/>
  <c r="K910" i="16"/>
  <c r="C910" i="16"/>
  <c r="R909" i="16"/>
  <c r="H909" i="16"/>
  <c r="W908" i="16"/>
  <c r="O908" i="16"/>
  <c r="E908" i="16"/>
  <c r="T907" i="16"/>
  <c r="K907" i="16"/>
  <c r="Y906" i="16"/>
  <c r="Q906" i="16"/>
  <c r="H906" i="16"/>
  <c r="V905" i="16"/>
  <c r="M905" i="16"/>
  <c r="E905" i="16"/>
  <c r="S904" i="16"/>
  <c r="J904" i="16"/>
  <c r="A904" i="16"/>
  <c r="O903" i="16"/>
  <c r="G903" i="16"/>
  <c r="W902" i="16"/>
  <c r="L902" i="16"/>
  <c r="C902" i="16"/>
  <c r="T901" i="16"/>
  <c r="I901" i="16"/>
  <c r="Y900" i="16"/>
  <c r="O900" i="16"/>
  <c r="E900" i="16"/>
  <c r="V899" i="16"/>
  <c r="L899" i="16"/>
  <c r="B899" i="16"/>
  <c r="Q898" i="16"/>
  <c r="J898" i="16"/>
  <c r="B898" i="16"/>
  <c r="T897" i="16"/>
  <c r="M897" i="16"/>
  <c r="E897" i="16"/>
  <c r="X896" i="16"/>
  <c r="Q896" i="16"/>
  <c r="I896" i="16"/>
  <c r="B896" i="16"/>
  <c r="U895" i="16"/>
  <c r="M895" i="16"/>
  <c r="F895" i="16"/>
  <c r="X894" i="16"/>
  <c r="P894" i="16"/>
  <c r="J894" i="16"/>
  <c r="C894" i="16"/>
  <c r="T893" i="16"/>
  <c r="M893" i="16"/>
  <c r="G893" i="16"/>
  <c r="X892" i="16"/>
  <c r="Q892" i="16"/>
  <c r="J892" i="16"/>
  <c r="B892" i="16"/>
  <c r="U891" i="16"/>
  <c r="N891" i="16"/>
  <c r="F891" i="16"/>
  <c r="X890" i="16"/>
  <c r="R890" i="16"/>
  <c r="J890" i="16"/>
  <c r="C890" i="16"/>
  <c r="U889" i="16"/>
  <c r="M889" i="16"/>
  <c r="G889" i="16"/>
  <c r="Y888" i="16"/>
  <c r="Q888" i="16"/>
  <c r="J888" i="16"/>
  <c r="D888" i="16"/>
  <c r="U887" i="16"/>
  <c r="N887" i="16"/>
  <c r="G887" i="16"/>
  <c r="X886" i="16"/>
  <c r="R886" i="16"/>
  <c r="K886" i="16"/>
  <c r="C886" i="16"/>
  <c r="U885" i="16"/>
  <c r="O885" i="16"/>
  <c r="G885" i="16"/>
  <c r="Y884" i="16"/>
  <c r="R884" i="16"/>
  <c r="J884" i="16"/>
  <c r="D884" i="16"/>
  <c r="V883" i="16"/>
  <c r="N883" i="16"/>
  <c r="G883" i="16"/>
  <c r="A883" i="16"/>
  <c r="R882" i="16"/>
  <c r="K882" i="16"/>
  <c r="D882" i="16"/>
  <c r="U881" i="16"/>
  <c r="O881" i="16"/>
  <c r="H881" i="16"/>
  <c r="Y880" i="16"/>
  <c r="R880" i="16"/>
  <c r="L880" i="16"/>
  <c r="D880" i="16"/>
  <c r="V879" i="16"/>
  <c r="O879" i="16"/>
  <c r="G879" i="16"/>
  <c r="A879" i="16"/>
  <c r="S878" i="16"/>
  <c r="K878" i="16"/>
  <c r="D878" i="16"/>
  <c r="W877" i="16"/>
  <c r="O877" i="16"/>
  <c r="H877" i="16"/>
  <c r="A877" i="16"/>
  <c r="R876" i="16"/>
  <c r="L876" i="16"/>
  <c r="E876" i="16"/>
  <c r="V875" i="16"/>
  <c r="O875" i="16"/>
  <c r="I875" i="16"/>
  <c r="A875" i="16"/>
  <c r="S874" i="16"/>
  <c r="L874" i="16"/>
  <c r="D874" i="16"/>
  <c r="W873" i="16"/>
  <c r="P873" i="16"/>
  <c r="H873" i="16"/>
  <c r="A873" i="16"/>
  <c r="T872" i="16"/>
  <c r="L872" i="16"/>
  <c r="E872" i="16"/>
  <c r="W871" i="16"/>
  <c r="O871" i="16"/>
  <c r="I871" i="16"/>
  <c r="B871" i="16"/>
  <c r="S870" i="16"/>
  <c r="L870" i="16"/>
  <c r="F870" i="16"/>
  <c r="W869" i="16"/>
  <c r="P869" i="16"/>
  <c r="I869" i="16"/>
  <c r="A869" i="16"/>
  <c r="T868" i="16"/>
  <c r="M868" i="16"/>
  <c r="E868" i="16"/>
  <c r="W867" i="16"/>
  <c r="Q867" i="16"/>
  <c r="I867" i="16"/>
  <c r="B867" i="16"/>
  <c r="T866" i="16"/>
  <c r="L866" i="16"/>
  <c r="F866" i="16"/>
  <c r="X865" i="16"/>
  <c r="P865" i="16"/>
  <c r="I865" i="16"/>
  <c r="C865" i="16"/>
  <c r="T864" i="16"/>
  <c r="M864" i="16"/>
  <c r="F864" i="16"/>
  <c r="W863" i="16"/>
  <c r="Q863" i="16"/>
  <c r="J863" i="16"/>
  <c r="B863" i="16"/>
  <c r="V862" i="16"/>
  <c r="P862" i="16"/>
  <c r="K862" i="16"/>
  <c r="F862" i="16"/>
  <c r="Y861" i="16"/>
  <c r="T861" i="16"/>
  <c r="O861" i="16"/>
  <c r="I861" i="16"/>
  <c r="D861" i="16"/>
  <c r="X860" i="16"/>
  <c r="R860" i="16"/>
  <c r="M860" i="16"/>
  <c r="H860" i="16"/>
  <c r="B860" i="16"/>
  <c r="V859" i="16"/>
  <c r="Q859" i="16"/>
  <c r="K859" i="16"/>
  <c r="F859" i="16"/>
  <c r="A859" i="16"/>
  <c r="T858" i="16"/>
  <c r="O858" i="16"/>
  <c r="J858" i="16"/>
  <c r="D858" i="16"/>
  <c r="X857" i="16"/>
  <c r="S857" i="16"/>
  <c r="M857" i="16"/>
  <c r="H857" i="16"/>
  <c r="C857" i="16"/>
  <c r="V856" i="16"/>
  <c r="Q856" i="16"/>
  <c r="L856" i="16"/>
  <c r="F856" i="16"/>
  <c r="A856" i="16"/>
  <c r="U855" i="16"/>
  <c r="O855" i="16"/>
  <c r="J855" i="16"/>
  <c r="E855" i="16"/>
  <c r="X854" i="16"/>
  <c r="S854" i="16"/>
  <c r="N854" i="16"/>
  <c r="H854" i="16"/>
  <c r="C854" i="16"/>
  <c r="W853" i="16"/>
  <c r="Q853" i="16"/>
  <c r="L853" i="16"/>
  <c r="G853" i="16"/>
  <c r="A853" i="16"/>
  <c r="U852" i="16"/>
  <c r="P852" i="16"/>
  <c r="J852" i="16"/>
  <c r="E852" i="16"/>
  <c r="Y851" i="16"/>
  <c r="S851" i="16"/>
  <c r="N851" i="16"/>
  <c r="I851" i="16"/>
  <c r="C851" i="16"/>
  <c r="W850" i="16"/>
  <c r="R850" i="16"/>
  <c r="L850" i="16"/>
  <c r="G850" i="16"/>
  <c r="B850" i="16"/>
  <c r="U849" i="16"/>
  <c r="P849" i="16"/>
  <c r="K849" i="16"/>
  <c r="E849" i="16"/>
  <c r="Y848" i="16"/>
  <c r="T848" i="16"/>
  <c r="N848" i="16"/>
  <c r="I848" i="16"/>
  <c r="D848" i="16"/>
  <c r="W847" i="16"/>
  <c r="R847" i="16"/>
  <c r="M847" i="16"/>
  <c r="G847" i="16"/>
  <c r="B847" i="16"/>
  <c r="V846" i="16"/>
  <c r="P846" i="16"/>
  <c r="K846" i="16"/>
  <c r="F846" i="16"/>
  <c r="Y845" i="16"/>
  <c r="T845" i="16"/>
  <c r="O845" i="16"/>
  <c r="I845" i="16"/>
  <c r="D845" i="16"/>
  <c r="X844" i="16"/>
  <c r="R844" i="16"/>
  <c r="M844" i="16"/>
  <c r="H844" i="16"/>
  <c r="B844" i="16"/>
  <c r="V843" i="16"/>
  <c r="Q843" i="16"/>
  <c r="K843" i="16"/>
  <c r="F843" i="16"/>
  <c r="A843" i="16"/>
  <c r="T842" i="16"/>
  <c r="O842" i="16"/>
  <c r="J842" i="16"/>
  <c r="D842" i="16"/>
  <c r="X841" i="16"/>
  <c r="S841" i="16"/>
  <c r="M841" i="16"/>
  <c r="H841" i="16"/>
  <c r="C841" i="16"/>
  <c r="V840" i="16"/>
  <c r="Q840" i="16"/>
  <c r="L840" i="16"/>
  <c r="F840" i="16"/>
  <c r="A840" i="16"/>
  <c r="U839" i="16"/>
  <c r="O839" i="16"/>
  <c r="J839" i="16"/>
  <c r="E839" i="16"/>
  <c r="X838" i="16"/>
  <c r="S838" i="16"/>
  <c r="N838" i="16"/>
  <c r="H838" i="16"/>
  <c r="C838" i="16"/>
  <c r="W837" i="16"/>
  <c r="Q837" i="16"/>
  <c r="L837" i="16"/>
  <c r="G837" i="16"/>
  <c r="A837" i="16"/>
  <c r="U836" i="16"/>
  <c r="P836" i="16"/>
  <c r="J836" i="16"/>
  <c r="E836" i="16"/>
  <c r="Y835" i="16"/>
  <c r="S835" i="16"/>
  <c r="N835" i="16"/>
  <c r="I835" i="16"/>
  <c r="C835" i="16"/>
  <c r="W834" i="16"/>
  <c r="R834" i="16"/>
  <c r="L834" i="16"/>
  <c r="G834" i="16"/>
  <c r="B834" i="16"/>
  <c r="U833" i="16"/>
  <c r="P833" i="16"/>
  <c r="K833" i="16"/>
  <c r="E833" i="16"/>
  <c r="Y832" i="16"/>
  <c r="T832" i="16"/>
  <c r="N832" i="16"/>
  <c r="I832" i="16"/>
  <c r="D832" i="16"/>
  <c r="W831" i="16"/>
  <c r="R831" i="16"/>
  <c r="M831" i="16"/>
  <c r="G831" i="16"/>
  <c r="B831" i="16"/>
  <c r="V830" i="16"/>
  <c r="P830" i="16"/>
  <c r="K830" i="16"/>
  <c r="F830" i="16"/>
  <c r="Y829" i="16"/>
  <c r="T829" i="16"/>
  <c r="O829" i="16"/>
  <c r="I829" i="16"/>
  <c r="D829" i="16"/>
  <c r="X828" i="16"/>
  <c r="R828" i="16"/>
  <c r="M828" i="16"/>
  <c r="H828" i="16"/>
  <c r="B828" i="16"/>
  <c r="V827" i="16"/>
  <c r="Q827" i="16"/>
  <c r="K827" i="16"/>
  <c r="F827" i="16"/>
  <c r="A827" i="16"/>
  <c r="T826" i="16"/>
  <c r="O826" i="16"/>
  <c r="J826" i="16"/>
  <c r="D826" i="16"/>
  <c r="X825" i="16"/>
  <c r="S825" i="16"/>
  <c r="M825" i="16"/>
  <c r="H825" i="16"/>
  <c r="C825" i="16"/>
  <c r="V824" i="16"/>
  <c r="Q824" i="16"/>
  <c r="L824" i="16"/>
  <c r="F824" i="16"/>
  <c r="A824" i="16"/>
  <c r="U823" i="16"/>
  <c r="O823" i="16"/>
  <c r="J823" i="16"/>
  <c r="E823" i="16"/>
  <c r="X822" i="16"/>
  <c r="S822" i="16"/>
  <c r="N822" i="16"/>
  <c r="H822" i="16"/>
  <c r="C822" i="16"/>
  <c r="W821" i="16"/>
  <c r="Q821" i="16"/>
  <c r="L821" i="16"/>
  <c r="G821" i="16"/>
  <c r="A821" i="16"/>
  <c r="U820" i="16"/>
  <c r="P820" i="16"/>
  <c r="J820" i="16"/>
  <c r="E820" i="16"/>
  <c r="Y819" i="16"/>
  <c r="S819" i="16"/>
  <c r="N819" i="16"/>
  <c r="I819" i="16"/>
  <c r="C819" i="16"/>
  <c r="W818" i="16"/>
  <c r="R818" i="16"/>
  <c r="L818" i="16"/>
  <c r="G818" i="16"/>
  <c r="B818" i="16"/>
  <c r="U817" i="16"/>
  <c r="P817" i="16"/>
  <c r="K817" i="16"/>
  <c r="E817" i="16"/>
  <c r="Y816" i="16"/>
  <c r="T816" i="16"/>
  <c r="N816" i="16"/>
  <c r="I816" i="16"/>
  <c r="D816" i="16"/>
  <c r="W815" i="16"/>
  <c r="R815" i="16"/>
  <c r="M815" i="16"/>
  <c r="G815" i="16"/>
  <c r="B815" i="16"/>
  <c r="V814" i="16"/>
  <c r="P814" i="16"/>
  <c r="K814" i="16"/>
  <c r="F814" i="16"/>
  <c r="Y813" i="16"/>
  <c r="T813" i="16"/>
  <c r="O813" i="16"/>
  <c r="I813" i="16"/>
  <c r="D813" i="16"/>
  <c r="X812" i="16"/>
  <c r="R812" i="16"/>
  <c r="M812" i="16"/>
  <c r="H812" i="16"/>
  <c r="B812" i="16"/>
  <c r="V811" i="16"/>
  <c r="Q811" i="16"/>
  <c r="K811" i="16"/>
  <c r="F811" i="16"/>
  <c r="A811" i="16"/>
  <c r="T810" i="16"/>
  <c r="O810" i="16"/>
  <c r="J810" i="16"/>
  <c r="D810" i="16"/>
  <c r="X809" i="16"/>
  <c r="S809" i="16"/>
  <c r="M809" i="16"/>
  <c r="H809" i="16"/>
  <c r="C809" i="16"/>
  <c r="V808" i="16"/>
  <c r="Q808" i="16"/>
  <c r="L808" i="16"/>
  <c r="F808" i="16"/>
  <c r="A808" i="16"/>
  <c r="U807" i="16"/>
  <c r="O807" i="16"/>
  <c r="J807" i="16"/>
  <c r="E807" i="16"/>
  <c r="X806" i="16"/>
  <c r="O1164" i="16"/>
  <c r="H1151" i="16"/>
  <c r="K1140" i="16"/>
  <c r="O1131" i="16"/>
  <c r="O1123" i="16"/>
  <c r="J1115" i="16"/>
  <c r="X1109" i="16"/>
  <c r="P1104" i="16"/>
  <c r="D1100" i="16"/>
  <c r="C1096" i="16"/>
  <c r="C1092" i="16"/>
  <c r="A1088" i="16"/>
  <c r="X1083" i="16"/>
  <c r="X1079" i="16"/>
  <c r="V1075" i="16"/>
  <c r="U1071" i="16"/>
  <c r="U1067" i="16"/>
  <c r="R1063" i="16"/>
  <c r="Q1059" i="16"/>
  <c r="Q1055" i="16"/>
  <c r="P1051" i="16"/>
  <c r="M1047" i="16"/>
  <c r="W1044" i="16"/>
  <c r="F1042" i="16"/>
  <c r="L1039" i="16"/>
  <c r="W1036" i="16"/>
  <c r="X1034" i="16"/>
  <c r="L1033" i="16"/>
  <c r="W1031" i="16"/>
  <c r="K1030" i="16"/>
  <c r="W1028" i="16"/>
  <c r="H1027" i="16"/>
  <c r="U1025" i="16"/>
  <c r="I1024" i="16"/>
  <c r="T1022" i="16"/>
  <c r="H1021" i="16"/>
  <c r="T1019" i="16"/>
  <c r="G1018" i="16"/>
  <c r="S1016" i="16"/>
  <c r="G1015" i="16"/>
  <c r="Q1013" i="16"/>
  <c r="E1012" i="16"/>
  <c r="Q1010" i="16"/>
  <c r="D1009" i="16"/>
  <c r="P1007" i="16"/>
  <c r="D1006" i="16"/>
  <c r="O1004" i="16"/>
  <c r="C1003" i="16"/>
  <c r="P1001" i="16"/>
  <c r="A1000" i="16"/>
  <c r="M998" i="16"/>
  <c r="A997" i="16"/>
  <c r="L995" i="16"/>
  <c r="Y993" i="16"/>
  <c r="M992" i="16"/>
  <c r="X990" i="16"/>
  <c r="L989" i="16"/>
  <c r="X987" i="16"/>
  <c r="I986" i="16"/>
  <c r="V984" i="16"/>
  <c r="J983" i="16"/>
  <c r="U981" i="16"/>
  <c r="I980" i="16"/>
  <c r="U978" i="16"/>
  <c r="H977" i="16"/>
  <c r="T975" i="16"/>
  <c r="H974" i="16"/>
  <c r="R972" i="16"/>
  <c r="F971" i="16"/>
  <c r="R969" i="16"/>
  <c r="E968" i="16"/>
  <c r="Q966" i="16"/>
  <c r="E965" i="16"/>
  <c r="P963" i="16"/>
  <c r="D962" i="16"/>
  <c r="Q960" i="16"/>
  <c r="B959" i="16"/>
  <c r="N957" i="16"/>
  <c r="B956" i="16"/>
  <c r="M954" i="16"/>
  <c r="A953" i="16"/>
  <c r="N951" i="16"/>
  <c r="Y949" i="16"/>
  <c r="M948" i="16"/>
  <c r="Y946" i="16"/>
  <c r="J945" i="16"/>
  <c r="R944" i="16"/>
  <c r="W943" i="16"/>
  <c r="D943" i="16"/>
  <c r="K942" i="16"/>
  <c r="Q941" i="16"/>
  <c r="V940" i="16"/>
  <c r="E940" i="16"/>
  <c r="J939" i="16"/>
  <c r="O938" i="16"/>
  <c r="V937" i="16"/>
  <c r="B937" i="16"/>
  <c r="I936" i="16"/>
  <c r="O935" i="16"/>
  <c r="U934" i="16"/>
  <c r="A934" i="16"/>
  <c r="I933" i="16"/>
  <c r="N932" i="16"/>
  <c r="S931" i="16"/>
  <c r="B931" i="16"/>
  <c r="G930" i="16"/>
  <c r="M929" i="16"/>
  <c r="S928" i="16"/>
  <c r="A928" i="16"/>
  <c r="F927" i="16"/>
  <c r="M926" i="16"/>
  <c r="R925" i="16"/>
  <c r="W924" i="16"/>
  <c r="F924" i="16"/>
  <c r="K923" i="16"/>
  <c r="Q922" i="16"/>
  <c r="X921" i="16"/>
  <c r="E921" i="16"/>
  <c r="J920" i="16"/>
  <c r="R919" i="16"/>
  <c r="W918" i="16"/>
  <c r="C918" i="16"/>
  <c r="J917" i="16"/>
  <c r="O916" i="16"/>
  <c r="V915" i="16"/>
  <c r="C915" i="16"/>
  <c r="I914" i="16"/>
  <c r="N913" i="16"/>
  <c r="V912" i="16"/>
  <c r="B912" i="16"/>
  <c r="G911" i="16"/>
  <c r="O910" i="16"/>
  <c r="T909" i="16"/>
  <c r="A909" i="16"/>
  <c r="G908" i="16"/>
  <c r="N907" i="16"/>
  <c r="S906" i="16"/>
  <c r="A906" i="16"/>
  <c r="F905" i="16"/>
  <c r="K904" i="16"/>
  <c r="S903" i="16"/>
  <c r="X902" i="16"/>
  <c r="E902" i="16"/>
  <c r="L901" i="16"/>
  <c r="R900" i="16"/>
  <c r="W899" i="16"/>
  <c r="F899" i="16"/>
  <c r="K898" i="16"/>
  <c r="U897" i="16"/>
  <c r="H897" i="16"/>
  <c r="R896" i="16"/>
  <c r="D896" i="16"/>
  <c r="O895" i="16"/>
  <c r="A895" i="16"/>
  <c r="K894" i="16"/>
  <c r="W893" i="16"/>
  <c r="H893" i="16"/>
  <c r="R892" i="16"/>
  <c r="E892" i="16"/>
  <c r="O891" i="16"/>
  <c r="A891" i="16"/>
  <c r="L890" i="16"/>
  <c r="W889" i="16"/>
  <c r="H889" i="16"/>
  <c r="T888" i="16"/>
  <c r="E888" i="16"/>
  <c r="O887" i="16"/>
  <c r="B887" i="16"/>
  <c r="L886" i="16"/>
  <c r="W885" i="16"/>
  <c r="I885" i="16"/>
  <c r="T884" i="16"/>
  <c r="E884" i="16"/>
  <c r="Q883" i="16"/>
  <c r="B883" i="16"/>
  <c r="L882" i="16"/>
  <c r="X881" i="16"/>
  <c r="I881" i="16"/>
  <c r="T880" i="16"/>
  <c r="F880" i="16"/>
  <c r="Q879" i="16"/>
  <c r="B879" i="16"/>
  <c r="N878" i="16"/>
  <c r="X877" i="16"/>
  <c r="I877" i="16"/>
  <c r="U876" i="16"/>
  <c r="F876" i="16"/>
  <c r="Q875" i="16"/>
  <c r="C875" i="16"/>
  <c r="N874" i="16"/>
  <c r="X873" i="16"/>
  <c r="K873" i="16"/>
  <c r="U872" i="16"/>
  <c r="F872" i="16"/>
  <c r="R871" i="16"/>
  <c r="C871" i="16"/>
  <c r="N870" i="16"/>
  <c r="Y869" i="16"/>
  <c r="K869" i="16"/>
  <c r="U868" i="16"/>
  <c r="H868" i="16"/>
  <c r="R867" i="16"/>
  <c r="C867" i="16"/>
  <c r="O866" i="16"/>
  <c r="Y865" i="16"/>
  <c r="K865" i="16"/>
  <c r="V864" i="16"/>
  <c r="H864" i="16"/>
  <c r="R863" i="16"/>
  <c r="E863" i="16"/>
  <c r="R862" i="16"/>
  <c r="G862" i="16"/>
  <c r="U861" i="16"/>
  <c r="K861" i="16"/>
  <c r="Y860" i="16"/>
  <c r="N860" i="16"/>
  <c r="D860" i="16"/>
  <c r="R859" i="16"/>
  <c r="G859" i="16"/>
  <c r="V858" i="16"/>
  <c r="K858" i="16"/>
  <c r="Y857" i="16"/>
  <c r="O857" i="16"/>
  <c r="D857" i="16"/>
  <c r="R856" i="16"/>
  <c r="H856" i="16"/>
  <c r="V855" i="16"/>
  <c r="K855" i="16"/>
  <c r="A855" i="16"/>
  <c r="O854" i="16"/>
  <c r="D854" i="16"/>
  <c r="S853" i="16"/>
  <c r="H853" i="16"/>
  <c r="V852" i="16"/>
  <c r="L852" i="16"/>
  <c r="A852" i="16"/>
  <c r="O851" i="16"/>
  <c r="E851" i="16"/>
  <c r="S850" i="16"/>
  <c r="H850" i="16"/>
  <c r="W849" i="16"/>
  <c r="L849" i="16"/>
  <c r="A849" i="16"/>
  <c r="P848" i="16"/>
  <c r="E848" i="16"/>
  <c r="S847" i="16"/>
  <c r="I847" i="16"/>
  <c r="W846" i="16"/>
  <c r="L846" i="16"/>
  <c r="B846" i="16"/>
  <c r="P845" i="16"/>
  <c r="E845" i="16"/>
  <c r="T844" i="16"/>
  <c r="I844" i="16"/>
  <c r="W843" i="16"/>
  <c r="M843" i="16"/>
  <c r="B843" i="16"/>
  <c r="P842" i="16"/>
  <c r="F842" i="16"/>
  <c r="T841" i="16"/>
  <c r="I841" i="16"/>
  <c r="X840" i="16"/>
  <c r="M840" i="16"/>
  <c r="B840" i="16"/>
  <c r="Q839" i="16"/>
  <c r="F839" i="16"/>
  <c r="T838" i="16"/>
  <c r="J838" i="16"/>
  <c r="X837" i="16"/>
  <c r="M837" i="16"/>
  <c r="C837" i="16"/>
  <c r="Q836" i="16"/>
  <c r="F836" i="16"/>
  <c r="U835" i="16"/>
  <c r="J835" i="16"/>
  <c r="X834" i="16"/>
  <c r="N834" i="16"/>
  <c r="C834" i="16"/>
  <c r="Q833" i="16"/>
  <c r="G833" i="16"/>
  <c r="U832" i="16"/>
  <c r="J832" i="16"/>
  <c r="Y831" i="16"/>
  <c r="N831" i="16"/>
  <c r="C831" i="16"/>
  <c r="R830" i="16"/>
  <c r="G830" i="16"/>
  <c r="U829" i="16"/>
  <c r="K829" i="16"/>
  <c r="Y828" i="16"/>
  <c r="N828" i="16"/>
  <c r="D828" i="16"/>
  <c r="R827" i="16"/>
  <c r="G827" i="16"/>
  <c r="V826" i="16"/>
  <c r="K826" i="16"/>
  <c r="Y825" i="16"/>
  <c r="O825" i="16"/>
  <c r="D825" i="16"/>
  <c r="R824" i="16"/>
  <c r="H824" i="16"/>
  <c r="V823" i="16"/>
  <c r="K823" i="16"/>
  <c r="A823" i="16"/>
  <c r="O822" i="16"/>
  <c r="D822" i="16"/>
  <c r="S821" i="16"/>
  <c r="H821" i="16"/>
  <c r="V820" i="16"/>
  <c r="L820" i="16"/>
  <c r="A820" i="16"/>
  <c r="O819" i="16"/>
  <c r="E819" i="16"/>
  <c r="S818" i="16"/>
  <c r="H818" i="16"/>
  <c r="W817" i="16"/>
  <c r="L817" i="16"/>
  <c r="A817" i="16"/>
  <c r="P816" i="16"/>
  <c r="E816" i="16"/>
  <c r="S815" i="16"/>
  <c r="I815" i="16"/>
  <c r="W814" i="16"/>
  <c r="L814" i="16"/>
  <c r="B814" i="16"/>
  <c r="P813" i="16"/>
  <c r="E813" i="16"/>
  <c r="T812" i="16"/>
  <c r="I812" i="16"/>
  <c r="W811" i="16"/>
  <c r="M811" i="16"/>
  <c r="B811" i="16"/>
  <c r="P810" i="16"/>
  <c r="F810" i="16"/>
  <c r="T809" i="16"/>
  <c r="I809" i="16"/>
  <c r="X808" i="16"/>
  <c r="M808" i="16"/>
  <c r="B808" i="16"/>
  <c r="Q807" i="16"/>
  <c r="F807" i="16"/>
  <c r="V806" i="16"/>
  <c r="P806" i="16"/>
  <c r="K806" i="16"/>
  <c r="F806" i="16"/>
  <c r="Y805" i="16"/>
  <c r="T805" i="16"/>
  <c r="O805" i="16"/>
  <c r="I805" i="16"/>
  <c r="D805" i="16"/>
  <c r="X804" i="16"/>
  <c r="R804" i="16"/>
  <c r="M804" i="16"/>
  <c r="H804" i="16"/>
  <c r="B804" i="16"/>
  <c r="V803" i="16"/>
  <c r="Q803" i="16"/>
  <c r="K803" i="16"/>
  <c r="F803" i="16"/>
  <c r="A803" i="16"/>
  <c r="T802" i="16"/>
  <c r="O802" i="16"/>
  <c r="J802" i="16"/>
  <c r="D802" i="16"/>
  <c r="X801" i="16"/>
  <c r="S801" i="16"/>
  <c r="M801" i="16"/>
  <c r="H801" i="16"/>
  <c r="C801" i="16"/>
  <c r="V800" i="16"/>
  <c r="Q800" i="16"/>
  <c r="L800" i="16"/>
  <c r="F800" i="16"/>
  <c r="A800" i="16"/>
  <c r="U799" i="16"/>
  <c r="O799" i="16"/>
  <c r="J799" i="16"/>
  <c r="E799" i="16"/>
  <c r="X798" i="16"/>
  <c r="S798" i="16"/>
  <c r="N798" i="16"/>
  <c r="H798" i="16"/>
  <c r="C798" i="16"/>
  <c r="W797" i="16"/>
  <c r="Q797" i="16"/>
  <c r="L797" i="16"/>
  <c r="G797" i="16"/>
  <c r="A797" i="16"/>
  <c r="U796" i="16"/>
  <c r="P796" i="16"/>
  <c r="J796" i="16"/>
  <c r="E796" i="16"/>
  <c r="Y795" i="16"/>
  <c r="S795" i="16"/>
  <c r="N795" i="16"/>
  <c r="I795" i="16"/>
  <c r="C795" i="16"/>
  <c r="W794" i="16"/>
  <c r="R794" i="16"/>
  <c r="L794" i="16"/>
  <c r="G794" i="16"/>
  <c r="B794" i="16"/>
  <c r="U793" i="16"/>
  <c r="P793" i="16"/>
  <c r="K793" i="16"/>
  <c r="E793" i="16"/>
  <c r="Y792" i="16"/>
  <c r="T792" i="16"/>
  <c r="N792" i="16"/>
  <c r="I792" i="16"/>
  <c r="D792" i="16"/>
  <c r="W791" i="16"/>
  <c r="R791" i="16"/>
  <c r="M791" i="16"/>
  <c r="G791" i="16"/>
  <c r="B791" i="16"/>
  <c r="V790" i="16"/>
  <c r="P790" i="16"/>
  <c r="K790" i="16"/>
  <c r="F790" i="16"/>
  <c r="Y789" i="16"/>
  <c r="T789" i="16"/>
  <c r="O789" i="16"/>
  <c r="I789" i="16"/>
  <c r="D789" i="16"/>
  <c r="X788" i="16"/>
  <c r="R788" i="16"/>
  <c r="M788" i="16"/>
  <c r="H788" i="16"/>
  <c r="B788" i="16"/>
  <c r="V787" i="16"/>
  <c r="Q787" i="16"/>
  <c r="K787" i="16"/>
  <c r="F787" i="16"/>
  <c r="A787" i="16"/>
  <c r="T786" i="16"/>
  <c r="O786" i="16"/>
  <c r="J786" i="16"/>
  <c r="D786" i="16"/>
  <c r="X785" i="16"/>
  <c r="S785" i="16"/>
  <c r="M785" i="16"/>
  <c r="H785" i="16"/>
  <c r="C785" i="16"/>
  <c r="V784" i="16"/>
  <c r="Q784" i="16"/>
  <c r="L784" i="16"/>
  <c r="F784" i="16"/>
  <c r="A784" i="16"/>
  <c r="U783" i="16"/>
  <c r="O783" i="16"/>
  <c r="J783" i="16"/>
  <c r="E783" i="16"/>
  <c r="X782" i="16"/>
  <c r="S782" i="16"/>
  <c r="N782" i="16"/>
  <c r="H782" i="16"/>
  <c r="C782" i="16"/>
  <c r="W781" i="16"/>
  <c r="Q781" i="16"/>
  <c r="L781" i="16"/>
  <c r="G781" i="16"/>
  <c r="A781" i="16"/>
  <c r="U780" i="16"/>
  <c r="P780" i="16"/>
  <c r="J780" i="16"/>
  <c r="E780" i="16"/>
  <c r="Y779" i="16"/>
  <c r="S779" i="16"/>
  <c r="N779" i="16"/>
  <c r="I779" i="16"/>
  <c r="C779" i="16"/>
  <c r="W778" i="16"/>
  <c r="R778" i="16"/>
  <c r="L778" i="16"/>
  <c r="G778" i="16"/>
  <c r="B778" i="16"/>
  <c r="U777" i="16"/>
  <c r="P777" i="16"/>
  <c r="K777" i="16"/>
  <c r="E777" i="16"/>
  <c r="Y776" i="16"/>
  <c r="T776" i="16"/>
  <c r="N776" i="16"/>
  <c r="I776" i="16"/>
  <c r="D776" i="16"/>
  <c r="W775" i="16"/>
  <c r="R775" i="16"/>
  <c r="M775" i="16"/>
  <c r="G775" i="16"/>
  <c r="B775" i="16"/>
  <c r="V774" i="16"/>
  <c r="P774" i="16"/>
  <c r="K774" i="16"/>
  <c r="F774" i="16"/>
  <c r="Y773" i="16"/>
  <c r="T773" i="16"/>
  <c r="O773" i="16"/>
  <c r="I773" i="16"/>
  <c r="D773" i="16"/>
  <c r="X772" i="16"/>
  <c r="R772" i="16"/>
  <c r="M772" i="16"/>
  <c r="H772" i="16"/>
  <c r="B772" i="16"/>
  <c r="V771" i="16"/>
  <c r="Q771" i="16"/>
  <c r="K771" i="16"/>
  <c r="F771" i="16"/>
  <c r="A771" i="16"/>
  <c r="T770" i="16"/>
  <c r="O770" i="16"/>
  <c r="J770" i="16"/>
  <c r="D770" i="16"/>
  <c r="X769" i="16"/>
  <c r="S769" i="16"/>
  <c r="M769" i="16"/>
  <c r="H769" i="16"/>
  <c r="C769" i="16"/>
  <c r="V768" i="16"/>
  <c r="Q768" i="16"/>
  <c r="L768" i="16"/>
  <c r="F768" i="16"/>
  <c r="A768" i="16"/>
  <c r="U767" i="16"/>
  <c r="O767" i="16"/>
  <c r="J767" i="16"/>
  <c r="E767" i="16"/>
  <c r="X766" i="16"/>
  <c r="S766" i="16"/>
  <c r="N766" i="16"/>
  <c r="H766" i="16"/>
  <c r="C766" i="16"/>
  <c r="W765" i="16"/>
  <c r="Q765" i="16"/>
  <c r="L765" i="16"/>
  <c r="G765" i="16"/>
  <c r="A765" i="16"/>
  <c r="U764" i="16"/>
  <c r="P764" i="16"/>
  <c r="J764" i="16"/>
  <c r="E764" i="16"/>
  <c r="Y763" i="16"/>
  <c r="S763" i="16"/>
  <c r="N763" i="16"/>
  <c r="I763" i="16"/>
  <c r="C763" i="16"/>
  <c r="W762" i="16"/>
  <c r="R762" i="16"/>
  <c r="L762" i="16"/>
  <c r="G762" i="16"/>
  <c r="B762" i="16"/>
  <c r="U761" i="16"/>
  <c r="P761" i="16"/>
  <c r="K761" i="16"/>
  <c r="E761" i="16"/>
  <c r="Y760" i="16"/>
  <c r="T760" i="16"/>
  <c r="N760" i="16"/>
  <c r="I760" i="16"/>
  <c r="D760" i="16"/>
  <c r="W759" i="16"/>
  <c r="R759" i="16"/>
  <c r="M759" i="16"/>
  <c r="G759" i="16"/>
  <c r="B759" i="16"/>
  <c r="V758" i="16"/>
  <c r="P758" i="16"/>
  <c r="K758" i="16"/>
  <c r="F758" i="16"/>
  <c r="Y757" i="16"/>
  <c r="T757" i="16"/>
  <c r="O757" i="16"/>
  <c r="I757" i="16"/>
  <c r="D757" i="16"/>
  <c r="X756" i="16"/>
  <c r="R756" i="16"/>
  <c r="M756" i="16"/>
  <c r="H756" i="16"/>
  <c r="B756" i="16"/>
  <c r="V755" i="16"/>
  <c r="Q755" i="16"/>
  <c r="K755" i="16"/>
  <c r="F755" i="16"/>
  <c r="A755" i="16"/>
  <c r="T754" i="16"/>
  <c r="O754" i="16"/>
  <c r="J754" i="16"/>
  <c r="D754" i="16"/>
  <c r="X753" i="16"/>
  <c r="S753" i="16"/>
  <c r="M753" i="16"/>
  <c r="H753" i="16"/>
  <c r="C753" i="16"/>
  <c r="V752" i="16"/>
  <c r="Q752" i="16"/>
  <c r="L752" i="16"/>
  <c r="F752" i="16"/>
  <c r="A752" i="16"/>
  <c r="U751" i="16"/>
  <c r="O751" i="16"/>
  <c r="J751" i="16"/>
  <c r="E751" i="16"/>
  <c r="X750" i="16"/>
  <c r="S750" i="16"/>
  <c r="N750" i="16"/>
  <c r="H750" i="16"/>
  <c r="C750" i="16"/>
  <c r="W749" i="16"/>
  <c r="Q749" i="16"/>
  <c r="L749" i="16"/>
  <c r="G749" i="16"/>
  <c r="A749" i="16"/>
  <c r="U748" i="16"/>
  <c r="P748" i="16"/>
  <c r="J748" i="16"/>
  <c r="E748" i="16"/>
  <c r="Y747" i="16"/>
  <c r="S747" i="16"/>
  <c r="N747" i="16"/>
  <c r="I747" i="16"/>
  <c r="C747" i="16"/>
  <c r="W746" i="16"/>
  <c r="R746" i="16"/>
  <c r="L746" i="16"/>
  <c r="G746" i="16"/>
  <c r="B746" i="16"/>
  <c r="U745" i="16"/>
  <c r="P745" i="16"/>
  <c r="K745" i="16"/>
  <c r="E745" i="16"/>
  <c r="Y744" i="16"/>
  <c r="T744" i="16"/>
  <c r="N744" i="16"/>
  <c r="I744" i="16"/>
  <c r="D744" i="16"/>
  <c r="W743" i="16"/>
  <c r="R743" i="16"/>
  <c r="M743" i="16"/>
  <c r="G743" i="16"/>
  <c r="B743" i="16"/>
  <c r="V742" i="16"/>
  <c r="P742" i="16"/>
  <c r="K742" i="16"/>
  <c r="F742" i="16"/>
  <c r="Y741" i="16"/>
  <c r="T741" i="16"/>
  <c r="O741" i="16"/>
  <c r="I741" i="16"/>
  <c r="D741" i="16"/>
  <c r="X740" i="16"/>
  <c r="R740" i="16"/>
  <c r="M740" i="16"/>
  <c r="H740" i="16"/>
  <c r="B740" i="16"/>
  <c r="V739" i="16"/>
  <c r="Q739" i="16"/>
  <c r="K739" i="16"/>
  <c r="F739" i="16"/>
  <c r="A739" i="16"/>
  <c r="T738" i="16"/>
  <c r="O738" i="16"/>
  <c r="J738" i="16"/>
  <c r="D738" i="16"/>
  <c r="X737" i="16"/>
  <c r="S737" i="16"/>
  <c r="M737" i="16"/>
  <c r="H737" i="16"/>
  <c r="C737" i="16"/>
  <c r="V736" i="16"/>
  <c r="Q736" i="16"/>
  <c r="L736" i="16"/>
  <c r="F736" i="16"/>
  <c r="A736" i="16"/>
  <c r="U735" i="16"/>
  <c r="O735" i="16"/>
  <c r="J735" i="16"/>
  <c r="E735" i="16"/>
  <c r="X734" i="16"/>
  <c r="S734" i="16"/>
  <c r="N734" i="16"/>
  <c r="H734" i="16"/>
  <c r="C734" i="16"/>
  <c r="W733" i="16"/>
  <c r="Q733" i="16"/>
  <c r="L733" i="16"/>
  <c r="G733" i="16"/>
  <c r="A733" i="16"/>
  <c r="U732" i="16"/>
  <c r="P732" i="16"/>
  <c r="J732" i="16"/>
  <c r="E732" i="16"/>
  <c r="Y731" i="16"/>
  <c r="S731" i="16"/>
  <c r="N731" i="16"/>
  <c r="I731" i="16"/>
  <c r="C731" i="16"/>
  <c r="W730" i="16"/>
  <c r="R730" i="16"/>
  <c r="L730" i="16"/>
  <c r="G730" i="16"/>
  <c r="B730" i="16"/>
  <c r="U729" i="16"/>
  <c r="P729" i="16"/>
  <c r="K729" i="16"/>
  <c r="E729" i="16"/>
  <c r="Y728" i="16"/>
  <c r="T728" i="16"/>
  <c r="N728" i="16"/>
  <c r="I728" i="16"/>
  <c r="D728" i="16"/>
  <c r="W727" i="16"/>
  <c r="R727" i="16"/>
  <c r="M727" i="16"/>
  <c r="G727" i="16"/>
  <c r="B727" i="16"/>
  <c r="V726" i="16"/>
  <c r="P726" i="16"/>
  <c r="K726" i="16"/>
  <c r="F726" i="16"/>
  <c r="Y725" i="16"/>
  <c r="T725" i="16"/>
  <c r="O725" i="16"/>
  <c r="I725" i="16"/>
  <c r="D725" i="16"/>
  <c r="X724" i="16"/>
  <c r="R724" i="16"/>
  <c r="M724" i="16"/>
  <c r="H724" i="16"/>
  <c r="B724" i="16"/>
  <c r="V723" i="16"/>
  <c r="Q723" i="16"/>
  <c r="K723" i="16"/>
  <c r="F723" i="16"/>
  <c r="A723" i="16"/>
  <c r="T722" i="16"/>
  <c r="O722" i="16"/>
  <c r="J722" i="16"/>
  <c r="D722" i="16"/>
  <c r="X721" i="16"/>
  <c r="S721" i="16"/>
  <c r="M721" i="16"/>
  <c r="H721" i="16"/>
  <c r="C721" i="16"/>
  <c r="V720" i="16"/>
  <c r="Q720" i="16"/>
  <c r="L720" i="16"/>
  <c r="F720" i="16"/>
  <c r="A720" i="16"/>
  <c r="U719" i="16"/>
  <c r="O719" i="16"/>
  <c r="J719" i="16"/>
  <c r="E719" i="16"/>
  <c r="X718" i="16"/>
  <c r="S718" i="16"/>
  <c r="N718" i="16"/>
  <c r="H718" i="16"/>
  <c r="C718" i="16"/>
  <c r="W717" i="16"/>
  <c r="Q717" i="16"/>
  <c r="L717" i="16"/>
  <c r="G717" i="16"/>
  <c r="A717" i="16"/>
  <c r="U716" i="16"/>
  <c r="P716" i="16"/>
  <c r="J716" i="16"/>
  <c r="E716" i="16"/>
  <c r="Y715" i="16"/>
  <c r="S715" i="16"/>
  <c r="N715" i="16"/>
  <c r="I715" i="16"/>
  <c r="C715" i="16"/>
  <c r="W714" i="16"/>
  <c r="R714" i="16"/>
  <c r="L714" i="16"/>
  <c r="G714" i="16"/>
  <c r="B714" i="16"/>
  <c r="U713" i="16"/>
  <c r="P713" i="16"/>
  <c r="K713" i="16"/>
  <c r="E713" i="16"/>
  <c r="Y712" i="16"/>
  <c r="T712" i="16"/>
  <c r="N712" i="16"/>
  <c r="I712" i="16"/>
  <c r="D712" i="16"/>
  <c r="W711" i="16"/>
  <c r="R711" i="16"/>
  <c r="M711" i="16"/>
  <c r="G711" i="16"/>
  <c r="B711" i="16"/>
  <c r="V710" i="16"/>
  <c r="P710" i="16"/>
  <c r="K710" i="16"/>
  <c r="F710" i="16"/>
  <c r="Y709" i="16"/>
  <c r="T709" i="16"/>
  <c r="O709" i="16"/>
  <c r="I709" i="16"/>
  <c r="D709" i="16"/>
  <c r="X708" i="16"/>
  <c r="R708" i="16"/>
  <c r="M708" i="16"/>
  <c r="H708" i="16"/>
  <c r="B708" i="16"/>
  <c r="V707" i="16"/>
  <c r="Q707" i="16"/>
  <c r="K707" i="16"/>
  <c r="F707" i="16"/>
  <c r="A707" i="16"/>
  <c r="T706" i="16"/>
  <c r="O706" i="16"/>
  <c r="J706" i="16"/>
  <c r="D706" i="16"/>
  <c r="X705" i="16"/>
  <c r="S705" i="16"/>
  <c r="M705" i="16"/>
  <c r="H705" i="16"/>
  <c r="C705" i="16"/>
  <c r="V704" i="16"/>
  <c r="Q704" i="16"/>
  <c r="L704" i="16"/>
  <c r="F704" i="16"/>
  <c r="A704" i="16"/>
  <c r="U703" i="16"/>
  <c r="O703" i="16"/>
  <c r="J703" i="16"/>
  <c r="E703" i="16"/>
  <c r="X702" i="16"/>
  <c r="S702" i="16"/>
  <c r="N702" i="16"/>
  <c r="H702" i="16"/>
  <c r="C702" i="16"/>
  <c r="W701" i="16"/>
  <c r="Q701" i="16"/>
  <c r="L701" i="16"/>
  <c r="G701" i="16"/>
  <c r="A701" i="16"/>
  <c r="U700" i="16"/>
  <c r="P700" i="16"/>
  <c r="J700" i="16"/>
  <c r="E700" i="16"/>
  <c r="Y699" i="16"/>
  <c r="S699" i="16"/>
  <c r="N699" i="16"/>
  <c r="I699" i="16"/>
  <c r="C699" i="16"/>
  <c r="W698" i="16"/>
  <c r="R698" i="16"/>
  <c r="L698" i="16"/>
  <c r="G698" i="16"/>
  <c r="B698" i="16"/>
  <c r="U697" i="16"/>
  <c r="P697" i="16"/>
  <c r="K697" i="16"/>
  <c r="E697" i="16"/>
  <c r="Y696" i="16"/>
  <c r="T696" i="16"/>
  <c r="N696" i="16"/>
  <c r="I696" i="16"/>
  <c r="D696" i="16"/>
  <c r="W695" i="16"/>
  <c r="R695" i="16"/>
  <c r="M695" i="16"/>
  <c r="G695" i="16"/>
  <c r="B695" i="16"/>
  <c r="V694" i="16"/>
  <c r="P694" i="16"/>
  <c r="K694" i="16"/>
  <c r="F694" i="16"/>
  <c r="Y693" i="16"/>
  <c r="T693" i="16"/>
  <c r="O693" i="16"/>
  <c r="I693" i="16"/>
  <c r="D693" i="16"/>
  <c r="X692" i="16"/>
  <c r="R692" i="16"/>
  <c r="M692" i="16"/>
  <c r="H692" i="16"/>
  <c r="B692" i="16"/>
  <c r="V691" i="16"/>
  <c r="Q691" i="16"/>
  <c r="K691" i="16"/>
  <c r="F691" i="16"/>
  <c r="A691" i="16"/>
  <c r="T690" i="16"/>
  <c r="O690" i="16"/>
  <c r="J690" i="16"/>
  <c r="D690" i="16"/>
  <c r="X689" i="16"/>
  <c r="S689" i="16"/>
  <c r="M689" i="16"/>
  <c r="H689" i="16"/>
  <c r="C689" i="16"/>
  <c r="V688" i="16"/>
  <c r="Q688" i="16"/>
  <c r="L688" i="16"/>
  <c r="F688" i="16"/>
  <c r="A688" i="16"/>
  <c r="U687" i="16"/>
  <c r="O687" i="16"/>
  <c r="J687" i="16"/>
  <c r="E687" i="16"/>
  <c r="X686" i="16"/>
  <c r="S686" i="16"/>
  <c r="N686" i="16"/>
  <c r="H686" i="16"/>
  <c r="C686" i="16"/>
  <c r="W685" i="16"/>
  <c r="Q685" i="16"/>
  <c r="L685" i="16"/>
  <c r="G685" i="16"/>
  <c r="A685" i="16"/>
  <c r="U684" i="16"/>
  <c r="P684" i="16"/>
  <c r="J684" i="16"/>
  <c r="E684" i="16"/>
  <c r="Y683" i="16"/>
  <c r="S683" i="16"/>
  <c r="N683" i="16"/>
  <c r="I683" i="16"/>
  <c r="C683" i="16"/>
  <c r="W682" i="16"/>
  <c r="R682" i="16"/>
  <c r="L682" i="16"/>
  <c r="G682" i="16"/>
  <c r="B682" i="16"/>
  <c r="U681" i="16"/>
  <c r="P681" i="16"/>
  <c r="K681" i="16"/>
  <c r="E681" i="16"/>
  <c r="Y680" i="16"/>
  <c r="T680" i="16"/>
  <c r="N680" i="16"/>
  <c r="I680" i="16"/>
  <c r="D680" i="16"/>
  <c r="W679" i="16"/>
  <c r="R679" i="16"/>
  <c r="M679" i="16"/>
  <c r="G679" i="16"/>
  <c r="B679" i="16"/>
  <c r="V678" i="16"/>
  <c r="P678" i="16"/>
  <c r="K678" i="16"/>
  <c r="F678" i="16"/>
  <c r="Y677" i="16"/>
  <c r="T677" i="16"/>
  <c r="O677" i="16"/>
  <c r="I677" i="16"/>
  <c r="D677" i="16"/>
  <c r="X676" i="16"/>
  <c r="R676" i="16"/>
  <c r="M676" i="16"/>
  <c r="H676" i="16"/>
  <c r="B676" i="16"/>
  <c r="V675" i="16"/>
  <c r="Q675" i="16"/>
  <c r="K675" i="16"/>
  <c r="F675" i="16"/>
  <c r="A675" i="16"/>
  <c r="T674" i="16"/>
  <c r="O674" i="16"/>
  <c r="J674" i="16"/>
  <c r="D674" i="16"/>
  <c r="X673" i="16"/>
  <c r="S673" i="16"/>
  <c r="M673" i="16"/>
  <c r="H673" i="16"/>
  <c r="C673" i="16"/>
  <c r="V672" i="16"/>
  <c r="Q672" i="16"/>
  <c r="L672" i="16"/>
  <c r="F672" i="16"/>
  <c r="A672" i="16"/>
  <c r="U671" i="16"/>
  <c r="O671" i="16"/>
  <c r="J671" i="16"/>
  <c r="E671" i="16"/>
  <c r="X670" i="16"/>
  <c r="S670" i="16"/>
  <c r="N670" i="16"/>
  <c r="H670" i="16"/>
  <c r="C670" i="16"/>
  <c r="W669" i="16"/>
  <c r="Q669" i="16"/>
  <c r="L669" i="16"/>
  <c r="G669" i="16"/>
  <c r="A669" i="16"/>
  <c r="U668" i="16"/>
  <c r="P668" i="16"/>
  <c r="J668" i="16"/>
  <c r="E668" i="16"/>
  <c r="Y667" i="16"/>
  <c r="S667" i="16"/>
  <c r="N667" i="16"/>
  <c r="I667" i="16"/>
  <c r="C667" i="16"/>
  <c r="W666" i="16"/>
  <c r="R666" i="16"/>
  <c r="L666" i="16"/>
  <c r="G666" i="16"/>
  <c r="B666" i="16"/>
  <c r="U665" i="16"/>
  <c r="P665" i="16"/>
  <c r="K665" i="16"/>
  <c r="E665" i="16"/>
  <c r="Y664" i="16"/>
  <c r="T664" i="16"/>
  <c r="N664" i="16"/>
  <c r="I664" i="16"/>
  <c r="D664" i="16"/>
  <c r="W663" i="16"/>
  <c r="R663" i="16"/>
  <c r="M663" i="16"/>
  <c r="G663" i="16"/>
  <c r="B663" i="16"/>
  <c r="V662" i="16"/>
  <c r="P662" i="16"/>
  <c r="K662" i="16"/>
  <c r="F662" i="16"/>
  <c r="Y661" i="16"/>
  <c r="T661" i="16"/>
  <c r="O661" i="16"/>
  <c r="I661" i="16"/>
  <c r="D661" i="16"/>
  <c r="X660" i="16"/>
  <c r="R660" i="16"/>
  <c r="M660" i="16"/>
  <c r="H660" i="16"/>
  <c r="B660" i="16"/>
  <c r="V659" i="16"/>
  <c r="Q659" i="16"/>
  <c r="K659" i="16"/>
  <c r="F659" i="16"/>
  <c r="A659" i="16"/>
  <c r="T658" i="16"/>
  <c r="O658" i="16"/>
  <c r="J658" i="16"/>
  <c r="D658" i="16"/>
  <c r="X657" i="16"/>
  <c r="S657" i="16"/>
  <c r="M657" i="16"/>
  <c r="H657" i="16"/>
  <c r="C657" i="16"/>
  <c r="V656" i="16"/>
  <c r="Q656" i="16"/>
  <c r="L656" i="16"/>
  <c r="F656" i="16"/>
  <c r="A656" i="16"/>
  <c r="U655" i="16"/>
  <c r="O655" i="16"/>
  <c r="J655" i="16"/>
  <c r="E655" i="16"/>
  <c r="X654" i="16"/>
  <c r="S654" i="16"/>
  <c r="N654" i="16"/>
  <c r="H654" i="16"/>
  <c r="C654" i="16"/>
  <c r="W653" i="16"/>
  <c r="Q653" i="16"/>
  <c r="L653" i="16"/>
  <c r="G653" i="16"/>
  <c r="A653" i="16"/>
  <c r="U652" i="16"/>
  <c r="P652" i="16"/>
  <c r="J652" i="16"/>
  <c r="E652" i="16"/>
  <c r="Y651" i="16"/>
  <c r="S651" i="16"/>
  <c r="N651" i="16"/>
  <c r="I651" i="16"/>
  <c r="C651" i="16"/>
  <c r="W650" i="16"/>
  <c r="R650" i="16"/>
  <c r="L650" i="16"/>
  <c r="G650" i="16"/>
  <c r="B650" i="16"/>
  <c r="U649" i="16"/>
  <c r="P649" i="16"/>
  <c r="K649" i="16"/>
  <c r="E649" i="16"/>
  <c r="Y648" i="16"/>
  <c r="T648" i="16"/>
  <c r="N648" i="16"/>
  <c r="I648" i="16"/>
  <c r="D648" i="16"/>
  <c r="W647" i="16"/>
  <c r="R647" i="16"/>
  <c r="M647" i="16"/>
  <c r="G647" i="16"/>
  <c r="B647" i="16"/>
  <c r="V646" i="16"/>
  <c r="P646" i="16"/>
  <c r="K646" i="16"/>
  <c r="F646" i="16"/>
  <c r="Y645" i="16"/>
  <c r="T645" i="16"/>
  <c r="O645" i="16"/>
  <c r="I645" i="16"/>
  <c r="D645" i="16"/>
  <c r="X644" i="16"/>
  <c r="R644" i="16"/>
  <c r="M644" i="16"/>
  <c r="H644" i="16"/>
  <c r="B644" i="16"/>
  <c r="V643" i="16"/>
  <c r="Q643" i="16"/>
  <c r="K643" i="16"/>
  <c r="F643" i="16"/>
  <c r="A643" i="16"/>
  <c r="T642" i="16"/>
  <c r="O642" i="16"/>
  <c r="J642" i="16"/>
  <c r="D642" i="16"/>
  <c r="X641" i="16"/>
  <c r="S641" i="16"/>
  <c r="M641" i="16"/>
  <c r="H641" i="16"/>
  <c r="C641" i="16"/>
  <c r="V640" i="16"/>
  <c r="Q640" i="16"/>
  <c r="L640" i="16"/>
  <c r="F640" i="16"/>
  <c r="A640" i="16"/>
  <c r="U639" i="16"/>
  <c r="O639" i="16"/>
  <c r="J639" i="16"/>
  <c r="E639" i="16"/>
  <c r="X638" i="16"/>
  <c r="S638" i="16"/>
  <c r="N638" i="16"/>
  <c r="H638" i="16"/>
  <c r="C638" i="16"/>
  <c r="W637" i="16"/>
  <c r="Q637" i="16"/>
  <c r="L637" i="16"/>
  <c r="G637" i="16"/>
  <c r="A637" i="16"/>
  <c r="U636" i="16"/>
  <c r="P636" i="16"/>
  <c r="J636" i="16"/>
  <c r="E636" i="16"/>
  <c r="Y635" i="16"/>
  <c r="S635" i="16"/>
  <c r="N635" i="16"/>
  <c r="I635" i="16"/>
  <c r="C635" i="16"/>
  <c r="W634" i="16"/>
  <c r="R634" i="16"/>
  <c r="L634" i="16"/>
  <c r="G634" i="16"/>
  <c r="B634" i="16"/>
  <c r="U633" i="16"/>
  <c r="P633" i="16"/>
  <c r="K633" i="16"/>
  <c r="E633" i="16"/>
  <c r="Y632" i="16"/>
  <c r="T632" i="16"/>
  <c r="N632" i="16"/>
  <c r="I632" i="16"/>
  <c r="D632" i="16"/>
  <c r="W631" i="16"/>
  <c r="R631" i="16"/>
  <c r="M631" i="16"/>
  <c r="G631" i="16"/>
  <c r="B631" i="16"/>
  <c r="V630" i="16"/>
  <c r="P630" i="16"/>
  <c r="K630" i="16"/>
  <c r="F630" i="16"/>
  <c r="Y629" i="16"/>
  <c r="T629" i="16"/>
  <c r="O629" i="16"/>
  <c r="I629" i="16"/>
  <c r="D629" i="16"/>
  <c r="X628" i="16"/>
  <c r="R628" i="16"/>
  <c r="M628" i="16"/>
  <c r="H628" i="16"/>
  <c r="B628" i="16"/>
  <c r="V627" i="16"/>
  <c r="Q627" i="16"/>
  <c r="K627" i="16"/>
  <c r="F627" i="16"/>
  <c r="A627" i="16"/>
  <c r="T626" i="16"/>
  <c r="O626" i="16"/>
  <c r="J626" i="16"/>
  <c r="D626" i="16"/>
  <c r="X625" i="16"/>
  <c r="S625" i="16"/>
  <c r="M625" i="16"/>
  <c r="I625" i="16"/>
  <c r="E625" i="16"/>
  <c r="A625" i="16"/>
  <c r="V624" i="16"/>
  <c r="R624" i="16"/>
  <c r="N624" i="16"/>
  <c r="J624" i="16"/>
  <c r="F624" i="16"/>
  <c r="B624" i="16"/>
  <c r="W623" i="16"/>
  <c r="S623" i="16"/>
  <c r="O623" i="16"/>
  <c r="K623" i="16"/>
  <c r="G623" i="16"/>
  <c r="C623" i="16"/>
  <c r="X622" i="16"/>
  <c r="T622" i="16"/>
  <c r="P622" i="16"/>
  <c r="L622" i="16"/>
  <c r="H622" i="16"/>
  <c r="D622" i="16"/>
  <c r="Y621" i="16"/>
  <c r="U621" i="16"/>
  <c r="Q621" i="16"/>
  <c r="M621" i="16"/>
  <c r="I621" i="16"/>
  <c r="E621" i="16"/>
  <c r="A621" i="16"/>
  <c r="V620" i="16"/>
  <c r="R620" i="16"/>
  <c r="N620" i="16"/>
  <c r="J620" i="16"/>
  <c r="F620" i="16"/>
  <c r="B620" i="16"/>
  <c r="W619" i="16"/>
  <c r="S619" i="16"/>
  <c r="O619" i="16"/>
  <c r="K619" i="16"/>
  <c r="G619" i="16"/>
  <c r="C619" i="16"/>
  <c r="X618" i="16"/>
  <c r="T618" i="16"/>
  <c r="P618" i="16"/>
  <c r="L618" i="16"/>
  <c r="H618" i="16"/>
  <c r="D618" i="16"/>
  <c r="Y617" i="16"/>
  <c r="U617" i="16"/>
  <c r="Q617" i="16"/>
  <c r="M617" i="16"/>
  <c r="I617" i="16"/>
  <c r="E617" i="16"/>
  <c r="A617" i="16"/>
  <c r="V616" i="16"/>
  <c r="R616" i="16"/>
  <c r="N616" i="16"/>
  <c r="J616" i="16"/>
  <c r="F616" i="16"/>
  <c r="B616" i="16"/>
  <c r="W615" i="16"/>
  <c r="S615" i="16"/>
  <c r="O615" i="16"/>
  <c r="K615" i="16"/>
  <c r="G615" i="16"/>
  <c r="C615" i="16"/>
  <c r="X614" i="16"/>
  <c r="T614" i="16"/>
  <c r="P614" i="16"/>
  <c r="L614" i="16"/>
  <c r="H614" i="16"/>
  <c r="D614" i="16"/>
  <c r="Y613" i="16"/>
  <c r="U613" i="16"/>
  <c r="Q613" i="16"/>
  <c r="M613" i="16"/>
  <c r="I613" i="16"/>
  <c r="E613" i="16"/>
  <c r="A613" i="16"/>
  <c r="V612" i="16"/>
  <c r="R612" i="16"/>
  <c r="N612" i="16"/>
  <c r="J612" i="16"/>
  <c r="F612" i="16"/>
  <c r="B612" i="16"/>
  <c r="W611" i="16"/>
  <c r="S611" i="16"/>
  <c r="O611" i="16"/>
  <c r="K611" i="16"/>
  <c r="G611" i="16"/>
  <c r="C611" i="16"/>
  <c r="X610" i="16"/>
  <c r="T610" i="16"/>
  <c r="P610" i="16"/>
  <c r="L610" i="16"/>
  <c r="H610" i="16"/>
  <c r="D610" i="16"/>
  <c r="Y609" i="16"/>
  <c r="U609" i="16"/>
  <c r="Q609" i="16"/>
  <c r="M609" i="16"/>
  <c r="I609" i="16"/>
  <c r="E609" i="16"/>
  <c r="A609" i="16"/>
  <c r="V608" i="16"/>
  <c r="R608" i="16"/>
  <c r="N608" i="16"/>
  <c r="J608" i="16"/>
  <c r="F608" i="16"/>
  <c r="B608" i="16"/>
  <c r="W607" i="16"/>
  <c r="S607" i="16"/>
  <c r="O607" i="16"/>
  <c r="K607" i="16"/>
  <c r="G607" i="16"/>
  <c r="C607" i="16"/>
  <c r="X606" i="16"/>
  <c r="T606" i="16"/>
  <c r="P606" i="16"/>
  <c r="L606" i="16"/>
  <c r="H606" i="16"/>
  <c r="D606" i="16"/>
  <c r="Y605" i="16"/>
  <c r="U605" i="16"/>
  <c r="Q605" i="16"/>
  <c r="M605" i="16"/>
  <c r="I605" i="16"/>
  <c r="E605" i="16"/>
  <c r="A605" i="16"/>
  <c r="V604" i="16"/>
  <c r="R604" i="16"/>
  <c r="N604" i="16"/>
  <c r="J604" i="16"/>
  <c r="F604" i="16"/>
  <c r="B604" i="16"/>
  <c r="W603" i="16"/>
  <c r="S603" i="16"/>
  <c r="O603" i="16"/>
  <c r="K603" i="16"/>
  <c r="G603" i="16"/>
  <c r="C603" i="16"/>
  <c r="X602" i="16"/>
  <c r="T602" i="16"/>
  <c r="P602" i="16"/>
  <c r="L602" i="16"/>
  <c r="H602" i="16"/>
  <c r="D602" i="16"/>
  <c r="Y601" i="16"/>
  <c r="U601" i="16"/>
  <c r="Q601" i="16"/>
  <c r="M601" i="16"/>
  <c r="I601" i="16"/>
  <c r="E601" i="16"/>
  <c r="A601" i="16"/>
  <c r="V600" i="16"/>
  <c r="R600" i="16"/>
  <c r="N600" i="16"/>
  <c r="J600" i="16"/>
  <c r="F600" i="16"/>
  <c r="B600" i="16"/>
  <c r="W599" i="16"/>
  <c r="S599" i="16"/>
  <c r="O599" i="16"/>
  <c r="K599" i="16"/>
  <c r="G599" i="16"/>
  <c r="C599" i="16"/>
  <c r="X598" i="16"/>
  <c r="T598" i="16"/>
  <c r="P598" i="16"/>
  <c r="L598" i="16"/>
  <c r="H598" i="16"/>
  <c r="D598" i="16"/>
  <c r="Y597" i="16"/>
  <c r="U597" i="16"/>
  <c r="J1157" i="16"/>
  <c r="V1145" i="16"/>
  <c r="Q1135" i="16"/>
  <c r="N1127" i="16"/>
  <c r="K1119" i="16"/>
  <c r="P1112" i="16"/>
  <c r="F1107" i="16"/>
  <c r="C1102" i="16"/>
  <c r="C1098" i="16"/>
  <c r="B1094" i="16"/>
  <c r="A1090" i="16"/>
  <c r="B1086" i="16"/>
  <c r="W1081" i="16"/>
  <c r="V1077" i="16"/>
  <c r="W1073" i="16"/>
  <c r="V1069" i="16"/>
  <c r="R1065" i="16"/>
  <c r="S1061" i="16"/>
  <c r="R1057" i="16"/>
  <c r="P1053" i="16"/>
  <c r="P1049" i="16"/>
  <c r="G1046" i="16"/>
  <c r="M1043" i="16"/>
  <c r="W1040" i="16"/>
  <c r="G1038" i="16"/>
  <c r="Y1035" i="16"/>
  <c r="D1034" i="16"/>
  <c r="Q1032" i="16"/>
  <c r="D1031" i="16"/>
  <c r="P1029" i="16"/>
  <c r="C1028" i="16"/>
  <c r="P1026" i="16"/>
  <c r="B1025" i="16"/>
  <c r="O1023" i="16"/>
  <c r="C1022" i="16"/>
  <c r="M1020" i="16"/>
  <c r="Y1018" i="16"/>
  <c r="M1017" i="16"/>
  <c r="X1015" i="16"/>
  <c r="L1014" i="16"/>
  <c r="Y1012" i="16"/>
  <c r="K1011" i="16"/>
  <c r="X1009" i="16"/>
  <c r="K1008" i="16"/>
  <c r="U1006" i="16"/>
  <c r="I1005" i="16"/>
  <c r="V1003" i="16"/>
  <c r="H1002" i="16"/>
  <c r="U1000" i="16"/>
  <c r="H999" i="16"/>
  <c r="T997" i="16"/>
  <c r="G996" i="16"/>
  <c r="T994" i="16"/>
  <c r="E993" i="16"/>
  <c r="R991" i="16"/>
  <c r="E990" i="16"/>
  <c r="Q988" i="16"/>
  <c r="D987" i="16"/>
  <c r="Q985" i="16"/>
  <c r="C984" i="16"/>
  <c r="P982" i="16"/>
  <c r="D981" i="16"/>
  <c r="N979" i="16"/>
  <c r="A978" i="16"/>
  <c r="N976" i="16"/>
  <c r="Y974" i="16"/>
  <c r="M973" i="16"/>
  <c r="A972" i="16"/>
  <c r="L970" i="16"/>
  <c r="Y968" i="16"/>
  <c r="L967" i="16"/>
  <c r="V965" i="16"/>
  <c r="J964" i="16"/>
  <c r="W962" i="16"/>
  <c r="I961" i="16"/>
  <c r="V959" i="16"/>
  <c r="I958" i="16"/>
  <c r="U956" i="16"/>
  <c r="H955" i="16"/>
  <c r="U953" i="16"/>
  <c r="F952" i="16"/>
  <c r="S950" i="16"/>
  <c r="F949" i="16"/>
  <c r="R947" i="16"/>
  <c r="E946" i="16"/>
  <c r="B945" i="16"/>
  <c r="G944" i="16"/>
  <c r="O943" i="16"/>
  <c r="T942" i="16"/>
  <c r="Y941" i="16"/>
  <c r="H941" i="16"/>
  <c r="M940" i="16"/>
  <c r="S939" i="16"/>
  <c r="Y938" i="16"/>
  <c r="G938" i="16"/>
  <c r="L937" i="16"/>
  <c r="S936" i="16"/>
  <c r="X935" i="16"/>
  <c r="D935" i="16"/>
  <c r="L934" i="16"/>
  <c r="Q933" i="16"/>
  <c r="W932" i="16"/>
  <c r="E932" i="16"/>
  <c r="K931" i="16"/>
  <c r="P930" i="16"/>
  <c r="X929" i="16"/>
  <c r="D929" i="16"/>
  <c r="I928" i="16"/>
  <c r="P927" i="16"/>
  <c r="U926" i="16"/>
  <c r="C926" i="16"/>
  <c r="I925" i="16"/>
  <c r="O924" i="16"/>
  <c r="T923" i="16"/>
  <c r="C923" i="16"/>
  <c r="H922" i="16"/>
  <c r="M921" i="16"/>
  <c r="U920" i="16"/>
  <c r="A920" i="16"/>
  <c r="G919" i="16"/>
  <c r="M918" i="16"/>
  <c r="T917" i="16"/>
  <c r="Y916" i="16"/>
  <c r="G916" i="16"/>
  <c r="L915" i="16"/>
  <c r="Q914" i="16"/>
  <c r="Y913" i="16"/>
  <c r="E913" i="16"/>
  <c r="K912" i="16"/>
  <c r="R911" i="16"/>
  <c r="X910" i="16"/>
  <c r="D910" i="16"/>
  <c r="L909" i="16"/>
  <c r="Q908" i="16"/>
  <c r="V907" i="16"/>
  <c r="D907" i="16"/>
  <c r="I906" i="16"/>
  <c r="P905" i="16"/>
  <c r="V904" i="16"/>
  <c r="C904" i="16"/>
  <c r="H903" i="16"/>
  <c r="P902" i="16"/>
  <c r="U901" i="16"/>
  <c r="A901" i="16"/>
  <c r="I900" i="16"/>
  <c r="N899" i="16"/>
  <c r="T898" i="16"/>
  <c r="D898" i="16"/>
  <c r="O897" i="16"/>
  <c r="Y896" i="16"/>
  <c r="L896" i="16"/>
  <c r="V895" i="16"/>
  <c r="G895" i="16"/>
  <c r="S894" i="16"/>
  <c r="D894" i="16"/>
  <c r="O893" i="16"/>
  <c r="A893" i="16"/>
  <c r="L892" i="16"/>
  <c r="V891" i="16"/>
  <c r="I891" i="16"/>
  <c r="S890" i="16"/>
  <c r="D890" i="16"/>
  <c r="P889" i="16"/>
  <c r="A889" i="16"/>
  <c r="L888" i="16"/>
  <c r="W887" i="16"/>
  <c r="I887" i="16"/>
  <c r="S886" i="16"/>
  <c r="F886" i="16"/>
  <c r="P885" i="16"/>
  <c r="A885" i="16"/>
  <c r="M884" i="16"/>
  <c r="W883" i="16"/>
  <c r="I883" i="16"/>
  <c r="T882" i="16"/>
  <c r="F882" i="16"/>
  <c r="P881" i="16"/>
  <c r="C881" i="16"/>
  <c r="M880" i="16"/>
  <c r="W879" i="16"/>
  <c r="J879" i="16"/>
  <c r="T878" i="16"/>
  <c r="F878" i="16"/>
  <c r="Q877" i="16"/>
  <c r="C877" i="16"/>
  <c r="M876" i="16"/>
  <c r="Y875" i="16"/>
  <c r="J875" i="16"/>
  <c r="T874" i="16"/>
  <c r="G874" i="16"/>
  <c r="Q873" i="16"/>
  <c r="C873" i="16"/>
  <c r="N872" i="16"/>
  <c r="Y871" i="16"/>
  <c r="J871" i="16"/>
  <c r="V870" i="16"/>
  <c r="G870" i="16"/>
  <c r="Q869" i="16"/>
  <c r="D869" i="16"/>
  <c r="N868" i="16"/>
  <c r="Y867" i="16"/>
  <c r="K867" i="16"/>
  <c r="V866" i="16"/>
  <c r="G866" i="16"/>
  <c r="S865" i="16"/>
  <c r="D865" i="16"/>
  <c r="N864" i="16"/>
  <c r="A864" i="16"/>
  <c r="K863" i="16"/>
  <c r="W862" i="16"/>
  <c r="L862" i="16"/>
  <c r="B862" i="16"/>
  <c r="P861" i="16"/>
  <c r="E861" i="16"/>
  <c r="T860" i="16"/>
  <c r="I860" i="16"/>
  <c r="W859" i="16"/>
  <c r="M859" i="16"/>
  <c r="B859" i="16"/>
  <c r="P858" i="16"/>
  <c r="F858" i="16"/>
  <c r="T857" i="16"/>
  <c r="I857" i="16"/>
  <c r="X856" i="16"/>
  <c r="M856" i="16"/>
  <c r="B856" i="16"/>
  <c r="Q855" i="16"/>
  <c r="F855" i="16"/>
  <c r="T854" i="16"/>
  <c r="J854" i="16"/>
  <c r="X853" i="16"/>
  <c r="M853" i="16"/>
  <c r="C853" i="16"/>
  <c r="Q852" i="16"/>
  <c r="F852" i="16"/>
  <c r="U851" i="16"/>
  <c r="J851" i="16"/>
  <c r="X850" i="16"/>
  <c r="N850" i="16"/>
  <c r="C850" i="16"/>
  <c r="Q849" i="16"/>
  <c r="G849" i="16"/>
  <c r="U848" i="16"/>
  <c r="J848" i="16"/>
  <c r="Y847" i="16"/>
  <c r="N847" i="16"/>
  <c r="C847" i="16"/>
  <c r="R846" i="16"/>
  <c r="G846" i="16"/>
  <c r="U845" i="16"/>
  <c r="K845" i="16"/>
  <c r="Y844" i="16"/>
  <c r="N844" i="16"/>
  <c r="D844" i="16"/>
  <c r="R843" i="16"/>
  <c r="G843" i="16"/>
  <c r="V842" i="16"/>
  <c r="K842" i="16"/>
  <c r="Y841" i="16"/>
  <c r="O841" i="16"/>
  <c r="D841" i="16"/>
  <c r="R840" i="16"/>
  <c r="H840" i="16"/>
  <c r="V839" i="16"/>
  <c r="K839" i="16"/>
  <c r="A839" i="16"/>
  <c r="O838" i="16"/>
  <c r="D838" i="16"/>
  <c r="S837" i="16"/>
  <c r="H837" i="16"/>
  <c r="V836" i="16"/>
  <c r="L836" i="16"/>
  <c r="A836" i="16"/>
  <c r="O835" i="16"/>
  <c r="E835" i="16"/>
  <c r="S834" i="16"/>
  <c r="H834" i="16"/>
  <c r="W833" i="16"/>
  <c r="L833" i="16"/>
  <c r="A833" i="16"/>
  <c r="P832" i="16"/>
  <c r="E832" i="16"/>
  <c r="S831" i="16"/>
  <c r="I831" i="16"/>
  <c r="W830" i="16"/>
  <c r="L830" i="16"/>
  <c r="B830" i="16"/>
  <c r="P829" i="16"/>
  <c r="E829" i="16"/>
  <c r="T828" i="16"/>
  <c r="I828" i="16"/>
  <c r="W827" i="16"/>
  <c r="M827" i="16"/>
  <c r="B827" i="16"/>
  <c r="P826" i="16"/>
  <c r="F826" i="16"/>
  <c r="T825" i="16"/>
  <c r="I825" i="16"/>
  <c r="X824" i="16"/>
  <c r="M824" i="16"/>
  <c r="B824" i="16"/>
  <c r="Q823" i="16"/>
  <c r="F823" i="16"/>
  <c r="T822" i="16"/>
  <c r="J822" i="16"/>
  <c r="X821" i="16"/>
  <c r="M821" i="16"/>
  <c r="C821" i="16"/>
  <c r="Q820" i="16"/>
  <c r="F820" i="16"/>
  <c r="U819" i="16"/>
  <c r="J819" i="16"/>
  <c r="X818" i="16"/>
  <c r="N818" i="16"/>
  <c r="C818" i="16"/>
  <c r="Q817" i="16"/>
  <c r="G817" i="16"/>
  <c r="U816" i="16"/>
  <c r="J816" i="16"/>
  <c r="Y815" i="16"/>
  <c r="N815" i="16"/>
  <c r="C815" i="16"/>
  <c r="R814" i="16"/>
  <c r="G814" i="16"/>
  <c r="U813" i="16"/>
  <c r="K813" i="16"/>
  <c r="Y812" i="16"/>
  <c r="N812" i="16"/>
  <c r="D812" i="16"/>
  <c r="R811" i="16"/>
  <c r="G811" i="16"/>
  <c r="V810" i="16"/>
  <c r="K810" i="16"/>
  <c r="Y809" i="16"/>
  <c r="O809" i="16"/>
  <c r="D809" i="16"/>
  <c r="R808" i="16"/>
  <c r="H808" i="16"/>
  <c r="V807" i="16"/>
  <c r="K807" i="16"/>
  <c r="A807" i="16"/>
  <c r="S806" i="16"/>
  <c r="N806" i="16"/>
  <c r="H806" i="16"/>
  <c r="C806" i="16"/>
  <c r="W805" i="16"/>
  <c r="Q805" i="16"/>
  <c r="L805" i="16"/>
  <c r="G805" i="16"/>
  <c r="A805" i="16"/>
  <c r="U804" i="16"/>
  <c r="P804" i="16"/>
  <c r="J804" i="16"/>
  <c r="E804" i="16"/>
  <c r="Y803" i="16"/>
  <c r="S803" i="16"/>
  <c r="N803" i="16"/>
  <c r="I803" i="16"/>
  <c r="C803" i="16"/>
  <c r="W802" i="16"/>
  <c r="R802" i="16"/>
  <c r="L802" i="16"/>
  <c r="G802" i="16"/>
  <c r="B802" i="16"/>
  <c r="U801" i="16"/>
  <c r="P801" i="16"/>
  <c r="K801" i="16"/>
  <c r="E801" i="16"/>
  <c r="Y800" i="16"/>
  <c r="T800" i="16"/>
  <c r="N800" i="16"/>
  <c r="I800" i="16"/>
  <c r="D800" i="16"/>
  <c r="W799" i="16"/>
  <c r="R799" i="16"/>
  <c r="M799" i="16"/>
  <c r="G799" i="16"/>
  <c r="B799" i="16"/>
  <c r="V798" i="16"/>
  <c r="P798" i="16"/>
  <c r="K798" i="16"/>
  <c r="F798" i="16"/>
  <c r="Y797" i="16"/>
  <c r="T797" i="16"/>
  <c r="O797" i="16"/>
  <c r="I797" i="16"/>
  <c r="D797" i="16"/>
  <c r="X796" i="16"/>
  <c r="R796" i="16"/>
  <c r="M796" i="16"/>
  <c r="H796" i="16"/>
  <c r="B796" i="16"/>
  <c r="V795" i="16"/>
  <c r="Q795" i="16"/>
  <c r="K795" i="16"/>
  <c r="F795" i="16"/>
  <c r="A795" i="16"/>
  <c r="T794" i="16"/>
  <c r="O794" i="16"/>
  <c r="J794" i="16"/>
  <c r="D794" i="16"/>
  <c r="X793" i="16"/>
  <c r="S793" i="16"/>
  <c r="M793" i="16"/>
  <c r="H793" i="16"/>
  <c r="C793" i="16"/>
  <c r="V792" i="16"/>
  <c r="Q792" i="16"/>
  <c r="L792" i="16"/>
  <c r="F792" i="16"/>
  <c r="A792" i="16"/>
  <c r="U791" i="16"/>
  <c r="O791" i="16"/>
  <c r="J791" i="16"/>
  <c r="E791" i="16"/>
  <c r="X790" i="16"/>
  <c r="S790" i="16"/>
  <c r="N790" i="16"/>
  <c r="H790" i="16"/>
  <c r="C790" i="16"/>
  <c r="W789" i="16"/>
  <c r="Q789" i="16"/>
  <c r="L789" i="16"/>
  <c r="G789" i="16"/>
  <c r="A789" i="16"/>
  <c r="U788" i="16"/>
  <c r="P788" i="16"/>
  <c r="J788" i="16"/>
  <c r="E788" i="16"/>
  <c r="Y787" i="16"/>
  <c r="S787" i="16"/>
  <c r="N787" i="16"/>
  <c r="I787" i="16"/>
  <c r="C787" i="16"/>
  <c r="W786" i="16"/>
  <c r="R786" i="16"/>
  <c r="L786" i="16"/>
  <c r="G786" i="16"/>
  <c r="B786" i="16"/>
  <c r="U785" i="16"/>
  <c r="P785" i="16"/>
  <c r="K785" i="16"/>
  <c r="E785" i="16"/>
  <c r="Y784" i="16"/>
  <c r="T784" i="16"/>
  <c r="N784" i="16"/>
  <c r="I784" i="16"/>
  <c r="D784" i="16"/>
  <c r="W783" i="16"/>
  <c r="R783" i="16"/>
  <c r="M783" i="16"/>
  <c r="G783" i="16"/>
  <c r="B783" i="16"/>
  <c r="V782" i="16"/>
  <c r="P782" i="16"/>
  <c r="K782" i="16"/>
  <c r="F782" i="16"/>
  <c r="Y781" i="16"/>
  <c r="T781" i="16"/>
  <c r="O781" i="16"/>
  <c r="I781" i="16"/>
  <c r="D781" i="16"/>
  <c r="X780" i="16"/>
  <c r="R780" i="16"/>
  <c r="M780" i="16"/>
  <c r="H780" i="16"/>
  <c r="B780" i="16"/>
  <c r="V779" i="16"/>
  <c r="Q779" i="16"/>
  <c r="K779" i="16"/>
  <c r="F779" i="16"/>
  <c r="A779" i="16"/>
  <c r="T778" i="16"/>
  <c r="O778" i="16"/>
  <c r="J778" i="16"/>
  <c r="D778" i="16"/>
  <c r="X777" i="16"/>
  <c r="S777" i="16"/>
  <c r="M777" i="16"/>
  <c r="H777" i="16"/>
  <c r="C777" i="16"/>
  <c r="V776" i="16"/>
  <c r="Q776" i="16"/>
  <c r="L776" i="16"/>
  <c r="F776" i="16"/>
  <c r="A776" i="16"/>
  <c r="U775" i="16"/>
  <c r="O775" i="16"/>
  <c r="J775" i="16"/>
  <c r="E775" i="16"/>
  <c r="X774" i="16"/>
  <c r="S774" i="16"/>
  <c r="N774" i="16"/>
  <c r="H774" i="16"/>
  <c r="C774" i="16"/>
  <c r="W773" i="16"/>
  <c r="Q773" i="16"/>
  <c r="L773" i="16"/>
  <c r="G773" i="16"/>
  <c r="A773" i="16"/>
  <c r="U772" i="16"/>
  <c r="P772" i="16"/>
  <c r="J772" i="16"/>
  <c r="E772" i="16"/>
  <c r="Y771" i="16"/>
  <c r="S771" i="16"/>
  <c r="N771" i="16"/>
  <c r="I771" i="16"/>
  <c r="C771" i="16"/>
  <c r="W770" i="16"/>
  <c r="R770" i="16"/>
  <c r="L770" i="16"/>
  <c r="G770" i="16"/>
  <c r="B770" i="16"/>
  <c r="U769" i="16"/>
  <c r="P769" i="16"/>
  <c r="K769" i="16"/>
  <c r="E769" i="16"/>
  <c r="Y768" i="16"/>
  <c r="T768" i="16"/>
  <c r="N768" i="16"/>
  <c r="I768" i="16"/>
  <c r="D768" i="16"/>
  <c r="W767" i="16"/>
  <c r="R767" i="16"/>
  <c r="M767" i="16"/>
  <c r="G767" i="16"/>
  <c r="B767" i="16"/>
  <c r="V766" i="16"/>
  <c r="P766" i="16"/>
  <c r="K766" i="16"/>
  <c r="F766" i="16"/>
  <c r="Y765" i="16"/>
  <c r="T765" i="16"/>
  <c r="O765" i="16"/>
  <c r="I765" i="16"/>
  <c r="D765" i="16"/>
  <c r="X764" i="16"/>
  <c r="R764" i="16"/>
  <c r="M764" i="16"/>
  <c r="H764" i="16"/>
  <c r="B764" i="16"/>
  <c r="V763" i="16"/>
  <c r="Q763" i="16"/>
  <c r="K763" i="16"/>
  <c r="F763" i="16"/>
  <c r="A763" i="16"/>
  <c r="T762" i="16"/>
  <c r="O762" i="16"/>
  <c r="J762" i="16"/>
  <c r="D762" i="16"/>
  <c r="X761" i="16"/>
  <c r="S761" i="16"/>
  <c r="M761" i="16"/>
  <c r="H761" i="16"/>
  <c r="C761" i="16"/>
  <c r="V760" i="16"/>
  <c r="Q760" i="16"/>
  <c r="L760" i="16"/>
  <c r="F760" i="16"/>
  <c r="A760" i="16"/>
  <c r="U759" i="16"/>
  <c r="O759" i="16"/>
  <c r="J759" i="16"/>
  <c r="E759" i="16"/>
  <c r="X758" i="16"/>
  <c r="S758" i="16"/>
  <c r="N758" i="16"/>
  <c r="H758" i="16"/>
  <c r="C758" i="16"/>
  <c r="W757" i="16"/>
  <c r="Q757" i="16"/>
  <c r="L757" i="16"/>
  <c r="G757" i="16"/>
  <c r="A757" i="16"/>
  <c r="U756" i="16"/>
  <c r="P756" i="16"/>
  <c r="J756" i="16"/>
  <c r="E756" i="16"/>
  <c r="Y755" i="16"/>
  <c r="S755" i="16"/>
  <c r="N755" i="16"/>
  <c r="I755" i="16"/>
  <c r="C755" i="16"/>
  <c r="W754" i="16"/>
  <c r="R754" i="16"/>
  <c r="L754" i="16"/>
  <c r="G754" i="16"/>
  <c r="B754" i="16"/>
  <c r="U753" i="16"/>
  <c r="P753" i="16"/>
  <c r="K753" i="16"/>
  <c r="E753" i="16"/>
  <c r="Y752" i="16"/>
  <c r="T752" i="16"/>
  <c r="N752" i="16"/>
  <c r="I752" i="16"/>
  <c r="D752" i="16"/>
  <c r="W751" i="16"/>
  <c r="R751" i="16"/>
  <c r="M751" i="16"/>
  <c r="G751" i="16"/>
  <c r="B751" i="16"/>
  <c r="V750" i="16"/>
  <c r="P750" i="16"/>
  <c r="K750" i="16"/>
  <c r="F750" i="16"/>
  <c r="Y749" i="16"/>
  <c r="T749" i="16"/>
  <c r="O749" i="16"/>
  <c r="I749" i="16"/>
  <c r="D749" i="16"/>
  <c r="X748" i="16"/>
  <c r="R748" i="16"/>
  <c r="M748" i="16"/>
  <c r="H748" i="16"/>
  <c r="B748" i="16"/>
  <c r="V747" i="16"/>
  <c r="Q747" i="16"/>
  <c r="K747" i="16"/>
  <c r="F747" i="16"/>
  <c r="A747" i="16"/>
  <c r="T746" i="16"/>
  <c r="O746" i="16"/>
  <c r="J746" i="16"/>
  <c r="D746" i="16"/>
  <c r="X745" i="16"/>
  <c r="S745" i="16"/>
  <c r="M745" i="16"/>
  <c r="H745" i="16"/>
  <c r="C745" i="16"/>
  <c r="V744" i="16"/>
  <c r="Q744" i="16"/>
  <c r="L744" i="16"/>
  <c r="F744" i="16"/>
  <c r="A744" i="16"/>
  <c r="U743" i="16"/>
  <c r="O743" i="16"/>
  <c r="J743" i="16"/>
  <c r="E743" i="16"/>
  <c r="X742" i="16"/>
  <c r="S742" i="16"/>
  <c r="N742" i="16"/>
  <c r="H742" i="16"/>
  <c r="C742" i="16"/>
  <c r="W741" i="16"/>
  <c r="Q741" i="16"/>
  <c r="L741" i="16"/>
  <c r="G741" i="16"/>
  <c r="A741" i="16"/>
  <c r="U740" i="16"/>
  <c r="P740" i="16"/>
  <c r="J740" i="16"/>
  <c r="E740" i="16"/>
  <c r="Y739" i="16"/>
  <c r="S739" i="16"/>
  <c r="N739" i="16"/>
  <c r="I739" i="16"/>
  <c r="C739" i="16"/>
  <c r="W738" i="16"/>
  <c r="R738" i="16"/>
  <c r="L738" i="16"/>
  <c r="G738" i="16"/>
  <c r="B738" i="16"/>
  <c r="U737" i="16"/>
  <c r="P737" i="16"/>
  <c r="K737" i="16"/>
  <c r="E737" i="16"/>
  <c r="Y736" i="16"/>
  <c r="T736" i="16"/>
  <c r="N736" i="16"/>
  <c r="I736" i="16"/>
  <c r="D736" i="16"/>
  <c r="W735" i="16"/>
  <c r="R735" i="16"/>
  <c r="M735" i="16"/>
  <c r="G735" i="16"/>
  <c r="B735" i="16"/>
  <c r="V734" i="16"/>
  <c r="P734" i="16"/>
  <c r="K734" i="16"/>
  <c r="F734" i="16"/>
  <c r="Y733" i="16"/>
  <c r="T733" i="16"/>
  <c r="O733" i="16"/>
  <c r="I733" i="16"/>
  <c r="D733" i="16"/>
  <c r="X732" i="16"/>
  <c r="R732" i="16"/>
  <c r="M732" i="16"/>
  <c r="H732" i="16"/>
  <c r="B732" i="16"/>
  <c r="V731" i="16"/>
  <c r="Q731" i="16"/>
  <c r="K731" i="16"/>
  <c r="F731" i="16"/>
  <c r="A731" i="16"/>
  <c r="T730" i="16"/>
  <c r="O730" i="16"/>
  <c r="J730" i="16"/>
  <c r="D730" i="16"/>
  <c r="X729" i="16"/>
  <c r="S729" i="16"/>
  <c r="M729" i="16"/>
  <c r="H729" i="16"/>
  <c r="C729" i="16"/>
  <c r="V728" i="16"/>
  <c r="Q728" i="16"/>
  <c r="L728" i="16"/>
  <c r="F728" i="16"/>
  <c r="A728" i="16"/>
  <c r="U727" i="16"/>
  <c r="O727" i="16"/>
  <c r="J727" i="16"/>
  <c r="E727" i="16"/>
  <c r="X726" i="16"/>
  <c r="S726" i="16"/>
  <c r="N726" i="16"/>
  <c r="H726" i="16"/>
  <c r="C726" i="16"/>
  <c r="W725" i="16"/>
  <c r="Q725" i="16"/>
  <c r="L725" i="16"/>
  <c r="G725" i="16"/>
  <c r="A725" i="16"/>
  <c r="U724" i="16"/>
  <c r="P724" i="16"/>
  <c r="J724" i="16"/>
  <c r="E724" i="16"/>
  <c r="Y723" i="16"/>
  <c r="S723" i="16"/>
  <c r="N723" i="16"/>
  <c r="I723" i="16"/>
  <c r="C723" i="16"/>
  <c r="W722" i="16"/>
  <c r="R722" i="16"/>
  <c r="L722" i="16"/>
  <c r="G722" i="16"/>
  <c r="B722" i="16"/>
  <c r="U721" i="16"/>
  <c r="P721" i="16"/>
  <c r="K721" i="16"/>
  <c r="E721" i="16"/>
  <c r="Y720" i="16"/>
  <c r="T720" i="16"/>
  <c r="N720" i="16"/>
  <c r="I720" i="16"/>
  <c r="D720" i="16"/>
  <c r="W719" i="16"/>
  <c r="R719" i="16"/>
  <c r="M719" i="16"/>
  <c r="G719" i="16"/>
  <c r="B719" i="16"/>
  <c r="V718" i="16"/>
  <c r="P718" i="16"/>
  <c r="K718" i="16"/>
  <c r="F718" i="16"/>
  <c r="Y717" i="16"/>
  <c r="T717" i="16"/>
  <c r="O717" i="16"/>
  <c r="I717" i="16"/>
  <c r="D717" i="16"/>
  <c r="X716" i="16"/>
  <c r="R716" i="16"/>
  <c r="M716" i="16"/>
  <c r="H716" i="16"/>
  <c r="B716" i="16"/>
  <c r="V715" i="16"/>
  <c r="Q715" i="16"/>
  <c r="K715" i="16"/>
  <c r="F715" i="16"/>
  <c r="A715" i="16"/>
  <c r="T714" i="16"/>
  <c r="O714" i="16"/>
  <c r="J714" i="16"/>
  <c r="D714" i="16"/>
  <c r="X713" i="16"/>
  <c r="S713" i="16"/>
  <c r="M713" i="16"/>
  <c r="H713" i="16"/>
  <c r="C713" i="16"/>
  <c r="V712" i="16"/>
  <c r="Q712" i="16"/>
  <c r="L712" i="16"/>
  <c r="F712" i="16"/>
  <c r="A712" i="16"/>
  <c r="U711" i="16"/>
  <c r="O711" i="16"/>
  <c r="J711" i="16"/>
  <c r="E711" i="16"/>
  <c r="X710" i="16"/>
  <c r="S710" i="16"/>
  <c r="N710" i="16"/>
  <c r="H710" i="16"/>
  <c r="C710" i="16"/>
  <c r="W709" i="16"/>
  <c r="Q709" i="16"/>
  <c r="L709" i="16"/>
  <c r="G709" i="16"/>
  <c r="A709" i="16"/>
  <c r="U708" i="16"/>
  <c r="P708" i="16"/>
  <c r="J708" i="16"/>
  <c r="E708" i="16"/>
  <c r="Y707" i="16"/>
  <c r="S707" i="16"/>
  <c r="N707" i="16"/>
  <c r="I707" i="16"/>
  <c r="C707" i="16"/>
  <c r="W706" i="16"/>
  <c r="R706" i="16"/>
  <c r="L706" i="16"/>
  <c r="G706" i="16"/>
  <c r="B706" i="16"/>
  <c r="U705" i="16"/>
  <c r="P705" i="16"/>
  <c r="K705" i="16"/>
  <c r="E705" i="16"/>
  <c r="Y704" i="16"/>
  <c r="T704" i="16"/>
  <c r="N704" i="16"/>
  <c r="I704" i="16"/>
  <c r="D704" i="16"/>
  <c r="W703" i="16"/>
  <c r="R703" i="16"/>
  <c r="M703" i="16"/>
  <c r="G703" i="16"/>
  <c r="B703" i="16"/>
  <c r="V702" i="16"/>
  <c r="P702" i="16"/>
  <c r="K702" i="16"/>
  <c r="F702" i="16"/>
  <c r="Y701" i="16"/>
  <c r="T701" i="16"/>
  <c r="O701" i="16"/>
  <c r="I701" i="16"/>
  <c r="D701" i="16"/>
  <c r="X700" i="16"/>
  <c r="R700" i="16"/>
  <c r="M700" i="16"/>
  <c r="H700" i="16"/>
  <c r="B700" i="16"/>
  <c r="V699" i="16"/>
  <c r="Q699" i="16"/>
  <c r="K699" i="16"/>
  <c r="F699" i="16"/>
  <c r="A699" i="16"/>
  <c r="T698" i="16"/>
  <c r="O698" i="16"/>
  <c r="J698" i="16"/>
  <c r="D698" i="16"/>
  <c r="X697" i="16"/>
  <c r="S697" i="16"/>
  <c r="M697" i="16"/>
  <c r="H697" i="16"/>
  <c r="C697" i="16"/>
  <c r="V696" i="16"/>
  <c r="Q696" i="16"/>
  <c r="L696" i="16"/>
  <c r="F696" i="16"/>
  <c r="A696" i="16"/>
  <c r="U695" i="16"/>
  <c r="O695" i="16"/>
  <c r="J695" i="16"/>
  <c r="E695" i="16"/>
  <c r="X694" i="16"/>
  <c r="S694" i="16"/>
  <c r="N694" i="16"/>
  <c r="H694" i="16"/>
  <c r="C694" i="16"/>
  <c r="W693" i="16"/>
  <c r="Q693" i="16"/>
  <c r="L693" i="16"/>
  <c r="G693" i="16"/>
  <c r="A693" i="16"/>
  <c r="U692" i="16"/>
  <c r="P692" i="16"/>
  <c r="J692" i="16"/>
  <c r="E692" i="16"/>
  <c r="Y691" i="16"/>
  <c r="S691" i="16"/>
  <c r="N691" i="16"/>
  <c r="I691" i="16"/>
  <c r="C691" i="16"/>
  <c r="W690" i="16"/>
  <c r="R690" i="16"/>
  <c r="L690" i="16"/>
  <c r="G690" i="16"/>
  <c r="B690" i="16"/>
  <c r="U689" i="16"/>
  <c r="P689" i="16"/>
  <c r="K689" i="16"/>
  <c r="E689" i="16"/>
  <c r="Y688" i="16"/>
  <c r="T688" i="16"/>
  <c r="N688" i="16"/>
  <c r="I688" i="16"/>
  <c r="D688" i="16"/>
  <c r="W687" i="16"/>
  <c r="R687" i="16"/>
  <c r="M687" i="16"/>
  <c r="G687" i="16"/>
  <c r="B687" i="16"/>
  <c r="V686" i="16"/>
  <c r="P686" i="16"/>
  <c r="K686" i="16"/>
  <c r="F686" i="16"/>
  <c r="Y685" i="16"/>
  <c r="T685" i="16"/>
  <c r="O685" i="16"/>
  <c r="I685" i="16"/>
  <c r="D685" i="16"/>
  <c r="X684" i="16"/>
  <c r="R684" i="16"/>
  <c r="M684" i="16"/>
  <c r="H684" i="16"/>
  <c r="B684" i="16"/>
  <c r="V683" i="16"/>
  <c r="Q683" i="16"/>
  <c r="K683" i="16"/>
  <c r="F683" i="16"/>
  <c r="A683" i="16"/>
  <c r="T682" i="16"/>
  <c r="O682" i="16"/>
  <c r="J682" i="16"/>
  <c r="D682" i="16"/>
  <c r="X681" i="16"/>
  <c r="S681" i="16"/>
  <c r="M681" i="16"/>
  <c r="H681" i="16"/>
  <c r="C681" i="16"/>
  <c r="V680" i="16"/>
  <c r="Q680" i="16"/>
  <c r="L680" i="16"/>
  <c r="F680" i="16"/>
  <c r="A680" i="16"/>
  <c r="U679" i="16"/>
  <c r="O679" i="16"/>
  <c r="J679" i="16"/>
  <c r="E679" i="16"/>
  <c r="X678" i="16"/>
  <c r="S678" i="16"/>
  <c r="N678" i="16"/>
  <c r="H678" i="16"/>
  <c r="C678" i="16"/>
  <c r="W677" i="16"/>
  <c r="Q677" i="16"/>
  <c r="L677" i="16"/>
  <c r="G677" i="16"/>
  <c r="A677" i="16"/>
  <c r="U676" i="16"/>
  <c r="P676" i="16"/>
  <c r="J676" i="16"/>
  <c r="E676" i="16"/>
  <c r="Y675" i="16"/>
  <c r="S675" i="16"/>
  <c r="N675" i="16"/>
  <c r="I675" i="16"/>
  <c r="C675" i="16"/>
  <c r="W674" i="16"/>
  <c r="R674" i="16"/>
  <c r="L674" i="16"/>
  <c r="G674" i="16"/>
  <c r="B674" i="16"/>
  <c r="U673" i="16"/>
  <c r="P673" i="16"/>
  <c r="K673" i="16"/>
  <c r="E673" i="16"/>
  <c r="Y672" i="16"/>
  <c r="T672" i="16"/>
  <c r="N672" i="16"/>
  <c r="I672" i="16"/>
  <c r="D672" i="16"/>
  <c r="W671" i="16"/>
  <c r="R671" i="16"/>
  <c r="M671" i="16"/>
  <c r="G671" i="16"/>
  <c r="B671" i="16"/>
  <c r="V670" i="16"/>
  <c r="P670" i="16"/>
  <c r="K670" i="16"/>
  <c r="F670" i="16"/>
  <c r="Y669" i="16"/>
  <c r="T669" i="16"/>
  <c r="O669" i="16"/>
  <c r="I669" i="16"/>
  <c r="D669" i="16"/>
  <c r="X668" i="16"/>
  <c r="R668" i="16"/>
  <c r="M668" i="16"/>
  <c r="H668" i="16"/>
  <c r="B668" i="16"/>
  <c r="V667" i="16"/>
  <c r="Q667" i="16"/>
  <c r="K667" i="16"/>
  <c r="F667" i="16"/>
  <c r="A667" i="16"/>
  <c r="T666" i="16"/>
  <c r="O666" i="16"/>
  <c r="J666" i="16"/>
  <c r="D666" i="16"/>
  <c r="X665" i="16"/>
  <c r="S665" i="16"/>
  <c r="M665" i="16"/>
  <c r="H665" i="16"/>
  <c r="C665" i="16"/>
  <c r="V664" i="16"/>
  <c r="Q664" i="16"/>
  <c r="L664" i="16"/>
  <c r="F664" i="16"/>
  <c r="A664" i="16"/>
  <c r="U663" i="16"/>
  <c r="O663" i="16"/>
  <c r="J663" i="16"/>
  <c r="E663" i="16"/>
  <c r="X662" i="16"/>
  <c r="S662" i="16"/>
  <c r="N662" i="16"/>
  <c r="H662" i="16"/>
  <c r="C662" i="16"/>
  <c r="W661" i="16"/>
  <c r="Q661" i="16"/>
  <c r="L661" i="16"/>
  <c r="G661" i="16"/>
  <c r="A661" i="16"/>
  <c r="U660" i="16"/>
  <c r="P660" i="16"/>
  <c r="J660" i="16"/>
  <c r="E660" i="16"/>
  <c r="Y659" i="16"/>
  <c r="S659" i="16"/>
  <c r="N659" i="16"/>
  <c r="I659" i="16"/>
  <c r="C659" i="16"/>
  <c r="W658" i="16"/>
  <c r="R658" i="16"/>
  <c r="L658" i="16"/>
  <c r="G658" i="16"/>
  <c r="B658" i="16"/>
  <c r="U657" i="16"/>
  <c r="P657" i="16"/>
  <c r="K657" i="16"/>
  <c r="E657" i="16"/>
  <c r="Y656" i="16"/>
  <c r="T656" i="16"/>
  <c r="N656" i="16"/>
  <c r="I656" i="16"/>
  <c r="D656" i="16"/>
  <c r="W655" i="16"/>
  <c r="R655" i="16"/>
  <c r="M655" i="16"/>
  <c r="G655" i="16"/>
  <c r="B655" i="16"/>
  <c r="V654" i="16"/>
  <c r="P654" i="16"/>
  <c r="K654" i="16"/>
  <c r="F654" i="16"/>
  <c r="Y653" i="16"/>
  <c r="T653" i="16"/>
  <c r="O653" i="16"/>
  <c r="I653" i="16"/>
  <c r="D653" i="16"/>
  <c r="X652" i="16"/>
  <c r="R652" i="16"/>
  <c r="M652" i="16"/>
  <c r="H652" i="16"/>
  <c r="B652" i="16"/>
  <c r="V651" i="16"/>
  <c r="Q651" i="16"/>
  <c r="K651" i="16"/>
  <c r="F651" i="16"/>
  <c r="A651" i="16"/>
  <c r="T650" i="16"/>
  <c r="O650" i="16"/>
  <c r="J650" i="16"/>
  <c r="D650" i="16"/>
  <c r="X649" i="16"/>
  <c r="S649" i="16"/>
  <c r="M649" i="16"/>
  <c r="H649" i="16"/>
  <c r="C649" i="16"/>
  <c r="V648" i="16"/>
  <c r="Q648" i="16"/>
  <c r="L648" i="16"/>
  <c r="F648" i="16"/>
  <c r="A648" i="16"/>
  <c r="U647" i="16"/>
  <c r="O647" i="16"/>
  <c r="J647" i="16"/>
  <c r="E647" i="16"/>
  <c r="X646" i="16"/>
  <c r="S646" i="16"/>
  <c r="N646" i="16"/>
  <c r="H646" i="16"/>
  <c r="C646" i="16"/>
  <c r="W645" i="16"/>
  <c r="Q645" i="16"/>
  <c r="L645" i="16"/>
  <c r="G645" i="16"/>
  <c r="A645" i="16"/>
  <c r="U644" i="16"/>
  <c r="P644" i="16"/>
  <c r="J644" i="16"/>
  <c r="E644" i="16"/>
  <c r="Y643" i="16"/>
  <c r="S643" i="16"/>
  <c r="N643" i="16"/>
  <c r="I643" i="16"/>
  <c r="C643" i="16"/>
  <c r="W642" i="16"/>
  <c r="R642" i="16"/>
  <c r="L642" i="16"/>
  <c r="G642" i="16"/>
  <c r="B642" i="16"/>
  <c r="U641" i="16"/>
  <c r="P641" i="16"/>
  <c r="K641" i="16"/>
  <c r="E641" i="16"/>
  <c r="Y640" i="16"/>
  <c r="T640" i="16"/>
  <c r="N640" i="16"/>
  <c r="I640" i="16"/>
  <c r="D640" i="16"/>
  <c r="W639" i="16"/>
  <c r="R639" i="16"/>
  <c r="M639" i="16"/>
  <c r="G639" i="16"/>
  <c r="B639" i="16"/>
  <c r="V638" i="16"/>
  <c r="P638" i="16"/>
  <c r="K638" i="16"/>
  <c r="F638" i="16"/>
  <c r="Y637" i="16"/>
  <c r="T637" i="16"/>
  <c r="O637" i="16"/>
  <c r="I637" i="16"/>
  <c r="D637" i="16"/>
  <c r="X636" i="16"/>
  <c r="R636" i="16"/>
  <c r="M636" i="16"/>
  <c r="H636" i="16"/>
  <c r="B636" i="16"/>
  <c r="V635" i="16"/>
  <c r="Q635" i="16"/>
  <c r="K635" i="16"/>
  <c r="F635" i="16"/>
  <c r="A635" i="16"/>
  <c r="T634" i="16"/>
  <c r="O634" i="16"/>
  <c r="J634" i="16"/>
  <c r="D634" i="16"/>
  <c r="X633" i="16"/>
  <c r="S633" i="16"/>
  <c r="M633" i="16"/>
  <c r="H633" i="16"/>
  <c r="C633" i="16"/>
  <c r="V632" i="16"/>
  <c r="Q632" i="16"/>
  <c r="L632" i="16"/>
  <c r="F632" i="16"/>
  <c r="A632" i="16"/>
  <c r="U631" i="16"/>
  <c r="O631" i="16"/>
  <c r="J631" i="16"/>
  <c r="E631" i="16"/>
  <c r="X630" i="16"/>
  <c r="S630" i="16"/>
  <c r="N630" i="16"/>
  <c r="H630" i="16"/>
  <c r="C630" i="16"/>
  <c r="W629" i="16"/>
  <c r="Q629" i="16"/>
  <c r="L629" i="16"/>
  <c r="G629" i="16"/>
  <c r="A629" i="16"/>
  <c r="U628" i="16"/>
  <c r="P628" i="16"/>
  <c r="J628" i="16"/>
  <c r="E628" i="16"/>
  <c r="Y627" i="16"/>
  <c r="S627" i="16"/>
  <c r="N627" i="16"/>
  <c r="I627" i="16"/>
  <c r="C627" i="16"/>
  <c r="W626" i="16"/>
  <c r="R626" i="16"/>
  <c r="L626" i="16"/>
  <c r="G626" i="16"/>
  <c r="B626" i="16"/>
  <c r="U625" i="16"/>
  <c r="P625" i="16"/>
  <c r="K625" i="16"/>
  <c r="G625" i="16"/>
  <c r="C625" i="16"/>
  <c r="X624" i="16"/>
  <c r="T624" i="16"/>
  <c r="P624" i="16"/>
  <c r="L624" i="16"/>
  <c r="H624" i="16"/>
  <c r="D624" i="16"/>
  <c r="Y623" i="16"/>
  <c r="U623" i="16"/>
  <c r="Q623" i="16"/>
  <c r="M623" i="16"/>
  <c r="I623" i="16"/>
  <c r="E623" i="16"/>
  <c r="A623" i="16"/>
  <c r="V622" i="16"/>
  <c r="R622" i="16"/>
  <c r="N622" i="16"/>
  <c r="J622" i="16"/>
  <c r="F622" i="16"/>
  <c r="B622" i="16"/>
  <c r="W621" i="16"/>
  <c r="S621" i="16"/>
  <c r="O621" i="16"/>
  <c r="K621" i="16"/>
  <c r="G621" i="16"/>
  <c r="C621" i="16"/>
  <c r="X620" i="16"/>
  <c r="T620" i="16"/>
  <c r="P620" i="16"/>
  <c r="L620" i="16"/>
  <c r="H620" i="16"/>
  <c r="D620" i="16"/>
  <c r="Y619" i="16"/>
  <c r="U619" i="16"/>
  <c r="Q619" i="16"/>
  <c r="M619" i="16"/>
  <c r="I619" i="16"/>
  <c r="E619" i="16"/>
  <c r="A619" i="16"/>
  <c r="V618" i="16"/>
  <c r="R618" i="16"/>
  <c r="N618" i="16"/>
  <c r="J618" i="16"/>
  <c r="F618" i="16"/>
  <c r="B618" i="16"/>
  <c r="W617" i="16"/>
  <c r="S617" i="16"/>
  <c r="O617" i="16"/>
  <c r="K617" i="16"/>
  <c r="G617" i="16"/>
  <c r="C617" i="16"/>
  <c r="X616" i="16"/>
  <c r="T616" i="16"/>
  <c r="P616" i="16"/>
  <c r="L616" i="16"/>
  <c r="H616" i="16"/>
  <c r="D616" i="16"/>
  <c r="Y615" i="16"/>
  <c r="U615" i="16"/>
  <c r="Q615" i="16"/>
  <c r="M615" i="16"/>
  <c r="I615" i="16"/>
  <c r="E615" i="16"/>
  <c r="A615" i="16"/>
  <c r="V614" i="16"/>
  <c r="R614" i="16"/>
  <c r="N614" i="16"/>
  <c r="J614" i="16"/>
  <c r="F614" i="16"/>
  <c r="B614" i="16"/>
  <c r="W613" i="16"/>
  <c r="S613" i="16"/>
  <c r="O613" i="16"/>
  <c r="K613" i="16"/>
  <c r="G613" i="16"/>
  <c r="C613" i="16"/>
  <c r="X612" i="16"/>
  <c r="T612" i="16"/>
  <c r="P612" i="16"/>
  <c r="L612" i="16"/>
  <c r="H612" i="16"/>
  <c r="D612" i="16"/>
  <c r="Y611" i="16"/>
  <c r="U611" i="16"/>
  <c r="Q611" i="16"/>
  <c r="M611" i="16"/>
  <c r="I611" i="16"/>
  <c r="E611" i="16"/>
  <c r="A611" i="16"/>
  <c r="V610" i="16"/>
  <c r="R610" i="16"/>
  <c r="N610" i="16"/>
  <c r="J610" i="16"/>
  <c r="F610" i="16"/>
  <c r="B610" i="16"/>
  <c r="W609" i="16"/>
  <c r="S609" i="16"/>
  <c r="O609" i="16"/>
  <c r="K609" i="16"/>
  <c r="G609" i="16"/>
  <c r="C609" i="16"/>
  <c r="X608" i="16"/>
  <c r="T608" i="16"/>
  <c r="P608" i="16"/>
  <c r="L608" i="16"/>
  <c r="H608" i="16"/>
  <c r="D608" i="16"/>
  <c r="Y607" i="16"/>
  <c r="U607" i="16"/>
  <c r="Q607" i="16"/>
  <c r="M607" i="16"/>
  <c r="I607" i="16"/>
  <c r="E607" i="16"/>
  <c r="A607" i="16"/>
  <c r="V606" i="16"/>
  <c r="R606" i="16"/>
  <c r="N606" i="16"/>
  <c r="J606" i="16"/>
  <c r="F606" i="16"/>
  <c r="B606" i="16"/>
  <c r="W605" i="16"/>
  <c r="S605" i="16"/>
  <c r="O605" i="16"/>
  <c r="K605" i="16"/>
  <c r="G605" i="16"/>
  <c r="C605" i="16"/>
  <c r="X604" i="16"/>
  <c r="T604" i="16"/>
  <c r="P604" i="16"/>
  <c r="L604" i="16"/>
  <c r="H604" i="16"/>
  <c r="D604" i="16"/>
  <c r="Y603" i="16"/>
  <c r="U603" i="16"/>
  <c r="Q603" i="16"/>
  <c r="M603" i="16"/>
  <c r="I603" i="16"/>
  <c r="E603" i="16"/>
  <c r="A603" i="16"/>
  <c r="V602" i="16"/>
  <c r="R602" i="16"/>
  <c r="N602" i="16"/>
  <c r="J602" i="16"/>
  <c r="F602" i="16"/>
  <c r="B602" i="16"/>
  <c r="W601" i="16"/>
  <c r="S601" i="16"/>
  <c r="O601" i="16"/>
  <c r="K601" i="16"/>
  <c r="G601" i="16"/>
  <c r="C601" i="16"/>
  <c r="X600" i="16"/>
  <c r="T600" i="16"/>
  <c r="P600" i="16"/>
  <c r="L600" i="16"/>
  <c r="H600" i="16"/>
  <c r="D600" i="16"/>
  <c r="Y599" i="16"/>
  <c r="U599" i="16"/>
  <c r="Q599" i="16"/>
  <c r="M599" i="16"/>
  <c r="I599" i="16"/>
  <c r="E599" i="16"/>
  <c r="A599" i="16"/>
  <c r="V598" i="16"/>
  <c r="R598" i="16"/>
  <c r="N598" i="16"/>
  <c r="J598" i="16"/>
  <c r="F598" i="16"/>
  <c r="B598" i="16"/>
  <c r="W597" i="16"/>
  <c r="S597" i="16"/>
  <c r="O597" i="16"/>
  <c r="K597" i="16"/>
  <c r="G597" i="16"/>
  <c r="C597" i="16"/>
  <c r="X596" i="16"/>
  <c r="T596" i="16"/>
  <c r="P596" i="16"/>
  <c r="L596" i="16"/>
  <c r="H596" i="16"/>
  <c r="D596" i="16"/>
  <c r="Y595" i="16"/>
  <c r="U595" i="16"/>
  <c r="Q595" i="16"/>
  <c r="M595" i="16"/>
  <c r="I595" i="16"/>
  <c r="E595" i="16"/>
  <c r="A595" i="16"/>
  <c r="V594" i="16"/>
  <c r="R594" i="16"/>
  <c r="N594" i="16"/>
  <c r="J594" i="16"/>
  <c r="F594" i="16"/>
  <c r="B594" i="16"/>
  <c r="W593" i="16"/>
  <c r="S593" i="16"/>
  <c r="O593" i="16"/>
  <c r="K593" i="16"/>
  <c r="G593" i="16"/>
  <c r="C593" i="16"/>
  <c r="X592" i="16"/>
  <c r="T592" i="16"/>
  <c r="P592" i="16"/>
  <c r="L592" i="16"/>
  <c r="H592" i="16"/>
  <c r="D592" i="16"/>
  <c r="Y591" i="16"/>
  <c r="U591" i="16"/>
  <c r="Q591" i="16"/>
  <c r="M591" i="16"/>
  <c r="I591" i="16"/>
  <c r="E591" i="16"/>
  <c r="A591" i="16"/>
  <c r="V590" i="16"/>
  <c r="R590" i="16"/>
  <c r="N590" i="16"/>
  <c r="J590" i="16"/>
  <c r="F590" i="16"/>
  <c r="B590" i="16"/>
  <c r="W589" i="16"/>
  <c r="S589" i="16"/>
  <c r="O589" i="16"/>
  <c r="K589" i="16"/>
  <c r="G589" i="16"/>
  <c r="C589" i="16"/>
  <c r="X588" i="16"/>
  <c r="T588" i="16"/>
  <c r="P588" i="16"/>
  <c r="L588" i="16"/>
  <c r="H588" i="16"/>
  <c r="D588" i="16"/>
  <c r="Y587" i="16"/>
  <c r="U587" i="16"/>
  <c r="Q587" i="16"/>
  <c r="M587" i="16"/>
  <c r="I587" i="16"/>
  <c r="E587" i="16"/>
  <c r="A587" i="16"/>
  <c r="V586" i="16"/>
  <c r="R586" i="16"/>
  <c r="N586" i="16"/>
  <c r="J586" i="16"/>
  <c r="F586" i="16"/>
  <c r="B586" i="16"/>
  <c r="W585" i="16"/>
  <c r="S585" i="16"/>
  <c r="O585" i="16"/>
  <c r="K585" i="16"/>
  <c r="G585" i="16"/>
  <c r="C585" i="16"/>
  <c r="X584" i="16"/>
  <c r="T584" i="16"/>
  <c r="P584" i="16"/>
  <c r="L584" i="16"/>
  <c r="H584" i="16"/>
  <c r="D584" i="16"/>
  <c r="Y583" i="16"/>
  <c r="U583" i="16"/>
  <c r="Q583" i="16"/>
  <c r="M583" i="16"/>
  <c r="I583" i="16"/>
  <c r="E583" i="16"/>
  <c r="A583" i="16"/>
  <c r="V582" i="16"/>
  <c r="R582" i="16"/>
  <c r="N582" i="16"/>
  <c r="J582" i="16"/>
  <c r="F582" i="16"/>
  <c r="B582" i="16"/>
  <c r="W581" i="16"/>
  <c r="S581" i="16"/>
  <c r="O581" i="16"/>
  <c r="K581" i="16"/>
  <c r="G581" i="16"/>
  <c r="C581" i="16"/>
  <c r="X580" i="16"/>
  <c r="T580" i="16"/>
  <c r="P580" i="16"/>
  <c r="L580" i="16"/>
  <c r="H580" i="16"/>
  <c r="D580" i="16"/>
  <c r="Y579" i="16"/>
  <c r="U579" i="16"/>
  <c r="Q579" i="16"/>
  <c r="M579" i="16"/>
  <c r="I579" i="16"/>
  <c r="E579" i="16"/>
  <c r="A579" i="16"/>
  <c r="V578" i="16"/>
  <c r="R578" i="16"/>
  <c r="N578" i="16"/>
  <c r="J578" i="16"/>
  <c r="F578" i="16"/>
  <c r="B578" i="16"/>
  <c r="W577" i="16"/>
  <c r="S577" i="16"/>
  <c r="O577" i="16"/>
  <c r="K577" i="16"/>
  <c r="G577" i="16"/>
  <c r="C577" i="16"/>
  <c r="X576" i="16"/>
  <c r="T576" i="16"/>
  <c r="P576" i="16"/>
  <c r="L576" i="16"/>
  <c r="H576" i="16"/>
  <c r="D576" i="16"/>
  <c r="Y575" i="16"/>
  <c r="U575" i="16"/>
  <c r="Q575" i="16"/>
  <c r="M575" i="16"/>
  <c r="I575" i="16"/>
  <c r="E575" i="16"/>
  <c r="A575" i="16"/>
  <c r="V574" i="16"/>
  <c r="R574" i="16"/>
  <c r="N574" i="16"/>
  <c r="J574" i="16"/>
  <c r="F574" i="16"/>
  <c r="B574" i="16"/>
  <c r="W573" i="16"/>
  <c r="S573" i="16"/>
  <c r="O573" i="16"/>
  <c r="K573" i="16"/>
  <c r="G573" i="16"/>
  <c r="C573" i="16"/>
  <c r="X572" i="16"/>
  <c r="T572" i="16"/>
  <c r="P572" i="16"/>
  <c r="L572" i="16"/>
  <c r="H572" i="16"/>
  <c r="D572" i="16"/>
  <c r="Y571" i="16"/>
  <c r="U571" i="16"/>
  <c r="Q571" i="16"/>
  <c r="M571" i="16"/>
  <c r="I571" i="16"/>
  <c r="E571" i="16"/>
  <c r="A571" i="16"/>
  <c r="V570" i="16"/>
  <c r="R570" i="16"/>
  <c r="N570" i="16"/>
  <c r="J570" i="16"/>
  <c r="F570" i="16"/>
  <c r="B570" i="16"/>
  <c r="W569" i="16"/>
  <c r="S569" i="16"/>
  <c r="O569" i="16"/>
  <c r="K569" i="16"/>
  <c r="G569" i="16"/>
  <c r="C569" i="16"/>
  <c r="X568" i="16"/>
  <c r="T568" i="16"/>
  <c r="P568" i="16"/>
  <c r="L568" i="16"/>
  <c r="H568" i="16"/>
  <c r="D568" i="16"/>
  <c r="Y567" i="16"/>
  <c r="C1161" i="16"/>
  <c r="S1137" i="16"/>
  <c r="L1121" i="16"/>
  <c r="N1108" i="16"/>
  <c r="D1099" i="16"/>
  <c r="A1091" i="16"/>
  <c r="Y1082" i="16"/>
  <c r="U1074" i="16"/>
  <c r="S1066" i="16"/>
  <c r="S1058" i="16"/>
  <c r="N1050" i="16"/>
  <c r="H1044" i="16"/>
  <c r="U1038" i="16"/>
  <c r="O1034" i="16"/>
  <c r="N1031" i="16"/>
  <c r="M1028" i="16"/>
  <c r="M1025" i="16"/>
  <c r="K1022" i="16"/>
  <c r="J1019" i="16"/>
  <c r="J1016" i="16"/>
  <c r="I1013" i="16"/>
  <c r="G1010" i="16"/>
  <c r="G1007" i="16"/>
  <c r="F1004" i="16"/>
  <c r="E1001" i="16"/>
  <c r="E998" i="16"/>
  <c r="C995" i="16"/>
  <c r="B992" i="16"/>
  <c r="B989" i="16"/>
  <c r="A986" i="16"/>
  <c r="X982" i="16"/>
  <c r="X979" i="16"/>
  <c r="W976" i="16"/>
  <c r="V973" i="16"/>
  <c r="W970" i="16"/>
  <c r="T967" i="16"/>
  <c r="S964" i="16"/>
  <c r="T961" i="16"/>
  <c r="S958" i="16"/>
  <c r="P955" i="16"/>
  <c r="Q952" i="16"/>
  <c r="P949" i="16"/>
  <c r="O946" i="16"/>
  <c r="M944" i="16"/>
  <c r="Y942" i="16"/>
  <c r="L941" i="16"/>
  <c r="X939" i="16"/>
  <c r="L938" i="16"/>
  <c r="V936" i="16"/>
  <c r="J935" i="16"/>
  <c r="V933" i="16"/>
  <c r="I932" i="16"/>
  <c r="U930" i="16"/>
  <c r="I929" i="16"/>
  <c r="T927" i="16"/>
  <c r="H926" i="16"/>
  <c r="U924" i="16"/>
  <c r="F923" i="16"/>
  <c r="R921" i="16"/>
  <c r="F920" i="16"/>
  <c r="Q918" i="16"/>
  <c r="E917" i="16"/>
  <c r="R915" i="16"/>
  <c r="D914" i="16"/>
  <c r="Q912" i="16"/>
  <c r="D911" i="16"/>
  <c r="N909" i="16"/>
  <c r="B908" i="16"/>
  <c r="O906" i="16"/>
  <c r="A905" i="16"/>
  <c r="N903" i="16"/>
  <c r="A902" i="16"/>
  <c r="M900" i="16"/>
  <c r="Y898" i="16"/>
  <c r="S897" i="16"/>
  <c r="N896" i="16"/>
  <c r="K895" i="16"/>
  <c r="H894" i="16"/>
  <c r="D893" i="16"/>
  <c r="A892" i="16"/>
  <c r="W890" i="16"/>
  <c r="S889" i="16"/>
  <c r="P888" i="16"/>
  <c r="M887" i="16"/>
  <c r="H886" i="16"/>
  <c r="E885" i="16"/>
  <c r="B884" i="16"/>
  <c r="W882" i="16"/>
  <c r="T881" i="16"/>
  <c r="Q880" i="16"/>
  <c r="M879" i="16"/>
  <c r="J878" i="16"/>
  <c r="G877" i="16"/>
  <c r="B876" i="16"/>
  <c r="X874" i="16"/>
  <c r="U873" i="16"/>
  <c r="Q872" i="16"/>
  <c r="G1143" i="16"/>
  <c r="O1125" i="16"/>
  <c r="F1111" i="16"/>
  <c r="F1101" i="16"/>
  <c r="Y1092" i="16"/>
  <c r="Y1084" i="16"/>
  <c r="X1076" i="16"/>
  <c r="T1068" i="16"/>
  <c r="S1060" i="16"/>
  <c r="P1052" i="16"/>
  <c r="N1045" i="16"/>
  <c r="G1040" i="16"/>
  <c r="J1035" i="16"/>
  <c r="I1032" i="16"/>
  <c r="F1029" i="16"/>
  <c r="E1026" i="16"/>
  <c r="F1023" i="16"/>
  <c r="E1020" i="16"/>
  <c r="B1017" i="16"/>
  <c r="C1014" i="16"/>
  <c r="B1011" i="16"/>
  <c r="A1008" i="16"/>
  <c r="A1005" i="16"/>
  <c r="X1001" i="16"/>
  <c r="W998" i="16"/>
  <c r="W995" i="16"/>
  <c r="V992" i="16"/>
  <c r="T989" i="16"/>
  <c r="T986" i="16"/>
  <c r="S983" i="16"/>
  <c r="R980" i="16"/>
  <c r="R977" i="16"/>
  <c r="P974" i="16"/>
  <c r="O971" i="16"/>
  <c r="O968" i="16"/>
  <c r="N965" i="16"/>
  <c r="L962" i="16"/>
  <c r="L959" i="16"/>
  <c r="K956" i="16"/>
  <c r="J953" i="16"/>
  <c r="K950" i="16"/>
  <c r="H947" i="16"/>
  <c r="V944" i="16"/>
  <c r="J943" i="16"/>
  <c r="V941" i="16"/>
  <c r="G940" i="16"/>
  <c r="T938" i="16"/>
  <c r="H937" i="16"/>
  <c r="S935" i="16"/>
  <c r="G934" i="16"/>
  <c r="S932" i="16"/>
  <c r="F931" i="16"/>
  <c r="R929" i="16"/>
  <c r="F928" i="16"/>
  <c r="P926" i="16"/>
  <c r="D925" i="16"/>
  <c r="P923" i="16"/>
  <c r="C922" i="16"/>
  <c r="O920" i="16"/>
  <c r="C919" i="16"/>
  <c r="N917" i="16"/>
  <c r="B916" i="16"/>
  <c r="O914" i="16"/>
  <c r="Y912" i="16"/>
  <c r="L911" i="16"/>
  <c r="Y909" i="16"/>
  <c r="K908" i="16"/>
  <c r="X906" i="16"/>
  <c r="L905" i="16"/>
  <c r="W903" i="16"/>
  <c r="K902" i="16"/>
  <c r="W900" i="16"/>
  <c r="H899" i="16"/>
  <c r="Y897" i="16"/>
  <c r="V896" i="16"/>
  <c r="R895" i="16"/>
  <c r="O894" i="16"/>
  <c r="L893" i="16"/>
  <c r="H892" i="16"/>
  <c r="E891" i="16"/>
  <c r="B890" i="16"/>
  <c r="V888" i="16"/>
  <c r="S887" i="16"/>
  <c r="P886" i="16"/>
  <c r="L885" i="16"/>
  <c r="Y1153" i="16"/>
  <c r="L1117" i="16"/>
  <c r="D1097" i="16"/>
  <c r="X1080" i="16"/>
  <c r="T1064" i="16"/>
  <c r="O1048" i="16"/>
  <c r="L1037" i="16"/>
  <c r="S1030" i="16"/>
  <c r="R1024" i="16"/>
  <c r="Q1018" i="16"/>
  <c r="N1012" i="16"/>
  <c r="M1006" i="16"/>
  <c r="K1000" i="16"/>
  <c r="I994" i="16"/>
  <c r="G988" i="16"/>
  <c r="G982" i="16"/>
  <c r="C976" i="16"/>
  <c r="C970" i="16"/>
  <c r="B964" i="16"/>
  <c r="X957" i="16"/>
  <c r="W951" i="16"/>
  <c r="U945" i="16"/>
  <c r="O942" i="16"/>
  <c r="O939" i="16"/>
  <c r="N936" i="16"/>
  <c r="L933" i="16"/>
  <c r="L930" i="16"/>
  <c r="K927" i="16"/>
  <c r="J924" i="16"/>
  <c r="J921" i="16"/>
  <c r="H918" i="16"/>
  <c r="G915" i="16"/>
  <c r="G912" i="16"/>
  <c r="F909" i="16"/>
  <c r="D906" i="16"/>
  <c r="D903" i="16"/>
  <c r="C900" i="16"/>
  <c r="K897" i="16"/>
  <c r="E895" i="16"/>
  <c r="V892" i="16"/>
  <c r="O890" i="16"/>
  <c r="I888" i="16"/>
  <c r="B886" i="16"/>
  <c r="I884" i="16"/>
  <c r="P882" i="16"/>
  <c r="E881" i="16"/>
  <c r="U879" i="16"/>
  <c r="C878" i="16"/>
  <c r="Q876" i="16"/>
  <c r="F875" i="16"/>
  <c r="M873" i="16"/>
  <c r="D872" i="16"/>
  <c r="X870" i="16"/>
  <c r="U869" i="16"/>
  <c r="R868" i="16"/>
  <c r="N867" i="16"/>
  <c r="K866" i="16"/>
  <c r="H865" i="16"/>
  <c r="D864" i="16"/>
  <c r="A863" i="16"/>
  <c r="D862" i="16"/>
  <c r="H861" i="16"/>
  <c r="L860" i="16"/>
  <c r="O859" i="16"/>
  <c r="S858" i="16"/>
  <c r="W857" i="16"/>
  <c r="A857" i="16"/>
  <c r="E856" i="16"/>
  <c r="I855" i="16"/>
  <c r="L854" i="16"/>
  <c r="P853" i="16"/>
  <c r="T852" i="16"/>
  <c r="W851" i="16"/>
  <c r="B851" i="16"/>
  <c r="F850" i="16"/>
  <c r="I849" i="16"/>
  <c r="M848" i="16"/>
  <c r="Q847" i="16"/>
  <c r="T846" i="16"/>
  <c r="X845" i="16"/>
  <c r="C845" i="16"/>
  <c r="F844" i="16"/>
  <c r="J843" i="16"/>
  <c r="N842" i="16"/>
  <c r="Q841" i="16"/>
  <c r="U840" i="16"/>
  <c r="Y839" i="16"/>
  <c r="C839" i="16"/>
  <c r="G838" i="16"/>
  <c r="K837" i="16"/>
  <c r="N836" i="16"/>
  <c r="R835" i="16"/>
  <c r="V834" i="16"/>
  <c r="Y833" i="16"/>
  <c r="D833" i="16"/>
  <c r="H832" i="16"/>
  <c r="K831" i="16"/>
  <c r="O830" i="16"/>
  <c r="S829" i="16"/>
  <c r="V828" i="16"/>
  <c r="A828" i="16"/>
  <c r="E827" i="16"/>
  <c r="H826" i="16"/>
  <c r="L825" i="16"/>
  <c r="P824" i="16"/>
  <c r="S823" i="16"/>
  <c r="W822" i="16"/>
  <c r="B822" i="16"/>
  <c r="E821" i="16"/>
  <c r="I820" i="16"/>
  <c r="M819" i="16"/>
  <c r="P818" i="16"/>
  <c r="T817" i="16"/>
  <c r="X816" i="16"/>
  <c r="B816" i="16"/>
  <c r="F815" i="16"/>
  <c r="J814" i="16"/>
  <c r="M813" i="16"/>
  <c r="Q812" i="16"/>
  <c r="U811" i="16"/>
  <c r="X810" i="16"/>
  <c r="C810" i="16"/>
  <c r="G809" i="16"/>
  <c r="J808" i="16"/>
  <c r="N807" i="16"/>
  <c r="T806" i="16"/>
  <c r="J806" i="16"/>
  <c r="X805" i="16"/>
  <c r="M805" i="16"/>
  <c r="C805" i="16"/>
  <c r="Q804" i="16"/>
  <c r="F804" i="16"/>
  <c r="U803" i="16"/>
  <c r="J803" i="16"/>
  <c r="X802" i="16"/>
  <c r="N802" i="16"/>
  <c r="C802" i="16"/>
  <c r="Q801" i="16"/>
  <c r="G801" i="16"/>
  <c r="U800" i="16"/>
  <c r="J800" i="16"/>
  <c r="Y799" i="16"/>
  <c r="N799" i="16"/>
  <c r="C799" i="16"/>
  <c r="R798" i="16"/>
  <c r="G798" i="16"/>
  <c r="U797" i="16"/>
  <c r="K797" i="16"/>
  <c r="Y796" i="16"/>
  <c r="N796" i="16"/>
  <c r="D796" i="16"/>
  <c r="R795" i="16"/>
  <c r="G795" i="16"/>
  <c r="V794" i="16"/>
  <c r="K794" i="16"/>
  <c r="Y793" i="16"/>
  <c r="O793" i="16"/>
  <c r="D793" i="16"/>
  <c r="R792" i="16"/>
  <c r="H792" i="16"/>
  <c r="V791" i="16"/>
  <c r="K791" i="16"/>
  <c r="A791" i="16"/>
  <c r="O790" i="16"/>
  <c r="D790" i="16"/>
  <c r="S789" i="16"/>
  <c r="H789" i="16"/>
  <c r="V788" i="16"/>
  <c r="L788" i="16"/>
  <c r="A788" i="16"/>
  <c r="O787" i="16"/>
  <c r="E787" i="16"/>
  <c r="S786" i="16"/>
  <c r="H786" i="16"/>
  <c r="W785" i="16"/>
  <c r="L785" i="16"/>
  <c r="A785" i="16"/>
  <c r="P784" i="16"/>
  <c r="E784" i="16"/>
  <c r="S783" i="16"/>
  <c r="I783" i="16"/>
  <c r="W782" i="16"/>
  <c r="L782" i="16"/>
  <c r="B782" i="16"/>
  <c r="P781" i="16"/>
  <c r="E781" i="16"/>
  <c r="T780" i="16"/>
  <c r="I780" i="16"/>
  <c r="W779" i="16"/>
  <c r="M779" i="16"/>
  <c r="B779" i="16"/>
  <c r="P778" i="16"/>
  <c r="F778" i="16"/>
  <c r="T777" i="16"/>
  <c r="I777" i="16"/>
  <c r="X776" i="16"/>
  <c r="M776" i="16"/>
  <c r="B776" i="16"/>
  <c r="Q775" i="16"/>
  <c r="F775" i="16"/>
  <c r="T774" i="16"/>
  <c r="J774" i="16"/>
  <c r="X773" i="16"/>
  <c r="M773" i="16"/>
  <c r="C773" i="16"/>
  <c r="Q772" i="16"/>
  <c r="F772" i="16"/>
  <c r="U771" i="16"/>
  <c r="J771" i="16"/>
  <c r="X770" i="16"/>
  <c r="N770" i="16"/>
  <c r="C770" i="16"/>
  <c r="Q769" i="16"/>
  <c r="G769" i="16"/>
  <c r="U768" i="16"/>
  <c r="J768" i="16"/>
  <c r="Y767" i="16"/>
  <c r="N767" i="16"/>
  <c r="C767" i="16"/>
  <c r="R766" i="16"/>
  <c r="G766" i="16"/>
  <c r="U765" i="16"/>
  <c r="K765" i="16"/>
  <c r="Y764" i="16"/>
  <c r="N764" i="16"/>
  <c r="D764" i="16"/>
  <c r="R763" i="16"/>
  <c r="G763" i="16"/>
  <c r="V762" i="16"/>
  <c r="K762" i="16"/>
  <c r="Y761" i="16"/>
  <c r="O761" i="16"/>
  <c r="D761" i="16"/>
  <c r="R760" i="16"/>
  <c r="H760" i="16"/>
  <c r="V759" i="16"/>
  <c r="K759" i="16"/>
  <c r="A759" i="16"/>
  <c r="O758" i="16"/>
  <c r="D758" i="16"/>
  <c r="S757" i="16"/>
  <c r="H757" i="16"/>
  <c r="V756" i="16"/>
  <c r="L756" i="16"/>
  <c r="A756" i="16"/>
  <c r="O755" i="16"/>
  <c r="E755" i="16"/>
  <c r="S754" i="16"/>
  <c r="H754" i="16"/>
  <c r="W753" i="16"/>
  <c r="L753" i="16"/>
  <c r="A753" i="16"/>
  <c r="P752" i="16"/>
  <c r="E752" i="16"/>
  <c r="S751" i="16"/>
  <c r="I751" i="16"/>
  <c r="W750" i="16"/>
  <c r="L750" i="16"/>
  <c r="B750" i="16"/>
  <c r="P749" i="16"/>
  <c r="E749" i="16"/>
  <c r="T748" i="16"/>
  <c r="I748" i="16"/>
  <c r="W747" i="16"/>
  <c r="M747" i="16"/>
  <c r="B747" i="16"/>
  <c r="P746" i="16"/>
  <c r="F746" i="16"/>
  <c r="T745" i="16"/>
  <c r="I745" i="16"/>
  <c r="X744" i="16"/>
  <c r="M744" i="16"/>
  <c r="B744" i="16"/>
  <c r="Q743" i="16"/>
  <c r="F743" i="16"/>
  <c r="T742" i="16"/>
  <c r="J742" i="16"/>
  <c r="X741" i="16"/>
  <c r="M741" i="16"/>
  <c r="C741" i="16"/>
  <c r="Q740" i="16"/>
  <c r="F740" i="16"/>
  <c r="U739" i="16"/>
  <c r="J739" i="16"/>
  <c r="X738" i="16"/>
  <c r="N738" i="16"/>
  <c r="C738" i="16"/>
  <c r="Q737" i="16"/>
  <c r="G737" i="16"/>
  <c r="U736" i="16"/>
  <c r="J736" i="16"/>
  <c r="Y735" i="16"/>
  <c r="N735" i="16"/>
  <c r="C735" i="16"/>
  <c r="R734" i="16"/>
  <c r="G734" i="16"/>
  <c r="U733" i="16"/>
  <c r="K733" i="16"/>
  <c r="Y732" i="16"/>
  <c r="N732" i="16"/>
  <c r="D732" i="16"/>
  <c r="R731" i="16"/>
  <c r="G731" i="16"/>
  <c r="V730" i="16"/>
  <c r="K730" i="16"/>
  <c r="Y729" i="16"/>
  <c r="O729" i="16"/>
  <c r="D729" i="16"/>
  <c r="R728" i="16"/>
  <c r="H728" i="16"/>
  <c r="V727" i="16"/>
  <c r="K727" i="16"/>
  <c r="A727" i="16"/>
  <c r="O726" i="16"/>
  <c r="D726" i="16"/>
  <c r="S725" i="16"/>
  <c r="H725" i="16"/>
  <c r="V724" i="16"/>
  <c r="L724" i="16"/>
  <c r="A724" i="16"/>
  <c r="O723" i="16"/>
  <c r="E723" i="16"/>
  <c r="S722" i="16"/>
  <c r="H722" i="16"/>
  <c r="W721" i="16"/>
  <c r="L721" i="16"/>
  <c r="A721" i="16"/>
  <c r="P720" i="16"/>
  <c r="E720" i="16"/>
  <c r="S719" i="16"/>
  <c r="I719" i="16"/>
  <c r="W718" i="16"/>
  <c r="L718" i="16"/>
  <c r="B718" i="16"/>
  <c r="P717" i="16"/>
  <c r="E717" i="16"/>
  <c r="T716" i="16"/>
  <c r="I716" i="16"/>
  <c r="W715" i="16"/>
  <c r="M715" i="16"/>
  <c r="B715" i="16"/>
  <c r="P714" i="16"/>
  <c r="F714" i="16"/>
  <c r="T713" i="16"/>
  <c r="I713" i="16"/>
  <c r="X712" i="16"/>
  <c r="M712" i="16"/>
  <c r="B712" i="16"/>
  <c r="Q711" i="16"/>
  <c r="F711" i="16"/>
  <c r="T710" i="16"/>
  <c r="J710" i="16"/>
  <c r="X709" i="16"/>
  <c r="M709" i="16"/>
  <c r="C709" i="16"/>
  <c r="Q708" i="16"/>
  <c r="F708" i="16"/>
  <c r="U707" i="16"/>
  <c r="J707" i="16"/>
  <c r="X706" i="16"/>
  <c r="N706" i="16"/>
  <c r="C706" i="16"/>
  <c r="Q705" i="16"/>
  <c r="G705" i="16"/>
  <c r="U704" i="16"/>
  <c r="J704" i="16"/>
  <c r="Y703" i="16"/>
  <c r="N703" i="16"/>
  <c r="C703" i="16"/>
  <c r="R702" i="16"/>
  <c r="G702" i="16"/>
  <c r="U701" i="16"/>
  <c r="K701" i="16"/>
  <c r="Y700" i="16"/>
  <c r="N700" i="16"/>
  <c r="D700" i="16"/>
  <c r="R699" i="16"/>
  <c r="G699" i="16"/>
  <c r="V698" i="16"/>
  <c r="K698" i="16"/>
  <c r="Y697" i="16"/>
  <c r="O697" i="16"/>
  <c r="D697" i="16"/>
  <c r="R696" i="16"/>
  <c r="H696" i="16"/>
  <c r="V695" i="16"/>
  <c r="K695" i="16"/>
  <c r="A695" i="16"/>
  <c r="O694" i="16"/>
  <c r="D694" i="16"/>
  <c r="S693" i="16"/>
  <c r="H693" i="16"/>
  <c r="V692" i="16"/>
  <c r="L692" i="16"/>
  <c r="A692" i="16"/>
  <c r="O691" i="16"/>
  <c r="E691" i="16"/>
  <c r="S690" i="16"/>
  <c r="H690" i="16"/>
  <c r="W689" i="16"/>
  <c r="L689" i="16"/>
  <c r="A689" i="16"/>
  <c r="P688" i="16"/>
  <c r="E688" i="16"/>
  <c r="S687" i="16"/>
  <c r="I687" i="16"/>
  <c r="W686" i="16"/>
  <c r="L686" i="16"/>
  <c r="B686" i="16"/>
  <c r="P685" i="16"/>
  <c r="E685" i="16"/>
  <c r="T684" i="16"/>
  <c r="I684" i="16"/>
  <c r="W683" i="16"/>
  <c r="M683" i="16"/>
  <c r="B683" i="16"/>
  <c r="P682" i="16"/>
  <c r="F682" i="16"/>
  <c r="T681" i="16"/>
  <c r="I681" i="16"/>
  <c r="X680" i="16"/>
  <c r="M680" i="16"/>
  <c r="B680" i="16"/>
  <c r="Q679" i="16"/>
  <c r="F679" i="16"/>
  <c r="T678" i="16"/>
  <c r="J678" i="16"/>
  <c r="X677" i="16"/>
  <c r="M677" i="16"/>
  <c r="C677" i="16"/>
  <c r="Q676" i="16"/>
  <c r="F676" i="16"/>
  <c r="U675" i="16"/>
  <c r="J675" i="16"/>
  <c r="X674" i="16"/>
  <c r="N674" i="16"/>
  <c r="C674" i="16"/>
  <c r="Q673" i="16"/>
  <c r="G673" i="16"/>
  <c r="U672" i="16"/>
  <c r="J672" i="16"/>
  <c r="Y671" i="16"/>
  <c r="N671" i="16"/>
  <c r="C671" i="16"/>
  <c r="R670" i="16"/>
  <c r="G670" i="16"/>
  <c r="U669" i="16"/>
  <c r="K669" i="16"/>
  <c r="Y668" i="16"/>
  <c r="N668" i="16"/>
  <c r="D668" i="16"/>
  <c r="R667" i="16"/>
  <c r="G667" i="16"/>
  <c r="V666" i="16"/>
  <c r="K666" i="16"/>
  <c r="Y665" i="16"/>
  <c r="O665" i="16"/>
  <c r="D665" i="16"/>
  <c r="R664" i="16"/>
  <c r="H664" i="16"/>
  <c r="V663" i="16"/>
  <c r="K663" i="16"/>
  <c r="A663" i="16"/>
  <c r="O662" i="16"/>
  <c r="D662" i="16"/>
  <c r="S661" i="16"/>
  <c r="H661" i="16"/>
  <c r="V660" i="16"/>
  <c r="L660" i="16"/>
  <c r="A660" i="16"/>
  <c r="O659" i="16"/>
  <c r="E659" i="16"/>
  <c r="S658" i="16"/>
  <c r="H658" i="16"/>
  <c r="W657" i="16"/>
  <c r="L657" i="16"/>
  <c r="A657" i="16"/>
  <c r="P656" i="16"/>
  <c r="E656" i="16"/>
  <c r="S655" i="16"/>
  <c r="I655" i="16"/>
  <c r="W654" i="16"/>
  <c r="L654" i="16"/>
  <c r="B654" i="16"/>
  <c r="P653" i="16"/>
  <c r="E653" i="16"/>
  <c r="T652" i="16"/>
  <c r="I652" i="16"/>
  <c r="W651" i="16"/>
  <c r="M651" i="16"/>
  <c r="B651" i="16"/>
  <c r="P650" i="16"/>
  <c r="F650" i="16"/>
  <c r="T649" i="16"/>
  <c r="I649" i="16"/>
  <c r="X648" i="16"/>
  <c r="M648" i="16"/>
  <c r="B648" i="16"/>
  <c r="Q647" i="16"/>
  <c r="F647" i="16"/>
  <c r="T646" i="16"/>
  <c r="J646" i="16"/>
  <c r="X645" i="16"/>
  <c r="M645" i="16"/>
  <c r="C645" i="16"/>
  <c r="Q644" i="16"/>
  <c r="F644" i="16"/>
  <c r="U643" i="16"/>
  <c r="J643" i="16"/>
  <c r="X642" i="16"/>
  <c r="N642" i="16"/>
  <c r="C642" i="16"/>
  <c r="Q641" i="16"/>
  <c r="G641" i="16"/>
  <c r="U640" i="16"/>
  <c r="J640" i="16"/>
  <c r="Y639" i="16"/>
  <c r="N639" i="16"/>
  <c r="C639" i="16"/>
  <c r="R638" i="16"/>
  <c r="G638" i="16"/>
  <c r="U637" i="16"/>
  <c r="K637" i="16"/>
  <c r="Y636" i="16"/>
  <c r="N636" i="16"/>
  <c r="D636" i="16"/>
  <c r="R635" i="16"/>
  <c r="G635" i="16"/>
  <c r="V634" i="16"/>
  <c r="K634" i="16"/>
  <c r="Y633" i="16"/>
  <c r="O633" i="16"/>
  <c r="D633" i="16"/>
  <c r="R632" i="16"/>
  <c r="H632" i="16"/>
  <c r="V631" i="16"/>
  <c r="K631" i="16"/>
  <c r="A631" i="16"/>
  <c r="O630" i="16"/>
  <c r="D630" i="16"/>
  <c r="S629" i="16"/>
  <c r="H629" i="16"/>
  <c r="V628" i="16"/>
  <c r="L628" i="16"/>
  <c r="A628" i="16"/>
  <c r="O627" i="16"/>
  <c r="E627" i="16"/>
  <c r="S626" i="16"/>
  <c r="H626" i="16"/>
  <c r="W625" i="16"/>
  <c r="L625" i="16"/>
  <c r="D625" i="16"/>
  <c r="U624" i="16"/>
  <c r="M624" i="16"/>
  <c r="E624" i="16"/>
  <c r="V623" i="16"/>
  <c r="N623" i="16"/>
  <c r="F623" i="16"/>
  <c r="W622" i="16"/>
  <c r="O622" i="16"/>
  <c r="G622" i="16"/>
  <c r="X621" i="16"/>
  <c r="P621" i="16"/>
  <c r="H621" i="16"/>
  <c r="Y620" i="16"/>
  <c r="Q620" i="16"/>
  <c r="I620" i="16"/>
  <c r="A620" i="16"/>
  <c r="R619" i="16"/>
  <c r="J619" i="16"/>
  <c r="B619" i="16"/>
  <c r="S618" i="16"/>
  <c r="K618" i="16"/>
  <c r="C618" i="16"/>
  <c r="T617" i="16"/>
  <c r="L617" i="16"/>
  <c r="D617" i="16"/>
  <c r="U616" i="16"/>
  <c r="M616" i="16"/>
  <c r="E616" i="16"/>
  <c r="V615" i="16"/>
  <c r="N615" i="16"/>
  <c r="F615" i="16"/>
  <c r="W614" i="16"/>
  <c r="O614" i="16"/>
  <c r="G614" i="16"/>
  <c r="X613" i="16"/>
  <c r="P613" i="16"/>
  <c r="H613" i="16"/>
  <c r="Y612" i="16"/>
  <c r="Q612" i="16"/>
  <c r="I612" i="16"/>
  <c r="A612" i="16"/>
  <c r="R611" i="16"/>
  <c r="J611" i="16"/>
  <c r="B611" i="16"/>
  <c r="S610" i="16"/>
  <c r="K610" i="16"/>
  <c r="C610" i="16"/>
  <c r="T609" i="16"/>
  <c r="L609" i="16"/>
  <c r="D609" i="16"/>
  <c r="U608" i="16"/>
  <c r="M608" i="16"/>
  <c r="E608" i="16"/>
  <c r="V607" i="16"/>
  <c r="N607" i="16"/>
  <c r="F607" i="16"/>
  <c r="W606" i="16"/>
  <c r="O606" i="16"/>
  <c r="G606" i="16"/>
  <c r="X605" i="16"/>
  <c r="P605" i="16"/>
  <c r="H605" i="16"/>
  <c r="Y604" i="16"/>
  <c r="Q604" i="16"/>
  <c r="I604" i="16"/>
  <c r="A604" i="16"/>
  <c r="R603" i="16"/>
  <c r="J603" i="16"/>
  <c r="B603" i="16"/>
  <c r="S602" i="16"/>
  <c r="K602" i="16"/>
  <c r="C602" i="16"/>
  <c r="T601" i="16"/>
  <c r="L601" i="16"/>
  <c r="D601" i="16"/>
  <c r="U600" i="16"/>
  <c r="M600" i="16"/>
  <c r="E600" i="16"/>
  <c r="V599" i="16"/>
  <c r="N599" i="16"/>
  <c r="F599" i="16"/>
  <c r="W598" i="16"/>
  <c r="O598" i="16"/>
  <c r="G598" i="16"/>
  <c r="X597" i="16"/>
  <c r="Q597" i="16"/>
  <c r="L597" i="16"/>
  <c r="F597" i="16"/>
  <c r="A597" i="16"/>
  <c r="U596" i="16"/>
  <c r="O596" i="16"/>
  <c r="J596" i="16"/>
  <c r="E596" i="16"/>
  <c r="X595" i="16"/>
  <c r="S595" i="16"/>
  <c r="N595" i="16"/>
  <c r="H595" i="16"/>
  <c r="C595" i="16"/>
  <c r="W594" i="16"/>
  <c r="Q594" i="16"/>
  <c r="L594" i="16"/>
  <c r="G594" i="16"/>
  <c r="A594" i="16"/>
  <c r="U593" i="16"/>
  <c r="P593" i="16"/>
  <c r="J593" i="16"/>
  <c r="E593" i="16"/>
  <c r="Y592" i="16"/>
  <c r="S592" i="16"/>
  <c r="N592" i="16"/>
  <c r="I592" i="16"/>
  <c r="C592" i="16"/>
  <c r="W591" i="16"/>
  <c r="R591" i="16"/>
  <c r="L591" i="16"/>
  <c r="G591" i="16"/>
  <c r="P1129" i="16"/>
  <c r="E1103" i="16"/>
  <c r="Y1086" i="16"/>
  <c r="U1070" i="16"/>
  <c r="O1054" i="16"/>
  <c r="L1041" i="16"/>
  <c r="A1033" i="16"/>
  <c r="Y1026" i="16"/>
  <c r="W1020" i="16"/>
  <c r="U1014" i="16"/>
  <c r="S1008" i="16"/>
  <c r="S1002" i="16"/>
  <c r="O996" i="16"/>
  <c r="O990" i="16"/>
  <c r="N984" i="16"/>
  <c r="K978" i="16"/>
  <c r="J972" i="16"/>
  <c r="H966" i="16"/>
  <c r="F960" i="16"/>
  <c r="D954" i="16"/>
  <c r="C948" i="16"/>
  <c r="R943" i="16"/>
  <c r="R940" i="16"/>
  <c r="Q937" i="16"/>
  <c r="P934" i="16"/>
  <c r="P931" i="16"/>
  <c r="N928" i="16"/>
  <c r="M925" i="16"/>
  <c r="M922" i="16"/>
  <c r="L919" i="16"/>
  <c r="J916" i="16"/>
  <c r="J913" i="16"/>
  <c r="I910" i="16"/>
  <c r="H907" i="16"/>
  <c r="I904" i="16"/>
  <c r="F901" i="16"/>
  <c r="G898" i="16"/>
  <c r="A896" i="16"/>
  <c r="S893" i="16"/>
  <c r="K891" i="16"/>
  <c r="E889" i="16"/>
  <c r="W886" i="16"/>
  <c r="P884" i="16"/>
  <c r="F883" i="16"/>
  <c r="M881" i="16"/>
  <c r="B880" i="16"/>
  <c r="P878" i="16"/>
  <c r="X876" i="16"/>
  <c r="N875" i="16"/>
  <c r="C874" i="16"/>
  <c r="J872" i="16"/>
  <c r="G871" i="16"/>
  <c r="C870" i="16"/>
  <c r="Y868" i="16"/>
  <c r="V867" i="16"/>
  <c r="R866" i="16"/>
  <c r="O865" i="16"/>
  <c r="L864" i="16"/>
  <c r="G863" i="16"/>
  <c r="J862" i="16"/>
  <c r="M861" i="16"/>
  <c r="Q860" i="16"/>
  <c r="U859" i="16"/>
  <c r="X858" i="16"/>
  <c r="C858" i="16"/>
  <c r="G857" i="16"/>
  <c r="J856" i="16"/>
  <c r="N855" i="16"/>
  <c r="R854" i="16"/>
  <c r="U853" i="16"/>
  <c r="Y852" i="16"/>
  <c r="D852" i="16"/>
  <c r="G851" i="16"/>
  <c r="K850" i="16"/>
  <c r="O849" i="16"/>
  <c r="R848" i="16"/>
  <c r="V847" i="16"/>
  <c r="A847" i="16"/>
  <c r="D846" i="16"/>
  <c r="H845" i="16"/>
  <c r="L844" i="16"/>
  <c r="O843" i="16"/>
  <c r="S842" i="16"/>
  <c r="W841" i="16"/>
  <c r="A841" i="16"/>
  <c r="E840" i="16"/>
  <c r="I839" i="16"/>
  <c r="L838" i="16"/>
  <c r="P837" i="16"/>
  <c r="T836" i="16"/>
  <c r="W835" i="16"/>
  <c r="B835" i="16"/>
  <c r="F834" i="16"/>
  <c r="I833" i="16"/>
  <c r="M832" i="16"/>
  <c r="Q831" i="16"/>
  <c r="T830" i="16"/>
  <c r="X829" i="16"/>
  <c r="C829" i="16"/>
  <c r="F828" i="16"/>
  <c r="J827" i="16"/>
  <c r="N826" i="16"/>
  <c r="Q825" i="16"/>
  <c r="U824" i="16"/>
  <c r="Y823" i="16"/>
  <c r="C823" i="16"/>
  <c r="G822" i="16"/>
  <c r="K821" i="16"/>
  <c r="N820" i="16"/>
  <c r="R819" i="16"/>
  <c r="V818" i="16"/>
  <c r="Y817" i="16"/>
  <c r="D817" i="16"/>
  <c r="H816" i="16"/>
  <c r="K815" i="16"/>
  <c r="O814" i="16"/>
  <c r="S813" i="16"/>
  <c r="V812" i="16"/>
  <c r="A812" i="16"/>
  <c r="E811" i="16"/>
  <c r="H810" i="16"/>
  <c r="L809" i="16"/>
  <c r="P808" i="16"/>
  <c r="S807" i="16"/>
  <c r="W806" i="16"/>
  <c r="L806" i="16"/>
  <c r="B806" i="16"/>
  <c r="P805" i="16"/>
  <c r="E805" i="16"/>
  <c r="T804" i="16"/>
  <c r="I804" i="16"/>
  <c r="W803" i="16"/>
  <c r="M803" i="16"/>
  <c r="B803" i="16"/>
  <c r="P802" i="16"/>
  <c r="F802" i="16"/>
  <c r="T801" i="16"/>
  <c r="I801" i="16"/>
  <c r="X800" i="16"/>
  <c r="M800" i="16"/>
  <c r="B800" i="16"/>
  <c r="Q799" i="16"/>
  <c r="F799" i="16"/>
  <c r="T798" i="16"/>
  <c r="J798" i="16"/>
  <c r="X797" i="16"/>
  <c r="M797" i="16"/>
  <c r="C797" i="16"/>
  <c r="Q796" i="16"/>
  <c r="F796" i="16"/>
  <c r="U795" i="16"/>
  <c r="J795" i="16"/>
  <c r="X794" i="16"/>
  <c r="N794" i="16"/>
  <c r="C794" i="16"/>
  <c r="Q793" i="16"/>
  <c r="G793" i="16"/>
  <c r="U792" i="16"/>
  <c r="J792" i="16"/>
  <c r="Y791" i="16"/>
  <c r="N791" i="16"/>
  <c r="C791" i="16"/>
  <c r="R790" i="16"/>
  <c r="G790" i="16"/>
  <c r="U789" i="16"/>
  <c r="K789" i="16"/>
  <c r="Y788" i="16"/>
  <c r="N788" i="16"/>
  <c r="D788" i="16"/>
  <c r="R787" i="16"/>
  <c r="O1148" i="16"/>
  <c r="D1095" i="16"/>
  <c r="R1062" i="16"/>
  <c r="K1036" i="16"/>
  <c r="W1023" i="16"/>
  <c r="V1011" i="16"/>
  <c r="R999" i="16"/>
  <c r="N987" i="16"/>
  <c r="K975" i="16"/>
  <c r="G963" i="16"/>
  <c r="C951" i="16"/>
  <c r="E942" i="16"/>
  <c r="E936" i="16"/>
  <c r="A930" i="16"/>
  <c r="A924" i="16"/>
  <c r="Y917" i="16"/>
  <c r="V911" i="16"/>
  <c r="U905" i="16"/>
  <c r="S899" i="16"/>
  <c r="V894" i="16"/>
  <c r="H890" i="16"/>
  <c r="T885" i="16"/>
  <c r="J882" i="16"/>
  <c r="F879" i="16"/>
  <c r="J876" i="16"/>
  <c r="G873" i="16"/>
  <c r="R870" i="16"/>
  <c r="J868" i="16"/>
  <c r="D866" i="16"/>
  <c r="V863" i="16"/>
  <c r="X861" i="16"/>
  <c r="F860" i="16"/>
  <c r="N858" i="16"/>
  <c r="U856" i="16"/>
  <c r="C855" i="16"/>
  <c r="K853" i="16"/>
  <c r="R851" i="16"/>
  <c r="Y849" i="16"/>
  <c r="H848" i="16"/>
  <c r="O846" i="16"/>
  <c r="V844" i="16"/>
  <c r="E843" i="16"/>
  <c r="L841" i="16"/>
  <c r="S839" i="16"/>
  <c r="B838" i="16"/>
  <c r="I836" i="16"/>
  <c r="P834" i="16"/>
  <c r="X832" i="16"/>
  <c r="F831" i="16"/>
  <c r="M829" i="16"/>
  <c r="U827" i="16"/>
  <c r="C826" i="16"/>
  <c r="J824" i="16"/>
  <c r="R822" i="16"/>
  <c r="Y820" i="16"/>
  <c r="G819" i="16"/>
  <c r="O817" i="16"/>
  <c r="V815" i="16"/>
  <c r="D814" i="16"/>
  <c r="L812" i="16"/>
  <c r="S810" i="16"/>
  <c r="A809" i="16"/>
  <c r="I807" i="16"/>
  <c r="G806" i="16"/>
  <c r="K805" i="16"/>
  <c r="N804" i="16"/>
  <c r="R803" i="16"/>
  <c r="V802" i="16"/>
  <c r="Y801" i="16"/>
  <c r="D801" i="16"/>
  <c r="H800" i="16"/>
  <c r="K799" i="16"/>
  <c r="O798" i="16"/>
  <c r="S797" i="16"/>
  <c r="V796" i="16"/>
  <c r="A796" i="16"/>
  <c r="E795" i="16"/>
  <c r="H794" i="16"/>
  <c r="L793" i="16"/>
  <c r="P792" i="16"/>
  <c r="S791" i="16"/>
  <c r="W790" i="16"/>
  <c r="B790" i="16"/>
  <c r="E789" i="16"/>
  <c r="I788" i="16"/>
  <c r="M787" i="16"/>
  <c r="X786" i="16"/>
  <c r="K786" i="16"/>
  <c r="T785" i="16"/>
  <c r="G785" i="16"/>
  <c r="R784" i="16"/>
  <c r="B784" i="16"/>
  <c r="N783" i="16"/>
  <c r="A783" i="16"/>
  <c r="J782" i="16"/>
  <c r="U781" i="16"/>
  <c r="H781" i="16"/>
  <c r="Q780" i="16"/>
  <c r="D780" i="16"/>
  <c r="O779" i="16"/>
  <c r="X778" i="16"/>
  <c r="K778" i="16"/>
  <c r="W777" i="16"/>
  <c r="G777" i="16"/>
  <c r="R776" i="16"/>
  <c r="E776" i="16"/>
  <c r="N775" i="16"/>
  <c r="A775" i="16"/>
  <c r="L774" i="16"/>
  <c r="U773" i="16"/>
  <c r="H773" i="16"/>
  <c r="T772" i="16"/>
  <c r="D772" i="16"/>
  <c r="O771" i="16"/>
  <c r="B771" i="16"/>
  <c r="K770" i="16"/>
  <c r="W769" i="16"/>
  <c r="I769" i="16"/>
  <c r="R768" i="16"/>
  <c r="E768" i="16"/>
  <c r="Q767" i="16"/>
  <c r="A767" i="16"/>
  <c r="L766" i="16"/>
  <c r="X765" i="16"/>
  <c r="H765" i="16"/>
  <c r="T764" i="16"/>
  <c r="F764" i="16"/>
  <c r="O763" i="16"/>
  <c r="B763" i="16"/>
  <c r="N762" i="16"/>
  <c r="W761" i="16"/>
  <c r="I761" i="16"/>
  <c r="U760" i="16"/>
  <c r="E760" i="16"/>
  <c r="Q759" i="16"/>
  <c r="C759" i="16"/>
  <c r="L758" i="16"/>
  <c r="X757" i="16"/>
  <c r="K757" i="16"/>
  <c r="T756" i="16"/>
  <c r="F756" i="16"/>
  <c r="R755" i="16"/>
  <c r="B755" i="16"/>
  <c r="N754" i="16"/>
  <c r="Y753" i="16"/>
  <c r="I753" i="16"/>
  <c r="U752" i="16"/>
  <c r="H752" i="16"/>
  <c r="Q751" i="16"/>
  <c r="C751" i="16"/>
  <c r="O750" i="16"/>
  <c r="X749" i="16"/>
  <c r="K749" i="16"/>
  <c r="V748" i="16"/>
  <c r="F748" i="16"/>
  <c r="R747" i="16"/>
  <c r="E747" i="16"/>
  <c r="N746" i="16"/>
  <c r="Y745" i="16"/>
  <c r="L745" i="16"/>
  <c r="U744" i="16"/>
  <c r="H744" i="16"/>
  <c r="S743" i="16"/>
  <c r="C743" i="16"/>
  <c r="O742" i="16"/>
  <c r="B742" i="16"/>
  <c r="K741" i="16"/>
  <c r="V740" i="16"/>
  <c r="I740" i="16"/>
  <c r="R739" i="16"/>
  <c r="E739" i="16"/>
  <c r="P738" i="16"/>
  <c r="Y737" i="16"/>
  <c r="L737" i="16"/>
  <c r="X736" i="16"/>
  <c r="H736" i="16"/>
  <c r="S735" i="16"/>
  <c r="F735" i="16"/>
  <c r="O734" i="16"/>
  <c r="B734" i="16"/>
  <c r="M733" i="16"/>
  <c r="V732" i="16"/>
  <c r="I732" i="16"/>
  <c r="U731" i="16"/>
  <c r="E731" i="16"/>
  <c r="P730" i="16"/>
  <c r="C730" i="16"/>
  <c r="L729" i="16"/>
  <c r="X728" i="16"/>
  <c r="J728" i="16"/>
  <c r="S727" i="16"/>
  <c r="F727" i="16"/>
  <c r="R726" i="16"/>
  <c r="B726" i="16"/>
  <c r="M725" i="16"/>
  <c r="Y724" i="16"/>
  <c r="I724" i="16"/>
  <c r="U723" i="16"/>
  <c r="G723" i="16"/>
  <c r="P722" i="16"/>
  <c r="C722" i="16"/>
  <c r="O721" i="16"/>
  <c r="X720" i="16"/>
  <c r="J720" i="16"/>
  <c r="V719" i="16"/>
  <c r="F719" i="16"/>
  <c r="R718" i="16"/>
  <c r="D718" i="16"/>
  <c r="M717" i="16"/>
  <c r="Y716" i="16"/>
  <c r="L716" i="16"/>
  <c r="U715" i="16"/>
  <c r="G715" i="16"/>
  <c r="S714" i="16"/>
  <c r="C714" i="16"/>
  <c r="O713" i="16"/>
  <c r="A713" i="16"/>
  <c r="J712" i="16"/>
  <c r="V711" i="16"/>
  <c r="I711" i="16"/>
  <c r="R710" i="16"/>
  <c r="D710" i="16"/>
  <c r="P709" i="16"/>
  <c r="Y708" i="16"/>
  <c r="L708" i="16"/>
  <c r="W707" i="16"/>
  <c r="G707" i="16"/>
  <c r="S706" i="16"/>
  <c r="F706" i="16"/>
  <c r="O705" i="16"/>
  <c r="A705" i="16"/>
  <c r="M704" i="16"/>
  <c r="V703" i="16"/>
  <c r="I703" i="16"/>
  <c r="T702" i="16"/>
  <c r="D702" i="16"/>
  <c r="P701" i="16"/>
  <c r="C701" i="16"/>
  <c r="L700" i="16"/>
  <c r="W699" i="16"/>
  <c r="J699" i="16"/>
  <c r="S698" i="16"/>
  <c r="F698" i="16"/>
  <c r="Q697" i="16"/>
  <c r="A697" i="16"/>
  <c r="M696" i="16"/>
  <c r="Y695" i="16"/>
  <c r="I695" i="16"/>
  <c r="T694" i="16"/>
  <c r="G694" i="16"/>
  <c r="P693" i="16"/>
  <c r="C693" i="16"/>
  <c r="N692" i="16"/>
  <c r="W691" i="16"/>
  <c r="J691" i="16"/>
  <c r="V690" i="16"/>
  <c r="F690" i="16"/>
  <c r="Q689" i="16"/>
  <c r="D689" i="16"/>
  <c r="M688" i="16"/>
  <c r="Y687" i="16"/>
  <c r="K687" i="16"/>
  <c r="T686" i="16"/>
  <c r="G686" i="16"/>
  <c r="S685" i="16"/>
  <c r="C685" i="16"/>
  <c r="N684" i="16"/>
  <c r="A684" i="16"/>
  <c r="J683" i="16"/>
  <c r="V682" i="16"/>
  <c r="H682" i="16"/>
  <c r="Q681" i="16"/>
  <c r="D681" i="16"/>
  <c r="P680" i="16"/>
  <c r="Y679" i="16"/>
  <c r="K679" i="16"/>
  <c r="W678" i="16"/>
  <c r="G678" i="16"/>
  <c r="S677" i="16"/>
  <c r="E677" i="16"/>
  <c r="N676" i="16"/>
  <c r="A676" i="16"/>
  <c r="M675" i="16"/>
  <c r="V674" i="16"/>
  <c r="H674" i="16"/>
  <c r="T673" i="16"/>
  <c r="D673" i="16"/>
  <c r="P672" i="16"/>
  <c r="B672" i="16"/>
  <c r="K671" i="16"/>
  <c r="W670" i="16"/>
  <c r="J670" i="16"/>
  <c r="S669" i="16"/>
  <c r="E669" i="16"/>
  <c r="Q668" i="16"/>
  <c r="A668" i="16"/>
  <c r="M667" i="16"/>
  <c r="X666" i="16"/>
  <c r="H666" i="16"/>
  <c r="T665" i="16"/>
  <c r="G665" i="16"/>
  <c r="P664" i="16"/>
  <c r="B664" i="16"/>
  <c r="N663" i="16"/>
  <c r="W662" i="16"/>
  <c r="J662" i="16"/>
  <c r="U661" i="16"/>
  <c r="E661" i="16"/>
  <c r="Q660" i="16"/>
  <c r="D660" i="16"/>
  <c r="M659" i="16"/>
  <c r="X658" i="16"/>
  <c r="K658" i="16"/>
  <c r="T657" i="16"/>
  <c r="G657" i="16"/>
  <c r="R656" i="16"/>
  <c r="B656" i="16"/>
  <c r="N655" i="16"/>
  <c r="A655" i="16"/>
  <c r="J654" i="16"/>
  <c r="U653" i="16"/>
  <c r="H653" i="16"/>
  <c r="Q652" i="16"/>
  <c r="D652" i="16"/>
  <c r="O651" i="16"/>
  <c r="X650" i="16"/>
  <c r="K650" i="16"/>
  <c r="W649" i="16"/>
  <c r="G649" i="16"/>
  <c r="R648" i="16"/>
  <c r="E648" i="16"/>
  <c r="N647" i="16"/>
  <c r="A647" i="16"/>
  <c r="L646" i="16"/>
  <c r="U645" i="16"/>
  <c r="H645" i="16"/>
  <c r="T644" i="16"/>
  <c r="D644" i="16"/>
  <c r="O643" i="16"/>
  <c r="B643" i="16"/>
  <c r="K642" i="16"/>
  <c r="W641" i="16"/>
  <c r="I641" i="16"/>
  <c r="R640" i="16"/>
  <c r="E640" i="16"/>
  <c r="Q639" i="16"/>
  <c r="A639" i="16"/>
  <c r="L638" i="16"/>
  <c r="X637" i="16"/>
  <c r="H637" i="16"/>
  <c r="T636" i="16"/>
  <c r="F636" i="16"/>
  <c r="O635" i="16"/>
  <c r="B635" i="16"/>
  <c r="N634" i="16"/>
  <c r="W633" i="16"/>
  <c r="I633" i="16"/>
  <c r="U632" i="16"/>
  <c r="E632" i="16"/>
  <c r="Q631" i="16"/>
  <c r="C631" i="16"/>
  <c r="L630" i="16"/>
  <c r="X629" i="16"/>
  <c r="K629" i="16"/>
  <c r="T628" i="16"/>
  <c r="F628" i="16"/>
  <c r="R627" i="16"/>
  <c r="B627" i="16"/>
  <c r="N626" i="16"/>
  <c r="Y625" i="16"/>
  <c r="J625" i="16"/>
  <c r="Y624" i="16"/>
  <c r="O624" i="16"/>
  <c r="C624" i="16"/>
  <c r="R623" i="16"/>
  <c r="H623" i="16"/>
  <c r="U622" i="16"/>
  <c r="K622" i="16"/>
  <c r="A622" i="16"/>
  <c r="N621" i="16"/>
  <c r="D621" i="16"/>
  <c r="S620" i="16"/>
  <c r="G620" i="16"/>
  <c r="V619" i="16"/>
  <c r="L619" i="16"/>
  <c r="Y618" i="16"/>
  <c r="O618" i="16"/>
  <c r="E618" i="16"/>
  <c r="R617" i="16"/>
  <c r="H617" i="16"/>
  <c r="W616" i="16"/>
  <c r="K616" i="16"/>
  <c r="A616" i="16"/>
  <c r="P615" i="16"/>
  <c r="D615" i="16"/>
  <c r="S614" i="16"/>
  <c r="I614" i="16"/>
  <c r="V613" i="16"/>
  <c r="L613" i="16"/>
  <c r="B613" i="16"/>
  <c r="O612" i="16"/>
  <c r="E612" i="16"/>
  <c r="T611" i="16"/>
  <c r="H611" i="16"/>
  <c r="W610" i="16"/>
  <c r="M610" i="16"/>
  <c r="A610" i="16"/>
  <c r="P609" i="16"/>
  <c r="F609" i="16"/>
  <c r="S608" i="16"/>
  <c r="I608" i="16"/>
  <c r="X607" i="16"/>
  <c r="L607" i="16"/>
  <c r="B607" i="16"/>
  <c r="Q606" i="16"/>
  <c r="E606" i="16"/>
  <c r="T605" i="16"/>
  <c r="J605" i="16"/>
  <c r="W604" i="16"/>
  <c r="M604" i="16"/>
  <c r="C604" i="16"/>
  <c r="P603" i="16"/>
  <c r="F603" i="16"/>
  <c r="U602" i="16"/>
  <c r="I602" i="16"/>
  <c r="X601" i="16"/>
  <c r="N601" i="16"/>
  <c r="B601" i="16"/>
  <c r="Q600" i="16"/>
  <c r="G600" i="16"/>
  <c r="T599" i="16"/>
  <c r="J599" i="16"/>
  <c r="Y598" i="16"/>
  <c r="M598" i="16"/>
  <c r="C598" i="16"/>
  <c r="R597" i="16"/>
  <c r="J597" i="16"/>
  <c r="D597" i="16"/>
  <c r="V596" i="16"/>
  <c r="N596" i="16"/>
  <c r="G596" i="16"/>
  <c r="A596" i="16"/>
  <c r="R595" i="16"/>
  <c r="K595" i="16"/>
  <c r="D595" i="16"/>
  <c r="U594" i="16"/>
  <c r="O594" i="16"/>
  <c r="H594" i="16"/>
  <c r="Y593" i="16"/>
  <c r="R593" i="16"/>
  <c r="L593" i="16"/>
  <c r="D593" i="16"/>
  <c r="V592" i="16"/>
  <c r="O592" i="16"/>
  <c r="G592" i="16"/>
  <c r="A592" i="16"/>
  <c r="S591" i="16"/>
  <c r="K591" i="16"/>
  <c r="D591" i="16"/>
  <c r="X590" i="16"/>
  <c r="S590" i="16"/>
  <c r="M590" i="16"/>
  <c r="H590" i="16"/>
  <c r="C590" i="16"/>
  <c r="V589" i="16"/>
  <c r="Q589" i="16"/>
  <c r="L589" i="16"/>
  <c r="F589" i="16"/>
  <c r="A589" i="16"/>
  <c r="U588" i="16"/>
  <c r="O588" i="16"/>
  <c r="J588" i="16"/>
  <c r="E588" i="16"/>
  <c r="X587" i="16"/>
  <c r="S587" i="16"/>
  <c r="N587" i="16"/>
  <c r="H587" i="16"/>
  <c r="C587" i="16"/>
  <c r="W586" i="16"/>
  <c r="Q586" i="16"/>
  <c r="L586" i="16"/>
  <c r="G586" i="16"/>
  <c r="A586" i="16"/>
  <c r="U585" i="16"/>
  <c r="P585" i="16"/>
  <c r="J585" i="16"/>
  <c r="E585" i="16"/>
  <c r="Y584" i="16"/>
  <c r="S584" i="16"/>
  <c r="N584" i="16"/>
  <c r="I584" i="16"/>
  <c r="C584" i="16"/>
  <c r="W583" i="16"/>
  <c r="R583" i="16"/>
  <c r="L583" i="16"/>
  <c r="G583" i="16"/>
  <c r="B583" i="16"/>
  <c r="U582" i="16"/>
  <c r="P582" i="16"/>
  <c r="K582" i="16"/>
  <c r="E582" i="16"/>
  <c r="Y581" i="16"/>
  <c r="T581" i="16"/>
  <c r="N581" i="16"/>
  <c r="I581" i="16"/>
  <c r="D581" i="16"/>
  <c r="W580" i="16"/>
  <c r="R580" i="16"/>
  <c r="M580" i="16"/>
  <c r="G580" i="16"/>
  <c r="B580" i="16"/>
  <c r="V579" i="16"/>
  <c r="P579" i="16"/>
  <c r="K579" i="16"/>
  <c r="F579" i="16"/>
  <c r="Y578" i="16"/>
  <c r="T578" i="16"/>
  <c r="O578" i="16"/>
  <c r="I578" i="16"/>
  <c r="D578" i="16"/>
  <c r="X577" i="16"/>
  <c r="R577" i="16"/>
  <c r="M577" i="16"/>
  <c r="H577" i="16"/>
  <c r="B577" i="16"/>
  <c r="V576" i="16"/>
  <c r="Q576" i="16"/>
  <c r="K576" i="16"/>
  <c r="F576" i="16"/>
  <c r="A576" i="16"/>
  <c r="T575" i="16"/>
  <c r="O575" i="16"/>
  <c r="J575" i="16"/>
  <c r="D575" i="16"/>
  <c r="X574" i="16"/>
  <c r="S574" i="16"/>
  <c r="M574" i="16"/>
  <c r="H574" i="16"/>
  <c r="C574" i="16"/>
  <c r="V573" i="16"/>
  <c r="Q573" i="16"/>
  <c r="L573" i="16"/>
  <c r="F573" i="16"/>
  <c r="A573" i="16"/>
  <c r="U572" i="16"/>
  <c r="O572" i="16"/>
  <c r="J572" i="16"/>
  <c r="E572" i="16"/>
  <c r="X571" i="16"/>
  <c r="S571" i="16"/>
  <c r="N571" i="16"/>
  <c r="H571" i="16"/>
  <c r="C571" i="16"/>
  <c r="W570" i="16"/>
  <c r="Q570" i="16"/>
  <c r="L570" i="16"/>
  <c r="G570" i="16"/>
  <c r="A570" i="16"/>
  <c r="U569" i="16"/>
  <c r="P569" i="16"/>
  <c r="J569" i="16"/>
  <c r="E569" i="16"/>
  <c r="Y568" i="16"/>
  <c r="S568" i="16"/>
  <c r="N568" i="16"/>
  <c r="I568" i="16"/>
  <c r="C568" i="16"/>
  <c r="W567" i="16"/>
  <c r="S567" i="16"/>
  <c r="O567" i="16"/>
  <c r="K567" i="16"/>
  <c r="G567" i="16"/>
  <c r="C567" i="16"/>
  <c r="X566" i="16"/>
  <c r="T566" i="16"/>
  <c r="P566" i="16"/>
  <c r="L566" i="16"/>
  <c r="H566" i="16"/>
  <c r="D566" i="16"/>
  <c r="Y565" i="16"/>
  <c r="U565" i="16"/>
  <c r="Q565" i="16"/>
  <c r="M565" i="16"/>
  <c r="I565" i="16"/>
  <c r="E565" i="16"/>
  <c r="A565" i="16"/>
  <c r="V564" i="16"/>
  <c r="R564" i="16"/>
  <c r="N564" i="16"/>
  <c r="J564" i="16"/>
  <c r="F564" i="16"/>
  <c r="B564" i="16"/>
  <c r="W563" i="16"/>
  <c r="S563" i="16"/>
  <c r="O563" i="16"/>
  <c r="K563" i="16"/>
  <c r="G563" i="16"/>
  <c r="C563" i="16"/>
  <c r="X562" i="16"/>
  <c r="T562" i="16"/>
  <c r="P562" i="16"/>
  <c r="L562" i="16"/>
  <c r="H562" i="16"/>
  <c r="D562" i="16"/>
  <c r="Y561" i="16"/>
  <c r="U561" i="16"/>
  <c r="Q561" i="16"/>
  <c r="M561" i="16"/>
  <c r="I561" i="16"/>
  <c r="E561" i="16"/>
  <c r="A561" i="16"/>
  <c r="V560" i="16"/>
  <c r="R560" i="16"/>
  <c r="N560" i="16"/>
  <c r="J560" i="16"/>
  <c r="F560" i="16"/>
  <c r="B560" i="16"/>
  <c r="W559" i="16"/>
  <c r="S559" i="16"/>
  <c r="O559" i="16"/>
  <c r="K559" i="16"/>
  <c r="G559" i="16"/>
  <c r="C559" i="16"/>
  <c r="X558" i="16"/>
  <c r="T558" i="16"/>
  <c r="P558" i="16"/>
  <c r="L558" i="16"/>
  <c r="H558" i="16"/>
  <c r="D558" i="16"/>
  <c r="Y557" i="16"/>
  <c r="U557" i="16"/>
  <c r="Q557" i="16"/>
  <c r="M557" i="16"/>
  <c r="I557" i="16"/>
  <c r="E557" i="16"/>
  <c r="A557" i="16"/>
  <c r="V556" i="16"/>
  <c r="R556" i="16"/>
  <c r="N556" i="16"/>
  <c r="J556" i="16"/>
  <c r="F556" i="16"/>
  <c r="B556" i="16"/>
  <c r="W555" i="16"/>
  <c r="S555" i="16"/>
  <c r="O555" i="16"/>
  <c r="K555" i="16"/>
  <c r="G555" i="16"/>
  <c r="C555" i="16"/>
  <c r="X554" i="16"/>
  <c r="T554" i="16"/>
  <c r="P554" i="16"/>
  <c r="L554" i="16"/>
  <c r="H554" i="16"/>
  <c r="D554" i="16"/>
  <c r="Y553" i="16"/>
  <c r="U553" i="16"/>
  <c r="Q553" i="16"/>
  <c r="M553" i="16"/>
  <c r="I553" i="16"/>
  <c r="E553" i="16"/>
  <c r="A553" i="16"/>
  <c r="V552" i="16"/>
  <c r="R552" i="16"/>
  <c r="N552" i="16"/>
  <c r="J552" i="16"/>
  <c r="F552" i="16"/>
  <c r="B552" i="16"/>
  <c r="W551" i="16"/>
  <c r="S551" i="16"/>
  <c r="O551" i="16"/>
  <c r="K551" i="16"/>
  <c r="G551" i="16"/>
  <c r="C551" i="16"/>
  <c r="X550" i="16"/>
  <c r="T550" i="16"/>
  <c r="P550" i="16"/>
  <c r="L550" i="16"/>
  <c r="H550" i="16"/>
  <c r="D550" i="16"/>
  <c r="Y549" i="16"/>
  <c r="U549" i="16"/>
  <c r="Q549" i="16"/>
  <c r="M549" i="16"/>
  <c r="I549" i="16"/>
  <c r="E549" i="16"/>
  <c r="A549" i="16"/>
  <c r="V548" i="16"/>
  <c r="R548" i="16"/>
  <c r="N548" i="16"/>
  <c r="J548" i="16"/>
  <c r="F548" i="16"/>
  <c r="B548" i="16"/>
  <c r="W547" i="16"/>
  <c r="S547" i="16"/>
  <c r="O547" i="16"/>
  <c r="K547" i="16"/>
  <c r="G547" i="16"/>
  <c r="C547" i="16"/>
  <c r="X546" i="16"/>
  <c r="T546" i="16"/>
  <c r="P546" i="16"/>
  <c r="L546" i="16"/>
  <c r="H546" i="16"/>
  <c r="D546" i="16"/>
  <c r="Y545" i="16"/>
  <c r="U545" i="16"/>
  <c r="Q545" i="16"/>
  <c r="M545" i="16"/>
  <c r="I545" i="16"/>
  <c r="E545" i="16"/>
  <c r="A545" i="16"/>
  <c r="V544" i="16"/>
  <c r="R544" i="16"/>
  <c r="N544" i="16"/>
  <c r="J544" i="16"/>
  <c r="F544" i="16"/>
  <c r="B544" i="16"/>
  <c r="W543" i="16"/>
  <c r="S543" i="16"/>
  <c r="O543" i="16"/>
  <c r="K543" i="16"/>
  <c r="G543" i="16"/>
  <c r="C543" i="16"/>
  <c r="X542" i="16"/>
  <c r="T542" i="16"/>
  <c r="P542" i="16"/>
  <c r="L542" i="16"/>
  <c r="H542" i="16"/>
  <c r="D542" i="16"/>
  <c r="Y541" i="16"/>
  <c r="U541" i="16"/>
  <c r="Q541" i="16"/>
  <c r="M541" i="16"/>
  <c r="I541" i="16"/>
  <c r="E541" i="16"/>
  <c r="A541" i="16"/>
  <c r="V540" i="16"/>
  <c r="R540" i="16"/>
  <c r="N540" i="16"/>
  <c r="J540" i="16"/>
  <c r="F540" i="16"/>
  <c r="B540" i="16"/>
  <c r="W539" i="16"/>
  <c r="S539" i="16"/>
  <c r="O539" i="16"/>
  <c r="K539" i="16"/>
  <c r="G539" i="16"/>
  <c r="C539" i="16"/>
  <c r="X538" i="16"/>
  <c r="T538" i="16"/>
  <c r="P538" i="16"/>
  <c r="L538" i="16"/>
  <c r="H538" i="16"/>
  <c r="D538" i="16"/>
  <c r="Y537" i="16"/>
  <c r="U537" i="16"/>
  <c r="Q537" i="16"/>
  <c r="M537" i="16"/>
  <c r="I537" i="16"/>
  <c r="E537" i="16"/>
  <c r="A537" i="16"/>
  <c r="V536" i="16"/>
  <c r="R536" i="16"/>
  <c r="N536" i="16"/>
  <c r="J536" i="16"/>
  <c r="F536" i="16"/>
  <c r="B536" i="16"/>
  <c r="W535" i="16"/>
  <c r="S535" i="16"/>
  <c r="O535" i="16"/>
  <c r="K535" i="16"/>
  <c r="G535" i="16"/>
  <c r="C535" i="16"/>
  <c r="X534" i="16"/>
  <c r="T534" i="16"/>
  <c r="P534" i="16"/>
  <c r="L534" i="16"/>
  <c r="H534" i="16"/>
  <c r="D534" i="16"/>
  <c r="Y533" i="16"/>
  <c r="U533" i="16"/>
  <c r="Q533" i="16"/>
  <c r="M533" i="16"/>
  <c r="I533" i="16"/>
  <c r="E533" i="16"/>
  <c r="A533" i="16"/>
  <c r="V532" i="16"/>
  <c r="R532" i="16"/>
  <c r="N532" i="16"/>
  <c r="J532" i="16"/>
  <c r="F532" i="16"/>
  <c r="B532" i="16"/>
  <c r="W531" i="16"/>
  <c r="S531" i="16"/>
  <c r="O531" i="16"/>
  <c r="K531" i="16"/>
  <c r="G531" i="16"/>
  <c r="C531" i="16"/>
  <c r="X530" i="16"/>
  <c r="T530" i="16"/>
  <c r="P530" i="16"/>
  <c r="L530" i="16"/>
  <c r="H530" i="16"/>
  <c r="D530" i="16"/>
  <c r="Y529" i="16"/>
  <c r="U529" i="16"/>
  <c r="Q529" i="16"/>
  <c r="M529" i="16"/>
  <c r="I529" i="16"/>
  <c r="E529" i="16"/>
  <c r="A529" i="16"/>
  <c r="V528" i="16"/>
  <c r="R528" i="16"/>
  <c r="N528" i="16"/>
  <c r="J528" i="16"/>
  <c r="F528" i="16"/>
  <c r="B528" i="16"/>
  <c r="W527" i="16"/>
  <c r="S527" i="16"/>
  <c r="O527" i="16"/>
  <c r="K527" i="16"/>
  <c r="G527" i="16"/>
  <c r="C527" i="16"/>
  <c r="X526" i="16"/>
  <c r="T526" i="16"/>
  <c r="P526" i="16"/>
  <c r="L526" i="16"/>
  <c r="H526" i="16"/>
  <c r="D526" i="16"/>
  <c r="Y525" i="16"/>
  <c r="U525" i="16"/>
  <c r="Q525" i="16"/>
  <c r="M525" i="16"/>
  <c r="I525" i="16"/>
  <c r="E525" i="16"/>
  <c r="A525" i="16"/>
  <c r="V524" i="16"/>
  <c r="R524" i="16"/>
  <c r="N524" i="16"/>
  <c r="J524" i="16"/>
  <c r="F524" i="16"/>
  <c r="B524" i="16"/>
  <c r="W523" i="16"/>
  <c r="S523" i="16"/>
  <c r="O523" i="16"/>
  <c r="K523" i="16"/>
  <c r="G523" i="16"/>
  <c r="C523" i="16"/>
  <c r="X522" i="16"/>
  <c r="T522" i="16"/>
  <c r="P522" i="16"/>
  <c r="L522" i="16"/>
  <c r="H522" i="16"/>
  <c r="D522" i="16"/>
  <c r="Y521" i="16"/>
  <c r="U521" i="16"/>
  <c r="Q521" i="16"/>
  <c r="M521" i="16"/>
  <c r="I521" i="16"/>
  <c r="E521" i="16"/>
  <c r="A521" i="16"/>
  <c r="V520" i="16"/>
  <c r="R520" i="16"/>
  <c r="N520" i="16"/>
  <c r="J520" i="16"/>
  <c r="F520" i="16"/>
  <c r="B520" i="16"/>
  <c r="W519" i="16"/>
  <c r="S519" i="16"/>
  <c r="O519" i="16"/>
  <c r="K519" i="16"/>
  <c r="G519" i="16"/>
  <c r="C519" i="16"/>
  <c r="X518" i="16"/>
  <c r="T518" i="16"/>
  <c r="P518" i="16"/>
  <c r="L518" i="16"/>
  <c r="H518" i="16"/>
  <c r="D518" i="16"/>
  <c r="Y517" i="16"/>
  <c r="U517" i="16"/>
  <c r="Q517" i="16"/>
  <c r="M517" i="16"/>
  <c r="I517" i="16"/>
  <c r="E517" i="16"/>
  <c r="A517" i="16"/>
  <c r="V516" i="16"/>
  <c r="R516" i="16"/>
  <c r="N516" i="16"/>
  <c r="J516" i="16"/>
  <c r="F516" i="16"/>
  <c r="B516" i="16"/>
  <c r="W515" i="16"/>
  <c r="S515" i="16"/>
  <c r="O515" i="16"/>
  <c r="K515" i="16"/>
  <c r="G515" i="16"/>
  <c r="C515" i="16"/>
  <c r="X514" i="16"/>
  <c r="T514" i="16"/>
  <c r="P514" i="16"/>
  <c r="L514" i="16"/>
  <c r="H514" i="16"/>
  <c r="D514" i="16"/>
  <c r="Y513" i="16"/>
  <c r="U513" i="16"/>
  <c r="Q513" i="16"/>
  <c r="M513" i="16"/>
  <c r="I513" i="16"/>
  <c r="E513" i="16"/>
  <c r="A513" i="16"/>
  <c r="V512" i="16"/>
  <c r="R512" i="16"/>
  <c r="N512" i="16"/>
  <c r="J512" i="16"/>
  <c r="F512" i="16"/>
  <c r="B512" i="16"/>
  <c r="W511" i="16"/>
  <c r="S511" i="16"/>
  <c r="O511" i="16"/>
  <c r="K511" i="16"/>
  <c r="G511" i="16"/>
  <c r="C511" i="16"/>
  <c r="X510" i="16"/>
  <c r="T510" i="16"/>
  <c r="P510" i="16"/>
  <c r="L510" i="16"/>
  <c r="H510" i="16"/>
  <c r="D510" i="16"/>
  <c r="Y509" i="16"/>
  <c r="U509" i="16"/>
  <c r="Q509" i="16"/>
  <c r="M509" i="16"/>
  <c r="I509" i="16"/>
  <c r="E509" i="16"/>
  <c r="A509" i="16"/>
  <c r="V508" i="16"/>
  <c r="R508" i="16"/>
  <c r="N508" i="16"/>
  <c r="J508" i="16"/>
  <c r="F508" i="16"/>
  <c r="B508" i="16"/>
  <c r="W507" i="16"/>
  <c r="S507" i="16"/>
  <c r="O507" i="16"/>
  <c r="K507" i="16"/>
  <c r="G507" i="16"/>
  <c r="C507" i="16"/>
  <c r="X506" i="16"/>
  <c r="T506" i="16"/>
  <c r="P506" i="16"/>
  <c r="L506" i="16"/>
  <c r="H506" i="16"/>
  <c r="D506" i="16"/>
  <c r="Y505" i="16"/>
  <c r="U505" i="16"/>
  <c r="Q505" i="16"/>
  <c r="M505" i="16"/>
  <c r="I505" i="16"/>
  <c r="E505" i="16"/>
  <c r="A505" i="16"/>
  <c r="V504" i="16"/>
  <c r="R504" i="16"/>
  <c r="N504" i="16"/>
  <c r="J504" i="16"/>
  <c r="F504" i="16"/>
  <c r="B504" i="16"/>
  <c r="W503" i="16"/>
  <c r="S503" i="16"/>
  <c r="O503" i="16"/>
  <c r="K503" i="16"/>
  <c r="G503" i="16"/>
  <c r="C503" i="16"/>
  <c r="X502" i="16"/>
  <c r="T502" i="16"/>
  <c r="P502" i="16"/>
  <c r="L502" i="16"/>
  <c r="H502" i="16"/>
  <c r="D502" i="16"/>
  <c r="Y501" i="16"/>
  <c r="U501" i="16"/>
  <c r="Q501" i="16"/>
  <c r="M501" i="16"/>
  <c r="I501" i="16"/>
  <c r="E501" i="16"/>
  <c r="A501" i="16"/>
  <c r="V500" i="16"/>
  <c r="R500" i="16"/>
  <c r="N500" i="16"/>
  <c r="J500" i="16"/>
  <c r="F500" i="16"/>
  <c r="B500" i="16"/>
  <c r="W499" i="16"/>
  <c r="S499" i="16"/>
  <c r="O499" i="16"/>
  <c r="K499" i="16"/>
  <c r="G499" i="16"/>
  <c r="C499" i="16"/>
  <c r="X498" i="16"/>
  <c r="T498" i="16"/>
  <c r="P498" i="16"/>
  <c r="L498" i="16"/>
  <c r="H498" i="16"/>
  <c r="D498" i="16"/>
  <c r="Y497" i="16"/>
  <c r="U497" i="16"/>
  <c r="Q497" i="16"/>
  <c r="M497" i="16"/>
  <c r="I497" i="16"/>
  <c r="E497" i="16"/>
  <c r="A497" i="16"/>
  <c r="V496" i="16"/>
  <c r="R496" i="16"/>
  <c r="N496" i="16"/>
  <c r="J496" i="16"/>
  <c r="F496" i="16"/>
  <c r="B496" i="16"/>
  <c r="W495" i="16"/>
  <c r="S495" i="16"/>
  <c r="O495" i="16"/>
  <c r="K495" i="16"/>
  <c r="G495" i="16"/>
  <c r="C495" i="16"/>
  <c r="X494" i="16"/>
  <c r="T494" i="16"/>
  <c r="P494" i="16"/>
  <c r="L494" i="16"/>
  <c r="H494" i="16"/>
  <c r="D494" i="16"/>
  <c r="Y493" i="16"/>
  <c r="U493" i="16"/>
  <c r="Q493" i="16"/>
  <c r="M493" i="16"/>
  <c r="I493" i="16"/>
  <c r="E493" i="16"/>
  <c r="A493" i="16"/>
  <c r="V492" i="16"/>
  <c r="R492" i="16"/>
  <c r="N492" i="16"/>
  <c r="J492" i="16"/>
  <c r="F492" i="16"/>
  <c r="B492" i="16"/>
  <c r="W491" i="16"/>
  <c r="S491" i="16"/>
  <c r="O491" i="16"/>
  <c r="K491" i="16"/>
  <c r="G491" i="16"/>
  <c r="C491" i="16"/>
  <c r="X490" i="16"/>
  <c r="T490" i="16"/>
  <c r="P490" i="16"/>
  <c r="L490" i="16"/>
  <c r="H490" i="16"/>
  <c r="D490" i="16"/>
  <c r="Y489" i="16"/>
  <c r="U489" i="16"/>
  <c r="Q489" i="16"/>
  <c r="M489" i="16"/>
  <c r="I489" i="16"/>
  <c r="E489" i="16"/>
  <c r="A489" i="16"/>
  <c r="V488" i="16"/>
  <c r="R488" i="16"/>
  <c r="N488" i="16"/>
  <c r="J488" i="16"/>
  <c r="F488" i="16"/>
  <c r="B488" i="16"/>
  <c r="W487" i="16"/>
  <c r="S487" i="16"/>
  <c r="O487" i="16"/>
  <c r="K487" i="16"/>
  <c r="G487" i="16"/>
  <c r="C487" i="16"/>
  <c r="X486" i="16"/>
  <c r="T486" i="16"/>
  <c r="P486" i="16"/>
  <c r="L486" i="16"/>
  <c r="H486" i="16"/>
  <c r="D486" i="16"/>
  <c r="Y485" i="16"/>
  <c r="U485" i="16"/>
  <c r="Q485" i="16"/>
  <c r="M485" i="16"/>
  <c r="I485" i="16"/>
  <c r="E485" i="16"/>
  <c r="A485" i="16"/>
  <c r="V484" i="16"/>
  <c r="R484" i="16"/>
  <c r="N484" i="16"/>
  <c r="J484" i="16"/>
  <c r="F484" i="16"/>
  <c r="B484" i="16"/>
  <c r="W483" i="16"/>
  <c r="S483" i="16"/>
  <c r="O483" i="16"/>
  <c r="K483" i="16"/>
  <c r="G483" i="16"/>
  <c r="C483" i="16"/>
  <c r="X482" i="16"/>
  <c r="T482" i="16"/>
  <c r="P482" i="16"/>
  <c r="L482" i="16"/>
  <c r="H482" i="16"/>
  <c r="D482" i="16"/>
  <c r="Y481" i="16"/>
  <c r="U481" i="16"/>
  <c r="Q481" i="16"/>
  <c r="M481" i="16"/>
  <c r="I481" i="16"/>
  <c r="E481" i="16"/>
  <c r="A481" i="16"/>
  <c r="V480" i="16"/>
  <c r="R480" i="16"/>
  <c r="N480" i="16"/>
  <c r="J480" i="16"/>
  <c r="F480" i="16"/>
  <c r="B480" i="16"/>
  <c r="W479" i="16"/>
  <c r="S479" i="16"/>
  <c r="O479" i="16"/>
  <c r="K479" i="16"/>
  <c r="G479" i="16"/>
  <c r="C479" i="16"/>
  <c r="X478" i="16"/>
  <c r="T478" i="16"/>
  <c r="P478" i="16"/>
  <c r="L478" i="16"/>
  <c r="H478" i="16"/>
  <c r="D478" i="16"/>
  <c r="Y477" i="16"/>
  <c r="U477" i="16"/>
  <c r="Q477" i="16"/>
  <c r="M477" i="16"/>
  <c r="I477" i="16"/>
  <c r="E477" i="16"/>
  <c r="A477" i="16"/>
  <c r="V476" i="16"/>
  <c r="R476" i="16"/>
  <c r="N476" i="16"/>
  <c r="J476" i="16"/>
  <c r="F476" i="16"/>
  <c r="B476" i="16"/>
  <c r="W475" i="16"/>
  <c r="S475" i="16"/>
  <c r="O475" i="16"/>
  <c r="K475" i="16"/>
  <c r="G475" i="16"/>
  <c r="C475" i="16"/>
  <c r="X474" i="16"/>
  <c r="T474" i="16"/>
  <c r="P474" i="16"/>
  <c r="L474" i="16"/>
  <c r="H474" i="16"/>
  <c r="D474" i="16"/>
  <c r="Y473" i="16"/>
  <c r="U473" i="16"/>
  <c r="Q473" i="16"/>
  <c r="M473" i="16"/>
  <c r="I473" i="16"/>
  <c r="E473" i="16"/>
  <c r="A473" i="16"/>
  <c r="V472" i="16"/>
  <c r="R472" i="16"/>
  <c r="N472" i="16"/>
  <c r="J472" i="16"/>
  <c r="F472" i="16"/>
  <c r="B472" i="16"/>
  <c r="W471" i="16"/>
  <c r="S471" i="16"/>
  <c r="O471" i="16"/>
  <c r="K471" i="16"/>
  <c r="G471" i="16"/>
  <c r="C471" i="16"/>
  <c r="X470" i="16"/>
  <c r="T470" i="16"/>
  <c r="P470" i="16"/>
  <c r="L470" i="16"/>
  <c r="H470" i="16"/>
  <c r="D470" i="16"/>
  <c r="Y469" i="16"/>
  <c r="U469" i="16"/>
  <c r="Q469" i="16"/>
  <c r="M469" i="16"/>
  <c r="I469" i="16"/>
  <c r="E469" i="16"/>
  <c r="A469" i="16"/>
  <c r="V468" i="16"/>
  <c r="R468" i="16"/>
  <c r="N468" i="16"/>
  <c r="J468" i="16"/>
  <c r="F468" i="16"/>
  <c r="B468" i="16"/>
  <c r="W467" i="16"/>
  <c r="S467" i="16"/>
  <c r="O467" i="16"/>
  <c r="K467" i="16"/>
  <c r="G467" i="16"/>
  <c r="C467" i="16"/>
  <c r="X466" i="16"/>
  <c r="T466" i="16"/>
  <c r="P466" i="16"/>
  <c r="L466" i="16"/>
  <c r="H466" i="16"/>
  <c r="D466" i="16"/>
  <c r="Y465" i="16"/>
  <c r="U465" i="16"/>
  <c r="Q465" i="16"/>
  <c r="M465" i="16"/>
  <c r="I465" i="16"/>
  <c r="E465" i="16"/>
  <c r="A465" i="16"/>
  <c r="V464" i="16"/>
  <c r="R464" i="16"/>
  <c r="N464" i="16"/>
  <c r="J464" i="16"/>
  <c r="F464" i="16"/>
  <c r="B464" i="16"/>
  <c r="W463" i="16"/>
  <c r="S463" i="16"/>
  <c r="O463" i="16"/>
  <c r="K463" i="16"/>
  <c r="G463" i="16"/>
  <c r="C463" i="16"/>
  <c r="X462" i="16"/>
  <c r="T462" i="16"/>
  <c r="P462" i="16"/>
  <c r="L462" i="16"/>
  <c r="H462" i="16"/>
  <c r="D462" i="16"/>
  <c r="Y461" i="16"/>
  <c r="U461" i="16"/>
  <c r="Q461" i="16"/>
  <c r="M461" i="16"/>
  <c r="I461" i="16"/>
  <c r="E461" i="16"/>
  <c r="A461" i="16"/>
  <c r="V460" i="16"/>
  <c r="R460" i="16"/>
  <c r="N460" i="16"/>
  <c r="J460" i="16"/>
  <c r="F460" i="16"/>
  <c r="B460" i="16"/>
  <c r="W459" i="16"/>
  <c r="S459" i="16"/>
  <c r="O459" i="16"/>
  <c r="K459" i="16"/>
  <c r="G459" i="16"/>
  <c r="C459" i="16"/>
  <c r="X458" i="16"/>
  <c r="T458" i="16"/>
  <c r="P458" i="16"/>
  <c r="L458" i="16"/>
  <c r="H458" i="16"/>
  <c r="D458" i="16"/>
  <c r="Y457" i="16"/>
  <c r="U457" i="16"/>
  <c r="Q457" i="16"/>
  <c r="M457" i="16"/>
  <c r="I457" i="16"/>
  <c r="E457" i="16"/>
  <c r="A457" i="16"/>
  <c r="V456" i="16"/>
  <c r="R456" i="16"/>
  <c r="N456" i="16"/>
  <c r="J456" i="16"/>
  <c r="F456" i="16"/>
  <c r="B456" i="16"/>
  <c r="W455" i="16"/>
  <c r="S455" i="16"/>
  <c r="O455" i="16"/>
  <c r="K455" i="16"/>
  <c r="G455" i="16"/>
  <c r="C455" i="16"/>
  <c r="X454" i="16"/>
  <c r="T454" i="16"/>
  <c r="P454" i="16"/>
  <c r="L454" i="16"/>
  <c r="H454" i="16"/>
  <c r="D454" i="16"/>
  <c r="Y453" i="16"/>
  <c r="U453" i="16"/>
  <c r="Q453" i="16"/>
  <c r="M453" i="16"/>
  <c r="I453" i="16"/>
  <c r="E453" i="16"/>
  <c r="A453" i="16"/>
  <c r="V452" i="16"/>
  <c r="R452" i="16"/>
  <c r="N452" i="16"/>
  <c r="J452" i="16"/>
  <c r="F452" i="16"/>
  <c r="B452" i="16"/>
  <c r="W451" i="16"/>
  <c r="S451" i="16"/>
  <c r="O451" i="16"/>
  <c r="K451" i="16"/>
  <c r="G451" i="16"/>
  <c r="C451" i="16"/>
  <c r="X450" i="16"/>
  <c r="T450" i="16"/>
  <c r="P450" i="16"/>
  <c r="L450" i="16"/>
  <c r="H450" i="16"/>
  <c r="D450" i="16"/>
  <c r="Y449" i="16"/>
  <c r="U449" i="16"/>
  <c r="Q449" i="16"/>
  <c r="M449" i="16"/>
  <c r="I449" i="16"/>
  <c r="E449" i="16"/>
  <c r="A449" i="16"/>
  <c r="V448" i="16"/>
  <c r="R448" i="16"/>
  <c r="N448" i="16"/>
  <c r="J448" i="16"/>
  <c r="F448" i="16"/>
  <c r="B448" i="16"/>
  <c r="W447" i="16"/>
  <c r="S447" i="16"/>
  <c r="O447" i="16"/>
  <c r="K447" i="16"/>
  <c r="G447" i="16"/>
  <c r="C447" i="16"/>
  <c r="X446" i="16"/>
  <c r="T446" i="16"/>
  <c r="P446" i="16"/>
  <c r="L446" i="16"/>
  <c r="H446" i="16"/>
  <c r="D446" i="16"/>
  <c r="Y445" i="16"/>
  <c r="U445" i="16"/>
  <c r="Q445" i="16"/>
  <c r="M445" i="16"/>
  <c r="I445" i="16"/>
  <c r="E445" i="16"/>
  <c r="A445" i="16"/>
  <c r="V444" i="16"/>
  <c r="R444" i="16"/>
  <c r="N444" i="16"/>
  <c r="J444" i="16"/>
  <c r="F444" i="16"/>
  <c r="B444" i="16"/>
  <c r="W443" i="16"/>
  <c r="S443" i="16"/>
  <c r="O443" i="16"/>
  <c r="K443" i="16"/>
  <c r="G443" i="16"/>
  <c r="C443" i="16"/>
  <c r="X442" i="16"/>
  <c r="T442" i="16"/>
  <c r="P442" i="16"/>
  <c r="L442" i="16"/>
  <c r="H442" i="16"/>
  <c r="D442" i="16"/>
  <c r="Y441" i="16"/>
  <c r="U441" i="16"/>
  <c r="Q441" i="16"/>
  <c r="M441" i="16"/>
  <c r="I441" i="16"/>
  <c r="E441" i="16"/>
  <c r="A441" i="16"/>
  <c r="V440" i="16"/>
  <c r="R440" i="16"/>
  <c r="N440" i="16"/>
  <c r="J440" i="16"/>
  <c r="F440" i="16"/>
  <c r="B440" i="16"/>
  <c r="W439" i="16"/>
  <c r="S439" i="16"/>
  <c r="O439" i="16"/>
  <c r="K439" i="16"/>
  <c r="G439" i="16"/>
  <c r="C439" i="16"/>
  <c r="X438" i="16"/>
  <c r="T438" i="16"/>
  <c r="P438" i="16"/>
  <c r="L438" i="16"/>
  <c r="H438" i="16"/>
  <c r="D438" i="16"/>
  <c r="Y437" i="16"/>
  <c r="U437" i="16"/>
  <c r="Q437" i="16"/>
  <c r="M437" i="16"/>
  <c r="I437" i="16"/>
  <c r="E437" i="16"/>
  <c r="A437" i="16"/>
  <c r="V436" i="16"/>
  <c r="R436" i="16"/>
  <c r="N436" i="16"/>
  <c r="J436" i="16"/>
  <c r="F436" i="16"/>
  <c r="B436" i="16"/>
  <c r="W435" i="16"/>
  <c r="S435" i="16"/>
  <c r="O435" i="16"/>
  <c r="K435" i="16"/>
  <c r="G435" i="16"/>
  <c r="C435" i="16"/>
  <c r="X434" i="16"/>
  <c r="T434" i="16"/>
  <c r="P434" i="16"/>
  <c r="L434" i="16"/>
  <c r="H434" i="16"/>
  <c r="D434" i="16"/>
  <c r="Y433" i="16"/>
  <c r="U433" i="16"/>
  <c r="Q433" i="16"/>
  <c r="M433" i="16"/>
  <c r="I433" i="16"/>
  <c r="E433" i="16"/>
  <c r="A433" i="16"/>
  <c r="V432" i="16"/>
  <c r="R432" i="16"/>
  <c r="N432" i="16"/>
  <c r="J432" i="16"/>
  <c r="F432" i="16"/>
  <c r="B432" i="16"/>
  <c r="W431" i="16"/>
  <c r="S431" i="16"/>
  <c r="O431" i="16"/>
  <c r="K431" i="16"/>
  <c r="G431" i="16"/>
  <c r="C431" i="16"/>
  <c r="X430" i="16"/>
  <c r="T430" i="16"/>
  <c r="P430" i="16"/>
  <c r="L430" i="16"/>
  <c r="H430" i="16"/>
  <c r="D430" i="16"/>
  <c r="Y429" i="16"/>
  <c r="U429" i="16"/>
  <c r="Q429" i="16"/>
  <c r="M429" i="16"/>
  <c r="I429" i="16"/>
  <c r="E429" i="16"/>
  <c r="A429" i="16"/>
  <c r="V428" i="16"/>
  <c r="R428" i="16"/>
  <c r="N428" i="16"/>
  <c r="J428" i="16"/>
  <c r="F428" i="16"/>
  <c r="B428" i="16"/>
  <c r="W427" i="16"/>
  <c r="S427" i="16"/>
  <c r="O427" i="16"/>
  <c r="K427" i="16"/>
  <c r="G427" i="16"/>
  <c r="C427" i="16"/>
  <c r="X426" i="16"/>
  <c r="T426" i="16"/>
  <c r="P426" i="16"/>
  <c r="L426" i="16"/>
  <c r="H426" i="16"/>
  <c r="D426" i="16"/>
  <c r="Y425" i="16"/>
  <c r="U425" i="16"/>
  <c r="Q425" i="16"/>
  <c r="M425" i="16"/>
  <c r="I425" i="16"/>
  <c r="E425" i="16"/>
  <c r="A425" i="16"/>
  <c r="V424" i="16"/>
  <c r="R424" i="16"/>
  <c r="N424" i="16"/>
  <c r="J424" i="16"/>
  <c r="F424" i="16"/>
  <c r="B424" i="16"/>
  <c r="W423" i="16"/>
  <c r="S423" i="16"/>
  <c r="O423" i="16"/>
  <c r="K423" i="16"/>
  <c r="G423" i="16"/>
  <c r="C423" i="16"/>
  <c r="X422" i="16"/>
  <c r="T422" i="16"/>
  <c r="P422" i="16"/>
  <c r="L422" i="16"/>
  <c r="H422" i="16"/>
  <c r="D422" i="16"/>
  <c r="Y421" i="16"/>
  <c r="U421" i="16"/>
  <c r="Q421" i="16"/>
  <c r="M421" i="16"/>
  <c r="I421" i="16"/>
  <c r="E421" i="16"/>
  <c r="A421" i="16"/>
  <c r="V420" i="16"/>
  <c r="R420" i="16"/>
  <c r="N420" i="16"/>
  <c r="J420" i="16"/>
  <c r="F420" i="16"/>
  <c r="B420" i="16"/>
  <c r="W419" i="16"/>
  <c r="S419" i="16"/>
  <c r="O419" i="16"/>
  <c r="K419" i="16"/>
  <c r="G419" i="16"/>
  <c r="C419" i="16"/>
  <c r="X418" i="16"/>
  <c r="T418" i="16"/>
  <c r="P418" i="16"/>
  <c r="L418" i="16"/>
  <c r="H418" i="16"/>
  <c r="D418" i="16"/>
  <c r="Y417" i="16"/>
  <c r="U417" i="16"/>
  <c r="Q417" i="16"/>
  <c r="M417" i="16"/>
  <c r="I417" i="16"/>
  <c r="E417" i="16"/>
  <c r="A417" i="16"/>
  <c r="V416" i="16"/>
  <c r="R416" i="16"/>
  <c r="N416" i="16"/>
  <c r="J416" i="16"/>
  <c r="F416" i="16"/>
  <c r="B416" i="16"/>
  <c r="W415" i="16"/>
  <c r="S415" i="16"/>
  <c r="O415" i="16"/>
  <c r="K415" i="16"/>
  <c r="G415" i="16"/>
  <c r="C415" i="16"/>
  <c r="X414" i="16"/>
  <c r="T414" i="16"/>
  <c r="P414" i="16"/>
  <c r="L414" i="16"/>
  <c r="H414" i="16"/>
  <c r="D414" i="16"/>
  <c r="Y413" i="16"/>
  <c r="U413" i="16"/>
  <c r="Q413" i="16"/>
  <c r="M413" i="16"/>
  <c r="I413" i="16"/>
  <c r="E413" i="16"/>
  <c r="A413" i="16"/>
  <c r="V412" i="16"/>
  <c r="R412" i="16"/>
  <c r="N412" i="16"/>
  <c r="J412" i="16"/>
  <c r="F412" i="16"/>
  <c r="B412" i="16"/>
  <c r="W411" i="16"/>
  <c r="S411" i="16"/>
  <c r="O411" i="16"/>
  <c r="K411" i="16"/>
  <c r="G411" i="16"/>
  <c r="C411" i="16"/>
  <c r="X410" i="16"/>
  <c r="T410" i="16"/>
  <c r="P410" i="16"/>
  <c r="L410" i="16"/>
  <c r="H410" i="16"/>
  <c r="D410" i="16"/>
  <c r="Y409" i="16"/>
  <c r="U409" i="16"/>
  <c r="Q409" i="16"/>
  <c r="M409" i="16"/>
  <c r="I409" i="16"/>
  <c r="E409" i="16"/>
  <c r="A409" i="16"/>
  <c r="V408" i="16"/>
  <c r="R408" i="16"/>
  <c r="N408" i="16"/>
  <c r="J408" i="16"/>
  <c r="F408" i="16"/>
  <c r="B408" i="16"/>
  <c r="W407" i="16"/>
  <c r="S407" i="16"/>
  <c r="O407" i="16"/>
  <c r="K407" i="16"/>
  <c r="G407" i="16"/>
  <c r="C407" i="16"/>
  <c r="X406" i="16"/>
  <c r="T406" i="16"/>
  <c r="P406" i="16"/>
  <c r="L406" i="16"/>
  <c r="H406" i="16"/>
  <c r="D406" i="16"/>
  <c r="Y405" i="16"/>
  <c r="U405" i="16"/>
  <c r="Q405" i="16"/>
  <c r="M405" i="16"/>
  <c r="I405" i="16"/>
  <c r="E405" i="16"/>
  <c r="A405" i="16"/>
  <c r="V404" i="16"/>
  <c r="R404" i="16"/>
  <c r="N404" i="16"/>
  <c r="J404" i="16"/>
  <c r="F404" i="16"/>
  <c r="B404" i="16"/>
  <c r="W403" i="16"/>
  <c r="S403" i="16"/>
  <c r="O403" i="16"/>
  <c r="K403" i="16"/>
  <c r="G403" i="16"/>
  <c r="C403" i="16"/>
  <c r="X402" i="16"/>
  <c r="T402" i="16"/>
  <c r="P402" i="16"/>
  <c r="L402" i="16"/>
  <c r="H402" i="16"/>
  <c r="D402" i="16"/>
  <c r="Y401" i="16"/>
  <c r="U401" i="16"/>
  <c r="Q401" i="16"/>
  <c r="M401" i="16"/>
  <c r="I401" i="16"/>
  <c r="E401" i="16"/>
  <c r="A401" i="16"/>
  <c r="V400" i="16"/>
  <c r="R400" i="16"/>
  <c r="N400" i="16"/>
  <c r="J400" i="16"/>
  <c r="F400" i="16"/>
  <c r="B400" i="16"/>
  <c r="W399" i="16"/>
  <c r="S399" i="16"/>
  <c r="O399" i="16"/>
  <c r="K399" i="16"/>
  <c r="G399" i="16"/>
  <c r="C399" i="16"/>
  <c r="X398" i="16"/>
  <c r="T398" i="16"/>
  <c r="P398" i="16"/>
  <c r="L398" i="16"/>
  <c r="H398" i="16"/>
  <c r="D398" i="16"/>
  <c r="Y397" i="16"/>
  <c r="U397" i="16"/>
  <c r="Q397" i="16"/>
  <c r="M397" i="16"/>
  <c r="I397" i="16"/>
  <c r="E397" i="16"/>
  <c r="A397" i="16"/>
  <c r="V396" i="16"/>
  <c r="R396" i="16"/>
  <c r="N396" i="16"/>
  <c r="J396" i="16"/>
  <c r="F396" i="16"/>
  <c r="B396" i="16"/>
  <c r="W395" i="16"/>
  <c r="S395" i="16"/>
  <c r="O395" i="16"/>
  <c r="K395" i="16"/>
  <c r="G395" i="16"/>
  <c r="C395" i="16"/>
  <c r="X394" i="16"/>
  <c r="T394" i="16"/>
  <c r="P394" i="16"/>
  <c r="L394" i="16"/>
  <c r="H394" i="16"/>
  <c r="D394" i="16"/>
  <c r="Y393" i="16"/>
  <c r="U393" i="16"/>
  <c r="Q393" i="16"/>
  <c r="M393" i="16"/>
  <c r="I393" i="16"/>
  <c r="E393" i="16"/>
  <c r="A393" i="16"/>
  <c r="V392" i="16"/>
  <c r="R392" i="16"/>
  <c r="N392" i="16"/>
  <c r="J392" i="16"/>
  <c r="F392" i="16"/>
  <c r="B392" i="16"/>
  <c r="W391" i="16"/>
  <c r="S391" i="16"/>
  <c r="O391" i="16"/>
  <c r="K391" i="16"/>
  <c r="G391" i="16"/>
  <c r="C391" i="16"/>
  <c r="X390" i="16"/>
  <c r="T390" i="16"/>
  <c r="P390" i="16"/>
  <c r="L390" i="16"/>
  <c r="H390" i="16"/>
  <c r="D390" i="16"/>
  <c r="Y389" i="16"/>
  <c r="U389" i="16"/>
  <c r="Q389" i="16"/>
  <c r="M389" i="16"/>
  <c r="I389" i="16"/>
  <c r="E389" i="16"/>
  <c r="A389" i="16"/>
  <c r="V388" i="16"/>
  <c r="R388" i="16"/>
  <c r="N388" i="16"/>
  <c r="J388" i="16"/>
  <c r="F388" i="16"/>
  <c r="B388" i="16"/>
  <c r="W387" i="16"/>
  <c r="S387" i="16"/>
  <c r="O387" i="16"/>
  <c r="K387" i="16"/>
  <c r="G387" i="16"/>
  <c r="C387" i="16"/>
  <c r="X386" i="16"/>
  <c r="T386" i="16"/>
  <c r="P386" i="16"/>
  <c r="L386" i="16"/>
  <c r="H386" i="16"/>
  <c r="D386" i="16"/>
  <c r="Y385" i="16"/>
  <c r="U385" i="16"/>
  <c r="Q385" i="16"/>
  <c r="M385" i="16"/>
  <c r="I385" i="16"/>
  <c r="E385" i="16"/>
  <c r="A385" i="16"/>
  <c r="V384" i="16"/>
  <c r="R384" i="16"/>
  <c r="N384" i="16"/>
  <c r="J384" i="16"/>
  <c r="F384" i="16"/>
  <c r="B384" i="16"/>
  <c r="W383" i="16"/>
  <c r="S383" i="16"/>
  <c r="O383" i="16"/>
  <c r="K383" i="16"/>
  <c r="G383" i="16"/>
  <c r="C383" i="16"/>
  <c r="X382" i="16"/>
  <c r="T382" i="16"/>
  <c r="P382" i="16"/>
  <c r="L382" i="16"/>
  <c r="H382" i="16"/>
  <c r="D382" i="16"/>
  <c r="Y381" i="16"/>
  <c r="U381" i="16"/>
  <c r="Q381" i="16"/>
  <c r="M381" i="16"/>
  <c r="I381" i="16"/>
  <c r="E381" i="16"/>
  <c r="A381" i="16"/>
  <c r="V380" i="16"/>
  <c r="R380" i="16"/>
  <c r="N380" i="16"/>
  <c r="J380" i="16"/>
  <c r="F380" i="16"/>
  <c r="B380" i="16"/>
  <c r="W379" i="16"/>
  <c r="S379" i="16"/>
  <c r="O379" i="16"/>
  <c r="K379" i="16"/>
  <c r="G379" i="16"/>
  <c r="C379" i="16"/>
  <c r="X378" i="16"/>
  <c r="T378" i="16"/>
  <c r="P378" i="16"/>
  <c r="L378" i="16"/>
  <c r="H378" i="16"/>
  <c r="D378" i="16"/>
  <c r="Y377" i="16"/>
  <c r="U377" i="16"/>
  <c r="Q377" i="16"/>
  <c r="M377" i="16"/>
  <c r="I377" i="16"/>
  <c r="E377" i="16"/>
  <c r="A377" i="16"/>
  <c r="V376" i="16"/>
  <c r="R376" i="16"/>
  <c r="N376" i="16"/>
  <c r="J376" i="16"/>
  <c r="F376" i="16"/>
  <c r="B376" i="16"/>
  <c r="W375" i="16"/>
  <c r="S375" i="16"/>
  <c r="O375" i="16"/>
  <c r="K375" i="16"/>
  <c r="G375" i="16"/>
  <c r="C375" i="16"/>
  <c r="X374" i="16"/>
  <c r="T374" i="16"/>
  <c r="P374" i="16"/>
  <c r="L374" i="16"/>
  <c r="H374" i="16"/>
  <c r="D374" i="16"/>
  <c r="Y373" i="16"/>
  <c r="U373" i="16"/>
  <c r="Q373" i="16"/>
  <c r="M373" i="16"/>
  <c r="I373" i="16"/>
  <c r="E373" i="16"/>
  <c r="A373" i="16"/>
  <c r="V372" i="16"/>
  <c r="R372" i="16"/>
  <c r="N372" i="16"/>
  <c r="J372" i="16"/>
  <c r="F372" i="16"/>
  <c r="B372" i="16"/>
  <c r="W371" i="16"/>
  <c r="S371" i="16"/>
  <c r="O371" i="16"/>
  <c r="K371" i="16"/>
  <c r="G371" i="16"/>
  <c r="C371" i="16"/>
  <c r="X370" i="16"/>
  <c r="T370" i="16"/>
  <c r="P370" i="16"/>
  <c r="L370" i="16"/>
  <c r="H370" i="16"/>
  <c r="D370" i="16"/>
  <c r="Y369" i="16"/>
  <c r="U369" i="16"/>
  <c r="Q369" i="16"/>
  <c r="M369" i="16"/>
  <c r="I369" i="16"/>
  <c r="E369" i="16"/>
  <c r="A369" i="16"/>
  <c r="V368" i="16"/>
  <c r="R368" i="16"/>
  <c r="N368" i="16"/>
  <c r="J368" i="16"/>
  <c r="F368" i="16"/>
  <c r="B368" i="16"/>
  <c r="W367" i="16"/>
  <c r="S367" i="16"/>
  <c r="O367" i="16"/>
  <c r="K367" i="16"/>
  <c r="G367" i="16"/>
  <c r="C367" i="16"/>
  <c r="X366" i="16"/>
  <c r="T366" i="16"/>
  <c r="P366" i="16"/>
  <c r="L366" i="16"/>
  <c r="H366" i="16"/>
  <c r="D366" i="16"/>
  <c r="Y365" i="16"/>
  <c r="U365" i="16"/>
  <c r="Q365" i="16"/>
  <c r="M365" i="16"/>
  <c r="I365" i="16"/>
  <c r="E365" i="16"/>
  <c r="A365" i="16"/>
  <c r="V364" i="16"/>
  <c r="R364" i="16"/>
  <c r="N364" i="16"/>
  <c r="J364" i="16"/>
  <c r="F364" i="16"/>
  <c r="B364" i="16"/>
  <c r="W363" i="16"/>
  <c r="S363" i="16"/>
  <c r="O363" i="16"/>
  <c r="K363" i="16"/>
  <c r="G363" i="16"/>
  <c r="C363" i="16"/>
  <c r="X362" i="16"/>
  <c r="T362" i="16"/>
  <c r="P362" i="16"/>
  <c r="L362" i="16"/>
  <c r="H362" i="16"/>
  <c r="D362" i="16"/>
  <c r="Y361" i="16"/>
  <c r="U361" i="16"/>
  <c r="Q361" i="16"/>
  <c r="M361" i="16"/>
  <c r="I361" i="16"/>
  <c r="E361" i="16"/>
  <c r="A361" i="16"/>
  <c r="V360" i="16"/>
  <c r="R360" i="16"/>
  <c r="N360" i="16"/>
  <c r="J360" i="16"/>
  <c r="F360" i="16"/>
  <c r="B360" i="16"/>
  <c r="W359" i="16"/>
  <c r="S359" i="16"/>
  <c r="O359" i="16"/>
  <c r="K359" i="16"/>
  <c r="G359" i="16"/>
  <c r="C359" i="16"/>
  <c r="X358" i="16"/>
  <c r="T358" i="16"/>
  <c r="P358" i="16"/>
  <c r="L358" i="16"/>
  <c r="H358" i="16"/>
  <c r="D358" i="16"/>
  <c r="Y357" i="16"/>
  <c r="U357" i="16"/>
  <c r="Q357" i="16"/>
  <c r="M357" i="16"/>
  <c r="I357" i="16"/>
  <c r="E357" i="16"/>
  <c r="A357" i="16"/>
  <c r="V356" i="16"/>
  <c r="R356" i="16"/>
  <c r="N356" i="16"/>
  <c r="J356" i="16"/>
  <c r="F356" i="16"/>
  <c r="B356" i="16"/>
  <c r="W355" i="16"/>
  <c r="S355" i="16"/>
  <c r="O355" i="16"/>
  <c r="K355" i="16"/>
  <c r="G355" i="16"/>
  <c r="C355" i="16"/>
  <c r="X354" i="16"/>
  <c r="T354" i="16"/>
  <c r="P354" i="16"/>
  <c r="L354" i="16"/>
  <c r="H354" i="16"/>
  <c r="D354" i="16"/>
  <c r="Y353" i="16"/>
  <c r="U353" i="16"/>
  <c r="Q353" i="16"/>
  <c r="M353" i="16"/>
  <c r="I353" i="16"/>
  <c r="E353" i="16"/>
  <c r="A353" i="16"/>
  <c r="V352" i="16"/>
  <c r="R352" i="16"/>
  <c r="N352" i="16"/>
  <c r="J352" i="16"/>
  <c r="F352" i="16"/>
  <c r="B352" i="16"/>
  <c r="W351" i="16"/>
  <c r="S351" i="16"/>
  <c r="O351" i="16"/>
  <c r="K351" i="16"/>
  <c r="G351" i="16"/>
  <c r="C351" i="16"/>
  <c r="X350" i="16"/>
  <c r="T350" i="16"/>
  <c r="P350" i="16"/>
  <c r="L350" i="16"/>
  <c r="H350" i="16"/>
  <c r="D350" i="16"/>
  <c r="Y349" i="16"/>
  <c r="U349" i="16"/>
  <c r="Q349" i="16"/>
  <c r="M349" i="16"/>
  <c r="I349" i="16"/>
  <c r="E349" i="16"/>
  <c r="A349" i="16"/>
  <c r="V348" i="16"/>
  <c r="R348" i="16"/>
  <c r="N348" i="16"/>
  <c r="J348" i="16"/>
  <c r="F348" i="16"/>
  <c r="B348" i="16"/>
  <c r="W347" i="16"/>
  <c r="S347" i="16"/>
  <c r="O347" i="16"/>
  <c r="K347" i="16"/>
  <c r="G347" i="16"/>
  <c r="C347" i="16"/>
  <c r="X346" i="16"/>
  <c r="T346" i="16"/>
  <c r="P346" i="16"/>
  <c r="L346" i="16"/>
  <c r="H346" i="16"/>
  <c r="D346" i="16"/>
  <c r="Y345" i="16"/>
  <c r="U345" i="16"/>
  <c r="Q345" i="16"/>
  <c r="M345" i="16"/>
  <c r="I345" i="16"/>
  <c r="E345" i="16"/>
  <c r="A345" i="16"/>
  <c r="V344" i="16"/>
  <c r="R344" i="16"/>
  <c r="N344" i="16"/>
  <c r="J344" i="16"/>
  <c r="F344" i="16"/>
  <c r="B344" i="16"/>
  <c r="W343" i="16"/>
  <c r="S343" i="16"/>
  <c r="O343" i="16"/>
  <c r="K343" i="16"/>
  <c r="G343" i="16"/>
  <c r="C343" i="16"/>
  <c r="X342" i="16"/>
  <c r="T342" i="16"/>
  <c r="P342" i="16"/>
  <c r="L342" i="16"/>
  <c r="H342" i="16"/>
  <c r="D342" i="16"/>
  <c r="Y341" i="16"/>
  <c r="U341" i="16"/>
  <c r="Q341" i="16"/>
  <c r="M341" i="16"/>
  <c r="I341" i="16"/>
  <c r="E341" i="16"/>
  <c r="A341" i="16"/>
  <c r="V340" i="16"/>
  <c r="R340" i="16"/>
  <c r="N340" i="16"/>
  <c r="J340" i="16"/>
  <c r="F340" i="16"/>
  <c r="B340" i="16"/>
  <c r="W339" i="16"/>
  <c r="S339" i="16"/>
  <c r="O339" i="16"/>
  <c r="K339" i="16"/>
  <c r="G339" i="16"/>
  <c r="C339" i="16"/>
  <c r="X338" i="16"/>
  <c r="T338" i="16"/>
  <c r="P338" i="16"/>
  <c r="L338" i="16"/>
  <c r="H338" i="16"/>
  <c r="D338" i="16"/>
  <c r="Y337" i="16"/>
  <c r="U337" i="16"/>
  <c r="Q337" i="16"/>
  <c r="M337" i="16"/>
  <c r="I337" i="16"/>
  <c r="E337" i="16"/>
  <c r="A337" i="16"/>
  <c r="V336" i="16"/>
  <c r="R336" i="16"/>
  <c r="N336" i="16"/>
  <c r="J336" i="16"/>
  <c r="F336" i="16"/>
  <c r="B336" i="16"/>
  <c r="W335" i="16"/>
  <c r="S335" i="16"/>
  <c r="O335" i="16"/>
  <c r="K335" i="16"/>
  <c r="G335" i="16"/>
  <c r="C335" i="16"/>
  <c r="X334" i="16"/>
  <c r="T334" i="16"/>
  <c r="P334" i="16"/>
  <c r="L334" i="16"/>
  <c r="H334" i="16"/>
  <c r="D334" i="16"/>
  <c r="Y333" i="16"/>
  <c r="U333" i="16"/>
  <c r="Q333" i="16"/>
  <c r="M333" i="16"/>
  <c r="I333" i="16"/>
  <c r="E333" i="16"/>
  <c r="A333" i="16"/>
  <c r="V332" i="16"/>
  <c r="R332" i="16"/>
  <c r="N332" i="16"/>
  <c r="J332" i="16"/>
  <c r="F332" i="16"/>
  <c r="B332" i="16"/>
  <c r="W331" i="16"/>
  <c r="S331" i="16"/>
  <c r="O331" i="16"/>
  <c r="K331" i="16"/>
  <c r="G331" i="16"/>
  <c r="C331" i="16"/>
  <c r="X330" i="16"/>
  <c r="T330" i="16"/>
  <c r="P330" i="16"/>
  <c r="L330" i="16"/>
  <c r="H330" i="16"/>
  <c r="D330" i="16"/>
  <c r="Y329" i="16"/>
  <c r="U329" i="16"/>
  <c r="Q329" i="16"/>
  <c r="M329" i="16"/>
  <c r="I329" i="16"/>
  <c r="E329" i="16"/>
  <c r="A329" i="16"/>
  <c r="V328" i="16"/>
  <c r="R328" i="16"/>
  <c r="N328" i="16"/>
  <c r="J328" i="16"/>
  <c r="F328" i="16"/>
  <c r="B328" i="16"/>
  <c r="W327" i="16"/>
  <c r="S327" i="16"/>
  <c r="O327" i="16"/>
  <c r="K327" i="16"/>
  <c r="G327" i="16"/>
  <c r="C327" i="16"/>
  <c r="X326" i="16"/>
  <c r="T326" i="16"/>
  <c r="P326" i="16"/>
  <c r="L326" i="16"/>
  <c r="H326" i="16"/>
  <c r="D326" i="16"/>
  <c r="Y325" i="16"/>
  <c r="U325" i="16"/>
  <c r="Q325" i="16"/>
  <c r="M325" i="16"/>
  <c r="I325" i="16"/>
  <c r="E325" i="16"/>
  <c r="A325" i="16"/>
  <c r="V324" i="16"/>
  <c r="R324" i="16"/>
  <c r="N324" i="16"/>
  <c r="J324" i="16"/>
  <c r="F324" i="16"/>
  <c r="B324" i="16"/>
  <c r="W323" i="16"/>
  <c r="S323" i="16"/>
  <c r="O323" i="16"/>
  <c r="K323" i="16"/>
  <c r="G323" i="16"/>
  <c r="C323" i="16"/>
  <c r="X322" i="16"/>
  <c r="T322" i="16"/>
  <c r="P322" i="16"/>
  <c r="L322" i="16"/>
  <c r="H322" i="16"/>
  <c r="D322" i="16"/>
  <c r="Y321" i="16"/>
  <c r="U321" i="16"/>
  <c r="Q321" i="16"/>
  <c r="M321" i="16"/>
  <c r="I321" i="16"/>
  <c r="E321" i="16"/>
  <c r="A321" i="16"/>
  <c r="V320" i="16"/>
  <c r="R320" i="16"/>
  <c r="N320" i="16"/>
  <c r="J320" i="16"/>
  <c r="F320" i="16"/>
  <c r="B320" i="16"/>
  <c r="W319" i="16"/>
  <c r="S319" i="16"/>
  <c r="O319" i="16"/>
  <c r="K319" i="16"/>
  <c r="G319" i="16"/>
  <c r="C319" i="16"/>
  <c r="X318" i="16"/>
  <c r="T318" i="16"/>
  <c r="P318" i="16"/>
  <c r="L318" i="16"/>
  <c r="H318" i="16"/>
  <c r="D318" i="16"/>
  <c r="Y317" i="16"/>
  <c r="U317" i="16"/>
  <c r="Q317" i="16"/>
  <c r="M317" i="16"/>
  <c r="I317" i="16"/>
  <c r="E317" i="16"/>
  <c r="A317" i="16"/>
  <c r="V316" i="16"/>
  <c r="R316" i="16"/>
  <c r="N316" i="16"/>
  <c r="J316" i="16"/>
  <c r="F316" i="16"/>
  <c r="B316" i="16"/>
  <c r="W315" i="16"/>
  <c r="S315" i="16"/>
  <c r="O315" i="16"/>
  <c r="K315" i="16"/>
  <c r="G315" i="16"/>
  <c r="C315" i="16"/>
  <c r="X314" i="16"/>
  <c r="T314" i="16"/>
  <c r="P314" i="16"/>
  <c r="L314" i="16"/>
  <c r="H314" i="16"/>
  <c r="D314" i="16"/>
  <c r="Y313" i="16"/>
  <c r="U313" i="16"/>
  <c r="Q313" i="16"/>
  <c r="M313" i="16"/>
  <c r="I313" i="16"/>
  <c r="E313" i="16"/>
  <c r="A313" i="16"/>
  <c r="V312" i="16"/>
  <c r="R312" i="16"/>
  <c r="N312" i="16"/>
  <c r="J312" i="16"/>
  <c r="F312" i="16"/>
  <c r="B312" i="16"/>
  <c r="W311" i="16"/>
  <c r="S311" i="16"/>
  <c r="O311" i="16"/>
  <c r="K311" i="16"/>
  <c r="G311" i="16"/>
  <c r="C311" i="16"/>
  <c r="X310" i="16"/>
  <c r="T310" i="16"/>
  <c r="P310" i="16"/>
  <c r="L310" i="16"/>
  <c r="H310" i="16"/>
  <c r="D310" i="16"/>
  <c r="Y309" i="16"/>
  <c r="U309" i="16"/>
  <c r="Q309" i="16"/>
  <c r="M309" i="16"/>
  <c r="I309" i="16"/>
  <c r="E309" i="16"/>
  <c r="A309" i="16"/>
  <c r="V308" i="16"/>
  <c r="R308" i="16"/>
  <c r="N308" i="16"/>
  <c r="J308" i="16"/>
  <c r="F308" i="16"/>
  <c r="B308" i="16"/>
  <c r="W307" i="16"/>
  <c r="S307" i="16"/>
  <c r="O307" i="16"/>
  <c r="K307" i="16"/>
  <c r="G307" i="16"/>
  <c r="C307" i="16"/>
  <c r="X306" i="16"/>
  <c r="T306" i="16"/>
  <c r="P306" i="16"/>
  <c r="L306" i="16"/>
  <c r="H306" i="16"/>
  <c r="D306" i="16"/>
  <c r="Y305" i="16"/>
  <c r="U305" i="16"/>
  <c r="Q305" i="16"/>
  <c r="M305" i="16"/>
  <c r="I305" i="16"/>
  <c r="E305" i="16"/>
  <c r="A305" i="16"/>
  <c r="V304" i="16"/>
  <c r="R304" i="16"/>
  <c r="N304" i="16"/>
  <c r="J304" i="16"/>
  <c r="F304" i="16"/>
  <c r="B304" i="16"/>
  <c r="W303" i="16"/>
  <c r="S303" i="16"/>
  <c r="O303" i="16"/>
  <c r="K303" i="16"/>
  <c r="G303" i="16"/>
  <c r="C303" i="16"/>
  <c r="X302" i="16"/>
  <c r="T302" i="16"/>
  <c r="P302" i="16"/>
  <c r="L302" i="16"/>
  <c r="H302" i="16"/>
  <c r="D302" i="16"/>
  <c r="Y301" i="16"/>
  <c r="U301" i="16"/>
  <c r="Q301" i="16"/>
  <c r="M301" i="16"/>
  <c r="I301" i="16"/>
  <c r="E301" i="16"/>
  <c r="A301" i="16"/>
  <c r="V300" i="16"/>
  <c r="R300" i="16"/>
  <c r="N300" i="16"/>
  <c r="J300" i="16"/>
  <c r="F300" i="16"/>
  <c r="B300" i="16"/>
  <c r="W299" i="16"/>
  <c r="S299" i="16"/>
  <c r="O299" i="16"/>
  <c r="K299" i="16"/>
  <c r="G299" i="16"/>
  <c r="C299" i="16"/>
  <c r="X298" i="16"/>
  <c r="T298" i="16"/>
  <c r="P298" i="16"/>
  <c r="L298" i="16"/>
  <c r="H298" i="16"/>
  <c r="D298" i="16"/>
  <c r="Y297" i="16"/>
  <c r="U297" i="16"/>
  <c r="Q297" i="16"/>
  <c r="M297" i="16"/>
  <c r="I297" i="16"/>
  <c r="E297" i="16"/>
  <c r="A297" i="16"/>
  <c r="V296" i="16"/>
  <c r="R296" i="16"/>
  <c r="N296" i="16"/>
  <c r="J296" i="16"/>
  <c r="F296" i="16"/>
  <c r="B296" i="16"/>
  <c r="W295" i="16"/>
  <c r="S295" i="16"/>
  <c r="O295" i="16"/>
  <c r="K295" i="16"/>
  <c r="G295" i="16"/>
  <c r="C295" i="16"/>
  <c r="X294" i="16"/>
  <c r="T294" i="16"/>
  <c r="P294" i="16"/>
  <c r="L294" i="16"/>
  <c r="H294" i="16"/>
  <c r="D294" i="16"/>
  <c r="Y293" i="16"/>
  <c r="U293" i="16"/>
  <c r="Q293" i="16"/>
  <c r="M293" i="16"/>
  <c r="I293" i="16"/>
  <c r="E293" i="16"/>
  <c r="A293" i="16"/>
  <c r="V292" i="16"/>
  <c r="R292" i="16"/>
  <c r="N292" i="16"/>
  <c r="J292" i="16"/>
  <c r="F292" i="16"/>
  <c r="B292" i="16"/>
  <c r="W291" i="16"/>
  <c r="S291" i="16"/>
  <c r="O291" i="16"/>
  <c r="K291" i="16"/>
  <c r="G291" i="16"/>
  <c r="C291" i="16"/>
  <c r="X290" i="16"/>
  <c r="T290" i="16"/>
  <c r="P290" i="16"/>
  <c r="L290" i="16"/>
  <c r="H290" i="16"/>
  <c r="D290" i="16"/>
  <c r="Y289" i="16"/>
  <c r="U289" i="16"/>
  <c r="Q289" i="16"/>
  <c r="M289" i="16"/>
  <c r="I289" i="16"/>
  <c r="E289" i="16"/>
  <c r="A289" i="16"/>
  <c r="V288" i="16"/>
  <c r="R288" i="16"/>
  <c r="N288" i="16"/>
  <c r="J288" i="16"/>
  <c r="F288" i="16"/>
  <c r="B288" i="16"/>
  <c r="W287" i="16"/>
  <c r="S287" i="16"/>
  <c r="O287" i="16"/>
  <c r="K287" i="16"/>
  <c r="G287" i="16"/>
  <c r="C287" i="16"/>
  <c r="X286" i="16"/>
  <c r="T286" i="16"/>
  <c r="P286" i="16"/>
  <c r="L286" i="16"/>
  <c r="H286" i="16"/>
  <c r="D286" i="16"/>
  <c r="Y285" i="16"/>
  <c r="U285" i="16"/>
  <c r="Q285" i="16"/>
  <c r="M285" i="16"/>
  <c r="I285" i="16"/>
  <c r="E285" i="16"/>
  <c r="A285" i="16"/>
  <c r="V284" i="16"/>
  <c r="R284" i="16"/>
  <c r="N284" i="16"/>
  <c r="J284" i="16"/>
  <c r="F284" i="16"/>
  <c r="B284" i="16"/>
  <c r="W283" i="16"/>
  <c r="S283" i="16"/>
  <c r="O283" i="16"/>
  <c r="K283" i="16"/>
  <c r="G283" i="16"/>
  <c r="C283" i="16"/>
  <c r="X282" i="16"/>
  <c r="T282" i="16"/>
  <c r="P282" i="16"/>
  <c r="L282" i="16"/>
  <c r="H282" i="16"/>
  <c r="D282" i="16"/>
  <c r="Y281" i="16"/>
  <c r="U281" i="16"/>
  <c r="Q281" i="16"/>
  <c r="M281" i="16"/>
  <c r="I281" i="16"/>
  <c r="E281" i="16"/>
  <c r="A281" i="16"/>
  <c r="V280" i="16"/>
  <c r="R280" i="16"/>
  <c r="N280" i="16"/>
  <c r="J280" i="16"/>
  <c r="F280" i="16"/>
  <c r="B280" i="16"/>
  <c r="W279" i="16"/>
  <c r="S279" i="16"/>
  <c r="O279" i="16"/>
  <c r="K279" i="16"/>
  <c r="G279" i="16"/>
  <c r="C279" i="16"/>
  <c r="X278" i="16"/>
  <c r="T278" i="16"/>
  <c r="P278" i="16"/>
  <c r="L278" i="16"/>
  <c r="H278" i="16"/>
  <c r="D278" i="16"/>
  <c r="Y277" i="16"/>
  <c r="U277" i="16"/>
  <c r="Q277" i="16"/>
  <c r="M277" i="16"/>
  <c r="I277" i="16"/>
  <c r="E277" i="16"/>
  <c r="A277" i="16"/>
  <c r="V276" i="16"/>
  <c r="R276" i="16"/>
  <c r="N276" i="16"/>
  <c r="J276" i="16"/>
  <c r="F276" i="16"/>
  <c r="B276" i="16"/>
  <c r="W275" i="16"/>
  <c r="S275" i="16"/>
  <c r="O275" i="16"/>
  <c r="K275" i="16"/>
  <c r="G275" i="16"/>
  <c r="C275" i="16"/>
  <c r="X274" i="16"/>
  <c r="T274" i="16"/>
  <c r="P274" i="16"/>
  <c r="L274" i="16"/>
  <c r="H274" i="16"/>
  <c r="D274" i="16"/>
  <c r="Y273" i="16"/>
  <c r="U273" i="16"/>
  <c r="Q273" i="16"/>
  <c r="M273" i="16"/>
  <c r="I273" i="16"/>
  <c r="E273" i="16"/>
  <c r="A273" i="16"/>
  <c r="V272" i="16"/>
  <c r="R272" i="16"/>
  <c r="N272" i="16"/>
  <c r="J272" i="16"/>
  <c r="F272" i="16"/>
  <c r="B272" i="16"/>
  <c r="W271" i="16"/>
  <c r="S271" i="16"/>
  <c r="O271" i="16"/>
  <c r="K271" i="16"/>
  <c r="G271" i="16"/>
  <c r="C271" i="16"/>
  <c r="X270" i="16"/>
  <c r="T270" i="16"/>
  <c r="P270" i="16"/>
  <c r="L270" i="16"/>
  <c r="H270" i="16"/>
  <c r="D270" i="16"/>
  <c r="Y269" i="16"/>
  <c r="U269" i="16"/>
  <c r="Q269" i="16"/>
  <c r="M269" i="16"/>
  <c r="I269" i="16"/>
  <c r="E269" i="16"/>
  <c r="A269" i="16"/>
  <c r="V268" i="16"/>
  <c r="R268" i="16"/>
  <c r="N268" i="16"/>
  <c r="J268" i="16"/>
  <c r="F268" i="16"/>
  <c r="B268" i="16"/>
  <c r="W267" i="16"/>
  <c r="S267" i="16"/>
  <c r="O267" i="16"/>
  <c r="K267" i="16"/>
  <c r="G267" i="16"/>
  <c r="C267" i="16"/>
  <c r="X266" i="16"/>
  <c r="T266" i="16"/>
  <c r="P266" i="16"/>
  <c r="L266" i="16"/>
  <c r="H266" i="16"/>
  <c r="D266" i="16"/>
  <c r="Y265" i="16"/>
  <c r="U265" i="16"/>
  <c r="Q265" i="16"/>
  <c r="M265" i="16"/>
  <c r="I265" i="16"/>
  <c r="E265" i="16"/>
  <c r="A265" i="16"/>
  <c r="V264" i="16"/>
  <c r="R264" i="16"/>
  <c r="N264" i="16"/>
  <c r="J264" i="16"/>
  <c r="F264" i="16"/>
  <c r="B264" i="16"/>
  <c r="W263" i="16"/>
  <c r="S263" i="16"/>
  <c r="O263" i="16"/>
  <c r="K263" i="16"/>
  <c r="G263" i="16"/>
  <c r="C263" i="16"/>
  <c r="X262" i="16"/>
  <c r="T262" i="16"/>
  <c r="P262" i="16"/>
  <c r="L262" i="16"/>
  <c r="H262" i="16"/>
  <c r="D262" i="16"/>
  <c r="Y261" i="16"/>
  <c r="U261" i="16"/>
  <c r="Q261" i="16"/>
  <c r="M261" i="16"/>
  <c r="I261" i="16"/>
  <c r="E261" i="16"/>
  <c r="A261" i="16"/>
  <c r="V260" i="16"/>
  <c r="R260" i="16"/>
  <c r="N260" i="16"/>
  <c r="J260" i="16"/>
  <c r="F260" i="16"/>
  <c r="B260" i="16"/>
  <c r="W259" i="16"/>
  <c r="S259" i="16"/>
  <c r="O259" i="16"/>
  <c r="K259" i="16"/>
  <c r="G259" i="16"/>
  <c r="C259" i="16"/>
  <c r="X258" i="16"/>
  <c r="T258" i="16"/>
  <c r="P258" i="16"/>
  <c r="L258" i="16"/>
  <c r="H258" i="16"/>
  <c r="D258" i="16"/>
  <c r="Y257" i="16"/>
  <c r="U257" i="16"/>
  <c r="Q257" i="16"/>
  <c r="M257" i="16"/>
  <c r="I257" i="16"/>
  <c r="E257" i="16"/>
  <c r="A257" i="16"/>
  <c r="V256" i="16"/>
  <c r="R256" i="16"/>
  <c r="N256" i="16"/>
  <c r="J256" i="16"/>
  <c r="F256" i="16"/>
  <c r="B256" i="16"/>
  <c r="W255" i="16"/>
  <c r="S255" i="16"/>
  <c r="O255" i="16"/>
  <c r="K255" i="16"/>
  <c r="G255" i="16"/>
  <c r="C255" i="16"/>
  <c r="X254" i="16"/>
  <c r="T254" i="16"/>
  <c r="P254" i="16"/>
  <c r="L254" i="16"/>
  <c r="H254" i="16"/>
  <c r="D254" i="16"/>
  <c r="Y253" i="16"/>
  <c r="U253" i="16"/>
  <c r="Q253" i="16"/>
  <c r="M253" i="16"/>
  <c r="I253" i="16"/>
  <c r="E253" i="16"/>
  <c r="A253" i="16"/>
  <c r="V252" i="16"/>
  <c r="R252" i="16"/>
  <c r="N252" i="16"/>
  <c r="J252" i="16"/>
  <c r="F252" i="16"/>
  <c r="B252" i="16"/>
  <c r="W251" i="16"/>
  <c r="S251" i="16"/>
  <c r="O251" i="16"/>
  <c r="K251" i="16"/>
  <c r="G251" i="16"/>
  <c r="C251" i="16"/>
  <c r="X250" i="16"/>
  <c r="T250" i="16"/>
  <c r="P250" i="16"/>
  <c r="L250" i="16"/>
  <c r="H250" i="16"/>
  <c r="D250" i="16"/>
  <c r="Y249" i="16"/>
  <c r="U249" i="16"/>
  <c r="Q249" i="16"/>
  <c r="M249" i="16"/>
  <c r="I249" i="16"/>
  <c r="E249" i="16"/>
  <c r="A249" i="16"/>
  <c r="V248" i="16"/>
  <c r="R248" i="16"/>
  <c r="N248" i="16"/>
  <c r="J248" i="16"/>
  <c r="F248" i="16"/>
  <c r="B248" i="16"/>
  <c r="W247" i="16"/>
  <c r="S247" i="16"/>
  <c r="O247" i="16"/>
  <c r="K247" i="16"/>
  <c r="G247" i="16"/>
  <c r="C247" i="16"/>
  <c r="X246" i="16"/>
  <c r="T246" i="16"/>
  <c r="P246" i="16"/>
  <c r="L246" i="16"/>
  <c r="H246" i="16"/>
  <c r="D246" i="16"/>
  <c r="Y245" i="16"/>
  <c r="U245" i="16"/>
  <c r="Q245" i="16"/>
  <c r="M245" i="16"/>
  <c r="I245" i="16"/>
  <c r="E245" i="16"/>
  <c r="A245" i="16"/>
  <c r="V244" i="16"/>
  <c r="R244" i="16"/>
  <c r="N244" i="16"/>
  <c r="J244" i="16"/>
  <c r="F244" i="16"/>
  <c r="B244" i="16"/>
  <c r="W243" i="16"/>
  <c r="S243" i="16"/>
  <c r="O243" i="16"/>
  <c r="K243" i="16"/>
  <c r="G243" i="16"/>
  <c r="C243" i="16"/>
  <c r="X242" i="16"/>
  <c r="T242" i="16"/>
  <c r="P242" i="16"/>
  <c r="L242" i="16"/>
  <c r="H242" i="16"/>
  <c r="D242" i="16"/>
  <c r="Y241" i="16"/>
  <c r="U241" i="16"/>
  <c r="Q241" i="16"/>
  <c r="M241" i="16"/>
  <c r="I241" i="16"/>
  <c r="E241" i="16"/>
  <c r="A241" i="16"/>
  <c r="V240" i="16"/>
  <c r="R240" i="16"/>
  <c r="N240" i="16"/>
  <c r="J240" i="16"/>
  <c r="F240" i="16"/>
  <c r="B240" i="16"/>
  <c r="W239" i="16"/>
  <c r="S239" i="16"/>
  <c r="O239" i="16"/>
  <c r="K239" i="16"/>
  <c r="G239" i="16"/>
  <c r="C239" i="16"/>
  <c r="X238" i="16"/>
  <c r="T238" i="16"/>
  <c r="P238" i="16"/>
  <c r="L238" i="16"/>
  <c r="H238" i="16"/>
  <c r="D238" i="16"/>
  <c r="Y237" i="16"/>
  <c r="U237" i="16"/>
  <c r="Q237" i="16"/>
  <c r="M237" i="16"/>
  <c r="I237" i="16"/>
  <c r="E237" i="16"/>
  <c r="A237" i="16"/>
  <c r="V236" i="16"/>
  <c r="R236" i="16"/>
  <c r="N236" i="16"/>
  <c r="J236" i="16"/>
  <c r="F236" i="16"/>
  <c r="B236" i="16"/>
  <c r="W235" i="16"/>
  <c r="S235" i="16"/>
  <c r="O235" i="16"/>
  <c r="K235" i="16"/>
  <c r="G235" i="16"/>
  <c r="C235" i="16"/>
  <c r="X234" i="16"/>
  <c r="T234" i="16"/>
  <c r="P234" i="16"/>
  <c r="L234" i="16"/>
  <c r="H234" i="16"/>
  <c r="D234" i="16"/>
  <c r="Y233" i="16"/>
  <c r="U233" i="16"/>
  <c r="Q233" i="16"/>
  <c r="M233" i="16"/>
  <c r="I233" i="16"/>
  <c r="E233" i="16"/>
  <c r="A233" i="16"/>
  <c r="V232" i="16"/>
  <c r="R232" i="16"/>
  <c r="N232" i="16"/>
  <c r="J232" i="16"/>
  <c r="F232" i="16"/>
  <c r="B232" i="16"/>
  <c r="W231" i="16"/>
  <c r="S231" i="16"/>
  <c r="O231" i="16"/>
  <c r="K231" i="16"/>
  <c r="G231" i="16"/>
  <c r="C231" i="16"/>
  <c r="X230" i="16"/>
  <c r="T230" i="16"/>
  <c r="P230" i="16"/>
  <c r="L230" i="16"/>
  <c r="H230" i="16"/>
  <c r="D230" i="16"/>
  <c r="Y229" i="16"/>
  <c r="U229" i="16"/>
  <c r="Q229" i="16"/>
  <c r="M229" i="16"/>
  <c r="I229" i="16"/>
  <c r="E229" i="16"/>
  <c r="A229" i="16"/>
  <c r="V228" i="16"/>
  <c r="R228" i="16"/>
  <c r="N228" i="16"/>
  <c r="J228" i="16"/>
  <c r="F228" i="16"/>
  <c r="B228" i="16"/>
  <c r="W227" i="16"/>
  <c r="S227" i="16"/>
  <c r="O227" i="16"/>
  <c r="K227" i="16"/>
  <c r="G227" i="16"/>
  <c r="C227" i="16"/>
  <c r="X226" i="16"/>
  <c r="T226" i="16"/>
  <c r="P226" i="16"/>
  <c r="L226" i="16"/>
  <c r="H226" i="16"/>
  <c r="D226" i="16"/>
  <c r="Y225" i="16"/>
  <c r="U225" i="16"/>
  <c r="Q225" i="16"/>
  <c r="M225" i="16"/>
  <c r="I225" i="16"/>
  <c r="E225" i="16"/>
  <c r="A225" i="16"/>
  <c r="V224" i="16"/>
  <c r="R224" i="16"/>
  <c r="N224" i="16"/>
  <c r="J224" i="16"/>
  <c r="F224" i="16"/>
  <c r="B224" i="16"/>
  <c r="W223" i="16"/>
  <c r="S223" i="16"/>
  <c r="O223" i="16"/>
  <c r="K223" i="16"/>
  <c r="G223" i="16"/>
  <c r="C223" i="16"/>
  <c r="X222" i="16"/>
  <c r="T222" i="16"/>
  <c r="P222" i="16"/>
  <c r="L222" i="16"/>
  <c r="H222" i="16"/>
  <c r="D222" i="16"/>
  <c r="Y221" i="16"/>
  <c r="W1113" i="16"/>
  <c r="W1078" i="16"/>
  <c r="W1046" i="16"/>
  <c r="A1030" i="16"/>
  <c r="V1017" i="16"/>
  <c r="R1005" i="16"/>
  <c r="P993" i="16"/>
  <c r="L981" i="16"/>
  <c r="H969" i="16"/>
  <c r="F957" i="16"/>
  <c r="H945" i="16"/>
  <c r="D939" i="16"/>
  <c r="D933" i="16"/>
  <c r="B927" i="16"/>
  <c r="Y920" i="16"/>
  <c r="W914" i="16"/>
  <c r="V908" i="16"/>
  <c r="S902" i="16"/>
  <c r="D897" i="16"/>
  <c r="P892" i="16"/>
  <c r="A888" i="16"/>
  <c r="S883" i="16"/>
  <c r="X880" i="16"/>
  <c r="T877" i="16"/>
  <c r="R874" i="16"/>
  <c r="U871" i="16"/>
  <c r="O869" i="16"/>
  <c r="G867" i="16"/>
  <c r="Y864" i="16"/>
  <c r="T862" i="16"/>
  <c r="C861" i="16"/>
  <c r="J859" i="16"/>
  <c r="Q857" i="16"/>
  <c r="Y855" i="16"/>
  <c r="G854" i="16"/>
  <c r="N852" i="16"/>
  <c r="V850" i="16"/>
  <c r="D849" i="16"/>
  <c r="K847" i="16"/>
  <c r="S845" i="16"/>
  <c r="A844" i="16"/>
  <c r="H842" i="16"/>
  <c r="P840" i="16"/>
  <c r="W838" i="16"/>
  <c r="E837" i="16"/>
  <c r="M835" i="16"/>
  <c r="T833" i="16"/>
  <c r="B832" i="16"/>
  <c r="J830" i="16"/>
  <c r="Q828" i="16"/>
  <c r="X826" i="16"/>
  <c r="G825" i="16"/>
  <c r="N823" i="16"/>
  <c r="U821" i="16"/>
  <c r="D820" i="16"/>
  <c r="K818" i="16"/>
  <c r="R816" i="16"/>
  <c r="A815" i="16"/>
  <c r="H813" i="16"/>
  <c r="O811" i="16"/>
  <c r="W809" i="16"/>
  <c r="E808" i="16"/>
  <c r="R806" i="16"/>
  <c r="U805" i="16"/>
  <c r="Y804" i="16"/>
  <c r="D804" i="16"/>
  <c r="G803" i="16"/>
  <c r="K802" i="16"/>
  <c r="O801" i="16"/>
  <c r="R800" i="16"/>
  <c r="V799" i="16"/>
  <c r="A799" i="16"/>
  <c r="D798" i="16"/>
  <c r="H797" i="16"/>
  <c r="L796" i="16"/>
  <c r="O795" i="16"/>
  <c r="S794" i="16"/>
  <c r="W793" i="16"/>
  <c r="A793" i="16"/>
  <c r="E792" i="16"/>
  <c r="I791" i="16"/>
  <c r="L790" i="16"/>
  <c r="P789" i="16"/>
  <c r="T788" i="16"/>
  <c r="W787" i="16"/>
  <c r="G787" i="16"/>
  <c r="P786" i="16"/>
  <c r="C786" i="16"/>
  <c r="O785" i="16"/>
  <c r="X784" i="16"/>
  <c r="J784" i="16"/>
  <c r="V783" i="16"/>
  <c r="F783" i="16"/>
  <c r="R782" i="16"/>
  <c r="D782" i="16"/>
  <c r="M781" i="16"/>
  <c r="Y780" i="16"/>
  <c r="L780" i="16"/>
  <c r="U779" i="16"/>
  <c r="G779" i="16"/>
  <c r="S778" i="16"/>
  <c r="C778" i="16"/>
  <c r="O777" i="16"/>
  <c r="A777" i="16"/>
  <c r="J776" i="16"/>
  <c r="V775" i="16"/>
  <c r="I775" i="16"/>
  <c r="R774" i="16"/>
  <c r="D774" i="16"/>
  <c r="P773" i="16"/>
  <c r="Y772" i="16"/>
  <c r="L772" i="16"/>
  <c r="W771" i="16"/>
  <c r="G771" i="16"/>
  <c r="S770" i="16"/>
  <c r="F770" i="16"/>
  <c r="O769" i="16"/>
  <c r="A769" i="16"/>
  <c r="M768" i="16"/>
  <c r="V767" i="16"/>
  <c r="I767" i="16"/>
  <c r="T766" i="16"/>
  <c r="D766" i="16"/>
  <c r="P765" i="16"/>
  <c r="C765" i="16"/>
  <c r="L764" i="16"/>
  <c r="W763" i="16"/>
  <c r="J763" i="16"/>
  <c r="S762" i="16"/>
  <c r="F762" i="16"/>
  <c r="Q761" i="16"/>
  <c r="A761" i="16"/>
  <c r="M760" i="16"/>
  <c r="Y759" i="16"/>
  <c r="I759" i="16"/>
  <c r="T758" i="16"/>
  <c r="G758" i="16"/>
  <c r="P757" i="16"/>
  <c r="C757" i="16"/>
  <c r="N756" i="16"/>
  <c r="W755" i="16"/>
  <c r="J755" i="16"/>
  <c r="V754" i="16"/>
  <c r="F754" i="16"/>
  <c r="Q753" i="16"/>
  <c r="D753" i="16"/>
  <c r="M752" i="16"/>
  <c r="Y751" i="16"/>
  <c r="K751" i="16"/>
  <c r="T750" i="16"/>
  <c r="G750" i="16"/>
  <c r="S749" i="16"/>
  <c r="C749" i="16"/>
  <c r="N748" i="16"/>
  <c r="A748" i="16"/>
  <c r="J747" i="16"/>
  <c r="V746" i="16"/>
  <c r="H746" i="16"/>
  <c r="Q745" i="16"/>
  <c r="D745" i="16"/>
  <c r="P744" i="16"/>
  <c r="Y743" i="16"/>
  <c r="K743" i="16"/>
  <c r="W742" i="16"/>
  <c r="G742" i="16"/>
  <c r="S741" i="16"/>
  <c r="E741" i="16"/>
  <c r="N740" i="16"/>
  <c r="A740" i="16"/>
  <c r="M739" i="16"/>
  <c r="V738" i="16"/>
  <c r="H738" i="16"/>
  <c r="T737" i="16"/>
  <c r="D737" i="16"/>
  <c r="P736" i="16"/>
  <c r="B736" i="16"/>
  <c r="K735" i="16"/>
  <c r="W734" i="16"/>
  <c r="J734" i="16"/>
  <c r="S733" i="16"/>
  <c r="E733" i="16"/>
  <c r="Q732" i="16"/>
  <c r="A732" i="16"/>
  <c r="M731" i="16"/>
  <c r="X730" i="16"/>
  <c r="H730" i="16"/>
  <c r="T729" i="16"/>
  <c r="G729" i="16"/>
  <c r="P728" i="16"/>
  <c r="B728" i="16"/>
  <c r="N727" i="16"/>
  <c r="W726" i="16"/>
  <c r="J726" i="16"/>
  <c r="U725" i="16"/>
  <c r="E725" i="16"/>
  <c r="Q724" i="16"/>
  <c r="D724" i="16"/>
  <c r="M723" i="16"/>
  <c r="X722" i="16"/>
  <c r="K722" i="16"/>
  <c r="T721" i="16"/>
  <c r="G721" i="16"/>
  <c r="R720" i="16"/>
  <c r="B720" i="16"/>
  <c r="N719" i="16"/>
  <c r="A719" i="16"/>
  <c r="J718" i="16"/>
  <c r="U717" i="16"/>
  <c r="H717" i="16"/>
  <c r="Q716" i="16"/>
  <c r="D716" i="16"/>
  <c r="O715" i="16"/>
  <c r="X714" i="16"/>
  <c r="K714" i="16"/>
  <c r="W713" i="16"/>
  <c r="G713" i="16"/>
  <c r="R712" i="16"/>
  <c r="E712" i="16"/>
  <c r="N711" i="16"/>
  <c r="A711" i="16"/>
  <c r="L710" i="16"/>
  <c r="U709" i="16"/>
  <c r="H709" i="16"/>
  <c r="T708" i="16"/>
  <c r="D708" i="16"/>
  <c r="O707" i="16"/>
  <c r="B707" i="16"/>
  <c r="K706" i="16"/>
  <c r="W705" i="16"/>
  <c r="I705" i="16"/>
  <c r="R704" i="16"/>
  <c r="E704" i="16"/>
  <c r="Q703" i="16"/>
  <c r="A703" i="16"/>
  <c r="L702" i="16"/>
  <c r="X701" i="16"/>
  <c r="H701" i="16"/>
  <c r="T700" i="16"/>
  <c r="F700" i="16"/>
  <c r="O699" i="16"/>
  <c r="B699" i="16"/>
  <c r="N698" i="16"/>
  <c r="W697" i="16"/>
  <c r="I697" i="16"/>
  <c r="U696" i="16"/>
  <c r="E696" i="16"/>
  <c r="Q695" i="16"/>
  <c r="C695" i="16"/>
  <c r="L694" i="16"/>
  <c r="X693" i="16"/>
  <c r="K693" i="16"/>
  <c r="T692" i="16"/>
  <c r="F692" i="16"/>
  <c r="R691" i="16"/>
  <c r="B691" i="16"/>
  <c r="N690" i="16"/>
  <c r="Y689" i="16"/>
  <c r="I689" i="16"/>
  <c r="U688" i="16"/>
  <c r="H688" i="16"/>
  <c r="Q687" i="16"/>
  <c r="C687" i="16"/>
  <c r="O686" i="16"/>
  <c r="X685" i="16"/>
  <c r="K685" i="16"/>
  <c r="V684" i="16"/>
  <c r="F684" i="16"/>
  <c r="R683" i="16"/>
  <c r="E683" i="16"/>
  <c r="N682" i="16"/>
  <c r="Y681" i="16"/>
  <c r="L681" i="16"/>
  <c r="U680" i="16"/>
  <c r="H680" i="16"/>
  <c r="S679" i="16"/>
  <c r="C679" i="16"/>
  <c r="O678" i="16"/>
  <c r="B678" i="16"/>
  <c r="K677" i="16"/>
  <c r="V676" i="16"/>
  <c r="I676" i="16"/>
  <c r="R675" i="16"/>
  <c r="E675" i="16"/>
  <c r="P674" i="16"/>
  <c r="Y673" i="16"/>
  <c r="L673" i="16"/>
  <c r="X672" i="16"/>
  <c r="H672" i="16"/>
  <c r="S671" i="16"/>
  <c r="F671" i="16"/>
  <c r="O670" i="16"/>
  <c r="B670" i="16"/>
  <c r="M669" i="16"/>
  <c r="V668" i="16"/>
  <c r="I668" i="16"/>
  <c r="U667" i="16"/>
  <c r="E667" i="16"/>
  <c r="P666" i="16"/>
  <c r="C666" i="16"/>
  <c r="L665" i="16"/>
  <c r="X664" i="16"/>
  <c r="J664" i="16"/>
  <c r="S663" i="16"/>
  <c r="F663" i="16"/>
  <c r="R662" i="16"/>
  <c r="B662" i="16"/>
  <c r="M661" i="16"/>
  <c r="Y660" i="16"/>
  <c r="I660" i="16"/>
  <c r="U659" i="16"/>
  <c r="G659" i="16"/>
  <c r="P658" i="16"/>
  <c r="C658" i="16"/>
  <c r="O657" i="16"/>
  <c r="X656" i="16"/>
  <c r="J656" i="16"/>
  <c r="V655" i="16"/>
  <c r="F655" i="16"/>
  <c r="R654" i="16"/>
  <c r="D654" i="16"/>
  <c r="M653" i="16"/>
  <c r="Y652" i="16"/>
  <c r="L652" i="16"/>
  <c r="U651" i="16"/>
  <c r="G651" i="16"/>
  <c r="S650" i="16"/>
  <c r="C650" i="16"/>
  <c r="O649" i="16"/>
  <c r="A649" i="16"/>
  <c r="J648" i="16"/>
  <c r="V647" i="16"/>
  <c r="I647" i="16"/>
  <c r="R646" i="16"/>
  <c r="D646" i="16"/>
  <c r="P645" i="16"/>
  <c r="Y644" i="16"/>
  <c r="L644" i="16"/>
  <c r="W643" i="16"/>
  <c r="G643" i="16"/>
  <c r="S642" i="16"/>
  <c r="F642" i="16"/>
  <c r="O641" i="16"/>
  <c r="A641" i="16"/>
  <c r="M640" i="16"/>
  <c r="V639" i="16"/>
  <c r="I639" i="16"/>
  <c r="T638" i="16"/>
  <c r="D638" i="16"/>
  <c r="P637" i="16"/>
  <c r="C637" i="16"/>
  <c r="L636" i="16"/>
  <c r="W635" i="16"/>
  <c r="J635" i="16"/>
  <c r="S634" i="16"/>
  <c r="F634" i="16"/>
  <c r="Q633" i="16"/>
  <c r="A633" i="16"/>
  <c r="M632" i="16"/>
  <c r="Y631" i="16"/>
  <c r="I631" i="16"/>
  <c r="T630" i="16"/>
  <c r="G630" i="16"/>
  <c r="P629" i="16"/>
  <c r="C629" i="16"/>
  <c r="N628" i="16"/>
  <c r="W627" i="16"/>
  <c r="J627" i="16"/>
  <c r="V626" i="16"/>
  <c r="F626" i="16"/>
  <c r="Q625" i="16"/>
  <c r="F625" i="16"/>
  <c r="S624" i="16"/>
  <c r="I624" i="16"/>
  <c r="X623" i="16"/>
  <c r="L623" i="16"/>
  <c r="B623" i="16"/>
  <c r="Q622" i="16"/>
  <c r="E622" i="16"/>
  <c r="T621" i="16"/>
  <c r="J621" i="16"/>
  <c r="W620" i="16"/>
  <c r="M620" i="16"/>
  <c r="C620" i="16"/>
  <c r="P619" i="16"/>
  <c r="F619" i="16"/>
  <c r="U618" i="16"/>
  <c r="I618" i="16"/>
  <c r="X617" i="16"/>
  <c r="N617" i="16"/>
  <c r="B617" i="16"/>
  <c r="Q616" i="16"/>
  <c r="G616" i="16"/>
  <c r="T615" i="16"/>
  <c r="J615" i="16"/>
  <c r="Y614" i="16"/>
  <c r="M614" i="16"/>
  <c r="C614" i="16"/>
  <c r="R613" i="16"/>
  <c r="F613" i="16"/>
  <c r="U612" i="16"/>
  <c r="K612" i="16"/>
  <c r="X611" i="16"/>
  <c r="N611" i="16"/>
  <c r="D611" i="16"/>
  <c r="Q610" i="16"/>
  <c r="G610" i="16"/>
  <c r="V609" i="16"/>
  <c r="J609" i="16"/>
  <c r="Y608" i="16"/>
  <c r="O608" i="16"/>
  <c r="C608" i="16"/>
  <c r="R607" i="16"/>
  <c r="H607" i="16"/>
  <c r="U606" i="16"/>
  <c r="K606" i="16"/>
  <c r="A606" i="16"/>
  <c r="N605" i="16"/>
  <c r="D605" i="16"/>
  <c r="S604" i="16"/>
  <c r="G604" i="16"/>
  <c r="V603" i="16"/>
  <c r="L603" i="16"/>
  <c r="Y602" i="16"/>
  <c r="O602" i="16"/>
  <c r="E602" i="16"/>
  <c r="R601" i="16"/>
  <c r="H601" i="16"/>
  <c r="W600" i="16"/>
  <c r="K600" i="16"/>
  <c r="A600" i="16"/>
  <c r="P599" i="16"/>
  <c r="D599" i="16"/>
  <c r="S598" i="16"/>
  <c r="I598" i="16"/>
  <c r="V597" i="16"/>
  <c r="N597" i="16"/>
  <c r="H597" i="16"/>
  <c r="Y596" i="16"/>
  <c r="R596" i="16"/>
  <c r="K596" i="16"/>
  <c r="C596" i="16"/>
  <c r="V595" i="16"/>
  <c r="O595" i="16"/>
  <c r="G595" i="16"/>
  <c r="Y594" i="16"/>
  <c r="S594" i="16"/>
  <c r="K594" i="16"/>
  <c r="D594" i="16"/>
  <c r="V593" i="16"/>
  <c r="N593" i="16"/>
  <c r="H593" i="16"/>
  <c r="A593" i="16"/>
  <c r="R592" i="16"/>
  <c r="K592" i="16"/>
  <c r="E592" i="16"/>
  <c r="V591" i="16"/>
  <c r="O591" i="16"/>
  <c r="H591" i="16"/>
  <c r="B591" i="16"/>
  <c r="U590" i="16"/>
  <c r="P590" i="16"/>
  <c r="K590" i="16"/>
  <c r="E590" i="16"/>
  <c r="Y589" i="16"/>
  <c r="T589" i="16"/>
  <c r="N589" i="16"/>
  <c r="I589" i="16"/>
  <c r="D589" i="16"/>
  <c r="W588" i="16"/>
  <c r="R588" i="16"/>
  <c r="M588" i="16"/>
  <c r="G588" i="16"/>
  <c r="B588" i="16"/>
  <c r="V587" i="16"/>
  <c r="P587" i="16"/>
  <c r="K587" i="16"/>
  <c r="F587" i="16"/>
  <c r="Y586" i="16"/>
  <c r="T586" i="16"/>
  <c r="O586" i="16"/>
  <c r="I586" i="16"/>
  <c r="D586" i="16"/>
  <c r="X585" i="16"/>
  <c r="R585" i="16"/>
  <c r="M585" i="16"/>
  <c r="H585" i="16"/>
  <c r="B585" i="16"/>
  <c r="V584" i="16"/>
  <c r="Q584" i="16"/>
  <c r="K584" i="16"/>
  <c r="F584" i="16"/>
  <c r="A584" i="16"/>
  <c r="T583" i="16"/>
  <c r="O583" i="16"/>
  <c r="J583" i="16"/>
  <c r="D583" i="16"/>
  <c r="X582" i="16"/>
  <c r="S582" i="16"/>
  <c r="M582" i="16"/>
  <c r="H582" i="16"/>
  <c r="C582" i="16"/>
  <c r="V581" i="16"/>
  <c r="Q581" i="16"/>
  <c r="L581" i="16"/>
  <c r="F581" i="16"/>
  <c r="A581" i="16"/>
  <c r="U580" i="16"/>
  <c r="O580" i="16"/>
  <c r="J580" i="16"/>
  <c r="E580" i="16"/>
  <c r="X579" i="16"/>
  <c r="S579" i="16"/>
  <c r="N579" i="16"/>
  <c r="H579" i="16"/>
  <c r="C579" i="16"/>
  <c r="W578" i="16"/>
  <c r="Q578" i="16"/>
  <c r="L578" i="16"/>
  <c r="G578" i="16"/>
  <c r="A578" i="16"/>
  <c r="U577" i="16"/>
  <c r="P577" i="16"/>
  <c r="J577" i="16"/>
  <c r="E577" i="16"/>
  <c r="Y576" i="16"/>
  <c r="S576" i="16"/>
  <c r="N576" i="16"/>
  <c r="I576" i="16"/>
  <c r="C576" i="16"/>
  <c r="W575" i="16"/>
  <c r="R575" i="16"/>
  <c r="L575" i="16"/>
  <c r="G575" i="16"/>
  <c r="B575" i="16"/>
  <c r="U574" i="16"/>
  <c r="P574" i="16"/>
  <c r="K574" i="16"/>
  <c r="E574" i="16"/>
  <c r="Y573" i="16"/>
  <c r="T573" i="16"/>
  <c r="N573" i="16"/>
  <c r="I573" i="16"/>
  <c r="D573" i="16"/>
  <c r="W572" i="16"/>
  <c r="R572" i="16"/>
  <c r="M572" i="16"/>
  <c r="G572" i="16"/>
  <c r="B572" i="16"/>
  <c r="V571" i="16"/>
  <c r="P571" i="16"/>
  <c r="K571" i="16"/>
  <c r="F571" i="16"/>
  <c r="Y570" i="16"/>
  <c r="T570" i="16"/>
  <c r="O570" i="16"/>
  <c r="I570" i="16"/>
  <c r="D570" i="16"/>
  <c r="X569" i="16"/>
  <c r="R569" i="16"/>
  <c r="M569" i="16"/>
  <c r="H569" i="16"/>
  <c r="B569" i="16"/>
  <c r="V568" i="16"/>
  <c r="Q568" i="16"/>
  <c r="K568" i="16"/>
  <c r="F568" i="16"/>
  <c r="A568" i="16"/>
  <c r="U567" i="16"/>
  <c r="Q567" i="16"/>
  <c r="M567" i="16"/>
  <c r="I567" i="16"/>
  <c r="E567" i="16"/>
  <c r="A567" i="16"/>
  <c r="V566" i="16"/>
  <c r="R566" i="16"/>
  <c r="N566" i="16"/>
  <c r="J566" i="16"/>
  <c r="F566" i="16"/>
  <c r="B566" i="16"/>
  <c r="W565" i="16"/>
  <c r="S565" i="16"/>
  <c r="O565" i="16"/>
  <c r="K565" i="16"/>
  <c r="G565" i="16"/>
  <c r="C565" i="16"/>
  <c r="X564" i="16"/>
  <c r="T564" i="16"/>
  <c r="P564" i="16"/>
  <c r="L564" i="16"/>
  <c r="H564" i="16"/>
  <c r="D564" i="16"/>
  <c r="Y563" i="16"/>
  <c r="U563" i="16"/>
  <c r="Q563" i="16"/>
  <c r="M563" i="16"/>
  <c r="I563" i="16"/>
  <c r="E563" i="16"/>
  <c r="A563" i="16"/>
  <c r="V562" i="16"/>
  <c r="R562" i="16"/>
  <c r="N562" i="16"/>
  <c r="J562" i="16"/>
  <c r="F562" i="16"/>
  <c r="B562" i="16"/>
  <c r="W561" i="16"/>
  <c r="S561" i="16"/>
  <c r="O561" i="16"/>
  <c r="K561" i="16"/>
  <c r="G561" i="16"/>
  <c r="C561" i="16"/>
  <c r="X560" i="16"/>
  <c r="T560" i="16"/>
  <c r="P560" i="16"/>
  <c r="L560" i="16"/>
  <c r="H560" i="16"/>
  <c r="D560" i="16"/>
  <c r="Y559" i="16"/>
  <c r="U559" i="16"/>
  <c r="Q559" i="16"/>
  <c r="M559" i="16"/>
  <c r="I559" i="16"/>
  <c r="E559" i="16"/>
  <c r="A559" i="16"/>
  <c r="V558" i="16"/>
  <c r="R558" i="16"/>
  <c r="N558" i="16"/>
  <c r="J558" i="16"/>
  <c r="F558" i="16"/>
  <c r="B558" i="16"/>
  <c r="W557" i="16"/>
  <c r="S557" i="16"/>
  <c r="O557" i="16"/>
  <c r="K557" i="16"/>
  <c r="G557" i="16"/>
  <c r="C557" i="16"/>
  <c r="X556" i="16"/>
  <c r="T556" i="16"/>
  <c r="P556" i="16"/>
  <c r="L556" i="16"/>
  <c r="H556" i="16"/>
  <c r="D556" i="16"/>
  <c r="Y555" i="16"/>
  <c r="U555" i="16"/>
  <c r="Q555" i="16"/>
  <c r="M555" i="16"/>
  <c r="I555" i="16"/>
  <c r="E555" i="16"/>
  <c r="A555" i="16"/>
  <c r="V554" i="16"/>
  <c r="R554" i="16"/>
  <c r="N554" i="16"/>
  <c r="J554" i="16"/>
  <c r="F554" i="16"/>
  <c r="B554" i="16"/>
  <c r="W553" i="16"/>
  <c r="S553" i="16"/>
  <c r="O553" i="16"/>
  <c r="K553" i="16"/>
  <c r="G553" i="16"/>
  <c r="C553" i="16"/>
  <c r="X552" i="16"/>
  <c r="T552" i="16"/>
  <c r="P552" i="16"/>
  <c r="L552" i="16"/>
  <c r="H552" i="16"/>
  <c r="D552" i="16"/>
  <c r="Y551" i="16"/>
  <c r="U551" i="16"/>
  <c r="Q551" i="16"/>
  <c r="M551" i="16"/>
  <c r="I551" i="16"/>
  <c r="E551" i="16"/>
  <c r="A551" i="16"/>
  <c r="V550" i="16"/>
  <c r="R550" i="16"/>
  <c r="N550" i="16"/>
  <c r="J550" i="16"/>
  <c r="F550" i="16"/>
  <c r="B550" i="16"/>
  <c r="W549" i="16"/>
  <c r="S549" i="16"/>
  <c r="O549" i="16"/>
  <c r="K549" i="16"/>
  <c r="G549" i="16"/>
  <c r="C549" i="16"/>
  <c r="X548" i="16"/>
  <c r="T548" i="16"/>
  <c r="P548" i="16"/>
  <c r="L548" i="16"/>
  <c r="H548" i="16"/>
  <c r="D548" i="16"/>
  <c r="Y547" i="16"/>
  <c r="U547" i="16"/>
  <c r="Q547" i="16"/>
  <c r="M547" i="16"/>
  <c r="I547" i="16"/>
  <c r="E547" i="16"/>
  <c r="A547" i="16"/>
  <c r="V546" i="16"/>
  <c r="R546" i="16"/>
  <c r="N546" i="16"/>
  <c r="J546" i="16"/>
  <c r="F546" i="16"/>
  <c r="B546" i="16"/>
  <c r="W545" i="16"/>
  <c r="S545" i="16"/>
  <c r="O545" i="16"/>
  <c r="K545" i="16"/>
  <c r="G545" i="16"/>
  <c r="C545" i="16"/>
  <c r="X544" i="16"/>
  <c r="T544" i="16"/>
  <c r="P544" i="16"/>
  <c r="L544" i="16"/>
  <c r="H544" i="16"/>
  <c r="D544" i="16"/>
  <c r="Y543" i="16"/>
  <c r="U543" i="16"/>
  <c r="Q543" i="16"/>
  <c r="M543" i="16"/>
  <c r="I543" i="16"/>
  <c r="E543" i="16"/>
  <c r="A543" i="16"/>
  <c r="V542" i="16"/>
  <c r="R542" i="16"/>
  <c r="N542" i="16"/>
  <c r="J542" i="16"/>
  <c r="F542" i="16"/>
  <c r="B542" i="16"/>
  <c r="W541" i="16"/>
  <c r="S541" i="16"/>
  <c r="O541" i="16"/>
  <c r="K541" i="16"/>
  <c r="G541" i="16"/>
  <c r="C541" i="16"/>
  <c r="X540" i="16"/>
  <c r="T540" i="16"/>
  <c r="P540" i="16"/>
  <c r="L540" i="16"/>
  <c r="H540" i="16"/>
  <c r="D540" i="16"/>
  <c r="Y539" i="16"/>
  <c r="U539" i="16"/>
  <c r="Q539" i="16"/>
  <c r="M539" i="16"/>
  <c r="I539" i="16"/>
  <c r="E539" i="16"/>
  <c r="A539" i="16"/>
  <c r="V538" i="16"/>
  <c r="R538" i="16"/>
  <c r="N538" i="16"/>
  <c r="J538" i="16"/>
  <c r="F538" i="16"/>
  <c r="B538" i="16"/>
  <c r="W537" i="16"/>
  <c r="S537" i="16"/>
  <c r="O537" i="16"/>
  <c r="K537" i="16"/>
  <c r="G537" i="16"/>
  <c r="C537" i="16"/>
  <c r="X536" i="16"/>
  <c r="T536" i="16"/>
  <c r="P536" i="16"/>
  <c r="L536" i="16"/>
  <c r="H536" i="16"/>
  <c r="D536" i="16"/>
  <c r="Y535" i="16"/>
  <c r="U535" i="16"/>
  <c r="Q535" i="16"/>
  <c r="M535" i="16"/>
  <c r="I535" i="16"/>
  <c r="E535" i="16"/>
  <c r="A535" i="16"/>
  <c r="V534" i="16"/>
  <c r="R534" i="16"/>
  <c r="N534" i="16"/>
  <c r="J534" i="16"/>
  <c r="F534" i="16"/>
  <c r="B534" i="16"/>
  <c r="W533" i="16"/>
  <c r="S533" i="16"/>
  <c r="O533" i="16"/>
  <c r="K533" i="16"/>
  <c r="G533" i="16"/>
  <c r="C533" i="16"/>
  <c r="X532" i="16"/>
  <c r="T532" i="16"/>
  <c r="P532" i="16"/>
  <c r="L532" i="16"/>
  <c r="H532" i="16"/>
  <c r="D532" i="16"/>
  <c r="Y531" i="16"/>
  <c r="U531" i="16"/>
  <c r="Q531" i="16"/>
  <c r="M531" i="16"/>
  <c r="I531" i="16"/>
  <c r="E531" i="16"/>
  <c r="A531" i="16"/>
  <c r="V530" i="16"/>
  <c r="R530" i="16"/>
  <c r="N530" i="16"/>
  <c r="J530" i="16"/>
  <c r="F530" i="16"/>
  <c r="B530" i="16"/>
  <c r="W529" i="16"/>
  <c r="S529" i="16"/>
  <c r="O529" i="16"/>
  <c r="K529" i="16"/>
  <c r="G529" i="16"/>
  <c r="C529" i="16"/>
  <c r="X528" i="16"/>
  <c r="T528" i="16"/>
  <c r="P528" i="16"/>
  <c r="L528" i="16"/>
  <c r="H528" i="16"/>
  <c r="D528" i="16"/>
  <c r="Y527" i="16"/>
  <c r="U527" i="16"/>
  <c r="Q527" i="16"/>
  <c r="M527" i="16"/>
  <c r="I527" i="16"/>
  <c r="E527" i="16"/>
  <c r="A527" i="16"/>
  <c r="V526" i="16"/>
  <c r="R526" i="16"/>
  <c r="N526" i="16"/>
  <c r="J526" i="16"/>
  <c r="F526" i="16"/>
  <c r="B526" i="16"/>
  <c r="W525" i="16"/>
  <c r="S525" i="16"/>
  <c r="O525" i="16"/>
  <c r="K525" i="16"/>
  <c r="G525" i="16"/>
  <c r="C525" i="16"/>
  <c r="X524" i="16"/>
  <c r="T524" i="16"/>
  <c r="P524" i="16"/>
  <c r="L524" i="16"/>
  <c r="H524" i="16"/>
  <c r="D524" i="16"/>
  <c r="Y523" i="16"/>
  <c r="U523" i="16"/>
  <c r="Q523" i="16"/>
  <c r="M523" i="16"/>
  <c r="I523" i="16"/>
  <c r="E523" i="16"/>
  <c r="A523" i="16"/>
  <c r="V522" i="16"/>
  <c r="R522" i="16"/>
  <c r="N522" i="16"/>
  <c r="J522" i="16"/>
  <c r="F522" i="16"/>
  <c r="B522" i="16"/>
  <c r="W521" i="16"/>
  <c r="S521" i="16"/>
  <c r="O521" i="16"/>
  <c r="K521" i="16"/>
  <c r="G521" i="16"/>
  <c r="C521" i="16"/>
  <c r="X520" i="16"/>
  <c r="T520" i="16"/>
  <c r="P520" i="16"/>
  <c r="L520" i="16"/>
  <c r="H520" i="16"/>
  <c r="D520" i="16"/>
  <c r="Y519" i="16"/>
  <c r="U519" i="16"/>
  <c r="Q519" i="16"/>
  <c r="M519" i="16"/>
  <c r="I519" i="16"/>
  <c r="E519" i="16"/>
  <c r="A519" i="16"/>
  <c r="V518" i="16"/>
  <c r="R518" i="16"/>
  <c r="N518" i="16"/>
  <c r="J518" i="16"/>
  <c r="F518" i="16"/>
  <c r="B518" i="16"/>
  <c r="W517" i="16"/>
  <c r="S517" i="16"/>
  <c r="O517" i="16"/>
  <c r="K517" i="16"/>
  <c r="G517" i="16"/>
  <c r="C517" i="16"/>
  <c r="X516" i="16"/>
  <c r="T516" i="16"/>
  <c r="P516" i="16"/>
  <c r="L516" i="16"/>
  <c r="H516" i="16"/>
  <c r="D516" i="16"/>
  <c r="Y515" i="16"/>
  <c r="U515" i="16"/>
  <c r="Q515" i="16"/>
  <c r="M515" i="16"/>
  <c r="I515" i="16"/>
  <c r="E515" i="16"/>
  <c r="A515" i="16"/>
  <c r="V514" i="16"/>
  <c r="R514" i="16"/>
  <c r="N514" i="16"/>
  <c r="J514" i="16"/>
  <c r="F514" i="16"/>
  <c r="B514" i="16"/>
  <c r="W513" i="16"/>
  <c r="S513" i="16"/>
  <c r="O513" i="16"/>
  <c r="K513" i="16"/>
  <c r="G513" i="16"/>
  <c r="C513" i="16"/>
  <c r="X512" i="16"/>
  <c r="T512" i="16"/>
  <c r="P512" i="16"/>
  <c r="L512" i="16"/>
  <c r="H512" i="16"/>
  <c r="D512" i="16"/>
  <c r="Y511" i="16"/>
  <c r="U511" i="16"/>
  <c r="Q511" i="16"/>
  <c r="M511" i="16"/>
  <c r="I511" i="16"/>
  <c r="E511" i="16"/>
  <c r="A511" i="16"/>
  <c r="V510" i="16"/>
  <c r="R510" i="16"/>
  <c r="N510" i="16"/>
  <c r="J510" i="16"/>
  <c r="F510" i="16"/>
  <c r="B510" i="16"/>
  <c r="W509" i="16"/>
  <c r="S509" i="16"/>
  <c r="O509" i="16"/>
  <c r="K509" i="16"/>
  <c r="G509" i="16"/>
  <c r="C509" i="16"/>
  <c r="X508" i="16"/>
  <c r="T508" i="16"/>
  <c r="P508" i="16"/>
  <c r="L508" i="16"/>
  <c r="H508" i="16"/>
  <c r="D508" i="16"/>
  <c r="Y507" i="16"/>
  <c r="U507" i="16"/>
  <c r="Q507" i="16"/>
  <c r="M507" i="16"/>
  <c r="I507" i="16"/>
  <c r="E507" i="16"/>
  <c r="A507" i="16"/>
  <c r="V506" i="16"/>
  <c r="R506" i="16"/>
  <c r="N506" i="16"/>
  <c r="J506" i="16"/>
  <c r="F506" i="16"/>
  <c r="B506" i="16"/>
  <c r="W505" i="16"/>
  <c r="S505" i="16"/>
  <c r="O505" i="16"/>
  <c r="K505" i="16"/>
  <c r="G505" i="16"/>
  <c r="C505" i="16"/>
  <c r="X504" i="16"/>
  <c r="T504" i="16"/>
  <c r="P504" i="16"/>
  <c r="L504" i="16"/>
  <c r="H504" i="16"/>
  <c r="D504" i="16"/>
  <c r="Y503" i="16"/>
  <c r="U503" i="16"/>
  <c r="Q503" i="16"/>
  <c r="M503" i="16"/>
  <c r="I503" i="16"/>
  <c r="E503" i="16"/>
  <c r="A503" i="16"/>
  <c r="V502" i="16"/>
  <c r="R502" i="16"/>
  <c r="N502" i="16"/>
  <c r="J502" i="16"/>
  <c r="F502" i="16"/>
  <c r="B502" i="16"/>
  <c r="W501" i="16"/>
  <c r="S501" i="16"/>
  <c r="O501" i="16"/>
  <c r="K501" i="16"/>
  <c r="G501" i="16"/>
  <c r="C501" i="16"/>
  <c r="X500" i="16"/>
  <c r="T500" i="16"/>
  <c r="P500" i="16"/>
  <c r="L500" i="16"/>
  <c r="H500" i="16"/>
  <c r="D500" i="16"/>
  <c r="Y499" i="16"/>
  <c r="U499" i="16"/>
  <c r="Q499" i="16"/>
  <c r="M499" i="16"/>
  <c r="I499" i="16"/>
  <c r="E499" i="16"/>
  <c r="A499" i="16"/>
  <c r="V498" i="16"/>
  <c r="R498" i="16"/>
  <c r="N498" i="16"/>
  <c r="J498" i="16"/>
  <c r="F498" i="16"/>
  <c r="B498" i="16"/>
  <c r="W497" i="16"/>
  <c r="S497" i="16"/>
  <c r="O497" i="16"/>
  <c r="K497" i="16"/>
  <c r="G497" i="16"/>
  <c r="C497" i="16"/>
  <c r="X496" i="16"/>
  <c r="T496" i="16"/>
  <c r="P496" i="16"/>
  <c r="L496" i="16"/>
  <c r="H496" i="16"/>
  <c r="D496" i="16"/>
  <c r="Y495" i="16"/>
  <c r="U495" i="16"/>
  <c r="Q495" i="16"/>
  <c r="M495" i="16"/>
  <c r="I495" i="16"/>
  <c r="E495" i="16"/>
  <c r="A495" i="16"/>
  <c r="V494" i="16"/>
  <c r="R494" i="16"/>
  <c r="N494" i="16"/>
  <c r="J494" i="16"/>
  <c r="F494" i="16"/>
  <c r="B494" i="16"/>
  <c r="W493" i="16"/>
  <c r="S493" i="16"/>
  <c r="O493" i="16"/>
  <c r="K493" i="16"/>
  <c r="G493" i="16"/>
  <c r="C493" i="16"/>
  <c r="X492" i="16"/>
  <c r="T492" i="16"/>
  <c r="P492" i="16"/>
  <c r="L492" i="16"/>
  <c r="H492" i="16"/>
  <c r="D492" i="16"/>
  <c r="Y491" i="16"/>
  <c r="U491" i="16"/>
  <c r="Q491" i="16"/>
  <c r="M491" i="16"/>
  <c r="I491" i="16"/>
  <c r="E491" i="16"/>
  <c r="A491" i="16"/>
  <c r="V490" i="16"/>
  <c r="R490" i="16"/>
  <c r="N490" i="16"/>
  <c r="J490" i="16"/>
  <c r="F490" i="16"/>
  <c r="B490" i="16"/>
  <c r="W489" i="16"/>
  <c r="S489" i="16"/>
  <c r="O489" i="16"/>
  <c r="K489" i="16"/>
  <c r="G489" i="16"/>
  <c r="C489" i="16"/>
  <c r="X488" i="16"/>
  <c r="T488" i="16"/>
  <c r="P488" i="16"/>
  <c r="L488" i="16"/>
  <c r="H488" i="16"/>
  <c r="D488" i="16"/>
  <c r="Y487" i="16"/>
  <c r="U487" i="16"/>
  <c r="Q487" i="16"/>
  <c r="M487" i="16"/>
  <c r="I487" i="16"/>
  <c r="E487" i="16"/>
  <c r="A487" i="16"/>
  <c r="V486" i="16"/>
  <c r="R486" i="16"/>
  <c r="N486" i="16"/>
  <c r="J486" i="16"/>
  <c r="F486" i="16"/>
  <c r="B486" i="16"/>
  <c r="W485" i="16"/>
  <c r="S485" i="16"/>
  <c r="O485" i="16"/>
  <c r="K485" i="16"/>
  <c r="G485" i="16"/>
  <c r="C485" i="16"/>
  <c r="X484" i="16"/>
  <c r="T484" i="16"/>
  <c r="P484" i="16"/>
  <c r="L484" i="16"/>
  <c r="H484" i="16"/>
  <c r="D484" i="16"/>
  <c r="Y483" i="16"/>
  <c r="U483" i="16"/>
  <c r="Q483" i="16"/>
  <c r="M483" i="16"/>
  <c r="I483" i="16"/>
  <c r="E483" i="16"/>
  <c r="A483" i="16"/>
  <c r="V482" i="16"/>
  <c r="R482" i="16"/>
  <c r="N482" i="16"/>
  <c r="J482" i="16"/>
  <c r="F482" i="16"/>
  <c r="B482" i="16"/>
  <c r="W481" i="16"/>
  <c r="S481" i="16"/>
  <c r="O481" i="16"/>
  <c r="K481" i="16"/>
  <c r="G481" i="16"/>
  <c r="C481" i="16"/>
  <c r="X480" i="16"/>
  <c r="T480" i="16"/>
  <c r="P480" i="16"/>
  <c r="L480" i="16"/>
  <c r="H480" i="16"/>
  <c r="D480" i="16"/>
  <c r="Y479" i="16"/>
  <c r="U479" i="16"/>
  <c r="Q479" i="16"/>
  <c r="M479" i="16"/>
  <c r="I479" i="16"/>
  <c r="E479" i="16"/>
  <c r="A479" i="16"/>
  <c r="V478" i="16"/>
  <c r="R478" i="16"/>
  <c r="N478" i="16"/>
  <c r="J478" i="16"/>
  <c r="F478" i="16"/>
  <c r="B478" i="16"/>
  <c r="W477" i="16"/>
  <c r="S477" i="16"/>
  <c r="O477" i="16"/>
  <c r="K477" i="16"/>
  <c r="G477" i="16"/>
  <c r="C477" i="16"/>
  <c r="X476" i="16"/>
  <c r="T476" i="16"/>
  <c r="P476" i="16"/>
  <c r="L476" i="16"/>
  <c r="H476" i="16"/>
  <c r="D476" i="16"/>
  <c r="Y475" i="16"/>
  <c r="U475" i="16"/>
  <c r="Q475" i="16"/>
  <c r="M475" i="16"/>
  <c r="I475" i="16"/>
  <c r="E475" i="16"/>
  <c r="A475" i="16"/>
  <c r="V474" i="16"/>
  <c r="R474" i="16"/>
  <c r="N474" i="16"/>
  <c r="J474" i="16"/>
  <c r="F474" i="16"/>
  <c r="B474" i="16"/>
  <c r="W473" i="16"/>
  <c r="S473" i="16"/>
  <c r="O473" i="16"/>
  <c r="K473" i="16"/>
  <c r="G473" i="16"/>
  <c r="C473" i="16"/>
  <c r="X472" i="16"/>
  <c r="T472" i="16"/>
  <c r="P472" i="16"/>
  <c r="L472" i="16"/>
  <c r="H472" i="16"/>
  <c r="D472" i="16"/>
  <c r="Y471" i="16"/>
  <c r="U471" i="16"/>
  <c r="Q471" i="16"/>
  <c r="M471" i="16"/>
  <c r="I471" i="16"/>
  <c r="E471" i="16"/>
  <c r="A471" i="16"/>
  <c r="V470" i="16"/>
  <c r="R470" i="16"/>
  <c r="N470" i="16"/>
  <c r="J470" i="16"/>
  <c r="F470" i="16"/>
  <c r="B470" i="16"/>
  <c r="W469" i="16"/>
  <c r="S469" i="16"/>
  <c r="O469" i="16"/>
  <c r="K469" i="16"/>
  <c r="G469" i="16"/>
  <c r="C469" i="16"/>
  <c r="X468" i="16"/>
  <c r="T468" i="16"/>
  <c r="P468" i="16"/>
  <c r="L468" i="16"/>
  <c r="H468" i="16"/>
  <c r="D468" i="16"/>
  <c r="Y467" i="16"/>
  <c r="U467" i="16"/>
  <c r="Q467" i="16"/>
  <c r="M467" i="16"/>
  <c r="I467" i="16"/>
  <c r="E467" i="16"/>
  <c r="A467" i="16"/>
  <c r="V466" i="16"/>
  <c r="R466" i="16"/>
  <c r="N466" i="16"/>
  <c r="J466" i="16"/>
  <c r="F466" i="16"/>
  <c r="B466" i="16"/>
  <c r="W465" i="16"/>
  <c r="S465" i="16"/>
  <c r="O465" i="16"/>
  <c r="K465" i="16"/>
  <c r="G465" i="16"/>
  <c r="C465" i="16"/>
  <c r="X464" i="16"/>
  <c r="T464" i="16"/>
  <c r="P464" i="16"/>
  <c r="L464" i="16"/>
  <c r="H464" i="16"/>
  <c r="D464" i="16"/>
  <c r="Y463" i="16"/>
  <c r="U463" i="16"/>
  <c r="Q463" i="16"/>
  <c r="M463" i="16"/>
  <c r="I463" i="16"/>
  <c r="E463" i="16"/>
  <c r="A463" i="16"/>
  <c r="V462" i="16"/>
  <c r="R462" i="16"/>
  <c r="N462" i="16"/>
  <c r="J462" i="16"/>
  <c r="F462" i="16"/>
  <c r="B462" i="16"/>
  <c r="W461" i="16"/>
  <c r="S461" i="16"/>
  <c r="O461" i="16"/>
  <c r="K461" i="16"/>
  <c r="G461" i="16"/>
  <c r="C461" i="16"/>
  <c r="X460" i="16"/>
  <c r="T460" i="16"/>
  <c r="P460" i="16"/>
  <c r="L460" i="16"/>
  <c r="H460" i="16"/>
  <c r="D460" i="16"/>
  <c r="Y459" i="16"/>
  <c r="U459" i="16"/>
  <c r="Q459" i="16"/>
  <c r="M459" i="16"/>
  <c r="I459" i="16"/>
  <c r="E459" i="16"/>
  <c r="A459" i="16"/>
  <c r="V458" i="16"/>
  <c r="R458" i="16"/>
  <c r="N458" i="16"/>
  <c r="J458" i="16"/>
  <c r="F458" i="16"/>
  <c r="B458" i="16"/>
  <c r="W457" i="16"/>
  <c r="S457" i="16"/>
  <c r="O457" i="16"/>
  <c r="K457" i="16"/>
  <c r="G457" i="16"/>
  <c r="C457" i="16"/>
  <c r="X456" i="16"/>
  <c r="T456" i="16"/>
  <c r="P456" i="16"/>
  <c r="L456" i="16"/>
  <c r="H456" i="16"/>
  <c r="D456" i="16"/>
  <c r="Y455" i="16"/>
  <c r="U455" i="16"/>
  <c r="Q455" i="16"/>
  <c r="M455" i="16"/>
  <c r="I455" i="16"/>
  <c r="E455" i="16"/>
  <c r="A455" i="16"/>
  <c r="V454" i="16"/>
  <c r="R454" i="16"/>
  <c r="N454" i="16"/>
  <c r="J454" i="16"/>
  <c r="F454" i="16"/>
  <c r="B454" i="16"/>
  <c r="W453" i="16"/>
  <c r="S453" i="16"/>
  <c r="O453" i="16"/>
  <c r="K453" i="16"/>
  <c r="G453" i="16"/>
  <c r="C453" i="16"/>
  <c r="X452" i="16"/>
  <c r="T452" i="16"/>
  <c r="P452" i="16"/>
  <c r="L452" i="16"/>
  <c r="H452" i="16"/>
  <c r="D452" i="16"/>
  <c r="Y451" i="16"/>
  <c r="U451" i="16"/>
  <c r="Q451" i="16"/>
  <c r="M451" i="16"/>
  <c r="I451" i="16"/>
  <c r="E451" i="16"/>
  <c r="A451" i="16"/>
  <c r="V450" i="16"/>
  <c r="R450" i="16"/>
  <c r="N450" i="16"/>
  <c r="J450" i="16"/>
  <c r="F450" i="16"/>
  <c r="B450" i="16"/>
  <c r="W449" i="16"/>
  <c r="S449" i="16"/>
  <c r="O449" i="16"/>
  <c r="K449" i="16"/>
  <c r="G449" i="16"/>
  <c r="C449" i="16"/>
  <c r="X448" i="16"/>
  <c r="T448" i="16"/>
  <c r="P448" i="16"/>
  <c r="L448" i="16"/>
  <c r="H448" i="16"/>
  <c r="D448" i="16"/>
  <c r="Y447" i="16"/>
  <c r="U447" i="16"/>
  <c r="Q447" i="16"/>
  <c r="M447" i="16"/>
  <c r="I447" i="16"/>
  <c r="E447" i="16"/>
  <c r="A447" i="16"/>
  <c r="V446" i="16"/>
  <c r="R446" i="16"/>
  <c r="N446" i="16"/>
  <c r="J446" i="16"/>
  <c r="F446" i="16"/>
  <c r="B446" i="16"/>
  <c r="W445" i="16"/>
  <c r="S445" i="16"/>
  <c r="O445" i="16"/>
  <c r="K445" i="16"/>
  <c r="G445" i="16"/>
  <c r="C445" i="16"/>
  <c r="X444" i="16"/>
  <c r="T444" i="16"/>
  <c r="P444" i="16"/>
  <c r="L444" i="16"/>
  <c r="H444" i="16"/>
  <c r="D444" i="16"/>
  <c r="Y443" i="16"/>
  <c r="U443" i="16"/>
  <c r="Q443" i="16"/>
  <c r="M443" i="16"/>
  <c r="I443" i="16"/>
  <c r="E443" i="16"/>
  <c r="A443" i="16"/>
  <c r="V442" i="16"/>
  <c r="R442" i="16"/>
  <c r="N442" i="16"/>
  <c r="J442" i="16"/>
  <c r="F442" i="16"/>
  <c r="B442" i="16"/>
  <c r="W441" i="16"/>
  <c r="S441" i="16"/>
  <c r="O441" i="16"/>
  <c r="K441" i="16"/>
  <c r="G441" i="16"/>
  <c r="C441" i="16"/>
  <c r="X440" i="16"/>
  <c r="T440" i="16"/>
  <c r="P440" i="16"/>
  <c r="L440" i="16"/>
  <c r="H440" i="16"/>
  <c r="D440" i="16"/>
  <c r="Y439" i="16"/>
  <c r="U439" i="16"/>
  <c r="Q439" i="16"/>
  <c r="M439" i="16"/>
  <c r="I439" i="16"/>
  <c r="E439" i="16"/>
  <c r="A439" i="16"/>
  <c r="V438" i="16"/>
  <c r="R438" i="16"/>
  <c r="N438" i="16"/>
  <c r="J438" i="16"/>
  <c r="F438" i="16"/>
  <c r="B438" i="16"/>
  <c r="W437" i="16"/>
  <c r="S437" i="16"/>
  <c r="O437" i="16"/>
  <c r="K437" i="16"/>
  <c r="G437" i="16"/>
  <c r="C437" i="16"/>
  <c r="X436" i="16"/>
  <c r="T436" i="16"/>
  <c r="P436" i="16"/>
  <c r="L436" i="16"/>
  <c r="H436" i="16"/>
  <c r="D436" i="16"/>
  <c r="Y435" i="16"/>
  <c r="U435" i="16"/>
  <c r="Q435" i="16"/>
  <c r="M435" i="16"/>
  <c r="I435" i="16"/>
  <c r="E435" i="16"/>
  <c r="A435" i="16"/>
  <c r="V434" i="16"/>
  <c r="R434" i="16"/>
  <c r="N434" i="16"/>
  <c r="J434" i="16"/>
  <c r="F434" i="16"/>
  <c r="B434" i="16"/>
  <c r="W433" i="16"/>
  <c r="S433" i="16"/>
  <c r="O433" i="16"/>
  <c r="K433" i="16"/>
  <c r="G433" i="16"/>
  <c r="C433" i="16"/>
  <c r="X432" i="16"/>
  <c r="T432" i="16"/>
  <c r="P432" i="16"/>
  <c r="L432" i="16"/>
  <c r="H432" i="16"/>
  <c r="D432" i="16"/>
  <c r="Y431" i="16"/>
  <c r="U431" i="16"/>
  <c r="Q431" i="16"/>
  <c r="M431" i="16"/>
  <c r="I431" i="16"/>
  <c r="E431" i="16"/>
  <c r="A431" i="16"/>
  <c r="V430" i="16"/>
  <c r="R430" i="16"/>
  <c r="N430" i="16"/>
  <c r="J430" i="16"/>
  <c r="F430" i="16"/>
  <c r="B430" i="16"/>
  <c r="W429" i="16"/>
  <c r="S429" i="16"/>
  <c r="O429" i="16"/>
  <c r="K429" i="16"/>
  <c r="G429" i="16"/>
  <c r="C429" i="16"/>
  <c r="X428" i="16"/>
  <c r="T428" i="16"/>
  <c r="P428" i="16"/>
  <c r="L428" i="16"/>
  <c r="H428" i="16"/>
  <c r="D428" i="16"/>
  <c r="Y427" i="16"/>
  <c r="U427" i="16"/>
  <c r="Q427" i="16"/>
  <c r="M427" i="16"/>
  <c r="I427" i="16"/>
  <c r="E427" i="16"/>
  <c r="A427" i="16"/>
  <c r="V426" i="16"/>
  <c r="R426" i="16"/>
  <c r="N426" i="16"/>
  <c r="J426" i="16"/>
  <c r="F426" i="16"/>
  <c r="B426" i="16"/>
  <c r="W425" i="16"/>
  <c r="S425" i="16"/>
  <c r="O425" i="16"/>
  <c r="K425" i="16"/>
  <c r="G425" i="16"/>
  <c r="C425" i="16"/>
  <c r="X424" i="16"/>
  <c r="T424" i="16"/>
  <c r="P424" i="16"/>
  <c r="L424" i="16"/>
  <c r="H424" i="16"/>
  <c r="D424" i="16"/>
  <c r="Y423" i="16"/>
  <c r="U423" i="16"/>
  <c r="Q423" i="16"/>
  <c r="M423" i="16"/>
  <c r="I423" i="16"/>
  <c r="E423" i="16"/>
  <c r="A423" i="16"/>
  <c r="V422" i="16"/>
  <c r="R422" i="16"/>
  <c r="N422" i="16"/>
  <c r="J422" i="16"/>
  <c r="F422" i="16"/>
  <c r="B422" i="16"/>
  <c r="W421" i="16"/>
  <c r="S421" i="16"/>
  <c r="O421" i="16"/>
  <c r="K421" i="16"/>
  <c r="G421" i="16"/>
  <c r="C421" i="16"/>
  <c r="X420" i="16"/>
  <c r="T420" i="16"/>
  <c r="P420" i="16"/>
  <c r="L420" i="16"/>
  <c r="H420" i="16"/>
  <c r="D420" i="16"/>
  <c r="Y419" i="16"/>
  <c r="U419" i="16"/>
  <c r="Q419" i="16"/>
  <c r="M419" i="16"/>
  <c r="I419" i="16"/>
  <c r="E419" i="16"/>
  <c r="A419" i="16"/>
  <c r="V418" i="16"/>
  <c r="R418" i="16"/>
  <c r="N418" i="16"/>
  <c r="J418" i="16"/>
  <c r="F418" i="16"/>
  <c r="B418" i="16"/>
  <c r="W417" i="16"/>
  <c r="S417" i="16"/>
  <c r="O417" i="16"/>
  <c r="K417" i="16"/>
  <c r="G417" i="16"/>
  <c r="C417" i="16"/>
  <c r="X416" i="16"/>
  <c r="T416" i="16"/>
  <c r="P416" i="16"/>
  <c r="L416" i="16"/>
  <c r="H416" i="16"/>
  <c r="D416" i="16"/>
  <c r="Y415" i="16"/>
  <c r="U415" i="16"/>
  <c r="Q415" i="16"/>
  <c r="M415" i="16"/>
  <c r="I415" i="16"/>
  <c r="E415" i="16"/>
  <c r="A415" i="16"/>
  <c r="V414" i="16"/>
  <c r="R414" i="16"/>
  <c r="N414" i="16"/>
  <c r="J414" i="16"/>
  <c r="F414" i="16"/>
  <c r="B414" i="16"/>
  <c r="W413" i="16"/>
  <c r="S413" i="16"/>
  <c r="O413" i="16"/>
  <c r="K413" i="16"/>
  <c r="G413" i="16"/>
  <c r="C413" i="16"/>
  <c r="X412" i="16"/>
  <c r="T412" i="16"/>
  <c r="P412" i="16"/>
  <c r="L412" i="16"/>
  <c r="H412" i="16"/>
  <c r="D412" i="16"/>
  <c r="Y411" i="16"/>
  <c r="U411" i="16"/>
  <c r="Q411" i="16"/>
  <c r="M411" i="16"/>
  <c r="I411" i="16"/>
  <c r="E411" i="16"/>
  <c r="A411" i="16"/>
  <c r="V410" i="16"/>
  <c r="R410" i="16"/>
  <c r="N410" i="16"/>
  <c r="J410" i="16"/>
  <c r="F410" i="16"/>
  <c r="B410" i="16"/>
  <c r="W409" i="16"/>
  <c r="S409" i="16"/>
  <c r="O409" i="16"/>
  <c r="K409" i="16"/>
  <c r="G409" i="16"/>
  <c r="C409" i="16"/>
  <c r="X408" i="16"/>
  <c r="T408" i="16"/>
  <c r="P408" i="16"/>
  <c r="L408" i="16"/>
  <c r="H408" i="16"/>
  <c r="D408" i="16"/>
  <c r="Y407" i="16"/>
  <c r="U407" i="16"/>
  <c r="Q407" i="16"/>
  <c r="M407" i="16"/>
  <c r="I407" i="16"/>
  <c r="E407" i="16"/>
  <c r="A407" i="16"/>
  <c r="V406" i="16"/>
  <c r="R406" i="16"/>
  <c r="N406" i="16"/>
  <c r="J406" i="16"/>
  <c r="F406" i="16"/>
  <c r="B406" i="16"/>
  <c r="W405" i="16"/>
  <c r="S405" i="16"/>
  <c r="O405" i="16"/>
  <c r="K405" i="16"/>
  <c r="G405" i="16"/>
  <c r="C405" i="16"/>
  <c r="X404" i="16"/>
  <c r="T404" i="16"/>
  <c r="P404" i="16"/>
  <c r="L404" i="16"/>
  <c r="H404" i="16"/>
  <c r="D404" i="16"/>
  <c r="Y403" i="16"/>
  <c r="U403" i="16"/>
  <c r="Q403" i="16"/>
  <c r="M403" i="16"/>
  <c r="I403" i="16"/>
  <c r="E403" i="16"/>
  <c r="A403" i="16"/>
  <c r="V402" i="16"/>
  <c r="R402" i="16"/>
  <c r="N402" i="16"/>
  <c r="J402" i="16"/>
  <c r="F402" i="16"/>
  <c r="B402" i="16"/>
  <c r="W401" i="16"/>
  <c r="S401" i="16"/>
  <c r="O401" i="16"/>
  <c r="K401" i="16"/>
  <c r="G401" i="16"/>
  <c r="C401" i="16"/>
  <c r="X400" i="16"/>
  <c r="T400" i="16"/>
  <c r="P400" i="16"/>
  <c r="L400" i="16"/>
  <c r="H400" i="16"/>
  <c r="D400" i="16"/>
  <c r="Y399" i="16"/>
  <c r="U399" i="16"/>
  <c r="Q399" i="16"/>
  <c r="M399" i="16"/>
  <c r="I399" i="16"/>
  <c r="E399" i="16"/>
  <c r="A399" i="16"/>
  <c r="V398" i="16"/>
  <c r="R398" i="16"/>
  <c r="N398" i="16"/>
  <c r="J398" i="16"/>
  <c r="F398" i="16"/>
  <c r="B398" i="16"/>
  <c r="W397" i="16"/>
  <c r="S397" i="16"/>
  <c r="O397" i="16"/>
  <c r="K397" i="16"/>
  <c r="G397" i="16"/>
  <c r="C397" i="16"/>
  <c r="X396" i="16"/>
  <c r="T396" i="16"/>
  <c r="P396" i="16"/>
  <c r="L396" i="16"/>
  <c r="H396" i="16"/>
  <c r="D396" i="16"/>
  <c r="Y395" i="16"/>
  <c r="U395" i="16"/>
  <c r="Q395" i="16"/>
  <c r="M395" i="16"/>
  <c r="I395" i="16"/>
  <c r="E395" i="16"/>
  <c r="A395" i="16"/>
  <c r="V394" i="16"/>
  <c r="R394" i="16"/>
  <c r="N394" i="16"/>
  <c r="J394" i="16"/>
  <c r="F394" i="16"/>
  <c r="B394" i="16"/>
  <c r="W393" i="16"/>
  <c r="S393" i="16"/>
  <c r="O393" i="16"/>
  <c r="K393" i="16"/>
  <c r="G393" i="16"/>
  <c r="C393" i="16"/>
  <c r="X392" i="16"/>
  <c r="T392" i="16"/>
  <c r="P392" i="16"/>
  <c r="L392" i="16"/>
  <c r="H392" i="16"/>
  <c r="D392" i="16"/>
  <c r="Y391" i="16"/>
  <c r="U391" i="16"/>
  <c r="Q391" i="16"/>
  <c r="M391" i="16"/>
  <c r="I391" i="16"/>
  <c r="E391" i="16"/>
  <c r="A391" i="16"/>
  <c r="V390" i="16"/>
  <c r="R390" i="16"/>
  <c r="N390" i="16"/>
  <c r="J390" i="16"/>
  <c r="F390" i="16"/>
  <c r="B390" i="16"/>
  <c r="W389" i="16"/>
  <c r="S389" i="16"/>
  <c r="O389" i="16"/>
  <c r="K389" i="16"/>
  <c r="G389" i="16"/>
  <c r="C389" i="16"/>
  <c r="X388" i="16"/>
  <c r="T388" i="16"/>
  <c r="P388" i="16"/>
  <c r="L388" i="16"/>
  <c r="H388" i="16"/>
  <c r="D388" i="16"/>
  <c r="Y387" i="16"/>
  <c r="U387" i="16"/>
  <c r="Q387" i="16"/>
  <c r="M387" i="16"/>
  <c r="I387" i="16"/>
  <c r="E387" i="16"/>
  <c r="A387" i="16"/>
  <c r="V386" i="16"/>
  <c r="R386" i="16"/>
  <c r="N386" i="16"/>
  <c r="J386" i="16"/>
  <c r="F386" i="16"/>
  <c r="B386" i="16"/>
  <c r="W385" i="16"/>
  <c r="S385" i="16"/>
  <c r="O385" i="16"/>
  <c r="K385" i="16"/>
  <c r="G385" i="16"/>
  <c r="C385" i="16"/>
  <c r="X384" i="16"/>
  <c r="T384" i="16"/>
  <c r="P384" i="16"/>
  <c r="L384" i="16"/>
  <c r="H384" i="16"/>
  <c r="D384" i="16"/>
  <c r="Y383" i="16"/>
  <c r="U383" i="16"/>
  <c r="Q383" i="16"/>
  <c r="M383" i="16"/>
  <c r="I383" i="16"/>
  <c r="E383" i="16"/>
  <c r="A383" i="16"/>
  <c r="V382" i="16"/>
  <c r="R382" i="16"/>
  <c r="N382" i="16"/>
  <c r="J382" i="16"/>
  <c r="F382" i="16"/>
  <c r="B382" i="16"/>
  <c r="W381" i="16"/>
  <c r="S381" i="16"/>
  <c r="O381" i="16"/>
  <c r="K381" i="16"/>
  <c r="G381" i="16"/>
  <c r="C381" i="16"/>
  <c r="X380" i="16"/>
  <c r="T380" i="16"/>
  <c r="P380" i="16"/>
  <c r="L380" i="16"/>
  <c r="H380" i="16"/>
  <c r="D380" i="16"/>
  <c r="Y379" i="16"/>
  <c r="U379" i="16"/>
  <c r="Q379" i="16"/>
  <c r="M379" i="16"/>
  <c r="I379" i="16"/>
  <c r="E379" i="16"/>
  <c r="A379" i="16"/>
  <c r="V378" i="16"/>
  <c r="R378" i="16"/>
  <c r="N378" i="16"/>
  <c r="J378" i="16"/>
  <c r="F378" i="16"/>
  <c r="B378" i="16"/>
  <c r="W377" i="16"/>
  <c r="S377" i="16"/>
  <c r="O377" i="16"/>
  <c r="K377" i="16"/>
  <c r="G377" i="16"/>
  <c r="C377" i="16"/>
  <c r="X376" i="16"/>
  <c r="T376" i="16"/>
  <c r="P376" i="16"/>
  <c r="L376" i="16"/>
  <c r="H376" i="16"/>
  <c r="D376" i="16"/>
  <c r="Y375" i="16"/>
  <c r="U375" i="16"/>
  <c r="Q375" i="16"/>
  <c r="M375" i="16"/>
  <c r="I375" i="16"/>
  <c r="E375" i="16"/>
  <c r="A375" i="16"/>
  <c r="V374" i="16"/>
  <c r="R374" i="16"/>
  <c r="N374" i="16"/>
  <c r="J374" i="16"/>
  <c r="F374" i="16"/>
  <c r="B374" i="16"/>
  <c r="W373" i="16"/>
  <c r="S373" i="16"/>
  <c r="O373" i="16"/>
  <c r="K373" i="16"/>
  <c r="G373" i="16"/>
  <c r="C373" i="16"/>
  <c r="X372" i="16"/>
  <c r="T372" i="16"/>
  <c r="P372" i="16"/>
  <c r="L372" i="16"/>
  <c r="H372" i="16"/>
  <c r="D372" i="16"/>
  <c r="Y371" i="16"/>
  <c r="U371" i="16"/>
  <c r="Q371" i="16"/>
  <c r="M371" i="16"/>
  <c r="I371" i="16"/>
  <c r="E371" i="16"/>
  <c r="A371" i="16"/>
  <c r="V370" i="16"/>
  <c r="R370" i="16"/>
  <c r="N370" i="16"/>
  <c r="J370" i="16"/>
  <c r="F370" i="16"/>
  <c r="B370" i="16"/>
  <c r="W369" i="16"/>
  <c r="S369" i="16"/>
  <c r="O369" i="16"/>
  <c r="K369" i="16"/>
  <c r="G369" i="16"/>
  <c r="C369" i="16"/>
  <c r="X368" i="16"/>
  <c r="T368" i="16"/>
  <c r="P368" i="16"/>
  <c r="L368" i="16"/>
  <c r="H368" i="16"/>
  <c r="D368" i="16"/>
  <c r="Y367" i="16"/>
  <c r="U367" i="16"/>
  <c r="Q367" i="16"/>
  <c r="M367" i="16"/>
  <c r="I367" i="16"/>
  <c r="E367" i="16"/>
  <c r="A367" i="16"/>
  <c r="V366" i="16"/>
  <c r="R366" i="16"/>
  <c r="N366" i="16"/>
  <c r="J366" i="16"/>
  <c r="F366" i="16"/>
  <c r="B366" i="16"/>
  <c r="W365" i="16"/>
  <c r="S365" i="16"/>
  <c r="O365" i="16"/>
  <c r="K365" i="16"/>
  <c r="G365" i="16"/>
  <c r="C365" i="16"/>
  <c r="X364" i="16"/>
  <c r="T364" i="16"/>
  <c r="P364" i="16"/>
  <c r="L364" i="16"/>
  <c r="H364" i="16"/>
  <c r="D364" i="16"/>
  <c r="Y363" i="16"/>
  <c r="U363" i="16"/>
  <c r="Q363" i="16"/>
  <c r="M363" i="16"/>
  <c r="I363" i="16"/>
  <c r="E363" i="16"/>
  <c r="A363" i="16"/>
  <c r="V362" i="16"/>
  <c r="R362" i="16"/>
  <c r="N362" i="16"/>
  <c r="J362" i="16"/>
  <c r="F362" i="16"/>
  <c r="B362" i="16"/>
  <c r="W361" i="16"/>
  <c r="S361" i="16"/>
  <c r="O361" i="16"/>
  <c r="K361" i="16"/>
  <c r="G361" i="16"/>
  <c r="C361" i="16"/>
  <c r="X360" i="16"/>
  <c r="T360" i="16"/>
  <c r="P360" i="16"/>
  <c r="L360" i="16"/>
  <c r="H360" i="16"/>
  <c r="D360" i="16"/>
  <c r="Y359" i="16"/>
  <c r="U359" i="16"/>
  <c r="Q359" i="16"/>
  <c r="M359" i="16"/>
  <c r="I359" i="16"/>
  <c r="E359" i="16"/>
  <c r="A359" i="16"/>
  <c r="V358" i="16"/>
  <c r="R358" i="16"/>
  <c r="N358" i="16"/>
  <c r="J358" i="16"/>
  <c r="F358" i="16"/>
  <c r="B358" i="16"/>
  <c r="W357" i="16"/>
  <c r="S357" i="16"/>
  <c r="O357" i="16"/>
  <c r="K357" i="16"/>
  <c r="G357" i="16"/>
  <c r="C357" i="16"/>
  <c r="X356" i="16"/>
  <c r="T356" i="16"/>
  <c r="P356" i="16"/>
  <c r="L356" i="16"/>
  <c r="H356" i="16"/>
  <c r="D356" i="16"/>
  <c r="Y355" i="16"/>
  <c r="U355" i="16"/>
  <c r="Q355" i="16"/>
  <c r="M355" i="16"/>
  <c r="I355" i="16"/>
  <c r="E355" i="16"/>
  <c r="A355" i="16"/>
  <c r="V354" i="16"/>
  <c r="R354" i="16"/>
  <c r="N354" i="16"/>
  <c r="J354" i="16"/>
  <c r="F354" i="16"/>
  <c r="B354" i="16"/>
  <c r="W353" i="16"/>
  <c r="S353" i="16"/>
  <c r="O353" i="16"/>
  <c r="K353" i="16"/>
  <c r="G353" i="16"/>
  <c r="C353" i="16"/>
  <c r="X352" i="16"/>
  <c r="T352" i="16"/>
  <c r="P352" i="16"/>
  <c r="L352" i="16"/>
  <c r="H352" i="16"/>
  <c r="D352" i="16"/>
  <c r="Y351" i="16"/>
  <c r="U351" i="16"/>
  <c r="Q351" i="16"/>
  <c r="M351" i="16"/>
  <c r="I351" i="16"/>
  <c r="E351" i="16"/>
  <c r="A351" i="16"/>
  <c r="V350" i="16"/>
  <c r="R350" i="16"/>
  <c r="N350" i="16"/>
  <c r="J350" i="16"/>
  <c r="F350" i="16"/>
  <c r="B350" i="16"/>
  <c r="W349" i="16"/>
  <c r="S349" i="16"/>
  <c r="O349" i="16"/>
  <c r="K349" i="16"/>
  <c r="G349" i="16"/>
  <c r="C349" i="16"/>
  <c r="X348" i="16"/>
  <c r="T348" i="16"/>
  <c r="P348" i="16"/>
  <c r="L348" i="16"/>
  <c r="H348" i="16"/>
  <c r="D348" i="16"/>
  <c r="Y347" i="16"/>
  <c r="U347" i="16"/>
  <c r="Q347" i="16"/>
  <c r="M347" i="16"/>
  <c r="I347" i="16"/>
  <c r="E347" i="16"/>
  <c r="A347" i="16"/>
  <c r="V346" i="16"/>
  <c r="R346" i="16"/>
  <c r="N346" i="16"/>
  <c r="J346" i="16"/>
  <c r="F346" i="16"/>
  <c r="B346" i="16"/>
  <c r="W345" i="16"/>
  <c r="S345" i="16"/>
  <c r="O345" i="16"/>
  <c r="K345" i="16"/>
  <c r="G345" i="16"/>
  <c r="C345" i="16"/>
  <c r="X344" i="16"/>
  <c r="T344" i="16"/>
  <c r="P344" i="16"/>
  <c r="L344" i="16"/>
  <c r="H344" i="16"/>
  <c r="D344" i="16"/>
  <c r="Y343" i="16"/>
  <c r="U343" i="16"/>
  <c r="Q343" i="16"/>
  <c r="M343" i="16"/>
  <c r="I343" i="16"/>
  <c r="E343" i="16"/>
  <c r="A343" i="16"/>
  <c r="V342" i="16"/>
  <c r="R342" i="16"/>
  <c r="N342" i="16"/>
  <c r="J342" i="16"/>
  <c r="F342" i="16"/>
  <c r="B342" i="16"/>
  <c r="W341" i="16"/>
  <c r="S341" i="16"/>
  <c r="O341" i="16"/>
  <c r="K341" i="16"/>
  <c r="G341" i="16"/>
  <c r="C341" i="16"/>
  <c r="X340" i="16"/>
  <c r="T340" i="16"/>
  <c r="P340" i="16"/>
  <c r="L340" i="16"/>
  <c r="H340" i="16"/>
  <c r="D340" i="16"/>
  <c r="Y339" i="16"/>
  <c r="U339" i="16"/>
  <c r="Q339" i="16"/>
  <c r="M339" i="16"/>
  <c r="I339" i="16"/>
  <c r="E339" i="16"/>
  <c r="A339" i="16"/>
  <c r="V338" i="16"/>
  <c r="R338" i="16"/>
  <c r="N338" i="16"/>
  <c r="J338" i="16"/>
  <c r="F338" i="16"/>
  <c r="B338" i="16"/>
  <c r="W337" i="16"/>
  <c r="S337" i="16"/>
  <c r="O337" i="16"/>
  <c r="K337" i="16"/>
  <c r="G337" i="16"/>
  <c r="C337" i="16"/>
  <c r="X336" i="16"/>
  <c r="T336" i="16"/>
  <c r="P336" i="16"/>
  <c r="L336" i="16"/>
  <c r="H336" i="16"/>
  <c r="D336" i="16"/>
  <c r="Y335" i="16"/>
  <c r="U335" i="16"/>
  <c r="Q335" i="16"/>
  <c r="M335" i="16"/>
  <c r="I335" i="16"/>
  <c r="E335" i="16"/>
  <c r="A335" i="16"/>
  <c r="V334" i="16"/>
  <c r="R334" i="16"/>
  <c r="N334" i="16"/>
  <c r="J334" i="16"/>
  <c r="F334" i="16"/>
  <c r="B334" i="16"/>
  <c r="W333" i="16"/>
  <c r="S333" i="16"/>
  <c r="O333" i="16"/>
  <c r="K333" i="16"/>
  <c r="G333" i="16"/>
  <c r="C333" i="16"/>
  <c r="X332" i="16"/>
  <c r="T332" i="16"/>
  <c r="P332" i="16"/>
  <c r="L332" i="16"/>
  <c r="H332" i="16"/>
  <c r="D332" i="16"/>
  <c r="Y331" i="16"/>
  <c r="U331" i="16"/>
  <c r="Q331" i="16"/>
  <c r="M331" i="16"/>
  <c r="I331" i="16"/>
  <c r="E331" i="16"/>
  <c r="A331" i="16"/>
  <c r="V330" i="16"/>
  <c r="R330" i="16"/>
  <c r="N330" i="16"/>
  <c r="J330" i="16"/>
  <c r="F330" i="16"/>
  <c r="B330" i="16"/>
  <c r="W329" i="16"/>
  <c r="S329" i="16"/>
  <c r="O329" i="16"/>
  <c r="K329" i="16"/>
  <c r="G329" i="16"/>
  <c r="C329" i="16"/>
  <c r="X328" i="16"/>
  <c r="T328" i="16"/>
  <c r="P328" i="16"/>
  <c r="L328" i="16"/>
  <c r="H328" i="16"/>
  <c r="D328" i="16"/>
  <c r="Y327" i="16"/>
  <c r="U327" i="16"/>
  <c r="Q327" i="16"/>
  <c r="M327" i="16"/>
  <c r="I327" i="16"/>
  <c r="E327" i="16"/>
  <c r="A327" i="16"/>
  <c r="V326" i="16"/>
  <c r="R326" i="16"/>
  <c r="N326" i="16"/>
  <c r="J326" i="16"/>
  <c r="F326" i="16"/>
  <c r="B326" i="16"/>
  <c r="W325" i="16"/>
  <c r="S325" i="16"/>
  <c r="O325" i="16"/>
  <c r="K325" i="16"/>
  <c r="G325" i="16"/>
  <c r="C325" i="16"/>
  <c r="X324" i="16"/>
  <c r="T324" i="16"/>
  <c r="P324" i="16"/>
  <c r="L324" i="16"/>
  <c r="H324" i="16"/>
  <c r="D324" i="16"/>
  <c r="Y323" i="16"/>
  <c r="U323" i="16"/>
  <c r="Q323" i="16"/>
  <c r="M323" i="16"/>
  <c r="I323" i="16"/>
  <c r="E323" i="16"/>
  <c r="A323" i="16"/>
  <c r="V322" i="16"/>
  <c r="R322" i="16"/>
  <c r="N322" i="16"/>
  <c r="J322" i="16"/>
  <c r="F322" i="16"/>
  <c r="B322" i="16"/>
  <c r="W321" i="16"/>
  <c r="S321" i="16"/>
  <c r="O321" i="16"/>
  <c r="K321" i="16"/>
  <c r="G321" i="16"/>
  <c r="C321" i="16"/>
  <c r="X320" i="16"/>
  <c r="T320" i="16"/>
  <c r="P320" i="16"/>
  <c r="L320" i="16"/>
  <c r="H320" i="16"/>
  <c r="D320" i="16"/>
  <c r="Y319" i="16"/>
  <c r="U319" i="16"/>
  <c r="Q319" i="16"/>
  <c r="M319" i="16"/>
  <c r="I319" i="16"/>
  <c r="E319" i="16"/>
  <c r="A319" i="16"/>
  <c r="V318" i="16"/>
  <c r="R318" i="16"/>
  <c r="N318" i="16"/>
  <c r="J318" i="16"/>
  <c r="F318" i="16"/>
  <c r="B318" i="16"/>
  <c r="W317" i="16"/>
  <c r="S317" i="16"/>
  <c r="O317" i="16"/>
  <c r="K317" i="16"/>
  <c r="G317" i="16"/>
  <c r="C317" i="16"/>
  <c r="X316" i="16"/>
  <c r="T316" i="16"/>
  <c r="P316" i="16"/>
  <c r="L316" i="16"/>
  <c r="H316" i="16"/>
  <c r="D316" i="16"/>
  <c r="Y315" i="16"/>
  <c r="U315" i="16"/>
  <c r="Q315" i="16"/>
  <c r="M315" i="16"/>
  <c r="I315" i="16"/>
  <c r="E315" i="16"/>
  <c r="A315" i="16"/>
  <c r="V314" i="16"/>
  <c r="R314" i="16"/>
  <c r="N314" i="16"/>
  <c r="J314" i="16"/>
  <c r="F314" i="16"/>
  <c r="B314" i="16"/>
  <c r="W313" i="16"/>
  <c r="S313" i="16"/>
  <c r="O313" i="16"/>
  <c r="K313" i="16"/>
  <c r="G313" i="16"/>
  <c r="C313" i="16"/>
  <c r="X312" i="16"/>
  <c r="T312" i="16"/>
  <c r="P312" i="16"/>
  <c r="L312" i="16"/>
  <c r="H312" i="16"/>
  <c r="D312" i="16"/>
  <c r="Y311" i="16"/>
  <c r="U311" i="16"/>
  <c r="Q311" i="16"/>
  <c r="M311" i="16"/>
  <c r="I311" i="16"/>
  <c r="E311" i="16"/>
  <c r="A311" i="16"/>
  <c r="V310" i="16"/>
  <c r="R310" i="16"/>
  <c r="N310" i="16"/>
  <c r="J310" i="16"/>
  <c r="F310" i="16"/>
  <c r="B310" i="16"/>
  <c r="W309" i="16"/>
  <c r="S309" i="16"/>
  <c r="O309" i="16"/>
  <c r="K309" i="16"/>
  <c r="G309" i="16"/>
  <c r="C309" i="16"/>
  <c r="X308" i="16"/>
  <c r="T308" i="16"/>
  <c r="P308" i="16"/>
  <c r="L308" i="16"/>
  <c r="H308" i="16"/>
  <c r="D308" i="16"/>
  <c r="Y307" i="16"/>
  <c r="U307" i="16"/>
  <c r="Q307" i="16"/>
  <c r="M307" i="16"/>
  <c r="I307" i="16"/>
  <c r="E307" i="16"/>
  <c r="A307" i="16"/>
  <c r="V306" i="16"/>
  <c r="R306" i="16"/>
  <c r="N306" i="16"/>
  <c r="J306" i="16"/>
  <c r="F306" i="16"/>
  <c r="B306" i="16"/>
  <c r="W305" i="16"/>
  <c r="S305" i="16"/>
  <c r="O305" i="16"/>
  <c r="K305" i="16"/>
  <c r="G305" i="16"/>
  <c r="C305" i="16"/>
  <c r="X304" i="16"/>
  <c r="T304" i="16"/>
  <c r="P304" i="16"/>
  <c r="L304" i="16"/>
  <c r="H304" i="16"/>
  <c r="D304" i="16"/>
  <c r="Y303" i="16"/>
  <c r="U303" i="16"/>
  <c r="Q303" i="16"/>
  <c r="M303" i="16"/>
  <c r="I303" i="16"/>
  <c r="E303" i="16"/>
  <c r="A303" i="16"/>
  <c r="V302" i="16"/>
  <c r="R302" i="16"/>
  <c r="N302" i="16"/>
  <c r="J302" i="16"/>
  <c r="F302" i="16"/>
  <c r="B302" i="16"/>
  <c r="W301" i="16"/>
  <c r="S301" i="16"/>
  <c r="O301" i="16"/>
  <c r="K301" i="16"/>
  <c r="G301" i="16"/>
  <c r="C301" i="16"/>
  <c r="X300" i="16"/>
  <c r="T300" i="16"/>
  <c r="P300" i="16"/>
  <c r="L300" i="16"/>
  <c r="H300" i="16"/>
  <c r="D300" i="16"/>
  <c r="Y299" i="16"/>
  <c r="U299" i="16"/>
  <c r="Q299" i="16"/>
  <c r="M299" i="16"/>
  <c r="I299" i="16"/>
  <c r="E299" i="16"/>
  <c r="A299" i="16"/>
  <c r="V298" i="16"/>
  <c r="R298" i="16"/>
  <c r="N298" i="16"/>
  <c r="J298" i="16"/>
  <c r="F298" i="16"/>
  <c r="B298" i="16"/>
  <c r="W297" i="16"/>
  <c r="S297" i="16"/>
  <c r="O297" i="16"/>
  <c r="K297" i="16"/>
  <c r="G297" i="16"/>
  <c r="C297" i="16"/>
  <c r="X296" i="16"/>
  <c r="T296" i="16"/>
  <c r="P296" i="16"/>
  <c r="L296" i="16"/>
  <c r="H296" i="16"/>
  <c r="D296" i="16"/>
  <c r="Y295" i="16"/>
  <c r="U295" i="16"/>
  <c r="Q295" i="16"/>
  <c r="M295" i="16"/>
  <c r="I295" i="16"/>
  <c r="E295" i="16"/>
  <c r="A295" i="16"/>
  <c r="V294" i="16"/>
  <c r="R294" i="16"/>
  <c r="N294" i="16"/>
  <c r="J294" i="16"/>
  <c r="F294" i="16"/>
  <c r="B294" i="16"/>
  <c r="W293" i="16"/>
  <c r="S293" i="16"/>
  <c r="O293" i="16"/>
  <c r="K293" i="16"/>
  <c r="G293" i="16"/>
  <c r="C293" i="16"/>
  <c r="X292" i="16"/>
  <c r="T292" i="16"/>
  <c r="P292" i="16"/>
  <c r="L292" i="16"/>
  <c r="H292" i="16"/>
  <c r="D292" i="16"/>
  <c r="Y291" i="16"/>
  <c r="U291" i="16"/>
  <c r="Q291" i="16"/>
  <c r="M291" i="16"/>
  <c r="I291" i="16"/>
  <c r="E291" i="16"/>
  <c r="A291" i="16"/>
  <c r="V290" i="16"/>
  <c r="R290" i="16"/>
  <c r="N290" i="16"/>
  <c r="J290" i="16"/>
  <c r="F290" i="16"/>
  <c r="B290" i="16"/>
  <c r="W289" i="16"/>
  <c r="S289" i="16"/>
  <c r="O289" i="16"/>
  <c r="K289" i="16"/>
  <c r="G289" i="16"/>
  <c r="C289" i="16"/>
  <c r="X288" i="16"/>
  <c r="T288" i="16"/>
  <c r="P288" i="16"/>
  <c r="L288" i="16"/>
  <c r="H288" i="16"/>
  <c r="D288" i="16"/>
  <c r="Y287" i="16"/>
  <c r="U287" i="16"/>
  <c r="Q287" i="16"/>
  <c r="M287" i="16"/>
  <c r="I287" i="16"/>
  <c r="E287" i="16"/>
  <c r="A287" i="16"/>
  <c r="V286" i="16"/>
  <c r="R286" i="16"/>
  <c r="N286" i="16"/>
  <c r="J286" i="16"/>
  <c r="F286" i="16"/>
  <c r="B286" i="16"/>
  <c r="W285" i="16"/>
  <c r="S285" i="16"/>
  <c r="O285" i="16"/>
  <c r="K285" i="16"/>
  <c r="G285" i="16"/>
  <c r="C285" i="16"/>
  <c r="X284" i="16"/>
  <c r="T284" i="16"/>
  <c r="P284" i="16"/>
  <c r="L284" i="16"/>
  <c r="H284" i="16"/>
  <c r="D284" i="16"/>
  <c r="Y283" i="16"/>
  <c r="U283" i="16"/>
  <c r="Q283" i="16"/>
  <c r="M283" i="16"/>
  <c r="I283" i="16"/>
  <c r="E283" i="16"/>
  <c r="A283" i="16"/>
  <c r="V282" i="16"/>
  <c r="R282" i="16"/>
  <c r="N282" i="16"/>
  <c r="J282" i="16"/>
  <c r="F282" i="16"/>
  <c r="B282" i="16"/>
  <c r="W281" i="16"/>
  <c r="S281" i="16"/>
  <c r="O281" i="16"/>
  <c r="K281" i="16"/>
  <c r="G281" i="16"/>
  <c r="C281" i="16"/>
  <c r="X280" i="16"/>
  <c r="T280" i="16"/>
  <c r="P280" i="16"/>
  <c r="L280" i="16"/>
  <c r="H280" i="16"/>
  <c r="D280" i="16"/>
  <c r="Y279" i="16"/>
  <c r="U279" i="16"/>
  <c r="Q279" i="16"/>
  <c r="M279" i="16"/>
  <c r="I279" i="16"/>
  <c r="E279" i="16"/>
  <c r="A279" i="16"/>
  <c r="V278" i="16"/>
  <c r="R278" i="16"/>
  <c r="N278" i="16"/>
  <c r="J278" i="16"/>
  <c r="F278" i="16"/>
  <c r="B278" i="16"/>
  <c r="W277" i="16"/>
  <c r="S277" i="16"/>
  <c r="O277" i="16"/>
  <c r="K277" i="16"/>
  <c r="G277" i="16"/>
  <c r="C277" i="16"/>
  <c r="X276" i="16"/>
  <c r="T276" i="16"/>
  <c r="P276" i="16"/>
  <c r="L276" i="16"/>
  <c r="H276" i="16"/>
  <c r="D276" i="16"/>
  <c r="Y275" i="16"/>
  <c r="U275" i="16"/>
  <c r="Q275" i="16"/>
  <c r="M275" i="16"/>
  <c r="I275" i="16"/>
  <c r="E275" i="16"/>
  <c r="A275" i="16"/>
  <c r="V274" i="16"/>
  <c r="R274" i="16"/>
  <c r="N274" i="16"/>
  <c r="J274" i="16"/>
  <c r="F274" i="16"/>
  <c r="B274" i="16"/>
  <c r="W273" i="16"/>
  <c r="S273" i="16"/>
  <c r="O273" i="16"/>
  <c r="K273" i="16"/>
  <c r="G273" i="16"/>
  <c r="C273" i="16"/>
  <c r="X272" i="16"/>
  <c r="T272" i="16"/>
  <c r="P272" i="16"/>
  <c r="L272" i="16"/>
  <c r="H272" i="16"/>
  <c r="D272" i="16"/>
  <c r="Y271" i="16"/>
  <c r="U271" i="16"/>
  <c r="Q271" i="16"/>
  <c r="M271" i="16"/>
  <c r="I271" i="16"/>
  <c r="E271" i="16"/>
  <c r="A271" i="16"/>
  <c r="V270" i="16"/>
  <c r="R270" i="16"/>
  <c r="N270" i="16"/>
  <c r="J270" i="16"/>
  <c r="F270" i="16"/>
  <c r="B270" i="16"/>
  <c r="W269" i="16"/>
  <c r="S269" i="16"/>
  <c r="O269" i="16"/>
  <c r="K269" i="16"/>
  <c r="G269" i="16"/>
  <c r="C269" i="16"/>
  <c r="X268" i="16"/>
  <c r="T268" i="16"/>
  <c r="P268" i="16"/>
  <c r="L268" i="16"/>
  <c r="H268" i="16"/>
  <c r="D268" i="16"/>
  <c r="Y267" i="16"/>
  <c r="U267" i="16"/>
  <c r="Q267" i="16"/>
  <c r="M267" i="16"/>
  <c r="I267" i="16"/>
  <c r="E267" i="16"/>
  <c r="A267" i="16"/>
  <c r="V266" i="16"/>
  <c r="R266" i="16"/>
  <c r="N266" i="16"/>
  <c r="J266" i="16"/>
  <c r="F266" i="16"/>
  <c r="B266" i="16"/>
  <c r="W265" i="16"/>
  <c r="S265" i="16"/>
  <c r="O265" i="16"/>
  <c r="K265" i="16"/>
  <c r="G265" i="16"/>
  <c r="C265" i="16"/>
  <c r="X264" i="16"/>
  <c r="T264" i="16"/>
  <c r="P264" i="16"/>
  <c r="L264" i="16"/>
  <c r="H264" i="16"/>
  <c r="D264" i="16"/>
  <c r="Y263" i="16"/>
  <c r="U263" i="16"/>
  <c r="Q263" i="16"/>
  <c r="M263" i="16"/>
  <c r="I263" i="16"/>
  <c r="E263" i="16"/>
  <c r="A263" i="16"/>
  <c r="V262" i="16"/>
  <c r="R262" i="16"/>
  <c r="N262" i="16"/>
  <c r="J262" i="16"/>
  <c r="F262" i="16"/>
  <c r="B262" i="16"/>
  <c r="W261" i="16"/>
  <c r="S261" i="16"/>
  <c r="O261" i="16"/>
  <c r="K261" i="16"/>
  <c r="G261" i="16"/>
  <c r="C261" i="16"/>
  <c r="X260" i="16"/>
  <c r="T260" i="16"/>
  <c r="P260" i="16"/>
  <c r="L260" i="16"/>
  <c r="H260" i="16"/>
  <c r="D260" i="16"/>
  <c r="Y259" i="16"/>
  <c r="U259" i="16"/>
  <c r="Q259" i="16"/>
  <c r="M259" i="16"/>
  <c r="I259" i="16"/>
  <c r="E259" i="16"/>
  <c r="A259" i="16"/>
  <c r="V258" i="16"/>
  <c r="R258" i="16"/>
  <c r="N258" i="16"/>
  <c r="J258" i="16"/>
  <c r="F258" i="16"/>
  <c r="B258" i="16"/>
  <c r="W257" i="16"/>
  <c r="S257" i="16"/>
  <c r="O257" i="16"/>
  <c r="K257" i="16"/>
  <c r="G257" i="16"/>
  <c r="C257" i="16"/>
  <c r="X256" i="16"/>
  <c r="T256" i="16"/>
  <c r="P256" i="16"/>
  <c r="L256" i="16"/>
  <c r="H256" i="16"/>
  <c r="D256" i="16"/>
  <c r="Y255" i="16"/>
  <c r="U255" i="16"/>
  <c r="Q255" i="16"/>
  <c r="M255" i="16"/>
  <c r="I255" i="16"/>
  <c r="E255" i="16"/>
  <c r="A255" i="16"/>
  <c r="V254" i="16"/>
  <c r="R254" i="16"/>
  <c r="N254" i="16"/>
  <c r="J254" i="16"/>
  <c r="F254" i="16"/>
  <c r="B254" i="16"/>
  <c r="W253" i="16"/>
  <c r="S253" i="16"/>
  <c r="O253" i="16"/>
  <c r="K253" i="16"/>
  <c r="G253" i="16"/>
  <c r="C253" i="16"/>
  <c r="X252" i="16"/>
  <c r="T252" i="16"/>
  <c r="P252" i="16"/>
  <c r="L252" i="16"/>
  <c r="H252" i="16"/>
  <c r="D252" i="16"/>
  <c r="Y251" i="16"/>
  <c r="U251" i="16"/>
  <c r="Q251" i="16"/>
  <c r="M251" i="16"/>
  <c r="I251" i="16"/>
  <c r="E251" i="16"/>
  <c r="A251" i="16"/>
  <c r="V250" i="16"/>
  <c r="R250" i="16"/>
  <c r="N250" i="16"/>
  <c r="J250" i="16"/>
  <c r="F250" i="16"/>
  <c r="B250" i="16"/>
  <c r="W249" i="16"/>
  <c r="S249" i="16"/>
  <c r="O249" i="16"/>
  <c r="K249" i="16"/>
  <c r="G249" i="16"/>
  <c r="C249" i="16"/>
  <c r="X248" i="16"/>
  <c r="T248" i="16"/>
  <c r="P248" i="16"/>
  <c r="L248" i="16"/>
  <c r="H248" i="16"/>
  <c r="D248" i="16"/>
  <c r="Y247" i="16"/>
  <c r="U247" i="16"/>
  <c r="Q247" i="16"/>
  <c r="M247" i="16"/>
  <c r="I247" i="16"/>
  <c r="E247" i="16"/>
  <c r="A247" i="16"/>
  <c r="V246" i="16"/>
  <c r="R246" i="16"/>
  <c r="N246" i="16"/>
  <c r="J246" i="16"/>
  <c r="F246" i="16"/>
  <c r="B246" i="16"/>
  <c r="W245" i="16"/>
  <c r="S245" i="16"/>
  <c r="O245" i="16"/>
  <c r="K245" i="16"/>
  <c r="G245" i="16"/>
  <c r="C245" i="16"/>
  <c r="X244" i="16"/>
  <c r="T244" i="16"/>
  <c r="P244" i="16"/>
  <c r="L244" i="16"/>
  <c r="H244" i="16"/>
  <c r="D244" i="16"/>
  <c r="Y243" i="16"/>
  <c r="U243" i="16"/>
  <c r="Q243" i="16"/>
  <c r="M243" i="16"/>
  <c r="I243" i="16"/>
  <c r="E243" i="16"/>
  <c r="A243" i="16"/>
  <c r="V242" i="16"/>
  <c r="R242" i="16"/>
  <c r="N242" i="16"/>
  <c r="J242" i="16"/>
  <c r="F242" i="16"/>
  <c r="B242" i="16"/>
  <c r="W241" i="16"/>
  <c r="S241" i="16"/>
  <c r="O241" i="16"/>
  <c r="K241" i="16"/>
  <c r="G241" i="16"/>
  <c r="C241" i="16"/>
  <c r="X240" i="16"/>
  <c r="T240" i="16"/>
  <c r="P240" i="16"/>
  <c r="L240" i="16"/>
  <c r="H240" i="16"/>
  <c r="D240" i="16"/>
  <c r="Y239" i="16"/>
  <c r="U239" i="16"/>
  <c r="Q239" i="16"/>
  <c r="M239" i="16"/>
  <c r="I239" i="16"/>
  <c r="E239" i="16"/>
  <c r="A239" i="16"/>
  <c r="V238" i="16"/>
  <c r="R238" i="16"/>
  <c r="N238" i="16"/>
  <c r="J238" i="16"/>
  <c r="F238" i="16"/>
  <c r="B238" i="16"/>
  <c r="W237" i="16"/>
  <c r="S237" i="16"/>
  <c r="O237" i="16"/>
  <c r="K237" i="16"/>
  <c r="G237" i="16"/>
  <c r="C237" i="16"/>
  <c r="X236" i="16"/>
  <c r="T236" i="16"/>
  <c r="P236" i="16"/>
  <c r="L236" i="16"/>
  <c r="H236" i="16"/>
  <c r="D236" i="16"/>
  <c r="Y235" i="16"/>
  <c r="U235" i="16"/>
  <c r="Q235" i="16"/>
  <c r="M235" i="16"/>
  <c r="I235" i="16"/>
  <c r="E235" i="16"/>
  <c r="A235" i="16"/>
  <c r="V234" i="16"/>
  <c r="R234" i="16"/>
  <c r="N234" i="16"/>
  <c r="J234" i="16"/>
  <c r="F234" i="16"/>
  <c r="B234" i="16"/>
  <c r="W233" i="16"/>
  <c r="S233" i="16"/>
  <c r="O233" i="16"/>
  <c r="K233" i="16"/>
  <c r="G233" i="16"/>
  <c r="C233" i="16"/>
  <c r="X232" i="16"/>
  <c r="T232" i="16"/>
  <c r="P232" i="16"/>
  <c r="L232" i="16"/>
  <c r="H232" i="16"/>
  <c r="D232" i="16"/>
  <c r="Y231" i="16"/>
  <c r="U231" i="16"/>
  <c r="Q231" i="16"/>
  <c r="M231" i="16"/>
  <c r="I231" i="16"/>
  <c r="E231" i="16"/>
  <c r="A231" i="16"/>
  <c r="V230" i="16"/>
  <c r="R230" i="16"/>
  <c r="N230" i="16"/>
  <c r="J230" i="16"/>
  <c r="F230" i="16"/>
  <c r="B230" i="16"/>
  <c r="W229" i="16"/>
  <c r="S229" i="16"/>
  <c r="O229" i="16"/>
  <c r="K229" i="16"/>
  <c r="G229" i="16"/>
  <c r="C229" i="16"/>
  <c r="X228" i="16"/>
  <c r="T228" i="16"/>
  <c r="P228" i="16"/>
  <c r="L228" i="16"/>
  <c r="H228" i="16"/>
  <c r="D228" i="16"/>
  <c r="Y227" i="16"/>
  <c r="U227" i="16"/>
  <c r="Q227" i="16"/>
  <c r="M227" i="16"/>
  <c r="I227" i="16"/>
  <c r="E227" i="16"/>
  <c r="A227" i="16"/>
  <c r="V226" i="16"/>
  <c r="R226" i="16"/>
  <c r="N226" i="16"/>
  <c r="J226" i="16"/>
  <c r="F226" i="16"/>
  <c r="B226" i="16"/>
  <c r="W225" i="16"/>
  <c r="S225" i="16"/>
  <c r="O225" i="16"/>
  <c r="K225" i="16"/>
  <c r="G225" i="16"/>
  <c r="C225" i="16"/>
  <c r="X224" i="16"/>
  <c r="T224" i="16"/>
  <c r="P224" i="16"/>
  <c r="L224" i="16"/>
  <c r="H224" i="16"/>
  <c r="D224" i="16"/>
  <c r="Y223" i="16"/>
  <c r="U223" i="16"/>
  <c r="Q223" i="16"/>
  <c r="M223" i="16"/>
  <c r="I223" i="16"/>
  <c r="E223" i="16"/>
  <c r="A223" i="16"/>
  <c r="V222" i="16"/>
  <c r="R222" i="16"/>
  <c r="N222" i="16"/>
  <c r="J222" i="16"/>
  <c r="F222" i="16"/>
  <c r="B222" i="16"/>
  <c r="W221" i="16"/>
  <c r="S221" i="16"/>
  <c r="O221" i="16"/>
  <c r="K221" i="16"/>
  <c r="G221" i="16"/>
  <c r="C221" i="16"/>
  <c r="X220" i="16"/>
  <c r="T220" i="16"/>
  <c r="P220" i="16"/>
  <c r="L220" i="16"/>
  <c r="H220" i="16"/>
  <c r="D220" i="16"/>
  <c r="Y219" i="16"/>
  <c r="U219" i="16"/>
  <c r="Q219" i="16"/>
  <c r="M219" i="16"/>
  <c r="I219" i="16"/>
  <c r="E219" i="16"/>
  <c r="A219" i="16"/>
  <c r="V218" i="16"/>
  <c r="R218" i="16"/>
  <c r="N218" i="16"/>
  <c r="J218" i="16"/>
  <c r="F218" i="16"/>
  <c r="B218" i="16"/>
  <c r="W217" i="16"/>
  <c r="S217" i="16"/>
  <c r="O217" i="16"/>
  <c r="K217" i="16"/>
  <c r="G217" i="16"/>
  <c r="C217" i="16"/>
  <c r="X216" i="16"/>
  <c r="T216" i="16"/>
  <c r="P216" i="16"/>
  <c r="L216" i="16"/>
  <c r="H216" i="16"/>
  <c r="D216" i="16"/>
  <c r="Y215" i="16"/>
  <c r="U215" i="16"/>
  <c r="Q215" i="16"/>
  <c r="M215" i="16"/>
  <c r="I215" i="16"/>
  <c r="E215" i="16"/>
  <c r="A215" i="16"/>
  <c r="V214" i="16"/>
  <c r="R214" i="16"/>
  <c r="N214" i="16"/>
  <c r="J214" i="16"/>
  <c r="F214" i="16"/>
  <c r="B214" i="16"/>
  <c r="W213" i="16"/>
  <c r="S213" i="16"/>
  <c r="O213" i="16"/>
  <c r="K213" i="16"/>
  <c r="G213" i="16"/>
  <c r="C213" i="16"/>
  <c r="X212" i="16"/>
  <c r="T212" i="16"/>
  <c r="P212" i="16"/>
  <c r="L212" i="16"/>
  <c r="H212" i="16"/>
  <c r="D212" i="16"/>
  <c r="Y211" i="16"/>
  <c r="U211" i="16"/>
  <c r="Q211" i="16"/>
  <c r="M211" i="16"/>
  <c r="I211" i="16"/>
  <c r="E211" i="16"/>
  <c r="A211" i="16"/>
  <c r="V210" i="16"/>
  <c r="R210" i="16"/>
  <c r="N210" i="16"/>
  <c r="J210" i="16"/>
  <c r="F210" i="16"/>
  <c r="B210" i="16"/>
  <c r="W209" i="16"/>
  <c r="S209" i="16"/>
  <c r="O209" i="16"/>
  <c r="K209" i="16"/>
  <c r="G209" i="16"/>
  <c r="C209" i="16"/>
  <c r="X208" i="16"/>
  <c r="T208" i="16"/>
  <c r="P208" i="16"/>
  <c r="L208" i="16"/>
  <c r="H208" i="16"/>
  <c r="D208" i="16"/>
  <c r="Y207" i="16"/>
  <c r="U207" i="16"/>
  <c r="Q207" i="16"/>
  <c r="M207" i="16"/>
  <c r="I207" i="16"/>
  <c r="E207" i="16"/>
  <c r="A207" i="16"/>
  <c r="V206" i="16"/>
  <c r="R206" i="16"/>
  <c r="N206" i="16"/>
  <c r="J206" i="16"/>
  <c r="F206" i="16"/>
  <c r="B206" i="16"/>
  <c r="W205" i="16"/>
  <c r="S205" i="16"/>
  <c r="O205" i="16"/>
  <c r="K205" i="16"/>
  <c r="G205" i="16"/>
  <c r="C205" i="16"/>
  <c r="X204" i="16"/>
  <c r="T204" i="16"/>
  <c r="P204" i="16"/>
  <c r="L204" i="16"/>
  <c r="H204" i="16"/>
  <c r="D204" i="16"/>
  <c r="Y203" i="16"/>
  <c r="U203" i="16"/>
  <c r="Q203" i="16"/>
  <c r="M203" i="16"/>
  <c r="I203" i="16"/>
  <c r="E203" i="16"/>
  <c r="A203" i="16"/>
  <c r="V202" i="16"/>
  <c r="R202" i="16"/>
  <c r="N202" i="16"/>
  <c r="J202" i="16"/>
  <c r="F202" i="16"/>
  <c r="B202" i="16"/>
  <c r="W201" i="16"/>
  <c r="S201" i="16"/>
  <c r="O201" i="16"/>
  <c r="K201" i="16"/>
  <c r="G201" i="16"/>
  <c r="C201" i="16"/>
  <c r="X200" i="16"/>
  <c r="T200" i="16"/>
  <c r="P200" i="16"/>
  <c r="L200" i="16"/>
  <c r="H200" i="16"/>
  <c r="D200" i="16"/>
  <c r="Y199" i="16"/>
  <c r="U199" i="16"/>
  <c r="Q199" i="16"/>
  <c r="M199" i="16"/>
  <c r="I199" i="16"/>
  <c r="E199" i="16"/>
  <c r="A199" i="16"/>
  <c r="V198" i="16"/>
  <c r="R198" i="16"/>
  <c r="N198" i="16"/>
  <c r="J198" i="16"/>
  <c r="F198" i="16"/>
  <c r="B198" i="16"/>
  <c r="W197" i="16"/>
  <c r="P1133" i="16"/>
  <c r="P1056" i="16"/>
  <c r="Q1021" i="16"/>
  <c r="J997" i="16"/>
  <c r="D973" i="16"/>
  <c r="U948" i="16"/>
  <c r="B935" i="16"/>
  <c r="W922" i="16"/>
  <c r="S910" i="16"/>
  <c r="P898" i="16"/>
  <c r="L889" i="16"/>
  <c r="B882" i="16"/>
  <c r="U875" i="16"/>
  <c r="K870" i="16"/>
  <c r="U865" i="16"/>
  <c r="S861" i="16"/>
  <c r="H858" i="16"/>
  <c r="W854" i="16"/>
  <c r="M851" i="16"/>
  <c r="B848" i="16"/>
  <c r="Q844" i="16"/>
  <c r="G841" i="16"/>
  <c r="U837" i="16"/>
  <c r="K834" i="16"/>
  <c r="A831" i="16"/>
  <c r="O827" i="16"/>
  <c r="E824" i="16"/>
  <c r="T820" i="16"/>
  <c r="I817" i="16"/>
  <c r="X813" i="16"/>
  <c r="N810" i="16"/>
  <c r="C807" i="16"/>
  <c r="H805" i="16"/>
  <c r="O803" i="16"/>
  <c r="W801" i="16"/>
  <c r="E800" i="16"/>
  <c r="L798" i="16"/>
  <c r="T796" i="16"/>
  <c r="B795" i="16"/>
  <c r="I793" i="16"/>
  <c r="Q791" i="16"/>
  <c r="X789" i="16"/>
  <c r="F788" i="16"/>
  <c r="V786" i="16"/>
  <c r="Q785" i="16"/>
  <c r="M784" i="16"/>
  <c r="K783" i="16"/>
  <c r="G782" i="16"/>
  <c r="C781" i="16"/>
  <c r="A780" i="16"/>
  <c r="V778" i="16"/>
  <c r="Q777" i="16"/>
  <c r="P776" i="16"/>
  <c r="K775" i="16"/>
  <c r="G774" i="16"/>
  <c r="E773" i="16"/>
  <c r="A772" i="16"/>
  <c r="V770" i="16"/>
  <c r="T769" i="16"/>
  <c r="P768" i="16"/>
  <c r="K767" i="16"/>
  <c r="J766" i="16"/>
  <c r="E765" i="16"/>
  <c r="A764" i="16"/>
  <c r="X762" i="16"/>
  <c r="T761" i="16"/>
  <c r="P760" i="16"/>
  <c r="N759" i="16"/>
  <c r="J758" i="16"/>
  <c r="E757" i="16"/>
  <c r="D756" i="16"/>
  <c r="X754" i="16"/>
  <c r="T753" i="16"/>
  <c r="R752" i="16"/>
  <c r="N751" i="16"/>
  <c r="J750" i="16"/>
  <c r="H749" i="16"/>
  <c r="D748" i="16"/>
  <c r="X746" i="16"/>
  <c r="W745" i="16"/>
  <c r="R744" i="16"/>
  <c r="N743" i="16"/>
  <c r="L742" i="16"/>
  <c r="H741" i="16"/>
  <c r="D740" i="16"/>
  <c r="B739" i="16"/>
  <c r="W737" i="16"/>
  <c r="R736" i="16"/>
  <c r="Q735" i="16"/>
  <c r="L734" i="16"/>
  <c r="H733" i="16"/>
  <c r="F732" i="16"/>
  <c r="B731" i="16"/>
  <c r="W729" i="16"/>
  <c r="U728" i="16"/>
  <c r="Q727" i="16"/>
  <c r="L726" i="16"/>
  <c r="K725" i="16"/>
  <c r="F724" i="16"/>
  <c r="B723" i="16"/>
  <c r="Y721" i="16"/>
  <c r="U720" i="16"/>
  <c r="Q719" i="16"/>
  <c r="O718" i="16"/>
  <c r="K717" i="16"/>
  <c r="F716" i="16"/>
  <c r="E715" i="16"/>
  <c r="Y713" i="16"/>
  <c r="U712" i="16"/>
  <c r="S711" i="16"/>
  <c r="O710" i="16"/>
  <c r="K709" i="16"/>
  <c r="I708" i="16"/>
  <c r="E707" i="16"/>
  <c r="Y705" i="16"/>
  <c r="X704" i="16"/>
  <c r="S703" i="16"/>
  <c r="O702" i="16"/>
  <c r="M701" i="16"/>
  <c r="I700" i="16"/>
  <c r="E699" i="16"/>
  <c r="C698" i="16"/>
  <c r="X696" i="16"/>
  <c r="S695" i="16"/>
  <c r="R694" i="16"/>
  <c r="M693" i="16"/>
  <c r="I692" i="16"/>
  <c r="G691" i="16"/>
  <c r="C690" i="16"/>
  <c r="X688" i="16"/>
  <c r="V687" i="16"/>
  <c r="R686" i="16"/>
  <c r="M685" i="16"/>
  <c r="L684" i="16"/>
  <c r="G683" i="16"/>
  <c r="C682" i="16"/>
  <c r="A681" i="16"/>
  <c r="V679" i="16"/>
  <c r="R678" i="16"/>
  <c r="P677" i="16"/>
  <c r="L676" i="16"/>
  <c r="G675" i="16"/>
  <c r="F674" i="16"/>
  <c r="A673" i="16"/>
  <c r="V671" i="16"/>
  <c r="T670" i="16"/>
  <c r="P669" i="16"/>
  <c r="L668" i="16"/>
  <c r="J667" i="16"/>
  <c r="F666" i="16"/>
  <c r="A665" i="16"/>
  <c r="Y663" i="16"/>
  <c r="T662" i="16"/>
  <c r="P661" i="16"/>
  <c r="N660" i="16"/>
  <c r="J659" i="16"/>
  <c r="F658" i="16"/>
  <c r="D657" i="16"/>
  <c r="Y655" i="16"/>
  <c r="T654" i="16"/>
  <c r="S653" i="16"/>
  <c r="N652" i="16"/>
  <c r="J651" i="16"/>
  <c r="H650" i="16"/>
  <c r="D649" i="16"/>
  <c r="Y647" i="16"/>
  <c r="W646" i="16"/>
  <c r="S645" i="16"/>
  <c r="N644" i="16"/>
  <c r="M643" i="16"/>
  <c r="H642" i="16"/>
  <c r="D641" i="16"/>
  <c r="B640" i="16"/>
  <c r="W638" i="16"/>
  <c r="S637" i="16"/>
  <c r="Q636" i="16"/>
  <c r="M635" i="16"/>
  <c r="H634" i="16"/>
  <c r="G633" i="16"/>
  <c r="B632" i="16"/>
  <c r="W630" i="16"/>
  <c r="U629" i="16"/>
  <c r="Q628" i="16"/>
  <c r="M627" i="16"/>
  <c r="K626" i="16"/>
  <c r="H625" i="16"/>
  <c r="K624" i="16"/>
  <c r="P623" i="16"/>
  <c r="S622" i="16"/>
  <c r="V621" i="16"/>
  <c r="B621" i="16"/>
  <c r="E620" i="16"/>
  <c r="H619" i="16"/>
  <c r="M618" i="16"/>
  <c r="P617" i="16"/>
  <c r="S616" i="16"/>
  <c r="X615" i="16"/>
  <c r="B615" i="16"/>
  <c r="E614" i="16"/>
  <c r="J613" i="16"/>
  <c r="M612" i="16"/>
  <c r="P611" i="16"/>
  <c r="U610" i="16"/>
  <c r="X609" i="16"/>
  <c r="B609" i="16"/>
  <c r="G608" i="16"/>
  <c r="J607" i="16"/>
  <c r="M606" i="16"/>
  <c r="R605" i="16"/>
  <c r="U604" i="16"/>
  <c r="X603" i="16"/>
  <c r="D603" i="16"/>
  <c r="G602" i="16"/>
  <c r="J601" i="16"/>
  <c r="O600" i="16"/>
  <c r="R599" i="16"/>
  <c r="U598" i="16"/>
  <c r="A598" i="16"/>
  <c r="I597" i="16"/>
  <c r="S596" i="16"/>
  <c r="F596" i="16"/>
  <c r="P595" i="16"/>
  <c r="B595" i="16"/>
  <c r="M594" i="16"/>
  <c r="X593" i="16"/>
  <c r="I593" i="16"/>
  <c r="U592" i="16"/>
  <c r="F592" i="16"/>
  <c r="P591" i="16"/>
  <c r="C591" i="16"/>
  <c r="Q590" i="16"/>
  <c r="G590" i="16"/>
  <c r="U589" i="16"/>
  <c r="J589" i="16"/>
  <c r="Y588" i="16"/>
  <c r="N588" i="16"/>
  <c r="C588" i="16"/>
  <c r="R587" i="16"/>
  <c r="G587" i="16"/>
  <c r="U586" i="16"/>
  <c r="K586" i="16"/>
  <c r="Y585" i="16"/>
  <c r="N585" i="16"/>
  <c r="D585" i="16"/>
  <c r="R584" i="16"/>
  <c r="G584" i="16"/>
  <c r="V583" i="16"/>
  <c r="K583" i="16"/>
  <c r="Y582" i="16"/>
  <c r="O582" i="16"/>
  <c r="D582" i="16"/>
  <c r="R581" i="16"/>
  <c r="H581" i="16"/>
  <c r="V580" i="16"/>
  <c r="K580" i="16"/>
  <c r="A580" i="16"/>
  <c r="O579" i="16"/>
  <c r="D579" i="16"/>
  <c r="S578" i="16"/>
  <c r="H578" i="16"/>
  <c r="V577" i="16"/>
  <c r="L577" i="16"/>
  <c r="A577" i="16"/>
  <c r="O576" i="16"/>
  <c r="E576" i="16"/>
  <c r="S575" i="16"/>
  <c r="H575" i="16"/>
  <c r="W574" i="16"/>
  <c r="L574" i="16"/>
  <c r="A574" i="16"/>
  <c r="P573" i="16"/>
  <c r="E573" i="16"/>
  <c r="S572" i="16"/>
  <c r="I572" i="16"/>
  <c r="W571" i="16"/>
  <c r="L571" i="16"/>
  <c r="B571" i="16"/>
  <c r="P570" i="16"/>
  <c r="E570" i="16"/>
  <c r="T569" i="16"/>
  <c r="I569" i="16"/>
  <c r="W568" i="16"/>
  <c r="M568" i="16"/>
  <c r="B568" i="16"/>
  <c r="R567" i="16"/>
  <c r="J567" i="16"/>
  <c r="B567" i="16"/>
  <c r="S566" i="16"/>
  <c r="K566" i="16"/>
  <c r="C566" i="16"/>
  <c r="T565" i="16"/>
  <c r="L565" i="16"/>
  <c r="D565" i="16"/>
  <c r="U564" i="16"/>
  <c r="M564" i="16"/>
  <c r="E564" i="16"/>
  <c r="V563" i="16"/>
  <c r="N563" i="16"/>
  <c r="F563" i="16"/>
  <c r="W562" i="16"/>
  <c r="O562" i="16"/>
  <c r="G562" i="16"/>
  <c r="X561" i="16"/>
  <c r="P561" i="16"/>
  <c r="H561" i="16"/>
  <c r="Y560" i="16"/>
  <c r="Q560" i="16"/>
  <c r="I560" i="16"/>
  <c r="A560" i="16"/>
  <c r="R559" i="16"/>
  <c r="J559" i="16"/>
  <c r="B559" i="16"/>
  <c r="S558" i="16"/>
  <c r="K558" i="16"/>
  <c r="C558" i="16"/>
  <c r="T557" i="16"/>
  <c r="L557" i="16"/>
  <c r="D557" i="16"/>
  <c r="U556" i="16"/>
  <c r="M556" i="16"/>
  <c r="E556" i="16"/>
  <c r="V555" i="16"/>
  <c r="N555" i="16"/>
  <c r="F555" i="16"/>
  <c r="W554" i="16"/>
  <c r="O554" i="16"/>
  <c r="G554" i="16"/>
  <c r="X553" i="16"/>
  <c r="P553" i="16"/>
  <c r="H553" i="16"/>
  <c r="Y552" i="16"/>
  <c r="Q552" i="16"/>
  <c r="I552" i="16"/>
  <c r="A552" i="16"/>
  <c r="R551" i="16"/>
  <c r="J551" i="16"/>
  <c r="B551" i="16"/>
  <c r="S550" i="16"/>
  <c r="K550" i="16"/>
  <c r="C550" i="16"/>
  <c r="T549" i="16"/>
  <c r="L549" i="16"/>
  <c r="D549" i="16"/>
  <c r="U548" i="16"/>
  <c r="M548" i="16"/>
  <c r="E548" i="16"/>
  <c r="V547" i="16"/>
  <c r="N547" i="16"/>
  <c r="F547" i="16"/>
  <c r="W546" i="16"/>
  <c r="O546" i="16"/>
  <c r="G546" i="16"/>
  <c r="X545" i="16"/>
  <c r="P545" i="16"/>
  <c r="H545" i="16"/>
  <c r="Y544" i="16"/>
  <c r="Q544" i="16"/>
  <c r="I544" i="16"/>
  <c r="A544" i="16"/>
  <c r="R543" i="16"/>
  <c r="J543" i="16"/>
  <c r="B543" i="16"/>
  <c r="S542" i="16"/>
  <c r="K542" i="16"/>
  <c r="C542" i="16"/>
  <c r="T541" i="16"/>
  <c r="L541" i="16"/>
  <c r="D541" i="16"/>
  <c r="U540" i="16"/>
  <c r="M540" i="16"/>
  <c r="E540" i="16"/>
  <c r="V539" i="16"/>
  <c r="N539" i="16"/>
  <c r="F539" i="16"/>
  <c r="W538" i="16"/>
  <c r="O538" i="16"/>
  <c r="G538" i="16"/>
  <c r="X537" i="16"/>
  <c r="P537" i="16"/>
  <c r="H537" i="16"/>
  <c r="Y536" i="16"/>
  <c r="Q536" i="16"/>
  <c r="I536" i="16"/>
  <c r="A536" i="16"/>
  <c r="R535" i="16"/>
  <c r="J535" i="16"/>
  <c r="B535" i="16"/>
  <c r="S534" i="16"/>
  <c r="K534" i="16"/>
  <c r="C534" i="16"/>
  <c r="T533" i="16"/>
  <c r="L533" i="16"/>
  <c r="D533" i="16"/>
  <c r="U532" i="16"/>
  <c r="M532" i="16"/>
  <c r="E532" i="16"/>
  <c r="V531" i="16"/>
  <c r="N531" i="16"/>
  <c r="F531" i="16"/>
  <c r="W530" i="16"/>
  <c r="O530" i="16"/>
  <c r="G530" i="16"/>
  <c r="X529" i="16"/>
  <c r="P529" i="16"/>
  <c r="H529" i="16"/>
  <c r="Y528" i="16"/>
  <c r="Q528" i="16"/>
  <c r="I528" i="16"/>
  <c r="A528" i="16"/>
  <c r="R527" i="16"/>
  <c r="J527" i="16"/>
  <c r="B527" i="16"/>
  <c r="S526" i="16"/>
  <c r="K526" i="16"/>
  <c r="C526" i="16"/>
  <c r="T525" i="16"/>
  <c r="L525" i="16"/>
  <c r="D525" i="16"/>
  <c r="U524" i="16"/>
  <c r="M524" i="16"/>
  <c r="E524" i="16"/>
  <c r="V523" i="16"/>
  <c r="N523" i="16"/>
  <c r="F523" i="16"/>
  <c r="W522" i="16"/>
  <c r="O522" i="16"/>
  <c r="G522" i="16"/>
  <c r="X521" i="16"/>
  <c r="P521" i="16"/>
  <c r="H521" i="16"/>
  <c r="Y520" i="16"/>
  <c r="Q520" i="16"/>
  <c r="I520" i="16"/>
  <c r="A520" i="16"/>
  <c r="R519" i="16"/>
  <c r="J519" i="16"/>
  <c r="B519" i="16"/>
  <c r="S518" i="16"/>
  <c r="K518" i="16"/>
  <c r="C518" i="16"/>
  <c r="T517" i="16"/>
  <c r="L517" i="16"/>
  <c r="D517" i="16"/>
  <c r="U516" i="16"/>
  <c r="M516" i="16"/>
  <c r="E516" i="16"/>
  <c r="V515" i="16"/>
  <c r="N515" i="16"/>
  <c r="F515" i="16"/>
  <c r="W514" i="16"/>
  <c r="O514" i="16"/>
  <c r="G514" i="16"/>
  <c r="X513" i="16"/>
  <c r="P513" i="16"/>
  <c r="H513" i="16"/>
  <c r="Y512" i="16"/>
  <c r="Q512" i="16"/>
  <c r="I512" i="16"/>
  <c r="A512" i="16"/>
  <c r="R511" i="16"/>
  <c r="J511" i="16"/>
  <c r="B511" i="16"/>
  <c r="S510" i="16"/>
  <c r="K510" i="16"/>
  <c r="C510" i="16"/>
  <c r="T509" i="16"/>
  <c r="L509" i="16"/>
  <c r="D509" i="16"/>
  <c r="U508" i="16"/>
  <c r="M508" i="16"/>
  <c r="E508" i="16"/>
  <c r="V507" i="16"/>
  <c r="N507" i="16"/>
  <c r="F507" i="16"/>
  <c r="W506" i="16"/>
  <c r="O506" i="16"/>
  <c r="G506" i="16"/>
  <c r="X505" i="16"/>
  <c r="P505" i="16"/>
  <c r="H505" i="16"/>
  <c r="Y504" i="16"/>
  <c r="Q504" i="16"/>
  <c r="I504" i="16"/>
  <c r="A504" i="16"/>
  <c r="R503" i="16"/>
  <c r="J503" i="16"/>
  <c r="B503" i="16"/>
  <c r="S502" i="16"/>
  <c r="K502" i="16"/>
  <c r="C502" i="16"/>
  <c r="T501" i="16"/>
  <c r="L501" i="16"/>
  <c r="D501" i="16"/>
  <c r="U500" i="16"/>
  <c r="M500" i="16"/>
  <c r="E500" i="16"/>
  <c r="V499" i="16"/>
  <c r="N499" i="16"/>
  <c r="F499" i="16"/>
  <c r="W498" i="16"/>
  <c r="O498" i="16"/>
  <c r="G498" i="16"/>
  <c r="X497" i="16"/>
  <c r="P497" i="16"/>
  <c r="H497" i="16"/>
  <c r="Y496" i="16"/>
  <c r="Q496" i="16"/>
  <c r="I496" i="16"/>
  <c r="A496" i="16"/>
  <c r="R495" i="16"/>
  <c r="J495" i="16"/>
  <c r="B495" i="16"/>
  <c r="S494" i="16"/>
  <c r="K494" i="16"/>
  <c r="C494" i="16"/>
  <c r="T493" i="16"/>
  <c r="L493" i="16"/>
  <c r="D493" i="16"/>
  <c r="U492" i="16"/>
  <c r="M492" i="16"/>
  <c r="E492" i="16"/>
  <c r="V491" i="16"/>
  <c r="N491" i="16"/>
  <c r="F491" i="16"/>
  <c r="W490" i="16"/>
  <c r="O490" i="16"/>
  <c r="G490" i="16"/>
  <c r="X489" i="16"/>
  <c r="P489" i="16"/>
  <c r="H489" i="16"/>
  <c r="Y488" i="16"/>
  <c r="Q488" i="16"/>
  <c r="I488" i="16"/>
  <c r="A488" i="16"/>
  <c r="R487" i="16"/>
  <c r="J487" i="16"/>
  <c r="B487" i="16"/>
  <c r="S486" i="16"/>
  <c r="K486" i="16"/>
  <c r="C486" i="16"/>
  <c r="T485" i="16"/>
  <c r="L485" i="16"/>
  <c r="D485" i="16"/>
  <c r="U484" i="16"/>
  <c r="M484" i="16"/>
  <c r="E484" i="16"/>
  <c r="V483" i="16"/>
  <c r="N483" i="16"/>
  <c r="F483" i="16"/>
  <c r="W482" i="16"/>
  <c r="O482" i="16"/>
  <c r="G482" i="16"/>
  <c r="X481" i="16"/>
  <c r="P481" i="16"/>
  <c r="H481" i="16"/>
  <c r="Y480" i="16"/>
  <c r="Q480" i="16"/>
  <c r="I480" i="16"/>
  <c r="A480" i="16"/>
  <c r="R479" i="16"/>
  <c r="J479" i="16"/>
  <c r="B479" i="16"/>
  <c r="S478" i="16"/>
  <c r="K478" i="16"/>
  <c r="C478" i="16"/>
  <c r="T477" i="16"/>
  <c r="L477" i="16"/>
  <c r="D477" i="16"/>
  <c r="U476" i="16"/>
  <c r="M476" i="16"/>
  <c r="E476" i="16"/>
  <c r="V475" i="16"/>
  <c r="N475" i="16"/>
  <c r="F475" i="16"/>
  <c r="W474" i="16"/>
  <c r="O474" i="16"/>
  <c r="G474" i="16"/>
  <c r="X473" i="16"/>
  <c r="P473" i="16"/>
  <c r="H473" i="16"/>
  <c r="Y472" i="16"/>
  <c r="Q472" i="16"/>
  <c r="I472" i="16"/>
  <c r="A472" i="16"/>
  <c r="R471" i="16"/>
  <c r="J471" i="16"/>
  <c r="B471" i="16"/>
  <c r="S470" i="16"/>
  <c r="K470" i="16"/>
  <c r="C470" i="16"/>
  <c r="T469" i="16"/>
  <c r="L469" i="16"/>
  <c r="D469" i="16"/>
  <c r="U468" i="16"/>
  <c r="M468" i="16"/>
  <c r="E468" i="16"/>
  <c r="V467" i="16"/>
  <c r="N467" i="16"/>
  <c r="F467" i="16"/>
  <c r="W466" i="16"/>
  <c r="O466" i="16"/>
  <c r="G466" i="16"/>
  <c r="X465" i="16"/>
  <c r="P465" i="16"/>
  <c r="H465" i="16"/>
  <c r="Y464" i="16"/>
  <c r="Q464" i="16"/>
  <c r="I464" i="16"/>
  <c r="A464" i="16"/>
  <c r="R463" i="16"/>
  <c r="J463" i="16"/>
  <c r="B463" i="16"/>
  <c r="S462" i="16"/>
  <c r="K462" i="16"/>
  <c r="C462" i="16"/>
  <c r="T461" i="16"/>
  <c r="L461" i="16"/>
  <c r="D461" i="16"/>
  <c r="U460" i="16"/>
  <c r="M460" i="16"/>
  <c r="E460" i="16"/>
  <c r="V459" i="16"/>
  <c r="N459" i="16"/>
  <c r="F459" i="16"/>
  <c r="W458" i="16"/>
  <c r="O458" i="16"/>
  <c r="G458" i="16"/>
  <c r="X457" i="16"/>
  <c r="P457" i="16"/>
  <c r="H457" i="16"/>
  <c r="Y456" i="16"/>
  <c r="Q456" i="16"/>
  <c r="I456" i="16"/>
  <c r="A456" i="16"/>
  <c r="R455" i="16"/>
  <c r="J455" i="16"/>
  <c r="B455" i="16"/>
  <c r="S454" i="16"/>
  <c r="K454" i="16"/>
  <c r="C454" i="16"/>
  <c r="T453" i="16"/>
  <c r="L453" i="16"/>
  <c r="D453" i="16"/>
  <c r="U452" i="16"/>
  <c r="M452" i="16"/>
  <c r="E452" i="16"/>
  <c r="V451" i="16"/>
  <c r="N451" i="16"/>
  <c r="F451" i="16"/>
  <c r="W450" i="16"/>
  <c r="O450" i="16"/>
  <c r="G450" i="16"/>
  <c r="X449" i="16"/>
  <c r="P449" i="16"/>
  <c r="H449" i="16"/>
  <c r="Y448" i="16"/>
  <c r="Q448" i="16"/>
  <c r="I448" i="16"/>
  <c r="A448" i="16"/>
  <c r="R447" i="16"/>
  <c r="J447" i="16"/>
  <c r="B447" i="16"/>
  <c r="S446" i="16"/>
  <c r="K446" i="16"/>
  <c r="C446" i="16"/>
  <c r="T445" i="16"/>
  <c r="L445" i="16"/>
  <c r="D445" i="16"/>
  <c r="U444" i="16"/>
  <c r="M444" i="16"/>
  <c r="E444" i="16"/>
  <c r="V443" i="16"/>
  <c r="N443" i="16"/>
  <c r="F443" i="16"/>
  <c r="W442" i="16"/>
  <c r="O442" i="16"/>
  <c r="G442" i="16"/>
  <c r="X441" i="16"/>
  <c r="P441" i="16"/>
  <c r="H441" i="16"/>
  <c r="Y440" i="16"/>
  <c r="Q440" i="16"/>
  <c r="I440" i="16"/>
  <c r="A440" i="16"/>
  <c r="R439" i="16"/>
  <c r="J439" i="16"/>
  <c r="B439" i="16"/>
  <c r="S438" i="16"/>
  <c r="K438" i="16"/>
  <c r="C438" i="16"/>
  <c r="T437" i="16"/>
  <c r="L437" i="16"/>
  <c r="D437" i="16"/>
  <c r="U436" i="16"/>
  <c r="M436" i="16"/>
  <c r="E436" i="16"/>
  <c r="V435" i="16"/>
  <c r="N435" i="16"/>
  <c r="F435" i="16"/>
  <c r="W434" i="16"/>
  <c r="O434" i="16"/>
  <c r="G434" i="16"/>
  <c r="X433" i="16"/>
  <c r="P433" i="16"/>
  <c r="H433" i="16"/>
  <c r="Y432" i="16"/>
  <c r="Q432" i="16"/>
  <c r="I432" i="16"/>
  <c r="A432" i="16"/>
  <c r="R431" i="16"/>
  <c r="J431" i="16"/>
  <c r="B431" i="16"/>
  <c r="S430" i="16"/>
  <c r="K430" i="16"/>
  <c r="C430" i="16"/>
  <c r="T429" i="16"/>
  <c r="L429" i="16"/>
  <c r="D429" i="16"/>
  <c r="U428" i="16"/>
  <c r="M428" i="16"/>
  <c r="E428" i="16"/>
  <c r="V427" i="16"/>
  <c r="N427" i="16"/>
  <c r="F427" i="16"/>
  <c r="W426" i="16"/>
  <c r="O426" i="16"/>
  <c r="G426" i="16"/>
  <c r="X425" i="16"/>
  <c r="P425" i="16"/>
  <c r="H425" i="16"/>
  <c r="Y424" i="16"/>
  <c r="Q424" i="16"/>
  <c r="I424" i="16"/>
  <c r="A424" i="16"/>
  <c r="R423" i="16"/>
  <c r="J423" i="16"/>
  <c r="B423" i="16"/>
  <c r="S422" i="16"/>
  <c r="K422" i="16"/>
  <c r="C422" i="16"/>
  <c r="T421" i="16"/>
  <c r="L421" i="16"/>
  <c r="D421" i="16"/>
  <c r="U420" i="16"/>
  <c r="M420" i="16"/>
  <c r="E420" i="16"/>
  <c r="V419" i="16"/>
  <c r="N419" i="16"/>
  <c r="F419" i="16"/>
  <c r="W418" i="16"/>
  <c r="O418" i="16"/>
  <c r="G418" i="16"/>
  <c r="X417" i="16"/>
  <c r="P417" i="16"/>
  <c r="H417" i="16"/>
  <c r="Y416" i="16"/>
  <c r="Q416" i="16"/>
  <c r="I416" i="16"/>
  <c r="A416" i="16"/>
  <c r="R415" i="16"/>
  <c r="J415" i="16"/>
  <c r="B415" i="16"/>
  <c r="S414" i="16"/>
  <c r="K414" i="16"/>
  <c r="C414" i="16"/>
  <c r="T413" i="16"/>
  <c r="L413" i="16"/>
  <c r="D413" i="16"/>
  <c r="U412" i="16"/>
  <c r="M412" i="16"/>
  <c r="E412" i="16"/>
  <c r="V411" i="16"/>
  <c r="N411" i="16"/>
  <c r="F411" i="16"/>
  <c r="W410" i="16"/>
  <c r="O410" i="16"/>
  <c r="G410" i="16"/>
  <c r="X409" i="16"/>
  <c r="P409" i="16"/>
  <c r="H409" i="16"/>
  <c r="Y408" i="16"/>
  <c r="Q408" i="16"/>
  <c r="I408" i="16"/>
  <c r="A408" i="16"/>
  <c r="R407" i="16"/>
  <c r="J407" i="16"/>
  <c r="B407" i="16"/>
  <c r="S406" i="16"/>
  <c r="K406" i="16"/>
  <c r="C406" i="16"/>
  <c r="T405" i="16"/>
  <c r="L405" i="16"/>
  <c r="D405" i="16"/>
  <c r="U404" i="16"/>
  <c r="M404" i="16"/>
  <c r="E404" i="16"/>
  <c r="V403" i="16"/>
  <c r="N403" i="16"/>
  <c r="F403" i="16"/>
  <c r="W402" i="16"/>
  <c r="O402" i="16"/>
  <c r="G402" i="16"/>
  <c r="X401" i="16"/>
  <c r="P401" i="16"/>
  <c r="H401" i="16"/>
  <c r="Y400" i="16"/>
  <c r="Q400" i="16"/>
  <c r="I400" i="16"/>
  <c r="A400" i="16"/>
  <c r="R399" i="16"/>
  <c r="J399" i="16"/>
  <c r="B399" i="16"/>
  <c r="S398" i="16"/>
  <c r="K398" i="16"/>
  <c r="C398" i="16"/>
  <c r="T397" i="16"/>
  <c r="L397" i="16"/>
  <c r="D397" i="16"/>
  <c r="U396" i="16"/>
  <c r="M396" i="16"/>
  <c r="E396" i="16"/>
  <c r="V395" i="16"/>
  <c r="N395" i="16"/>
  <c r="F395" i="16"/>
  <c r="W394" i="16"/>
  <c r="O394" i="16"/>
  <c r="G394" i="16"/>
  <c r="X393" i="16"/>
  <c r="P393" i="16"/>
  <c r="H393" i="16"/>
  <c r="Y392" i="16"/>
  <c r="Q392" i="16"/>
  <c r="I392" i="16"/>
  <c r="A392" i="16"/>
  <c r="R391" i="16"/>
  <c r="J391" i="16"/>
  <c r="B391" i="16"/>
  <c r="S390" i="16"/>
  <c r="K390" i="16"/>
  <c r="C390" i="16"/>
  <c r="T389" i="16"/>
  <c r="L389" i="16"/>
  <c r="D389" i="16"/>
  <c r="U388" i="16"/>
  <c r="M388" i="16"/>
  <c r="E388" i="16"/>
  <c r="V387" i="16"/>
  <c r="N387" i="16"/>
  <c r="F387" i="16"/>
  <c r="W386" i="16"/>
  <c r="O386" i="16"/>
  <c r="G386" i="16"/>
  <c r="X385" i="16"/>
  <c r="P385" i="16"/>
  <c r="H385" i="16"/>
  <c r="Y384" i="16"/>
  <c r="Q384" i="16"/>
  <c r="I384" i="16"/>
  <c r="A384" i="16"/>
  <c r="R383" i="16"/>
  <c r="J383" i="16"/>
  <c r="B383" i="16"/>
  <c r="S382" i="16"/>
  <c r="K382" i="16"/>
  <c r="C382" i="16"/>
  <c r="T381" i="16"/>
  <c r="L381" i="16"/>
  <c r="D381" i="16"/>
  <c r="U380" i="16"/>
  <c r="M380" i="16"/>
  <c r="E380" i="16"/>
  <c r="V379" i="16"/>
  <c r="N379" i="16"/>
  <c r="F379" i="16"/>
  <c r="W378" i="16"/>
  <c r="O378" i="16"/>
  <c r="G378" i="16"/>
  <c r="X377" i="16"/>
  <c r="P377" i="16"/>
  <c r="H377" i="16"/>
  <c r="Y376" i="16"/>
  <c r="Q376" i="16"/>
  <c r="I376" i="16"/>
  <c r="A376" i="16"/>
  <c r="R375" i="16"/>
  <c r="J375" i="16"/>
  <c r="B375" i="16"/>
  <c r="S374" i="16"/>
  <c r="K374" i="16"/>
  <c r="C374" i="16"/>
  <c r="T373" i="16"/>
  <c r="L373" i="16"/>
  <c r="D373" i="16"/>
  <c r="U372" i="16"/>
  <c r="M372" i="16"/>
  <c r="E372" i="16"/>
  <c r="V371" i="16"/>
  <c r="N371" i="16"/>
  <c r="F371" i="16"/>
  <c r="W370" i="16"/>
  <c r="O370" i="16"/>
  <c r="G370" i="16"/>
  <c r="X369" i="16"/>
  <c r="P369" i="16"/>
  <c r="H369" i="16"/>
  <c r="Y368" i="16"/>
  <c r="Q368" i="16"/>
  <c r="I368" i="16"/>
  <c r="A368" i="16"/>
  <c r="R367" i="16"/>
  <c r="J367" i="16"/>
  <c r="B367" i="16"/>
  <c r="S366" i="16"/>
  <c r="K366" i="16"/>
  <c r="C366" i="16"/>
  <c r="T365" i="16"/>
  <c r="L365" i="16"/>
  <c r="D365" i="16"/>
  <c r="U364" i="16"/>
  <c r="M364" i="16"/>
  <c r="E364" i="16"/>
  <c r="V363" i="16"/>
  <c r="N363" i="16"/>
  <c r="F363" i="16"/>
  <c r="W362" i="16"/>
  <c r="O362" i="16"/>
  <c r="G362" i="16"/>
  <c r="X361" i="16"/>
  <c r="P361" i="16"/>
  <c r="H361" i="16"/>
  <c r="Y360" i="16"/>
  <c r="Q360" i="16"/>
  <c r="I360" i="16"/>
  <c r="A360" i="16"/>
  <c r="R359" i="16"/>
  <c r="J359" i="16"/>
  <c r="B359" i="16"/>
  <c r="S358" i="16"/>
  <c r="K358" i="16"/>
  <c r="C358" i="16"/>
  <c r="T357" i="16"/>
  <c r="L357" i="16"/>
  <c r="D357" i="16"/>
  <c r="U356" i="16"/>
  <c r="M356" i="16"/>
  <c r="E356" i="16"/>
  <c r="V355" i="16"/>
  <c r="N355" i="16"/>
  <c r="F355" i="16"/>
  <c r="W354" i="16"/>
  <c r="O354" i="16"/>
  <c r="G354" i="16"/>
  <c r="X353" i="16"/>
  <c r="P353" i="16"/>
  <c r="H353" i="16"/>
  <c r="Y352" i="16"/>
  <c r="Q352" i="16"/>
  <c r="I352" i="16"/>
  <c r="A352" i="16"/>
  <c r="R351" i="16"/>
  <c r="J351" i="16"/>
  <c r="B351" i="16"/>
  <c r="S350" i="16"/>
  <c r="K350" i="16"/>
  <c r="C350" i="16"/>
  <c r="T349" i="16"/>
  <c r="L349" i="16"/>
  <c r="D349" i="16"/>
  <c r="U348" i="16"/>
  <c r="M348" i="16"/>
  <c r="E348" i="16"/>
  <c r="V347" i="16"/>
  <c r="N347" i="16"/>
  <c r="F347" i="16"/>
  <c r="W346" i="16"/>
  <c r="O346" i="16"/>
  <c r="G346" i="16"/>
  <c r="X345" i="16"/>
  <c r="P345" i="16"/>
  <c r="H345" i="16"/>
  <c r="Y344" i="16"/>
  <c r="Q344" i="16"/>
  <c r="I344" i="16"/>
  <c r="A344" i="16"/>
  <c r="R343" i="16"/>
  <c r="J343" i="16"/>
  <c r="B343" i="16"/>
  <c r="S342" i="16"/>
  <c r="K342" i="16"/>
  <c r="C342" i="16"/>
  <c r="T341" i="16"/>
  <c r="L341" i="16"/>
  <c r="D341" i="16"/>
  <c r="U340" i="16"/>
  <c r="M340" i="16"/>
  <c r="E340" i="16"/>
  <c r="V339" i="16"/>
  <c r="N339" i="16"/>
  <c r="F339" i="16"/>
  <c r="W338" i="16"/>
  <c r="O338" i="16"/>
  <c r="G338" i="16"/>
  <c r="X337" i="16"/>
  <c r="P337" i="16"/>
  <c r="H337" i="16"/>
  <c r="Y336" i="16"/>
  <c r="Q336" i="16"/>
  <c r="I336" i="16"/>
  <c r="A336" i="16"/>
  <c r="R335" i="16"/>
  <c r="J335" i="16"/>
  <c r="B335" i="16"/>
  <c r="S334" i="16"/>
  <c r="K334" i="16"/>
  <c r="C334" i="16"/>
  <c r="T333" i="16"/>
  <c r="L333" i="16"/>
  <c r="D333" i="16"/>
  <c r="U332" i="16"/>
  <c r="M332" i="16"/>
  <c r="E332" i="16"/>
  <c r="V331" i="16"/>
  <c r="N331" i="16"/>
  <c r="F331" i="16"/>
  <c r="W330" i="16"/>
  <c r="O330" i="16"/>
  <c r="G330" i="16"/>
  <c r="X329" i="16"/>
  <c r="P329" i="16"/>
  <c r="H329" i="16"/>
  <c r="Y328" i="16"/>
  <c r="Q328" i="16"/>
  <c r="I328" i="16"/>
  <c r="A328" i="16"/>
  <c r="R327" i="16"/>
  <c r="J327" i="16"/>
  <c r="B327" i="16"/>
  <c r="S326" i="16"/>
  <c r="K326" i="16"/>
  <c r="C326" i="16"/>
  <c r="T325" i="16"/>
  <c r="L325" i="16"/>
  <c r="D325" i="16"/>
  <c r="U324" i="16"/>
  <c r="M324" i="16"/>
  <c r="E324" i="16"/>
  <c r="V323" i="16"/>
  <c r="N323" i="16"/>
  <c r="F323" i="16"/>
  <c r="W322" i="16"/>
  <c r="O322" i="16"/>
  <c r="G322" i="16"/>
  <c r="X321" i="16"/>
  <c r="P321" i="16"/>
  <c r="H321" i="16"/>
  <c r="Y320" i="16"/>
  <c r="Q320" i="16"/>
  <c r="I320" i="16"/>
  <c r="A320" i="16"/>
  <c r="R319" i="16"/>
  <c r="J319" i="16"/>
  <c r="B319" i="16"/>
  <c r="S318" i="16"/>
  <c r="K318" i="16"/>
  <c r="C318" i="16"/>
  <c r="T317" i="16"/>
  <c r="L317" i="16"/>
  <c r="D317" i="16"/>
  <c r="U316" i="16"/>
  <c r="M316" i="16"/>
  <c r="E316" i="16"/>
  <c r="V315" i="16"/>
  <c r="N315" i="16"/>
  <c r="F315" i="16"/>
  <c r="W314" i="16"/>
  <c r="O314" i="16"/>
  <c r="G314" i="16"/>
  <c r="X313" i="16"/>
  <c r="P313" i="16"/>
  <c r="H313" i="16"/>
  <c r="Y312" i="16"/>
  <c r="Q312" i="16"/>
  <c r="I312" i="16"/>
  <c r="A312" i="16"/>
  <c r="R311" i="16"/>
  <c r="J311" i="16"/>
  <c r="B311" i="16"/>
  <c r="S310" i="16"/>
  <c r="K310" i="16"/>
  <c r="C310" i="16"/>
  <c r="T309" i="16"/>
  <c r="L309" i="16"/>
  <c r="D309" i="16"/>
  <c r="U308" i="16"/>
  <c r="M308" i="16"/>
  <c r="E308" i="16"/>
  <c r="V307" i="16"/>
  <c r="N307" i="16"/>
  <c r="F307" i="16"/>
  <c r="W306" i="16"/>
  <c r="O306" i="16"/>
  <c r="G306" i="16"/>
  <c r="X305" i="16"/>
  <c r="P305" i="16"/>
  <c r="H305" i="16"/>
  <c r="Y304" i="16"/>
  <c r="Q304" i="16"/>
  <c r="I304" i="16"/>
  <c r="A304" i="16"/>
  <c r="R303" i="16"/>
  <c r="J303" i="16"/>
  <c r="B303" i="16"/>
  <c r="S302" i="16"/>
  <c r="K302" i="16"/>
  <c r="C302" i="16"/>
  <c r="T301" i="16"/>
  <c r="L301" i="16"/>
  <c r="D301" i="16"/>
  <c r="U300" i="16"/>
  <c r="M300" i="16"/>
  <c r="E300" i="16"/>
  <c r="V299" i="16"/>
  <c r="N299" i="16"/>
  <c r="F299" i="16"/>
  <c r="W298" i="16"/>
  <c r="O298" i="16"/>
  <c r="G298" i="16"/>
  <c r="X297" i="16"/>
  <c r="P297" i="16"/>
  <c r="H297" i="16"/>
  <c r="Y296" i="16"/>
  <c r="Q296" i="16"/>
  <c r="I296" i="16"/>
  <c r="A296" i="16"/>
  <c r="R295" i="16"/>
  <c r="J295" i="16"/>
  <c r="B295" i="16"/>
  <c r="S294" i="16"/>
  <c r="K294" i="16"/>
  <c r="C294" i="16"/>
  <c r="T293" i="16"/>
  <c r="L293" i="16"/>
  <c r="D293" i="16"/>
  <c r="U292" i="16"/>
  <c r="M292" i="16"/>
  <c r="E292" i="16"/>
  <c r="V291" i="16"/>
  <c r="N291" i="16"/>
  <c r="F291" i="16"/>
  <c r="W290" i="16"/>
  <c r="O290" i="16"/>
  <c r="G290" i="16"/>
  <c r="X289" i="16"/>
  <c r="P289" i="16"/>
  <c r="H289" i="16"/>
  <c r="Y288" i="16"/>
  <c r="Q288" i="16"/>
  <c r="I288" i="16"/>
  <c r="A288" i="16"/>
  <c r="R287" i="16"/>
  <c r="J287" i="16"/>
  <c r="B287" i="16"/>
  <c r="S286" i="16"/>
  <c r="K286" i="16"/>
  <c r="C286" i="16"/>
  <c r="T285" i="16"/>
  <c r="L285" i="16"/>
  <c r="D285" i="16"/>
  <c r="U284" i="16"/>
  <c r="M284" i="16"/>
  <c r="E284" i="16"/>
  <c r="V283" i="16"/>
  <c r="N283" i="16"/>
  <c r="F283" i="16"/>
  <c r="W282" i="16"/>
  <c r="O282" i="16"/>
  <c r="G282" i="16"/>
  <c r="X281" i="16"/>
  <c r="P281" i="16"/>
  <c r="H281" i="16"/>
  <c r="Y280" i="16"/>
  <c r="Q280" i="16"/>
  <c r="I280" i="16"/>
  <c r="A280" i="16"/>
  <c r="R279" i="16"/>
  <c r="J279" i="16"/>
  <c r="B279" i="16"/>
  <c r="S278" i="16"/>
  <c r="K278" i="16"/>
  <c r="C278" i="16"/>
  <c r="T277" i="16"/>
  <c r="L277" i="16"/>
  <c r="D277" i="16"/>
  <c r="U276" i="16"/>
  <c r="M276" i="16"/>
  <c r="E276" i="16"/>
  <c r="V275" i="16"/>
  <c r="N275" i="16"/>
  <c r="F275" i="16"/>
  <c r="W274" i="16"/>
  <c r="O274" i="16"/>
  <c r="G274" i="16"/>
  <c r="X273" i="16"/>
  <c r="P273" i="16"/>
  <c r="H273" i="16"/>
  <c r="Y272" i="16"/>
  <c r="Q272" i="16"/>
  <c r="I272" i="16"/>
  <c r="A272" i="16"/>
  <c r="R271" i="16"/>
  <c r="J271" i="16"/>
  <c r="B271" i="16"/>
  <c r="S270" i="16"/>
  <c r="K270" i="16"/>
  <c r="C270" i="16"/>
  <c r="T269" i="16"/>
  <c r="L269" i="16"/>
  <c r="D269" i="16"/>
  <c r="U268" i="16"/>
  <c r="M268" i="16"/>
  <c r="E268" i="16"/>
  <c r="V267" i="16"/>
  <c r="N267" i="16"/>
  <c r="F267" i="16"/>
  <c r="W266" i="16"/>
  <c r="O266" i="16"/>
  <c r="G266" i="16"/>
  <c r="X265" i="16"/>
  <c r="P265" i="16"/>
  <c r="H265" i="16"/>
  <c r="Y264" i="16"/>
  <c r="Q264" i="16"/>
  <c r="I264" i="16"/>
  <c r="A264" i="16"/>
  <c r="R263" i="16"/>
  <c r="J263" i="16"/>
  <c r="B263" i="16"/>
  <c r="S262" i="16"/>
  <c r="K262" i="16"/>
  <c r="C262" i="16"/>
  <c r="T261" i="16"/>
  <c r="L261" i="16"/>
  <c r="D261" i="16"/>
  <c r="U260" i="16"/>
  <c r="M260" i="16"/>
  <c r="E260" i="16"/>
  <c r="V259" i="16"/>
  <c r="N259" i="16"/>
  <c r="F259" i="16"/>
  <c r="W258" i="16"/>
  <c r="O258" i="16"/>
  <c r="G258" i="16"/>
  <c r="X257" i="16"/>
  <c r="P257" i="16"/>
  <c r="H257" i="16"/>
  <c r="Y256" i="16"/>
  <c r="Q256" i="16"/>
  <c r="I256" i="16"/>
  <c r="A256" i="16"/>
  <c r="R255" i="16"/>
  <c r="J255" i="16"/>
  <c r="B255" i="16"/>
  <c r="S254" i="16"/>
  <c r="K254" i="16"/>
  <c r="C254" i="16"/>
  <c r="T253" i="16"/>
  <c r="L253" i="16"/>
  <c r="D253" i="16"/>
  <c r="U252" i="16"/>
  <c r="M252" i="16"/>
  <c r="E252" i="16"/>
  <c r="V251" i="16"/>
  <c r="N251" i="16"/>
  <c r="F251" i="16"/>
  <c r="W250" i="16"/>
  <c r="O250" i="16"/>
  <c r="G250" i="16"/>
  <c r="X249" i="16"/>
  <c r="P249" i="16"/>
  <c r="H249" i="16"/>
  <c r="Y248" i="16"/>
  <c r="Q248" i="16"/>
  <c r="I248" i="16"/>
  <c r="A248" i="16"/>
  <c r="R247" i="16"/>
  <c r="J247" i="16"/>
  <c r="B247" i="16"/>
  <c r="S246" i="16"/>
  <c r="K246" i="16"/>
  <c r="C246" i="16"/>
  <c r="T245" i="16"/>
  <c r="L245" i="16"/>
  <c r="D245" i="16"/>
  <c r="U244" i="16"/>
  <c r="M244" i="16"/>
  <c r="E244" i="16"/>
  <c r="V243" i="16"/>
  <c r="N243" i="16"/>
  <c r="F243" i="16"/>
  <c r="W242" i="16"/>
  <c r="O242" i="16"/>
  <c r="G242" i="16"/>
  <c r="X241" i="16"/>
  <c r="P241" i="16"/>
  <c r="H241" i="16"/>
  <c r="Y240" i="16"/>
  <c r="Q240" i="16"/>
  <c r="I240" i="16"/>
  <c r="A240" i="16"/>
  <c r="R239" i="16"/>
  <c r="J239" i="16"/>
  <c r="B239" i="16"/>
  <c r="S238" i="16"/>
  <c r="K238" i="16"/>
  <c r="C238" i="16"/>
  <c r="T237" i="16"/>
  <c r="L237" i="16"/>
  <c r="D237" i="16"/>
  <c r="U236" i="16"/>
  <c r="M236" i="16"/>
  <c r="E236" i="16"/>
  <c r="V235" i="16"/>
  <c r="N235" i="16"/>
  <c r="F235" i="16"/>
  <c r="W234" i="16"/>
  <c r="O234" i="16"/>
  <c r="G234" i="16"/>
  <c r="X233" i="16"/>
  <c r="P233" i="16"/>
  <c r="H233" i="16"/>
  <c r="Y232" i="16"/>
  <c r="Q232" i="16"/>
  <c r="I232" i="16"/>
  <c r="A232" i="16"/>
  <c r="R231" i="16"/>
  <c r="J231" i="16"/>
  <c r="B231" i="16"/>
  <c r="S230" i="16"/>
  <c r="K230" i="16"/>
  <c r="C230" i="16"/>
  <c r="T229" i="16"/>
  <c r="L229" i="16"/>
  <c r="D229" i="16"/>
  <c r="U228" i="16"/>
  <c r="M228" i="16"/>
  <c r="E228" i="16"/>
  <c r="V227" i="16"/>
  <c r="N227" i="16"/>
  <c r="F227" i="16"/>
  <c r="W226" i="16"/>
  <c r="O226" i="16"/>
  <c r="G226" i="16"/>
  <c r="X225" i="16"/>
  <c r="P225" i="16"/>
  <c r="H225" i="16"/>
  <c r="Y224" i="16"/>
  <c r="Q224" i="16"/>
  <c r="I224" i="16"/>
  <c r="A224" i="16"/>
  <c r="R223" i="16"/>
  <c r="J223" i="16"/>
  <c r="B223" i="16"/>
  <c r="S222" i="16"/>
  <c r="K222" i="16"/>
  <c r="C222" i="16"/>
  <c r="U221" i="16"/>
  <c r="P221" i="16"/>
  <c r="J221" i="16"/>
  <c r="E221" i="16"/>
  <c r="Y220" i="16"/>
  <c r="S220" i="16"/>
  <c r="N220" i="16"/>
  <c r="I220" i="16"/>
  <c r="C220" i="16"/>
  <c r="W219" i="16"/>
  <c r="R219" i="16"/>
  <c r="L219" i="16"/>
  <c r="G219" i="16"/>
  <c r="B219" i="16"/>
  <c r="U218" i="16"/>
  <c r="P218" i="16"/>
  <c r="K218" i="16"/>
  <c r="E218" i="16"/>
  <c r="Y217" i="16"/>
  <c r="T217" i="16"/>
  <c r="N217" i="16"/>
  <c r="I217" i="16"/>
  <c r="D217" i="16"/>
  <c r="W216" i="16"/>
  <c r="R216" i="16"/>
  <c r="M216" i="16"/>
  <c r="G216" i="16"/>
  <c r="B216" i="16"/>
  <c r="V215" i="16"/>
  <c r="P215" i="16"/>
  <c r="K215" i="16"/>
  <c r="F215" i="16"/>
  <c r="Y214" i="16"/>
  <c r="T214" i="16"/>
  <c r="O214" i="16"/>
  <c r="I214" i="16"/>
  <c r="D214" i="16"/>
  <c r="X213" i="16"/>
  <c r="R213" i="16"/>
  <c r="M213" i="16"/>
  <c r="H213" i="16"/>
  <c r="B213" i="16"/>
  <c r="V212" i="16"/>
  <c r="Q212" i="16"/>
  <c r="K212" i="16"/>
  <c r="F212" i="16"/>
  <c r="A212" i="16"/>
  <c r="T211" i="16"/>
  <c r="O211" i="16"/>
  <c r="J211" i="16"/>
  <c r="D211" i="16"/>
  <c r="X210" i="16"/>
  <c r="S210" i="16"/>
  <c r="M210" i="16"/>
  <c r="H210" i="16"/>
  <c r="C210" i="16"/>
  <c r="V209" i="16"/>
  <c r="Q209" i="16"/>
  <c r="L209" i="16"/>
  <c r="F209" i="16"/>
  <c r="A209" i="16"/>
  <c r="U208" i="16"/>
  <c r="O208" i="16"/>
  <c r="J208" i="16"/>
  <c r="E208" i="16"/>
  <c r="X207" i="16"/>
  <c r="S207" i="16"/>
  <c r="N207" i="16"/>
  <c r="H207" i="16"/>
  <c r="C207" i="16"/>
  <c r="W206" i="16"/>
  <c r="Q206" i="16"/>
  <c r="L206" i="16"/>
  <c r="G206" i="16"/>
  <c r="A206" i="16"/>
  <c r="U205" i="16"/>
  <c r="P205" i="16"/>
  <c r="J205" i="16"/>
  <c r="E205" i="16"/>
  <c r="Y204" i="16"/>
  <c r="S204" i="16"/>
  <c r="N204" i="16"/>
  <c r="I204" i="16"/>
  <c r="C204" i="16"/>
  <c r="W203" i="16"/>
  <c r="R203" i="16"/>
  <c r="L203" i="16"/>
  <c r="G203" i="16"/>
  <c r="B203" i="16"/>
  <c r="U202" i="16"/>
  <c r="P202" i="16"/>
  <c r="K202" i="16"/>
  <c r="E202" i="16"/>
  <c r="Y201" i="16"/>
  <c r="T201" i="16"/>
  <c r="N201" i="16"/>
  <c r="I201" i="16"/>
  <c r="D201" i="16"/>
  <c r="W200" i="16"/>
  <c r="R200" i="16"/>
  <c r="M200" i="16"/>
  <c r="G200" i="16"/>
  <c r="B200" i="16"/>
  <c r="V199" i="16"/>
  <c r="P199" i="16"/>
  <c r="K199" i="16"/>
  <c r="F199" i="16"/>
  <c r="Y198" i="16"/>
  <c r="T198" i="16"/>
  <c r="O198" i="16"/>
  <c r="I198" i="16"/>
  <c r="D198" i="16"/>
  <c r="X197" i="16"/>
  <c r="S197" i="16"/>
  <c r="O197" i="16"/>
  <c r="K197" i="16"/>
  <c r="G197" i="16"/>
  <c r="C197" i="16"/>
  <c r="X196" i="16"/>
  <c r="T196" i="16"/>
  <c r="P196" i="16"/>
  <c r="L196" i="16"/>
  <c r="H196" i="16"/>
  <c r="D196" i="16"/>
  <c r="Y195" i="16"/>
  <c r="U195" i="16"/>
  <c r="Q195" i="16"/>
  <c r="M195" i="16"/>
  <c r="I195" i="16"/>
  <c r="E195" i="16"/>
  <c r="A195" i="16"/>
  <c r="V194" i="16"/>
  <c r="R194" i="16"/>
  <c r="N194" i="16"/>
  <c r="J194" i="16"/>
  <c r="F194" i="16"/>
  <c r="B194" i="16"/>
  <c r="W193" i="16"/>
  <c r="S193" i="16"/>
  <c r="O193" i="16"/>
  <c r="K193" i="16"/>
  <c r="G193" i="16"/>
  <c r="C193" i="16"/>
  <c r="X192" i="16"/>
  <c r="T192" i="16"/>
  <c r="P192" i="16"/>
  <c r="L192" i="16"/>
  <c r="H192" i="16"/>
  <c r="D192" i="16"/>
  <c r="Y191" i="16"/>
  <c r="U191" i="16"/>
  <c r="Q191" i="16"/>
  <c r="M191" i="16"/>
  <c r="I191" i="16"/>
  <c r="E191" i="16"/>
  <c r="A191" i="16"/>
  <c r="V190" i="16"/>
  <c r="R190" i="16"/>
  <c r="N190" i="16"/>
  <c r="J190" i="16"/>
  <c r="F190" i="16"/>
  <c r="B190" i="16"/>
  <c r="W189" i="16"/>
  <c r="S189" i="16"/>
  <c r="O189" i="16"/>
  <c r="K189" i="16"/>
  <c r="G189" i="16"/>
  <c r="C189" i="16"/>
  <c r="X188" i="16"/>
  <c r="T188" i="16"/>
  <c r="P188" i="16"/>
  <c r="L188" i="16"/>
  <c r="H188" i="16"/>
  <c r="D188" i="16"/>
  <c r="Y187" i="16"/>
  <c r="U187" i="16"/>
  <c r="Q187" i="16"/>
  <c r="M187" i="16"/>
  <c r="I187" i="16"/>
  <c r="E187" i="16"/>
  <c r="A187" i="16"/>
  <c r="V186" i="16"/>
  <c r="R186" i="16"/>
  <c r="N186" i="16"/>
  <c r="J186" i="16"/>
  <c r="F186" i="16"/>
  <c r="B186" i="16"/>
  <c r="W185" i="16"/>
  <c r="S185" i="16"/>
  <c r="O185" i="16"/>
  <c r="K185" i="16"/>
  <c r="G185" i="16"/>
  <c r="C185" i="16"/>
  <c r="X184" i="16"/>
  <c r="T184" i="16"/>
  <c r="P184" i="16"/>
  <c r="L184" i="16"/>
  <c r="H184" i="16"/>
  <c r="D184" i="16"/>
  <c r="Y183" i="16"/>
  <c r="U183" i="16"/>
  <c r="Q183" i="16"/>
  <c r="M183" i="16"/>
  <c r="I183" i="16"/>
  <c r="E183" i="16"/>
  <c r="A183" i="16"/>
  <c r="V182" i="16"/>
  <c r="R182" i="16"/>
  <c r="N182" i="16"/>
  <c r="J182" i="16"/>
  <c r="F182" i="16"/>
  <c r="B182" i="16"/>
  <c r="W181" i="16"/>
  <c r="S181" i="16"/>
  <c r="O181" i="16"/>
  <c r="K181" i="16"/>
  <c r="G181" i="16"/>
  <c r="C181" i="16"/>
  <c r="X180" i="16"/>
  <c r="T180" i="16"/>
  <c r="P180" i="16"/>
  <c r="L180" i="16"/>
  <c r="H180" i="16"/>
  <c r="D180" i="16"/>
  <c r="Y179" i="16"/>
  <c r="U179" i="16"/>
  <c r="Q179" i="16"/>
  <c r="M179" i="16"/>
  <c r="I179" i="16"/>
  <c r="E179" i="16"/>
  <c r="A179" i="16"/>
  <c r="V178" i="16"/>
  <c r="R178" i="16"/>
  <c r="N178" i="16"/>
  <c r="J178" i="16"/>
  <c r="F178" i="16"/>
  <c r="B178" i="16"/>
  <c r="W177" i="16"/>
  <c r="S177" i="16"/>
  <c r="O177" i="16"/>
  <c r="K177" i="16"/>
  <c r="G177" i="16"/>
  <c r="C177" i="16"/>
  <c r="X176" i="16"/>
  <c r="T176" i="16"/>
  <c r="P176" i="16"/>
  <c r="L176" i="16"/>
  <c r="H176" i="16"/>
  <c r="D176" i="16"/>
  <c r="Y175" i="16"/>
  <c r="U175" i="16"/>
  <c r="Q175" i="16"/>
  <c r="M175" i="16"/>
  <c r="I175" i="16"/>
  <c r="E175" i="16"/>
  <c r="A175" i="16"/>
  <c r="V174" i="16"/>
  <c r="R174" i="16"/>
  <c r="N174" i="16"/>
  <c r="J174" i="16"/>
  <c r="F174" i="16"/>
  <c r="B174" i="16"/>
  <c r="W173" i="16"/>
  <c r="S173" i="16"/>
  <c r="O173" i="16"/>
  <c r="K173" i="16"/>
  <c r="G173" i="16"/>
  <c r="C173" i="16"/>
  <c r="X172" i="16"/>
  <c r="T172" i="16"/>
  <c r="P172" i="16"/>
  <c r="L172" i="16"/>
  <c r="H172" i="16"/>
  <c r="D172" i="16"/>
  <c r="Y171" i="16"/>
  <c r="U171" i="16"/>
  <c r="Q171" i="16"/>
  <c r="M171" i="16"/>
  <c r="I171" i="16"/>
  <c r="E171" i="16"/>
  <c r="A171" i="16"/>
  <c r="V170" i="16"/>
  <c r="R170" i="16"/>
  <c r="N170" i="16"/>
  <c r="J170" i="16"/>
  <c r="F170" i="16"/>
  <c r="B170" i="16"/>
  <c r="W169" i="16"/>
  <c r="S169" i="16"/>
  <c r="O169" i="16"/>
  <c r="K169" i="16"/>
  <c r="G169" i="16"/>
  <c r="C169" i="16"/>
  <c r="X168" i="16"/>
  <c r="T168" i="16"/>
  <c r="P168" i="16"/>
  <c r="L168" i="16"/>
  <c r="H168" i="16"/>
  <c r="D168" i="16"/>
  <c r="Y167" i="16"/>
  <c r="U167" i="16"/>
  <c r="Q167" i="16"/>
  <c r="M167" i="16"/>
  <c r="I167" i="16"/>
  <c r="E167" i="16"/>
  <c r="A167" i="16"/>
  <c r="V166" i="16"/>
  <c r="R166" i="16"/>
  <c r="N166" i="16"/>
  <c r="J166" i="16"/>
  <c r="F166" i="16"/>
  <c r="B166" i="16"/>
  <c r="W165" i="16"/>
  <c r="S165" i="16"/>
  <c r="O165" i="16"/>
  <c r="K165" i="16"/>
  <c r="G165" i="16"/>
  <c r="C165" i="16"/>
  <c r="X164" i="16"/>
  <c r="T164" i="16"/>
  <c r="P164" i="16"/>
  <c r="L164" i="16"/>
  <c r="H164" i="16"/>
  <c r="D164" i="16"/>
  <c r="Y163" i="16"/>
  <c r="U163" i="16"/>
  <c r="Q163" i="16"/>
  <c r="M163" i="16"/>
  <c r="I163" i="16"/>
  <c r="E163" i="16"/>
  <c r="A163" i="16"/>
  <c r="V162" i="16"/>
  <c r="R162" i="16"/>
  <c r="N162" i="16"/>
  <c r="J162" i="16"/>
  <c r="F162" i="16"/>
  <c r="B162" i="16"/>
  <c r="W161" i="16"/>
  <c r="S161" i="16"/>
  <c r="O161" i="16"/>
  <c r="K161" i="16"/>
  <c r="G161" i="16"/>
  <c r="C161" i="16"/>
  <c r="X160" i="16"/>
  <c r="T160" i="16"/>
  <c r="P160" i="16"/>
  <c r="L160" i="16"/>
  <c r="H160" i="16"/>
  <c r="D160" i="16"/>
  <c r="Y159" i="16"/>
  <c r="U159" i="16"/>
  <c r="Q159" i="16"/>
  <c r="M159" i="16"/>
  <c r="I159" i="16"/>
  <c r="E159" i="16"/>
  <c r="A159" i="16"/>
  <c r="V158" i="16"/>
  <c r="R158" i="16"/>
  <c r="N158" i="16"/>
  <c r="J158" i="16"/>
  <c r="F158" i="16"/>
  <c r="B158" i="16"/>
  <c r="W157" i="16"/>
  <c r="S157" i="16"/>
  <c r="O157" i="16"/>
  <c r="K157" i="16"/>
  <c r="G157" i="16"/>
  <c r="C157" i="16"/>
  <c r="X156" i="16"/>
  <c r="T156" i="16"/>
  <c r="P156" i="16"/>
  <c r="L156" i="16"/>
  <c r="H156" i="16"/>
  <c r="D156" i="16"/>
  <c r="Y155" i="16"/>
  <c r="U155" i="16"/>
  <c r="Q155" i="16"/>
  <c r="M155" i="16"/>
  <c r="I155" i="16"/>
  <c r="E155" i="16"/>
  <c r="A155" i="16"/>
  <c r="V154" i="16"/>
  <c r="R154" i="16"/>
  <c r="N154" i="16"/>
  <c r="J154" i="16"/>
  <c r="F154" i="16"/>
  <c r="B154" i="16"/>
  <c r="W153" i="16"/>
  <c r="S153" i="16"/>
  <c r="O153" i="16"/>
  <c r="K153" i="16"/>
  <c r="G153" i="16"/>
  <c r="C153" i="16"/>
  <c r="X152" i="16"/>
  <c r="T152" i="16"/>
  <c r="P152" i="16"/>
  <c r="L152" i="16"/>
  <c r="H152" i="16"/>
  <c r="D152" i="16"/>
  <c r="Y151" i="16"/>
  <c r="U151" i="16"/>
  <c r="Q151" i="16"/>
  <c r="M151" i="16"/>
  <c r="I151" i="16"/>
  <c r="E151" i="16"/>
  <c r="A151" i="16"/>
  <c r="V150" i="16"/>
  <c r="R150" i="16"/>
  <c r="N150" i="16"/>
  <c r="J150" i="16"/>
  <c r="F150" i="16"/>
  <c r="B150" i="16"/>
  <c r="W149" i="16"/>
  <c r="S149" i="16"/>
  <c r="O149" i="16"/>
  <c r="K149" i="16"/>
  <c r="G149" i="16"/>
  <c r="C149" i="16"/>
  <c r="X148" i="16"/>
  <c r="T148" i="16"/>
  <c r="P148" i="16"/>
  <c r="L148" i="16"/>
  <c r="H148" i="16"/>
  <c r="D148" i="16"/>
  <c r="Y147" i="16"/>
  <c r="U147" i="16"/>
  <c r="Q147" i="16"/>
  <c r="M147" i="16"/>
  <c r="I147" i="16"/>
  <c r="E147" i="16"/>
  <c r="A147" i="16"/>
  <c r="V146" i="16"/>
  <c r="R146" i="16"/>
  <c r="N146" i="16"/>
  <c r="J146" i="16"/>
  <c r="F146" i="16"/>
  <c r="B146" i="16"/>
  <c r="W145" i="16"/>
  <c r="S145" i="16"/>
  <c r="O145" i="16"/>
  <c r="K145" i="16"/>
  <c r="G145" i="16"/>
  <c r="C145" i="16"/>
  <c r="X144" i="16"/>
  <c r="T144" i="16"/>
  <c r="P144" i="16"/>
  <c r="L144" i="16"/>
  <c r="H144" i="16"/>
  <c r="D144" i="16"/>
  <c r="Y143" i="16"/>
  <c r="U143" i="16"/>
  <c r="Q143" i="16"/>
  <c r="M143" i="16"/>
  <c r="I143" i="16"/>
  <c r="E143" i="16"/>
  <c r="A143" i="16"/>
  <c r="V142" i="16"/>
  <c r="R142" i="16"/>
  <c r="N142" i="16"/>
  <c r="J142" i="16"/>
  <c r="F142" i="16"/>
  <c r="B142" i="16"/>
  <c r="W141" i="16"/>
  <c r="S141" i="16"/>
  <c r="O141" i="16"/>
  <c r="K141" i="16"/>
  <c r="G141" i="16"/>
  <c r="C141" i="16"/>
  <c r="X140" i="16"/>
  <c r="T140" i="16"/>
  <c r="P140" i="16"/>
  <c r="L140" i="16"/>
  <c r="H140" i="16"/>
  <c r="D140" i="16"/>
  <c r="Y139" i="16"/>
  <c r="U139" i="16"/>
  <c r="Q139" i="16"/>
  <c r="M139" i="16"/>
  <c r="I139" i="16"/>
  <c r="E139" i="16"/>
  <c r="A139" i="16"/>
  <c r="V138" i="16"/>
  <c r="R138" i="16"/>
  <c r="N138" i="16"/>
  <c r="J138" i="16"/>
  <c r="F138" i="16"/>
  <c r="B138" i="16"/>
  <c r="W137" i="16"/>
  <c r="S137" i="16"/>
  <c r="O137" i="16"/>
  <c r="K137" i="16"/>
  <c r="G137" i="16"/>
  <c r="C137" i="16"/>
  <c r="X136" i="16"/>
  <c r="T136" i="16"/>
  <c r="P136" i="16"/>
  <c r="L136" i="16"/>
  <c r="H136" i="16"/>
  <c r="D136" i="16"/>
  <c r="Y135" i="16"/>
  <c r="U135" i="16"/>
  <c r="Q135" i="16"/>
  <c r="M135" i="16"/>
  <c r="I135" i="16"/>
  <c r="E135" i="16"/>
  <c r="A135" i="16"/>
  <c r="V134" i="16"/>
  <c r="R134" i="16"/>
  <c r="N134" i="16"/>
  <c r="J134" i="16"/>
  <c r="F134" i="16"/>
  <c r="B134" i="16"/>
  <c r="W133" i="16"/>
  <c r="S133" i="16"/>
  <c r="O133" i="16"/>
  <c r="K133" i="16"/>
  <c r="G133" i="16"/>
  <c r="C133" i="16"/>
  <c r="X132" i="16"/>
  <c r="T132" i="16"/>
  <c r="P132" i="16"/>
  <c r="L132" i="16"/>
  <c r="H132" i="16"/>
  <c r="D132" i="16"/>
  <c r="Y131" i="16"/>
  <c r="U131" i="16"/>
  <c r="Q131" i="16"/>
  <c r="M131" i="16"/>
  <c r="I131" i="16"/>
  <c r="E131" i="16"/>
  <c r="A131" i="16"/>
  <c r="V130" i="16"/>
  <c r="R130" i="16"/>
  <c r="N130" i="16"/>
  <c r="J130" i="16"/>
  <c r="F130" i="16"/>
  <c r="B130" i="16"/>
  <c r="W129" i="16"/>
  <c r="S129" i="16"/>
  <c r="O129" i="16"/>
  <c r="K129" i="16"/>
  <c r="G129" i="16"/>
  <c r="C129" i="16"/>
  <c r="X128" i="16"/>
  <c r="T128" i="16"/>
  <c r="P128" i="16"/>
  <c r="L128" i="16"/>
  <c r="H128" i="16"/>
  <c r="D128" i="16"/>
  <c r="Y127" i="16"/>
  <c r="U127" i="16"/>
  <c r="Q127" i="16"/>
  <c r="M127" i="16"/>
  <c r="I127" i="16"/>
  <c r="E127" i="16"/>
  <c r="A127" i="16"/>
  <c r="V126" i="16"/>
  <c r="R126" i="16"/>
  <c r="N126" i="16"/>
  <c r="J126" i="16"/>
  <c r="F126" i="16"/>
  <c r="B126" i="16"/>
  <c r="W125" i="16"/>
  <c r="S125" i="16"/>
  <c r="O125" i="16"/>
  <c r="K125" i="16"/>
  <c r="G125" i="16"/>
  <c r="C125" i="16"/>
  <c r="X124" i="16"/>
  <c r="T124" i="16"/>
  <c r="P124" i="16"/>
  <c r="L124" i="16"/>
  <c r="H124" i="16"/>
  <c r="D124" i="16"/>
  <c r="Y123" i="16"/>
  <c r="U123" i="16"/>
  <c r="Q123" i="16"/>
  <c r="M123" i="16"/>
  <c r="I123" i="16"/>
  <c r="E123" i="16"/>
  <c r="A123" i="16"/>
  <c r="V122" i="16"/>
  <c r="R122" i="16"/>
  <c r="N122" i="16"/>
  <c r="J122" i="16"/>
  <c r="F122" i="16"/>
  <c r="B122" i="16"/>
  <c r="W121" i="16"/>
  <c r="S121" i="16"/>
  <c r="O121" i="16"/>
  <c r="K121" i="16"/>
  <c r="G121" i="16"/>
  <c r="C121" i="16"/>
  <c r="X120" i="16"/>
  <c r="T120" i="16"/>
  <c r="P120" i="16"/>
  <c r="L120" i="16"/>
  <c r="H120" i="16"/>
  <c r="D120" i="16"/>
  <c r="Y119" i="16"/>
  <c r="U119" i="16"/>
  <c r="Q119" i="16"/>
  <c r="M119" i="16"/>
  <c r="I119" i="16"/>
  <c r="E119" i="16"/>
  <c r="A119" i="16"/>
  <c r="V118" i="16"/>
  <c r="R118" i="16"/>
  <c r="N118" i="16"/>
  <c r="J118" i="16"/>
  <c r="F118" i="16"/>
  <c r="B118" i="16"/>
  <c r="W117" i="16"/>
  <c r="S117" i="16"/>
  <c r="O117" i="16"/>
  <c r="K117" i="16"/>
  <c r="G117" i="16"/>
  <c r="C117" i="16"/>
  <c r="X116" i="16"/>
  <c r="T116" i="16"/>
  <c r="P116" i="16"/>
  <c r="L116" i="16"/>
  <c r="H116" i="16"/>
  <c r="D116" i="16"/>
  <c r="Y115" i="16"/>
  <c r="U115" i="16"/>
  <c r="Q115" i="16"/>
  <c r="M115" i="16"/>
  <c r="I115" i="16"/>
  <c r="E115" i="16"/>
  <c r="A115" i="16"/>
  <c r="V114" i="16"/>
  <c r="R114" i="16"/>
  <c r="N114" i="16"/>
  <c r="J114" i="16"/>
  <c r="F114" i="16"/>
  <c r="B114" i="16"/>
  <c r="W113" i="16"/>
  <c r="S113" i="16"/>
  <c r="O113" i="16"/>
  <c r="K113" i="16"/>
  <c r="G113" i="16"/>
  <c r="C113" i="16"/>
  <c r="X112" i="16"/>
  <c r="T112" i="16"/>
  <c r="P112" i="16"/>
  <c r="L112" i="16"/>
  <c r="H112" i="16"/>
  <c r="D112" i="16"/>
  <c r="Y111" i="16"/>
  <c r="U111" i="16"/>
  <c r="Q111" i="16"/>
  <c r="M111" i="16"/>
  <c r="I111" i="16"/>
  <c r="E111" i="16"/>
  <c r="A111" i="16"/>
  <c r="V110" i="16"/>
  <c r="R110" i="16"/>
  <c r="N110" i="16"/>
  <c r="J110" i="16"/>
  <c r="F110" i="16"/>
  <c r="B110" i="16"/>
  <c r="W109" i="16"/>
  <c r="S109" i="16"/>
  <c r="O109" i="16"/>
  <c r="K109" i="16"/>
  <c r="G109" i="16"/>
  <c r="C109" i="16"/>
  <c r="X108" i="16"/>
  <c r="T108" i="16"/>
  <c r="P108" i="16"/>
  <c r="L108" i="16"/>
  <c r="H108" i="16"/>
  <c r="D108" i="16"/>
  <c r="Y107" i="16"/>
  <c r="U107" i="16"/>
  <c r="Q107" i="16"/>
  <c r="M107" i="16"/>
  <c r="I107" i="16"/>
  <c r="E107" i="16"/>
  <c r="A107" i="16"/>
  <c r="V106" i="16"/>
  <c r="R106" i="16"/>
  <c r="N106" i="16"/>
  <c r="J106" i="16"/>
  <c r="F106" i="16"/>
  <c r="B106" i="16"/>
  <c r="W105" i="16"/>
  <c r="S105" i="16"/>
  <c r="O105" i="16"/>
  <c r="K105" i="16"/>
  <c r="G105" i="16"/>
  <c r="C105" i="16"/>
  <c r="X104" i="16"/>
  <c r="T104" i="16"/>
  <c r="P104" i="16"/>
  <c r="L104" i="16"/>
  <c r="H104" i="16"/>
  <c r="D104" i="16"/>
  <c r="Y103" i="16"/>
  <c r="U103" i="16"/>
  <c r="Q103" i="16"/>
  <c r="M103" i="16"/>
  <c r="I103" i="16"/>
  <c r="E103" i="16"/>
  <c r="A103" i="16"/>
  <c r="V102" i="16"/>
  <c r="R102" i="16"/>
  <c r="N102" i="16"/>
  <c r="J102" i="16"/>
  <c r="F102" i="16"/>
  <c r="B102" i="16"/>
  <c r="W101" i="16"/>
  <c r="S101" i="16"/>
  <c r="O101" i="16"/>
  <c r="K101" i="16"/>
  <c r="G101" i="16"/>
  <c r="C101" i="16"/>
  <c r="X100" i="16"/>
  <c r="T100" i="16"/>
  <c r="P100" i="16"/>
  <c r="L100" i="16"/>
  <c r="H100" i="16"/>
  <c r="D100" i="16"/>
  <c r="Y99" i="16"/>
  <c r="U99" i="16"/>
  <c r="Q99" i="16"/>
  <c r="M99" i="16"/>
  <c r="I99" i="16"/>
  <c r="E99" i="16"/>
  <c r="A99" i="16"/>
  <c r="V98" i="16"/>
  <c r="R98" i="16"/>
  <c r="N98" i="16"/>
  <c r="J98" i="16"/>
  <c r="F98" i="16"/>
  <c r="B98" i="16"/>
  <c r="W97" i="16"/>
  <c r="S97" i="16"/>
  <c r="O97" i="16"/>
  <c r="K97" i="16"/>
  <c r="G97" i="16"/>
  <c r="C97" i="16"/>
  <c r="X96" i="16"/>
  <c r="T96" i="16"/>
  <c r="P96" i="16"/>
  <c r="L96" i="16"/>
  <c r="H96" i="16"/>
  <c r="D96" i="16"/>
  <c r="Y95" i="16"/>
  <c r="U95" i="16"/>
  <c r="Q95" i="16"/>
  <c r="M95" i="16"/>
  <c r="I95" i="16"/>
  <c r="E95" i="16"/>
  <c r="A95" i="16"/>
  <c r="V94" i="16"/>
  <c r="R94" i="16"/>
  <c r="N94" i="16"/>
  <c r="J94" i="16"/>
  <c r="F94" i="16"/>
  <c r="B94" i="16"/>
  <c r="W93" i="16"/>
  <c r="S93" i="16"/>
  <c r="O93" i="16"/>
  <c r="K93" i="16"/>
  <c r="G93" i="16"/>
  <c r="C93" i="16"/>
  <c r="X92" i="16"/>
  <c r="T92" i="16"/>
  <c r="P92" i="16"/>
  <c r="L92" i="16"/>
  <c r="H92" i="16"/>
  <c r="D92" i="16"/>
  <c r="Y91" i="16"/>
  <c r="U91" i="16"/>
  <c r="Q91" i="16"/>
  <c r="M91" i="16"/>
  <c r="I91" i="16"/>
  <c r="E91" i="16"/>
  <c r="A91" i="16"/>
  <c r="V90" i="16"/>
  <c r="R90" i="16"/>
  <c r="N90" i="16"/>
  <c r="J90" i="16"/>
  <c r="F90" i="16"/>
  <c r="B90" i="16"/>
  <c r="W89" i="16"/>
  <c r="S89" i="16"/>
  <c r="O89" i="16"/>
  <c r="K89" i="16"/>
  <c r="G89" i="16"/>
  <c r="C89" i="16"/>
  <c r="X88" i="16"/>
  <c r="T88" i="16"/>
  <c r="P88" i="16"/>
  <c r="L88" i="16"/>
  <c r="H88" i="16"/>
  <c r="D88" i="16"/>
  <c r="Y87" i="16"/>
  <c r="U87" i="16"/>
  <c r="Q87" i="16"/>
  <c r="M87" i="16"/>
  <c r="I87" i="16"/>
  <c r="E87" i="16"/>
  <c r="A87" i="16"/>
  <c r="V86" i="16"/>
  <c r="R86" i="16"/>
  <c r="N86" i="16"/>
  <c r="J86" i="16"/>
  <c r="F86" i="16"/>
  <c r="B86" i="16"/>
  <c r="W85" i="16"/>
  <c r="S85" i="16"/>
  <c r="O85" i="16"/>
  <c r="K85" i="16"/>
  <c r="G85" i="16"/>
  <c r="C85" i="16"/>
  <c r="X84" i="16"/>
  <c r="T84" i="16"/>
  <c r="P84" i="16"/>
  <c r="L84" i="16"/>
  <c r="H84" i="16"/>
  <c r="D84" i="16"/>
  <c r="Y83" i="16"/>
  <c r="U83" i="16"/>
  <c r="Q83" i="16"/>
  <c r="M83" i="16"/>
  <c r="I83" i="16"/>
  <c r="E83" i="16"/>
  <c r="A83" i="16"/>
  <c r="V82" i="16"/>
  <c r="R82" i="16"/>
  <c r="N82" i="16"/>
  <c r="J82" i="16"/>
  <c r="F82" i="16"/>
  <c r="B82" i="16"/>
  <c r="W81" i="16"/>
  <c r="S81" i="16"/>
  <c r="O81" i="16"/>
  <c r="K81" i="16"/>
  <c r="G81" i="16"/>
  <c r="C81" i="16"/>
  <c r="X80" i="16"/>
  <c r="T80" i="16"/>
  <c r="P80" i="16"/>
  <c r="L80" i="16"/>
  <c r="H80" i="16"/>
  <c r="D80" i="16"/>
  <c r="Y79" i="16"/>
  <c r="U79" i="16"/>
  <c r="Q79" i="16"/>
  <c r="M79" i="16"/>
  <c r="I79" i="16"/>
  <c r="E79" i="16"/>
  <c r="A79" i="16"/>
  <c r="V78" i="16"/>
  <c r="R78" i="16"/>
  <c r="N78" i="16"/>
  <c r="J78" i="16"/>
  <c r="F78" i="16"/>
  <c r="B78" i="16"/>
  <c r="W77" i="16"/>
  <c r="S77" i="16"/>
  <c r="O77" i="16"/>
  <c r="K77" i="16"/>
  <c r="G77" i="16"/>
  <c r="C77" i="16"/>
  <c r="X76" i="16"/>
  <c r="T76" i="16"/>
  <c r="P76" i="16"/>
  <c r="L76" i="16"/>
  <c r="H76" i="16"/>
  <c r="D76" i="16"/>
  <c r="Y75" i="16"/>
  <c r="U75" i="16"/>
  <c r="Q75" i="16"/>
  <c r="M75" i="16"/>
  <c r="I75" i="16"/>
  <c r="E75" i="16"/>
  <c r="A75" i="16"/>
  <c r="V74" i="16"/>
  <c r="R74" i="16"/>
  <c r="N74" i="16"/>
  <c r="J74" i="16"/>
  <c r="F74" i="16"/>
  <c r="B74" i="16"/>
  <c r="W73" i="16"/>
  <c r="S73" i="16"/>
  <c r="O73" i="16"/>
  <c r="K73" i="16"/>
  <c r="G73" i="16"/>
  <c r="C73" i="16"/>
  <c r="X72" i="16"/>
  <c r="T72" i="16"/>
  <c r="P72" i="16"/>
  <c r="L72" i="16"/>
  <c r="H72" i="16"/>
  <c r="D72" i="16"/>
  <c r="Y71" i="16"/>
  <c r="U71" i="16"/>
  <c r="Q71" i="16"/>
  <c r="M71" i="16"/>
  <c r="I71" i="16"/>
  <c r="E71" i="16"/>
  <c r="A71" i="16"/>
  <c r="V70" i="16"/>
  <c r="R70" i="16"/>
  <c r="N70" i="16"/>
  <c r="J70" i="16"/>
  <c r="F70" i="16"/>
  <c r="B70" i="16"/>
  <c r="W69" i="16"/>
  <c r="S69" i="16"/>
  <c r="O69" i="16"/>
  <c r="K69" i="16"/>
  <c r="G69" i="16"/>
  <c r="C69" i="16"/>
  <c r="X68" i="16"/>
  <c r="T68" i="16"/>
  <c r="P68" i="16"/>
  <c r="L68" i="16"/>
  <c r="H68" i="16"/>
  <c r="D68" i="16"/>
  <c r="Y67" i="16"/>
  <c r="U67" i="16"/>
  <c r="Q67" i="16"/>
  <c r="M67" i="16"/>
  <c r="I67" i="16"/>
  <c r="E67" i="16"/>
  <c r="A67" i="16"/>
  <c r="V66" i="16"/>
  <c r="R66" i="16"/>
  <c r="N66" i="16"/>
  <c r="J66" i="16"/>
  <c r="F66" i="16"/>
  <c r="B66" i="16"/>
  <c r="W65" i="16"/>
  <c r="S65" i="16"/>
  <c r="O65" i="16"/>
  <c r="K65" i="16"/>
  <c r="G65" i="16"/>
  <c r="C65" i="16"/>
  <c r="X64" i="16"/>
  <c r="T64" i="16"/>
  <c r="P64" i="16"/>
  <c r="L64" i="16"/>
  <c r="H64" i="16"/>
  <c r="D64" i="16"/>
  <c r="Y63" i="16"/>
  <c r="U63" i="16"/>
  <c r="Q63" i="16"/>
  <c r="M63" i="16"/>
  <c r="I63" i="16"/>
  <c r="E63" i="16"/>
  <c r="A63" i="16"/>
  <c r="V62" i="16"/>
  <c r="R62" i="16"/>
  <c r="N62" i="16"/>
  <c r="J62" i="16"/>
  <c r="F62" i="16"/>
  <c r="B62" i="16"/>
  <c r="W61" i="16"/>
  <c r="S61" i="16"/>
  <c r="O61" i="16"/>
  <c r="K61" i="16"/>
  <c r="G61" i="16"/>
  <c r="C61" i="16"/>
  <c r="X60" i="16"/>
  <c r="T60" i="16"/>
  <c r="P60" i="16"/>
  <c r="L60" i="16"/>
  <c r="H60" i="16"/>
  <c r="D60" i="16"/>
  <c r="Y59" i="16"/>
  <c r="U59" i="16"/>
  <c r="Q59" i="16"/>
  <c r="M59" i="16"/>
  <c r="I59" i="16"/>
  <c r="E59" i="16"/>
  <c r="A59" i="16"/>
  <c r="V58" i="16"/>
  <c r="R58" i="16"/>
  <c r="N58" i="16"/>
  <c r="J58" i="16"/>
  <c r="F58" i="16"/>
  <c r="B58" i="16"/>
  <c r="W57" i="16"/>
  <c r="S57" i="16"/>
  <c r="O57" i="16"/>
  <c r="K57" i="16"/>
  <c r="G57" i="16"/>
  <c r="C57" i="16"/>
  <c r="X56" i="16"/>
  <c r="T56" i="16"/>
  <c r="P56" i="16"/>
  <c r="L56" i="16"/>
  <c r="H56" i="16"/>
  <c r="D56" i="16"/>
  <c r="Y55" i="16"/>
  <c r="U55" i="16"/>
  <c r="Q55" i="16"/>
  <c r="M55" i="16"/>
  <c r="I55" i="16"/>
  <c r="E55" i="16"/>
  <c r="A55" i="16"/>
  <c r="V54" i="16"/>
  <c r="R54" i="16"/>
  <c r="N54" i="16"/>
  <c r="J54" i="16"/>
  <c r="F54" i="16"/>
  <c r="B54" i="16"/>
  <c r="W53" i="16"/>
  <c r="S53" i="16"/>
  <c r="O53" i="16"/>
  <c r="K53" i="16"/>
  <c r="G53" i="16"/>
  <c r="C53" i="16"/>
  <c r="X52" i="16"/>
  <c r="T52" i="16"/>
  <c r="P52" i="16"/>
  <c r="L52" i="16"/>
  <c r="H52" i="16"/>
  <c r="D52" i="16"/>
  <c r="Y51" i="16"/>
  <c r="U51" i="16"/>
  <c r="Q51" i="16"/>
  <c r="M51" i="16"/>
  <c r="I51" i="16"/>
  <c r="E51" i="16"/>
  <c r="A51" i="16"/>
  <c r="V50" i="16"/>
  <c r="R50" i="16"/>
  <c r="N50" i="16"/>
  <c r="J50" i="16"/>
  <c r="F50" i="16"/>
  <c r="B50" i="16"/>
  <c r="W49" i="16"/>
  <c r="S49" i="16"/>
  <c r="O49" i="16"/>
  <c r="K49" i="16"/>
  <c r="G49" i="16"/>
  <c r="C49" i="16"/>
  <c r="X48" i="16"/>
  <c r="T48" i="16"/>
  <c r="P48" i="16"/>
  <c r="L48" i="16"/>
  <c r="H48" i="16"/>
  <c r="D48" i="16"/>
  <c r="Y47" i="16"/>
  <c r="U47" i="16"/>
  <c r="Q47" i="16"/>
  <c r="M47" i="16"/>
  <c r="I47" i="16"/>
  <c r="E47" i="16"/>
  <c r="A47" i="16"/>
  <c r="V46" i="16"/>
  <c r="R46" i="16"/>
  <c r="N46" i="16"/>
  <c r="J46" i="16"/>
  <c r="F46" i="16"/>
  <c r="B46" i="16"/>
  <c r="W45" i="16"/>
  <c r="S45" i="16"/>
  <c r="O45" i="16"/>
  <c r="K45" i="16"/>
  <c r="G45" i="16"/>
  <c r="C45" i="16"/>
  <c r="X44" i="16"/>
  <c r="T44" i="16"/>
  <c r="P44" i="16"/>
  <c r="L44" i="16"/>
  <c r="H44" i="16"/>
  <c r="D44" i="16"/>
  <c r="Y43" i="16"/>
  <c r="U43" i="16"/>
  <c r="Q43" i="16"/>
  <c r="M43" i="16"/>
  <c r="I43" i="16"/>
  <c r="E43" i="16"/>
  <c r="A43" i="16"/>
  <c r="V42" i="16"/>
  <c r="R42" i="16"/>
  <c r="N42" i="16"/>
  <c r="J42" i="16"/>
  <c r="F42" i="16"/>
  <c r="B42" i="16"/>
  <c r="W41" i="16"/>
  <c r="S41" i="16"/>
  <c r="O41" i="16"/>
  <c r="K41" i="16"/>
  <c r="G41" i="16"/>
  <c r="C41" i="16"/>
  <c r="X40" i="16"/>
  <c r="T40" i="16"/>
  <c r="P40" i="16"/>
  <c r="L40" i="16"/>
  <c r="H40" i="16"/>
  <c r="D40" i="16"/>
  <c r="Y39" i="16"/>
  <c r="U39" i="16"/>
  <c r="Q39" i="16"/>
  <c r="M39" i="16"/>
  <c r="I39" i="16"/>
  <c r="E39" i="16"/>
  <c r="A39" i="16"/>
  <c r="V38" i="16"/>
  <c r="R38" i="16"/>
  <c r="N38" i="16"/>
  <c r="J38" i="16"/>
  <c r="F38" i="16"/>
  <c r="B38" i="16"/>
  <c r="W37" i="16"/>
  <c r="S37" i="16"/>
  <c r="O37" i="16"/>
  <c r="K37" i="16"/>
  <c r="G37" i="16"/>
  <c r="C37" i="16"/>
  <c r="X36" i="16"/>
  <c r="T36" i="16"/>
  <c r="P36" i="16"/>
  <c r="L36" i="16"/>
  <c r="H36" i="16"/>
  <c r="D36" i="16"/>
  <c r="Y35" i="16"/>
  <c r="U35" i="16"/>
  <c r="Q35" i="16"/>
  <c r="M35" i="16"/>
  <c r="I35" i="16"/>
  <c r="E35" i="16"/>
  <c r="A35" i="16"/>
  <c r="V34" i="16"/>
  <c r="R34" i="16"/>
  <c r="N34" i="16"/>
  <c r="J34" i="16"/>
  <c r="F34" i="16"/>
  <c r="B34" i="16"/>
  <c r="W33" i="16"/>
  <c r="S33" i="16"/>
  <c r="O33" i="16"/>
  <c r="K33" i="16"/>
  <c r="G33" i="16"/>
  <c r="C33" i="16"/>
  <c r="X32" i="16"/>
  <c r="T32" i="16"/>
  <c r="P32" i="16"/>
  <c r="L32" i="16"/>
  <c r="H32" i="16"/>
  <c r="D32" i="16"/>
  <c r="Y31" i="16"/>
  <c r="U31" i="16"/>
  <c r="Q31" i="16"/>
  <c r="M31" i="16"/>
  <c r="I31" i="16"/>
  <c r="E31" i="16"/>
  <c r="A31" i="16"/>
  <c r="V30" i="16"/>
  <c r="R30" i="16"/>
  <c r="N30" i="16"/>
  <c r="J30" i="16"/>
  <c r="F30" i="16"/>
  <c r="B30" i="16"/>
  <c r="W29" i="16"/>
  <c r="S29" i="16"/>
  <c r="O29" i="16"/>
  <c r="K29" i="16"/>
  <c r="G29" i="16"/>
  <c r="C29" i="16"/>
  <c r="X28" i="16"/>
  <c r="T28" i="16"/>
  <c r="P28" i="16"/>
  <c r="L28" i="16"/>
  <c r="H28" i="16"/>
  <c r="D28" i="16"/>
  <c r="Y27" i="16"/>
  <c r="U27" i="16"/>
  <c r="Q27" i="16"/>
  <c r="M27" i="16"/>
  <c r="I27" i="16"/>
  <c r="E27" i="16"/>
  <c r="A27" i="16"/>
  <c r="V26" i="16"/>
  <c r="R26" i="16"/>
  <c r="N26" i="16"/>
  <c r="J26" i="16"/>
  <c r="F26" i="16"/>
  <c r="B26" i="16"/>
  <c r="W25" i="16"/>
  <c r="S25" i="16"/>
  <c r="O25" i="16"/>
  <c r="K25" i="16"/>
  <c r="G25" i="16"/>
  <c r="C25" i="16"/>
  <c r="X24" i="16"/>
  <c r="T24" i="16"/>
  <c r="P24" i="16"/>
  <c r="L24" i="16"/>
  <c r="H24" i="16"/>
  <c r="D24" i="16"/>
  <c r="Y23" i="16"/>
  <c r="U23" i="16"/>
  <c r="Q23" i="16"/>
  <c r="M23" i="16"/>
  <c r="I23" i="16"/>
  <c r="E23" i="16"/>
  <c r="A23" i="16"/>
  <c r="V22" i="16"/>
  <c r="R22" i="16"/>
  <c r="N22" i="16"/>
  <c r="J22" i="16"/>
  <c r="F22" i="16"/>
  <c r="B22" i="16"/>
  <c r="W21" i="16"/>
  <c r="S21" i="16"/>
  <c r="O21" i="16"/>
  <c r="K21" i="16"/>
  <c r="G21" i="16"/>
  <c r="C21" i="16"/>
  <c r="X20" i="16"/>
  <c r="T20" i="16"/>
  <c r="P20" i="16"/>
  <c r="L20" i="16"/>
  <c r="H20" i="16"/>
  <c r="D20" i="16"/>
  <c r="Y19" i="16"/>
  <c r="U19" i="16"/>
  <c r="Q19" i="16"/>
  <c r="M19" i="16"/>
  <c r="I19" i="16"/>
  <c r="E19" i="16"/>
  <c r="A19" i="16"/>
  <c r="V18" i="16"/>
  <c r="R18" i="16"/>
  <c r="N18" i="16"/>
  <c r="J18" i="16"/>
  <c r="F18" i="16"/>
  <c r="B18" i="16"/>
  <c r="W17" i="16"/>
  <c r="S17" i="16"/>
  <c r="O17" i="16"/>
  <c r="K17" i="16"/>
  <c r="G17" i="16"/>
  <c r="C17" i="16"/>
  <c r="X16" i="16"/>
  <c r="T16" i="16"/>
  <c r="P16" i="16"/>
  <c r="L16" i="16"/>
  <c r="H16" i="16"/>
  <c r="D16" i="16"/>
  <c r="Y15" i="16"/>
  <c r="U15" i="16"/>
  <c r="Q15" i="16"/>
  <c r="M15" i="16"/>
  <c r="I15" i="16"/>
  <c r="E15" i="16"/>
  <c r="A15" i="16"/>
  <c r="V14" i="16"/>
  <c r="R14" i="16"/>
  <c r="N14" i="16"/>
  <c r="J14" i="16"/>
  <c r="F14" i="16"/>
  <c r="B14" i="16"/>
  <c r="W13" i="16"/>
  <c r="S13" i="16"/>
  <c r="O13" i="16"/>
  <c r="K13" i="16"/>
  <c r="G13" i="16"/>
  <c r="C13" i="16"/>
  <c r="X12" i="16"/>
  <c r="T12" i="16"/>
  <c r="P12" i="16"/>
  <c r="L12" i="16"/>
  <c r="H12" i="16"/>
  <c r="D12" i="16"/>
  <c r="Y11" i="16"/>
  <c r="U11" i="16"/>
  <c r="Q11" i="16"/>
  <c r="M11" i="16"/>
  <c r="I11" i="16"/>
  <c r="E11" i="16"/>
  <c r="A11" i="16"/>
  <c r="V10" i="16"/>
  <c r="R10" i="16"/>
  <c r="N10" i="16"/>
  <c r="J10" i="16"/>
  <c r="F10" i="16"/>
  <c r="B10" i="16"/>
  <c r="W9" i="16"/>
  <c r="S9" i="16"/>
  <c r="O9" i="16"/>
  <c r="K9" i="16"/>
  <c r="G9" i="16"/>
  <c r="C9" i="16"/>
  <c r="X8" i="16"/>
  <c r="T8" i="16"/>
  <c r="P8" i="16"/>
  <c r="L8" i="16"/>
  <c r="H8" i="16"/>
  <c r="D8" i="16"/>
  <c r="Y7" i="16"/>
  <c r="U7" i="16"/>
  <c r="Q7" i="16"/>
  <c r="M7" i="16"/>
  <c r="I7" i="16"/>
  <c r="E7" i="16"/>
  <c r="A7" i="16"/>
  <c r="V6" i="16"/>
  <c r="R6" i="16"/>
  <c r="N6" i="16"/>
  <c r="J6" i="16"/>
  <c r="F6" i="16"/>
  <c r="B6" i="16"/>
  <c r="W5" i="16"/>
  <c r="S5" i="16"/>
  <c r="O5" i="16"/>
  <c r="K5" i="16"/>
  <c r="G5" i="16"/>
  <c r="C5" i="16"/>
  <c r="X4" i="16"/>
  <c r="T4" i="16"/>
  <c r="P4" i="16"/>
  <c r="L4" i="16"/>
  <c r="H4" i="16"/>
  <c r="D4" i="16"/>
  <c r="Y3" i="16"/>
  <c r="U3" i="16"/>
  <c r="Q3" i="16"/>
  <c r="M3" i="16"/>
  <c r="I3" i="16"/>
  <c r="E3" i="16"/>
  <c r="A3" i="16"/>
  <c r="V2" i="16"/>
  <c r="R2" i="16"/>
  <c r="N2" i="16"/>
  <c r="J2" i="16"/>
  <c r="F2" i="16"/>
  <c r="B2" i="16"/>
  <c r="T1105" i="16"/>
  <c r="V1042" i="16"/>
  <c r="O1015" i="16"/>
  <c r="J991" i="16"/>
  <c r="B967" i="16"/>
  <c r="C944" i="16"/>
  <c r="X931" i="16"/>
  <c r="T919" i="16"/>
  <c r="S907" i="16"/>
  <c r="H896" i="16"/>
  <c r="E887" i="16"/>
  <c r="I880" i="16"/>
  <c r="J874" i="16"/>
  <c r="G869" i="16"/>
  <c r="R864" i="16"/>
  <c r="V860" i="16"/>
  <c r="L857" i="16"/>
  <c r="B854" i="16"/>
  <c r="P850" i="16"/>
  <c r="F847" i="16"/>
  <c r="U843" i="16"/>
  <c r="J840" i="16"/>
  <c r="Y836" i="16"/>
  <c r="O833" i="16"/>
  <c r="D830" i="16"/>
  <c r="S826" i="16"/>
  <c r="I823" i="16"/>
  <c r="W819" i="16"/>
  <c r="M816" i="16"/>
  <c r="C813" i="16"/>
  <c r="Q809" i="16"/>
  <c r="O806" i="16"/>
  <c r="V804" i="16"/>
  <c r="E803" i="16"/>
  <c r="L801" i="16"/>
  <c r="S799" i="16"/>
  <c r="B798" i="16"/>
  <c r="I796" i="16"/>
  <c r="P794" i="16"/>
  <c r="X792" i="16"/>
  <c r="F791" i="16"/>
  <c r="M789" i="16"/>
  <c r="U787" i="16"/>
  <c r="N786" i="16"/>
  <c r="I785" i="16"/>
  <c r="H784" i="16"/>
  <c r="C783" i="16"/>
  <c r="X781" i="16"/>
  <c r="V780" i="16"/>
  <c r="R779" i="16"/>
  <c r="N778" i="16"/>
  <c r="L777" i="16"/>
  <c r="H776" i="16"/>
  <c r="C775" i="16"/>
  <c r="B774" i="16"/>
  <c r="V772" i="16"/>
  <c r="R771" i="16"/>
  <c r="P770" i="16"/>
  <c r="L769" i="16"/>
  <c r="H768" i="16"/>
  <c r="F767" i="16"/>
  <c r="B766" i="16"/>
  <c r="V764" i="16"/>
  <c r="U763" i="16"/>
  <c r="P762" i="16"/>
  <c r="L761" i="16"/>
  <c r="J760" i="16"/>
  <c r="F759" i="16"/>
  <c r="B758" i="16"/>
  <c r="Y756" i="16"/>
  <c r="U755" i="16"/>
  <c r="P754" i="16"/>
  <c r="O753" i="16"/>
  <c r="J752" i="16"/>
  <c r="F751" i="16"/>
  <c r="D750" i="16"/>
  <c r="Y748" i="16"/>
  <c r="U747" i="16"/>
  <c r="S746" i="16"/>
  <c r="O745" i="16"/>
  <c r="J744" i="16"/>
  <c r="I743" i="16"/>
  <c r="D742" i="16"/>
  <c r="Y740" i="16"/>
  <c r="W739" i="16"/>
  <c r="S738" i="16"/>
  <c r="O737" i="16"/>
  <c r="M736" i="16"/>
  <c r="I735" i="16"/>
  <c r="D734" i="16"/>
  <c r="C733" i="16"/>
  <c r="W731" i="16"/>
  <c r="S730" i="16"/>
  <c r="Q729" i="16"/>
  <c r="M728" i="16"/>
  <c r="I727" i="16"/>
  <c r="G726" i="16"/>
  <c r="C725" i="16"/>
  <c r="W723" i="16"/>
  <c r="V722" i="16"/>
  <c r="Q721" i="16"/>
  <c r="M720" i="16"/>
  <c r="K719" i="16"/>
  <c r="G718" i="16"/>
  <c r="C717" i="16"/>
  <c r="A716" i="16"/>
  <c r="V714" i="16"/>
  <c r="Q713" i="16"/>
  <c r="P712" i="16"/>
  <c r="K711" i="16"/>
  <c r="G710" i="16"/>
  <c r="E709" i="16"/>
  <c r="A708" i="16"/>
  <c r="V706" i="16"/>
  <c r="T705" i="16"/>
  <c r="P704" i="16"/>
  <c r="K703" i="16"/>
  <c r="J702" i="16"/>
  <c r="E701" i="16"/>
  <c r="A700" i="16"/>
  <c r="X698" i="16"/>
  <c r="T697" i="16"/>
  <c r="P696" i="16"/>
  <c r="N695" i="16"/>
  <c r="J694" i="16"/>
  <c r="E693" i="16"/>
  <c r="D692" i="16"/>
  <c r="X690" i="16"/>
  <c r="T689" i="16"/>
  <c r="R688" i="16"/>
  <c r="N687" i="16"/>
  <c r="J686" i="16"/>
  <c r="H685" i="16"/>
  <c r="D684" i="16"/>
  <c r="X682" i="16"/>
  <c r="W681" i="16"/>
  <c r="R680" i="16"/>
  <c r="N679" i="16"/>
  <c r="L678" i="16"/>
  <c r="H677" i="16"/>
  <c r="D676" i="16"/>
  <c r="B675" i="16"/>
  <c r="W673" i="16"/>
  <c r="R672" i="16"/>
  <c r="Q671" i="16"/>
  <c r="L670" i="16"/>
  <c r="H669" i="16"/>
  <c r="F668" i="16"/>
  <c r="B667" i="16"/>
  <c r="W665" i="16"/>
  <c r="U664" i="16"/>
  <c r="Q663" i="16"/>
  <c r="L662" i="16"/>
  <c r="K661" i="16"/>
  <c r="F660" i="16"/>
  <c r="B659" i="16"/>
  <c r="Y657" i="16"/>
  <c r="U656" i="16"/>
  <c r="Q655" i="16"/>
  <c r="O654" i="16"/>
  <c r="K653" i="16"/>
  <c r="F652" i="16"/>
  <c r="E651" i="16"/>
  <c r="Y649" i="16"/>
  <c r="U648" i="16"/>
  <c r="S647" i="16"/>
  <c r="O646" i="16"/>
  <c r="K645" i="16"/>
  <c r="I644" i="16"/>
  <c r="E643" i="16"/>
  <c r="Y641" i="16"/>
  <c r="X640" i="16"/>
  <c r="S639" i="16"/>
  <c r="O638" i="16"/>
  <c r="M637" i="16"/>
  <c r="I636" i="16"/>
  <c r="E635" i="16"/>
  <c r="C634" i="16"/>
  <c r="X632" i="16"/>
  <c r="S631" i="16"/>
  <c r="R630" i="16"/>
  <c r="M629" i="16"/>
  <c r="I628" i="16"/>
  <c r="G627" i="16"/>
  <c r="C626" i="16"/>
  <c r="B625" i="16"/>
  <c r="G624" i="16"/>
  <c r="J623" i="16"/>
  <c r="M622" i="16"/>
  <c r="R621" i="16"/>
  <c r="U620" i="16"/>
  <c r="X619" i="16"/>
  <c r="D619" i="16"/>
  <c r="G618" i="16"/>
  <c r="J617" i="16"/>
  <c r="O616" i="16"/>
  <c r="R615" i="16"/>
  <c r="U614" i="16"/>
  <c r="A614" i="16"/>
  <c r="D613" i="16"/>
  <c r="G612" i="16"/>
  <c r="L611" i="16"/>
  <c r="O610" i="16"/>
  <c r="R609" i="16"/>
  <c r="W608" i="16"/>
  <c r="A608" i="16"/>
  <c r="D607" i="16"/>
  <c r="I606" i="16"/>
  <c r="L605" i="16"/>
  <c r="O604" i="16"/>
  <c r="T603" i="16"/>
  <c r="W602" i="16"/>
  <c r="A602" i="16"/>
  <c r="F601" i="16"/>
  <c r="I600" i="16"/>
  <c r="L599" i="16"/>
  <c r="Q598" i="16"/>
  <c r="T597" i="16"/>
  <c r="E597" i="16"/>
  <c r="Q596" i="16"/>
  <c r="B596" i="16"/>
  <c r="L595" i="16"/>
  <c r="X594" i="16"/>
  <c r="I594" i="16"/>
  <c r="T593" i="16"/>
  <c r="F593" i="16"/>
  <c r="Q592" i="16"/>
  <c r="B592" i="16"/>
  <c r="N591" i="16"/>
  <c r="Y590" i="16"/>
  <c r="O590" i="16"/>
  <c r="D590" i="16"/>
  <c r="R589" i="16"/>
  <c r="H589" i="16"/>
  <c r="V588" i="16"/>
  <c r="K588" i="16"/>
  <c r="A588" i="16"/>
  <c r="O587" i="16"/>
  <c r="D587" i="16"/>
  <c r="S586" i="16"/>
  <c r="H586" i="16"/>
  <c r="V585" i="16"/>
  <c r="L585" i="16"/>
  <c r="A585" i="16"/>
  <c r="O584" i="16"/>
  <c r="E584" i="16"/>
  <c r="S583" i="16"/>
  <c r="H583" i="16"/>
  <c r="W582" i="16"/>
  <c r="L582" i="16"/>
  <c r="A582" i="16"/>
  <c r="P581" i="16"/>
  <c r="E581" i="16"/>
  <c r="S580" i="16"/>
  <c r="I580" i="16"/>
  <c r="W579" i="16"/>
  <c r="L579" i="16"/>
  <c r="B579" i="16"/>
  <c r="P578" i="16"/>
  <c r="E578" i="16"/>
  <c r="T577" i="16"/>
  <c r="I577" i="16"/>
  <c r="W576" i="16"/>
  <c r="M576" i="16"/>
  <c r="B576" i="16"/>
  <c r="P575" i="16"/>
  <c r="F575" i="16"/>
  <c r="T574" i="16"/>
  <c r="I574" i="16"/>
  <c r="X573" i="16"/>
  <c r="M573" i="16"/>
  <c r="B573" i="16"/>
  <c r="Q572" i="16"/>
  <c r="F572" i="16"/>
  <c r="T571" i="16"/>
  <c r="J571" i="16"/>
  <c r="X570" i="16"/>
  <c r="M570" i="16"/>
  <c r="C570" i="16"/>
  <c r="Q569" i="16"/>
  <c r="F569" i="16"/>
  <c r="U568" i="16"/>
  <c r="J568" i="16"/>
  <c r="X567" i="16"/>
  <c r="P567" i="16"/>
  <c r="H567" i="16"/>
  <c r="Y566" i="16"/>
  <c r="Q566" i="16"/>
  <c r="I566" i="16"/>
  <c r="A566" i="16"/>
  <c r="R565" i="16"/>
  <c r="J565" i="16"/>
  <c r="B565" i="16"/>
  <c r="S564" i="16"/>
  <c r="K564" i="16"/>
  <c r="C564" i="16"/>
  <c r="T563" i="16"/>
  <c r="L563" i="16"/>
  <c r="D563" i="16"/>
  <c r="U562" i="16"/>
  <c r="M562" i="16"/>
  <c r="E562" i="16"/>
  <c r="V561" i="16"/>
  <c r="N561" i="16"/>
  <c r="F561" i="16"/>
  <c r="W560" i="16"/>
  <c r="O560" i="16"/>
  <c r="G560" i="16"/>
  <c r="X559" i="16"/>
  <c r="P559" i="16"/>
  <c r="H559" i="16"/>
  <c r="Y558" i="16"/>
  <c r="Q558" i="16"/>
  <c r="I558" i="16"/>
  <c r="A558" i="16"/>
  <c r="R557" i="16"/>
  <c r="J557" i="16"/>
  <c r="B557" i="16"/>
  <c r="S556" i="16"/>
  <c r="K556" i="16"/>
  <c r="C556" i="16"/>
  <c r="T555" i="16"/>
  <c r="L555" i="16"/>
  <c r="D555" i="16"/>
  <c r="U554" i="16"/>
  <c r="M554" i="16"/>
  <c r="E554" i="16"/>
  <c r="V553" i="16"/>
  <c r="N553" i="16"/>
  <c r="F553" i="16"/>
  <c r="W552" i="16"/>
  <c r="O552" i="16"/>
  <c r="G552" i="16"/>
  <c r="X551" i="16"/>
  <c r="P551" i="16"/>
  <c r="H551" i="16"/>
  <c r="Y550" i="16"/>
  <c r="Q550" i="16"/>
  <c r="I550" i="16"/>
  <c r="A550" i="16"/>
  <c r="R549" i="16"/>
  <c r="J549" i="16"/>
  <c r="B549" i="16"/>
  <c r="S548" i="16"/>
  <c r="K548" i="16"/>
  <c r="C548" i="16"/>
  <c r="T547" i="16"/>
  <c r="L547" i="16"/>
  <c r="D547" i="16"/>
  <c r="U546" i="16"/>
  <c r="M546" i="16"/>
  <c r="E546" i="16"/>
  <c r="V545" i="16"/>
  <c r="N545" i="16"/>
  <c r="F545" i="16"/>
  <c r="W544" i="16"/>
  <c r="O544" i="16"/>
  <c r="G544" i="16"/>
  <c r="X543" i="16"/>
  <c r="P543" i="16"/>
  <c r="H543" i="16"/>
  <c r="Y542" i="16"/>
  <c r="Q542" i="16"/>
  <c r="I542" i="16"/>
  <c r="A542" i="16"/>
  <c r="R541" i="16"/>
  <c r="J541" i="16"/>
  <c r="B541" i="16"/>
  <c r="S540" i="16"/>
  <c r="K540" i="16"/>
  <c r="C540" i="16"/>
  <c r="T539" i="16"/>
  <c r="L539" i="16"/>
  <c r="D539" i="16"/>
  <c r="U538" i="16"/>
  <c r="M538" i="16"/>
  <c r="E538" i="16"/>
  <c r="V537" i="16"/>
  <c r="N537" i="16"/>
  <c r="F537" i="16"/>
  <c r="W536" i="16"/>
  <c r="O536" i="16"/>
  <c r="G536" i="16"/>
  <c r="X535" i="16"/>
  <c r="P535" i="16"/>
  <c r="H535" i="16"/>
  <c r="Y534" i="16"/>
  <c r="Q534" i="16"/>
  <c r="I534" i="16"/>
  <c r="A534" i="16"/>
  <c r="R533" i="16"/>
  <c r="J533" i="16"/>
  <c r="B533" i="16"/>
  <c r="S532" i="16"/>
  <c r="K532" i="16"/>
  <c r="C532" i="16"/>
  <c r="T531" i="16"/>
  <c r="L531" i="16"/>
  <c r="D531" i="16"/>
  <c r="U530" i="16"/>
  <c r="M530" i="16"/>
  <c r="E530" i="16"/>
  <c r="V529" i="16"/>
  <c r="N529" i="16"/>
  <c r="F529" i="16"/>
  <c r="W528" i="16"/>
  <c r="O528" i="16"/>
  <c r="G528" i="16"/>
  <c r="X527" i="16"/>
  <c r="P527" i="16"/>
  <c r="H527" i="16"/>
  <c r="Y526" i="16"/>
  <c r="Q526" i="16"/>
  <c r="I526" i="16"/>
  <c r="A526" i="16"/>
  <c r="R525" i="16"/>
  <c r="J525" i="16"/>
  <c r="B525" i="16"/>
  <c r="S524" i="16"/>
  <c r="K524" i="16"/>
  <c r="C524" i="16"/>
  <c r="T523" i="16"/>
  <c r="L523" i="16"/>
  <c r="D523" i="16"/>
  <c r="U522" i="16"/>
  <c r="M522" i="16"/>
  <c r="E522" i="16"/>
  <c r="V521" i="16"/>
  <c r="N521" i="16"/>
  <c r="F521" i="16"/>
  <c r="W520" i="16"/>
  <c r="O520" i="16"/>
  <c r="G520" i="16"/>
  <c r="X519" i="16"/>
  <c r="P519" i="16"/>
  <c r="H519" i="16"/>
  <c r="Y518" i="16"/>
  <c r="Q518" i="16"/>
  <c r="I518" i="16"/>
  <c r="A518" i="16"/>
  <c r="R517" i="16"/>
  <c r="J517" i="16"/>
  <c r="B517" i="16"/>
  <c r="S516" i="16"/>
  <c r="K516" i="16"/>
  <c r="C516" i="16"/>
  <c r="T515" i="16"/>
  <c r="L515" i="16"/>
  <c r="D515" i="16"/>
  <c r="U514" i="16"/>
  <c r="M514" i="16"/>
  <c r="E514" i="16"/>
  <c r="V513" i="16"/>
  <c r="N513" i="16"/>
  <c r="F513" i="16"/>
  <c r="W512" i="16"/>
  <c r="O512" i="16"/>
  <c r="G512" i="16"/>
  <c r="X511" i="16"/>
  <c r="P511" i="16"/>
  <c r="H511" i="16"/>
  <c r="Y510" i="16"/>
  <c r="Q510" i="16"/>
  <c r="I510" i="16"/>
  <c r="A510" i="16"/>
  <c r="R509" i="16"/>
  <c r="J509" i="16"/>
  <c r="B509" i="16"/>
  <c r="S508" i="16"/>
  <c r="K508" i="16"/>
  <c r="C508" i="16"/>
  <c r="T507" i="16"/>
  <c r="L507" i="16"/>
  <c r="D507" i="16"/>
  <c r="U506" i="16"/>
  <c r="M506" i="16"/>
  <c r="E506" i="16"/>
  <c r="V505" i="16"/>
  <c r="N505" i="16"/>
  <c r="F505" i="16"/>
  <c r="W504" i="16"/>
  <c r="O504" i="16"/>
  <c r="G504" i="16"/>
  <c r="X503" i="16"/>
  <c r="P503" i="16"/>
  <c r="H503" i="16"/>
  <c r="Y502" i="16"/>
  <c r="Q502" i="16"/>
  <c r="I502" i="16"/>
  <c r="A502" i="16"/>
  <c r="R501" i="16"/>
  <c r="J501" i="16"/>
  <c r="B501" i="16"/>
  <c r="S500" i="16"/>
  <c r="K500" i="16"/>
  <c r="C500" i="16"/>
  <c r="T499" i="16"/>
  <c r="L499" i="16"/>
  <c r="D499" i="16"/>
  <c r="U498" i="16"/>
  <c r="M498" i="16"/>
  <c r="E498" i="16"/>
  <c r="V497" i="16"/>
  <c r="N497" i="16"/>
  <c r="F497" i="16"/>
  <c r="W496" i="16"/>
  <c r="O496" i="16"/>
  <c r="G496" i="16"/>
  <c r="X495" i="16"/>
  <c r="P495" i="16"/>
  <c r="H495" i="16"/>
  <c r="Y494" i="16"/>
  <c r="Q494" i="16"/>
  <c r="I494" i="16"/>
  <c r="A494" i="16"/>
  <c r="R493" i="16"/>
  <c r="J493" i="16"/>
  <c r="B493" i="16"/>
  <c r="S492" i="16"/>
  <c r="K492" i="16"/>
  <c r="C492" i="16"/>
  <c r="T491" i="16"/>
  <c r="L491" i="16"/>
  <c r="D491" i="16"/>
  <c r="U490" i="16"/>
  <c r="M490" i="16"/>
  <c r="E490" i="16"/>
  <c r="V489" i="16"/>
  <c r="N489" i="16"/>
  <c r="F489" i="16"/>
  <c r="W488" i="16"/>
  <c r="O488" i="16"/>
  <c r="G488" i="16"/>
  <c r="X487" i="16"/>
  <c r="P487" i="16"/>
  <c r="H487" i="16"/>
  <c r="Y486" i="16"/>
  <c r="Q486" i="16"/>
  <c r="I486" i="16"/>
  <c r="A486" i="16"/>
  <c r="R485" i="16"/>
  <c r="J485" i="16"/>
  <c r="B485" i="16"/>
  <c r="S484" i="16"/>
  <c r="K484" i="16"/>
  <c r="C484" i="16"/>
  <c r="T483" i="16"/>
  <c r="L483" i="16"/>
  <c r="D483" i="16"/>
  <c r="U482" i="16"/>
  <c r="M482" i="16"/>
  <c r="E482" i="16"/>
  <c r="V481" i="16"/>
  <c r="N481" i="16"/>
  <c r="F481" i="16"/>
  <c r="W480" i="16"/>
  <c r="O480" i="16"/>
  <c r="G480" i="16"/>
  <c r="X479" i="16"/>
  <c r="P479" i="16"/>
  <c r="H479" i="16"/>
  <c r="Y478" i="16"/>
  <c r="Q478" i="16"/>
  <c r="I478" i="16"/>
  <c r="A478" i="16"/>
  <c r="R477" i="16"/>
  <c r="J477" i="16"/>
  <c r="B477" i="16"/>
  <c r="S476" i="16"/>
  <c r="K476" i="16"/>
  <c r="C476" i="16"/>
  <c r="T475" i="16"/>
  <c r="L475" i="16"/>
  <c r="D475" i="16"/>
  <c r="U474" i="16"/>
  <c r="M474" i="16"/>
  <c r="E474" i="16"/>
  <c r="V473" i="16"/>
  <c r="N473" i="16"/>
  <c r="F473" i="16"/>
  <c r="W472" i="16"/>
  <c r="O472" i="16"/>
  <c r="G472" i="16"/>
  <c r="X471" i="16"/>
  <c r="P471" i="16"/>
  <c r="H471" i="16"/>
  <c r="Y470" i="16"/>
  <c r="Q470" i="16"/>
  <c r="I470" i="16"/>
  <c r="A470" i="16"/>
  <c r="R469" i="16"/>
  <c r="J469" i="16"/>
  <c r="B469" i="16"/>
  <c r="S468" i="16"/>
  <c r="K468" i="16"/>
  <c r="C468" i="16"/>
  <c r="T467" i="16"/>
  <c r="L467" i="16"/>
  <c r="D467" i="16"/>
  <c r="U466" i="16"/>
  <c r="M466" i="16"/>
  <c r="E466" i="16"/>
  <c r="V465" i="16"/>
  <c r="N465" i="16"/>
  <c r="F465" i="16"/>
  <c r="W464" i="16"/>
  <c r="O464" i="16"/>
  <c r="G464" i="16"/>
  <c r="X463" i="16"/>
  <c r="P463" i="16"/>
  <c r="H463" i="16"/>
  <c r="Y462" i="16"/>
  <c r="Q462" i="16"/>
  <c r="I462" i="16"/>
  <c r="A462" i="16"/>
  <c r="R461" i="16"/>
  <c r="J461" i="16"/>
  <c r="B461" i="16"/>
  <c r="S460" i="16"/>
  <c r="K460" i="16"/>
  <c r="C460" i="16"/>
  <c r="T459" i="16"/>
  <c r="L459" i="16"/>
  <c r="D459" i="16"/>
  <c r="U458" i="16"/>
  <c r="M458" i="16"/>
  <c r="E458" i="16"/>
  <c r="V457" i="16"/>
  <c r="N457" i="16"/>
  <c r="F457" i="16"/>
  <c r="W456" i="16"/>
  <c r="O456" i="16"/>
  <c r="G456" i="16"/>
  <c r="X455" i="16"/>
  <c r="P455" i="16"/>
  <c r="H455" i="16"/>
  <c r="Y454" i="16"/>
  <c r="Q454" i="16"/>
  <c r="I454" i="16"/>
  <c r="A454" i="16"/>
  <c r="R453" i="16"/>
  <c r="J453" i="16"/>
  <c r="B453" i="16"/>
  <c r="S452" i="16"/>
  <c r="K452" i="16"/>
  <c r="C452" i="16"/>
  <c r="T451" i="16"/>
  <c r="L451" i="16"/>
  <c r="D451" i="16"/>
  <c r="U450" i="16"/>
  <c r="M450" i="16"/>
  <c r="E450" i="16"/>
  <c r="V449" i="16"/>
  <c r="N449" i="16"/>
  <c r="F449" i="16"/>
  <c r="W448" i="16"/>
  <c r="O448" i="16"/>
  <c r="G448" i="16"/>
  <c r="X447" i="16"/>
  <c r="P447" i="16"/>
  <c r="H447" i="16"/>
  <c r="Y446" i="16"/>
  <c r="Q446" i="16"/>
  <c r="I446" i="16"/>
  <c r="A446" i="16"/>
  <c r="R445" i="16"/>
  <c r="J445" i="16"/>
  <c r="B445" i="16"/>
  <c r="S444" i="16"/>
  <c r="K444" i="16"/>
  <c r="C444" i="16"/>
  <c r="T443" i="16"/>
  <c r="L443" i="16"/>
  <c r="D443" i="16"/>
  <c r="U442" i="16"/>
  <c r="M442" i="16"/>
  <c r="E442" i="16"/>
  <c r="V441" i="16"/>
  <c r="N441" i="16"/>
  <c r="F441" i="16"/>
  <c r="W440" i="16"/>
  <c r="O440" i="16"/>
  <c r="G440" i="16"/>
  <c r="X439" i="16"/>
  <c r="P439" i="16"/>
  <c r="H439" i="16"/>
  <c r="Y438" i="16"/>
  <c r="Q438" i="16"/>
  <c r="I438" i="16"/>
  <c r="A438" i="16"/>
  <c r="R437" i="16"/>
  <c r="J437" i="16"/>
  <c r="B437" i="16"/>
  <c r="S436" i="16"/>
  <c r="K436" i="16"/>
  <c r="C436" i="16"/>
  <c r="T435" i="16"/>
  <c r="L435" i="16"/>
  <c r="D435" i="16"/>
  <c r="U434" i="16"/>
  <c r="M434" i="16"/>
  <c r="E434" i="16"/>
  <c r="V433" i="16"/>
  <c r="N433" i="16"/>
  <c r="F433" i="16"/>
  <c r="W432" i="16"/>
  <c r="O432" i="16"/>
  <c r="G432" i="16"/>
  <c r="X431" i="16"/>
  <c r="P431" i="16"/>
  <c r="H431" i="16"/>
  <c r="Y430" i="16"/>
  <c r="Q430" i="16"/>
  <c r="I430" i="16"/>
  <c r="A430" i="16"/>
  <c r="R429" i="16"/>
  <c r="J429" i="16"/>
  <c r="B429" i="16"/>
  <c r="S428" i="16"/>
  <c r="K428" i="16"/>
  <c r="C428" i="16"/>
  <c r="T427" i="16"/>
  <c r="L427" i="16"/>
  <c r="D427" i="16"/>
  <c r="U426" i="16"/>
  <c r="M426" i="16"/>
  <c r="E426" i="16"/>
  <c r="V425" i="16"/>
  <c r="N425" i="16"/>
  <c r="F425" i="16"/>
  <c r="W424" i="16"/>
  <c r="O424" i="16"/>
  <c r="G424" i="16"/>
  <c r="X423" i="16"/>
  <c r="P423" i="16"/>
  <c r="H423" i="16"/>
  <c r="Y422" i="16"/>
  <c r="Q422" i="16"/>
  <c r="I422" i="16"/>
  <c r="A422" i="16"/>
  <c r="R421" i="16"/>
  <c r="J421" i="16"/>
  <c r="B421" i="16"/>
  <c r="S420" i="16"/>
  <c r="K420" i="16"/>
  <c r="C420" i="16"/>
  <c r="T419" i="16"/>
  <c r="L419" i="16"/>
  <c r="D419" i="16"/>
  <c r="U418" i="16"/>
  <c r="M418" i="16"/>
  <c r="E418" i="16"/>
  <c r="V417" i="16"/>
  <c r="N417" i="16"/>
  <c r="F417" i="16"/>
  <c r="W416" i="16"/>
  <c r="O416" i="16"/>
  <c r="G416" i="16"/>
  <c r="X415" i="16"/>
  <c r="P415" i="16"/>
  <c r="H415" i="16"/>
  <c r="Y414" i="16"/>
  <c r="Q414" i="16"/>
  <c r="I414" i="16"/>
  <c r="A414" i="16"/>
  <c r="R413" i="16"/>
  <c r="J413" i="16"/>
  <c r="B413" i="16"/>
  <c r="S412" i="16"/>
  <c r="K412" i="16"/>
  <c r="C412" i="16"/>
  <c r="T411" i="16"/>
  <c r="L411" i="16"/>
  <c r="D411" i="16"/>
  <c r="U410" i="16"/>
  <c r="M410" i="16"/>
  <c r="E410" i="16"/>
  <c r="V409" i="16"/>
  <c r="N409" i="16"/>
  <c r="F409" i="16"/>
  <c r="W408" i="16"/>
  <c r="O408" i="16"/>
  <c r="G408" i="16"/>
  <c r="X407" i="16"/>
  <c r="P407" i="16"/>
  <c r="H407" i="16"/>
  <c r="Y406" i="16"/>
  <c r="Q406" i="16"/>
  <c r="I406" i="16"/>
  <c r="A406" i="16"/>
  <c r="R405" i="16"/>
  <c r="J405" i="16"/>
  <c r="B405" i="16"/>
  <c r="S404" i="16"/>
  <c r="K404" i="16"/>
  <c r="C404" i="16"/>
  <c r="T403" i="16"/>
  <c r="L403" i="16"/>
  <c r="D403" i="16"/>
  <c r="U402" i="16"/>
  <c r="M402" i="16"/>
  <c r="E402" i="16"/>
  <c r="V401" i="16"/>
  <c r="N401" i="16"/>
  <c r="F401" i="16"/>
  <c r="W400" i="16"/>
  <c r="O400" i="16"/>
  <c r="G400" i="16"/>
  <c r="X399" i="16"/>
  <c r="P399" i="16"/>
  <c r="H399" i="16"/>
  <c r="Y398" i="16"/>
  <c r="Q398" i="16"/>
  <c r="I398" i="16"/>
  <c r="A398" i="16"/>
  <c r="R397" i="16"/>
  <c r="J397" i="16"/>
  <c r="B397" i="16"/>
  <c r="S396" i="16"/>
  <c r="K396" i="16"/>
  <c r="C396" i="16"/>
  <c r="T395" i="16"/>
  <c r="L395" i="16"/>
  <c r="D395" i="16"/>
  <c r="U394" i="16"/>
  <c r="M394" i="16"/>
  <c r="E394" i="16"/>
  <c r="V393" i="16"/>
  <c r="N393" i="16"/>
  <c r="F393" i="16"/>
  <c r="W392" i="16"/>
  <c r="O392" i="16"/>
  <c r="G392" i="16"/>
  <c r="X391" i="16"/>
  <c r="P391" i="16"/>
  <c r="H391" i="16"/>
  <c r="Y390" i="16"/>
  <c r="Q390" i="16"/>
  <c r="I390" i="16"/>
  <c r="A390" i="16"/>
  <c r="R389" i="16"/>
  <c r="J389" i="16"/>
  <c r="B389" i="16"/>
  <c r="S388" i="16"/>
  <c r="K388" i="16"/>
  <c r="C388" i="16"/>
  <c r="T387" i="16"/>
  <c r="L387" i="16"/>
  <c r="D387" i="16"/>
  <c r="U386" i="16"/>
  <c r="M386" i="16"/>
  <c r="E386" i="16"/>
  <c r="V385" i="16"/>
  <c r="N385" i="16"/>
  <c r="F385" i="16"/>
  <c r="W384" i="16"/>
  <c r="O384" i="16"/>
  <c r="G384" i="16"/>
  <c r="X383" i="16"/>
  <c r="P383" i="16"/>
  <c r="H383" i="16"/>
  <c r="Y382" i="16"/>
  <c r="Q382" i="16"/>
  <c r="I382" i="16"/>
  <c r="A382" i="16"/>
  <c r="R381" i="16"/>
  <c r="J381" i="16"/>
  <c r="B381" i="16"/>
  <c r="S380" i="16"/>
  <c r="K380" i="16"/>
  <c r="C380" i="16"/>
  <c r="T379" i="16"/>
  <c r="L379" i="16"/>
  <c r="D379" i="16"/>
  <c r="U378" i="16"/>
  <c r="M378" i="16"/>
  <c r="E378" i="16"/>
  <c r="V377" i="16"/>
  <c r="N377" i="16"/>
  <c r="F377" i="16"/>
  <c r="W376" i="16"/>
  <c r="O376" i="16"/>
  <c r="G376" i="16"/>
  <c r="X375" i="16"/>
  <c r="P375" i="16"/>
  <c r="H375" i="16"/>
  <c r="Y374" i="16"/>
  <c r="Q374" i="16"/>
  <c r="I374" i="16"/>
  <c r="A374" i="16"/>
  <c r="R373" i="16"/>
  <c r="J373" i="16"/>
  <c r="B373" i="16"/>
  <c r="S372" i="16"/>
  <c r="K372" i="16"/>
  <c r="C372" i="16"/>
  <c r="T371" i="16"/>
  <c r="L371" i="16"/>
  <c r="D371" i="16"/>
  <c r="U370" i="16"/>
  <c r="M370" i="16"/>
  <c r="E370" i="16"/>
  <c r="V369" i="16"/>
  <c r="N369" i="16"/>
  <c r="F369" i="16"/>
  <c r="W368" i="16"/>
  <c r="O368" i="16"/>
  <c r="G368" i="16"/>
  <c r="X367" i="16"/>
  <c r="P367" i="16"/>
  <c r="H367" i="16"/>
  <c r="Y366" i="16"/>
  <c r="Q366" i="16"/>
  <c r="I366" i="16"/>
  <c r="A366" i="16"/>
  <c r="R365" i="16"/>
  <c r="J365" i="16"/>
  <c r="B365" i="16"/>
  <c r="S364" i="16"/>
  <c r="K364" i="16"/>
  <c r="C364" i="16"/>
  <c r="T363" i="16"/>
  <c r="L363" i="16"/>
  <c r="D363" i="16"/>
  <c r="U362" i="16"/>
  <c r="M362" i="16"/>
  <c r="E362" i="16"/>
  <c r="V361" i="16"/>
  <c r="N361" i="16"/>
  <c r="F361" i="16"/>
  <c r="W360" i="16"/>
  <c r="O360" i="16"/>
  <c r="G360" i="16"/>
  <c r="X359" i="16"/>
  <c r="P359" i="16"/>
  <c r="H359" i="16"/>
  <c r="Y358" i="16"/>
  <c r="Q358" i="16"/>
  <c r="I358" i="16"/>
  <c r="A358" i="16"/>
  <c r="R357" i="16"/>
  <c r="J357" i="16"/>
  <c r="B357" i="16"/>
  <c r="S356" i="16"/>
  <c r="K356" i="16"/>
  <c r="C356" i="16"/>
  <c r="T355" i="16"/>
  <c r="L355" i="16"/>
  <c r="D355" i="16"/>
  <c r="U354" i="16"/>
  <c r="M354" i="16"/>
  <c r="E354" i="16"/>
  <c r="V353" i="16"/>
  <c r="N353" i="16"/>
  <c r="F353" i="16"/>
  <c r="W352" i="16"/>
  <c r="O352" i="16"/>
  <c r="G352" i="16"/>
  <c r="X351" i="16"/>
  <c r="P351" i="16"/>
  <c r="H351" i="16"/>
  <c r="Y350" i="16"/>
  <c r="Q350" i="16"/>
  <c r="I350" i="16"/>
  <c r="A350" i="16"/>
  <c r="R349" i="16"/>
  <c r="J349" i="16"/>
  <c r="B349" i="16"/>
  <c r="S348" i="16"/>
  <c r="K348" i="16"/>
  <c r="C348" i="16"/>
  <c r="T347" i="16"/>
  <c r="L347" i="16"/>
  <c r="D347" i="16"/>
  <c r="U346" i="16"/>
  <c r="M346" i="16"/>
  <c r="E346" i="16"/>
  <c r="V345" i="16"/>
  <c r="N345" i="16"/>
  <c r="F345" i="16"/>
  <c r="W344" i="16"/>
  <c r="O344" i="16"/>
  <c r="G344" i="16"/>
  <c r="X343" i="16"/>
  <c r="P343" i="16"/>
  <c r="H343" i="16"/>
  <c r="Y342" i="16"/>
  <c r="Q342" i="16"/>
  <c r="I342" i="16"/>
  <c r="A342" i="16"/>
  <c r="R341" i="16"/>
  <c r="J341" i="16"/>
  <c r="B341" i="16"/>
  <c r="S340" i="16"/>
  <c r="K340" i="16"/>
  <c r="C340" i="16"/>
  <c r="T339" i="16"/>
  <c r="L339" i="16"/>
  <c r="D339" i="16"/>
  <c r="U338" i="16"/>
  <c r="M338" i="16"/>
  <c r="E338" i="16"/>
  <c r="V337" i="16"/>
  <c r="N337" i="16"/>
  <c r="F337" i="16"/>
  <c r="W336" i="16"/>
  <c r="O336" i="16"/>
  <c r="G336" i="16"/>
  <c r="X335" i="16"/>
  <c r="P335" i="16"/>
  <c r="H335" i="16"/>
  <c r="Y334" i="16"/>
  <c r="Q334" i="16"/>
  <c r="I334" i="16"/>
  <c r="A334" i="16"/>
  <c r="R333" i="16"/>
  <c r="J333" i="16"/>
  <c r="B333" i="16"/>
  <c r="S332" i="16"/>
  <c r="K332" i="16"/>
  <c r="C332" i="16"/>
  <c r="T331" i="16"/>
  <c r="L331" i="16"/>
  <c r="D331" i="16"/>
  <c r="U330" i="16"/>
  <c r="M330" i="16"/>
  <c r="E330" i="16"/>
  <c r="V329" i="16"/>
  <c r="N329" i="16"/>
  <c r="F329" i="16"/>
  <c r="W328" i="16"/>
  <c r="O328" i="16"/>
  <c r="G328" i="16"/>
  <c r="X327" i="16"/>
  <c r="P327" i="16"/>
  <c r="H327" i="16"/>
  <c r="Y326" i="16"/>
  <c r="Q326" i="16"/>
  <c r="I326" i="16"/>
  <c r="A326" i="16"/>
  <c r="R325" i="16"/>
  <c r="J325" i="16"/>
  <c r="B325" i="16"/>
  <c r="S324" i="16"/>
  <c r="K324" i="16"/>
  <c r="C324" i="16"/>
  <c r="T323" i="16"/>
  <c r="L323" i="16"/>
  <c r="D323" i="16"/>
  <c r="U322" i="16"/>
  <c r="M322" i="16"/>
  <c r="E322" i="16"/>
  <c r="V321" i="16"/>
  <c r="N321" i="16"/>
  <c r="F321" i="16"/>
  <c r="W320" i="16"/>
  <c r="O320" i="16"/>
  <c r="G320" i="16"/>
  <c r="X319" i="16"/>
  <c r="P319" i="16"/>
  <c r="H319" i="16"/>
  <c r="Y318" i="16"/>
  <c r="Q318" i="16"/>
  <c r="I318" i="16"/>
  <c r="A318" i="16"/>
  <c r="R317" i="16"/>
  <c r="J317" i="16"/>
  <c r="B317" i="16"/>
  <c r="S316" i="16"/>
  <c r="K316" i="16"/>
  <c r="C316" i="16"/>
  <c r="T315" i="16"/>
  <c r="L315" i="16"/>
  <c r="D315" i="16"/>
  <c r="U314" i="16"/>
  <c r="M314" i="16"/>
  <c r="E314" i="16"/>
  <c r="V313" i="16"/>
  <c r="N313" i="16"/>
  <c r="F313" i="16"/>
  <c r="W312" i="16"/>
  <c r="O312" i="16"/>
  <c r="G312" i="16"/>
  <c r="X311" i="16"/>
  <c r="P311" i="16"/>
  <c r="H311" i="16"/>
  <c r="Y310" i="16"/>
  <c r="Q310" i="16"/>
  <c r="I310" i="16"/>
  <c r="A310" i="16"/>
  <c r="R309" i="16"/>
  <c r="J309" i="16"/>
  <c r="B309" i="16"/>
  <c r="S308" i="16"/>
  <c r="K308" i="16"/>
  <c r="C308" i="16"/>
  <c r="T307" i="16"/>
  <c r="L307" i="16"/>
  <c r="D307" i="16"/>
  <c r="U306" i="16"/>
  <c r="M306" i="16"/>
  <c r="E306" i="16"/>
  <c r="V305" i="16"/>
  <c r="N305" i="16"/>
  <c r="F305" i="16"/>
  <c r="W304" i="16"/>
  <c r="O304" i="16"/>
  <c r="G304" i="16"/>
  <c r="X303" i="16"/>
  <c r="P303" i="16"/>
  <c r="H303" i="16"/>
  <c r="Y302" i="16"/>
  <c r="Q302" i="16"/>
  <c r="I302" i="16"/>
  <c r="A302" i="16"/>
  <c r="R301" i="16"/>
  <c r="J301" i="16"/>
  <c r="B301" i="16"/>
  <c r="S300" i="16"/>
  <c r="K300" i="16"/>
  <c r="C300" i="16"/>
  <c r="T299" i="16"/>
  <c r="L299" i="16"/>
  <c r="D299" i="16"/>
  <c r="U298" i="16"/>
  <c r="M298" i="16"/>
  <c r="E298" i="16"/>
  <c r="V297" i="16"/>
  <c r="N297" i="16"/>
  <c r="F297" i="16"/>
  <c r="W296" i="16"/>
  <c r="O296" i="16"/>
  <c r="G296" i="16"/>
  <c r="X295" i="16"/>
  <c r="P295" i="16"/>
  <c r="H295" i="16"/>
  <c r="Y294" i="16"/>
  <c r="Q294" i="16"/>
  <c r="I294" i="16"/>
  <c r="A294" i="16"/>
  <c r="R293" i="16"/>
  <c r="J293" i="16"/>
  <c r="B293" i="16"/>
  <c r="S292" i="16"/>
  <c r="K292" i="16"/>
  <c r="C292" i="16"/>
  <c r="T291" i="16"/>
  <c r="L291" i="16"/>
  <c r="D291" i="16"/>
  <c r="U290" i="16"/>
  <c r="M290" i="16"/>
  <c r="E290" i="16"/>
  <c r="V289" i="16"/>
  <c r="N289" i="16"/>
  <c r="F289" i="16"/>
  <c r="W288" i="16"/>
  <c r="O288" i="16"/>
  <c r="G288" i="16"/>
  <c r="X287" i="16"/>
  <c r="P287" i="16"/>
  <c r="H287" i="16"/>
  <c r="Y286" i="16"/>
  <c r="Q286" i="16"/>
  <c r="I286" i="16"/>
  <c r="A286" i="16"/>
  <c r="R285" i="16"/>
  <c r="J285" i="16"/>
  <c r="B285" i="16"/>
  <c r="S284" i="16"/>
  <c r="K284" i="16"/>
  <c r="C284" i="16"/>
  <c r="T283" i="16"/>
  <c r="L283" i="16"/>
  <c r="D283" i="16"/>
  <c r="U282" i="16"/>
  <c r="M282" i="16"/>
  <c r="E282" i="16"/>
  <c r="V281" i="16"/>
  <c r="N281" i="16"/>
  <c r="F281" i="16"/>
  <c r="W280" i="16"/>
  <c r="O280" i="16"/>
  <c r="G280" i="16"/>
  <c r="X279" i="16"/>
  <c r="P279" i="16"/>
  <c r="H279" i="16"/>
  <c r="Y278" i="16"/>
  <c r="Q278" i="16"/>
  <c r="I278" i="16"/>
  <c r="A278" i="16"/>
  <c r="R277" i="16"/>
  <c r="J277" i="16"/>
  <c r="B277" i="16"/>
  <c r="S276" i="16"/>
  <c r="K276" i="16"/>
  <c r="C276" i="16"/>
  <c r="T275" i="16"/>
  <c r="L275" i="16"/>
  <c r="D275" i="16"/>
  <c r="U274" i="16"/>
  <c r="M274" i="16"/>
  <c r="E274" i="16"/>
  <c r="V273" i="16"/>
  <c r="N273" i="16"/>
  <c r="F273" i="16"/>
  <c r="W272" i="16"/>
  <c r="O272" i="16"/>
  <c r="G272" i="16"/>
  <c r="X271" i="16"/>
  <c r="P271" i="16"/>
  <c r="H271" i="16"/>
  <c r="Y270" i="16"/>
  <c r="Q270" i="16"/>
  <c r="I270" i="16"/>
  <c r="A270" i="16"/>
  <c r="R269" i="16"/>
  <c r="J269" i="16"/>
  <c r="B269" i="16"/>
  <c r="S268" i="16"/>
  <c r="K268" i="16"/>
  <c r="C268" i="16"/>
  <c r="T267" i="16"/>
  <c r="L267" i="16"/>
  <c r="D267" i="16"/>
  <c r="U266" i="16"/>
  <c r="M266" i="16"/>
  <c r="E266" i="16"/>
  <c r="V265" i="16"/>
  <c r="N265" i="16"/>
  <c r="F265" i="16"/>
  <c r="W264" i="16"/>
  <c r="O264" i="16"/>
  <c r="G264" i="16"/>
  <c r="X263" i="16"/>
  <c r="P263" i="16"/>
  <c r="H263" i="16"/>
  <c r="Y262" i="16"/>
  <c r="Q262" i="16"/>
  <c r="I262" i="16"/>
  <c r="A262" i="16"/>
  <c r="R261" i="16"/>
  <c r="J261" i="16"/>
  <c r="B261" i="16"/>
  <c r="S260" i="16"/>
  <c r="K260" i="16"/>
  <c r="C260" i="16"/>
  <c r="T259" i="16"/>
  <c r="L259" i="16"/>
  <c r="D259" i="16"/>
  <c r="U258" i="16"/>
  <c r="M258" i="16"/>
  <c r="E258" i="16"/>
  <c r="V257" i="16"/>
  <c r="N257" i="16"/>
  <c r="F257" i="16"/>
  <c r="W256" i="16"/>
  <c r="O256" i="16"/>
  <c r="G256" i="16"/>
  <c r="X255" i="16"/>
  <c r="P255" i="16"/>
  <c r="H255" i="16"/>
  <c r="Y254" i="16"/>
  <c r="Q254" i="16"/>
  <c r="I254" i="16"/>
  <c r="A254" i="16"/>
  <c r="R253" i="16"/>
  <c r="J253" i="16"/>
  <c r="B253" i="16"/>
  <c r="S252" i="16"/>
  <c r="K252" i="16"/>
  <c r="C252" i="16"/>
  <c r="T251" i="16"/>
  <c r="L251" i="16"/>
  <c r="D251" i="16"/>
  <c r="U250" i="16"/>
  <c r="M250" i="16"/>
  <c r="E250" i="16"/>
  <c r="V249" i="16"/>
  <c r="N249" i="16"/>
  <c r="F249" i="16"/>
  <c r="W248" i="16"/>
  <c r="O248" i="16"/>
  <c r="G248" i="16"/>
  <c r="X247" i="16"/>
  <c r="P247" i="16"/>
  <c r="H247" i="16"/>
  <c r="Y246" i="16"/>
  <c r="Q246" i="16"/>
  <c r="I246" i="16"/>
  <c r="A246" i="16"/>
  <c r="R245" i="16"/>
  <c r="J245" i="16"/>
  <c r="B245" i="16"/>
  <c r="S244" i="16"/>
  <c r="K244" i="16"/>
  <c r="C244" i="16"/>
  <c r="T243" i="16"/>
  <c r="L243" i="16"/>
  <c r="D243" i="16"/>
  <c r="U242" i="16"/>
  <c r="M242" i="16"/>
  <c r="E242" i="16"/>
  <c r="V241" i="16"/>
  <c r="N241" i="16"/>
  <c r="F241" i="16"/>
  <c r="W240" i="16"/>
  <c r="O240" i="16"/>
  <c r="G240" i="16"/>
  <c r="X239" i="16"/>
  <c r="P239" i="16"/>
  <c r="H239" i="16"/>
  <c r="Y238" i="16"/>
  <c r="Q238" i="16"/>
  <c r="I238" i="16"/>
  <c r="A238" i="16"/>
  <c r="R237" i="16"/>
  <c r="J237" i="16"/>
  <c r="B237" i="16"/>
  <c r="S236" i="16"/>
  <c r="K236" i="16"/>
  <c r="C236" i="16"/>
  <c r="T235" i="16"/>
  <c r="L235" i="16"/>
  <c r="D235" i="16"/>
  <c r="U234" i="16"/>
  <c r="M234" i="16"/>
  <c r="E234" i="16"/>
  <c r="V233" i="16"/>
  <c r="N233" i="16"/>
  <c r="F233" i="16"/>
  <c r="W232" i="16"/>
  <c r="O232" i="16"/>
  <c r="G232" i="16"/>
  <c r="X231" i="16"/>
  <c r="P231" i="16"/>
  <c r="H231" i="16"/>
  <c r="Y230" i="16"/>
  <c r="Q230" i="16"/>
  <c r="I230" i="16"/>
  <c r="A230" i="16"/>
  <c r="R229" i="16"/>
  <c r="J229" i="16"/>
  <c r="B229" i="16"/>
  <c r="S228" i="16"/>
  <c r="K228" i="16"/>
  <c r="C228" i="16"/>
  <c r="T227" i="16"/>
  <c r="L227" i="16"/>
  <c r="D227" i="16"/>
  <c r="U226" i="16"/>
  <c r="M226" i="16"/>
  <c r="E226" i="16"/>
  <c r="V225" i="16"/>
  <c r="N225" i="16"/>
  <c r="F225" i="16"/>
  <c r="W224" i="16"/>
  <c r="O224" i="16"/>
  <c r="G224" i="16"/>
  <c r="X223" i="16"/>
  <c r="P223" i="16"/>
  <c r="H223" i="16"/>
  <c r="Y222" i="16"/>
  <c r="Q222" i="16"/>
  <c r="I222" i="16"/>
  <c r="A222" i="16"/>
  <c r="T221" i="16"/>
  <c r="N221" i="16"/>
  <c r="I221" i="16"/>
  <c r="D221" i="16"/>
  <c r="W220" i="16"/>
  <c r="R220" i="16"/>
  <c r="M220" i="16"/>
  <c r="G220" i="16"/>
  <c r="B220" i="16"/>
  <c r="V219" i="16"/>
  <c r="P219" i="16"/>
  <c r="K219" i="16"/>
  <c r="F219" i="16"/>
  <c r="Y218" i="16"/>
  <c r="T218" i="16"/>
  <c r="O218" i="16"/>
  <c r="I218" i="16"/>
  <c r="D218" i="16"/>
  <c r="X217" i="16"/>
  <c r="R217" i="16"/>
  <c r="M217" i="16"/>
  <c r="H217" i="16"/>
  <c r="B217" i="16"/>
  <c r="V216" i="16"/>
  <c r="Q216" i="16"/>
  <c r="K216" i="16"/>
  <c r="F216" i="16"/>
  <c r="A216" i="16"/>
  <c r="T215" i="16"/>
  <c r="O215" i="16"/>
  <c r="J215" i="16"/>
  <c r="D215" i="16"/>
  <c r="X214" i="16"/>
  <c r="S214" i="16"/>
  <c r="M214" i="16"/>
  <c r="H214" i="16"/>
  <c r="C214" i="16"/>
  <c r="V213" i="16"/>
  <c r="Q213" i="16"/>
  <c r="L213" i="16"/>
  <c r="F213" i="16"/>
  <c r="A213" i="16"/>
  <c r="U212" i="16"/>
  <c r="O212" i="16"/>
  <c r="J212" i="16"/>
  <c r="E212" i="16"/>
  <c r="X211" i="16"/>
  <c r="S211" i="16"/>
  <c r="N211" i="16"/>
  <c r="H211" i="16"/>
  <c r="C211" i="16"/>
  <c r="W210" i="16"/>
  <c r="Q210" i="16"/>
  <c r="L210" i="16"/>
  <c r="G210" i="16"/>
  <c r="A210" i="16"/>
  <c r="U209" i="16"/>
  <c r="P209" i="16"/>
  <c r="J209" i="16"/>
  <c r="E209" i="16"/>
  <c r="Y208" i="16"/>
  <c r="S208" i="16"/>
  <c r="N208" i="16"/>
  <c r="I208" i="16"/>
  <c r="C208" i="16"/>
  <c r="W207" i="16"/>
  <c r="R207" i="16"/>
  <c r="L207" i="16"/>
  <c r="G207" i="16"/>
  <c r="B207" i="16"/>
  <c r="U206" i="16"/>
  <c r="P206" i="16"/>
  <c r="K206" i="16"/>
  <c r="E206" i="16"/>
  <c r="Y205" i="16"/>
  <c r="T205" i="16"/>
  <c r="N205" i="16"/>
  <c r="I205" i="16"/>
  <c r="D205" i="16"/>
  <c r="W204" i="16"/>
  <c r="R204" i="16"/>
  <c r="M204" i="16"/>
  <c r="G204" i="16"/>
  <c r="B204" i="16"/>
  <c r="V203" i="16"/>
  <c r="P203" i="16"/>
  <c r="K203" i="16"/>
  <c r="F203" i="16"/>
  <c r="Y202" i="16"/>
  <c r="T202" i="16"/>
  <c r="O202" i="16"/>
  <c r="I202" i="16"/>
  <c r="D202" i="16"/>
  <c r="X201" i="16"/>
  <c r="R201" i="16"/>
  <c r="M201" i="16"/>
  <c r="H201" i="16"/>
  <c r="B201" i="16"/>
  <c r="V200" i="16"/>
  <c r="Q200" i="16"/>
  <c r="K200" i="16"/>
  <c r="F200" i="16"/>
  <c r="A200" i="16"/>
  <c r="T199" i="16"/>
  <c r="O199" i="16"/>
  <c r="J199" i="16"/>
  <c r="D199" i="16"/>
  <c r="X198" i="16"/>
  <c r="S198" i="16"/>
  <c r="M198" i="16"/>
  <c r="H198" i="16"/>
  <c r="C198" i="16"/>
  <c r="V197" i="16"/>
  <c r="R197" i="16"/>
  <c r="N197" i="16"/>
  <c r="J197" i="16"/>
  <c r="F197" i="16"/>
  <c r="B197" i="16"/>
  <c r="W196" i="16"/>
  <c r="S196" i="16"/>
  <c r="O196" i="16"/>
  <c r="K196" i="16"/>
  <c r="G196" i="16"/>
  <c r="C196" i="16"/>
  <c r="X195" i="16"/>
  <c r="T195" i="16"/>
  <c r="P195" i="16"/>
  <c r="L195" i="16"/>
  <c r="H195" i="16"/>
  <c r="D195" i="16"/>
  <c r="Y194" i="16"/>
  <c r="U194" i="16"/>
  <c r="Q194" i="16"/>
  <c r="M194" i="16"/>
  <c r="I194" i="16"/>
  <c r="E194" i="16"/>
  <c r="A194" i="16"/>
  <c r="V193" i="16"/>
  <c r="R193" i="16"/>
  <c r="N193" i="16"/>
  <c r="J193" i="16"/>
  <c r="F193" i="16"/>
  <c r="B193" i="16"/>
  <c r="W192" i="16"/>
  <c r="S192" i="16"/>
  <c r="O192" i="16"/>
  <c r="K192" i="16"/>
  <c r="G192" i="16"/>
  <c r="C192" i="16"/>
  <c r="X191" i="16"/>
  <c r="T191" i="16"/>
  <c r="P191" i="16"/>
  <c r="L191" i="16"/>
  <c r="H191" i="16"/>
  <c r="D191" i="16"/>
  <c r="Y190" i="16"/>
  <c r="U190" i="16"/>
  <c r="Q190" i="16"/>
  <c r="M190" i="16"/>
  <c r="I190" i="16"/>
  <c r="E190" i="16"/>
  <c r="A190" i="16"/>
  <c r="V189" i="16"/>
  <c r="R189" i="16"/>
  <c r="N189" i="16"/>
  <c r="J189" i="16"/>
  <c r="F189" i="16"/>
  <c r="B189" i="16"/>
  <c r="W188" i="16"/>
  <c r="S188" i="16"/>
  <c r="O188" i="16"/>
  <c r="K188" i="16"/>
  <c r="G188" i="16"/>
  <c r="C188" i="16"/>
  <c r="X187" i="16"/>
  <c r="T187" i="16"/>
  <c r="P187" i="16"/>
  <c r="L187" i="16"/>
  <c r="H187" i="16"/>
  <c r="D187" i="16"/>
  <c r="Y186" i="16"/>
  <c r="U186" i="16"/>
  <c r="Q186" i="16"/>
  <c r="M186" i="16"/>
  <c r="I186" i="16"/>
  <c r="E186" i="16"/>
  <c r="A186" i="16"/>
  <c r="V185" i="16"/>
  <c r="R185" i="16"/>
  <c r="N185" i="16"/>
  <c r="J185" i="16"/>
  <c r="F185" i="16"/>
  <c r="B185" i="16"/>
  <c r="W184" i="16"/>
  <c r="S184" i="16"/>
  <c r="O184" i="16"/>
  <c r="K184" i="16"/>
  <c r="G184" i="16"/>
  <c r="C184" i="16"/>
  <c r="X183" i="16"/>
  <c r="T183" i="16"/>
  <c r="P183" i="16"/>
  <c r="L183" i="16"/>
  <c r="H183" i="16"/>
  <c r="D183" i="16"/>
  <c r="Y182" i="16"/>
  <c r="U182" i="16"/>
  <c r="Q182" i="16"/>
  <c r="M182" i="16"/>
  <c r="I182" i="16"/>
  <c r="E182" i="16"/>
  <c r="A182" i="16"/>
  <c r="V181" i="16"/>
  <c r="R181" i="16"/>
  <c r="N181" i="16"/>
  <c r="J181" i="16"/>
  <c r="F181" i="16"/>
  <c r="B181" i="16"/>
  <c r="W180" i="16"/>
  <c r="S180" i="16"/>
  <c r="O180" i="16"/>
  <c r="K180" i="16"/>
  <c r="G180" i="16"/>
  <c r="C180" i="16"/>
  <c r="X179" i="16"/>
  <c r="T179" i="16"/>
  <c r="P179" i="16"/>
  <c r="L179" i="16"/>
  <c r="H179" i="16"/>
  <c r="D179" i="16"/>
  <c r="Y178" i="16"/>
  <c r="U178" i="16"/>
  <c r="Q178" i="16"/>
  <c r="M178" i="16"/>
  <c r="I178" i="16"/>
  <c r="E178" i="16"/>
  <c r="A178" i="16"/>
  <c r="V177" i="16"/>
  <c r="R177" i="16"/>
  <c r="N177" i="16"/>
  <c r="J177" i="16"/>
  <c r="F177" i="16"/>
  <c r="B177" i="16"/>
  <c r="W176" i="16"/>
  <c r="S176" i="16"/>
  <c r="O176" i="16"/>
  <c r="K176" i="16"/>
  <c r="G176" i="16"/>
  <c r="C176" i="16"/>
  <c r="X175" i="16"/>
  <c r="T175" i="16"/>
  <c r="P175" i="16"/>
  <c r="L175" i="16"/>
  <c r="H175" i="16"/>
  <c r="D175" i="16"/>
  <c r="Y174" i="16"/>
  <c r="U174" i="16"/>
  <c r="Q174" i="16"/>
  <c r="M174" i="16"/>
  <c r="I174" i="16"/>
  <c r="E174" i="16"/>
  <c r="A174" i="16"/>
  <c r="V173" i="16"/>
  <c r="R173" i="16"/>
  <c r="N173" i="16"/>
  <c r="J173" i="16"/>
  <c r="F173" i="16"/>
  <c r="B173" i="16"/>
  <c r="W172" i="16"/>
  <c r="S172" i="16"/>
  <c r="O172" i="16"/>
  <c r="K172" i="16"/>
  <c r="G172" i="16"/>
  <c r="C172" i="16"/>
  <c r="X171" i="16"/>
  <c r="T171" i="16"/>
  <c r="P171" i="16"/>
  <c r="L171" i="16"/>
  <c r="H171" i="16"/>
  <c r="D171" i="16"/>
  <c r="Y170" i="16"/>
  <c r="U170" i="16"/>
  <c r="Q170" i="16"/>
  <c r="M170" i="16"/>
  <c r="I170" i="16"/>
  <c r="E170" i="16"/>
  <c r="A170" i="16"/>
  <c r="V169" i="16"/>
  <c r="R169" i="16"/>
  <c r="N169" i="16"/>
  <c r="J169" i="16"/>
  <c r="F169" i="16"/>
  <c r="B169" i="16"/>
  <c r="W168" i="16"/>
  <c r="S168" i="16"/>
  <c r="O168" i="16"/>
  <c r="K168" i="16"/>
  <c r="G168" i="16"/>
  <c r="C168" i="16"/>
  <c r="X167" i="16"/>
  <c r="T167" i="16"/>
  <c r="P167" i="16"/>
  <c r="L167" i="16"/>
  <c r="H167" i="16"/>
  <c r="D167" i="16"/>
  <c r="Y166" i="16"/>
  <c r="U166" i="16"/>
  <c r="Q166" i="16"/>
  <c r="M166" i="16"/>
  <c r="I166" i="16"/>
  <c r="E166" i="16"/>
  <c r="A166" i="16"/>
  <c r="V165" i="16"/>
  <c r="R165" i="16"/>
  <c r="N165" i="16"/>
  <c r="J165" i="16"/>
  <c r="F165" i="16"/>
  <c r="B165" i="16"/>
  <c r="W164" i="16"/>
  <c r="S164" i="16"/>
  <c r="O164" i="16"/>
  <c r="K164" i="16"/>
  <c r="G164" i="16"/>
  <c r="C164" i="16"/>
  <c r="X163" i="16"/>
  <c r="T163" i="16"/>
  <c r="P163" i="16"/>
  <c r="L163" i="16"/>
  <c r="H163" i="16"/>
  <c r="D163" i="16"/>
  <c r="Y162" i="16"/>
  <c r="U162" i="16"/>
  <c r="Q162" i="16"/>
  <c r="M162" i="16"/>
  <c r="I162" i="16"/>
  <c r="E162" i="16"/>
  <c r="A162" i="16"/>
  <c r="V161" i="16"/>
  <c r="R161" i="16"/>
  <c r="N161" i="16"/>
  <c r="J161" i="16"/>
  <c r="F161" i="16"/>
  <c r="B161" i="16"/>
  <c r="W160" i="16"/>
  <c r="S160" i="16"/>
  <c r="O160" i="16"/>
  <c r="K160" i="16"/>
  <c r="G160" i="16"/>
  <c r="C160" i="16"/>
  <c r="X159" i="16"/>
  <c r="T159" i="16"/>
  <c r="P159" i="16"/>
  <c r="L159" i="16"/>
  <c r="H159" i="16"/>
  <c r="D159" i="16"/>
  <c r="Y158" i="16"/>
  <c r="U158" i="16"/>
  <c r="Q158" i="16"/>
  <c r="M158" i="16"/>
  <c r="I158" i="16"/>
  <c r="E158" i="16"/>
  <c r="A158" i="16"/>
  <c r="V157" i="16"/>
  <c r="R157" i="16"/>
  <c r="N157" i="16"/>
  <c r="J157" i="16"/>
  <c r="F157" i="16"/>
  <c r="B157" i="16"/>
  <c r="W156" i="16"/>
  <c r="S156" i="16"/>
  <c r="O156" i="16"/>
  <c r="K156" i="16"/>
  <c r="G156" i="16"/>
  <c r="C156" i="16"/>
  <c r="X155" i="16"/>
  <c r="T155" i="16"/>
  <c r="P155" i="16"/>
  <c r="L155" i="16"/>
  <c r="H155" i="16"/>
  <c r="D155" i="16"/>
  <c r="Y154" i="16"/>
  <c r="U154" i="16"/>
  <c r="Q154" i="16"/>
  <c r="M154" i="16"/>
  <c r="I154" i="16"/>
  <c r="E154" i="16"/>
  <c r="A154" i="16"/>
  <c r="V153" i="16"/>
  <c r="R153" i="16"/>
  <c r="N153" i="16"/>
  <c r="J153" i="16"/>
  <c r="F153" i="16"/>
  <c r="B153" i="16"/>
  <c r="W152" i="16"/>
  <c r="S152" i="16"/>
  <c r="O152" i="16"/>
  <c r="K152" i="16"/>
  <c r="G152" i="16"/>
  <c r="C152" i="16"/>
  <c r="X151" i="16"/>
  <c r="T151" i="16"/>
  <c r="P151" i="16"/>
  <c r="L151" i="16"/>
  <c r="H151" i="16"/>
  <c r="D151" i="16"/>
  <c r="Y150" i="16"/>
  <c r="U150" i="16"/>
  <c r="Q150" i="16"/>
  <c r="M150" i="16"/>
  <c r="I150" i="16"/>
  <c r="E150" i="16"/>
  <c r="A150" i="16"/>
  <c r="V149" i="16"/>
  <c r="R149" i="16"/>
  <c r="N149" i="16"/>
  <c r="J149" i="16"/>
  <c r="F149" i="16"/>
  <c r="B149" i="16"/>
  <c r="W148" i="16"/>
  <c r="S148" i="16"/>
  <c r="O148" i="16"/>
  <c r="K148" i="16"/>
  <c r="G148" i="16"/>
  <c r="C148" i="16"/>
  <c r="X147" i="16"/>
  <c r="T147" i="16"/>
  <c r="P147" i="16"/>
  <c r="L147" i="16"/>
  <c r="H147" i="16"/>
  <c r="D147" i="16"/>
  <c r="Y146" i="16"/>
  <c r="U146" i="16"/>
  <c r="Q146" i="16"/>
  <c r="M146" i="16"/>
  <c r="I146" i="16"/>
  <c r="E146" i="16"/>
  <c r="A146" i="16"/>
  <c r="V145" i="16"/>
  <c r="R145" i="16"/>
  <c r="N145" i="16"/>
  <c r="J145" i="16"/>
  <c r="F145" i="16"/>
  <c r="B145" i="16"/>
  <c r="W144" i="16"/>
  <c r="S144" i="16"/>
  <c r="O144" i="16"/>
  <c r="K144" i="16"/>
  <c r="G144" i="16"/>
  <c r="C144" i="16"/>
  <c r="X143" i="16"/>
  <c r="T143" i="16"/>
  <c r="P143" i="16"/>
  <c r="L143" i="16"/>
  <c r="H143" i="16"/>
  <c r="D143" i="16"/>
  <c r="Y142" i="16"/>
  <c r="U142" i="16"/>
  <c r="Q142" i="16"/>
  <c r="M142" i="16"/>
  <c r="I142" i="16"/>
  <c r="E142" i="16"/>
  <c r="A142" i="16"/>
  <c r="V141" i="16"/>
  <c r="R141" i="16"/>
  <c r="N141" i="16"/>
  <c r="J141" i="16"/>
  <c r="F141" i="16"/>
  <c r="B141" i="16"/>
  <c r="W140" i="16"/>
  <c r="S140" i="16"/>
  <c r="O140" i="16"/>
  <c r="K140" i="16"/>
  <c r="G140" i="16"/>
  <c r="C140" i="16"/>
  <c r="X139" i="16"/>
  <c r="T139" i="16"/>
  <c r="P139" i="16"/>
  <c r="L139" i="16"/>
  <c r="H139" i="16"/>
  <c r="D139" i="16"/>
  <c r="Y138" i="16"/>
  <c r="U138" i="16"/>
  <c r="Q138" i="16"/>
  <c r="M138" i="16"/>
  <c r="I138" i="16"/>
  <c r="E138" i="16"/>
  <c r="A138" i="16"/>
  <c r="V137" i="16"/>
  <c r="R137" i="16"/>
  <c r="N137" i="16"/>
  <c r="J137" i="16"/>
  <c r="F137" i="16"/>
  <c r="B137" i="16"/>
  <c r="W136" i="16"/>
  <c r="S136" i="16"/>
  <c r="O136" i="16"/>
  <c r="K136" i="16"/>
  <c r="G136" i="16"/>
  <c r="C136" i="16"/>
  <c r="X135" i="16"/>
  <c r="T135" i="16"/>
  <c r="P135" i="16"/>
  <c r="L135" i="16"/>
  <c r="H135" i="16"/>
  <c r="D135" i="16"/>
  <c r="Y134" i="16"/>
  <c r="U134" i="16"/>
  <c r="Q134" i="16"/>
  <c r="M134" i="16"/>
  <c r="I134" i="16"/>
  <c r="E134" i="16"/>
  <c r="A134" i="16"/>
  <c r="V133" i="16"/>
  <c r="R133" i="16"/>
  <c r="N133" i="16"/>
  <c r="J133" i="16"/>
  <c r="F133" i="16"/>
  <c r="B133" i="16"/>
  <c r="W132" i="16"/>
  <c r="S132" i="16"/>
  <c r="O132" i="16"/>
  <c r="K132" i="16"/>
  <c r="G132" i="16"/>
  <c r="C132" i="16"/>
  <c r="X131" i="16"/>
  <c r="T131" i="16"/>
  <c r="P131" i="16"/>
  <c r="L131" i="16"/>
  <c r="H131" i="16"/>
  <c r="D131" i="16"/>
  <c r="Y130" i="16"/>
  <c r="U130" i="16"/>
  <c r="Q130" i="16"/>
  <c r="M130" i="16"/>
  <c r="I130" i="16"/>
  <c r="E130" i="16"/>
  <c r="A130" i="16"/>
  <c r="V129" i="16"/>
  <c r="R129" i="16"/>
  <c r="N129" i="16"/>
  <c r="J129" i="16"/>
  <c r="F129" i="16"/>
  <c r="B129" i="16"/>
  <c r="W128" i="16"/>
  <c r="S128" i="16"/>
  <c r="O128" i="16"/>
  <c r="K128" i="16"/>
  <c r="G128" i="16"/>
  <c r="C128" i="16"/>
  <c r="X127" i="16"/>
  <c r="T127" i="16"/>
  <c r="P127" i="16"/>
  <c r="L127" i="16"/>
  <c r="H127" i="16"/>
  <c r="D127" i="16"/>
  <c r="Y126" i="16"/>
  <c r="U126" i="16"/>
  <c r="Q126" i="16"/>
  <c r="M126" i="16"/>
  <c r="I126" i="16"/>
  <c r="E126" i="16"/>
  <c r="A126" i="16"/>
  <c r="V125" i="16"/>
  <c r="R125" i="16"/>
  <c r="N125" i="16"/>
  <c r="J125" i="16"/>
  <c r="F125" i="16"/>
  <c r="B125" i="16"/>
  <c r="W124" i="16"/>
  <c r="S124" i="16"/>
  <c r="O124" i="16"/>
  <c r="K124" i="16"/>
  <c r="G124" i="16"/>
  <c r="C124" i="16"/>
  <c r="X123" i="16"/>
  <c r="T123" i="16"/>
  <c r="P123" i="16"/>
  <c r="L123" i="16"/>
  <c r="H123" i="16"/>
  <c r="D123" i="16"/>
  <c r="Y122" i="16"/>
  <c r="U122" i="16"/>
  <c r="Q122" i="16"/>
  <c r="M122" i="16"/>
  <c r="I122" i="16"/>
  <c r="E122" i="16"/>
  <c r="A122" i="16"/>
  <c r="V121" i="16"/>
  <c r="R121" i="16"/>
  <c r="N121" i="16"/>
  <c r="J121" i="16"/>
  <c r="F121" i="16"/>
  <c r="B121" i="16"/>
  <c r="W120" i="16"/>
  <c r="S120" i="16"/>
  <c r="O120" i="16"/>
  <c r="K120" i="16"/>
  <c r="G120" i="16"/>
  <c r="C120" i="16"/>
  <c r="X119" i="16"/>
  <c r="T119" i="16"/>
  <c r="P119" i="16"/>
  <c r="L119" i="16"/>
  <c r="H119" i="16"/>
  <c r="D119" i="16"/>
  <c r="Y118" i="16"/>
  <c r="U118" i="16"/>
  <c r="Q118" i="16"/>
  <c r="M118" i="16"/>
  <c r="I118" i="16"/>
  <c r="E118" i="16"/>
  <c r="A118" i="16"/>
  <c r="V117" i="16"/>
  <c r="R117" i="16"/>
  <c r="N117" i="16"/>
  <c r="J117" i="16"/>
  <c r="F117" i="16"/>
  <c r="B117" i="16"/>
  <c r="W116" i="16"/>
  <c r="S116" i="16"/>
  <c r="O116" i="16"/>
  <c r="K116" i="16"/>
  <c r="G116" i="16"/>
  <c r="C116" i="16"/>
  <c r="X115" i="16"/>
  <c r="T115" i="16"/>
  <c r="P115" i="16"/>
  <c r="L115" i="16"/>
  <c r="H115" i="16"/>
  <c r="D115" i="16"/>
  <c r="Y114" i="16"/>
  <c r="U114" i="16"/>
  <c r="Q114" i="16"/>
  <c r="M114" i="16"/>
  <c r="I114" i="16"/>
  <c r="E114" i="16"/>
  <c r="A114" i="16"/>
  <c r="V113" i="16"/>
  <c r="R113" i="16"/>
  <c r="N113" i="16"/>
  <c r="J113" i="16"/>
  <c r="F113" i="16"/>
  <c r="B113" i="16"/>
  <c r="W112" i="16"/>
  <c r="S112" i="16"/>
  <c r="O112" i="16"/>
  <c r="K112" i="16"/>
  <c r="G112" i="16"/>
  <c r="C112" i="16"/>
  <c r="X111" i="16"/>
  <c r="T111" i="16"/>
  <c r="P111" i="16"/>
  <c r="L111" i="16"/>
  <c r="H111" i="16"/>
  <c r="D111" i="16"/>
  <c r="Y110" i="16"/>
  <c r="U110" i="16"/>
  <c r="Q110" i="16"/>
  <c r="M110" i="16"/>
  <c r="I110" i="16"/>
  <c r="E110" i="16"/>
  <c r="A110" i="16"/>
  <c r="V109" i="16"/>
  <c r="R109" i="16"/>
  <c r="N109" i="16"/>
  <c r="J109" i="16"/>
  <c r="F109" i="16"/>
  <c r="B109" i="16"/>
  <c r="W108" i="16"/>
  <c r="S108" i="16"/>
  <c r="O108" i="16"/>
  <c r="K108" i="16"/>
  <c r="G108" i="16"/>
  <c r="C108" i="16"/>
  <c r="X107" i="16"/>
  <c r="T107" i="16"/>
  <c r="P107" i="16"/>
  <c r="L107" i="16"/>
  <c r="H107" i="16"/>
  <c r="D107" i="16"/>
  <c r="Y106" i="16"/>
  <c r="U106" i="16"/>
  <c r="Q106" i="16"/>
  <c r="M106" i="16"/>
  <c r="I106" i="16"/>
  <c r="E106" i="16"/>
  <c r="A106" i="16"/>
  <c r="V105" i="16"/>
  <c r="R105" i="16"/>
  <c r="N105" i="16"/>
  <c r="J105" i="16"/>
  <c r="F105" i="16"/>
  <c r="B105" i="16"/>
  <c r="W104" i="16"/>
  <c r="S104" i="16"/>
  <c r="O104" i="16"/>
  <c r="K104" i="16"/>
  <c r="G104" i="16"/>
  <c r="C104" i="16"/>
  <c r="X103" i="16"/>
  <c r="T103" i="16"/>
  <c r="P103" i="16"/>
  <c r="L103" i="16"/>
  <c r="H103" i="16"/>
  <c r="D103" i="16"/>
  <c r="Y102" i="16"/>
  <c r="U102" i="16"/>
  <c r="Q102" i="16"/>
  <c r="M102" i="16"/>
  <c r="I102" i="16"/>
  <c r="E102" i="16"/>
  <c r="A102" i="16"/>
  <c r="V101" i="16"/>
  <c r="R101" i="16"/>
  <c r="N101" i="16"/>
  <c r="J101" i="16"/>
  <c r="F101" i="16"/>
  <c r="B101" i="16"/>
  <c r="W100" i="16"/>
  <c r="S100" i="16"/>
  <c r="O100" i="16"/>
  <c r="K100" i="16"/>
  <c r="G100" i="16"/>
  <c r="C100" i="16"/>
  <c r="X99" i="16"/>
  <c r="T99" i="16"/>
  <c r="P99" i="16"/>
  <c r="L99" i="16"/>
  <c r="H99" i="16"/>
  <c r="D99" i="16"/>
  <c r="Y98" i="16"/>
  <c r="U98" i="16"/>
  <c r="Q98" i="16"/>
  <c r="M98" i="16"/>
  <c r="I98" i="16"/>
  <c r="E98" i="16"/>
  <c r="A98" i="16"/>
  <c r="V97" i="16"/>
  <c r="R97" i="16"/>
  <c r="N97" i="16"/>
  <c r="J97" i="16"/>
  <c r="F97" i="16"/>
  <c r="B97" i="16"/>
  <c r="W96" i="16"/>
  <c r="S96" i="16"/>
  <c r="O96" i="16"/>
  <c r="K96" i="16"/>
  <c r="G96" i="16"/>
  <c r="C96" i="16"/>
  <c r="X95" i="16"/>
  <c r="T95" i="16"/>
  <c r="P95" i="16"/>
  <c r="L95" i="16"/>
  <c r="H95" i="16"/>
  <c r="D95" i="16"/>
  <c r="Y94" i="16"/>
  <c r="U94" i="16"/>
  <c r="Q94" i="16"/>
  <c r="M94" i="16"/>
  <c r="I94" i="16"/>
  <c r="E94" i="16"/>
  <c r="A94" i="16"/>
  <c r="V93" i="16"/>
  <c r="R93" i="16"/>
  <c r="N93" i="16"/>
  <c r="J93" i="16"/>
  <c r="F93" i="16"/>
  <c r="B93" i="16"/>
  <c r="W92" i="16"/>
  <c r="S92" i="16"/>
  <c r="O92" i="16"/>
  <c r="K92" i="16"/>
  <c r="G92" i="16"/>
  <c r="C92" i="16"/>
  <c r="X91" i="16"/>
  <c r="T91" i="16"/>
  <c r="P91" i="16"/>
  <c r="L91" i="16"/>
  <c r="H91" i="16"/>
  <c r="D91" i="16"/>
  <c r="Y90" i="16"/>
  <c r="U90" i="16"/>
  <c r="Q90" i="16"/>
  <c r="M90" i="16"/>
  <c r="I90" i="16"/>
  <c r="E90" i="16"/>
  <c r="A90" i="16"/>
  <c r="V89" i="16"/>
  <c r="R89" i="16"/>
  <c r="N89" i="16"/>
  <c r="J89" i="16"/>
  <c r="F89" i="16"/>
  <c r="B89" i="16"/>
  <c r="W88" i="16"/>
  <c r="S88" i="16"/>
  <c r="O88" i="16"/>
  <c r="K88" i="16"/>
  <c r="G88" i="16"/>
  <c r="C88" i="16"/>
  <c r="X87" i="16"/>
  <c r="T87" i="16"/>
  <c r="P87" i="16"/>
  <c r="L87" i="16"/>
  <c r="H87" i="16"/>
  <c r="D87" i="16"/>
  <c r="Y86" i="16"/>
  <c r="U86" i="16"/>
  <c r="Q86" i="16"/>
  <c r="M86" i="16"/>
  <c r="I86" i="16"/>
  <c r="E86" i="16"/>
  <c r="A86" i="16"/>
  <c r="V85" i="16"/>
  <c r="R85" i="16"/>
  <c r="N85" i="16"/>
  <c r="J85" i="16"/>
  <c r="F85" i="16"/>
  <c r="B85" i="16"/>
  <c r="W84" i="16"/>
  <c r="S84" i="16"/>
  <c r="O84" i="16"/>
  <c r="K84" i="16"/>
  <c r="G84" i="16"/>
  <c r="C84" i="16"/>
  <c r="X83" i="16"/>
  <c r="T83" i="16"/>
  <c r="P83" i="16"/>
  <c r="L83" i="16"/>
  <c r="H83" i="16"/>
  <c r="D83" i="16"/>
  <c r="Y82" i="16"/>
  <c r="U82" i="16"/>
  <c r="Q82" i="16"/>
  <c r="M82" i="16"/>
  <c r="I82" i="16"/>
  <c r="E82" i="16"/>
  <c r="A82" i="16"/>
  <c r="V81" i="16"/>
  <c r="R81" i="16"/>
  <c r="N81" i="16"/>
  <c r="J81" i="16"/>
  <c r="F81" i="16"/>
  <c r="B81" i="16"/>
  <c r="W80" i="16"/>
  <c r="S80" i="16"/>
  <c r="O80" i="16"/>
  <c r="K80" i="16"/>
  <c r="G80" i="16"/>
  <c r="C80" i="16"/>
  <c r="X79" i="16"/>
  <c r="T79" i="16"/>
  <c r="P79" i="16"/>
  <c r="L79" i="16"/>
  <c r="H79" i="16"/>
  <c r="D79" i="16"/>
  <c r="Y78" i="16"/>
  <c r="U78" i="16"/>
  <c r="Q78" i="16"/>
  <c r="M78" i="16"/>
  <c r="I78" i="16"/>
  <c r="E78" i="16"/>
  <c r="A78" i="16"/>
  <c r="V77" i="16"/>
  <c r="R77" i="16"/>
  <c r="N77" i="16"/>
  <c r="J77" i="16"/>
  <c r="F77" i="16"/>
  <c r="B77" i="16"/>
  <c r="W76" i="16"/>
  <c r="S76" i="16"/>
  <c r="O76" i="16"/>
  <c r="K76" i="16"/>
  <c r="G76" i="16"/>
  <c r="C76" i="16"/>
  <c r="X75" i="16"/>
  <c r="T75" i="16"/>
  <c r="P75" i="16"/>
  <c r="L75" i="16"/>
  <c r="H75" i="16"/>
  <c r="D75" i="16"/>
  <c r="Y74" i="16"/>
  <c r="U74" i="16"/>
  <c r="Q74" i="16"/>
  <c r="M74" i="16"/>
  <c r="I74" i="16"/>
  <c r="E74" i="16"/>
  <c r="A74" i="16"/>
  <c r="V73" i="16"/>
  <c r="R73" i="16"/>
  <c r="N73" i="16"/>
  <c r="J73" i="16"/>
  <c r="F73" i="16"/>
  <c r="B73" i="16"/>
  <c r="W72" i="16"/>
  <c r="S72" i="16"/>
  <c r="O72" i="16"/>
  <c r="K72" i="16"/>
  <c r="G72" i="16"/>
  <c r="C72" i="16"/>
  <c r="X71" i="16"/>
  <c r="T71" i="16"/>
  <c r="P71" i="16"/>
  <c r="L71" i="16"/>
  <c r="H71" i="16"/>
  <c r="D71" i="16"/>
  <c r="Y70" i="16"/>
  <c r="U70" i="16"/>
  <c r="Q70" i="16"/>
  <c r="M70" i="16"/>
  <c r="I70" i="16"/>
  <c r="E70" i="16"/>
  <c r="A70" i="16"/>
  <c r="V69" i="16"/>
  <c r="R69" i="16"/>
  <c r="N69" i="16"/>
  <c r="J69" i="16"/>
  <c r="F69" i="16"/>
  <c r="B69" i="16"/>
  <c r="W68" i="16"/>
  <c r="S68" i="16"/>
  <c r="O68" i="16"/>
  <c r="K68" i="16"/>
  <c r="G68" i="16"/>
  <c r="C68" i="16"/>
  <c r="X67" i="16"/>
  <c r="T67" i="16"/>
  <c r="P67" i="16"/>
  <c r="L67" i="16"/>
  <c r="H67" i="16"/>
  <c r="D67" i="16"/>
  <c r="Y66" i="16"/>
  <c r="U66" i="16"/>
  <c r="Q66" i="16"/>
  <c r="M66" i="16"/>
  <c r="I66" i="16"/>
  <c r="E66" i="16"/>
  <c r="A66" i="16"/>
  <c r="V65" i="16"/>
  <c r="R65" i="16"/>
  <c r="N65" i="16"/>
  <c r="J65" i="16"/>
  <c r="F65" i="16"/>
  <c r="B65" i="16"/>
  <c r="W64" i="16"/>
  <c r="S64" i="16"/>
  <c r="O64" i="16"/>
  <c r="K64" i="16"/>
  <c r="G64" i="16"/>
  <c r="C64" i="16"/>
  <c r="X63" i="16"/>
  <c r="T63" i="16"/>
  <c r="P63" i="16"/>
  <c r="L63" i="16"/>
  <c r="H63" i="16"/>
  <c r="D63" i="16"/>
  <c r="Y62" i="16"/>
  <c r="U62" i="16"/>
  <c r="Q62" i="16"/>
  <c r="M62" i="16"/>
  <c r="I62" i="16"/>
  <c r="E62" i="16"/>
  <c r="A62" i="16"/>
  <c r="V61" i="16"/>
  <c r="R61" i="16"/>
  <c r="N61" i="16"/>
  <c r="J61" i="16"/>
  <c r="F61" i="16"/>
  <c r="B61" i="16"/>
  <c r="W60" i="16"/>
  <c r="S60" i="16"/>
  <c r="O60" i="16"/>
  <c r="K60" i="16"/>
  <c r="G60" i="16"/>
  <c r="C60" i="16"/>
  <c r="X59" i="16"/>
  <c r="T59" i="16"/>
  <c r="P59" i="16"/>
  <c r="L59" i="16"/>
  <c r="H59" i="16"/>
  <c r="D59" i="16"/>
  <c r="Y58" i="16"/>
  <c r="U58" i="16"/>
  <c r="Q58" i="16"/>
  <c r="M58" i="16"/>
  <c r="I58" i="16"/>
  <c r="E58" i="16"/>
  <c r="A58" i="16"/>
  <c r="V57" i="16"/>
  <c r="R57" i="16"/>
  <c r="N57" i="16"/>
  <c r="J57" i="16"/>
  <c r="F57" i="16"/>
  <c r="B57" i="16"/>
  <c r="W56" i="16"/>
  <c r="S56" i="16"/>
  <c r="O56" i="16"/>
  <c r="K56" i="16"/>
  <c r="G56" i="16"/>
  <c r="C56" i="16"/>
  <c r="X55" i="16"/>
  <c r="T55" i="16"/>
  <c r="P55" i="16"/>
  <c r="L55" i="16"/>
  <c r="H55" i="16"/>
  <c r="D55" i="16"/>
  <c r="Y54" i="16"/>
  <c r="U54" i="16"/>
  <c r="Q54" i="16"/>
  <c r="M54" i="16"/>
  <c r="I54" i="16"/>
  <c r="E54" i="16"/>
  <c r="A54" i="16"/>
  <c r="V53" i="16"/>
  <c r="R53" i="16"/>
  <c r="N53" i="16"/>
  <c r="J53" i="16"/>
  <c r="F53" i="16"/>
  <c r="B53" i="16"/>
  <c r="W52" i="16"/>
  <c r="S52" i="16"/>
  <c r="O52" i="16"/>
  <c r="K52" i="16"/>
  <c r="G52" i="16"/>
  <c r="C52" i="16"/>
  <c r="X51" i="16"/>
  <c r="T51" i="16"/>
  <c r="P51" i="16"/>
  <c r="L51" i="16"/>
  <c r="H51" i="16"/>
  <c r="D51" i="16"/>
  <c r="Y50" i="16"/>
  <c r="U50" i="16"/>
  <c r="Q50" i="16"/>
  <c r="M50" i="16"/>
  <c r="I50" i="16"/>
  <c r="E50" i="16"/>
  <c r="A50" i="16"/>
  <c r="V49" i="16"/>
  <c r="R49" i="16"/>
  <c r="N49" i="16"/>
  <c r="J49" i="16"/>
  <c r="F49" i="16"/>
  <c r="B49" i="16"/>
  <c r="W48" i="16"/>
  <c r="S48" i="16"/>
  <c r="O48" i="16"/>
  <c r="K48" i="16"/>
  <c r="G48" i="16"/>
  <c r="C48" i="16"/>
  <c r="X47" i="16"/>
  <c r="T47" i="16"/>
  <c r="P47" i="16"/>
  <c r="L47" i="16"/>
  <c r="H47" i="16"/>
  <c r="D47" i="16"/>
  <c r="Y46" i="16"/>
  <c r="U46" i="16"/>
  <c r="Q46" i="16"/>
  <c r="M46" i="16"/>
  <c r="I46" i="16"/>
  <c r="E46" i="16"/>
  <c r="A46" i="16"/>
  <c r="V45" i="16"/>
  <c r="R45" i="16"/>
  <c r="N45" i="16"/>
  <c r="J45" i="16"/>
  <c r="F45" i="16"/>
  <c r="B45" i="16"/>
  <c r="W44" i="16"/>
  <c r="S44" i="16"/>
  <c r="O44" i="16"/>
  <c r="K44" i="16"/>
  <c r="G44" i="16"/>
  <c r="C44" i="16"/>
  <c r="X43" i="16"/>
  <c r="T43" i="16"/>
  <c r="P43" i="16"/>
  <c r="L43" i="16"/>
  <c r="H43" i="16"/>
  <c r="D43" i="16"/>
  <c r="Y42" i="16"/>
  <c r="U42" i="16"/>
  <c r="Q42" i="16"/>
  <c r="M42" i="16"/>
  <c r="I42" i="16"/>
  <c r="E42" i="16"/>
  <c r="A42" i="16"/>
  <c r="V41" i="16"/>
  <c r="R41" i="16"/>
  <c r="N41" i="16"/>
  <c r="J41" i="16"/>
  <c r="F41" i="16"/>
  <c r="B41" i="16"/>
  <c r="W40" i="16"/>
  <c r="S40" i="16"/>
  <c r="O40" i="16"/>
  <c r="K40" i="16"/>
  <c r="G40" i="16"/>
  <c r="C40" i="16"/>
  <c r="X39" i="16"/>
  <c r="T39" i="16"/>
  <c r="P39" i="16"/>
  <c r="L39" i="16"/>
  <c r="H39" i="16"/>
  <c r="D39" i="16"/>
  <c r="Y38" i="16"/>
  <c r="U38" i="16"/>
  <c r="Q38" i="16"/>
  <c r="M38" i="16"/>
  <c r="I38" i="16"/>
  <c r="E38" i="16"/>
  <c r="A38" i="16"/>
  <c r="V37" i="16"/>
  <c r="R37" i="16"/>
  <c r="N37" i="16"/>
  <c r="J37" i="16"/>
  <c r="F37" i="16"/>
  <c r="B37" i="16"/>
  <c r="W36" i="16"/>
  <c r="S36" i="16"/>
  <c r="O36" i="16"/>
  <c r="K36" i="16"/>
  <c r="G36" i="16"/>
  <c r="C36" i="16"/>
  <c r="X35" i="16"/>
  <c r="T35" i="16"/>
  <c r="P35" i="16"/>
  <c r="L35" i="16"/>
  <c r="H35" i="16"/>
  <c r="D35" i="16"/>
  <c r="Y34" i="16"/>
  <c r="U34" i="16"/>
  <c r="Q34" i="16"/>
  <c r="M34" i="16"/>
  <c r="I34" i="16"/>
  <c r="E34" i="16"/>
  <c r="A34" i="16"/>
  <c r="V33" i="16"/>
  <c r="R33" i="16"/>
  <c r="N33" i="16"/>
  <c r="J33" i="16"/>
  <c r="F33" i="16"/>
  <c r="B33" i="16"/>
  <c r="W32" i="16"/>
  <c r="S32" i="16"/>
  <c r="O32" i="16"/>
  <c r="K32" i="16"/>
  <c r="G32" i="16"/>
  <c r="C32" i="16"/>
  <c r="X31" i="16"/>
  <c r="T31" i="16"/>
  <c r="P31" i="16"/>
  <c r="L31" i="16"/>
  <c r="H31" i="16"/>
  <c r="D31" i="16"/>
  <c r="Y30" i="16"/>
  <c r="U30" i="16"/>
  <c r="Q30" i="16"/>
  <c r="M30" i="16"/>
  <c r="I30" i="16"/>
  <c r="E30" i="16"/>
  <c r="A30" i="16"/>
  <c r="V29" i="16"/>
  <c r="R29" i="16"/>
  <c r="N29" i="16"/>
  <c r="J29" i="16"/>
  <c r="F29" i="16"/>
  <c r="B29" i="16"/>
  <c r="W28" i="16"/>
  <c r="S28" i="16"/>
  <c r="O28" i="16"/>
  <c r="K28" i="16"/>
  <c r="G28" i="16"/>
  <c r="C28" i="16"/>
  <c r="X27" i="16"/>
  <c r="T27" i="16"/>
  <c r="P27" i="16"/>
  <c r="L27" i="16"/>
  <c r="H27" i="16"/>
  <c r="D27" i="16"/>
  <c r="Y26" i="16"/>
  <c r="U26" i="16"/>
  <c r="Q26" i="16"/>
  <c r="M26" i="16"/>
  <c r="I26" i="16"/>
  <c r="E26" i="16"/>
  <c r="A26" i="16"/>
  <c r="V25" i="16"/>
  <c r="R25" i="16"/>
  <c r="N25" i="16"/>
  <c r="J25" i="16"/>
  <c r="F25" i="16"/>
  <c r="B25" i="16"/>
  <c r="W24" i="16"/>
  <c r="S24" i="16"/>
  <c r="O24" i="16"/>
  <c r="K24" i="16"/>
  <c r="G24" i="16"/>
  <c r="C24" i="16"/>
  <c r="X23" i="16"/>
  <c r="T23" i="16"/>
  <c r="P23" i="16"/>
  <c r="L23" i="16"/>
  <c r="H23" i="16"/>
  <c r="D23" i="16"/>
  <c r="Y22" i="16"/>
  <c r="U22" i="16"/>
  <c r="Q22" i="16"/>
  <c r="M22" i="16"/>
  <c r="I22" i="16"/>
  <c r="E22" i="16"/>
  <c r="A22" i="16"/>
  <c r="V21" i="16"/>
  <c r="R21" i="16"/>
  <c r="N21" i="16"/>
  <c r="J21" i="16"/>
  <c r="F21" i="16"/>
  <c r="B21" i="16"/>
  <c r="W20" i="16"/>
  <c r="S20" i="16"/>
  <c r="O20" i="16"/>
  <c r="K20" i="16"/>
  <c r="G20" i="16"/>
  <c r="C20" i="16"/>
  <c r="X19" i="16"/>
  <c r="T19" i="16"/>
  <c r="P19" i="16"/>
  <c r="L19" i="16"/>
  <c r="H19" i="16"/>
  <c r="D19" i="16"/>
  <c r="Y18" i="16"/>
  <c r="U18" i="16"/>
  <c r="Q18" i="16"/>
  <c r="M18" i="16"/>
  <c r="I18" i="16"/>
  <c r="E18" i="16"/>
  <c r="A18" i="16"/>
  <c r="V17" i="16"/>
  <c r="R17" i="16"/>
  <c r="N17" i="16"/>
  <c r="J17" i="16"/>
  <c r="F17" i="16"/>
  <c r="B17" i="16"/>
  <c r="W16" i="16"/>
  <c r="S16" i="16"/>
  <c r="O16" i="16"/>
  <c r="K16" i="16"/>
  <c r="G16" i="16"/>
  <c r="C16" i="16"/>
  <c r="X15" i="16"/>
  <c r="T15" i="16"/>
  <c r="P15" i="16"/>
  <c r="L15" i="16"/>
  <c r="D15" i="16"/>
  <c r="Y14" i="16"/>
  <c r="U14" i="16"/>
  <c r="M14" i="16"/>
  <c r="E14" i="16"/>
  <c r="V13" i="16"/>
  <c r="N13" i="16"/>
  <c r="F13" i="16"/>
  <c r="S12" i="16"/>
  <c r="K12" i="16"/>
  <c r="C12" i="16"/>
  <c r="T11" i="16"/>
  <c r="L11" i="16"/>
  <c r="D11" i="16"/>
  <c r="U10" i="16"/>
  <c r="I10" i="16"/>
  <c r="A10" i="16"/>
  <c r="R9" i="16"/>
  <c r="J9" i="16"/>
  <c r="B9" i="16"/>
  <c r="S8" i="16"/>
  <c r="G8" i="16"/>
  <c r="X7" i="16"/>
  <c r="P7" i="16"/>
  <c r="H7" i="16"/>
  <c r="Y6" i="16"/>
  <c r="Q6" i="16"/>
  <c r="I6" i="16"/>
  <c r="A6" i="16"/>
  <c r="N5" i="16"/>
  <c r="F5" i="16"/>
  <c r="W4" i="16"/>
  <c r="O4" i="16"/>
  <c r="G4" i="16"/>
  <c r="X3" i="16"/>
  <c r="P3" i="16"/>
  <c r="H3" i="16"/>
  <c r="U2" i="16"/>
  <c r="M2" i="16"/>
  <c r="E2" i="16"/>
  <c r="B1089" i="16"/>
  <c r="U1033" i="16"/>
  <c r="N1009" i="16"/>
  <c r="F985" i="16"/>
  <c r="Y960" i="16"/>
  <c r="B941" i="16"/>
  <c r="W928" i="16"/>
  <c r="U916" i="16"/>
  <c r="Q904" i="16"/>
  <c r="Y893" i="16"/>
  <c r="X884" i="16"/>
  <c r="X878" i="16"/>
  <c r="Y872" i="16"/>
  <c r="D868" i="16"/>
  <c r="O863" i="16"/>
  <c r="A860" i="16"/>
  <c r="P856" i="16"/>
  <c r="E853" i="16"/>
  <c r="T849" i="16"/>
  <c r="J846" i="16"/>
  <c r="X842" i="16"/>
  <c r="N839" i="16"/>
  <c r="D836" i="16"/>
  <c r="R832" i="16"/>
  <c r="H829" i="16"/>
  <c r="W825" i="16"/>
  <c r="L822" i="16"/>
  <c r="B819" i="16"/>
  <c r="Q815" i="16"/>
  <c r="F812" i="16"/>
  <c r="U808" i="16"/>
  <c r="D806" i="16"/>
  <c r="L804" i="16"/>
  <c r="S802" i="16"/>
  <c r="A801" i="16"/>
  <c r="I799" i="16"/>
  <c r="P797" i="16"/>
  <c r="W795" i="16"/>
  <c r="F794" i="16"/>
  <c r="M792" i="16"/>
  <c r="T790" i="16"/>
  <c r="C789" i="16"/>
  <c r="J787" i="16"/>
  <c r="F786" i="16"/>
  <c r="D785" i="16"/>
  <c r="Y783" i="16"/>
  <c r="T782" i="16"/>
  <c r="S781" i="16"/>
  <c r="N780" i="16"/>
  <c r="J779" i="16"/>
  <c r="H778" i="16"/>
  <c r="D777" i="16"/>
  <c r="Y775" i="16"/>
  <c r="W774" i="16"/>
  <c r="S773" i="16"/>
  <c r="N772" i="16"/>
  <c r="M771" i="16"/>
  <c r="H770" i="16"/>
  <c r="D769" i="16"/>
  <c r="B768" i="16"/>
  <c r="W766" i="16"/>
  <c r="S765" i="16"/>
  <c r="Q764" i="16"/>
  <c r="M763" i="16"/>
  <c r="H762" i="16"/>
  <c r="G761" i="16"/>
  <c r="B760" i="16"/>
  <c r="W758" i="16"/>
  <c r="U757" i="16"/>
  <c r="Q756" i="16"/>
  <c r="M755" i="16"/>
  <c r="K754" i="16"/>
  <c r="G753" i="16"/>
  <c r="B752" i="16"/>
  <c r="A751" i="16"/>
  <c r="U749" i="16"/>
  <c r="Q748" i="16"/>
  <c r="O747" i="16"/>
  <c r="K746" i="16"/>
  <c r="G745" i="16"/>
  <c r="E744" i="16"/>
  <c r="A743" i="16"/>
  <c r="U741" i="16"/>
  <c r="T740" i="16"/>
  <c r="O739" i="16"/>
  <c r="K738" i="16"/>
  <c r="I737" i="16"/>
  <c r="E736" i="16"/>
  <c r="A735" i="16"/>
  <c r="X733" i="16"/>
  <c r="T732" i="16"/>
  <c r="O731" i="16"/>
  <c r="N730" i="16"/>
  <c r="I729" i="16"/>
  <c r="E728" i="16"/>
  <c r="C727" i="16"/>
  <c r="X725" i="16"/>
  <c r="T724" i="16"/>
  <c r="R723" i="16"/>
  <c r="N722" i="16"/>
  <c r="I721" i="16"/>
  <c r="H720" i="16"/>
  <c r="C719" i="16"/>
  <c r="X717" i="16"/>
  <c r="V716" i="16"/>
  <c r="R715" i="16"/>
  <c r="N714" i="16"/>
  <c r="L713" i="16"/>
  <c r="H712" i="16"/>
  <c r="C711" i="16"/>
  <c r="B710" i="16"/>
  <c r="V708" i="16"/>
  <c r="R707" i="16"/>
  <c r="P706" i="16"/>
  <c r="L705" i="16"/>
  <c r="H704" i="16"/>
  <c r="F703" i="16"/>
  <c r="B702" i="16"/>
  <c r="V700" i="16"/>
  <c r="U699" i="16"/>
  <c r="P698" i="16"/>
  <c r="L697" i="16"/>
  <c r="J696" i="16"/>
  <c r="F695" i="16"/>
  <c r="B694" i="16"/>
  <c r="Y692" i="16"/>
  <c r="U691" i="16"/>
  <c r="P690" i="16"/>
  <c r="O689" i="16"/>
  <c r="J688" i="16"/>
  <c r="F687" i="16"/>
  <c r="D686" i="16"/>
  <c r="Y684" i="16"/>
  <c r="U683" i="16"/>
  <c r="S682" i="16"/>
  <c r="O681" i="16"/>
  <c r="J680" i="16"/>
  <c r="I679" i="16"/>
  <c r="D678" i="16"/>
  <c r="Y676" i="16"/>
  <c r="W675" i="16"/>
  <c r="S674" i="16"/>
  <c r="O673" i="16"/>
  <c r="M672" i="16"/>
  <c r="I671" i="16"/>
  <c r="D670" i="16"/>
  <c r="C669" i="16"/>
  <c r="W667" i="16"/>
  <c r="S666" i="16"/>
  <c r="Q665" i="16"/>
  <c r="M664" i="16"/>
  <c r="I663" i="16"/>
  <c r="G662" i="16"/>
  <c r="C661" i="16"/>
  <c r="W659" i="16"/>
  <c r="V658" i="16"/>
  <c r="Q657" i="16"/>
  <c r="M656" i="16"/>
  <c r="K655" i="16"/>
  <c r="G654" i="16"/>
  <c r="C653" i="16"/>
  <c r="A652" i="16"/>
  <c r="V650" i="16"/>
  <c r="Q649" i="16"/>
  <c r="P648" i="16"/>
  <c r="K647" i="16"/>
  <c r="G646" i="16"/>
  <c r="E645" i="16"/>
  <c r="A644" i="16"/>
  <c r="V642" i="16"/>
  <c r="T641" i="16"/>
  <c r="P640" i="16"/>
  <c r="K639" i="16"/>
  <c r="J638" i="16"/>
  <c r="E637" i="16"/>
  <c r="A636" i="16"/>
  <c r="X634" i="16"/>
  <c r="T633" i="16"/>
  <c r="P632" i="16"/>
  <c r="N631" i="16"/>
  <c r="J630" i="16"/>
  <c r="E629" i="16"/>
  <c r="D628" i="16"/>
  <c r="X626" i="16"/>
  <c r="T625" i="16"/>
  <c r="W624" i="16"/>
  <c r="A624" i="16"/>
  <c r="D623" i="16"/>
  <c r="I622" i="16"/>
  <c r="L621" i="16"/>
  <c r="O620" i="16"/>
  <c r="T619" i="16"/>
  <c r="W618" i="16"/>
  <c r="A618" i="16"/>
  <c r="F617" i="16"/>
  <c r="I616" i="16"/>
  <c r="L615" i="16"/>
  <c r="Q614" i="16"/>
  <c r="T613" i="16"/>
  <c r="W612" i="16"/>
  <c r="C612" i="16"/>
  <c r="F611" i="16"/>
  <c r="I610" i="16"/>
  <c r="N609" i="16"/>
  <c r="Q608" i="16"/>
  <c r="T607" i="16"/>
  <c r="Y606" i="16"/>
  <c r="C606" i="16"/>
  <c r="F605" i="16"/>
  <c r="K604" i="16"/>
  <c r="N603" i="16"/>
  <c r="Q602" i="16"/>
  <c r="V601" i="16"/>
  <c r="Y600" i="16"/>
  <c r="C600" i="16"/>
  <c r="H599" i="16"/>
  <c r="K598" i="16"/>
  <c r="P597" i="16"/>
  <c r="B597" i="16"/>
  <c r="M596" i="16"/>
  <c r="W595" i="16"/>
  <c r="J595" i="16"/>
  <c r="T594" i="16"/>
  <c r="E594" i="16"/>
  <c r="Q593" i="16"/>
  <c r="B593" i="16"/>
  <c r="M592" i="16"/>
  <c r="X591" i="16"/>
  <c r="J591" i="16"/>
  <c r="W590" i="16"/>
  <c r="L590" i="16"/>
  <c r="A590" i="16"/>
  <c r="P589" i="16"/>
  <c r="E589" i="16"/>
  <c r="S588" i="16"/>
  <c r="I588" i="16"/>
  <c r="W587" i="16"/>
  <c r="L587" i="16"/>
  <c r="B587" i="16"/>
  <c r="P586" i="16"/>
  <c r="E586" i="16"/>
  <c r="T585" i="16"/>
  <c r="I585" i="16"/>
  <c r="W584" i="16"/>
  <c r="M584" i="16"/>
  <c r="B584" i="16"/>
  <c r="P583" i="16"/>
  <c r="F583" i="16"/>
  <c r="T582" i="16"/>
  <c r="I582" i="16"/>
  <c r="X581" i="16"/>
  <c r="M581" i="16"/>
  <c r="B581" i="16"/>
  <c r="Q580" i="16"/>
  <c r="F580" i="16"/>
  <c r="T579" i="16"/>
  <c r="J579" i="16"/>
  <c r="X578" i="16"/>
  <c r="M578" i="16"/>
  <c r="C578" i="16"/>
  <c r="Q577" i="16"/>
  <c r="F577" i="16"/>
  <c r="U576" i="16"/>
  <c r="J576" i="16"/>
  <c r="X575" i="16"/>
  <c r="N575" i="16"/>
  <c r="C575" i="16"/>
  <c r="Q574" i="16"/>
  <c r="G574" i="16"/>
  <c r="U573" i="16"/>
  <c r="J573" i="16"/>
  <c r="Y572" i="16"/>
  <c r="N572" i="16"/>
  <c r="C572" i="16"/>
  <c r="R571" i="16"/>
  <c r="G571" i="16"/>
  <c r="U570" i="16"/>
  <c r="K570" i="16"/>
  <c r="Y569" i="16"/>
  <c r="N569" i="16"/>
  <c r="D569" i="16"/>
  <c r="R568" i="16"/>
  <c r="G568" i="16"/>
  <c r="V567" i="16"/>
  <c r="N567" i="16"/>
  <c r="F567" i="16"/>
  <c r="W566" i="16"/>
  <c r="O566" i="16"/>
  <c r="G566" i="16"/>
  <c r="X565" i="16"/>
  <c r="P565" i="16"/>
  <c r="H565" i="16"/>
  <c r="Y564" i="16"/>
  <c r="Q564" i="16"/>
  <c r="I564" i="16"/>
  <c r="A564" i="16"/>
  <c r="R563" i="16"/>
  <c r="J563" i="16"/>
  <c r="B563" i="16"/>
  <c r="S562" i="16"/>
  <c r="K562" i="16"/>
  <c r="C562" i="16"/>
  <c r="T561" i="16"/>
  <c r="L561" i="16"/>
  <c r="D561" i="16"/>
  <c r="U560" i="16"/>
  <c r="M560" i="16"/>
  <c r="E560" i="16"/>
  <c r="V559" i="16"/>
  <c r="N559" i="16"/>
  <c r="F559" i="16"/>
  <c r="W558" i="16"/>
  <c r="O558" i="16"/>
  <c r="G558" i="16"/>
  <c r="X557" i="16"/>
  <c r="P557" i="16"/>
  <c r="H557" i="16"/>
  <c r="Y556" i="16"/>
  <c r="Q556" i="16"/>
  <c r="I556" i="16"/>
  <c r="A556" i="16"/>
  <c r="R555" i="16"/>
  <c r="J555" i="16"/>
  <c r="B555" i="16"/>
  <c r="S554" i="16"/>
  <c r="K554" i="16"/>
  <c r="C554" i="16"/>
  <c r="T553" i="16"/>
  <c r="L553" i="16"/>
  <c r="D553" i="16"/>
  <c r="U552" i="16"/>
  <c r="M552" i="16"/>
  <c r="E552" i="16"/>
  <c r="V551" i="16"/>
  <c r="N551" i="16"/>
  <c r="F551" i="16"/>
  <c r="W550" i="16"/>
  <c r="O550" i="16"/>
  <c r="G550" i="16"/>
  <c r="X549" i="16"/>
  <c r="P549" i="16"/>
  <c r="H549" i="16"/>
  <c r="Y548" i="16"/>
  <c r="Q548" i="16"/>
  <c r="I548" i="16"/>
  <c r="A548" i="16"/>
  <c r="R547" i="16"/>
  <c r="J547" i="16"/>
  <c r="B547" i="16"/>
  <c r="S546" i="16"/>
  <c r="K546" i="16"/>
  <c r="C546" i="16"/>
  <c r="T545" i="16"/>
  <c r="L545" i="16"/>
  <c r="D545" i="16"/>
  <c r="U544" i="16"/>
  <c r="M544" i="16"/>
  <c r="E544" i="16"/>
  <c r="V543" i="16"/>
  <c r="N543" i="16"/>
  <c r="F543" i="16"/>
  <c r="W542" i="16"/>
  <c r="O542" i="16"/>
  <c r="G542" i="16"/>
  <c r="X541" i="16"/>
  <c r="P541" i="16"/>
  <c r="H541" i="16"/>
  <c r="Y540" i="16"/>
  <c r="Q540" i="16"/>
  <c r="I540" i="16"/>
  <c r="A540" i="16"/>
  <c r="R539" i="16"/>
  <c r="J539" i="16"/>
  <c r="B539" i="16"/>
  <c r="S538" i="16"/>
  <c r="K538" i="16"/>
  <c r="C538" i="16"/>
  <c r="T537" i="16"/>
  <c r="L537" i="16"/>
  <c r="D537" i="16"/>
  <c r="U536" i="16"/>
  <c r="M536" i="16"/>
  <c r="E536" i="16"/>
  <c r="V535" i="16"/>
  <c r="N535" i="16"/>
  <c r="F535" i="16"/>
  <c r="W534" i="16"/>
  <c r="O534" i="16"/>
  <c r="G534" i="16"/>
  <c r="X533" i="16"/>
  <c r="P533" i="16"/>
  <c r="H533" i="16"/>
  <c r="Y532" i="16"/>
  <c r="Q532" i="16"/>
  <c r="I532" i="16"/>
  <c r="A532" i="16"/>
  <c r="R531" i="16"/>
  <c r="J531" i="16"/>
  <c r="B531" i="16"/>
  <c r="S530" i="16"/>
  <c r="K530" i="16"/>
  <c r="C530" i="16"/>
  <c r="T529" i="16"/>
  <c r="L529" i="16"/>
  <c r="D529" i="16"/>
  <c r="U528" i="16"/>
  <c r="M528" i="16"/>
  <c r="E528" i="16"/>
  <c r="V527" i="16"/>
  <c r="N527" i="16"/>
  <c r="F527" i="16"/>
  <c r="W526" i="16"/>
  <c r="O526" i="16"/>
  <c r="G526" i="16"/>
  <c r="X525" i="16"/>
  <c r="P525" i="16"/>
  <c r="H525" i="16"/>
  <c r="Y524" i="16"/>
  <c r="Q524" i="16"/>
  <c r="I524" i="16"/>
  <c r="A524" i="16"/>
  <c r="R523" i="16"/>
  <c r="J523" i="16"/>
  <c r="B523" i="16"/>
  <c r="S522" i="16"/>
  <c r="K522" i="16"/>
  <c r="C522" i="16"/>
  <c r="T521" i="16"/>
  <c r="L521" i="16"/>
  <c r="D521" i="16"/>
  <c r="U520" i="16"/>
  <c r="M520" i="16"/>
  <c r="E520" i="16"/>
  <c r="V519" i="16"/>
  <c r="N519" i="16"/>
  <c r="F519" i="16"/>
  <c r="W518" i="16"/>
  <c r="O518" i="16"/>
  <c r="G518" i="16"/>
  <c r="X517" i="16"/>
  <c r="P517" i="16"/>
  <c r="H517" i="16"/>
  <c r="Y516" i="16"/>
  <c r="Q516" i="16"/>
  <c r="I516" i="16"/>
  <c r="A516" i="16"/>
  <c r="R515" i="16"/>
  <c r="J515" i="16"/>
  <c r="B515" i="16"/>
  <c r="S514" i="16"/>
  <c r="K514" i="16"/>
  <c r="C514" i="16"/>
  <c r="T513" i="16"/>
  <c r="L513" i="16"/>
  <c r="D513" i="16"/>
  <c r="U512" i="16"/>
  <c r="M512" i="16"/>
  <c r="E512" i="16"/>
  <c r="V511" i="16"/>
  <c r="N511" i="16"/>
  <c r="F511" i="16"/>
  <c r="W510" i="16"/>
  <c r="O510" i="16"/>
  <c r="G510" i="16"/>
  <c r="X509" i="16"/>
  <c r="P509" i="16"/>
  <c r="H509" i="16"/>
  <c r="Y508" i="16"/>
  <c r="Q508" i="16"/>
  <c r="I508" i="16"/>
  <c r="A508" i="16"/>
  <c r="R507" i="16"/>
  <c r="J507" i="16"/>
  <c r="B507" i="16"/>
  <c r="S506" i="16"/>
  <c r="K506" i="16"/>
  <c r="C506" i="16"/>
  <c r="T505" i="16"/>
  <c r="L505" i="16"/>
  <c r="D505" i="16"/>
  <c r="U504" i="16"/>
  <c r="M504" i="16"/>
  <c r="E504" i="16"/>
  <c r="V503" i="16"/>
  <c r="N503" i="16"/>
  <c r="F503" i="16"/>
  <c r="W502" i="16"/>
  <c r="O502" i="16"/>
  <c r="G502" i="16"/>
  <c r="X501" i="16"/>
  <c r="P501" i="16"/>
  <c r="H501" i="16"/>
  <c r="Y500" i="16"/>
  <c r="Q500" i="16"/>
  <c r="I500" i="16"/>
  <c r="A500" i="16"/>
  <c r="R499" i="16"/>
  <c r="J499" i="16"/>
  <c r="B499" i="16"/>
  <c r="S498" i="16"/>
  <c r="K498" i="16"/>
  <c r="C498" i="16"/>
  <c r="T497" i="16"/>
  <c r="L497" i="16"/>
  <c r="D497" i="16"/>
  <c r="U496" i="16"/>
  <c r="M496" i="16"/>
  <c r="E496" i="16"/>
  <c r="V495" i="16"/>
  <c r="N495" i="16"/>
  <c r="F495" i="16"/>
  <c r="W494" i="16"/>
  <c r="O494" i="16"/>
  <c r="G494" i="16"/>
  <c r="X493" i="16"/>
  <c r="P493" i="16"/>
  <c r="H493" i="16"/>
  <c r="Y492" i="16"/>
  <c r="Q492" i="16"/>
  <c r="I492" i="16"/>
  <c r="A492" i="16"/>
  <c r="R491" i="16"/>
  <c r="J491" i="16"/>
  <c r="B491" i="16"/>
  <c r="S490" i="16"/>
  <c r="K490" i="16"/>
  <c r="C490" i="16"/>
  <c r="T489" i="16"/>
  <c r="L489" i="16"/>
  <c r="D489" i="16"/>
  <c r="U488" i="16"/>
  <c r="M488" i="16"/>
  <c r="E488" i="16"/>
  <c r="V487" i="16"/>
  <c r="N487" i="16"/>
  <c r="F487" i="16"/>
  <c r="W486" i="16"/>
  <c r="O486" i="16"/>
  <c r="G486" i="16"/>
  <c r="X485" i="16"/>
  <c r="P485" i="16"/>
  <c r="H485" i="16"/>
  <c r="Y484" i="16"/>
  <c r="Q484" i="16"/>
  <c r="I484" i="16"/>
  <c r="A484" i="16"/>
  <c r="R483" i="16"/>
  <c r="J483" i="16"/>
  <c r="B483" i="16"/>
  <c r="S482" i="16"/>
  <c r="K482" i="16"/>
  <c r="C482" i="16"/>
  <c r="T481" i="16"/>
  <c r="L481" i="16"/>
  <c r="D481" i="16"/>
  <c r="U480" i="16"/>
  <c r="M480" i="16"/>
  <c r="E480" i="16"/>
  <c r="V479" i="16"/>
  <c r="N479" i="16"/>
  <c r="F479" i="16"/>
  <c r="W478" i="16"/>
  <c r="O478" i="16"/>
  <c r="G478" i="16"/>
  <c r="X477" i="16"/>
  <c r="P477" i="16"/>
  <c r="H477" i="16"/>
  <c r="Y476" i="16"/>
  <c r="Q476" i="16"/>
  <c r="I476" i="16"/>
  <c r="A476" i="16"/>
  <c r="R475" i="16"/>
  <c r="J475" i="16"/>
  <c r="B475" i="16"/>
  <c r="S474" i="16"/>
  <c r="K474" i="16"/>
  <c r="C474" i="16"/>
  <c r="T473" i="16"/>
  <c r="L473" i="16"/>
  <c r="D473" i="16"/>
  <c r="U472" i="16"/>
  <c r="M472" i="16"/>
  <c r="E472" i="16"/>
  <c r="V471" i="16"/>
  <c r="N471" i="16"/>
  <c r="F471" i="16"/>
  <c r="W470" i="16"/>
  <c r="O470" i="16"/>
  <c r="G470" i="16"/>
  <c r="X469" i="16"/>
  <c r="P469" i="16"/>
  <c r="H469" i="16"/>
  <c r="Y468" i="16"/>
  <c r="Q468" i="16"/>
  <c r="I468" i="16"/>
  <c r="A468" i="16"/>
  <c r="R467" i="16"/>
  <c r="J467" i="16"/>
  <c r="B467" i="16"/>
  <c r="S466" i="16"/>
  <c r="K466" i="16"/>
  <c r="C466" i="16"/>
  <c r="T465" i="16"/>
  <c r="L465" i="16"/>
  <c r="D465" i="16"/>
  <c r="U464" i="16"/>
  <c r="M464" i="16"/>
  <c r="E464" i="16"/>
  <c r="V463" i="16"/>
  <c r="N463" i="16"/>
  <c r="F463" i="16"/>
  <c r="W462" i="16"/>
  <c r="O462" i="16"/>
  <c r="G462" i="16"/>
  <c r="X461" i="16"/>
  <c r="P461" i="16"/>
  <c r="H461" i="16"/>
  <c r="Y460" i="16"/>
  <c r="Q460" i="16"/>
  <c r="I460" i="16"/>
  <c r="A460" i="16"/>
  <c r="R459" i="16"/>
  <c r="J459" i="16"/>
  <c r="B459" i="16"/>
  <c r="S458" i="16"/>
  <c r="K458" i="16"/>
  <c r="C458" i="16"/>
  <c r="T457" i="16"/>
  <c r="L457" i="16"/>
  <c r="D457" i="16"/>
  <c r="U456" i="16"/>
  <c r="M456" i="16"/>
  <c r="E456" i="16"/>
  <c r="V455" i="16"/>
  <c r="N455" i="16"/>
  <c r="F455" i="16"/>
  <c r="W454" i="16"/>
  <c r="O454" i="16"/>
  <c r="G454" i="16"/>
  <c r="X453" i="16"/>
  <c r="P453" i="16"/>
  <c r="H453" i="16"/>
  <c r="Y452" i="16"/>
  <c r="Q452" i="16"/>
  <c r="I452" i="16"/>
  <c r="A452" i="16"/>
  <c r="R451" i="16"/>
  <c r="J451" i="16"/>
  <c r="B451" i="16"/>
  <c r="S450" i="16"/>
  <c r="K450" i="16"/>
  <c r="C450" i="16"/>
  <c r="T449" i="16"/>
  <c r="L449" i="16"/>
  <c r="D449" i="16"/>
  <c r="U448" i="16"/>
  <c r="M448" i="16"/>
  <c r="E448" i="16"/>
  <c r="V447" i="16"/>
  <c r="N447" i="16"/>
  <c r="F447" i="16"/>
  <c r="W446" i="16"/>
  <c r="O446" i="16"/>
  <c r="G446" i="16"/>
  <c r="X445" i="16"/>
  <c r="P445" i="16"/>
  <c r="H445" i="16"/>
  <c r="Y444" i="16"/>
  <c r="Q444" i="16"/>
  <c r="I444" i="16"/>
  <c r="A444" i="16"/>
  <c r="R443" i="16"/>
  <c r="J443" i="16"/>
  <c r="B443" i="16"/>
  <c r="S442" i="16"/>
  <c r="K442" i="16"/>
  <c r="C442" i="16"/>
  <c r="T441" i="16"/>
  <c r="L441" i="16"/>
  <c r="D441" i="16"/>
  <c r="U440" i="16"/>
  <c r="M440" i="16"/>
  <c r="E440" i="16"/>
  <c r="V439" i="16"/>
  <c r="N439" i="16"/>
  <c r="F439" i="16"/>
  <c r="W438" i="16"/>
  <c r="O438" i="16"/>
  <c r="G438" i="16"/>
  <c r="X437" i="16"/>
  <c r="P437" i="16"/>
  <c r="H437" i="16"/>
  <c r="Y436" i="16"/>
  <c r="Q436" i="16"/>
  <c r="I436" i="16"/>
  <c r="A436" i="16"/>
  <c r="R435" i="16"/>
  <c r="J435" i="16"/>
  <c r="B435" i="16"/>
  <c r="S434" i="16"/>
  <c r="K434" i="16"/>
  <c r="C434" i="16"/>
  <c r="T433" i="16"/>
  <c r="L433" i="16"/>
  <c r="D433" i="16"/>
  <c r="U432" i="16"/>
  <c r="M432" i="16"/>
  <c r="E432" i="16"/>
  <c r="V431" i="16"/>
  <c r="N431" i="16"/>
  <c r="F431" i="16"/>
  <c r="W430" i="16"/>
  <c r="O430" i="16"/>
  <c r="G430" i="16"/>
  <c r="X429" i="16"/>
  <c r="P429" i="16"/>
  <c r="H429" i="16"/>
  <c r="Y428" i="16"/>
  <c r="Q428" i="16"/>
  <c r="I428" i="16"/>
  <c r="A428" i="16"/>
  <c r="R427" i="16"/>
  <c r="J427" i="16"/>
  <c r="B427" i="16"/>
  <c r="S426" i="16"/>
  <c r="K426" i="16"/>
  <c r="C426" i="16"/>
  <c r="T425" i="16"/>
  <c r="L425" i="16"/>
  <c r="D425" i="16"/>
  <c r="U424" i="16"/>
  <c r="M424" i="16"/>
  <c r="E424" i="16"/>
  <c r="V423" i="16"/>
  <c r="N423" i="16"/>
  <c r="F423" i="16"/>
  <c r="W422" i="16"/>
  <c r="O422" i="16"/>
  <c r="G422" i="16"/>
  <c r="X421" i="16"/>
  <c r="P421" i="16"/>
  <c r="H421" i="16"/>
  <c r="Y420" i="16"/>
  <c r="Q420" i="16"/>
  <c r="I420" i="16"/>
  <c r="A420" i="16"/>
  <c r="R419" i="16"/>
  <c r="J419" i="16"/>
  <c r="B419" i="16"/>
  <c r="S418" i="16"/>
  <c r="K418" i="16"/>
  <c r="C418" i="16"/>
  <c r="T417" i="16"/>
  <c r="L417" i="16"/>
  <c r="D417" i="16"/>
  <c r="U416" i="16"/>
  <c r="M416" i="16"/>
  <c r="E416" i="16"/>
  <c r="V415" i="16"/>
  <c r="N415" i="16"/>
  <c r="F415" i="16"/>
  <c r="W414" i="16"/>
  <c r="O414" i="16"/>
  <c r="G414" i="16"/>
  <c r="X413" i="16"/>
  <c r="P413" i="16"/>
  <c r="H413" i="16"/>
  <c r="Y412" i="16"/>
  <c r="Q412" i="16"/>
  <c r="I412" i="16"/>
  <c r="A412" i="16"/>
  <c r="R411" i="16"/>
  <c r="J411" i="16"/>
  <c r="B411" i="16"/>
  <c r="S410" i="16"/>
  <c r="K410" i="16"/>
  <c r="C410" i="16"/>
  <c r="T409" i="16"/>
  <c r="L409" i="16"/>
  <c r="D409" i="16"/>
  <c r="U408" i="16"/>
  <c r="M408" i="16"/>
  <c r="E408" i="16"/>
  <c r="V407" i="16"/>
  <c r="N407" i="16"/>
  <c r="F407" i="16"/>
  <c r="W406" i="16"/>
  <c r="O406" i="16"/>
  <c r="G406" i="16"/>
  <c r="X405" i="16"/>
  <c r="P405" i="16"/>
  <c r="H405" i="16"/>
  <c r="Y404" i="16"/>
  <c r="Q404" i="16"/>
  <c r="I404" i="16"/>
  <c r="A404" i="16"/>
  <c r="R403" i="16"/>
  <c r="J403" i="16"/>
  <c r="B403" i="16"/>
  <c r="S402" i="16"/>
  <c r="K402" i="16"/>
  <c r="C402" i="16"/>
  <c r="T401" i="16"/>
  <c r="L401" i="16"/>
  <c r="D401" i="16"/>
  <c r="U400" i="16"/>
  <c r="M400" i="16"/>
  <c r="E400" i="16"/>
  <c r="V399" i="16"/>
  <c r="N399" i="16"/>
  <c r="F399" i="16"/>
  <c r="W398" i="16"/>
  <c r="O398" i="16"/>
  <c r="G398" i="16"/>
  <c r="X397" i="16"/>
  <c r="P397" i="16"/>
  <c r="H397" i="16"/>
  <c r="Y396" i="16"/>
  <c r="Q396" i="16"/>
  <c r="I396" i="16"/>
  <c r="A396" i="16"/>
  <c r="R395" i="16"/>
  <c r="J395" i="16"/>
  <c r="B395" i="16"/>
  <c r="S394" i="16"/>
  <c r="K394" i="16"/>
  <c r="C394" i="16"/>
  <c r="T393" i="16"/>
  <c r="L393" i="16"/>
  <c r="D393" i="16"/>
  <c r="U392" i="16"/>
  <c r="M392" i="16"/>
  <c r="E392" i="16"/>
  <c r="V391" i="16"/>
  <c r="N391" i="16"/>
  <c r="F391" i="16"/>
  <c r="W390" i="16"/>
  <c r="O390" i="16"/>
  <c r="G390" i="16"/>
  <c r="X389" i="16"/>
  <c r="P389" i="16"/>
  <c r="H389" i="16"/>
  <c r="Y388" i="16"/>
  <c r="Q388" i="16"/>
  <c r="I388" i="16"/>
  <c r="A388" i="16"/>
  <c r="R387" i="16"/>
  <c r="J387" i="16"/>
  <c r="B387" i="16"/>
  <c r="S386" i="16"/>
  <c r="K386" i="16"/>
  <c r="C386" i="16"/>
  <c r="T385" i="16"/>
  <c r="L385" i="16"/>
  <c r="D385" i="16"/>
  <c r="U384" i="16"/>
  <c r="M384" i="16"/>
  <c r="E384" i="16"/>
  <c r="V383" i="16"/>
  <c r="N383" i="16"/>
  <c r="F383" i="16"/>
  <c r="W382" i="16"/>
  <c r="O382" i="16"/>
  <c r="G382" i="16"/>
  <c r="X381" i="16"/>
  <c r="P381" i="16"/>
  <c r="H381" i="16"/>
  <c r="Y380" i="16"/>
  <c r="Q380" i="16"/>
  <c r="I380" i="16"/>
  <c r="A380" i="16"/>
  <c r="R379" i="16"/>
  <c r="J379" i="16"/>
  <c r="B379" i="16"/>
  <c r="S378" i="16"/>
  <c r="K378" i="16"/>
  <c r="C378" i="16"/>
  <c r="T377" i="16"/>
  <c r="L377" i="16"/>
  <c r="D377" i="16"/>
  <c r="U376" i="16"/>
  <c r="M376" i="16"/>
  <c r="E376" i="16"/>
  <c r="V375" i="16"/>
  <c r="N375" i="16"/>
  <c r="F375" i="16"/>
  <c r="W374" i="16"/>
  <c r="O374" i="16"/>
  <c r="G374" i="16"/>
  <c r="X373" i="16"/>
  <c r="P373" i="16"/>
  <c r="H373" i="16"/>
  <c r="Y372" i="16"/>
  <c r="Q372" i="16"/>
  <c r="I372" i="16"/>
  <c r="A372" i="16"/>
  <c r="R371" i="16"/>
  <c r="J371" i="16"/>
  <c r="B371" i="16"/>
  <c r="S370" i="16"/>
  <c r="K370" i="16"/>
  <c r="C370" i="16"/>
  <c r="T369" i="16"/>
  <c r="L369" i="16"/>
  <c r="D369" i="16"/>
  <c r="U368" i="16"/>
  <c r="M368" i="16"/>
  <c r="E368" i="16"/>
  <c r="V367" i="16"/>
  <c r="N367" i="16"/>
  <c r="F367" i="16"/>
  <c r="W366" i="16"/>
  <c r="O366" i="16"/>
  <c r="G366" i="16"/>
  <c r="X365" i="16"/>
  <c r="P365" i="16"/>
  <c r="H365" i="16"/>
  <c r="Y364" i="16"/>
  <c r="Q364" i="16"/>
  <c r="I364" i="16"/>
  <c r="A364" i="16"/>
  <c r="R363" i="16"/>
  <c r="J363" i="16"/>
  <c r="B363" i="16"/>
  <c r="S362" i="16"/>
  <c r="K362" i="16"/>
  <c r="C362" i="16"/>
  <c r="T361" i="16"/>
  <c r="L361" i="16"/>
  <c r="D361" i="16"/>
  <c r="U360" i="16"/>
  <c r="M360" i="16"/>
  <c r="E360" i="16"/>
  <c r="V359" i="16"/>
  <c r="N359" i="16"/>
  <c r="F359" i="16"/>
  <c r="W358" i="16"/>
  <c r="O358" i="16"/>
  <c r="G358" i="16"/>
  <c r="X357" i="16"/>
  <c r="P357" i="16"/>
  <c r="H357" i="16"/>
  <c r="Y356" i="16"/>
  <c r="Q356" i="16"/>
  <c r="I356" i="16"/>
  <c r="A356" i="16"/>
  <c r="R355" i="16"/>
  <c r="J355" i="16"/>
  <c r="B355" i="16"/>
  <c r="S354" i="16"/>
  <c r="K354" i="16"/>
  <c r="C354" i="16"/>
  <c r="T353" i="16"/>
  <c r="L353" i="16"/>
  <c r="D353" i="16"/>
  <c r="U352" i="16"/>
  <c r="M352" i="16"/>
  <c r="E352" i="16"/>
  <c r="V351" i="16"/>
  <c r="N351" i="16"/>
  <c r="F351" i="16"/>
  <c r="W350" i="16"/>
  <c r="O350" i="16"/>
  <c r="G350" i="16"/>
  <c r="X349" i="16"/>
  <c r="P349" i="16"/>
  <c r="H349" i="16"/>
  <c r="Y348" i="16"/>
  <c r="Q348" i="16"/>
  <c r="I348" i="16"/>
  <c r="A348" i="16"/>
  <c r="R347" i="16"/>
  <c r="J347" i="16"/>
  <c r="B347" i="16"/>
  <c r="S346" i="16"/>
  <c r="K346" i="16"/>
  <c r="C346" i="16"/>
  <c r="T345" i="16"/>
  <c r="L345" i="16"/>
  <c r="D345" i="16"/>
  <c r="U344" i="16"/>
  <c r="M344" i="16"/>
  <c r="E344" i="16"/>
  <c r="V343" i="16"/>
  <c r="N343" i="16"/>
  <c r="F343" i="16"/>
  <c r="W342" i="16"/>
  <c r="O342" i="16"/>
  <c r="G342" i="16"/>
  <c r="X341" i="16"/>
  <c r="P341" i="16"/>
  <c r="H341" i="16"/>
  <c r="Y340" i="16"/>
  <c r="Q340" i="16"/>
  <c r="I340" i="16"/>
  <c r="A340" i="16"/>
  <c r="R339" i="16"/>
  <c r="J339" i="16"/>
  <c r="B339" i="16"/>
  <c r="S338" i="16"/>
  <c r="K338" i="16"/>
  <c r="C338" i="16"/>
  <c r="T337" i="16"/>
  <c r="L337" i="16"/>
  <c r="D337" i="16"/>
  <c r="U336" i="16"/>
  <c r="M336" i="16"/>
  <c r="E336" i="16"/>
  <c r="V335" i="16"/>
  <c r="N335" i="16"/>
  <c r="F335" i="16"/>
  <c r="W334" i="16"/>
  <c r="O334" i="16"/>
  <c r="G334" i="16"/>
  <c r="X333" i="16"/>
  <c r="P333" i="16"/>
  <c r="H333" i="16"/>
  <c r="Y332" i="16"/>
  <c r="Q332" i="16"/>
  <c r="I332" i="16"/>
  <c r="A332" i="16"/>
  <c r="R331" i="16"/>
  <c r="J331" i="16"/>
  <c r="B331" i="16"/>
  <c r="S330" i="16"/>
  <c r="K330" i="16"/>
  <c r="C330" i="16"/>
  <c r="T329" i="16"/>
  <c r="L329" i="16"/>
  <c r="D329" i="16"/>
  <c r="U328" i="16"/>
  <c r="M328" i="16"/>
  <c r="E328" i="16"/>
  <c r="V327" i="16"/>
  <c r="N327" i="16"/>
  <c r="F327" i="16"/>
  <c r="W326" i="16"/>
  <c r="O326" i="16"/>
  <c r="G326" i="16"/>
  <c r="X325" i="16"/>
  <c r="P325" i="16"/>
  <c r="H325" i="16"/>
  <c r="Y324" i="16"/>
  <c r="Q324" i="16"/>
  <c r="I324" i="16"/>
  <c r="A324" i="16"/>
  <c r="R323" i="16"/>
  <c r="J323" i="16"/>
  <c r="B323" i="16"/>
  <c r="S322" i="16"/>
  <c r="K322" i="16"/>
  <c r="C322" i="16"/>
  <c r="T321" i="16"/>
  <c r="L321" i="16"/>
  <c r="D321" i="16"/>
  <c r="U320" i="16"/>
  <c r="M320" i="16"/>
  <c r="E320" i="16"/>
  <c r="V319" i="16"/>
  <c r="N319" i="16"/>
  <c r="F319" i="16"/>
  <c r="W318" i="16"/>
  <c r="O318" i="16"/>
  <c r="G318" i="16"/>
  <c r="X317" i="16"/>
  <c r="P317" i="16"/>
  <c r="H317" i="16"/>
  <c r="Y316" i="16"/>
  <c r="Q316" i="16"/>
  <c r="I316" i="16"/>
  <c r="A316" i="16"/>
  <c r="R315" i="16"/>
  <c r="J315" i="16"/>
  <c r="B315" i="16"/>
  <c r="S314" i="16"/>
  <c r="K314" i="16"/>
  <c r="C314" i="16"/>
  <c r="T313" i="16"/>
  <c r="L313" i="16"/>
  <c r="D313" i="16"/>
  <c r="U312" i="16"/>
  <c r="M312" i="16"/>
  <c r="E312" i="16"/>
  <c r="V311" i="16"/>
  <c r="N311" i="16"/>
  <c r="F311" i="16"/>
  <c r="W310" i="16"/>
  <c r="O310" i="16"/>
  <c r="G310" i="16"/>
  <c r="X309" i="16"/>
  <c r="P309" i="16"/>
  <c r="H309" i="16"/>
  <c r="Y308" i="16"/>
  <c r="Q308" i="16"/>
  <c r="I308" i="16"/>
  <c r="A308" i="16"/>
  <c r="R307" i="16"/>
  <c r="J307" i="16"/>
  <c r="B307" i="16"/>
  <c r="S306" i="16"/>
  <c r="K306" i="16"/>
  <c r="C306" i="16"/>
  <c r="T305" i="16"/>
  <c r="L305" i="16"/>
  <c r="D305" i="16"/>
  <c r="U304" i="16"/>
  <c r="M304" i="16"/>
  <c r="E304" i="16"/>
  <c r="V303" i="16"/>
  <c r="N303" i="16"/>
  <c r="F303" i="16"/>
  <c r="W302" i="16"/>
  <c r="O302" i="16"/>
  <c r="G302" i="16"/>
  <c r="X301" i="16"/>
  <c r="P301" i="16"/>
  <c r="H301" i="16"/>
  <c r="Y300" i="16"/>
  <c r="Q300" i="16"/>
  <c r="I300" i="16"/>
  <c r="A300" i="16"/>
  <c r="R299" i="16"/>
  <c r="J299" i="16"/>
  <c r="B299" i="16"/>
  <c r="S298" i="16"/>
  <c r="K298" i="16"/>
  <c r="C298" i="16"/>
  <c r="T297" i="16"/>
  <c r="L297" i="16"/>
  <c r="D297" i="16"/>
  <c r="U296" i="16"/>
  <c r="M296" i="16"/>
  <c r="E296" i="16"/>
  <c r="V295" i="16"/>
  <c r="N295" i="16"/>
  <c r="F295" i="16"/>
  <c r="W294" i="16"/>
  <c r="O294" i="16"/>
  <c r="G294" i="16"/>
  <c r="X293" i="16"/>
  <c r="P293" i="16"/>
  <c r="H293" i="16"/>
  <c r="Y292" i="16"/>
  <c r="Q292" i="16"/>
  <c r="I292" i="16"/>
  <c r="A292" i="16"/>
  <c r="R291" i="16"/>
  <c r="J291" i="16"/>
  <c r="B291" i="16"/>
  <c r="S290" i="16"/>
  <c r="K290" i="16"/>
  <c r="C290" i="16"/>
  <c r="T289" i="16"/>
  <c r="L289" i="16"/>
  <c r="D289" i="16"/>
  <c r="U288" i="16"/>
  <c r="M288" i="16"/>
  <c r="E288" i="16"/>
  <c r="V287" i="16"/>
  <c r="N287" i="16"/>
  <c r="F287" i="16"/>
  <c r="W286" i="16"/>
  <c r="O286" i="16"/>
  <c r="G286" i="16"/>
  <c r="X285" i="16"/>
  <c r="P285" i="16"/>
  <c r="H285" i="16"/>
  <c r="Y284" i="16"/>
  <c r="Q284" i="16"/>
  <c r="I284" i="16"/>
  <c r="A284" i="16"/>
  <c r="R283" i="16"/>
  <c r="J283" i="16"/>
  <c r="B283" i="16"/>
  <c r="S282" i="16"/>
  <c r="K282" i="16"/>
  <c r="C282" i="16"/>
  <c r="T281" i="16"/>
  <c r="L281" i="16"/>
  <c r="D281" i="16"/>
  <c r="U280" i="16"/>
  <c r="M280" i="16"/>
  <c r="E280" i="16"/>
  <c r="V279" i="16"/>
  <c r="N279" i="16"/>
  <c r="F279" i="16"/>
  <c r="W278" i="16"/>
  <c r="O278" i="16"/>
  <c r="G278" i="16"/>
  <c r="X277" i="16"/>
  <c r="P277" i="16"/>
  <c r="H277" i="16"/>
  <c r="Y276" i="16"/>
  <c r="Q276" i="16"/>
  <c r="I276" i="16"/>
  <c r="A276" i="16"/>
  <c r="R275" i="16"/>
  <c r="J275" i="16"/>
  <c r="B275" i="16"/>
  <c r="S274" i="16"/>
  <c r="K274" i="16"/>
  <c r="C274" i="16"/>
  <c r="T273" i="16"/>
  <c r="L273" i="16"/>
  <c r="D273" i="16"/>
  <c r="U272" i="16"/>
  <c r="M272" i="16"/>
  <c r="E272" i="16"/>
  <c r="V271" i="16"/>
  <c r="N271" i="16"/>
  <c r="F271" i="16"/>
  <c r="W270" i="16"/>
  <c r="O270" i="16"/>
  <c r="G270" i="16"/>
  <c r="X269" i="16"/>
  <c r="P269" i="16"/>
  <c r="H269" i="16"/>
  <c r="Y268" i="16"/>
  <c r="Q268" i="16"/>
  <c r="I268" i="16"/>
  <c r="A268" i="16"/>
  <c r="R267" i="16"/>
  <c r="J267" i="16"/>
  <c r="B267" i="16"/>
  <c r="S266" i="16"/>
  <c r="K266" i="16"/>
  <c r="C266" i="16"/>
  <c r="T265" i="16"/>
  <c r="L265" i="16"/>
  <c r="D265" i="16"/>
  <c r="U264" i="16"/>
  <c r="M264" i="16"/>
  <c r="E264" i="16"/>
  <c r="V263" i="16"/>
  <c r="N263" i="16"/>
  <c r="F263" i="16"/>
  <c r="W262" i="16"/>
  <c r="O262" i="16"/>
  <c r="G262" i="16"/>
  <c r="X261" i="16"/>
  <c r="P261" i="16"/>
  <c r="H261" i="16"/>
  <c r="Y260" i="16"/>
  <c r="Q260" i="16"/>
  <c r="I260" i="16"/>
  <c r="A260" i="16"/>
  <c r="R259" i="16"/>
  <c r="J259" i="16"/>
  <c r="B259" i="16"/>
  <c r="S258" i="16"/>
  <c r="K258" i="16"/>
  <c r="C258" i="16"/>
  <c r="T257" i="16"/>
  <c r="L257" i="16"/>
  <c r="D257" i="16"/>
  <c r="U256" i="16"/>
  <c r="M256" i="16"/>
  <c r="E256" i="16"/>
  <c r="V255" i="16"/>
  <c r="N255" i="16"/>
  <c r="F255" i="16"/>
  <c r="W254" i="16"/>
  <c r="O254" i="16"/>
  <c r="G254" i="16"/>
  <c r="X253" i="16"/>
  <c r="P253" i="16"/>
  <c r="H253" i="16"/>
  <c r="Y252" i="16"/>
  <c r="Q252" i="16"/>
  <c r="I252" i="16"/>
  <c r="A252" i="16"/>
  <c r="R251" i="16"/>
  <c r="J251" i="16"/>
  <c r="B251" i="16"/>
  <c r="S250" i="16"/>
  <c r="K250" i="16"/>
  <c r="C250" i="16"/>
  <c r="T249" i="16"/>
  <c r="L249" i="16"/>
  <c r="D249" i="16"/>
  <c r="U248" i="16"/>
  <c r="M248" i="16"/>
  <c r="E248" i="16"/>
  <c r="V247" i="16"/>
  <c r="N247" i="16"/>
  <c r="F247" i="16"/>
  <c r="W246" i="16"/>
  <c r="O246" i="16"/>
  <c r="G246" i="16"/>
  <c r="X245" i="16"/>
  <c r="P245" i="16"/>
  <c r="H245" i="16"/>
  <c r="Y244" i="16"/>
  <c r="Q244" i="16"/>
  <c r="I244" i="16"/>
  <c r="A244" i="16"/>
  <c r="R243" i="16"/>
  <c r="J243" i="16"/>
  <c r="B243" i="16"/>
  <c r="S242" i="16"/>
  <c r="K242" i="16"/>
  <c r="C242" i="16"/>
  <c r="T241" i="16"/>
  <c r="L241" i="16"/>
  <c r="D241" i="16"/>
  <c r="U240" i="16"/>
  <c r="M240" i="16"/>
  <c r="E240" i="16"/>
  <c r="V239" i="16"/>
  <c r="N239" i="16"/>
  <c r="F239" i="16"/>
  <c r="W238" i="16"/>
  <c r="O238" i="16"/>
  <c r="G238" i="16"/>
  <c r="X237" i="16"/>
  <c r="P237" i="16"/>
  <c r="H237" i="16"/>
  <c r="Y236" i="16"/>
  <c r="Q236" i="16"/>
  <c r="I236" i="16"/>
  <c r="A236" i="16"/>
  <c r="R235" i="16"/>
  <c r="J235" i="16"/>
  <c r="B235" i="16"/>
  <c r="S234" i="16"/>
  <c r="K234" i="16"/>
  <c r="C234" i="16"/>
  <c r="T233" i="16"/>
  <c r="L233" i="16"/>
  <c r="D233" i="16"/>
  <c r="U232" i="16"/>
  <c r="M232" i="16"/>
  <c r="E232" i="16"/>
  <c r="V231" i="16"/>
  <c r="N231" i="16"/>
  <c r="F231" i="16"/>
  <c r="W230" i="16"/>
  <c r="O230" i="16"/>
  <c r="G230" i="16"/>
  <c r="X229" i="16"/>
  <c r="P229" i="16"/>
  <c r="H229" i="16"/>
  <c r="Y228" i="16"/>
  <c r="Q228" i="16"/>
  <c r="I228" i="16"/>
  <c r="A228" i="16"/>
  <c r="R227" i="16"/>
  <c r="J227" i="16"/>
  <c r="B227" i="16"/>
  <c r="S226" i="16"/>
  <c r="K226" i="16"/>
  <c r="C226" i="16"/>
  <c r="T225" i="16"/>
  <c r="L225" i="16"/>
  <c r="D225" i="16"/>
  <c r="U224" i="16"/>
  <c r="M224" i="16"/>
  <c r="E224" i="16"/>
  <c r="V223" i="16"/>
  <c r="N223" i="16"/>
  <c r="F223" i="16"/>
  <c r="W222" i="16"/>
  <c r="O222" i="16"/>
  <c r="G222" i="16"/>
  <c r="X221" i="16"/>
  <c r="R221" i="16"/>
  <c r="M221" i="16"/>
  <c r="H221" i="16"/>
  <c r="B221" i="16"/>
  <c r="V220" i="16"/>
  <c r="Q220" i="16"/>
  <c r="K220" i="16"/>
  <c r="F220" i="16"/>
  <c r="A220" i="16"/>
  <c r="T219" i="16"/>
  <c r="O219" i="16"/>
  <c r="J219" i="16"/>
  <c r="D219" i="16"/>
  <c r="X218" i="16"/>
  <c r="S218" i="16"/>
  <c r="M218" i="16"/>
  <c r="H218" i="16"/>
  <c r="C218" i="16"/>
  <c r="V217" i="16"/>
  <c r="Q217" i="16"/>
  <c r="L217" i="16"/>
  <c r="F217" i="16"/>
  <c r="A217" i="16"/>
  <c r="U216" i="16"/>
  <c r="O216" i="16"/>
  <c r="J216" i="16"/>
  <c r="E216" i="16"/>
  <c r="X215" i="16"/>
  <c r="S215" i="16"/>
  <c r="N215" i="16"/>
  <c r="H215" i="16"/>
  <c r="C215" i="16"/>
  <c r="W214" i="16"/>
  <c r="Q214" i="16"/>
  <c r="L214" i="16"/>
  <c r="G214" i="16"/>
  <c r="A214" i="16"/>
  <c r="U213" i="16"/>
  <c r="P213" i="16"/>
  <c r="J213" i="16"/>
  <c r="E213" i="16"/>
  <c r="Y212" i="16"/>
  <c r="S212" i="16"/>
  <c r="N212" i="16"/>
  <c r="I212" i="16"/>
  <c r="C212" i="16"/>
  <c r="W211" i="16"/>
  <c r="R211" i="16"/>
  <c r="L211" i="16"/>
  <c r="G211" i="16"/>
  <c r="B211" i="16"/>
  <c r="U210" i="16"/>
  <c r="P210" i="16"/>
  <c r="K210" i="16"/>
  <c r="E210" i="16"/>
  <c r="Y209" i="16"/>
  <c r="T209" i="16"/>
  <c r="N209" i="16"/>
  <c r="I209" i="16"/>
  <c r="D209" i="16"/>
  <c r="W208" i="16"/>
  <c r="R208" i="16"/>
  <c r="M208" i="16"/>
  <c r="G208" i="16"/>
  <c r="B208" i="16"/>
  <c r="V207" i="16"/>
  <c r="P207" i="16"/>
  <c r="K207" i="16"/>
  <c r="F207" i="16"/>
  <c r="Y206" i="16"/>
  <c r="T206" i="16"/>
  <c r="O206" i="16"/>
  <c r="I206" i="16"/>
  <c r="D206" i="16"/>
  <c r="X205" i="16"/>
  <c r="R205" i="16"/>
  <c r="M205" i="16"/>
  <c r="H205" i="16"/>
  <c r="B205" i="16"/>
  <c r="V204" i="16"/>
  <c r="Q204" i="16"/>
  <c r="K204" i="16"/>
  <c r="F204" i="16"/>
  <c r="A204" i="16"/>
  <c r="T203" i="16"/>
  <c r="O203" i="16"/>
  <c r="J203" i="16"/>
  <c r="D203" i="16"/>
  <c r="X202" i="16"/>
  <c r="S202" i="16"/>
  <c r="M202" i="16"/>
  <c r="H202" i="16"/>
  <c r="C202" i="16"/>
  <c r="V201" i="16"/>
  <c r="Q201" i="16"/>
  <c r="L201" i="16"/>
  <c r="F201" i="16"/>
  <c r="A201" i="16"/>
  <c r="U200" i="16"/>
  <c r="O200" i="16"/>
  <c r="J200" i="16"/>
  <c r="E200" i="16"/>
  <c r="X199" i="16"/>
  <c r="S199" i="16"/>
  <c r="N199" i="16"/>
  <c r="H199" i="16"/>
  <c r="C199" i="16"/>
  <c r="W198" i="16"/>
  <c r="Q198" i="16"/>
  <c r="L198" i="16"/>
  <c r="G198" i="16"/>
  <c r="A198" i="16"/>
  <c r="U197" i="16"/>
  <c r="Q197" i="16"/>
  <c r="M197" i="16"/>
  <c r="I197" i="16"/>
  <c r="E197" i="16"/>
  <c r="A197" i="16"/>
  <c r="V196" i="16"/>
  <c r="R196" i="16"/>
  <c r="N196" i="16"/>
  <c r="J196" i="16"/>
  <c r="F196" i="16"/>
  <c r="B196" i="16"/>
  <c r="W195" i="16"/>
  <c r="S195" i="16"/>
  <c r="O195" i="16"/>
  <c r="K195" i="16"/>
  <c r="G195" i="16"/>
  <c r="C195" i="16"/>
  <c r="X194" i="16"/>
  <c r="T194" i="16"/>
  <c r="P194" i="16"/>
  <c r="L194" i="16"/>
  <c r="H194" i="16"/>
  <c r="D194" i="16"/>
  <c r="Y193" i="16"/>
  <c r="U193" i="16"/>
  <c r="Q193" i="16"/>
  <c r="M193" i="16"/>
  <c r="I193" i="16"/>
  <c r="E193" i="16"/>
  <c r="A193" i="16"/>
  <c r="V192" i="16"/>
  <c r="R192" i="16"/>
  <c r="N192" i="16"/>
  <c r="J192" i="16"/>
  <c r="F192" i="16"/>
  <c r="B192" i="16"/>
  <c r="W191" i="16"/>
  <c r="S191" i="16"/>
  <c r="O191" i="16"/>
  <c r="K191" i="16"/>
  <c r="G191" i="16"/>
  <c r="C191" i="16"/>
  <c r="X190" i="16"/>
  <c r="T190" i="16"/>
  <c r="P190" i="16"/>
  <c r="L190" i="16"/>
  <c r="H190" i="16"/>
  <c r="D190" i="16"/>
  <c r="Y189" i="16"/>
  <c r="U189" i="16"/>
  <c r="Q189" i="16"/>
  <c r="M189" i="16"/>
  <c r="I189" i="16"/>
  <c r="E189" i="16"/>
  <c r="A189" i="16"/>
  <c r="V188" i="16"/>
  <c r="R188" i="16"/>
  <c r="N188" i="16"/>
  <c r="J188" i="16"/>
  <c r="F188" i="16"/>
  <c r="B188" i="16"/>
  <c r="W187" i="16"/>
  <c r="S187" i="16"/>
  <c r="O187" i="16"/>
  <c r="K187" i="16"/>
  <c r="G187" i="16"/>
  <c r="C187" i="16"/>
  <c r="X186" i="16"/>
  <c r="T186" i="16"/>
  <c r="P186" i="16"/>
  <c r="L186" i="16"/>
  <c r="H186" i="16"/>
  <c r="D186" i="16"/>
  <c r="Y185" i="16"/>
  <c r="U185" i="16"/>
  <c r="Q185" i="16"/>
  <c r="M185" i="16"/>
  <c r="I185" i="16"/>
  <c r="E185" i="16"/>
  <c r="A185" i="16"/>
  <c r="V184" i="16"/>
  <c r="R184" i="16"/>
  <c r="N184" i="16"/>
  <c r="J184" i="16"/>
  <c r="F184" i="16"/>
  <c r="B184" i="16"/>
  <c r="W183" i="16"/>
  <c r="S183" i="16"/>
  <c r="O183" i="16"/>
  <c r="K183" i="16"/>
  <c r="G183" i="16"/>
  <c r="C183" i="16"/>
  <c r="X182" i="16"/>
  <c r="T182" i="16"/>
  <c r="P182" i="16"/>
  <c r="L182" i="16"/>
  <c r="H182" i="16"/>
  <c r="D182" i="16"/>
  <c r="Y181" i="16"/>
  <c r="U181" i="16"/>
  <c r="Q181" i="16"/>
  <c r="M181" i="16"/>
  <c r="I181" i="16"/>
  <c r="E181" i="16"/>
  <c r="A181" i="16"/>
  <c r="V180" i="16"/>
  <c r="R180" i="16"/>
  <c r="N180" i="16"/>
  <c r="J180" i="16"/>
  <c r="F180" i="16"/>
  <c r="B180" i="16"/>
  <c r="W179" i="16"/>
  <c r="S179" i="16"/>
  <c r="O179" i="16"/>
  <c r="K179" i="16"/>
  <c r="G179" i="16"/>
  <c r="C179" i="16"/>
  <c r="X178" i="16"/>
  <c r="T178" i="16"/>
  <c r="P178" i="16"/>
  <c r="L178" i="16"/>
  <c r="H178" i="16"/>
  <c r="D178" i="16"/>
  <c r="Y177" i="16"/>
  <c r="U177" i="16"/>
  <c r="Q177" i="16"/>
  <c r="M177" i="16"/>
  <c r="I177" i="16"/>
  <c r="E177" i="16"/>
  <c r="A177" i="16"/>
  <c r="V176" i="16"/>
  <c r="R176" i="16"/>
  <c r="N176" i="16"/>
  <c r="J176" i="16"/>
  <c r="F176" i="16"/>
  <c r="B176" i="16"/>
  <c r="W175" i="16"/>
  <c r="S175" i="16"/>
  <c r="O175" i="16"/>
  <c r="K175" i="16"/>
  <c r="G175" i="16"/>
  <c r="C175" i="16"/>
  <c r="X174" i="16"/>
  <c r="T174" i="16"/>
  <c r="P174" i="16"/>
  <c r="L174" i="16"/>
  <c r="H174" i="16"/>
  <c r="D174" i="16"/>
  <c r="Y173" i="16"/>
  <c r="U173" i="16"/>
  <c r="Q173" i="16"/>
  <c r="M173" i="16"/>
  <c r="I173" i="16"/>
  <c r="E173" i="16"/>
  <c r="A173" i="16"/>
  <c r="V172" i="16"/>
  <c r="R172" i="16"/>
  <c r="N172" i="16"/>
  <c r="J172" i="16"/>
  <c r="F172" i="16"/>
  <c r="B172" i="16"/>
  <c r="W171" i="16"/>
  <c r="S171" i="16"/>
  <c r="O171" i="16"/>
  <c r="K171" i="16"/>
  <c r="G171" i="16"/>
  <c r="C171" i="16"/>
  <c r="X170" i="16"/>
  <c r="T170" i="16"/>
  <c r="P170" i="16"/>
  <c r="L170" i="16"/>
  <c r="H170" i="16"/>
  <c r="D170" i="16"/>
  <c r="Y169" i="16"/>
  <c r="U169" i="16"/>
  <c r="Q169" i="16"/>
  <c r="M169" i="16"/>
  <c r="I169" i="16"/>
  <c r="E169" i="16"/>
  <c r="A169" i="16"/>
  <c r="V168" i="16"/>
  <c r="R168" i="16"/>
  <c r="N168" i="16"/>
  <c r="J168" i="16"/>
  <c r="F168" i="16"/>
  <c r="B168" i="16"/>
  <c r="W167" i="16"/>
  <c r="S167" i="16"/>
  <c r="O167" i="16"/>
  <c r="K167" i="16"/>
  <c r="G167" i="16"/>
  <c r="C167" i="16"/>
  <c r="X166" i="16"/>
  <c r="T166" i="16"/>
  <c r="P166" i="16"/>
  <c r="L166" i="16"/>
  <c r="H166" i="16"/>
  <c r="D166" i="16"/>
  <c r="Y165" i="16"/>
  <c r="U165" i="16"/>
  <c r="Q165" i="16"/>
  <c r="M165" i="16"/>
  <c r="I165" i="16"/>
  <c r="E165" i="16"/>
  <c r="A165" i="16"/>
  <c r="V164" i="16"/>
  <c r="R164" i="16"/>
  <c r="N164" i="16"/>
  <c r="J164" i="16"/>
  <c r="F164" i="16"/>
  <c r="B164" i="16"/>
  <c r="W163" i="16"/>
  <c r="S163" i="16"/>
  <c r="O163" i="16"/>
  <c r="K163" i="16"/>
  <c r="G163" i="16"/>
  <c r="C163" i="16"/>
  <c r="X162" i="16"/>
  <c r="T162" i="16"/>
  <c r="P162" i="16"/>
  <c r="L162" i="16"/>
  <c r="H162" i="16"/>
  <c r="D162" i="16"/>
  <c r="Y161" i="16"/>
  <c r="U161" i="16"/>
  <c r="Q161" i="16"/>
  <c r="M161" i="16"/>
  <c r="I161" i="16"/>
  <c r="E161" i="16"/>
  <c r="A161" i="16"/>
  <c r="V160" i="16"/>
  <c r="R160" i="16"/>
  <c r="N160" i="16"/>
  <c r="J160" i="16"/>
  <c r="F160" i="16"/>
  <c r="B160" i="16"/>
  <c r="W159" i="16"/>
  <c r="S159" i="16"/>
  <c r="O159" i="16"/>
  <c r="K159" i="16"/>
  <c r="G159" i="16"/>
  <c r="C159" i="16"/>
  <c r="X158" i="16"/>
  <c r="T158" i="16"/>
  <c r="P158" i="16"/>
  <c r="L158" i="16"/>
  <c r="H158" i="16"/>
  <c r="D158" i="16"/>
  <c r="Y157" i="16"/>
  <c r="U157" i="16"/>
  <c r="Q157" i="16"/>
  <c r="M157" i="16"/>
  <c r="I157" i="16"/>
  <c r="E157" i="16"/>
  <c r="A157" i="16"/>
  <c r="V156" i="16"/>
  <c r="R156" i="16"/>
  <c r="N156" i="16"/>
  <c r="J156" i="16"/>
  <c r="F156" i="16"/>
  <c r="B156" i="16"/>
  <c r="W155" i="16"/>
  <c r="S155" i="16"/>
  <c r="O155" i="16"/>
  <c r="K155" i="16"/>
  <c r="G155" i="16"/>
  <c r="C155" i="16"/>
  <c r="X154" i="16"/>
  <c r="T154" i="16"/>
  <c r="P154" i="16"/>
  <c r="L154" i="16"/>
  <c r="H154" i="16"/>
  <c r="D154" i="16"/>
  <c r="Y153" i="16"/>
  <c r="U153" i="16"/>
  <c r="Q153" i="16"/>
  <c r="M153" i="16"/>
  <c r="I153" i="16"/>
  <c r="E153" i="16"/>
  <c r="A153" i="16"/>
  <c r="V152" i="16"/>
  <c r="R152" i="16"/>
  <c r="N152" i="16"/>
  <c r="J152" i="16"/>
  <c r="F152" i="16"/>
  <c r="B152" i="16"/>
  <c r="W151" i="16"/>
  <c r="S151" i="16"/>
  <c r="O151" i="16"/>
  <c r="K151" i="16"/>
  <c r="G151" i="16"/>
  <c r="C151" i="16"/>
  <c r="X150" i="16"/>
  <c r="T150" i="16"/>
  <c r="P150" i="16"/>
  <c r="L150" i="16"/>
  <c r="H150" i="16"/>
  <c r="D150" i="16"/>
  <c r="Y149" i="16"/>
  <c r="U149" i="16"/>
  <c r="Q149" i="16"/>
  <c r="M149" i="16"/>
  <c r="I149" i="16"/>
  <c r="E149" i="16"/>
  <c r="A149" i="16"/>
  <c r="V148" i="16"/>
  <c r="R148" i="16"/>
  <c r="N148" i="16"/>
  <c r="J148" i="16"/>
  <c r="F148" i="16"/>
  <c r="B148" i="16"/>
  <c r="W147" i="16"/>
  <c r="S147" i="16"/>
  <c r="O147" i="16"/>
  <c r="K147" i="16"/>
  <c r="G147" i="16"/>
  <c r="C147" i="16"/>
  <c r="X146" i="16"/>
  <c r="T146" i="16"/>
  <c r="P146" i="16"/>
  <c r="L146" i="16"/>
  <c r="H146" i="16"/>
  <c r="D146" i="16"/>
  <c r="Y145" i="16"/>
  <c r="U145" i="16"/>
  <c r="Q145" i="16"/>
  <c r="M145" i="16"/>
  <c r="I145" i="16"/>
  <c r="E145" i="16"/>
  <c r="A145" i="16"/>
  <c r="V144" i="16"/>
  <c r="R144" i="16"/>
  <c r="N144" i="16"/>
  <c r="J144" i="16"/>
  <c r="F144" i="16"/>
  <c r="B144" i="16"/>
  <c r="W143" i="16"/>
  <c r="S143" i="16"/>
  <c r="O143" i="16"/>
  <c r="K143" i="16"/>
  <c r="G143" i="16"/>
  <c r="C143" i="16"/>
  <c r="X142" i="16"/>
  <c r="T142" i="16"/>
  <c r="P142" i="16"/>
  <c r="L142" i="16"/>
  <c r="H142" i="16"/>
  <c r="D142" i="16"/>
  <c r="Y141" i="16"/>
  <c r="U141" i="16"/>
  <c r="Q141" i="16"/>
  <c r="M141" i="16"/>
  <c r="I141" i="16"/>
  <c r="E141" i="16"/>
  <c r="A141" i="16"/>
  <c r="V140" i="16"/>
  <c r="R140" i="16"/>
  <c r="N140" i="16"/>
  <c r="J140" i="16"/>
  <c r="F140" i="16"/>
  <c r="B140" i="16"/>
  <c r="W139" i="16"/>
  <c r="S139" i="16"/>
  <c r="O139" i="16"/>
  <c r="K139" i="16"/>
  <c r="G139" i="16"/>
  <c r="C139" i="16"/>
  <c r="X138" i="16"/>
  <c r="T138" i="16"/>
  <c r="P138" i="16"/>
  <c r="L138" i="16"/>
  <c r="H138" i="16"/>
  <c r="D138" i="16"/>
  <c r="Y137" i="16"/>
  <c r="U137" i="16"/>
  <c r="Q137" i="16"/>
  <c r="M137" i="16"/>
  <c r="I137" i="16"/>
  <c r="E137" i="16"/>
  <c r="A137" i="16"/>
  <c r="V136" i="16"/>
  <c r="R136" i="16"/>
  <c r="N136" i="16"/>
  <c r="J136" i="16"/>
  <c r="F136" i="16"/>
  <c r="B136" i="16"/>
  <c r="W135" i="16"/>
  <c r="S135" i="16"/>
  <c r="O135" i="16"/>
  <c r="K135" i="16"/>
  <c r="G135" i="16"/>
  <c r="C135" i="16"/>
  <c r="X134" i="16"/>
  <c r="T134" i="16"/>
  <c r="P134" i="16"/>
  <c r="L134" i="16"/>
  <c r="H134" i="16"/>
  <c r="D134" i="16"/>
  <c r="Y133" i="16"/>
  <c r="U133" i="16"/>
  <c r="Q133" i="16"/>
  <c r="M133" i="16"/>
  <c r="I133" i="16"/>
  <c r="E133" i="16"/>
  <c r="A133" i="16"/>
  <c r="V132" i="16"/>
  <c r="R132" i="16"/>
  <c r="N132" i="16"/>
  <c r="J132" i="16"/>
  <c r="F132" i="16"/>
  <c r="B132" i="16"/>
  <c r="W131" i="16"/>
  <c r="S131" i="16"/>
  <c r="O131" i="16"/>
  <c r="K131" i="16"/>
  <c r="G131" i="16"/>
  <c r="C131" i="16"/>
  <c r="X130" i="16"/>
  <c r="T130" i="16"/>
  <c r="P130" i="16"/>
  <c r="L130" i="16"/>
  <c r="H130" i="16"/>
  <c r="D130" i="16"/>
  <c r="Y129" i="16"/>
  <c r="U129" i="16"/>
  <c r="Q129" i="16"/>
  <c r="M129" i="16"/>
  <c r="I129" i="16"/>
  <c r="E129" i="16"/>
  <c r="A129" i="16"/>
  <c r="V128" i="16"/>
  <c r="R128" i="16"/>
  <c r="N128" i="16"/>
  <c r="J128" i="16"/>
  <c r="F128" i="16"/>
  <c r="B128" i="16"/>
  <c r="W127" i="16"/>
  <c r="S127" i="16"/>
  <c r="O127" i="16"/>
  <c r="K127" i="16"/>
  <c r="G127" i="16"/>
  <c r="C127" i="16"/>
  <c r="X126" i="16"/>
  <c r="T126" i="16"/>
  <c r="P126" i="16"/>
  <c r="L126" i="16"/>
  <c r="H126" i="16"/>
  <c r="D126" i="16"/>
  <c r="Y125" i="16"/>
  <c r="U125" i="16"/>
  <c r="Q125" i="16"/>
  <c r="M125" i="16"/>
  <c r="I125" i="16"/>
  <c r="E125" i="16"/>
  <c r="A125" i="16"/>
  <c r="V124" i="16"/>
  <c r="R124" i="16"/>
  <c r="N124" i="16"/>
  <c r="J124" i="16"/>
  <c r="F124" i="16"/>
  <c r="B124" i="16"/>
  <c r="W123" i="16"/>
  <c r="S123" i="16"/>
  <c r="O123" i="16"/>
  <c r="K123" i="16"/>
  <c r="G123" i="16"/>
  <c r="C123" i="16"/>
  <c r="X122" i="16"/>
  <c r="T122" i="16"/>
  <c r="P122" i="16"/>
  <c r="L122" i="16"/>
  <c r="H122" i="16"/>
  <c r="D122" i="16"/>
  <c r="Y121" i="16"/>
  <c r="U121" i="16"/>
  <c r="Q121" i="16"/>
  <c r="M121" i="16"/>
  <c r="I121" i="16"/>
  <c r="E121" i="16"/>
  <c r="A121" i="16"/>
  <c r="V120" i="16"/>
  <c r="R120" i="16"/>
  <c r="N120" i="16"/>
  <c r="J120" i="16"/>
  <c r="F120" i="16"/>
  <c r="B120" i="16"/>
  <c r="W119" i="16"/>
  <c r="S119" i="16"/>
  <c r="O119" i="16"/>
  <c r="K119" i="16"/>
  <c r="G119" i="16"/>
  <c r="C119" i="16"/>
  <c r="X118" i="16"/>
  <c r="T118" i="16"/>
  <c r="P118" i="16"/>
  <c r="L118" i="16"/>
  <c r="H118" i="16"/>
  <c r="D118" i="16"/>
  <c r="Y117" i="16"/>
  <c r="U117" i="16"/>
  <c r="Q117" i="16"/>
  <c r="M117" i="16"/>
  <c r="I117" i="16"/>
  <c r="E117" i="16"/>
  <c r="A117" i="16"/>
  <c r="V116" i="16"/>
  <c r="R116" i="16"/>
  <c r="N116" i="16"/>
  <c r="J116" i="16"/>
  <c r="F116" i="16"/>
  <c r="B116" i="16"/>
  <c r="W115" i="16"/>
  <c r="S115" i="16"/>
  <c r="O115" i="16"/>
  <c r="K115" i="16"/>
  <c r="G115" i="16"/>
  <c r="C115" i="16"/>
  <c r="X114" i="16"/>
  <c r="T114" i="16"/>
  <c r="P114" i="16"/>
  <c r="L114" i="16"/>
  <c r="H114" i="16"/>
  <c r="D114" i="16"/>
  <c r="Y113" i="16"/>
  <c r="U113" i="16"/>
  <c r="Q113" i="16"/>
  <c r="M113" i="16"/>
  <c r="I113" i="16"/>
  <c r="E113" i="16"/>
  <c r="A113" i="16"/>
  <c r="V112" i="16"/>
  <c r="R112" i="16"/>
  <c r="N112" i="16"/>
  <c r="J112" i="16"/>
  <c r="F112" i="16"/>
  <c r="B112" i="16"/>
  <c r="W111" i="16"/>
  <c r="S111" i="16"/>
  <c r="O111" i="16"/>
  <c r="K111" i="16"/>
  <c r="G111" i="16"/>
  <c r="C111" i="16"/>
  <c r="X110" i="16"/>
  <c r="T110" i="16"/>
  <c r="P110" i="16"/>
  <c r="L110" i="16"/>
  <c r="H110" i="16"/>
  <c r="D110" i="16"/>
  <c r="Y109" i="16"/>
  <c r="U109" i="16"/>
  <c r="Q109" i="16"/>
  <c r="M109" i="16"/>
  <c r="I109" i="16"/>
  <c r="E109" i="16"/>
  <c r="A109" i="16"/>
  <c r="V108" i="16"/>
  <c r="R108" i="16"/>
  <c r="N108" i="16"/>
  <c r="J108" i="16"/>
  <c r="F108" i="16"/>
  <c r="B108" i="16"/>
  <c r="W107" i="16"/>
  <c r="S107" i="16"/>
  <c r="O107" i="16"/>
  <c r="K107" i="16"/>
  <c r="G107" i="16"/>
  <c r="C107" i="16"/>
  <c r="X106" i="16"/>
  <c r="T106" i="16"/>
  <c r="P106" i="16"/>
  <c r="L106" i="16"/>
  <c r="H106" i="16"/>
  <c r="D106" i="16"/>
  <c r="Y105" i="16"/>
  <c r="U105" i="16"/>
  <c r="Q105" i="16"/>
  <c r="M105" i="16"/>
  <c r="I105" i="16"/>
  <c r="E105" i="16"/>
  <c r="A105" i="16"/>
  <c r="V104" i="16"/>
  <c r="R104" i="16"/>
  <c r="N104" i="16"/>
  <c r="J104" i="16"/>
  <c r="F104" i="16"/>
  <c r="B104" i="16"/>
  <c r="W103" i="16"/>
  <c r="S103" i="16"/>
  <c r="O103" i="16"/>
  <c r="K103" i="16"/>
  <c r="G103" i="16"/>
  <c r="C103" i="16"/>
  <c r="X102" i="16"/>
  <c r="T102" i="16"/>
  <c r="P102" i="16"/>
  <c r="L102" i="16"/>
  <c r="H102" i="16"/>
  <c r="D102" i="16"/>
  <c r="Y101" i="16"/>
  <c r="U101" i="16"/>
  <c r="Q101" i="16"/>
  <c r="M101" i="16"/>
  <c r="I101" i="16"/>
  <c r="E101" i="16"/>
  <c r="A101" i="16"/>
  <c r="V100" i="16"/>
  <c r="R100" i="16"/>
  <c r="N100" i="16"/>
  <c r="J100" i="16"/>
  <c r="F100" i="16"/>
  <c r="B100" i="16"/>
  <c r="W99" i="16"/>
  <c r="S99" i="16"/>
  <c r="O99" i="16"/>
  <c r="K99" i="16"/>
  <c r="G99" i="16"/>
  <c r="C99" i="16"/>
  <c r="X98" i="16"/>
  <c r="T98" i="16"/>
  <c r="P98" i="16"/>
  <c r="L98" i="16"/>
  <c r="H98" i="16"/>
  <c r="D98" i="16"/>
  <c r="Y97" i="16"/>
  <c r="U97" i="16"/>
  <c r="Q97" i="16"/>
  <c r="M97" i="16"/>
  <c r="I97" i="16"/>
  <c r="E97" i="16"/>
  <c r="A97" i="16"/>
  <c r="V96" i="16"/>
  <c r="R96" i="16"/>
  <c r="N96" i="16"/>
  <c r="J96" i="16"/>
  <c r="F96" i="16"/>
  <c r="B96" i="16"/>
  <c r="W95" i="16"/>
  <c r="S95" i="16"/>
  <c r="O95" i="16"/>
  <c r="K95" i="16"/>
  <c r="G95" i="16"/>
  <c r="C95" i="16"/>
  <c r="X94" i="16"/>
  <c r="T94" i="16"/>
  <c r="P94" i="16"/>
  <c r="L94" i="16"/>
  <c r="H94" i="16"/>
  <c r="D94" i="16"/>
  <c r="Y93" i="16"/>
  <c r="U93" i="16"/>
  <c r="Q93" i="16"/>
  <c r="M93" i="16"/>
  <c r="I93" i="16"/>
  <c r="E93" i="16"/>
  <c r="A93" i="16"/>
  <c r="V92" i="16"/>
  <c r="R92" i="16"/>
  <c r="N92" i="16"/>
  <c r="J92" i="16"/>
  <c r="F92" i="16"/>
  <c r="B92" i="16"/>
  <c r="W91" i="16"/>
  <c r="S91" i="16"/>
  <c r="O91" i="16"/>
  <c r="K91" i="16"/>
  <c r="G91" i="16"/>
  <c r="C91" i="16"/>
  <c r="X90" i="16"/>
  <c r="T90" i="16"/>
  <c r="P90" i="16"/>
  <c r="L90" i="16"/>
  <c r="H90" i="16"/>
  <c r="D90" i="16"/>
  <c r="Y89" i="16"/>
  <c r="U89" i="16"/>
  <c r="Q89" i="16"/>
  <c r="M89" i="16"/>
  <c r="I89" i="16"/>
  <c r="E89" i="16"/>
  <c r="A89" i="16"/>
  <c r="V88" i="16"/>
  <c r="R88" i="16"/>
  <c r="N88" i="16"/>
  <c r="J88" i="16"/>
  <c r="F88" i="16"/>
  <c r="B88" i="16"/>
  <c r="W87" i="16"/>
  <c r="S87" i="16"/>
  <c r="O87" i="16"/>
  <c r="K87" i="16"/>
  <c r="G87" i="16"/>
  <c r="C87" i="16"/>
  <c r="X86" i="16"/>
  <c r="T86" i="16"/>
  <c r="P86" i="16"/>
  <c r="L86" i="16"/>
  <c r="H86" i="16"/>
  <c r="D86" i="16"/>
  <c r="Y85" i="16"/>
  <c r="U85" i="16"/>
  <c r="Q85" i="16"/>
  <c r="M85" i="16"/>
  <c r="I85" i="16"/>
  <c r="E85" i="16"/>
  <c r="A85" i="16"/>
  <c r="V84" i="16"/>
  <c r="R84" i="16"/>
  <c r="N84" i="16"/>
  <c r="J84" i="16"/>
  <c r="F84" i="16"/>
  <c r="B84" i="16"/>
  <c r="W83" i="16"/>
  <c r="S83" i="16"/>
  <c r="O83" i="16"/>
  <c r="K83" i="16"/>
  <c r="G83" i="16"/>
  <c r="C83" i="16"/>
  <c r="X82" i="16"/>
  <c r="T82" i="16"/>
  <c r="P82" i="16"/>
  <c r="L82" i="16"/>
  <c r="H82" i="16"/>
  <c r="D82" i="16"/>
  <c r="Y81" i="16"/>
  <c r="U81" i="16"/>
  <c r="Q81" i="16"/>
  <c r="M81" i="16"/>
  <c r="I81" i="16"/>
  <c r="E81" i="16"/>
  <c r="A81" i="16"/>
  <c r="V80" i="16"/>
  <c r="R80" i="16"/>
  <c r="N80" i="16"/>
  <c r="J80" i="16"/>
  <c r="F80" i="16"/>
  <c r="B80" i="16"/>
  <c r="W79" i="16"/>
  <c r="S79" i="16"/>
  <c r="O79" i="16"/>
  <c r="K79" i="16"/>
  <c r="G79" i="16"/>
  <c r="C79" i="16"/>
  <c r="X78" i="16"/>
  <c r="T78" i="16"/>
  <c r="P78" i="16"/>
  <c r="L78" i="16"/>
  <c r="H78" i="16"/>
  <c r="D78" i="16"/>
  <c r="Y77" i="16"/>
  <c r="U77" i="16"/>
  <c r="Q77" i="16"/>
  <c r="M77" i="16"/>
  <c r="I77" i="16"/>
  <c r="E77" i="16"/>
  <c r="A77" i="16"/>
  <c r="V76" i="16"/>
  <c r="R76" i="16"/>
  <c r="N76" i="16"/>
  <c r="J76" i="16"/>
  <c r="F76" i="16"/>
  <c r="B76" i="16"/>
  <c r="W75" i="16"/>
  <c r="S75" i="16"/>
  <c r="O75" i="16"/>
  <c r="K75" i="16"/>
  <c r="G75" i="16"/>
  <c r="C75" i="16"/>
  <c r="X74" i="16"/>
  <c r="T74" i="16"/>
  <c r="P74" i="16"/>
  <c r="L74" i="16"/>
  <c r="H74" i="16"/>
  <c r="D74" i="16"/>
  <c r="Y73" i="16"/>
  <c r="U73" i="16"/>
  <c r="Q73" i="16"/>
  <c r="M73" i="16"/>
  <c r="I73" i="16"/>
  <c r="E73" i="16"/>
  <c r="A73" i="16"/>
  <c r="V72" i="16"/>
  <c r="R72" i="16"/>
  <c r="N72" i="16"/>
  <c r="J72" i="16"/>
  <c r="F72" i="16"/>
  <c r="B72" i="16"/>
  <c r="W71" i="16"/>
  <c r="S71" i="16"/>
  <c r="O71" i="16"/>
  <c r="K71" i="16"/>
  <c r="G71" i="16"/>
  <c r="C71" i="16"/>
  <c r="X70" i="16"/>
  <c r="T70" i="16"/>
  <c r="P70" i="16"/>
  <c r="L70" i="16"/>
  <c r="H70" i="16"/>
  <c r="D70" i="16"/>
  <c r="Y69" i="16"/>
  <c r="U69" i="16"/>
  <c r="Q69" i="16"/>
  <c r="M69" i="16"/>
  <c r="I69" i="16"/>
  <c r="E69" i="16"/>
  <c r="A69" i="16"/>
  <c r="V68" i="16"/>
  <c r="R68" i="16"/>
  <c r="N68" i="16"/>
  <c r="J68" i="16"/>
  <c r="F68" i="16"/>
  <c r="B68" i="16"/>
  <c r="W67" i="16"/>
  <c r="S67" i="16"/>
  <c r="O67" i="16"/>
  <c r="K67" i="16"/>
  <c r="G67" i="16"/>
  <c r="C67" i="16"/>
  <c r="X66" i="16"/>
  <c r="T66" i="16"/>
  <c r="P66" i="16"/>
  <c r="L66" i="16"/>
  <c r="H66" i="16"/>
  <c r="D66" i="16"/>
  <c r="Y65" i="16"/>
  <c r="U65" i="16"/>
  <c r="Q65" i="16"/>
  <c r="M65" i="16"/>
  <c r="I65" i="16"/>
  <c r="E65" i="16"/>
  <c r="A65" i="16"/>
  <c r="V64" i="16"/>
  <c r="R64" i="16"/>
  <c r="N64" i="16"/>
  <c r="J64" i="16"/>
  <c r="F64" i="16"/>
  <c r="B64" i="16"/>
  <c r="W63" i="16"/>
  <c r="S63" i="16"/>
  <c r="O63" i="16"/>
  <c r="K63" i="16"/>
  <c r="G63" i="16"/>
  <c r="C63" i="16"/>
  <c r="X62" i="16"/>
  <c r="T62" i="16"/>
  <c r="P62" i="16"/>
  <c r="L62" i="16"/>
  <c r="H62" i="16"/>
  <c r="D62" i="16"/>
  <c r="Y61" i="16"/>
  <c r="U61" i="16"/>
  <c r="Q61" i="16"/>
  <c r="M61" i="16"/>
  <c r="I61" i="16"/>
  <c r="E61" i="16"/>
  <c r="A61" i="16"/>
  <c r="V60" i="16"/>
  <c r="R60" i="16"/>
  <c r="N60" i="16"/>
  <c r="J60" i="16"/>
  <c r="F60" i="16"/>
  <c r="B60" i="16"/>
  <c r="W59" i="16"/>
  <c r="S59" i="16"/>
  <c r="O59" i="16"/>
  <c r="K59" i="16"/>
  <c r="G59" i="16"/>
  <c r="C59" i="16"/>
  <c r="X58" i="16"/>
  <c r="T58" i="16"/>
  <c r="P58" i="16"/>
  <c r="L58" i="16"/>
  <c r="H58" i="16"/>
  <c r="D58" i="16"/>
  <c r="Y57" i="16"/>
  <c r="U57" i="16"/>
  <c r="Q57" i="16"/>
  <c r="M57" i="16"/>
  <c r="I57" i="16"/>
  <c r="E57" i="16"/>
  <c r="A57" i="16"/>
  <c r="V56" i="16"/>
  <c r="R56" i="16"/>
  <c r="N56" i="16"/>
  <c r="J56" i="16"/>
  <c r="F56" i="16"/>
  <c r="B56" i="16"/>
  <c r="W55" i="16"/>
  <c r="S55" i="16"/>
  <c r="O55" i="16"/>
  <c r="K55" i="16"/>
  <c r="G55" i="16"/>
  <c r="C55" i="16"/>
  <c r="X54" i="16"/>
  <c r="T54" i="16"/>
  <c r="P54" i="16"/>
  <c r="L54" i="16"/>
  <c r="H54" i="16"/>
  <c r="D54" i="16"/>
  <c r="Y53" i="16"/>
  <c r="U53" i="16"/>
  <c r="Q53" i="16"/>
  <c r="M53" i="16"/>
  <c r="I53" i="16"/>
  <c r="E53" i="16"/>
  <c r="A53" i="16"/>
  <c r="V52" i="16"/>
  <c r="R52" i="16"/>
  <c r="N52" i="16"/>
  <c r="J52" i="16"/>
  <c r="F52" i="16"/>
  <c r="B52" i="16"/>
  <c r="W51" i="16"/>
  <c r="S51" i="16"/>
  <c r="O51" i="16"/>
  <c r="K51" i="16"/>
  <c r="G51" i="16"/>
  <c r="C51" i="16"/>
  <c r="X50" i="16"/>
  <c r="T50" i="16"/>
  <c r="P50" i="16"/>
  <c r="L50" i="16"/>
  <c r="H50" i="16"/>
  <c r="D50" i="16"/>
  <c r="Y49" i="16"/>
  <c r="U49" i="16"/>
  <c r="Q49" i="16"/>
  <c r="M49" i="16"/>
  <c r="I49" i="16"/>
  <c r="E49" i="16"/>
  <c r="A49" i="16"/>
  <c r="V48" i="16"/>
  <c r="R48" i="16"/>
  <c r="N48" i="16"/>
  <c r="J48" i="16"/>
  <c r="F48" i="16"/>
  <c r="B48" i="16"/>
  <c r="W47" i="16"/>
  <c r="S47" i="16"/>
  <c r="O47" i="16"/>
  <c r="K47" i="16"/>
  <c r="G47" i="16"/>
  <c r="C47" i="16"/>
  <c r="X46" i="16"/>
  <c r="T46" i="16"/>
  <c r="P46" i="16"/>
  <c r="L46" i="16"/>
  <c r="H46" i="16"/>
  <c r="D46" i="16"/>
  <c r="Y45" i="16"/>
  <c r="U45" i="16"/>
  <c r="Q45" i="16"/>
  <c r="M45" i="16"/>
  <c r="I45" i="16"/>
  <c r="E45" i="16"/>
  <c r="A45" i="16"/>
  <c r="V44" i="16"/>
  <c r="R44" i="16"/>
  <c r="N44" i="16"/>
  <c r="J44" i="16"/>
  <c r="F44" i="16"/>
  <c r="B44" i="16"/>
  <c r="W43" i="16"/>
  <c r="S43" i="16"/>
  <c r="O43" i="16"/>
  <c r="K43" i="16"/>
  <c r="G43" i="16"/>
  <c r="C43" i="16"/>
  <c r="X42" i="16"/>
  <c r="T42" i="16"/>
  <c r="P42" i="16"/>
  <c r="L42" i="16"/>
  <c r="H42" i="16"/>
  <c r="D42" i="16"/>
  <c r="Y41" i="16"/>
  <c r="U41" i="16"/>
  <c r="Q41" i="16"/>
  <c r="M41" i="16"/>
  <c r="I41" i="16"/>
  <c r="E41" i="16"/>
  <c r="A41" i="16"/>
  <c r="V40" i="16"/>
  <c r="R40" i="16"/>
  <c r="N40" i="16"/>
  <c r="J40" i="16"/>
  <c r="F40" i="16"/>
  <c r="B40" i="16"/>
  <c r="W39" i="16"/>
  <c r="S39" i="16"/>
  <c r="O39" i="16"/>
  <c r="K39" i="16"/>
  <c r="G39" i="16"/>
  <c r="C39" i="16"/>
  <c r="X38" i="16"/>
  <c r="T38" i="16"/>
  <c r="P38" i="16"/>
  <c r="L38" i="16"/>
  <c r="H38" i="16"/>
  <c r="D38" i="16"/>
  <c r="Y37" i="16"/>
  <c r="U37" i="16"/>
  <c r="Q37" i="16"/>
  <c r="M37" i="16"/>
  <c r="I37" i="16"/>
  <c r="E37" i="16"/>
  <c r="A37" i="16"/>
  <c r="V36" i="16"/>
  <c r="R36" i="16"/>
  <c r="N36" i="16"/>
  <c r="J36" i="16"/>
  <c r="F36" i="16"/>
  <c r="B36" i="16"/>
  <c r="W35" i="16"/>
  <c r="S35" i="16"/>
  <c r="O35" i="16"/>
  <c r="K35" i="16"/>
  <c r="G35" i="16"/>
  <c r="C35" i="16"/>
  <c r="X34" i="16"/>
  <c r="T34" i="16"/>
  <c r="P34" i="16"/>
  <c r="L34" i="16"/>
  <c r="H34" i="16"/>
  <c r="D34" i="16"/>
  <c r="Y33" i="16"/>
  <c r="U33" i="16"/>
  <c r="Q33" i="16"/>
  <c r="M33" i="16"/>
  <c r="I33" i="16"/>
  <c r="E33" i="16"/>
  <c r="A33" i="16"/>
  <c r="V32" i="16"/>
  <c r="R32" i="16"/>
  <c r="N32" i="16"/>
  <c r="J32" i="16"/>
  <c r="F32" i="16"/>
  <c r="B32" i="16"/>
  <c r="W31" i="16"/>
  <c r="S31" i="16"/>
  <c r="O31" i="16"/>
  <c r="K31" i="16"/>
  <c r="G31" i="16"/>
  <c r="C31" i="16"/>
  <c r="X30" i="16"/>
  <c r="T30" i="16"/>
  <c r="P30" i="16"/>
  <c r="L30" i="16"/>
  <c r="H30" i="16"/>
  <c r="D30" i="16"/>
  <c r="Y29" i="16"/>
  <c r="U29" i="16"/>
  <c r="Q29" i="16"/>
  <c r="M29" i="16"/>
  <c r="I29" i="16"/>
  <c r="E29" i="16"/>
  <c r="A29" i="16"/>
  <c r="V28" i="16"/>
  <c r="R28" i="16"/>
  <c r="N28" i="16"/>
  <c r="J28" i="16"/>
  <c r="F28" i="16"/>
  <c r="B28" i="16"/>
  <c r="W27" i="16"/>
  <c r="S27" i="16"/>
  <c r="O27" i="16"/>
  <c r="K27" i="16"/>
  <c r="G27" i="16"/>
  <c r="C27" i="16"/>
  <c r="X26" i="16"/>
  <c r="T26" i="16"/>
  <c r="P26" i="16"/>
  <c r="L26" i="16"/>
  <c r="H26" i="16"/>
  <c r="D26" i="16"/>
  <c r="Y25" i="16"/>
  <c r="U25" i="16"/>
  <c r="Q25" i="16"/>
  <c r="M25" i="16"/>
  <c r="I25" i="16"/>
  <c r="E25" i="16"/>
  <c r="A25" i="16"/>
  <c r="V24" i="16"/>
  <c r="R24" i="16"/>
  <c r="N24" i="16"/>
  <c r="J24" i="16"/>
  <c r="F24" i="16"/>
  <c r="B24" i="16"/>
  <c r="W23" i="16"/>
  <c r="S23" i="16"/>
  <c r="O23" i="16"/>
  <c r="K23" i="16"/>
  <c r="G23" i="16"/>
  <c r="C23" i="16"/>
  <c r="X22" i="16"/>
  <c r="T22" i="16"/>
  <c r="P22" i="16"/>
  <c r="L22" i="16"/>
  <c r="H22" i="16"/>
  <c r="D22" i="16"/>
  <c r="Y21" i="16"/>
  <c r="U21" i="16"/>
  <c r="Q21" i="16"/>
  <c r="M21" i="16"/>
  <c r="I21" i="16"/>
  <c r="E21" i="16"/>
  <c r="A21" i="16"/>
  <c r="V20" i="16"/>
  <c r="R20" i="16"/>
  <c r="N20" i="16"/>
  <c r="J20" i="16"/>
  <c r="F20" i="16"/>
  <c r="B20" i="16"/>
  <c r="W19" i="16"/>
  <c r="S19" i="16"/>
  <c r="O19" i="16"/>
  <c r="K19" i="16"/>
  <c r="G19" i="16"/>
  <c r="C19" i="16"/>
  <c r="X18" i="16"/>
  <c r="T18" i="16"/>
  <c r="P18" i="16"/>
  <c r="L18" i="16"/>
  <c r="H18" i="16"/>
  <c r="D18" i="16"/>
  <c r="Y17" i="16"/>
  <c r="U17" i="16"/>
  <c r="Q17" i="16"/>
  <c r="M17" i="16"/>
  <c r="I17" i="16"/>
  <c r="E17" i="16"/>
  <c r="A17" i="16"/>
  <c r="V16" i="16"/>
  <c r="R16" i="16"/>
  <c r="N16" i="16"/>
  <c r="J16" i="16"/>
  <c r="F16" i="16"/>
  <c r="B16" i="16"/>
  <c r="W15" i="16"/>
  <c r="S15" i="16"/>
  <c r="O15" i="16"/>
  <c r="K15" i="16"/>
  <c r="G15" i="16"/>
  <c r="C15" i="16"/>
  <c r="X14" i="16"/>
  <c r="T14" i="16"/>
  <c r="P14" i="16"/>
  <c r="L14" i="16"/>
  <c r="H14" i="16"/>
  <c r="D14" i="16"/>
  <c r="Y13" i="16"/>
  <c r="U13" i="16"/>
  <c r="Q13" i="16"/>
  <c r="M13" i="16"/>
  <c r="I13" i="16"/>
  <c r="E13" i="16"/>
  <c r="A13" i="16"/>
  <c r="V12" i="16"/>
  <c r="R12" i="16"/>
  <c r="N12" i="16"/>
  <c r="J12" i="16"/>
  <c r="F12" i="16"/>
  <c r="B12" i="16"/>
  <c r="W11" i="16"/>
  <c r="S11" i="16"/>
  <c r="O11" i="16"/>
  <c r="K11" i="16"/>
  <c r="G11" i="16"/>
  <c r="C11" i="16"/>
  <c r="X10" i="16"/>
  <c r="T10" i="16"/>
  <c r="P10" i="16"/>
  <c r="L10" i="16"/>
  <c r="H10" i="16"/>
  <c r="D10" i="16"/>
  <c r="Y9" i="16"/>
  <c r="U9" i="16"/>
  <c r="Q9" i="16"/>
  <c r="M9" i="16"/>
  <c r="I9" i="16"/>
  <c r="E9" i="16"/>
  <c r="A9" i="16"/>
  <c r="V8" i="16"/>
  <c r="R8" i="16"/>
  <c r="N8" i="16"/>
  <c r="J8" i="16"/>
  <c r="F8" i="16"/>
  <c r="B8" i="16"/>
  <c r="W7" i="16"/>
  <c r="S7" i="16"/>
  <c r="O7" i="16"/>
  <c r="K7" i="16"/>
  <c r="G7" i="16"/>
  <c r="C7" i="16"/>
  <c r="X6" i="16"/>
  <c r="T6" i="16"/>
  <c r="P6" i="16"/>
  <c r="L6" i="16"/>
  <c r="H6" i="16"/>
  <c r="D6" i="16"/>
  <c r="Y5" i="16"/>
  <c r="U5" i="16"/>
  <c r="Q5" i="16"/>
  <c r="M5" i="16"/>
  <c r="I5" i="16"/>
  <c r="E5" i="16"/>
  <c r="A5" i="16"/>
  <c r="V4" i="16"/>
  <c r="R4" i="16"/>
  <c r="N4" i="16"/>
  <c r="J4" i="16"/>
  <c r="F4" i="16"/>
  <c r="B4" i="16"/>
  <c r="W3" i="16"/>
  <c r="S3" i="16"/>
  <c r="O3" i="16"/>
  <c r="K3" i="16"/>
  <c r="G3" i="16"/>
  <c r="C3" i="16"/>
  <c r="X2" i="16"/>
  <c r="T2" i="16"/>
  <c r="P2" i="16"/>
  <c r="L2" i="16"/>
  <c r="H2" i="16"/>
  <c r="D2" i="16"/>
  <c r="U1072" i="16"/>
  <c r="S1027" i="16"/>
  <c r="K1003" i="16"/>
  <c r="F979" i="16"/>
  <c r="X954" i="16"/>
  <c r="A938" i="16"/>
  <c r="X925" i="16"/>
  <c r="T913" i="16"/>
  <c r="P901" i="16"/>
  <c r="S891" i="16"/>
  <c r="M883" i="16"/>
  <c r="M877" i="16"/>
  <c r="N871" i="16"/>
  <c r="A867" i="16"/>
  <c r="O862" i="16"/>
  <c r="E859" i="16"/>
  <c r="S855" i="16"/>
  <c r="I852" i="16"/>
  <c r="X848" i="16"/>
  <c r="M845" i="16"/>
  <c r="C842" i="16"/>
  <c r="R838" i="16"/>
  <c r="G835" i="16"/>
  <c r="V831" i="16"/>
  <c r="L828" i="16"/>
  <c r="A825" i="16"/>
  <c r="P821" i="16"/>
  <c r="F818" i="16"/>
  <c r="T814" i="16"/>
  <c r="J811" i="16"/>
  <c r="Y807" i="16"/>
  <c r="S805" i="16"/>
  <c r="A804" i="16"/>
  <c r="H802" i="16"/>
  <c r="P800" i="16"/>
  <c r="W798" i="16"/>
  <c r="E797" i="16"/>
  <c r="M795" i="16"/>
  <c r="T793" i="16"/>
  <c r="B792" i="16"/>
  <c r="J790" i="16"/>
  <c r="Q788" i="16"/>
  <c r="B787" i="16"/>
  <c r="Y785" i="16"/>
  <c r="U784" i="16"/>
  <c r="Q783" i="16"/>
  <c r="O782" i="16"/>
  <c r="K781" i="16"/>
  <c r="F780" i="16"/>
  <c r="E779" i="16"/>
  <c r="Y777" i="16"/>
  <c r="U776" i="16"/>
  <c r="S775" i="16"/>
  <c r="O774" i="16"/>
  <c r="K773" i="16"/>
  <c r="I772" i="16"/>
  <c r="E771" i="16"/>
  <c r="Y769" i="16"/>
  <c r="X768" i="16"/>
  <c r="S767" i="16"/>
  <c r="O766" i="16"/>
  <c r="M765" i="16"/>
  <c r="I764" i="16"/>
  <c r="E763" i="16"/>
  <c r="C762" i="16"/>
  <c r="X760" i="16"/>
  <c r="S759" i="16"/>
  <c r="R758" i="16"/>
  <c r="M757" i="16"/>
  <c r="I756" i="16"/>
  <c r="G755" i="16"/>
  <c r="C754" i="16"/>
  <c r="X752" i="16"/>
  <c r="V751" i="16"/>
  <c r="R750" i="16"/>
  <c r="M749" i="16"/>
  <c r="L748" i="16"/>
  <c r="G747" i="16"/>
  <c r="C746" i="16"/>
  <c r="A745" i="16"/>
  <c r="V743" i="16"/>
  <c r="R742" i="16"/>
  <c r="P741" i="16"/>
  <c r="L740" i="16"/>
  <c r="G739" i="16"/>
  <c r="F738" i="16"/>
  <c r="A737" i="16"/>
  <c r="V735" i="16"/>
  <c r="T734" i="16"/>
  <c r="P733" i="16"/>
  <c r="L732" i="16"/>
  <c r="J731" i="16"/>
  <c r="F730" i="16"/>
  <c r="A729" i="16"/>
  <c r="Y727" i="16"/>
  <c r="T726" i="16"/>
  <c r="P725" i="16"/>
  <c r="N724" i="16"/>
  <c r="J723" i="16"/>
  <c r="F722" i="16"/>
  <c r="D721" i="16"/>
  <c r="Y719" i="16"/>
  <c r="T718" i="16"/>
  <c r="S717" i="16"/>
  <c r="N716" i="16"/>
  <c r="J715" i="16"/>
  <c r="H714" i="16"/>
  <c r="D713" i="16"/>
  <c r="Y711" i="16"/>
  <c r="W710" i="16"/>
  <c r="S709" i="16"/>
  <c r="N708" i="16"/>
  <c r="M707" i="16"/>
  <c r="H706" i="16"/>
  <c r="D705" i="16"/>
  <c r="B704" i="16"/>
  <c r="W702" i="16"/>
  <c r="S701" i="16"/>
  <c r="Q700" i="16"/>
  <c r="M699" i="16"/>
  <c r="H698" i="16"/>
  <c r="G697" i="16"/>
  <c r="B696" i="16"/>
  <c r="W694" i="16"/>
  <c r="U693" i="16"/>
  <c r="Q692" i="16"/>
  <c r="M691" i="16"/>
  <c r="K690" i="16"/>
  <c r="G689" i="16"/>
  <c r="B688" i="16"/>
  <c r="A687" i="16"/>
  <c r="U685" i="16"/>
  <c r="Q684" i="16"/>
  <c r="O683" i="16"/>
  <c r="K682" i="16"/>
  <c r="G681" i="16"/>
  <c r="E680" i="16"/>
  <c r="A679" i="16"/>
  <c r="U677" i="16"/>
  <c r="T676" i="16"/>
  <c r="O675" i="16"/>
  <c r="K674" i="16"/>
  <c r="I673" i="16"/>
  <c r="E672" i="16"/>
  <c r="A671" i="16"/>
  <c r="X669" i="16"/>
  <c r="T668" i="16"/>
  <c r="O667" i="16"/>
  <c r="N666" i="16"/>
  <c r="I665" i="16"/>
  <c r="E664" i="16"/>
  <c r="C663" i="16"/>
  <c r="X661" i="16"/>
  <c r="T660" i="16"/>
  <c r="R659" i="16"/>
  <c r="N658" i="16"/>
  <c r="I657" i="16"/>
  <c r="H656" i="16"/>
  <c r="C655" i="16"/>
  <c r="X653" i="16"/>
  <c r="V652" i="16"/>
  <c r="R651" i="16"/>
  <c r="N650" i="16"/>
  <c r="L649" i="16"/>
  <c r="H648" i="16"/>
  <c r="C647" i="16"/>
  <c r="B646" i="16"/>
  <c r="V644" i="16"/>
  <c r="R643" i="16"/>
  <c r="P642" i="16"/>
  <c r="L641" i="16"/>
  <c r="H640" i="16"/>
  <c r="F639" i="16"/>
  <c r="B638" i="16"/>
  <c r="V636" i="16"/>
  <c r="U635" i="16"/>
  <c r="P634" i="16"/>
  <c r="L633" i="16"/>
  <c r="J632" i="16"/>
  <c r="F631" i="16"/>
  <c r="B630" i="16"/>
  <c r="Y628" i="16"/>
  <c r="U627" i="16"/>
  <c r="P626" i="16"/>
  <c r="O625" i="16"/>
  <c r="Q624" i="16"/>
  <c r="T623" i="16"/>
  <c r="Y622" i="16"/>
  <c r="C622" i="16"/>
  <c r="F621" i="16"/>
  <c r="K620" i="16"/>
  <c r="N619" i="16"/>
  <c r="Q618" i="16"/>
  <c r="V617" i="16"/>
  <c r="Y616" i="16"/>
  <c r="C616" i="16"/>
  <c r="H615" i="16"/>
  <c r="K614" i="16"/>
  <c r="N613" i="16"/>
  <c r="S612" i="16"/>
  <c r="V611" i="16"/>
  <c r="Y610" i="16"/>
  <c r="E610" i="16"/>
  <c r="H609" i="16"/>
  <c r="K608" i="16"/>
  <c r="P607" i="16"/>
  <c r="S606" i="16"/>
  <c r="V605" i="16"/>
  <c r="B605" i="16"/>
  <c r="E604" i="16"/>
  <c r="H603" i="16"/>
  <c r="M602" i="16"/>
  <c r="P601" i="16"/>
  <c r="S600" i="16"/>
  <c r="X599" i="16"/>
  <c r="B599" i="16"/>
  <c r="E598" i="16"/>
  <c r="M597" i="16"/>
  <c r="W596" i="16"/>
  <c r="I596" i="16"/>
  <c r="T595" i="16"/>
  <c r="F595" i="16"/>
  <c r="P594" i="16"/>
  <c r="C594" i="16"/>
  <c r="M593" i="16"/>
  <c r="W592" i="16"/>
  <c r="J592" i="16"/>
  <c r="T591" i="16"/>
  <c r="F591" i="16"/>
  <c r="T590" i="16"/>
  <c r="I590" i="16"/>
  <c r="X589" i="16"/>
  <c r="M589" i="16"/>
  <c r="B589" i="16"/>
  <c r="Q588" i="16"/>
  <c r="F588" i="16"/>
  <c r="T587" i="16"/>
  <c r="J587" i="16"/>
  <c r="X586" i="16"/>
  <c r="M586" i="16"/>
  <c r="C586" i="16"/>
  <c r="Q585" i="16"/>
  <c r="F585" i="16"/>
  <c r="U584" i="16"/>
  <c r="J584" i="16"/>
  <c r="X583" i="16"/>
  <c r="N583" i="16"/>
  <c r="C583" i="16"/>
  <c r="Q582" i="16"/>
  <c r="G582" i="16"/>
  <c r="U581" i="16"/>
  <c r="J581" i="16"/>
  <c r="Y580" i="16"/>
  <c r="N580" i="16"/>
  <c r="C580" i="16"/>
  <c r="R579" i="16"/>
  <c r="G579" i="16"/>
  <c r="U578" i="16"/>
  <c r="K578" i="16"/>
  <c r="Y577" i="16"/>
  <c r="N577" i="16"/>
  <c r="D577" i="16"/>
  <c r="R576" i="16"/>
  <c r="G576" i="16"/>
  <c r="V575" i="16"/>
  <c r="K575" i="16"/>
  <c r="Y574" i="16"/>
  <c r="O574" i="16"/>
  <c r="D574" i="16"/>
  <c r="R573" i="16"/>
  <c r="H573" i="16"/>
  <c r="V572" i="16"/>
  <c r="K572" i="16"/>
  <c r="A572" i="16"/>
  <c r="O571" i="16"/>
  <c r="D571" i="16"/>
  <c r="S570" i="16"/>
  <c r="H570" i="16"/>
  <c r="V569" i="16"/>
  <c r="L569" i="16"/>
  <c r="A569" i="16"/>
  <c r="O568" i="16"/>
  <c r="E568" i="16"/>
  <c r="T567" i="16"/>
  <c r="L567" i="16"/>
  <c r="D567" i="16"/>
  <c r="U566" i="16"/>
  <c r="M566" i="16"/>
  <c r="E566" i="16"/>
  <c r="V565" i="16"/>
  <c r="N565" i="16"/>
  <c r="F565" i="16"/>
  <c r="W564" i="16"/>
  <c r="O564" i="16"/>
  <c r="G564" i="16"/>
  <c r="X563" i="16"/>
  <c r="P563" i="16"/>
  <c r="H563" i="16"/>
  <c r="Y562" i="16"/>
  <c r="Q562" i="16"/>
  <c r="I562" i="16"/>
  <c r="A562" i="16"/>
  <c r="R561" i="16"/>
  <c r="J561" i="16"/>
  <c r="B561" i="16"/>
  <c r="S560" i="16"/>
  <c r="K560" i="16"/>
  <c r="C560" i="16"/>
  <c r="T559" i="16"/>
  <c r="L559" i="16"/>
  <c r="D559" i="16"/>
  <c r="U558" i="16"/>
  <c r="M558" i="16"/>
  <c r="E558" i="16"/>
  <c r="V557" i="16"/>
  <c r="N557" i="16"/>
  <c r="F557" i="16"/>
  <c r="W556" i="16"/>
  <c r="O556" i="16"/>
  <c r="G556" i="16"/>
  <c r="X555" i="16"/>
  <c r="P555" i="16"/>
  <c r="H555" i="16"/>
  <c r="Y554" i="16"/>
  <c r="Q554" i="16"/>
  <c r="I554" i="16"/>
  <c r="A554" i="16"/>
  <c r="R553" i="16"/>
  <c r="J553" i="16"/>
  <c r="B553" i="16"/>
  <c r="S552" i="16"/>
  <c r="K552" i="16"/>
  <c r="C552" i="16"/>
  <c r="T551" i="16"/>
  <c r="L551" i="16"/>
  <c r="D551" i="16"/>
  <c r="U550" i="16"/>
  <c r="M550" i="16"/>
  <c r="E550" i="16"/>
  <c r="V549" i="16"/>
  <c r="N549" i="16"/>
  <c r="F549" i="16"/>
  <c r="W548" i="16"/>
  <c r="O548" i="16"/>
  <c r="G548" i="16"/>
  <c r="X547" i="16"/>
  <c r="P547" i="16"/>
  <c r="H547" i="16"/>
  <c r="Y546" i="16"/>
  <c r="Q546" i="16"/>
  <c r="I546" i="16"/>
  <c r="A546" i="16"/>
  <c r="R545" i="16"/>
  <c r="J545" i="16"/>
  <c r="B545" i="16"/>
  <c r="S544" i="16"/>
  <c r="K544" i="16"/>
  <c r="C544" i="16"/>
  <c r="T543" i="16"/>
  <c r="L543" i="16"/>
  <c r="D543" i="16"/>
  <c r="U542" i="16"/>
  <c r="M542" i="16"/>
  <c r="E542" i="16"/>
  <c r="V541" i="16"/>
  <c r="N541" i="16"/>
  <c r="F541" i="16"/>
  <c r="W540" i="16"/>
  <c r="O540" i="16"/>
  <c r="G540" i="16"/>
  <c r="X539" i="16"/>
  <c r="P539" i="16"/>
  <c r="H539" i="16"/>
  <c r="Y538" i="16"/>
  <c r="Q538" i="16"/>
  <c r="I538" i="16"/>
  <c r="A538" i="16"/>
  <c r="R537" i="16"/>
  <c r="J537" i="16"/>
  <c r="B537" i="16"/>
  <c r="S536" i="16"/>
  <c r="K536" i="16"/>
  <c r="C536" i="16"/>
  <c r="T535" i="16"/>
  <c r="L535" i="16"/>
  <c r="D535" i="16"/>
  <c r="U534" i="16"/>
  <c r="M534" i="16"/>
  <c r="E534" i="16"/>
  <c r="V533" i="16"/>
  <c r="N533" i="16"/>
  <c r="F533" i="16"/>
  <c r="W532" i="16"/>
  <c r="O532" i="16"/>
  <c r="G532" i="16"/>
  <c r="X531" i="16"/>
  <c r="P531" i="16"/>
  <c r="H531" i="16"/>
  <c r="Y530" i="16"/>
  <c r="Q530" i="16"/>
  <c r="I530" i="16"/>
  <c r="A530" i="16"/>
  <c r="R529" i="16"/>
  <c r="J529" i="16"/>
  <c r="B529" i="16"/>
  <c r="S528" i="16"/>
  <c r="K528" i="16"/>
  <c r="C528" i="16"/>
  <c r="T527" i="16"/>
  <c r="L527" i="16"/>
  <c r="D527" i="16"/>
  <c r="U526" i="16"/>
  <c r="M526" i="16"/>
  <c r="E526" i="16"/>
  <c r="V525" i="16"/>
  <c r="N525" i="16"/>
  <c r="F525" i="16"/>
  <c r="W524" i="16"/>
  <c r="O524" i="16"/>
  <c r="G524" i="16"/>
  <c r="X523" i="16"/>
  <c r="P523" i="16"/>
  <c r="H523" i="16"/>
  <c r="Y522" i="16"/>
  <c r="Q522" i="16"/>
  <c r="I522" i="16"/>
  <c r="A522" i="16"/>
  <c r="R521" i="16"/>
  <c r="J521" i="16"/>
  <c r="B521" i="16"/>
  <c r="S520" i="16"/>
  <c r="K520" i="16"/>
  <c r="C520" i="16"/>
  <c r="T519" i="16"/>
  <c r="L519" i="16"/>
  <c r="D519" i="16"/>
  <c r="U518" i="16"/>
  <c r="M518" i="16"/>
  <c r="E518" i="16"/>
  <c r="V517" i="16"/>
  <c r="N517" i="16"/>
  <c r="F517" i="16"/>
  <c r="W516" i="16"/>
  <c r="O516" i="16"/>
  <c r="G516" i="16"/>
  <c r="X515" i="16"/>
  <c r="P515" i="16"/>
  <c r="H515" i="16"/>
  <c r="Y514" i="16"/>
  <c r="Q514" i="16"/>
  <c r="I514" i="16"/>
  <c r="A514" i="16"/>
  <c r="R513" i="16"/>
  <c r="J513" i="16"/>
  <c r="B513" i="16"/>
  <c r="S512" i="16"/>
  <c r="K512" i="16"/>
  <c r="C512" i="16"/>
  <c r="T511" i="16"/>
  <c r="L511" i="16"/>
  <c r="D511" i="16"/>
  <c r="U510" i="16"/>
  <c r="M510" i="16"/>
  <c r="E510" i="16"/>
  <c r="V509" i="16"/>
  <c r="N509" i="16"/>
  <c r="F509" i="16"/>
  <c r="W508" i="16"/>
  <c r="O508" i="16"/>
  <c r="G508" i="16"/>
  <c r="X507" i="16"/>
  <c r="P507" i="16"/>
  <c r="H507" i="16"/>
  <c r="Y506" i="16"/>
  <c r="Q506" i="16"/>
  <c r="I506" i="16"/>
  <c r="A506" i="16"/>
  <c r="R505" i="16"/>
  <c r="J505" i="16"/>
  <c r="B505" i="16"/>
  <c r="S504" i="16"/>
  <c r="K504" i="16"/>
  <c r="C504" i="16"/>
  <c r="T503" i="16"/>
  <c r="L503" i="16"/>
  <c r="D503" i="16"/>
  <c r="U502" i="16"/>
  <c r="M502" i="16"/>
  <c r="E502" i="16"/>
  <c r="V501" i="16"/>
  <c r="N501" i="16"/>
  <c r="F501" i="16"/>
  <c r="W500" i="16"/>
  <c r="O500" i="16"/>
  <c r="G500" i="16"/>
  <c r="X499" i="16"/>
  <c r="P499" i="16"/>
  <c r="H499" i="16"/>
  <c r="Y498" i="16"/>
  <c r="Q498" i="16"/>
  <c r="I498" i="16"/>
  <c r="A498" i="16"/>
  <c r="R497" i="16"/>
  <c r="J497" i="16"/>
  <c r="B497" i="16"/>
  <c r="S496" i="16"/>
  <c r="K496" i="16"/>
  <c r="C496" i="16"/>
  <c r="T495" i="16"/>
  <c r="L495" i="16"/>
  <c r="D495" i="16"/>
  <c r="U494" i="16"/>
  <c r="M494" i="16"/>
  <c r="E494" i="16"/>
  <c r="V493" i="16"/>
  <c r="N493" i="16"/>
  <c r="F493" i="16"/>
  <c r="W492" i="16"/>
  <c r="O492" i="16"/>
  <c r="G492" i="16"/>
  <c r="X491" i="16"/>
  <c r="P491" i="16"/>
  <c r="H491" i="16"/>
  <c r="Y490" i="16"/>
  <c r="Q490" i="16"/>
  <c r="I490" i="16"/>
  <c r="A490" i="16"/>
  <c r="R489" i="16"/>
  <c r="J489" i="16"/>
  <c r="B489" i="16"/>
  <c r="S488" i="16"/>
  <c r="K488" i="16"/>
  <c r="C488" i="16"/>
  <c r="T487" i="16"/>
  <c r="L487" i="16"/>
  <c r="D487" i="16"/>
  <c r="U486" i="16"/>
  <c r="M486" i="16"/>
  <c r="E486" i="16"/>
  <c r="V485" i="16"/>
  <c r="N485" i="16"/>
  <c r="F485" i="16"/>
  <c r="W484" i="16"/>
  <c r="O484" i="16"/>
  <c r="G484" i="16"/>
  <c r="X483" i="16"/>
  <c r="P483" i="16"/>
  <c r="H483" i="16"/>
  <c r="Y482" i="16"/>
  <c r="Q482" i="16"/>
  <c r="I482" i="16"/>
  <c r="A482" i="16"/>
  <c r="R481" i="16"/>
  <c r="J481" i="16"/>
  <c r="B481" i="16"/>
  <c r="S480" i="16"/>
  <c r="K480" i="16"/>
  <c r="C480" i="16"/>
  <c r="T479" i="16"/>
  <c r="L479" i="16"/>
  <c r="D479" i="16"/>
  <c r="U478" i="16"/>
  <c r="M478" i="16"/>
  <c r="E478" i="16"/>
  <c r="V477" i="16"/>
  <c r="N477" i="16"/>
  <c r="F477" i="16"/>
  <c r="W476" i="16"/>
  <c r="O476" i="16"/>
  <c r="G476" i="16"/>
  <c r="X475" i="16"/>
  <c r="P475" i="16"/>
  <c r="H475" i="16"/>
  <c r="Y474" i="16"/>
  <c r="Q474" i="16"/>
  <c r="I474" i="16"/>
  <c r="A474" i="16"/>
  <c r="R473" i="16"/>
  <c r="J473" i="16"/>
  <c r="B473" i="16"/>
  <c r="S472" i="16"/>
  <c r="K472" i="16"/>
  <c r="C472" i="16"/>
  <c r="T471" i="16"/>
  <c r="L471" i="16"/>
  <c r="D471" i="16"/>
  <c r="U470" i="16"/>
  <c r="M470" i="16"/>
  <c r="E470" i="16"/>
  <c r="V469" i="16"/>
  <c r="N469" i="16"/>
  <c r="F469" i="16"/>
  <c r="W468" i="16"/>
  <c r="O468" i="16"/>
  <c r="G468" i="16"/>
  <c r="X467" i="16"/>
  <c r="P467" i="16"/>
  <c r="H467" i="16"/>
  <c r="Y466" i="16"/>
  <c r="Q466" i="16"/>
  <c r="I466" i="16"/>
  <c r="A466" i="16"/>
  <c r="R465" i="16"/>
  <c r="J465" i="16"/>
  <c r="B465" i="16"/>
  <c r="S464" i="16"/>
  <c r="K464" i="16"/>
  <c r="C464" i="16"/>
  <c r="T463" i="16"/>
  <c r="L463" i="16"/>
  <c r="D463" i="16"/>
  <c r="U462" i="16"/>
  <c r="M462" i="16"/>
  <c r="E462" i="16"/>
  <c r="V461" i="16"/>
  <c r="N461" i="16"/>
  <c r="F461" i="16"/>
  <c r="W460" i="16"/>
  <c r="O460" i="16"/>
  <c r="G460" i="16"/>
  <c r="X459" i="16"/>
  <c r="P459" i="16"/>
  <c r="H459" i="16"/>
  <c r="Y458" i="16"/>
  <c r="Q458" i="16"/>
  <c r="I458" i="16"/>
  <c r="A458" i="16"/>
  <c r="R457" i="16"/>
  <c r="J457" i="16"/>
  <c r="B457" i="16"/>
  <c r="S456" i="16"/>
  <c r="K456" i="16"/>
  <c r="C456" i="16"/>
  <c r="T455" i="16"/>
  <c r="L455" i="16"/>
  <c r="D455" i="16"/>
  <c r="U454" i="16"/>
  <c r="M454" i="16"/>
  <c r="E454" i="16"/>
  <c r="V453" i="16"/>
  <c r="N453" i="16"/>
  <c r="F453" i="16"/>
  <c r="W452" i="16"/>
  <c r="O452" i="16"/>
  <c r="G452" i="16"/>
  <c r="X451" i="16"/>
  <c r="P451" i="16"/>
  <c r="H451" i="16"/>
  <c r="Y450" i="16"/>
  <c r="Q450" i="16"/>
  <c r="I450" i="16"/>
  <c r="A450" i="16"/>
  <c r="R449" i="16"/>
  <c r="J449" i="16"/>
  <c r="B449" i="16"/>
  <c r="S448" i="16"/>
  <c r="K448" i="16"/>
  <c r="C448" i="16"/>
  <c r="T447" i="16"/>
  <c r="L447" i="16"/>
  <c r="D447" i="16"/>
  <c r="U446" i="16"/>
  <c r="M446" i="16"/>
  <c r="E446" i="16"/>
  <c r="V445" i="16"/>
  <c r="N445" i="16"/>
  <c r="F445" i="16"/>
  <c r="W444" i="16"/>
  <c r="O444" i="16"/>
  <c r="G444" i="16"/>
  <c r="X443" i="16"/>
  <c r="P443" i="16"/>
  <c r="H443" i="16"/>
  <c r="Y442" i="16"/>
  <c r="Q442" i="16"/>
  <c r="I442" i="16"/>
  <c r="A442" i="16"/>
  <c r="R441" i="16"/>
  <c r="J441" i="16"/>
  <c r="B441" i="16"/>
  <c r="S440" i="16"/>
  <c r="K440" i="16"/>
  <c r="C440" i="16"/>
  <c r="T439" i="16"/>
  <c r="L439" i="16"/>
  <c r="D439" i="16"/>
  <c r="U438" i="16"/>
  <c r="M438" i="16"/>
  <c r="E438" i="16"/>
  <c r="V437" i="16"/>
  <c r="N437" i="16"/>
  <c r="F437" i="16"/>
  <c r="W436" i="16"/>
  <c r="O436" i="16"/>
  <c r="G436" i="16"/>
  <c r="X435" i="16"/>
  <c r="P435" i="16"/>
  <c r="H435" i="16"/>
  <c r="Y434" i="16"/>
  <c r="Q434" i="16"/>
  <c r="I434" i="16"/>
  <c r="A434" i="16"/>
  <c r="R433" i="16"/>
  <c r="J433" i="16"/>
  <c r="B433" i="16"/>
  <c r="S432" i="16"/>
  <c r="K432" i="16"/>
  <c r="C432" i="16"/>
  <c r="T431" i="16"/>
  <c r="L431" i="16"/>
  <c r="D431" i="16"/>
  <c r="U430" i="16"/>
  <c r="M430" i="16"/>
  <c r="E430" i="16"/>
  <c r="V429" i="16"/>
  <c r="N429" i="16"/>
  <c r="F429" i="16"/>
  <c r="W428" i="16"/>
  <c r="O428" i="16"/>
  <c r="G428" i="16"/>
  <c r="X427" i="16"/>
  <c r="P427" i="16"/>
  <c r="H427" i="16"/>
  <c r="Y426" i="16"/>
  <c r="Q426" i="16"/>
  <c r="I426" i="16"/>
  <c r="A426" i="16"/>
  <c r="R425" i="16"/>
  <c r="J425" i="16"/>
  <c r="B425" i="16"/>
  <c r="S424" i="16"/>
  <c r="K424" i="16"/>
  <c r="C424" i="16"/>
  <c r="T423" i="16"/>
  <c r="L423" i="16"/>
  <c r="D423" i="16"/>
  <c r="U422" i="16"/>
  <c r="M422" i="16"/>
  <c r="E422" i="16"/>
  <c r="V421" i="16"/>
  <c r="N421" i="16"/>
  <c r="F421" i="16"/>
  <c r="W420" i="16"/>
  <c r="O420" i="16"/>
  <c r="G420" i="16"/>
  <c r="X419" i="16"/>
  <c r="P419" i="16"/>
  <c r="H419" i="16"/>
  <c r="Y418" i="16"/>
  <c r="Q418" i="16"/>
  <c r="I418" i="16"/>
  <c r="A418" i="16"/>
  <c r="R417" i="16"/>
  <c r="J417" i="16"/>
  <c r="B417" i="16"/>
  <c r="S416" i="16"/>
  <c r="K416" i="16"/>
  <c r="C416" i="16"/>
  <c r="T415" i="16"/>
  <c r="L415" i="16"/>
  <c r="D415" i="16"/>
  <c r="U414" i="16"/>
  <c r="M414" i="16"/>
  <c r="E414" i="16"/>
  <c r="V413" i="16"/>
  <c r="N413" i="16"/>
  <c r="F413" i="16"/>
  <c r="W412" i="16"/>
  <c r="O412" i="16"/>
  <c r="G412" i="16"/>
  <c r="X411" i="16"/>
  <c r="P411" i="16"/>
  <c r="H411" i="16"/>
  <c r="Y410" i="16"/>
  <c r="Q410" i="16"/>
  <c r="I410" i="16"/>
  <c r="A410" i="16"/>
  <c r="R409" i="16"/>
  <c r="J409" i="16"/>
  <c r="B409" i="16"/>
  <c r="S408" i="16"/>
  <c r="K408" i="16"/>
  <c r="C408" i="16"/>
  <c r="T407" i="16"/>
  <c r="L407" i="16"/>
  <c r="D407" i="16"/>
  <c r="U406" i="16"/>
  <c r="M406" i="16"/>
  <c r="E406" i="16"/>
  <c r="V405" i="16"/>
  <c r="N405" i="16"/>
  <c r="F405" i="16"/>
  <c r="W404" i="16"/>
  <c r="O404" i="16"/>
  <c r="G404" i="16"/>
  <c r="X403" i="16"/>
  <c r="P403" i="16"/>
  <c r="H403" i="16"/>
  <c r="Y402" i="16"/>
  <c r="Q402" i="16"/>
  <c r="I402" i="16"/>
  <c r="A402" i="16"/>
  <c r="R401" i="16"/>
  <c r="J401" i="16"/>
  <c r="B401" i="16"/>
  <c r="S400" i="16"/>
  <c r="K400" i="16"/>
  <c r="C400" i="16"/>
  <c r="T399" i="16"/>
  <c r="L399" i="16"/>
  <c r="D399" i="16"/>
  <c r="U398" i="16"/>
  <c r="M398" i="16"/>
  <c r="E398" i="16"/>
  <c r="V397" i="16"/>
  <c r="N397" i="16"/>
  <c r="F397" i="16"/>
  <c r="W396" i="16"/>
  <c r="O396" i="16"/>
  <c r="G396" i="16"/>
  <c r="X395" i="16"/>
  <c r="P395" i="16"/>
  <c r="H395" i="16"/>
  <c r="Y394" i="16"/>
  <c r="Q394" i="16"/>
  <c r="I394" i="16"/>
  <c r="A394" i="16"/>
  <c r="R393" i="16"/>
  <c r="J393" i="16"/>
  <c r="B393" i="16"/>
  <c r="S392" i="16"/>
  <c r="K392" i="16"/>
  <c r="C392" i="16"/>
  <c r="T391" i="16"/>
  <c r="L391" i="16"/>
  <c r="D391" i="16"/>
  <c r="U390" i="16"/>
  <c r="M390" i="16"/>
  <c r="E390" i="16"/>
  <c r="V389" i="16"/>
  <c r="N389" i="16"/>
  <c r="F389" i="16"/>
  <c r="W388" i="16"/>
  <c r="O388" i="16"/>
  <c r="G388" i="16"/>
  <c r="X387" i="16"/>
  <c r="P387" i="16"/>
  <c r="H387" i="16"/>
  <c r="Y386" i="16"/>
  <c r="Q386" i="16"/>
  <c r="I386" i="16"/>
  <c r="A386" i="16"/>
  <c r="R385" i="16"/>
  <c r="J385" i="16"/>
  <c r="B385" i="16"/>
  <c r="S384" i="16"/>
  <c r="K384" i="16"/>
  <c r="C384" i="16"/>
  <c r="T383" i="16"/>
  <c r="L383" i="16"/>
  <c r="D383" i="16"/>
  <c r="U382" i="16"/>
  <c r="M382" i="16"/>
  <c r="E382" i="16"/>
  <c r="V381" i="16"/>
  <c r="N381" i="16"/>
  <c r="F381" i="16"/>
  <c r="W380" i="16"/>
  <c r="O380" i="16"/>
  <c r="G380" i="16"/>
  <c r="X379" i="16"/>
  <c r="P379" i="16"/>
  <c r="H379" i="16"/>
  <c r="Y378" i="16"/>
  <c r="Q378" i="16"/>
  <c r="I378" i="16"/>
  <c r="A378" i="16"/>
  <c r="R377" i="16"/>
  <c r="J377" i="16"/>
  <c r="B377" i="16"/>
  <c r="S376" i="16"/>
  <c r="K376" i="16"/>
  <c r="C376" i="16"/>
  <c r="T375" i="16"/>
  <c r="L375" i="16"/>
  <c r="D375" i="16"/>
  <c r="U374" i="16"/>
  <c r="M374" i="16"/>
  <c r="E374" i="16"/>
  <c r="V373" i="16"/>
  <c r="N373" i="16"/>
  <c r="F373" i="16"/>
  <c r="W372" i="16"/>
  <c r="O372" i="16"/>
  <c r="G372" i="16"/>
  <c r="X371" i="16"/>
  <c r="P371" i="16"/>
  <c r="H371" i="16"/>
  <c r="Y370" i="16"/>
  <c r="Q370" i="16"/>
  <c r="I370" i="16"/>
  <c r="A370" i="16"/>
  <c r="R369" i="16"/>
  <c r="J369" i="16"/>
  <c r="B369" i="16"/>
  <c r="S368" i="16"/>
  <c r="K368" i="16"/>
  <c r="C368" i="16"/>
  <c r="T367" i="16"/>
  <c r="L367" i="16"/>
  <c r="D367" i="16"/>
  <c r="U366" i="16"/>
  <c r="M366" i="16"/>
  <c r="E366" i="16"/>
  <c r="V365" i="16"/>
  <c r="N365" i="16"/>
  <c r="F365" i="16"/>
  <c r="W364" i="16"/>
  <c r="O364" i="16"/>
  <c r="G364" i="16"/>
  <c r="X363" i="16"/>
  <c r="P363" i="16"/>
  <c r="H363" i="16"/>
  <c r="Y362" i="16"/>
  <c r="Q362" i="16"/>
  <c r="I362" i="16"/>
  <c r="A362" i="16"/>
  <c r="R361" i="16"/>
  <c r="J361" i="16"/>
  <c r="B361" i="16"/>
  <c r="S360" i="16"/>
  <c r="K360" i="16"/>
  <c r="C360" i="16"/>
  <c r="T359" i="16"/>
  <c r="L359" i="16"/>
  <c r="D359" i="16"/>
  <c r="U358" i="16"/>
  <c r="M358" i="16"/>
  <c r="E358" i="16"/>
  <c r="V357" i="16"/>
  <c r="N357" i="16"/>
  <c r="F357" i="16"/>
  <c r="W356" i="16"/>
  <c r="O356" i="16"/>
  <c r="G356" i="16"/>
  <c r="X355" i="16"/>
  <c r="P355" i="16"/>
  <c r="H355" i="16"/>
  <c r="Y354" i="16"/>
  <c r="Q354" i="16"/>
  <c r="I354" i="16"/>
  <c r="A354" i="16"/>
  <c r="R353" i="16"/>
  <c r="J353" i="16"/>
  <c r="B353" i="16"/>
  <c r="S352" i="16"/>
  <c r="K352" i="16"/>
  <c r="C352" i="16"/>
  <c r="T351" i="16"/>
  <c r="L351" i="16"/>
  <c r="D351" i="16"/>
  <c r="U350" i="16"/>
  <c r="M350" i="16"/>
  <c r="E350" i="16"/>
  <c r="V349" i="16"/>
  <c r="N349" i="16"/>
  <c r="F349" i="16"/>
  <c r="W348" i="16"/>
  <c r="O348" i="16"/>
  <c r="G348" i="16"/>
  <c r="X347" i="16"/>
  <c r="P347" i="16"/>
  <c r="H347" i="16"/>
  <c r="Y346" i="16"/>
  <c r="Q346" i="16"/>
  <c r="I346" i="16"/>
  <c r="A346" i="16"/>
  <c r="R345" i="16"/>
  <c r="J345" i="16"/>
  <c r="B345" i="16"/>
  <c r="S344" i="16"/>
  <c r="K344" i="16"/>
  <c r="C344" i="16"/>
  <c r="T343" i="16"/>
  <c r="L343" i="16"/>
  <c r="D343" i="16"/>
  <c r="U342" i="16"/>
  <c r="M342" i="16"/>
  <c r="E342" i="16"/>
  <c r="V341" i="16"/>
  <c r="N341" i="16"/>
  <c r="F341" i="16"/>
  <c r="W340" i="16"/>
  <c r="O340" i="16"/>
  <c r="G340" i="16"/>
  <c r="X339" i="16"/>
  <c r="P339" i="16"/>
  <c r="H339" i="16"/>
  <c r="Y338" i="16"/>
  <c r="Q338" i="16"/>
  <c r="I338" i="16"/>
  <c r="A338" i="16"/>
  <c r="R337" i="16"/>
  <c r="J337" i="16"/>
  <c r="B337" i="16"/>
  <c r="S336" i="16"/>
  <c r="K336" i="16"/>
  <c r="C336" i="16"/>
  <c r="T335" i="16"/>
  <c r="L335" i="16"/>
  <c r="D335" i="16"/>
  <c r="U334" i="16"/>
  <c r="M334" i="16"/>
  <c r="E334" i="16"/>
  <c r="V333" i="16"/>
  <c r="N333" i="16"/>
  <c r="F333" i="16"/>
  <c r="W332" i="16"/>
  <c r="O332" i="16"/>
  <c r="G332" i="16"/>
  <c r="X331" i="16"/>
  <c r="P331" i="16"/>
  <c r="H331" i="16"/>
  <c r="Y330" i="16"/>
  <c r="Q330" i="16"/>
  <c r="I330" i="16"/>
  <c r="A330" i="16"/>
  <c r="R329" i="16"/>
  <c r="J329" i="16"/>
  <c r="B329" i="16"/>
  <c r="S328" i="16"/>
  <c r="K328" i="16"/>
  <c r="C328" i="16"/>
  <c r="T327" i="16"/>
  <c r="L327" i="16"/>
  <c r="D327" i="16"/>
  <c r="U326" i="16"/>
  <c r="M326" i="16"/>
  <c r="E326" i="16"/>
  <c r="V325" i="16"/>
  <c r="N325" i="16"/>
  <c r="F325" i="16"/>
  <c r="W324" i="16"/>
  <c r="O324" i="16"/>
  <c r="G324" i="16"/>
  <c r="X323" i="16"/>
  <c r="P323" i="16"/>
  <c r="H323" i="16"/>
  <c r="Y322" i="16"/>
  <c r="Q322" i="16"/>
  <c r="I322" i="16"/>
  <c r="A322" i="16"/>
  <c r="R321" i="16"/>
  <c r="J321" i="16"/>
  <c r="B321" i="16"/>
  <c r="S320" i="16"/>
  <c r="K320" i="16"/>
  <c r="C320" i="16"/>
  <c r="T319" i="16"/>
  <c r="L319" i="16"/>
  <c r="D319" i="16"/>
  <c r="U318" i="16"/>
  <c r="M318" i="16"/>
  <c r="E318" i="16"/>
  <c r="V317" i="16"/>
  <c r="N317" i="16"/>
  <c r="F317" i="16"/>
  <c r="W316" i="16"/>
  <c r="O316" i="16"/>
  <c r="G316" i="16"/>
  <c r="X315" i="16"/>
  <c r="P315" i="16"/>
  <c r="H315" i="16"/>
  <c r="Y314" i="16"/>
  <c r="Q314" i="16"/>
  <c r="I314" i="16"/>
  <c r="A314" i="16"/>
  <c r="R313" i="16"/>
  <c r="J313" i="16"/>
  <c r="B313" i="16"/>
  <c r="S312" i="16"/>
  <c r="K312" i="16"/>
  <c r="C312" i="16"/>
  <c r="T311" i="16"/>
  <c r="L311" i="16"/>
  <c r="D311" i="16"/>
  <c r="U310" i="16"/>
  <c r="M310" i="16"/>
  <c r="E310" i="16"/>
  <c r="V309" i="16"/>
  <c r="N309" i="16"/>
  <c r="F309" i="16"/>
  <c r="W308" i="16"/>
  <c r="O308" i="16"/>
  <c r="G308" i="16"/>
  <c r="X307" i="16"/>
  <c r="P307" i="16"/>
  <c r="H307" i="16"/>
  <c r="Y306" i="16"/>
  <c r="Q306" i="16"/>
  <c r="I306" i="16"/>
  <c r="A306" i="16"/>
  <c r="R305" i="16"/>
  <c r="J305" i="16"/>
  <c r="B305" i="16"/>
  <c r="S304" i="16"/>
  <c r="K304" i="16"/>
  <c r="C304" i="16"/>
  <c r="T303" i="16"/>
  <c r="L303" i="16"/>
  <c r="D303" i="16"/>
  <c r="U302" i="16"/>
  <c r="M302" i="16"/>
  <c r="E302" i="16"/>
  <c r="V301" i="16"/>
  <c r="N301" i="16"/>
  <c r="F301" i="16"/>
  <c r="W300" i="16"/>
  <c r="O300" i="16"/>
  <c r="G300" i="16"/>
  <c r="X299" i="16"/>
  <c r="P299" i="16"/>
  <c r="H299" i="16"/>
  <c r="Y298" i="16"/>
  <c r="Q298" i="16"/>
  <c r="I298" i="16"/>
  <c r="A298" i="16"/>
  <c r="R297" i="16"/>
  <c r="J297" i="16"/>
  <c r="B297" i="16"/>
  <c r="S296" i="16"/>
  <c r="K296" i="16"/>
  <c r="C296" i="16"/>
  <c r="T295" i="16"/>
  <c r="L295" i="16"/>
  <c r="D295" i="16"/>
  <c r="U294" i="16"/>
  <c r="M294" i="16"/>
  <c r="E294" i="16"/>
  <c r="V293" i="16"/>
  <c r="N293" i="16"/>
  <c r="F293" i="16"/>
  <c r="W292" i="16"/>
  <c r="O292" i="16"/>
  <c r="G292" i="16"/>
  <c r="X291" i="16"/>
  <c r="P291" i="16"/>
  <c r="H291" i="16"/>
  <c r="Y290" i="16"/>
  <c r="Q290" i="16"/>
  <c r="I290" i="16"/>
  <c r="A290" i="16"/>
  <c r="R289" i="16"/>
  <c r="J289" i="16"/>
  <c r="B289" i="16"/>
  <c r="S288" i="16"/>
  <c r="K288" i="16"/>
  <c r="C288" i="16"/>
  <c r="T287" i="16"/>
  <c r="L287" i="16"/>
  <c r="D287" i="16"/>
  <c r="U286" i="16"/>
  <c r="M286" i="16"/>
  <c r="E286" i="16"/>
  <c r="V285" i="16"/>
  <c r="N285" i="16"/>
  <c r="F285" i="16"/>
  <c r="W284" i="16"/>
  <c r="O284" i="16"/>
  <c r="G284" i="16"/>
  <c r="X283" i="16"/>
  <c r="P283" i="16"/>
  <c r="H283" i="16"/>
  <c r="Y282" i="16"/>
  <c r="Q282" i="16"/>
  <c r="I282" i="16"/>
  <c r="A282" i="16"/>
  <c r="R281" i="16"/>
  <c r="J281" i="16"/>
  <c r="B281" i="16"/>
  <c r="S280" i="16"/>
  <c r="K280" i="16"/>
  <c r="C280" i="16"/>
  <c r="T279" i="16"/>
  <c r="L279" i="16"/>
  <c r="D279" i="16"/>
  <c r="U278" i="16"/>
  <c r="M278" i="16"/>
  <c r="E278" i="16"/>
  <c r="V277" i="16"/>
  <c r="N277" i="16"/>
  <c r="F277" i="16"/>
  <c r="W276" i="16"/>
  <c r="O276" i="16"/>
  <c r="G276" i="16"/>
  <c r="X275" i="16"/>
  <c r="P275" i="16"/>
  <c r="H275" i="16"/>
  <c r="Y274" i="16"/>
  <c r="Q274" i="16"/>
  <c r="I274" i="16"/>
  <c r="A274" i="16"/>
  <c r="R273" i="16"/>
  <c r="J273" i="16"/>
  <c r="B273" i="16"/>
  <c r="S272" i="16"/>
  <c r="K272" i="16"/>
  <c r="C272" i="16"/>
  <c r="T271" i="16"/>
  <c r="L271" i="16"/>
  <c r="D271" i="16"/>
  <c r="U270" i="16"/>
  <c r="M270" i="16"/>
  <c r="E270" i="16"/>
  <c r="V269" i="16"/>
  <c r="N269" i="16"/>
  <c r="F269" i="16"/>
  <c r="W268" i="16"/>
  <c r="O268" i="16"/>
  <c r="G268" i="16"/>
  <c r="X267" i="16"/>
  <c r="P267" i="16"/>
  <c r="H267" i="16"/>
  <c r="Y266" i="16"/>
  <c r="Q266" i="16"/>
  <c r="I266" i="16"/>
  <c r="A266" i="16"/>
  <c r="R265" i="16"/>
  <c r="J265" i="16"/>
  <c r="B265" i="16"/>
  <c r="S264" i="16"/>
  <c r="K264" i="16"/>
  <c r="C264" i="16"/>
  <c r="T263" i="16"/>
  <c r="L263" i="16"/>
  <c r="D263" i="16"/>
  <c r="U262" i="16"/>
  <c r="M262" i="16"/>
  <c r="E262" i="16"/>
  <c r="V261" i="16"/>
  <c r="N261" i="16"/>
  <c r="F261" i="16"/>
  <c r="W260" i="16"/>
  <c r="O260" i="16"/>
  <c r="G260" i="16"/>
  <c r="X259" i="16"/>
  <c r="P259" i="16"/>
  <c r="H259" i="16"/>
  <c r="Y258" i="16"/>
  <c r="Q258" i="16"/>
  <c r="I258" i="16"/>
  <c r="A258" i="16"/>
  <c r="R257" i="16"/>
  <c r="J257" i="16"/>
  <c r="B257" i="16"/>
  <c r="S256" i="16"/>
  <c r="K256" i="16"/>
  <c r="C256" i="16"/>
  <c r="T255" i="16"/>
  <c r="L255" i="16"/>
  <c r="D255" i="16"/>
  <c r="U254" i="16"/>
  <c r="M254" i="16"/>
  <c r="E254" i="16"/>
  <c r="V253" i="16"/>
  <c r="N253" i="16"/>
  <c r="F253" i="16"/>
  <c r="W252" i="16"/>
  <c r="O252" i="16"/>
  <c r="G252" i="16"/>
  <c r="X251" i="16"/>
  <c r="P251" i="16"/>
  <c r="H251" i="16"/>
  <c r="Y250" i="16"/>
  <c r="Q250" i="16"/>
  <c r="I250" i="16"/>
  <c r="A250" i="16"/>
  <c r="R249" i="16"/>
  <c r="J249" i="16"/>
  <c r="B249" i="16"/>
  <c r="S248" i="16"/>
  <c r="K248" i="16"/>
  <c r="C248" i="16"/>
  <c r="T247" i="16"/>
  <c r="L247" i="16"/>
  <c r="D247" i="16"/>
  <c r="U246" i="16"/>
  <c r="M246" i="16"/>
  <c r="E246" i="16"/>
  <c r="V245" i="16"/>
  <c r="N245" i="16"/>
  <c r="F245" i="16"/>
  <c r="W244" i="16"/>
  <c r="O244" i="16"/>
  <c r="G244" i="16"/>
  <c r="X243" i="16"/>
  <c r="P243" i="16"/>
  <c r="H243" i="16"/>
  <c r="Y242" i="16"/>
  <c r="Q242" i="16"/>
  <c r="I242" i="16"/>
  <c r="A242" i="16"/>
  <c r="R241" i="16"/>
  <c r="J241" i="16"/>
  <c r="B241" i="16"/>
  <c r="S240" i="16"/>
  <c r="K240" i="16"/>
  <c r="C240" i="16"/>
  <c r="T239" i="16"/>
  <c r="L239" i="16"/>
  <c r="D239" i="16"/>
  <c r="U238" i="16"/>
  <c r="M238" i="16"/>
  <c r="E238" i="16"/>
  <c r="V237" i="16"/>
  <c r="N237" i="16"/>
  <c r="F237" i="16"/>
  <c r="W236" i="16"/>
  <c r="O236" i="16"/>
  <c r="G236" i="16"/>
  <c r="X235" i="16"/>
  <c r="P235" i="16"/>
  <c r="H235" i="16"/>
  <c r="Y234" i="16"/>
  <c r="Q234" i="16"/>
  <c r="I234" i="16"/>
  <c r="A234" i="16"/>
  <c r="R233" i="16"/>
  <c r="J233" i="16"/>
  <c r="B233" i="16"/>
  <c r="S232" i="16"/>
  <c r="K232" i="16"/>
  <c r="C232" i="16"/>
  <c r="T231" i="16"/>
  <c r="L231" i="16"/>
  <c r="D231" i="16"/>
  <c r="U230" i="16"/>
  <c r="M230" i="16"/>
  <c r="E230" i="16"/>
  <c r="V229" i="16"/>
  <c r="N229" i="16"/>
  <c r="F229" i="16"/>
  <c r="W228" i="16"/>
  <c r="O228" i="16"/>
  <c r="G228" i="16"/>
  <c r="X227" i="16"/>
  <c r="P227" i="16"/>
  <c r="H227" i="16"/>
  <c r="Y226" i="16"/>
  <c r="Q226" i="16"/>
  <c r="I226" i="16"/>
  <c r="A226" i="16"/>
  <c r="R225" i="16"/>
  <c r="J225" i="16"/>
  <c r="B225" i="16"/>
  <c r="S224" i="16"/>
  <c r="K224" i="16"/>
  <c r="C224" i="16"/>
  <c r="T223" i="16"/>
  <c r="L223" i="16"/>
  <c r="D223" i="16"/>
  <c r="U222" i="16"/>
  <c r="M222" i="16"/>
  <c r="E222" i="16"/>
  <c r="V221" i="16"/>
  <c r="Q221" i="16"/>
  <c r="L221" i="16"/>
  <c r="F221" i="16"/>
  <c r="A221" i="16"/>
  <c r="U220" i="16"/>
  <c r="O220" i="16"/>
  <c r="J220" i="16"/>
  <c r="E220" i="16"/>
  <c r="X219" i="16"/>
  <c r="S219" i="16"/>
  <c r="N219" i="16"/>
  <c r="H219" i="16"/>
  <c r="C219" i="16"/>
  <c r="W218" i="16"/>
  <c r="Q218" i="16"/>
  <c r="L218" i="16"/>
  <c r="G218" i="16"/>
  <c r="A218" i="16"/>
  <c r="U217" i="16"/>
  <c r="P217" i="16"/>
  <c r="J217" i="16"/>
  <c r="E217" i="16"/>
  <c r="Y216" i="16"/>
  <c r="S216" i="16"/>
  <c r="N216" i="16"/>
  <c r="I216" i="16"/>
  <c r="C216" i="16"/>
  <c r="W215" i="16"/>
  <c r="R215" i="16"/>
  <c r="L215" i="16"/>
  <c r="G215" i="16"/>
  <c r="B215" i="16"/>
  <c r="U214" i="16"/>
  <c r="P214" i="16"/>
  <c r="K214" i="16"/>
  <c r="E214" i="16"/>
  <c r="Y213" i="16"/>
  <c r="T213" i="16"/>
  <c r="N213" i="16"/>
  <c r="I213" i="16"/>
  <c r="D213" i="16"/>
  <c r="W212" i="16"/>
  <c r="R212" i="16"/>
  <c r="M212" i="16"/>
  <c r="G212" i="16"/>
  <c r="B212" i="16"/>
  <c r="V211" i="16"/>
  <c r="P211" i="16"/>
  <c r="K211" i="16"/>
  <c r="F211" i="16"/>
  <c r="Y210" i="16"/>
  <c r="T210" i="16"/>
  <c r="O210" i="16"/>
  <c r="I210" i="16"/>
  <c r="D210" i="16"/>
  <c r="X209" i="16"/>
  <c r="R209" i="16"/>
  <c r="M209" i="16"/>
  <c r="H209" i="16"/>
  <c r="B209" i="16"/>
  <c r="V208" i="16"/>
  <c r="Q208" i="16"/>
  <c r="K208" i="16"/>
  <c r="F208" i="16"/>
  <c r="A208" i="16"/>
  <c r="T207" i="16"/>
  <c r="O207" i="16"/>
  <c r="J207" i="16"/>
  <c r="D207" i="16"/>
  <c r="X206" i="16"/>
  <c r="S206" i="16"/>
  <c r="M206" i="16"/>
  <c r="H206" i="16"/>
  <c r="C206" i="16"/>
  <c r="V205" i="16"/>
  <c r="Q205" i="16"/>
  <c r="L205" i="16"/>
  <c r="F205" i="16"/>
  <c r="A205" i="16"/>
  <c r="U204" i="16"/>
  <c r="O204" i="16"/>
  <c r="J204" i="16"/>
  <c r="E204" i="16"/>
  <c r="X203" i="16"/>
  <c r="S203" i="16"/>
  <c r="N203" i="16"/>
  <c r="H203" i="16"/>
  <c r="C203" i="16"/>
  <c r="W202" i="16"/>
  <c r="Q202" i="16"/>
  <c r="L202" i="16"/>
  <c r="G202" i="16"/>
  <c r="A202" i="16"/>
  <c r="U201" i="16"/>
  <c r="P201" i="16"/>
  <c r="J201" i="16"/>
  <c r="E201" i="16"/>
  <c r="Y200" i="16"/>
  <c r="S200" i="16"/>
  <c r="N200" i="16"/>
  <c r="I200" i="16"/>
  <c r="C200" i="16"/>
  <c r="W199" i="16"/>
  <c r="R199" i="16"/>
  <c r="L199" i="16"/>
  <c r="G199" i="16"/>
  <c r="B199" i="16"/>
  <c r="U198" i="16"/>
  <c r="P198" i="16"/>
  <c r="K198" i="16"/>
  <c r="E198" i="16"/>
  <c r="Y197" i="16"/>
  <c r="T197" i="16"/>
  <c r="P197" i="16"/>
  <c r="L197" i="16"/>
  <c r="H197" i="16"/>
  <c r="D197" i="16"/>
  <c r="Y196" i="16"/>
  <c r="U196" i="16"/>
  <c r="Q196" i="16"/>
  <c r="M196" i="16"/>
  <c r="I196" i="16"/>
  <c r="E196" i="16"/>
  <c r="A196" i="16"/>
  <c r="V195" i="16"/>
  <c r="R195" i="16"/>
  <c r="N195" i="16"/>
  <c r="J195" i="16"/>
  <c r="F195" i="16"/>
  <c r="B195" i="16"/>
  <c r="W194" i="16"/>
  <c r="S194" i="16"/>
  <c r="O194" i="16"/>
  <c r="K194" i="16"/>
  <c r="G194" i="16"/>
  <c r="C194" i="16"/>
  <c r="X193" i="16"/>
  <c r="T193" i="16"/>
  <c r="P193" i="16"/>
  <c r="L193" i="16"/>
  <c r="H193" i="16"/>
  <c r="D193" i="16"/>
  <c r="Y192" i="16"/>
  <c r="U192" i="16"/>
  <c r="Q192" i="16"/>
  <c r="M192" i="16"/>
  <c r="I192" i="16"/>
  <c r="E192" i="16"/>
  <c r="A192" i="16"/>
  <c r="V191" i="16"/>
  <c r="R191" i="16"/>
  <c r="N191" i="16"/>
  <c r="J191" i="16"/>
  <c r="F191" i="16"/>
  <c r="B191" i="16"/>
  <c r="W190" i="16"/>
  <c r="S190" i="16"/>
  <c r="O190" i="16"/>
  <c r="K190" i="16"/>
  <c r="G190" i="16"/>
  <c r="C190" i="16"/>
  <c r="X189" i="16"/>
  <c r="T189" i="16"/>
  <c r="P189" i="16"/>
  <c r="L189" i="16"/>
  <c r="H189" i="16"/>
  <c r="D189" i="16"/>
  <c r="Y188" i="16"/>
  <c r="U188" i="16"/>
  <c r="Q188" i="16"/>
  <c r="M188" i="16"/>
  <c r="I188" i="16"/>
  <c r="E188" i="16"/>
  <c r="A188" i="16"/>
  <c r="V187" i="16"/>
  <c r="R187" i="16"/>
  <c r="N187" i="16"/>
  <c r="J187" i="16"/>
  <c r="F187" i="16"/>
  <c r="B187" i="16"/>
  <c r="W186" i="16"/>
  <c r="S186" i="16"/>
  <c r="O186" i="16"/>
  <c r="K186" i="16"/>
  <c r="G186" i="16"/>
  <c r="C186" i="16"/>
  <c r="X185" i="16"/>
  <c r="T185" i="16"/>
  <c r="P185" i="16"/>
  <c r="L185" i="16"/>
  <c r="H185" i="16"/>
  <c r="D185" i="16"/>
  <c r="Y184" i="16"/>
  <c r="U184" i="16"/>
  <c r="Q184" i="16"/>
  <c r="M184" i="16"/>
  <c r="I184" i="16"/>
  <c r="E184" i="16"/>
  <c r="A184" i="16"/>
  <c r="V183" i="16"/>
  <c r="R183" i="16"/>
  <c r="N183" i="16"/>
  <c r="J183" i="16"/>
  <c r="F183" i="16"/>
  <c r="B183" i="16"/>
  <c r="W182" i="16"/>
  <c r="S182" i="16"/>
  <c r="O182" i="16"/>
  <c r="K182" i="16"/>
  <c r="G182" i="16"/>
  <c r="C182" i="16"/>
  <c r="X181" i="16"/>
  <c r="T181" i="16"/>
  <c r="P181" i="16"/>
  <c r="L181" i="16"/>
  <c r="H181" i="16"/>
  <c r="D181" i="16"/>
  <c r="Y180" i="16"/>
  <c r="U180" i="16"/>
  <c r="Q180" i="16"/>
  <c r="M180" i="16"/>
  <c r="I180" i="16"/>
  <c r="E180" i="16"/>
  <c r="A180" i="16"/>
  <c r="V179" i="16"/>
  <c r="R179" i="16"/>
  <c r="N179" i="16"/>
  <c r="J179" i="16"/>
  <c r="F179" i="16"/>
  <c r="B179" i="16"/>
  <c r="W178" i="16"/>
  <c r="S178" i="16"/>
  <c r="O178" i="16"/>
  <c r="K178" i="16"/>
  <c r="G178" i="16"/>
  <c r="C178" i="16"/>
  <c r="X177" i="16"/>
  <c r="T177" i="16"/>
  <c r="P177" i="16"/>
  <c r="L177" i="16"/>
  <c r="H177" i="16"/>
  <c r="D177" i="16"/>
  <c r="Y176" i="16"/>
  <c r="U176" i="16"/>
  <c r="Q176" i="16"/>
  <c r="M176" i="16"/>
  <c r="I176" i="16"/>
  <c r="E176" i="16"/>
  <c r="A176" i="16"/>
  <c r="V175" i="16"/>
  <c r="R175" i="16"/>
  <c r="N175" i="16"/>
  <c r="J175" i="16"/>
  <c r="F175" i="16"/>
  <c r="B175" i="16"/>
  <c r="W174" i="16"/>
  <c r="S174" i="16"/>
  <c r="O174" i="16"/>
  <c r="K174" i="16"/>
  <c r="G174" i="16"/>
  <c r="C174" i="16"/>
  <c r="X173" i="16"/>
  <c r="T173" i="16"/>
  <c r="P173" i="16"/>
  <c r="L173" i="16"/>
  <c r="H173" i="16"/>
  <c r="D173" i="16"/>
  <c r="Y172" i="16"/>
  <c r="U172" i="16"/>
  <c r="Q172" i="16"/>
  <c r="M172" i="16"/>
  <c r="I172" i="16"/>
  <c r="E172" i="16"/>
  <c r="A172" i="16"/>
  <c r="V171" i="16"/>
  <c r="R171" i="16"/>
  <c r="N171" i="16"/>
  <c r="J171" i="16"/>
  <c r="F171" i="16"/>
  <c r="B171" i="16"/>
  <c r="W170" i="16"/>
  <c r="S170" i="16"/>
  <c r="O170" i="16"/>
  <c r="K170" i="16"/>
  <c r="G170" i="16"/>
  <c r="C170" i="16"/>
  <c r="X169" i="16"/>
  <c r="T169" i="16"/>
  <c r="P169" i="16"/>
  <c r="L169" i="16"/>
  <c r="H169" i="16"/>
  <c r="D169" i="16"/>
  <c r="Y168" i="16"/>
  <c r="U168" i="16"/>
  <c r="Q168" i="16"/>
  <c r="M168" i="16"/>
  <c r="I168" i="16"/>
  <c r="E168" i="16"/>
  <c r="A168" i="16"/>
  <c r="V167" i="16"/>
  <c r="R167" i="16"/>
  <c r="N167" i="16"/>
  <c r="J167" i="16"/>
  <c r="F167" i="16"/>
  <c r="B167" i="16"/>
  <c r="W166" i="16"/>
  <c r="S166" i="16"/>
  <c r="O166" i="16"/>
  <c r="K166" i="16"/>
  <c r="G166" i="16"/>
  <c r="C166" i="16"/>
  <c r="X165" i="16"/>
  <c r="T165" i="16"/>
  <c r="P165" i="16"/>
  <c r="L165" i="16"/>
  <c r="H165" i="16"/>
  <c r="D165" i="16"/>
  <c r="Y164" i="16"/>
  <c r="U164" i="16"/>
  <c r="Q164" i="16"/>
  <c r="M164" i="16"/>
  <c r="I164" i="16"/>
  <c r="E164" i="16"/>
  <c r="A164" i="16"/>
  <c r="V163" i="16"/>
  <c r="R163" i="16"/>
  <c r="N163" i="16"/>
  <c r="J163" i="16"/>
  <c r="F163" i="16"/>
  <c r="B163" i="16"/>
  <c r="W162" i="16"/>
  <c r="S162" i="16"/>
  <c r="O162" i="16"/>
  <c r="K162" i="16"/>
  <c r="G162" i="16"/>
  <c r="C162" i="16"/>
  <c r="X161" i="16"/>
  <c r="T161" i="16"/>
  <c r="P161" i="16"/>
  <c r="L161" i="16"/>
  <c r="H161" i="16"/>
  <c r="D161" i="16"/>
  <c r="Y160" i="16"/>
  <c r="U160" i="16"/>
  <c r="Q160" i="16"/>
  <c r="M160" i="16"/>
  <c r="I160" i="16"/>
  <c r="E160" i="16"/>
  <c r="A160" i="16"/>
  <c r="V159" i="16"/>
  <c r="R159" i="16"/>
  <c r="N159" i="16"/>
  <c r="J159" i="16"/>
  <c r="F159" i="16"/>
  <c r="B159" i="16"/>
  <c r="W158" i="16"/>
  <c r="S158" i="16"/>
  <c r="O158" i="16"/>
  <c r="K158" i="16"/>
  <c r="G158" i="16"/>
  <c r="C158" i="16"/>
  <c r="X157" i="16"/>
  <c r="T157" i="16"/>
  <c r="P157" i="16"/>
  <c r="L157" i="16"/>
  <c r="H157" i="16"/>
  <c r="D157" i="16"/>
  <c r="Y156" i="16"/>
  <c r="U156" i="16"/>
  <c r="Q156" i="16"/>
  <c r="M156" i="16"/>
  <c r="I156" i="16"/>
  <c r="E156" i="16"/>
  <c r="A156" i="16"/>
  <c r="V155" i="16"/>
  <c r="R155" i="16"/>
  <c r="N155" i="16"/>
  <c r="J155" i="16"/>
  <c r="F155" i="16"/>
  <c r="B155" i="16"/>
  <c r="W154" i="16"/>
  <c r="S154" i="16"/>
  <c r="O154" i="16"/>
  <c r="K154" i="16"/>
  <c r="G154" i="16"/>
  <c r="C154" i="16"/>
  <c r="X153" i="16"/>
  <c r="T153" i="16"/>
  <c r="P153" i="16"/>
  <c r="L153" i="16"/>
  <c r="H153" i="16"/>
  <c r="D153" i="16"/>
  <c r="Y152" i="16"/>
  <c r="U152" i="16"/>
  <c r="Q152" i="16"/>
  <c r="M152" i="16"/>
  <c r="I152" i="16"/>
  <c r="E152" i="16"/>
  <c r="A152" i="16"/>
  <c r="V151" i="16"/>
  <c r="R151" i="16"/>
  <c r="N151" i="16"/>
  <c r="J151" i="16"/>
  <c r="F151" i="16"/>
  <c r="B151" i="16"/>
  <c r="W150" i="16"/>
  <c r="S150" i="16"/>
  <c r="O150" i="16"/>
  <c r="K150" i="16"/>
  <c r="G150" i="16"/>
  <c r="C150" i="16"/>
  <c r="X149" i="16"/>
  <c r="T149" i="16"/>
  <c r="P149" i="16"/>
  <c r="L149" i="16"/>
  <c r="H149" i="16"/>
  <c r="D149" i="16"/>
  <c r="Y148" i="16"/>
  <c r="U148" i="16"/>
  <c r="Q148" i="16"/>
  <c r="M148" i="16"/>
  <c r="I148" i="16"/>
  <c r="E148" i="16"/>
  <c r="A148" i="16"/>
  <c r="V147" i="16"/>
  <c r="R147" i="16"/>
  <c r="N147" i="16"/>
  <c r="J147" i="16"/>
  <c r="F147" i="16"/>
  <c r="B147" i="16"/>
  <c r="W146" i="16"/>
  <c r="S146" i="16"/>
  <c r="O146" i="16"/>
  <c r="K146" i="16"/>
  <c r="G146" i="16"/>
  <c r="C146" i="16"/>
  <c r="X145" i="16"/>
  <c r="T145" i="16"/>
  <c r="P145" i="16"/>
  <c r="L145" i="16"/>
  <c r="H145" i="16"/>
  <c r="D145" i="16"/>
  <c r="Y144" i="16"/>
  <c r="U144" i="16"/>
  <c r="Q144" i="16"/>
  <c r="M144" i="16"/>
  <c r="I144" i="16"/>
  <c r="E144" i="16"/>
  <c r="A144" i="16"/>
  <c r="V143" i="16"/>
  <c r="R143" i="16"/>
  <c r="N143" i="16"/>
  <c r="J143" i="16"/>
  <c r="F143" i="16"/>
  <c r="B143" i="16"/>
  <c r="W142" i="16"/>
  <c r="S142" i="16"/>
  <c r="O142" i="16"/>
  <c r="K142" i="16"/>
  <c r="G142" i="16"/>
  <c r="C142" i="16"/>
  <c r="X141" i="16"/>
  <c r="T141" i="16"/>
  <c r="P141" i="16"/>
  <c r="L141" i="16"/>
  <c r="H141" i="16"/>
  <c r="D141" i="16"/>
  <c r="Y140" i="16"/>
  <c r="U140" i="16"/>
  <c r="Q140" i="16"/>
  <c r="M140" i="16"/>
  <c r="I140" i="16"/>
  <c r="E140" i="16"/>
  <c r="A140" i="16"/>
  <c r="V139" i="16"/>
  <c r="R139" i="16"/>
  <c r="N139" i="16"/>
  <c r="J139" i="16"/>
  <c r="F139" i="16"/>
  <c r="B139" i="16"/>
  <c r="W138" i="16"/>
  <c r="S138" i="16"/>
  <c r="O138" i="16"/>
  <c r="K138" i="16"/>
  <c r="G138" i="16"/>
  <c r="C138" i="16"/>
  <c r="X137" i="16"/>
  <c r="T137" i="16"/>
  <c r="P137" i="16"/>
  <c r="L137" i="16"/>
  <c r="H137" i="16"/>
  <c r="D137" i="16"/>
  <c r="Y136" i="16"/>
  <c r="U136" i="16"/>
  <c r="Q136" i="16"/>
  <c r="M136" i="16"/>
  <c r="I136" i="16"/>
  <c r="E136" i="16"/>
  <c r="A136" i="16"/>
  <c r="V135" i="16"/>
  <c r="R135" i="16"/>
  <c r="N135" i="16"/>
  <c r="J135" i="16"/>
  <c r="F135" i="16"/>
  <c r="B135" i="16"/>
  <c r="W134" i="16"/>
  <c r="S134" i="16"/>
  <c r="O134" i="16"/>
  <c r="K134" i="16"/>
  <c r="G134" i="16"/>
  <c r="C134" i="16"/>
  <c r="X133" i="16"/>
  <c r="T133" i="16"/>
  <c r="P133" i="16"/>
  <c r="L133" i="16"/>
  <c r="H133" i="16"/>
  <c r="D133" i="16"/>
  <c r="Y132" i="16"/>
  <c r="U132" i="16"/>
  <c r="Q132" i="16"/>
  <c r="M132" i="16"/>
  <c r="I132" i="16"/>
  <c r="E132" i="16"/>
  <c r="A132" i="16"/>
  <c r="V131" i="16"/>
  <c r="R131" i="16"/>
  <c r="N131" i="16"/>
  <c r="J131" i="16"/>
  <c r="F131" i="16"/>
  <c r="B131" i="16"/>
  <c r="W130" i="16"/>
  <c r="S130" i="16"/>
  <c r="O130" i="16"/>
  <c r="K130" i="16"/>
  <c r="G130" i="16"/>
  <c r="C130" i="16"/>
  <c r="X129" i="16"/>
  <c r="T129" i="16"/>
  <c r="P129" i="16"/>
  <c r="L129" i="16"/>
  <c r="H129" i="16"/>
  <c r="D129" i="16"/>
  <c r="Y128" i="16"/>
  <c r="U128" i="16"/>
  <c r="Q128" i="16"/>
  <c r="M128" i="16"/>
  <c r="I128" i="16"/>
  <c r="E128" i="16"/>
  <c r="A128" i="16"/>
  <c r="V127" i="16"/>
  <c r="R127" i="16"/>
  <c r="N127" i="16"/>
  <c r="J127" i="16"/>
  <c r="F127" i="16"/>
  <c r="B127" i="16"/>
  <c r="W126" i="16"/>
  <c r="S126" i="16"/>
  <c r="O126" i="16"/>
  <c r="K126" i="16"/>
  <c r="G126" i="16"/>
  <c r="C126" i="16"/>
  <c r="X125" i="16"/>
  <c r="T125" i="16"/>
  <c r="P125" i="16"/>
  <c r="L125" i="16"/>
  <c r="H125" i="16"/>
  <c r="D125" i="16"/>
  <c r="Y124" i="16"/>
  <c r="U124" i="16"/>
  <c r="Q124" i="16"/>
  <c r="M124" i="16"/>
  <c r="I124" i="16"/>
  <c r="E124" i="16"/>
  <c r="A124" i="16"/>
  <c r="V123" i="16"/>
  <c r="R123" i="16"/>
  <c r="N123" i="16"/>
  <c r="J123" i="16"/>
  <c r="F123" i="16"/>
  <c r="B123" i="16"/>
  <c r="W122" i="16"/>
  <c r="S122" i="16"/>
  <c r="O122" i="16"/>
  <c r="K122" i="16"/>
  <c r="G122" i="16"/>
  <c r="C122" i="16"/>
  <c r="X121" i="16"/>
  <c r="T121" i="16"/>
  <c r="P121" i="16"/>
  <c r="L121" i="16"/>
  <c r="H121" i="16"/>
  <c r="D121" i="16"/>
  <c r="Y120" i="16"/>
  <c r="U120" i="16"/>
  <c r="Q120" i="16"/>
  <c r="M120" i="16"/>
  <c r="I120" i="16"/>
  <c r="E120" i="16"/>
  <c r="A120" i="16"/>
  <c r="V119" i="16"/>
  <c r="R119" i="16"/>
  <c r="N119" i="16"/>
  <c r="J119" i="16"/>
  <c r="F119" i="16"/>
  <c r="B119" i="16"/>
  <c r="W118" i="16"/>
  <c r="S118" i="16"/>
  <c r="O118" i="16"/>
  <c r="K118" i="16"/>
  <c r="G118" i="16"/>
  <c r="C118" i="16"/>
  <c r="X117" i="16"/>
  <c r="T117" i="16"/>
  <c r="P117" i="16"/>
  <c r="L117" i="16"/>
  <c r="H117" i="16"/>
  <c r="D117" i="16"/>
  <c r="Y116" i="16"/>
  <c r="U116" i="16"/>
  <c r="Q116" i="16"/>
  <c r="M116" i="16"/>
  <c r="I116" i="16"/>
  <c r="E116" i="16"/>
  <c r="A116" i="16"/>
  <c r="V115" i="16"/>
  <c r="R115" i="16"/>
  <c r="N115" i="16"/>
  <c r="J115" i="16"/>
  <c r="F115" i="16"/>
  <c r="B115" i="16"/>
  <c r="W114" i="16"/>
  <c r="S114" i="16"/>
  <c r="O114" i="16"/>
  <c r="K114" i="16"/>
  <c r="G114" i="16"/>
  <c r="C114" i="16"/>
  <c r="X113" i="16"/>
  <c r="T113" i="16"/>
  <c r="P113" i="16"/>
  <c r="L113" i="16"/>
  <c r="H113" i="16"/>
  <c r="D113" i="16"/>
  <c r="Y112" i="16"/>
  <c r="U112" i="16"/>
  <c r="Q112" i="16"/>
  <c r="M112" i="16"/>
  <c r="I112" i="16"/>
  <c r="E112" i="16"/>
  <c r="A112" i="16"/>
  <c r="V111" i="16"/>
  <c r="R111" i="16"/>
  <c r="N111" i="16"/>
  <c r="J111" i="16"/>
  <c r="F111" i="16"/>
  <c r="B111" i="16"/>
  <c r="W110" i="16"/>
  <c r="S110" i="16"/>
  <c r="O110" i="16"/>
  <c r="K110" i="16"/>
  <c r="G110" i="16"/>
  <c r="C110" i="16"/>
  <c r="X109" i="16"/>
  <c r="T109" i="16"/>
  <c r="P109" i="16"/>
  <c r="L109" i="16"/>
  <c r="H109" i="16"/>
  <c r="D109" i="16"/>
  <c r="Y108" i="16"/>
  <c r="U108" i="16"/>
  <c r="Q108" i="16"/>
  <c r="M108" i="16"/>
  <c r="I108" i="16"/>
  <c r="E108" i="16"/>
  <c r="A108" i="16"/>
  <c r="V107" i="16"/>
  <c r="R107" i="16"/>
  <c r="N107" i="16"/>
  <c r="J107" i="16"/>
  <c r="F107" i="16"/>
  <c r="B107" i="16"/>
  <c r="W106" i="16"/>
  <c r="S106" i="16"/>
  <c r="O106" i="16"/>
  <c r="K106" i="16"/>
  <c r="G106" i="16"/>
  <c r="C106" i="16"/>
  <c r="X105" i="16"/>
  <c r="T105" i="16"/>
  <c r="P105" i="16"/>
  <c r="L105" i="16"/>
  <c r="H105" i="16"/>
  <c r="D105" i="16"/>
  <c r="Y104" i="16"/>
  <c r="U104" i="16"/>
  <c r="Q104" i="16"/>
  <c r="M104" i="16"/>
  <c r="I104" i="16"/>
  <c r="E104" i="16"/>
  <c r="A104" i="16"/>
  <c r="V103" i="16"/>
  <c r="R103" i="16"/>
  <c r="N103" i="16"/>
  <c r="J103" i="16"/>
  <c r="F103" i="16"/>
  <c r="B103" i="16"/>
  <c r="W102" i="16"/>
  <c r="S102" i="16"/>
  <c r="O102" i="16"/>
  <c r="K102" i="16"/>
  <c r="G102" i="16"/>
  <c r="C102" i="16"/>
  <c r="X101" i="16"/>
  <c r="T101" i="16"/>
  <c r="P101" i="16"/>
  <c r="L101" i="16"/>
  <c r="H101" i="16"/>
  <c r="D101" i="16"/>
  <c r="Y100" i="16"/>
  <c r="U100" i="16"/>
  <c r="Q100" i="16"/>
  <c r="M100" i="16"/>
  <c r="I100" i="16"/>
  <c r="E100" i="16"/>
  <c r="A100" i="16"/>
  <c r="V99" i="16"/>
  <c r="R99" i="16"/>
  <c r="N99" i="16"/>
  <c r="J99" i="16"/>
  <c r="F99" i="16"/>
  <c r="B99" i="16"/>
  <c r="W98" i="16"/>
  <c r="S98" i="16"/>
  <c r="O98" i="16"/>
  <c r="K98" i="16"/>
  <c r="G98" i="16"/>
  <c r="C98" i="16"/>
  <c r="X97" i="16"/>
  <c r="T97" i="16"/>
  <c r="P97" i="16"/>
  <c r="L97" i="16"/>
  <c r="H97" i="16"/>
  <c r="D97" i="16"/>
  <c r="Y96" i="16"/>
  <c r="U96" i="16"/>
  <c r="Q96" i="16"/>
  <c r="M96" i="16"/>
  <c r="I96" i="16"/>
  <c r="E96" i="16"/>
  <c r="A96" i="16"/>
  <c r="V95" i="16"/>
  <c r="R95" i="16"/>
  <c r="N95" i="16"/>
  <c r="J95" i="16"/>
  <c r="F95" i="16"/>
  <c r="B95" i="16"/>
  <c r="W94" i="16"/>
  <c r="S94" i="16"/>
  <c r="O94" i="16"/>
  <c r="K94" i="16"/>
  <c r="G94" i="16"/>
  <c r="C94" i="16"/>
  <c r="X93" i="16"/>
  <c r="T93" i="16"/>
  <c r="P93" i="16"/>
  <c r="L93" i="16"/>
  <c r="H93" i="16"/>
  <c r="D93" i="16"/>
  <c r="Y92" i="16"/>
  <c r="U92" i="16"/>
  <c r="Q92" i="16"/>
  <c r="M92" i="16"/>
  <c r="I92" i="16"/>
  <c r="E92" i="16"/>
  <c r="A92" i="16"/>
  <c r="V91" i="16"/>
  <c r="R91" i="16"/>
  <c r="N91" i="16"/>
  <c r="J91" i="16"/>
  <c r="F91" i="16"/>
  <c r="B91" i="16"/>
  <c r="W90" i="16"/>
  <c r="S90" i="16"/>
  <c r="O90" i="16"/>
  <c r="K90" i="16"/>
  <c r="G90" i="16"/>
  <c r="C90" i="16"/>
  <c r="X89" i="16"/>
  <c r="T89" i="16"/>
  <c r="P89" i="16"/>
  <c r="L89" i="16"/>
  <c r="H89" i="16"/>
  <c r="D89" i="16"/>
  <c r="Y88" i="16"/>
  <c r="U88" i="16"/>
  <c r="Q88" i="16"/>
  <c r="M88" i="16"/>
  <c r="I88" i="16"/>
  <c r="E88" i="16"/>
  <c r="A88" i="16"/>
  <c r="V87" i="16"/>
  <c r="R87" i="16"/>
  <c r="N87" i="16"/>
  <c r="J87" i="16"/>
  <c r="F87" i="16"/>
  <c r="B87" i="16"/>
  <c r="W86" i="16"/>
  <c r="S86" i="16"/>
  <c r="O86" i="16"/>
  <c r="K86" i="16"/>
  <c r="G86" i="16"/>
  <c r="C86" i="16"/>
  <c r="X85" i="16"/>
  <c r="T85" i="16"/>
  <c r="P85" i="16"/>
  <c r="L85" i="16"/>
  <c r="H85" i="16"/>
  <c r="D85" i="16"/>
  <c r="Y84" i="16"/>
  <c r="U84" i="16"/>
  <c r="Q84" i="16"/>
  <c r="M84" i="16"/>
  <c r="I84" i="16"/>
  <c r="E84" i="16"/>
  <c r="A84" i="16"/>
  <c r="V83" i="16"/>
  <c r="R83" i="16"/>
  <c r="N83" i="16"/>
  <c r="J83" i="16"/>
  <c r="F83" i="16"/>
  <c r="B83" i="16"/>
  <c r="W82" i="16"/>
  <c r="S82" i="16"/>
  <c r="O82" i="16"/>
  <c r="K82" i="16"/>
  <c r="G82" i="16"/>
  <c r="C82" i="16"/>
  <c r="X81" i="16"/>
  <c r="T81" i="16"/>
  <c r="P81" i="16"/>
  <c r="L81" i="16"/>
  <c r="H81" i="16"/>
  <c r="D81" i="16"/>
  <c r="Y80" i="16"/>
  <c r="U80" i="16"/>
  <c r="Q80" i="16"/>
  <c r="M80" i="16"/>
  <c r="I80" i="16"/>
  <c r="E80" i="16"/>
  <c r="A80" i="16"/>
  <c r="V79" i="16"/>
  <c r="R79" i="16"/>
  <c r="N79" i="16"/>
  <c r="J79" i="16"/>
  <c r="F79" i="16"/>
  <c r="B79" i="16"/>
  <c r="W78" i="16"/>
  <c r="S78" i="16"/>
  <c r="O78" i="16"/>
  <c r="K78" i="16"/>
  <c r="G78" i="16"/>
  <c r="C78" i="16"/>
  <c r="X77" i="16"/>
  <c r="T77" i="16"/>
  <c r="P77" i="16"/>
  <c r="L77" i="16"/>
  <c r="H77" i="16"/>
  <c r="D77" i="16"/>
  <c r="Y76" i="16"/>
  <c r="U76" i="16"/>
  <c r="Q76" i="16"/>
  <c r="M76" i="16"/>
  <c r="I76" i="16"/>
  <c r="E76" i="16"/>
  <c r="A76" i="16"/>
  <c r="V75" i="16"/>
  <c r="R75" i="16"/>
  <c r="N75" i="16"/>
  <c r="J75" i="16"/>
  <c r="F75" i="16"/>
  <c r="B75" i="16"/>
  <c r="W74" i="16"/>
  <c r="S74" i="16"/>
  <c r="O74" i="16"/>
  <c r="K74" i="16"/>
  <c r="G74" i="16"/>
  <c r="C74" i="16"/>
  <c r="X73" i="16"/>
  <c r="T73" i="16"/>
  <c r="P73" i="16"/>
  <c r="L73" i="16"/>
  <c r="H73" i="16"/>
  <c r="D73" i="16"/>
  <c r="Y72" i="16"/>
  <c r="U72" i="16"/>
  <c r="Q72" i="16"/>
  <c r="M72" i="16"/>
  <c r="I72" i="16"/>
  <c r="E72" i="16"/>
  <c r="A72" i="16"/>
  <c r="V71" i="16"/>
  <c r="R71" i="16"/>
  <c r="N71" i="16"/>
  <c r="J71" i="16"/>
  <c r="F71" i="16"/>
  <c r="B71" i="16"/>
  <c r="W70" i="16"/>
  <c r="S70" i="16"/>
  <c r="O70" i="16"/>
  <c r="K70" i="16"/>
  <c r="G70" i="16"/>
  <c r="C70" i="16"/>
  <c r="X69" i="16"/>
  <c r="T69" i="16"/>
  <c r="P69" i="16"/>
  <c r="L69" i="16"/>
  <c r="H69" i="16"/>
  <c r="D69" i="16"/>
  <c r="Y68" i="16"/>
  <c r="U68" i="16"/>
  <c r="Q68" i="16"/>
  <c r="M68" i="16"/>
  <c r="I68" i="16"/>
  <c r="E68" i="16"/>
  <c r="A68" i="16"/>
  <c r="V67" i="16"/>
  <c r="R67" i="16"/>
  <c r="N67" i="16"/>
  <c r="J67" i="16"/>
  <c r="F67" i="16"/>
  <c r="B67" i="16"/>
  <c r="W66" i="16"/>
  <c r="S66" i="16"/>
  <c r="O66" i="16"/>
  <c r="K66" i="16"/>
  <c r="G66" i="16"/>
  <c r="C66" i="16"/>
  <c r="X65" i="16"/>
  <c r="T65" i="16"/>
  <c r="P65" i="16"/>
  <c r="L65" i="16"/>
  <c r="H65" i="16"/>
  <c r="D65" i="16"/>
  <c r="Y64" i="16"/>
  <c r="U64" i="16"/>
  <c r="Q64" i="16"/>
  <c r="M64" i="16"/>
  <c r="I64" i="16"/>
  <c r="E64" i="16"/>
  <c r="A64" i="16"/>
  <c r="V63" i="16"/>
  <c r="R63" i="16"/>
  <c r="N63" i="16"/>
  <c r="J63" i="16"/>
  <c r="F63" i="16"/>
  <c r="B63" i="16"/>
  <c r="W62" i="16"/>
  <c r="S62" i="16"/>
  <c r="O62" i="16"/>
  <c r="K62" i="16"/>
  <c r="G62" i="16"/>
  <c r="C62" i="16"/>
  <c r="X61" i="16"/>
  <c r="T61" i="16"/>
  <c r="P61" i="16"/>
  <c r="L61" i="16"/>
  <c r="H61" i="16"/>
  <c r="D61" i="16"/>
  <c r="Y60" i="16"/>
  <c r="U60" i="16"/>
  <c r="Q60" i="16"/>
  <c r="M60" i="16"/>
  <c r="I60" i="16"/>
  <c r="E60" i="16"/>
  <c r="A60" i="16"/>
  <c r="V59" i="16"/>
  <c r="R59" i="16"/>
  <c r="N59" i="16"/>
  <c r="J59" i="16"/>
  <c r="F59" i="16"/>
  <c r="B59" i="16"/>
  <c r="W58" i="16"/>
  <c r="S58" i="16"/>
  <c r="O58" i="16"/>
  <c r="K58" i="16"/>
  <c r="G58" i="16"/>
  <c r="C58" i="16"/>
  <c r="X57" i="16"/>
  <c r="T57" i="16"/>
  <c r="P57" i="16"/>
  <c r="L57" i="16"/>
  <c r="H57" i="16"/>
  <c r="D57" i="16"/>
  <c r="Y56" i="16"/>
  <c r="U56" i="16"/>
  <c r="Q56" i="16"/>
  <c r="M56" i="16"/>
  <c r="I56" i="16"/>
  <c r="E56" i="16"/>
  <c r="A56" i="16"/>
  <c r="V55" i="16"/>
  <c r="R55" i="16"/>
  <c r="N55" i="16"/>
  <c r="J55" i="16"/>
  <c r="F55" i="16"/>
  <c r="B55" i="16"/>
  <c r="W54" i="16"/>
  <c r="S54" i="16"/>
  <c r="O54" i="16"/>
  <c r="K54" i="16"/>
  <c r="G54" i="16"/>
  <c r="C54" i="16"/>
  <c r="X53" i="16"/>
  <c r="T53" i="16"/>
  <c r="P53" i="16"/>
  <c r="L53" i="16"/>
  <c r="H53" i="16"/>
  <c r="D53" i="16"/>
  <c r="Y52" i="16"/>
  <c r="U52" i="16"/>
  <c r="Q52" i="16"/>
  <c r="M52" i="16"/>
  <c r="I52" i="16"/>
  <c r="E52" i="16"/>
  <c r="A52" i="16"/>
  <c r="V51" i="16"/>
  <c r="R51" i="16"/>
  <c r="N51" i="16"/>
  <c r="J51" i="16"/>
  <c r="F51" i="16"/>
  <c r="B51" i="16"/>
  <c r="W50" i="16"/>
  <c r="S50" i="16"/>
  <c r="O50" i="16"/>
  <c r="K50" i="16"/>
  <c r="G50" i="16"/>
  <c r="C50" i="16"/>
  <c r="X49" i="16"/>
  <c r="T49" i="16"/>
  <c r="P49" i="16"/>
  <c r="L49" i="16"/>
  <c r="H49" i="16"/>
  <c r="D49" i="16"/>
  <c r="Y48" i="16"/>
  <c r="U48" i="16"/>
  <c r="Q48" i="16"/>
  <c r="M48" i="16"/>
  <c r="I48" i="16"/>
  <c r="E48" i="16"/>
  <c r="A48" i="16"/>
  <c r="V47" i="16"/>
  <c r="R47" i="16"/>
  <c r="N47" i="16"/>
  <c r="J47" i="16"/>
  <c r="F47" i="16"/>
  <c r="B47" i="16"/>
  <c r="W46" i="16"/>
  <c r="S46" i="16"/>
  <c r="O46" i="16"/>
  <c r="K46" i="16"/>
  <c r="G46" i="16"/>
  <c r="C46" i="16"/>
  <c r="X45" i="16"/>
  <c r="T45" i="16"/>
  <c r="P45" i="16"/>
  <c r="L45" i="16"/>
  <c r="H45" i="16"/>
  <c r="D45" i="16"/>
  <c r="Y44" i="16"/>
  <c r="U44" i="16"/>
  <c r="Q44" i="16"/>
  <c r="M44" i="16"/>
  <c r="I44" i="16"/>
  <c r="E44" i="16"/>
  <c r="A44" i="16"/>
  <c r="V43" i="16"/>
  <c r="R43" i="16"/>
  <c r="N43" i="16"/>
  <c r="J43" i="16"/>
  <c r="F43" i="16"/>
  <c r="B43" i="16"/>
  <c r="W42" i="16"/>
  <c r="S42" i="16"/>
  <c r="O42" i="16"/>
  <c r="K42" i="16"/>
  <c r="G42" i="16"/>
  <c r="C42" i="16"/>
  <c r="X41" i="16"/>
  <c r="T41" i="16"/>
  <c r="P41" i="16"/>
  <c r="L41" i="16"/>
  <c r="H41" i="16"/>
  <c r="D41" i="16"/>
  <c r="Y40" i="16"/>
  <c r="U40" i="16"/>
  <c r="Q40" i="16"/>
  <c r="M40" i="16"/>
  <c r="I40" i="16"/>
  <c r="E40" i="16"/>
  <c r="A40" i="16"/>
  <c r="V39" i="16"/>
  <c r="R39" i="16"/>
  <c r="N39" i="16"/>
  <c r="J39" i="16"/>
  <c r="F39" i="16"/>
  <c r="B39" i="16"/>
  <c r="W38" i="16"/>
  <c r="S38" i="16"/>
  <c r="O38" i="16"/>
  <c r="K38" i="16"/>
  <c r="G38" i="16"/>
  <c r="C38" i="16"/>
  <c r="X37" i="16"/>
  <c r="T37" i="16"/>
  <c r="P37" i="16"/>
  <c r="L37" i="16"/>
  <c r="H37" i="16"/>
  <c r="D37" i="16"/>
  <c r="Y36" i="16"/>
  <c r="U36" i="16"/>
  <c r="Q36" i="16"/>
  <c r="M36" i="16"/>
  <c r="I36" i="16"/>
  <c r="E36" i="16"/>
  <c r="A36" i="16"/>
  <c r="V35" i="16"/>
  <c r="R35" i="16"/>
  <c r="N35" i="16"/>
  <c r="J35" i="16"/>
  <c r="F35" i="16"/>
  <c r="B35" i="16"/>
  <c r="W34" i="16"/>
  <c r="S34" i="16"/>
  <c r="O34" i="16"/>
  <c r="K34" i="16"/>
  <c r="G34" i="16"/>
  <c r="C34" i="16"/>
  <c r="X33" i="16"/>
  <c r="T33" i="16"/>
  <c r="P33" i="16"/>
  <c r="L33" i="16"/>
  <c r="H33" i="16"/>
  <c r="D33" i="16"/>
  <c r="Y32" i="16"/>
  <c r="U32" i="16"/>
  <c r="Q32" i="16"/>
  <c r="M32" i="16"/>
  <c r="I32" i="16"/>
  <c r="E32" i="16"/>
  <c r="A32" i="16"/>
  <c r="V31" i="16"/>
  <c r="R31" i="16"/>
  <c r="N31" i="16"/>
  <c r="J31" i="16"/>
  <c r="F31" i="16"/>
  <c r="B31" i="16"/>
  <c r="W30" i="16"/>
  <c r="S30" i="16"/>
  <c r="O30" i="16"/>
  <c r="K30" i="16"/>
  <c r="G30" i="16"/>
  <c r="C30" i="16"/>
  <c r="X29" i="16"/>
  <c r="T29" i="16"/>
  <c r="P29" i="16"/>
  <c r="L29" i="16"/>
  <c r="H29" i="16"/>
  <c r="D29" i="16"/>
  <c r="Y28" i="16"/>
  <c r="U28" i="16"/>
  <c r="Q28" i="16"/>
  <c r="M28" i="16"/>
  <c r="I28" i="16"/>
  <c r="E28" i="16"/>
  <c r="A28" i="16"/>
  <c r="V27" i="16"/>
  <c r="R27" i="16"/>
  <c r="N27" i="16"/>
  <c r="J27" i="16"/>
  <c r="F27" i="16"/>
  <c r="B27" i="16"/>
  <c r="W26" i="16"/>
  <c r="S26" i="16"/>
  <c r="O26" i="16"/>
  <c r="K26" i="16"/>
  <c r="G26" i="16"/>
  <c r="C26" i="16"/>
  <c r="X25" i="16"/>
  <c r="T25" i="16"/>
  <c r="P25" i="16"/>
  <c r="L25" i="16"/>
  <c r="H25" i="16"/>
  <c r="D25" i="16"/>
  <c r="Y24" i="16"/>
  <c r="U24" i="16"/>
  <c r="Q24" i="16"/>
  <c r="M24" i="16"/>
  <c r="I24" i="16"/>
  <c r="E24" i="16"/>
  <c r="A24" i="16"/>
  <c r="V23" i="16"/>
  <c r="R23" i="16"/>
  <c r="N23" i="16"/>
  <c r="J23" i="16"/>
  <c r="F23" i="16"/>
  <c r="B23" i="16"/>
  <c r="W22" i="16"/>
  <c r="S22" i="16"/>
  <c r="O22" i="16"/>
  <c r="K22" i="16"/>
  <c r="G22" i="16"/>
  <c r="C22" i="16"/>
  <c r="X21" i="16"/>
  <c r="T21" i="16"/>
  <c r="P21" i="16"/>
  <c r="L21" i="16"/>
  <c r="H21" i="16"/>
  <c r="D21" i="16"/>
  <c r="Y20" i="16"/>
  <c r="U20" i="16"/>
  <c r="Q20" i="16"/>
  <c r="M20" i="16"/>
  <c r="I20" i="16"/>
  <c r="E20" i="16"/>
  <c r="A20" i="16"/>
  <c r="V19" i="16"/>
  <c r="R19" i="16"/>
  <c r="N19" i="16"/>
  <c r="J19" i="16"/>
  <c r="F19" i="16"/>
  <c r="B19" i="16"/>
  <c r="W18" i="16"/>
  <c r="S18" i="16"/>
  <c r="O18" i="16"/>
  <c r="K18" i="16"/>
  <c r="G18" i="16"/>
  <c r="C18" i="16"/>
  <c r="X17" i="16"/>
  <c r="T17" i="16"/>
  <c r="P17" i="16"/>
  <c r="L17" i="16"/>
  <c r="H17" i="16"/>
  <c r="D17" i="16"/>
  <c r="Y16" i="16"/>
  <c r="U16" i="16"/>
  <c r="Q16" i="16"/>
  <c r="M16" i="16"/>
  <c r="I16" i="16"/>
  <c r="E16" i="16"/>
  <c r="A16" i="16"/>
  <c r="V15" i="16"/>
  <c r="R15" i="16"/>
  <c r="N15" i="16"/>
  <c r="J15" i="16"/>
  <c r="F15" i="16"/>
  <c r="B15" i="16"/>
  <c r="W14" i="16"/>
  <c r="S14" i="16"/>
  <c r="O14" i="16"/>
  <c r="K14" i="16"/>
  <c r="G14" i="16"/>
  <c r="C14" i="16"/>
  <c r="X13" i="16"/>
  <c r="T13" i="16"/>
  <c r="P13" i="16"/>
  <c r="L13" i="16"/>
  <c r="H13" i="16"/>
  <c r="D13" i="16"/>
  <c r="Y12" i="16"/>
  <c r="U12" i="16"/>
  <c r="Q12" i="16"/>
  <c r="M12" i="16"/>
  <c r="I12" i="16"/>
  <c r="E12" i="16"/>
  <c r="A12" i="16"/>
  <c r="V11" i="16"/>
  <c r="R11" i="16"/>
  <c r="N11" i="16"/>
  <c r="J11" i="16"/>
  <c r="F11" i="16"/>
  <c r="B11" i="16"/>
  <c r="W10" i="16"/>
  <c r="S10" i="16"/>
  <c r="O10" i="16"/>
  <c r="K10" i="16"/>
  <c r="G10" i="16"/>
  <c r="C10" i="16"/>
  <c r="X9" i="16"/>
  <c r="T9" i="16"/>
  <c r="P9" i="16"/>
  <c r="L9" i="16"/>
  <c r="H9" i="16"/>
  <c r="D9" i="16"/>
  <c r="Y8" i="16"/>
  <c r="U8" i="16"/>
  <c r="Q8" i="16"/>
  <c r="M8" i="16"/>
  <c r="I8" i="16"/>
  <c r="E8" i="16"/>
  <c r="A8" i="16"/>
  <c r="V7" i="16"/>
  <c r="R7" i="16"/>
  <c r="N7" i="16"/>
  <c r="J7" i="16"/>
  <c r="F7" i="16"/>
  <c r="B7" i="16"/>
  <c r="W6" i="16"/>
  <c r="S6" i="16"/>
  <c r="O6" i="16"/>
  <c r="K6" i="16"/>
  <c r="G6" i="16"/>
  <c r="C6" i="16"/>
  <c r="X5" i="16"/>
  <c r="T5" i="16"/>
  <c r="P5" i="16"/>
  <c r="L5" i="16"/>
  <c r="H5" i="16"/>
  <c r="D5" i="16"/>
  <c r="Y4" i="16"/>
  <c r="U4" i="16"/>
  <c r="Q4" i="16"/>
  <c r="M4" i="16"/>
  <c r="I4" i="16"/>
  <c r="E4" i="16"/>
  <c r="A4" i="16"/>
  <c r="V3" i="16"/>
  <c r="R3" i="16"/>
  <c r="N3" i="16"/>
  <c r="J3" i="16"/>
  <c r="F3" i="16"/>
  <c r="B3" i="16"/>
  <c r="W2" i="16"/>
  <c r="S2" i="16"/>
  <c r="O2" i="16"/>
  <c r="K2" i="16"/>
  <c r="G2" i="16"/>
  <c r="C2" i="16"/>
  <c r="H15" i="16"/>
  <c r="Q14" i="16"/>
  <c r="I14" i="16"/>
  <c r="A14" i="16"/>
  <c r="R13" i="16"/>
  <c r="J13" i="16"/>
  <c r="B13" i="16"/>
  <c r="W12" i="16"/>
  <c r="O12" i="16"/>
  <c r="G12" i="16"/>
  <c r="X11" i="16"/>
  <c r="P11" i="16"/>
  <c r="H11" i="16"/>
  <c r="Y10" i="16"/>
  <c r="Q10" i="16"/>
  <c r="M10" i="16"/>
  <c r="E10" i="16"/>
  <c r="V9" i="16"/>
  <c r="N9" i="16"/>
  <c r="F9" i="16"/>
  <c r="W8" i="16"/>
  <c r="O8" i="16"/>
  <c r="K8" i="16"/>
  <c r="C8" i="16"/>
  <c r="T7" i="16"/>
  <c r="L7" i="16"/>
  <c r="D7" i="16"/>
  <c r="U6" i="16"/>
  <c r="M6" i="16"/>
  <c r="E6" i="16"/>
  <c r="V5" i="16"/>
  <c r="R5" i="16"/>
  <c r="J5" i="16"/>
  <c r="B5" i="16"/>
  <c r="S4" i="16"/>
  <c r="K4" i="16"/>
  <c r="C4" i="16"/>
  <c r="T3" i="16"/>
  <c r="L3" i="16"/>
  <c r="D3" i="16"/>
  <c r="Y2" i="16"/>
  <c r="Q2" i="16"/>
  <c r="I2" i="16"/>
  <c r="A2" i="16"/>
  <c r="D21" i="5"/>
  <c r="P6" i="11"/>
  <c r="P8" i="11" s="1"/>
  <c r="P6" i="9"/>
  <c r="P8" i="9" s="1"/>
  <c r="P6" i="7"/>
  <c r="P8" i="7" s="1"/>
  <c r="P6" i="5"/>
  <c r="P8" i="5" s="1"/>
  <c r="P6" i="12"/>
  <c r="P8" i="12" s="1"/>
  <c r="P6" i="10"/>
  <c r="P8" i="10" s="1"/>
  <c r="P6" i="8"/>
  <c r="P8" i="8" s="1"/>
  <c r="P6" i="6"/>
  <c r="P8" i="6" s="1"/>
  <c r="P6" i="4"/>
  <c r="P8" i="4" s="1"/>
  <c r="BC1079" i="13"/>
  <c r="C31" i="15"/>
  <c r="D21" i="8"/>
  <c r="D21" i="9"/>
  <c r="P6" i="15"/>
  <c r="P8" i="15" s="1"/>
  <c r="D21" i="11"/>
  <c r="D21" i="4"/>
  <c r="D21" i="6"/>
  <c r="D21" i="12"/>
  <c r="D31" i="8"/>
  <c r="D21" i="10"/>
  <c r="D21" i="7"/>
  <c r="T37" i="5"/>
  <c r="T34" i="5"/>
  <c r="S45" i="5" s="1"/>
  <c r="T34" i="8"/>
  <c r="S45" i="8" s="1"/>
  <c r="T37" i="8"/>
  <c r="I12" i="12"/>
  <c r="D33" i="12" a="1"/>
  <c r="D33" i="12" s="1"/>
  <c r="I12" i="10"/>
  <c r="D33" i="10" a="1"/>
  <c r="D33" i="10" s="1"/>
  <c r="I12" i="5"/>
  <c r="D33" i="5" a="1"/>
  <c r="D33" i="5" s="1"/>
  <c r="I12" i="6"/>
  <c r="D33" i="6" a="1"/>
  <c r="D33" i="6" s="1"/>
  <c r="T37" i="9"/>
  <c r="T34" i="9"/>
  <c r="S45" i="9" s="1"/>
  <c r="T34" i="11"/>
  <c r="S45" i="11" s="1"/>
  <c r="T37" i="11"/>
  <c r="T34" i="15"/>
  <c r="U26" i="15"/>
  <c r="T37" i="12"/>
  <c r="T34" i="12"/>
  <c r="S45" i="12" s="1"/>
  <c r="I12" i="9"/>
  <c r="D33" i="9" a="1"/>
  <c r="D33" i="9" s="1"/>
  <c r="T34" i="10"/>
  <c r="S45" i="10" s="1"/>
  <c r="T37" i="10"/>
  <c r="I12" i="15"/>
  <c r="D33" i="15" a="1"/>
  <c r="D33" i="15" s="1"/>
  <c r="I12" i="4"/>
  <c r="D33" i="4" a="1"/>
  <c r="D33" i="4" s="1"/>
  <c r="T37" i="4"/>
  <c r="T34" i="4"/>
  <c r="S45" i="4" s="1"/>
  <c r="T37" i="6"/>
  <c r="T34" i="6"/>
  <c r="S45" i="6" s="1"/>
  <c r="I12" i="8"/>
  <c r="D33" i="8" a="1"/>
  <c r="D33" i="8" s="1"/>
  <c r="I12" i="11"/>
  <c r="D33" i="11" a="1"/>
  <c r="D33" i="11" s="1"/>
  <c r="CO12" i="4" l="1"/>
  <c r="CN12" i="4"/>
  <c r="CQ12" i="4"/>
  <c r="CP12" i="4"/>
  <c r="G1100" i="13"/>
  <c r="E1108" i="13" s="1"/>
  <c r="R9" i="2" s="1"/>
  <c r="S9" i="2" s="1"/>
  <c r="T9" i="2" s="1"/>
  <c r="L10" i="3" s="1"/>
  <c r="M17" i="14" s="1"/>
  <c r="J1100" i="13"/>
  <c r="E1116" i="13" s="1"/>
  <c r="R17" i="2" s="1"/>
  <c r="N1100" i="13"/>
  <c r="E1107" i="13" s="1"/>
  <c r="I9" i="3" s="1"/>
  <c r="H2" i="2" s="1"/>
  <c r="E1100" i="13"/>
  <c r="E1105" i="13" s="1"/>
  <c r="K1100" i="13"/>
  <c r="R18" i="2" s="1"/>
  <c r="S18" i="2" s="1"/>
  <c r="T18" i="2" s="1"/>
  <c r="H1100" i="13"/>
  <c r="E1109" i="13" s="1"/>
  <c r="R10" i="2" s="1"/>
  <c r="S10" i="2" s="1"/>
  <c r="T10" i="2" s="1"/>
  <c r="L11" i="3" s="1"/>
  <c r="M18" i="14" s="1"/>
  <c r="I1100" i="13"/>
  <c r="M1100" i="13"/>
  <c r="E1106" i="13" s="1"/>
  <c r="I8" i="3" s="1"/>
  <c r="G2" i="2" s="1"/>
  <c r="G31" i="2" s="1"/>
  <c r="F1100" i="13"/>
  <c r="L1100" i="13"/>
  <c r="E1114" i="13" s="1"/>
  <c r="AP4" i="11"/>
  <c r="AP4" i="6"/>
  <c r="AP4" i="15"/>
  <c r="AP6" i="15" s="1"/>
  <c r="AP4" i="12"/>
  <c r="AP4" i="8"/>
  <c r="AP4" i="5"/>
  <c r="AP4" i="9"/>
  <c r="AP4" i="10"/>
  <c r="AP4" i="4"/>
  <c r="AP4" i="7"/>
  <c r="B35" i="5"/>
  <c r="BA1072" i="13"/>
  <c r="M27" i="14" s="1"/>
  <c r="BF1072" i="13"/>
  <c r="B35" i="8"/>
  <c r="B35" i="9"/>
  <c r="B35" i="10"/>
  <c r="B35" i="4"/>
  <c r="B35" i="12"/>
  <c r="B35" i="11"/>
  <c r="B35" i="6"/>
  <c r="B35" i="7"/>
  <c r="H12" i="15"/>
  <c r="P12" i="15"/>
  <c r="H12" i="9"/>
  <c r="CG12" i="9"/>
  <c r="H12" i="12"/>
  <c r="CG12" i="12"/>
  <c r="H12" i="5"/>
  <c r="CG12" i="5"/>
  <c r="P12" i="5"/>
  <c r="AV12" i="5" s="1"/>
  <c r="AU12" i="5" s="1"/>
  <c r="P12" i="12"/>
  <c r="AV12" i="12" s="1"/>
  <c r="AX12" i="12" s="1"/>
  <c r="AZ12" i="12" s="1"/>
  <c r="H12" i="10"/>
  <c r="CG12" i="10"/>
  <c r="H12" i="6"/>
  <c r="CG12" i="6"/>
  <c r="H12" i="4"/>
  <c r="CG12" i="4"/>
  <c r="H12" i="8"/>
  <c r="CG12" i="8"/>
  <c r="P12" i="8"/>
  <c r="AV12" i="8" s="1"/>
  <c r="AT12" i="8" s="1"/>
  <c r="AR12" i="8" s="1"/>
  <c r="P12" i="9"/>
  <c r="Q12" i="9" s="1"/>
  <c r="H12" i="11"/>
  <c r="CG12" i="11"/>
  <c r="CD12" i="11"/>
  <c r="CD12" i="8"/>
  <c r="CI12" i="4"/>
  <c r="CD12" i="4"/>
  <c r="BC12" i="6"/>
  <c r="BB12" i="6"/>
  <c r="AX12" i="6"/>
  <c r="AZ12" i="6" s="1"/>
  <c r="CD12" i="6"/>
  <c r="CD12" i="5"/>
  <c r="CD12" i="12"/>
  <c r="BC12" i="10"/>
  <c r="BB12" i="10"/>
  <c r="AX12" i="10"/>
  <c r="AZ12" i="10" s="1"/>
  <c r="CD12" i="10"/>
  <c r="CD12" i="9"/>
  <c r="Q12" i="10"/>
  <c r="R12" i="10" s="1"/>
  <c r="B35" i="15"/>
  <c r="AU12" i="11"/>
  <c r="AX12" i="11"/>
  <c r="AZ12" i="11" s="1"/>
  <c r="Q12" i="11"/>
  <c r="R12" i="11" s="1"/>
  <c r="AU12" i="6"/>
  <c r="AU12" i="10"/>
  <c r="Q12" i="6"/>
  <c r="R12" i="6" s="1"/>
  <c r="AV12" i="4"/>
  <c r="S45" i="15"/>
  <c r="S70" i="15"/>
  <c r="AT12" i="11"/>
  <c r="AR12" i="11" s="1"/>
  <c r="BC12" i="11"/>
  <c r="BB12" i="11"/>
  <c r="AT12" i="10"/>
  <c r="AR12" i="10" s="1"/>
  <c r="AT12" i="6"/>
  <c r="AR12" i="6" s="1"/>
  <c r="AB1" i="16"/>
  <c r="AC8" i="16"/>
  <c r="AB6" i="16"/>
  <c r="AB11" i="16" s="1"/>
  <c r="AB2" i="16"/>
  <c r="AB8" i="16"/>
  <c r="AC9" i="16"/>
  <c r="AB4" i="16"/>
  <c r="AC3" i="16"/>
  <c r="AC2" i="16"/>
  <c r="AC11" i="16"/>
  <c r="AB9" i="16"/>
  <c r="AB10" i="16" s="1"/>
  <c r="AB7" i="16"/>
  <c r="AC4" i="16"/>
  <c r="AC1" i="16"/>
  <c r="AC10" i="16"/>
  <c r="AB3" i="16"/>
  <c r="AC7" i="16"/>
  <c r="AC5" i="16"/>
  <c r="AB5" i="16"/>
  <c r="AC6" i="16"/>
  <c r="CO12" i="11" l="1"/>
  <c r="CN12" i="11"/>
  <c r="CQ12" i="11"/>
  <c r="CP12" i="11"/>
  <c r="CP12" i="6"/>
  <c r="CO12" i="6"/>
  <c r="CN12" i="6"/>
  <c r="CQ12" i="6"/>
  <c r="CP12" i="10"/>
  <c r="CN12" i="10"/>
  <c r="CO12" i="10"/>
  <c r="CQ12" i="10"/>
  <c r="CI12" i="9"/>
  <c r="R12" i="9"/>
  <c r="AQ6" i="15"/>
  <c r="AQ6" i="7"/>
  <c r="AP6" i="7"/>
  <c r="AP6" i="12"/>
  <c r="AQ6" i="12"/>
  <c r="AP6" i="8"/>
  <c r="AQ6" i="8"/>
  <c r="AP6" i="4"/>
  <c r="AQ6" i="4"/>
  <c r="AP6" i="10"/>
  <c r="AQ6" i="10"/>
  <c r="AP6" i="6"/>
  <c r="AQ6" i="6"/>
  <c r="AQ6" i="5"/>
  <c r="AP6" i="5"/>
  <c r="AP6" i="9"/>
  <c r="AQ6" i="9"/>
  <c r="AP6" i="11"/>
  <c r="AQ6" i="11"/>
  <c r="BC12" i="12"/>
  <c r="BC12" i="5"/>
  <c r="AT12" i="5"/>
  <c r="AR12" i="5" s="1"/>
  <c r="Q12" i="5"/>
  <c r="BB12" i="5"/>
  <c r="AX12" i="5"/>
  <c r="AZ12" i="5" s="1"/>
  <c r="BD12" i="5" s="1"/>
  <c r="BE12" i="5" s="1"/>
  <c r="BF12" i="5" s="1"/>
  <c r="E1113" i="13"/>
  <c r="R14" i="2" s="1"/>
  <c r="S14" i="2" s="1"/>
  <c r="T14" i="2" s="1"/>
  <c r="L15" i="3" s="1"/>
  <c r="M23" i="14" s="1"/>
  <c r="AT12" i="12"/>
  <c r="AR12" i="12" s="1"/>
  <c r="Q12" i="12"/>
  <c r="R12" i="12" s="1"/>
  <c r="BB12" i="12"/>
  <c r="AU12" i="12"/>
  <c r="AV12" i="9"/>
  <c r="BB12" i="9" s="1"/>
  <c r="AX12" i="8"/>
  <c r="AZ12" i="8" s="1"/>
  <c r="BD12" i="8" s="1"/>
  <c r="BE12" i="8" s="1"/>
  <c r="BF12" i="8" s="1"/>
  <c r="AV12" i="15"/>
  <c r="Q12" i="15"/>
  <c r="S17" i="2"/>
  <c r="T17" i="2" s="1"/>
  <c r="AU12" i="8"/>
  <c r="BC12" i="8"/>
  <c r="BB12" i="8"/>
  <c r="Q12" i="8"/>
  <c r="R12" i="8" s="1"/>
  <c r="E3" i="8"/>
  <c r="E3" i="15"/>
  <c r="E3" i="12"/>
  <c r="E3" i="6"/>
  <c r="E3" i="4"/>
  <c r="E3" i="9"/>
  <c r="E3" i="7"/>
  <c r="E3" i="10"/>
  <c r="E3" i="5"/>
  <c r="CI12" i="11"/>
  <c r="BD12" i="11"/>
  <c r="BE12" i="11" s="1"/>
  <c r="BF12" i="11" s="1"/>
  <c r="CA12" i="11"/>
  <c r="CB12" i="11"/>
  <c r="AX12" i="4"/>
  <c r="AZ12" i="4" s="1"/>
  <c r="BC12" i="4"/>
  <c r="BB12" i="4"/>
  <c r="CI12" i="6"/>
  <c r="BD12" i="6"/>
  <c r="BE12" i="6" s="1"/>
  <c r="BF12" i="6" s="1"/>
  <c r="CB12" i="6"/>
  <c r="CA12" i="6"/>
  <c r="BD12" i="12"/>
  <c r="BE12" i="12" s="1"/>
  <c r="BF12" i="12" s="1"/>
  <c r="CB12" i="12"/>
  <c r="CA12" i="12"/>
  <c r="CI12" i="10"/>
  <c r="BD12" i="10"/>
  <c r="BE12" i="10" s="1"/>
  <c r="BF12" i="10" s="1"/>
  <c r="CA12" i="10"/>
  <c r="CB12" i="10"/>
  <c r="AU12" i="4"/>
  <c r="AT12" i="4"/>
  <c r="AR12" i="4" s="1"/>
  <c r="F1110" i="13"/>
  <c r="E1110" i="13"/>
  <c r="E1111" i="13" s="1"/>
  <c r="R12" i="2" s="1"/>
  <c r="I10" i="3"/>
  <c r="I2" i="2" s="1"/>
  <c r="I7" i="3"/>
  <c r="F2" i="2" s="1"/>
  <c r="E1103" i="13"/>
  <c r="R7" i="2"/>
  <c r="S7" i="2" s="1"/>
  <c r="T7" i="2" s="1"/>
  <c r="L8" i="3" s="1"/>
  <c r="I11" i="3"/>
  <c r="J2" i="2" s="1"/>
  <c r="R8" i="2"/>
  <c r="S8" i="2" s="1"/>
  <c r="T8" i="2" s="1"/>
  <c r="L9" i="3" s="1"/>
  <c r="H31" i="2"/>
  <c r="H32" i="2" s="1"/>
  <c r="H33" i="2" s="1"/>
  <c r="H34" i="2" s="1"/>
  <c r="H35" i="2" s="1"/>
  <c r="H36" i="2" s="1"/>
  <c r="H37" i="2" s="1"/>
  <c r="E44" i="10"/>
  <c r="E44" i="6"/>
  <c r="E44" i="9"/>
  <c r="E44" i="5"/>
  <c r="E44" i="12"/>
  <c r="E44" i="8"/>
  <c r="E44" i="4"/>
  <c r="E44" i="11"/>
  <c r="E44" i="7"/>
  <c r="M12" i="14"/>
  <c r="M24" i="14"/>
  <c r="M25" i="14" s="1"/>
  <c r="F3" i="15"/>
  <c r="F2" i="4"/>
  <c r="E2" i="4" s="1"/>
  <c r="R15" i="2"/>
  <c r="S15" i="2" s="1"/>
  <c r="T15" i="2" s="1"/>
  <c r="L16" i="3" s="1"/>
  <c r="F2" i="7"/>
  <c r="E2" i="7" s="1"/>
  <c r="F2" i="10"/>
  <c r="E2" i="10" s="1"/>
  <c r="F2" i="15"/>
  <c r="E2" i="15" s="1"/>
  <c r="M26" i="14"/>
  <c r="F2" i="11"/>
  <c r="G3" i="11" s="1"/>
  <c r="I3" i="11" s="1"/>
  <c r="E3" i="11" s="1"/>
  <c r="F3" i="7"/>
  <c r="O6" i="7" s="1"/>
  <c r="CG6" i="7" s="1"/>
  <c r="F2" i="5"/>
  <c r="E2" i="5" s="1"/>
  <c r="F3" i="6"/>
  <c r="O6" i="6" s="1"/>
  <c r="CG6" i="6" s="1"/>
  <c r="F3" i="10"/>
  <c r="O6" i="10" s="1"/>
  <c r="CG6" i="10" s="1"/>
  <c r="F3" i="9"/>
  <c r="O6" i="9" s="1"/>
  <c r="CG6" i="9" s="1"/>
  <c r="I16" i="3"/>
  <c r="F3" i="12"/>
  <c r="O6" i="12" s="1"/>
  <c r="CG6" i="12" s="1"/>
  <c r="F2" i="9"/>
  <c r="E2" i="9" s="1"/>
  <c r="F3" i="5"/>
  <c r="O6" i="5" s="1"/>
  <c r="CG6" i="5" s="1"/>
  <c r="F3" i="4"/>
  <c r="O6" i="4" s="1"/>
  <c r="CG6" i="4" s="1"/>
  <c r="F2" i="6"/>
  <c r="E2" i="6" s="1"/>
  <c r="F2" i="8"/>
  <c r="E2" i="8" s="1"/>
  <c r="F3" i="8"/>
  <c r="O6" i="8" s="1"/>
  <c r="CG6" i="8" s="1"/>
  <c r="E44" i="15"/>
  <c r="F2" i="12"/>
  <c r="E2" i="12" s="1"/>
  <c r="E43" i="12" s="1"/>
  <c r="C8" i="9"/>
  <c r="C8" i="6"/>
  <c r="G32" i="2"/>
  <c r="G33" i="2" s="1"/>
  <c r="G34" i="2" s="1"/>
  <c r="G35" i="2" s="1"/>
  <c r="G36" i="2" s="1"/>
  <c r="G37" i="2" s="1"/>
  <c r="C8" i="15"/>
  <c r="C8" i="10"/>
  <c r="C8" i="11"/>
  <c r="C8" i="12"/>
  <c r="C8" i="8"/>
  <c r="C8" i="7"/>
  <c r="C8" i="5"/>
  <c r="C8" i="4"/>
  <c r="CP12" i="8" l="1"/>
  <c r="CO12" i="8"/>
  <c r="CQ12" i="8"/>
  <c r="CN12" i="8"/>
  <c r="CO12" i="12"/>
  <c r="CN12" i="12"/>
  <c r="CP12" i="12"/>
  <c r="CQ12" i="12"/>
  <c r="CQ12" i="9"/>
  <c r="CP12" i="9"/>
  <c r="CO12" i="9"/>
  <c r="CN12" i="9"/>
  <c r="CI12" i="12"/>
  <c r="CI12" i="5"/>
  <c r="R12" i="5"/>
  <c r="AE21" i="8"/>
  <c r="Z26" i="8"/>
  <c r="Z26" i="7"/>
  <c r="AE21" i="7"/>
  <c r="Z26" i="4"/>
  <c r="AE21" i="4"/>
  <c r="AE21" i="6"/>
  <c r="Z26" i="6"/>
  <c r="Z26" i="5"/>
  <c r="AE21" i="5"/>
  <c r="Z26" i="12"/>
  <c r="AE21" i="12"/>
  <c r="Z26" i="10"/>
  <c r="AE21" i="10"/>
  <c r="Z26" i="9"/>
  <c r="AE21" i="9"/>
  <c r="CA12" i="8"/>
  <c r="R4" i="2"/>
  <c r="E1104" i="13"/>
  <c r="D39" i="14" s="1"/>
  <c r="AD36" i="8"/>
  <c r="AC41" i="8" s="1"/>
  <c r="AD36" i="7"/>
  <c r="AA37" i="7" s="1"/>
  <c r="AD36" i="4"/>
  <c r="AA37" i="4" s="1"/>
  <c r="AD36" i="6"/>
  <c r="AA37" i="6" s="1"/>
  <c r="AD36" i="5"/>
  <c r="AC41" i="5" s="1"/>
  <c r="AD36" i="12"/>
  <c r="AA37" i="12" s="1"/>
  <c r="AD36" i="10"/>
  <c r="AC41" i="10" s="1"/>
  <c r="AD36" i="9"/>
  <c r="AA37" i="9" s="1"/>
  <c r="CA12" i="5"/>
  <c r="CB12" i="5"/>
  <c r="CI12" i="8"/>
  <c r="AU12" i="9"/>
  <c r="BC12" i="9"/>
  <c r="I15" i="3"/>
  <c r="M2" i="2" s="1"/>
  <c r="M31" i="2" s="1"/>
  <c r="C14" i="9" s="1"/>
  <c r="J13" i="9" s="1"/>
  <c r="CE13" i="9" s="1"/>
  <c r="CB12" i="8"/>
  <c r="AT12" i="9"/>
  <c r="AR12" i="9" s="1"/>
  <c r="AX12" i="9"/>
  <c r="AZ12" i="9" s="1"/>
  <c r="BD12" i="9" s="1"/>
  <c r="BE12" i="9" s="1"/>
  <c r="BF12" i="9" s="1"/>
  <c r="AX12" i="15"/>
  <c r="AZ12" i="15" s="1"/>
  <c r="AU12" i="15"/>
  <c r="AT12" i="15"/>
  <c r="AR12" i="15" s="1"/>
  <c r="BC12" i="15"/>
  <c r="BB12" i="15"/>
  <c r="R12" i="15"/>
  <c r="CI12" i="15"/>
  <c r="F19" i="2"/>
  <c r="F22" i="2"/>
  <c r="Y6" i="2" s="1"/>
  <c r="R16" i="2"/>
  <c r="H8" i="7"/>
  <c r="H8" i="5"/>
  <c r="H8" i="9"/>
  <c r="M21" i="14"/>
  <c r="H8" i="8"/>
  <c r="H8" i="10"/>
  <c r="H8" i="12"/>
  <c r="AV8" i="15"/>
  <c r="H8" i="4"/>
  <c r="H8" i="15"/>
  <c r="H8" i="11"/>
  <c r="H8" i="6"/>
  <c r="BD12" i="4"/>
  <c r="BE12" i="4" s="1"/>
  <c r="BF12" i="4" s="1"/>
  <c r="CB12" i="4"/>
  <c r="CA12" i="4"/>
  <c r="E48" i="8"/>
  <c r="E56" i="8" s="1"/>
  <c r="AE34" i="8"/>
  <c r="AH33" i="8"/>
  <c r="AE31" i="8"/>
  <c r="AC30" i="8"/>
  <c r="AB28" i="8"/>
  <c r="AJ28" i="8" s="1"/>
  <c r="AG33" i="8"/>
  <c r="AH30" i="8"/>
  <c r="AF28" i="8"/>
  <c r="AA28" i="8"/>
  <c r="AG31" i="8"/>
  <c r="AG30" i="8"/>
  <c r="AE28" i="8"/>
  <c r="AF34" i="8"/>
  <c r="AF31" i="8" s="1"/>
  <c r="AD30" i="8"/>
  <c r="E48" i="7"/>
  <c r="E56" i="7" s="1"/>
  <c r="AE34" i="7"/>
  <c r="AH33" i="7"/>
  <c r="AE31" i="7"/>
  <c r="AC30" i="7"/>
  <c r="AB28" i="7"/>
  <c r="AJ28" i="7" s="1"/>
  <c r="AG33" i="7"/>
  <c r="AH30" i="7"/>
  <c r="AF28" i="7"/>
  <c r="AA28" i="7"/>
  <c r="AG31" i="7"/>
  <c r="AG30" i="7"/>
  <c r="AE28" i="7"/>
  <c r="AF34" i="7"/>
  <c r="AF31" i="7" s="1"/>
  <c r="AD30" i="7"/>
  <c r="E48" i="4"/>
  <c r="E56" i="4" s="1"/>
  <c r="AG31" i="4"/>
  <c r="AG30" i="4"/>
  <c r="AE28" i="4"/>
  <c r="AF34" i="4"/>
  <c r="AF31" i="4" s="1"/>
  <c r="AD30" i="4"/>
  <c r="AE34" i="4"/>
  <c r="AH33" i="4"/>
  <c r="AE31" i="4"/>
  <c r="AC30" i="4"/>
  <c r="AB28" i="4"/>
  <c r="AJ28" i="4" s="1"/>
  <c r="AG33" i="4"/>
  <c r="AH30" i="4"/>
  <c r="AF28" i="4"/>
  <c r="AA28" i="4"/>
  <c r="E48" i="6"/>
  <c r="E56" i="6" s="1"/>
  <c r="AG31" i="6"/>
  <c r="AG30" i="6"/>
  <c r="AE28" i="6"/>
  <c r="AF34" i="6"/>
  <c r="AF31" i="6" s="1"/>
  <c r="AD30" i="6"/>
  <c r="AE34" i="6"/>
  <c r="AH33" i="6"/>
  <c r="AE31" i="6"/>
  <c r="AC30" i="6"/>
  <c r="AB28" i="6"/>
  <c r="AJ28" i="6" s="1"/>
  <c r="AG33" i="6"/>
  <c r="AH30" i="6"/>
  <c r="AF28" i="6"/>
  <c r="AA28" i="6"/>
  <c r="E48" i="5"/>
  <c r="E56" i="5" s="1"/>
  <c r="AE34" i="5"/>
  <c r="AH33" i="5"/>
  <c r="AE31" i="5"/>
  <c r="AC30" i="5"/>
  <c r="AB28" i="5"/>
  <c r="AJ28" i="5" s="1"/>
  <c r="AG33" i="5"/>
  <c r="AH30" i="5"/>
  <c r="AF28" i="5"/>
  <c r="AA28" i="5"/>
  <c r="AG31" i="5"/>
  <c r="AG30" i="5"/>
  <c r="AE28" i="5"/>
  <c r="AF34" i="5"/>
  <c r="AF31" i="5" s="1"/>
  <c r="AD30" i="5"/>
  <c r="E48" i="12"/>
  <c r="E56" i="12" s="1"/>
  <c r="AG31" i="12"/>
  <c r="AG30" i="12"/>
  <c r="AE28" i="12"/>
  <c r="AF34" i="12"/>
  <c r="AF31" i="12" s="1"/>
  <c r="AD30" i="12"/>
  <c r="AE34" i="12"/>
  <c r="AH33" i="12"/>
  <c r="AE31" i="12"/>
  <c r="AC30" i="12"/>
  <c r="AB28" i="12"/>
  <c r="AJ28" i="12" s="1"/>
  <c r="AG33" i="12"/>
  <c r="AH30" i="12"/>
  <c r="AF28" i="12"/>
  <c r="AA28" i="12"/>
  <c r="E48" i="10"/>
  <c r="E56" i="10" s="1"/>
  <c r="AE34" i="10"/>
  <c r="AH33" i="10"/>
  <c r="AE31" i="10"/>
  <c r="AC30" i="10"/>
  <c r="AB28" i="10"/>
  <c r="AJ28" i="10" s="1"/>
  <c r="AG33" i="10"/>
  <c r="AH30" i="10"/>
  <c r="AF28" i="10"/>
  <c r="AA28" i="10"/>
  <c r="AG31" i="10"/>
  <c r="AG30" i="10"/>
  <c r="AE28" i="10"/>
  <c r="AF34" i="10"/>
  <c r="AF31" i="10" s="1"/>
  <c r="AD30" i="10"/>
  <c r="E48" i="9"/>
  <c r="E56" i="9" s="1"/>
  <c r="AE34" i="9"/>
  <c r="AH33" i="9"/>
  <c r="AE31" i="9"/>
  <c r="AC30" i="9"/>
  <c r="AB28" i="9"/>
  <c r="AJ28" i="9" s="1"/>
  <c r="AG33" i="9"/>
  <c r="AH30" i="9"/>
  <c r="AF28" i="9"/>
  <c r="AA28" i="9"/>
  <c r="AG31" i="9"/>
  <c r="AG30" i="9"/>
  <c r="AE28" i="9"/>
  <c r="AF34" i="9"/>
  <c r="AF31" i="9" s="1"/>
  <c r="AD30" i="9"/>
  <c r="E48" i="15"/>
  <c r="E56" i="15" s="1"/>
  <c r="V4" i="17"/>
  <c r="I12" i="3"/>
  <c r="I13" i="3" s="1"/>
  <c r="I5" i="3"/>
  <c r="R11" i="2"/>
  <c r="R6" i="2"/>
  <c r="M16" i="14"/>
  <c r="C9" i="6"/>
  <c r="C9" i="10"/>
  <c r="C9" i="12"/>
  <c r="C9" i="7"/>
  <c r="C9" i="8"/>
  <c r="C9" i="9"/>
  <c r="C9" i="5"/>
  <c r="C9" i="15"/>
  <c r="C9" i="4"/>
  <c r="C9" i="11"/>
  <c r="E57" i="6"/>
  <c r="E54" i="6"/>
  <c r="BA28" i="6" s="1"/>
  <c r="BA27" i="6" s="1"/>
  <c r="E49" i="6"/>
  <c r="E43" i="6"/>
  <c r="E49" i="4"/>
  <c r="E57" i="4"/>
  <c r="E54" i="4"/>
  <c r="BA28" i="4" s="1"/>
  <c r="BA27" i="4" s="1"/>
  <c r="E43" i="4"/>
  <c r="E57" i="8"/>
  <c r="E54" i="8"/>
  <c r="BA28" i="8" s="1"/>
  <c r="BA27" i="8" s="1"/>
  <c r="E49" i="8"/>
  <c r="E43" i="8"/>
  <c r="E57" i="12"/>
  <c r="E54" i="12"/>
  <c r="BA28" i="12" s="1"/>
  <c r="BA27" i="12" s="1"/>
  <c r="E49" i="12"/>
  <c r="E49" i="7"/>
  <c r="E57" i="7"/>
  <c r="E54" i="7"/>
  <c r="BA28" i="7" s="1"/>
  <c r="BA27" i="7" s="1"/>
  <c r="E43" i="7"/>
  <c r="E54" i="9"/>
  <c r="BA28" i="9" s="1"/>
  <c r="BA27" i="9" s="1"/>
  <c r="E57" i="9"/>
  <c r="E49" i="9"/>
  <c r="E43" i="9"/>
  <c r="E57" i="5"/>
  <c r="E54" i="5"/>
  <c r="BA28" i="5" s="1"/>
  <c r="BA27" i="5" s="1"/>
  <c r="E49" i="5"/>
  <c r="E43" i="5"/>
  <c r="E49" i="10"/>
  <c r="E57" i="10"/>
  <c r="E54" i="10"/>
  <c r="BA28" i="10" s="1"/>
  <c r="BA27" i="10" s="1"/>
  <c r="E43" i="10"/>
  <c r="E57" i="15"/>
  <c r="O6" i="15"/>
  <c r="CG6" i="15" s="1"/>
  <c r="AE28" i="15"/>
  <c r="AE34" i="15"/>
  <c r="Z26" i="15"/>
  <c r="AG33" i="15"/>
  <c r="AF34" i="15"/>
  <c r="AF31" i="15" s="1"/>
  <c r="AH33" i="15"/>
  <c r="AB28" i="15"/>
  <c r="AJ28" i="15" s="1"/>
  <c r="AC30" i="15"/>
  <c r="AH30" i="15"/>
  <c r="AA28" i="15"/>
  <c r="AI28" i="15" s="1"/>
  <c r="AG30" i="15"/>
  <c r="AF28" i="15"/>
  <c r="AD30" i="15"/>
  <c r="AE31" i="15"/>
  <c r="AG31" i="15"/>
  <c r="AE21" i="15"/>
  <c r="E2" i="11"/>
  <c r="E54" i="15"/>
  <c r="BA28" i="15" s="1"/>
  <c r="BA27" i="15" s="1"/>
  <c r="T41" i="9"/>
  <c r="E43" i="15"/>
  <c r="E45" i="15" s="1"/>
  <c r="T41" i="7"/>
  <c r="T41" i="11"/>
  <c r="E49" i="15"/>
  <c r="T41" i="10"/>
  <c r="T41" i="12"/>
  <c r="T41" i="6"/>
  <c r="T41" i="5"/>
  <c r="T41" i="15"/>
  <c r="F3" i="11"/>
  <c r="O6" i="11" s="1"/>
  <c r="CG6" i="11" s="1"/>
  <c r="AD36" i="15"/>
  <c r="T41" i="8"/>
  <c r="T41" i="4"/>
  <c r="CA12" i="9" l="1"/>
  <c r="Y13" i="17"/>
  <c r="H3" i="17"/>
  <c r="J4" i="17" s="1"/>
  <c r="CN12" i="5"/>
  <c r="CP12" i="5"/>
  <c r="CO12" i="5"/>
  <c r="CQ12" i="5"/>
  <c r="CP12" i="15"/>
  <c r="CQ12" i="15"/>
  <c r="CO12" i="15"/>
  <c r="CN12" i="15"/>
  <c r="Z26" i="11"/>
  <c r="AE21" i="11"/>
  <c r="AJ27" i="8"/>
  <c r="AF27" i="8"/>
  <c r="AB27" i="8"/>
  <c r="AE27" i="8"/>
  <c r="AA27" i="8"/>
  <c r="AE27" i="7"/>
  <c r="AA27" i="7"/>
  <c r="AJ27" i="7"/>
  <c r="AF27" i="7"/>
  <c r="AB27" i="7"/>
  <c r="AE27" i="4"/>
  <c r="AA27" i="4"/>
  <c r="AJ27" i="4"/>
  <c r="AF27" i="4"/>
  <c r="AB27" i="4"/>
  <c r="AJ27" i="6"/>
  <c r="AF27" i="6"/>
  <c r="AB27" i="6"/>
  <c r="AE27" i="6"/>
  <c r="AA27" i="6"/>
  <c r="AE27" i="5"/>
  <c r="AA27" i="5"/>
  <c r="AJ27" i="5"/>
  <c r="AF27" i="5"/>
  <c r="AB27" i="5"/>
  <c r="AE27" i="12"/>
  <c r="AA27" i="12"/>
  <c r="AJ27" i="12"/>
  <c r="AF27" i="12"/>
  <c r="AB27" i="12"/>
  <c r="AE27" i="10"/>
  <c r="AA27" i="10"/>
  <c r="AJ27" i="10"/>
  <c r="AF27" i="10"/>
  <c r="AB27" i="10"/>
  <c r="AE27" i="9"/>
  <c r="AA27" i="9"/>
  <c r="AJ27" i="9"/>
  <c r="AF27" i="9"/>
  <c r="AB27" i="9"/>
  <c r="U2" i="17"/>
  <c r="Z9" i="17"/>
  <c r="AA37" i="8"/>
  <c r="AA40" i="8" s="1"/>
  <c r="AC38" i="8" s="1"/>
  <c r="S4" i="2"/>
  <c r="T4" i="2" s="1"/>
  <c r="L5" i="3" s="1"/>
  <c r="M13" i="14" s="1"/>
  <c r="Z8" i="17"/>
  <c r="AA37" i="5"/>
  <c r="AA40" i="5" s="1"/>
  <c r="AC38" i="5" s="1"/>
  <c r="AC41" i="7"/>
  <c r="AD36" i="11"/>
  <c r="AC41" i="11" s="1"/>
  <c r="AC41" i="4"/>
  <c r="AC41" i="6"/>
  <c r="AC41" i="12"/>
  <c r="AA37" i="10"/>
  <c r="AA40" i="10" s="1"/>
  <c r="AC38" i="10" s="1"/>
  <c r="AC41" i="9"/>
  <c r="CB12" i="9"/>
  <c r="L13" i="9"/>
  <c r="M13" i="9" s="1"/>
  <c r="C14" i="11"/>
  <c r="G13" i="11" s="1"/>
  <c r="I13" i="11" s="1"/>
  <c r="M32" i="2"/>
  <c r="M33" i="2" s="1"/>
  <c r="M34" i="2" s="1"/>
  <c r="M35" i="2" s="1"/>
  <c r="M36" i="2" s="1"/>
  <c r="M37" i="2" s="1"/>
  <c r="C14" i="10"/>
  <c r="K13" i="10" s="1"/>
  <c r="CF13" i="10" s="1"/>
  <c r="C14" i="5"/>
  <c r="N13" i="5" s="1"/>
  <c r="CH13" i="5" s="1"/>
  <c r="G13" i="9"/>
  <c r="I13" i="9" s="1"/>
  <c r="C14" i="6"/>
  <c r="J13" i="6" s="1"/>
  <c r="CE13" i="6" s="1"/>
  <c r="AS13" i="9"/>
  <c r="C14" i="15"/>
  <c r="BG13" i="15" s="1"/>
  <c r="BH13" i="15" s="1"/>
  <c r="C14" i="4"/>
  <c r="J13" i="4" s="1"/>
  <c r="CE13" i="4" s="1"/>
  <c r="N13" i="9"/>
  <c r="CH13" i="9" s="1"/>
  <c r="C14" i="12"/>
  <c r="BG13" i="12" s="1"/>
  <c r="BH13" i="12" s="1"/>
  <c r="C14" i="8"/>
  <c r="AS13" i="8" s="1"/>
  <c r="BG13" i="9"/>
  <c r="BH13" i="9" s="1"/>
  <c r="K13" i="9"/>
  <c r="CF13" i="9" s="1"/>
  <c r="C14" i="7"/>
  <c r="N13" i="7" s="1"/>
  <c r="O13" i="7" s="1"/>
  <c r="BD12" i="15"/>
  <c r="BE12" i="15" s="1"/>
  <c r="BF12" i="15" s="1"/>
  <c r="CB12" i="15"/>
  <c r="CA12" i="15"/>
  <c r="S11" i="2"/>
  <c r="S12" i="2" s="1"/>
  <c r="S6" i="2"/>
  <c r="T6" i="2" s="1"/>
  <c r="L7" i="3" s="1"/>
  <c r="M15" i="14" s="1"/>
  <c r="F31" i="2"/>
  <c r="C7" i="5" s="1"/>
  <c r="S16" i="2"/>
  <c r="Y11" i="2" s="1"/>
  <c r="AJ25" i="2"/>
  <c r="D6" i="10" s="1"/>
  <c r="D7" i="10" s="1"/>
  <c r="M22" i="14"/>
  <c r="AA40" i="7"/>
  <c r="AC38" i="7" s="1"/>
  <c r="AA40" i="4"/>
  <c r="AC38" i="4" s="1"/>
  <c r="AA40" i="6"/>
  <c r="AC38" i="6" s="1"/>
  <c r="AA40" i="12"/>
  <c r="AC38" i="12" s="1"/>
  <c r="AA40" i="9"/>
  <c r="AC38" i="9" s="1"/>
  <c r="AA37" i="15"/>
  <c r="AC45" i="15"/>
  <c r="AD29" i="4"/>
  <c r="AD27" i="4" s="1"/>
  <c r="AH32" i="12"/>
  <c r="AH31" i="12" s="1"/>
  <c r="AH32" i="6"/>
  <c r="AH31" i="6" s="1"/>
  <c r="AH32" i="9"/>
  <c r="AH31" i="9" s="1"/>
  <c r="AH32" i="5"/>
  <c r="AH31" i="5" s="1"/>
  <c r="AD29" i="6"/>
  <c r="AD27" i="6" s="1"/>
  <c r="AH32" i="8"/>
  <c r="AH31" i="8" s="1"/>
  <c r="AH32" i="10"/>
  <c r="AH31" i="10" s="1"/>
  <c r="AH32" i="4"/>
  <c r="AH31" i="4" s="1"/>
  <c r="AH32" i="7"/>
  <c r="AH31" i="7" s="1"/>
  <c r="AE34" i="11"/>
  <c r="AH33" i="11"/>
  <c r="AE31" i="11"/>
  <c r="AC30" i="11"/>
  <c r="AB28" i="11"/>
  <c r="AJ28" i="11" s="1"/>
  <c r="AG31" i="11"/>
  <c r="AG30" i="11"/>
  <c r="AD30" i="11"/>
  <c r="AG33" i="11"/>
  <c r="AH30" i="11"/>
  <c r="AF28" i="11"/>
  <c r="AA28" i="11"/>
  <c r="AE28" i="11"/>
  <c r="AF34" i="11"/>
  <c r="AF31" i="11" s="1"/>
  <c r="AG28" i="8"/>
  <c r="AG34" i="8"/>
  <c r="AP31" i="8" s="1"/>
  <c r="AG28" i="7"/>
  <c r="AI28" i="8"/>
  <c r="AI27" i="8" s="1"/>
  <c r="AC28" i="8"/>
  <c r="AC27" i="8" s="1"/>
  <c r="AO29" i="8"/>
  <c r="AH29" i="8"/>
  <c r="AD29" i="8"/>
  <c r="AD27" i="8" s="1"/>
  <c r="AI28" i="7"/>
  <c r="AI27" i="7" s="1"/>
  <c r="AC28" i="7"/>
  <c r="AC27" i="7" s="1"/>
  <c r="AG34" i="7"/>
  <c r="AP31" i="7" s="1"/>
  <c r="AG34" i="4"/>
  <c r="AP31" i="4" s="1"/>
  <c r="AG28" i="4"/>
  <c r="AO29" i="7"/>
  <c r="AH29" i="7"/>
  <c r="AD29" i="7"/>
  <c r="AD27" i="7" s="1"/>
  <c r="AO29" i="4"/>
  <c r="AH29" i="4"/>
  <c r="AG28" i="6"/>
  <c r="AI28" i="4"/>
  <c r="AI27" i="4" s="1"/>
  <c r="AC28" i="4"/>
  <c r="AC27" i="4" s="1"/>
  <c r="AG34" i="12"/>
  <c r="AP31" i="12" s="1"/>
  <c r="AI28" i="6"/>
  <c r="AI27" i="6" s="1"/>
  <c r="AC28" i="6"/>
  <c r="AC27" i="6" s="1"/>
  <c r="AG34" i="6"/>
  <c r="AO31" i="6" s="1"/>
  <c r="AG28" i="5"/>
  <c r="AG34" i="5"/>
  <c r="AP31" i="5" s="1"/>
  <c r="AO29" i="6"/>
  <c r="AH29" i="6"/>
  <c r="AI28" i="5"/>
  <c r="AI27" i="5" s="1"/>
  <c r="AC28" i="5"/>
  <c r="AC27" i="5" s="1"/>
  <c r="AG28" i="12"/>
  <c r="AO29" i="5"/>
  <c r="AH29" i="5"/>
  <c r="AD29" i="5"/>
  <c r="AD27" i="5" s="1"/>
  <c r="AD29" i="12"/>
  <c r="AD27" i="12" s="1"/>
  <c r="AO29" i="12"/>
  <c r="AH29" i="12"/>
  <c r="AI28" i="12"/>
  <c r="AI27" i="12" s="1"/>
  <c r="AC28" i="12"/>
  <c r="AC27" i="12" s="1"/>
  <c r="AI28" i="10"/>
  <c r="AI27" i="10" s="1"/>
  <c r="AC28" i="10"/>
  <c r="AC27" i="10" s="1"/>
  <c r="AG28" i="10"/>
  <c r="AO29" i="10"/>
  <c r="AH29" i="10"/>
  <c r="AG34" i="10"/>
  <c r="AP31" i="10" s="1"/>
  <c r="AD29" i="10"/>
  <c r="AD27" i="10" s="1"/>
  <c r="AG28" i="9"/>
  <c r="AG34" i="9"/>
  <c r="AP31" i="9" s="1"/>
  <c r="AI28" i="9"/>
  <c r="AI27" i="9" s="1"/>
  <c r="AC28" i="9"/>
  <c r="AC27" i="9" s="1"/>
  <c r="AO29" i="9"/>
  <c r="AH29" i="9"/>
  <c r="AD29" i="9"/>
  <c r="AD27" i="9" s="1"/>
  <c r="E48" i="11"/>
  <c r="E56" i="11" s="1"/>
  <c r="V4" i="18"/>
  <c r="A4" i="17"/>
  <c r="AI27" i="15"/>
  <c r="AJ27" i="15"/>
  <c r="AO29" i="15"/>
  <c r="R5" i="2"/>
  <c r="I6" i="3"/>
  <c r="E2" i="2" s="1"/>
  <c r="E45" i="5"/>
  <c r="E55" i="5"/>
  <c r="E46" i="5"/>
  <c r="E45" i="6"/>
  <c r="E55" i="6"/>
  <c r="E46" i="6"/>
  <c r="E46" i="7"/>
  <c r="E45" i="7"/>
  <c r="E55" i="7"/>
  <c r="E45" i="9"/>
  <c r="E46" i="9"/>
  <c r="E55" i="9"/>
  <c r="E45" i="10"/>
  <c r="E55" i="10"/>
  <c r="E46" i="10"/>
  <c r="E46" i="4"/>
  <c r="E45" i="4"/>
  <c r="E55" i="4"/>
  <c r="E57" i="11"/>
  <c r="E54" i="11"/>
  <c r="BA28" i="11" s="1"/>
  <c r="BA27" i="11" s="1"/>
  <c r="E49" i="11"/>
  <c r="E43" i="11"/>
  <c r="E55" i="8"/>
  <c r="E45" i="8"/>
  <c r="E46" i="8"/>
  <c r="E55" i="15"/>
  <c r="E46" i="15"/>
  <c r="AG34" i="15"/>
  <c r="AC45" i="12"/>
  <c r="AC49" i="12"/>
  <c r="AG28" i="15"/>
  <c r="AC49" i="7"/>
  <c r="AC45" i="7"/>
  <c r="AC49" i="5"/>
  <c r="AC45" i="5"/>
  <c r="AC45" i="10"/>
  <c r="AC49" i="10"/>
  <c r="AC45" i="8"/>
  <c r="AC49" i="8"/>
  <c r="AC45" i="9"/>
  <c r="AC49" i="9"/>
  <c r="AC45" i="6"/>
  <c r="AC49" i="6"/>
  <c r="AC45" i="4"/>
  <c r="AC49" i="4"/>
  <c r="AD29" i="15"/>
  <c r="AH29" i="15"/>
  <c r="AC28" i="15"/>
  <c r="U37" i="15"/>
  <c r="S26" i="15" s="1"/>
  <c r="AC41" i="15"/>
  <c r="AC49" i="15"/>
  <c r="AH32" i="15"/>
  <c r="AH31" i="15" s="1"/>
  <c r="Y13" i="18" l="1"/>
  <c r="H3" i="18"/>
  <c r="J4" i="18" s="1"/>
  <c r="AH27" i="12"/>
  <c r="F3" i="18"/>
  <c r="A4" i="18"/>
  <c r="A5" i="18" s="1"/>
  <c r="A6" i="18" s="1"/>
  <c r="D3" i="18"/>
  <c r="M3" i="18"/>
  <c r="N3" i="18" s="1"/>
  <c r="E3" i="18"/>
  <c r="O3" i="18"/>
  <c r="P3" i="18" s="1"/>
  <c r="I3" i="18"/>
  <c r="K3" i="18"/>
  <c r="L3" i="18" s="1"/>
  <c r="AH27" i="8"/>
  <c r="U2" i="18"/>
  <c r="AH27" i="4"/>
  <c r="AE27" i="11"/>
  <c r="AA27" i="11"/>
  <c r="AJ27" i="11"/>
  <c r="AF27" i="11"/>
  <c r="AB27" i="11"/>
  <c r="AG27" i="7"/>
  <c r="AH27" i="7"/>
  <c r="AG27" i="8"/>
  <c r="AH27" i="9"/>
  <c r="AH27" i="10"/>
  <c r="AG27" i="4"/>
  <c r="AG27" i="6"/>
  <c r="AH27" i="6"/>
  <c r="AH27" i="5"/>
  <c r="AG27" i="5"/>
  <c r="AG27" i="12"/>
  <c r="AG27" i="10"/>
  <c r="AG27" i="9"/>
  <c r="W5" i="2"/>
  <c r="Y5" i="2"/>
  <c r="A5" i="17"/>
  <c r="Z8" i="18"/>
  <c r="Q3" i="18" s="1"/>
  <c r="R3" i="18" s="1"/>
  <c r="Z9" i="18"/>
  <c r="AA37" i="11"/>
  <c r="AA40" i="11" s="1"/>
  <c r="AC38" i="11" s="1"/>
  <c r="CC13" i="9"/>
  <c r="O13" i="5"/>
  <c r="H13" i="5" s="1"/>
  <c r="K13" i="11"/>
  <c r="CF13" i="11" s="1"/>
  <c r="L13" i="11"/>
  <c r="M13" i="11" s="1"/>
  <c r="K13" i="12"/>
  <c r="CF13" i="12" s="1"/>
  <c r="AS13" i="11"/>
  <c r="L13" i="4"/>
  <c r="M13" i="4" s="1"/>
  <c r="N13" i="10"/>
  <c r="CH13" i="10" s="1"/>
  <c r="G13" i="12"/>
  <c r="I13" i="12" s="1"/>
  <c r="G13" i="10"/>
  <c r="I13" i="10" s="1"/>
  <c r="O13" i="9"/>
  <c r="H13" i="9" s="1"/>
  <c r="J13" i="11"/>
  <c r="CE13" i="11" s="1"/>
  <c r="N13" i="11"/>
  <c r="O13" i="11" s="1"/>
  <c r="BG13" i="11"/>
  <c r="BH13" i="11" s="1"/>
  <c r="N13" i="4"/>
  <c r="O13" i="4" s="1"/>
  <c r="BG13" i="10"/>
  <c r="BH13" i="10" s="1"/>
  <c r="AS13" i="12"/>
  <c r="N13" i="12"/>
  <c r="O13" i="12" s="1"/>
  <c r="L13" i="10"/>
  <c r="CC13" i="10" s="1"/>
  <c r="L13" i="12"/>
  <c r="CC13" i="12" s="1"/>
  <c r="AS13" i="7"/>
  <c r="J13" i="10"/>
  <c r="CE13" i="10" s="1"/>
  <c r="AS13" i="10"/>
  <c r="J13" i="12"/>
  <c r="CE13" i="12" s="1"/>
  <c r="L13" i="15"/>
  <c r="CC13" i="15" s="1"/>
  <c r="K13" i="8"/>
  <c r="CF13" i="8" s="1"/>
  <c r="AS13" i="5"/>
  <c r="BG13" i="5"/>
  <c r="BH13" i="5" s="1"/>
  <c r="G13" i="5"/>
  <c r="I13" i="5" s="1"/>
  <c r="G13" i="8"/>
  <c r="I13" i="8" s="1"/>
  <c r="N13" i="8"/>
  <c r="O13" i="8" s="1"/>
  <c r="AS13" i="15"/>
  <c r="N13" i="15"/>
  <c r="CH13" i="15" s="1"/>
  <c r="K13" i="15"/>
  <c r="CF13" i="15" s="1"/>
  <c r="J13" i="15"/>
  <c r="CE13" i="15" s="1"/>
  <c r="BG13" i="8"/>
  <c r="BH13" i="8" s="1"/>
  <c r="K13" i="5"/>
  <c r="CF13" i="5" s="1"/>
  <c r="L13" i="5"/>
  <c r="M13" i="5" s="1"/>
  <c r="G13" i="15"/>
  <c r="J13" i="5"/>
  <c r="CE13" i="5" s="1"/>
  <c r="AS13" i="4"/>
  <c r="G13" i="4"/>
  <c r="I13" i="4" s="1"/>
  <c r="BG13" i="4"/>
  <c r="BH13" i="4" s="1"/>
  <c r="K13" i="4"/>
  <c r="CF13" i="4" s="1"/>
  <c r="BG13" i="6"/>
  <c r="BH13" i="6" s="1"/>
  <c r="N13" i="6"/>
  <c r="O13" i="6" s="1"/>
  <c r="G13" i="6"/>
  <c r="I13" i="6" s="1"/>
  <c r="K13" i="6"/>
  <c r="CF13" i="6" s="1"/>
  <c r="L13" i="6"/>
  <c r="M13" i="6" s="1"/>
  <c r="AS13" i="6"/>
  <c r="J13" i="7"/>
  <c r="CE13" i="7" s="1"/>
  <c r="L13" i="7"/>
  <c r="M13" i="7" s="1"/>
  <c r="K13" i="7"/>
  <c r="CF13" i="7" s="1"/>
  <c r="J13" i="8"/>
  <c r="CE13" i="8" s="1"/>
  <c r="L13" i="8"/>
  <c r="M13" i="8" s="1"/>
  <c r="BG13" i="7"/>
  <c r="BH13" i="7" s="1"/>
  <c r="G13" i="7"/>
  <c r="I13" i="7" s="1"/>
  <c r="CH13" i="7"/>
  <c r="T11" i="2"/>
  <c r="T12" i="2" s="1"/>
  <c r="L13" i="3" s="1"/>
  <c r="M20" i="14" s="1"/>
  <c r="S5" i="2"/>
  <c r="C7" i="8"/>
  <c r="K2" i="2"/>
  <c r="K27" i="2" s="1"/>
  <c r="C7" i="15"/>
  <c r="D2" i="2"/>
  <c r="D4" i="2" s="1"/>
  <c r="C7" i="12"/>
  <c r="C7" i="11"/>
  <c r="C7" i="6"/>
  <c r="C7" i="4"/>
  <c r="C7" i="7"/>
  <c r="C7" i="10"/>
  <c r="C7" i="9"/>
  <c r="F32" i="2"/>
  <c r="F33" i="2" s="1"/>
  <c r="F34" i="2" s="1"/>
  <c r="F35" i="2" s="1"/>
  <c r="F36" i="2" s="1"/>
  <c r="F37" i="2" s="1"/>
  <c r="F38" i="2" s="1"/>
  <c r="K24" i="2"/>
  <c r="H13" i="7"/>
  <c r="CG13" i="7"/>
  <c r="CD13" i="9"/>
  <c r="P13" i="7"/>
  <c r="Q13" i="7" s="1"/>
  <c r="R13" i="7" s="1"/>
  <c r="AF42" i="5"/>
  <c r="AF42" i="8"/>
  <c r="AF42" i="7"/>
  <c r="AF42" i="4"/>
  <c r="AF42" i="6"/>
  <c r="AF42" i="10"/>
  <c r="AF42" i="12"/>
  <c r="AF42" i="9"/>
  <c r="AF42" i="15"/>
  <c r="AA40" i="15"/>
  <c r="AC38" i="15" s="1"/>
  <c r="AO31" i="12"/>
  <c r="AO31" i="8"/>
  <c r="AH32" i="11"/>
  <c r="AH31" i="11" s="1"/>
  <c r="AG28" i="11"/>
  <c r="AG34" i="11"/>
  <c r="AO28" i="8"/>
  <c r="AO29" i="11"/>
  <c r="AH29" i="11"/>
  <c r="AI28" i="11"/>
  <c r="AI27" i="11" s="1"/>
  <c r="AC28" i="11"/>
  <c r="AC27" i="11" s="1"/>
  <c r="AD29" i="11"/>
  <c r="AD27" i="11" s="1"/>
  <c r="AO28" i="4"/>
  <c r="AO28" i="7"/>
  <c r="AO31" i="7"/>
  <c r="AO31" i="5"/>
  <c r="AO31" i="4"/>
  <c r="AO28" i="5"/>
  <c r="AO31" i="9"/>
  <c r="AO28" i="6"/>
  <c r="AP31" i="6"/>
  <c r="AO28" i="12"/>
  <c r="AO28" i="9"/>
  <c r="AO31" i="10"/>
  <c r="AO28" i="10"/>
  <c r="AO31" i="15"/>
  <c r="AO28" i="15"/>
  <c r="AP31" i="15"/>
  <c r="J7" i="2"/>
  <c r="J31" i="2" s="1"/>
  <c r="E55" i="11"/>
  <c r="E46" i="11"/>
  <c r="E45" i="11"/>
  <c r="AG27" i="15"/>
  <c r="AC45" i="11"/>
  <c r="AC49" i="11"/>
  <c r="I7" i="2"/>
  <c r="CO13" i="7" l="1"/>
  <c r="CQ13" i="7"/>
  <c r="CP13" i="7"/>
  <c r="CN13" i="7"/>
  <c r="I31" i="2"/>
  <c r="C10" i="5" s="1"/>
  <c r="E47" i="5" s="1"/>
  <c r="I37" i="2"/>
  <c r="I33" i="2"/>
  <c r="A7" i="18"/>
  <c r="B4" i="18"/>
  <c r="AH27" i="11"/>
  <c r="AG27" i="11"/>
  <c r="A6" i="17"/>
  <c r="I13" i="15"/>
  <c r="T5" i="2"/>
  <c r="L6" i="3" s="1"/>
  <c r="M14" i="14" s="1"/>
  <c r="AO27" i="8"/>
  <c r="AP27" i="8"/>
  <c r="AP27" i="7"/>
  <c r="AO27" i="7"/>
  <c r="AO27" i="4"/>
  <c r="AP27" i="4"/>
  <c r="AO27" i="6"/>
  <c r="AP27" i="6"/>
  <c r="AO27" i="5"/>
  <c r="AP27" i="5"/>
  <c r="AO27" i="12"/>
  <c r="AP27" i="12"/>
  <c r="AP27" i="10"/>
  <c r="AO27" i="10"/>
  <c r="AO27" i="9"/>
  <c r="AP27" i="9"/>
  <c r="D29" i="2"/>
  <c r="D26" i="2"/>
  <c r="CG13" i="5"/>
  <c r="P13" i="5"/>
  <c r="Q13" i="5" s="1"/>
  <c r="R13" i="5" s="1"/>
  <c r="CH13" i="6"/>
  <c r="CC13" i="11"/>
  <c r="CH13" i="8"/>
  <c r="CC13" i="5"/>
  <c r="O13" i="10"/>
  <c r="H13" i="10" s="1"/>
  <c r="CH13" i="12"/>
  <c r="CC13" i="4"/>
  <c r="CH13" i="4"/>
  <c r="P13" i="9"/>
  <c r="Q13" i="9" s="1"/>
  <c r="R13" i="9" s="1"/>
  <c r="CG13" i="9"/>
  <c r="M13" i="10"/>
  <c r="CD13" i="10" s="1"/>
  <c r="CH13" i="11"/>
  <c r="M13" i="12"/>
  <c r="CD13" i="12" s="1"/>
  <c r="O13" i="15"/>
  <c r="H13" i="15" s="1"/>
  <c r="M13" i="15"/>
  <c r="CD13" i="15" s="1"/>
  <c r="CC13" i="6"/>
  <c r="CC13" i="8"/>
  <c r="CC13" i="7"/>
  <c r="K29" i="2"/>
  <c r="D23" i="2"/>
  <c r="D27" i="2"/>
  <c r="D24" i="2"/>
  <c r="K20" i="2"/>
  <c r="K23" i="2"/>
  <c r="K22" i="2"/>
  <c r="D31" i="2"/>
  <c r="D18" i="2"/>
  <c r="L12" i="3"/>
  <c r="M19" i="14" s="1"/>
  <c r="D3" i="2"/>
  <c r="K19" i="2"/>
  <c r="D14" i="2"/>
  <c r="K11" i="2"/>
  <c r="K12" i="2"/>
  <c r="D10" i="2"/>
  <c r="D11" i="2"/>
  <c r="D12" i="2"/>
  <c r="K15" i="2"/>
  <c r="D20" i="2"/>
  <c r="D19" i="2"/>
  <c r="H13" i="11"/>
  <c r="CG13" i="11"/>
  <c r="H13" i="8"/>
  <c r="CG13" i="8"/>
  <c r="H13" i="4"/>
  <c r="CG13" i="4"/>
  <c r="H13" i="6"/>
  <c r="CG13" i="6"/>
  <c r="H13" i="12"/>
  <c r="CG13" i="12"/>
  <c r="CD13" i="11"/>
  <c r="CD13" i="8"/>
  <c r="CD13" i="7"/>
  <c r="CD13" i="4"/>
  <c r="CD13" i="6"/>
  <c r="CD13" i="5"/>
  <c r="P13" i="8"/>
  <c r="AV13" i="8" s="1"/>
  <c r="AX13" i="8" s="1"/>
  <c r="AZ13" i="8" s="1"/>
  <c r="CI13" i="7"/>
  <c r="AV13" i="7"/>
  <c r="AX13" i="7" s="1"/>
  <c r="AZ13" i="7" s="1"/>
  <c r="P13" i="4"/>
  <c r="AV13" i="4" s="1"/>
  <c r="BC13" i="4" s="1"/>
  <c r="P13" i="11"/>
  <c r="AV13" i="11" s="1"/>
  <c r="AU13" i="11" s="1"/>
  <c r="P13" i="6"/>
  <c r="Q13" i="6" s="1"/>
  <c r="P13" i="12"/>
  <c r="AV13" i="12" s="1"/>
  <c r="BB13" i="12" s="1"/>
  <c r="AF42" i="11"/>
  <c r="AO31" i="11"/>
  <c r="AP31" i="11"/>
  <c r="AO28" i="11"/>
  <c r="AP27" i="15"/>
  <c r="AO27" i="15"/>
  <c r="C11" i="6"/>
  <c r="C11" i="10"/>
  <c r="C11" i="15"/>
  <c r="J32" i="2"/>
  <c r="J33" i="2" s="1"/>
  <c r="J34" i="2" s="1"/>
  <c r="J35" i="2" s="1"/>
  <c r="J36" i="2" s="1"/>
  <c r="J37" i="2" s="1"/>
  <c r="C11" i="5"/>
  <c r="C11" i="7"/>
  <c r="C11" i="9"/>
  <c r="C11" i="12"/>
  <c r="C11" i="11"/>
  <c r="C11" i="8"/>
  <c r="C11" i="4"/>
  <c r="I35" i="2"/>
  <c r="I32" i="2"/>
  <c r="I34" i="2"/>
  <c r="I36" i="2"/>
  <c r="D4" i="18" l="1"/>
  <c r="H4" i="18"/>
  <c r="J5" i="18" s="1"/>
  <c r="CO13" i="5"/>
  <c r="CN13" i="5"/>
  <c r="CQ13" i="5"/>
  <c r="CP13" i="5"/>
  <c r="CO13" i="9"/>
  <c r="CQ13" i="9"/>
  <c r="CN13" i="9"/>
  <c r="CP13" i="9"/>
  <c r="M4" i="18"/>
  <c r="N4" i="18" s="1"/>
  <c r="G4" i="18"/>
  <c r="C4" i="18"/>
  <c r="Q4" i="18"/>
  <c r="R4" i="18" s="1"/>
  <c r="K4" i="18"/>
  <c r="L4" i="18" s="1"/>
  <c r="F4" i="18"/>
  <c r="O4" i="18"/>
  <c r="P4" i="18" s="1"/>
  <c r="E4" i="18"/>
  <c r="S4" i="18"/>
  <c r="I4" i="18"/>
  <c r="A8" i="18"/>
  <c r="A7" i="17"/>
  <c r="A8" i="17" s="1"/>
  <c r="G10" i="15"/>
  <c r="I10" i="15" s="1"/>
  <c r="CI13" i="6"/>
  <c r="R13" i="6"/>
  <c r="C5" i="8"/>
  <c r="AO27" i="11"/>
  <c r="AP27" i="11"/>
  <c r="CI13" i="5"/>
  <c r="AV13" i="5"/>
  <c r="BC13" i="5" s="1"/>
  <c r="CG13" i="10"/>
  <c r="P13" i="15"/>
  <c r="AV13" i="15" s="1"/>
  <c r="AX13" i="15" s="1"/>
  <c r="AZ13" i="15" s="1"/>
  <c r="CB13" i="15" s="1"/>
  <c r="P13" i="10"/>
  <c r="AV13" i="10" s="1"/>
  <c r="BB13" i="10" s="1"/>
  <c r="AV13" i="9"/>
  <c r="BC13" i="9" s="1"/>
  <c r="CI13" i="9"/>
  <c r="CG13" i="15"/>
  <c r="G9" i="5"/>
  <c r="D16" i="2"/>
  <c r="C5" i="10"/>
  <c r="C5" i="5"/>
  <c r="C5" i="9"/>
  <c r="C5" i="7"/>
  <c r="D7" i="2"/>
  <c r="E31" i="2" s="1"/>
  <c r="C5" i="15"/>
  <c r="C5" i="12"/>
  <c r="D38" i="2"/>
  <c r="C5" i="4"/>
  <c r="C5" i="6"/>
  <c r="D15" i="2"/>
  <c r="C5" i="11"/>
  <c r="D32" i="2"/>
  <c r="D33" i="2" s="1"/>
  <c r="D34" i="2" s="1"/>
  <c r="D35" i="2" s="1"/>
  <c r="D39" i="2" s="1"/>
  <c r="K33" i="2"/>
  <c r="K34" i="2"/>
  <c r="K35" i="2"/>
  <c r="K36" i="2"/>
  <c r="K31" i="2"/>
  <c r="C12" i="8" s="1"/>
  <c r="BG11" i="8" s="1"/>
  <c r="BH11" i="8" s="1"/>
  <c r="K37" i="2"/>
  <c r="K32" i="2"/>
  <c r="D12" i="12" s="1"/>
  <c r="K41" i="2"/>
  <c r="K40" i="2" s="1"/>
  <c r="AU13" i="4"/>
  <c r="BB13" i="4"/>
  <c r="BC13" i="8"/>
  <c r="BC13" i="11"/>
  <c r="BB13" i="11"/>
  <c r="AX13" i="4"/>
  <c r="AZ13" i="4" s="1"/>
  <c r="CA13" i="4" s="1"/>
  <c r="Q13" i="4"/>
  <c r="AT13" i="4"/>
  <c r="AR13" i="4" s="1"/>
  <c r="Q13" i="12"/>
  <c r="R13" i="12" s="1"/>
  <c r="AT13" i="8"/>
  <c r="AR13" i="8" s="1"/>
  <c r="BB13" i="7"/>
  <c r="AU13" i="8"/>
  <c r="BB13" i="8"/>
  <c r="Q13" i="8"/>
  <c r="R13" i="8" s="1"/>
  <c r="AX13" i="11"/>
  <c r="AZ13" i="11" s="1"/>
  <c r="BD13" i="11" s="1"/>
  <c r="BE13" i="11" s="1"/>
  <c r="BF13" i="11" s="1"/>
  <c r="BC13" i="7"/>
  <c r="AT13" i="7"/>
  <c r="AR13" i="7" s="1"/>
  <c r="AU13" i="7"/>
  <c r="Q13" i="11"/>
  <c r="R13" i="11" s="1"/>
  <c r="AT13" i="11"/>
  <c r="AR13" i="11" s="1"/>
  <c r="AV13" i="6"/>
  <c r="BB13" i="6" s="1"/>
  <c r="BD13" i="8"/>
  <c r="BE13" i="8" s="1"/>
  <c r="BF13" i="8" s="1"/>
  <c r="CB13" i="8"/>
  <c r="CA13" i="8"/>
  <c r="BD13" i="7"/>
  <c r="BE13" i="7" s="1"/>
  <c r="BF13" i="7" s="1"/>
  <c r="CB13" i="7"/>
  <c r="CA13" i="7"/>
  <c r="AU13" i="12"/>
  <c r="BC13" i="12"/>
  <c r="AX13" i="12"/>
  <c r="AZ13" i="12" s="1"/>
  <c r="BD13" i="12" s="1"/>
  <c r="BE13" i="12" s="1"/>
  <c r="BF13" i="12" s="1"/>
  <c r="AT13" i="12"/>
  <c r="AR13" i="12" s="1"/>
  <c r="J10" i="4"/>
  <c r="CE10" i="4" s="1"/>
  <c r="G10" i="4"/>
  <c r="I10" i="4" s="1"/>
  <c r="N10" i="9"/>
  <c r="G10" i="9"/>
  <c r="I10" i="9" s="1"/>
  <c r="AS10" i="8"/>
  <c r="G10" i="8"/>
  <c r="I10" i="8" s="1"/>
  <c r="L10" i="7"/>
  <c r="G10" i="7"/>
  <c r="I10" i="7" s="1"/>
  <c r="N10" i="10"/>
  <c r="G10" i="10"/>
  <c r="I10" i="10" s="1"/>
  <c r="G10" i="11"/>
  <c r="I10" i="11" s="1"/>
  <c r="L10" i="5"/>
  <c r="G10" i="5"/>
  <c r="I10" i="5" s="1"/>
  <c r="AS10" i="6"/>
  <c r="G10" i="6"/>
  <c r="N10" i="12"/>
  <c r="G10" i="12"/>
  <c r="I10" i="12" s="1"/>
  <c r="J10" i="15"/>
  <c r="CE10" i="15" s="1"/>
  <c r="P10" i="9"/>
  <c r="Q10" i="9" s="1"/>
  <c r="R10" i="9" s="1"/>
  <c r="L10" i="15"/>
  <c r="K10" i="5"/>
  <c r="CF10" i="5" s="1"/>
  <c r="K10" i="15"/>
  <c r="L10" i="4"/>
  <c r="L10" i="9"/>
  <c r="AS10" i="15"/>
  <c r="P10" i="4"/>
  <c r="Q10" i="4" s="1"/>
  <c r="R10" i="4" s="1"/>
  <c r="J10" i="9"/>
  <c r="CE10" i="9" s="1"/>
  <c r="J10" i="8"/>
  <c r="CE10" i="8" s="1"/>
  <c r="K10" i="7"/>
  <c r="CF10" i="7" s="1"/>
  <c r="N10" i="8"/>
  <c r="L10" i="6"/>
  <c r="P10" i="7"/>
  <c r="AV10" i="7" s="1"/>
  <c r="P10" i="11"/>
  <c r="Q10" i="11" s="1"/>
  <c r="R10" i="11" s="1"/>
  <c r="L10" i="8"/>
  <c r="N10" i="6"/>
  <c r="P10" i="10"/>
  <c r="AV10" i="10" s="1"/>
  <c r="AS10" i="11"/>
  <c r="N10" i="4"/>
  <c r="K10" i="9"/>
  <c r="CF10" i="9" s="1"/>
  <c r="N10" i="15"/>
  <c r="CH10" i="15" s="1"/>
  <c r="K10" i="4"/>
  <c r="CF10" i="4" s="1"/>
  <c r="AS10" i="10"/>
  <c r="K10" i="8"/>
  <c r="CF10" i="8" s="1"/>
  <c r="K10" i="10"/>
  <c r="CF10" i="10" s="1"/>
  <c r="AS10" i="7"/>
  <c r="P10" i="6"/>
  <c r="Q10" i="6" s="1"/>
  <c r="R10" i="6" s="1"/>
  <c r="J10" i="6"/>
  <c r="CE10" i="6" s="1"/>
  <c r="N10" i="5"/>
  <c r="AS10" i="5"/>
  <c r="L10" i="11"/>
  <c r="J10" i="11"/>
  <c r="CE10" i="11" s="1"/>
  <c r="K10" i="6"/>
  <c r="CF10" i="6" s="1"/>
  <c r="J10" i="5"/>
  <c r="CE10" i="5" s="1"/>
  <c r="N10" i="11"/>
  <c r="K10" i="11"/>
  <c r="CF10" i="11" s="1"/>
  <c r="AS10" i="4"/>
  <c r="AS10" i="9"/>
  <c r="P10" i="15"/>
  <c r="AV10" i="15" s="1"/>
  <c r="P10" i="5"/>
  <c r="AV10" i="5" s="1"/>
  <c r="K10" i="12"/>
  <c r="CF10" i="12" s="1"/>
  <c r="P10" i="12"/>
  <c r="Q10" i="12" s="1"/>
  <c r="R10" i="12" s="1"/>
  <c r="L10" i="12"/>
  <c r="AS10" i="12"/>
  <c r="P10" i="8"/>
  <c r="AV10" i="8" s="1"/>
  <c r="L10" i="10"/>
  <c r="J10" i="10"/>
  <c r="CE10" i="10" s="1"/>
  <c r="N10" i="7"/>
  <c r="J10" i="12"/>
  <c r="CE10" i="12" s="1"/>
  <c r="J10" i="7"/>
  <c r="CE10" i="7" s="1"/>
  <c r="C10" i="8"/>
  <c r="E47" i="8" s="1"/>
  <c r="C10" i="6"/>
  <c r="E47" i="6" s="1"/>
  <c r="C10" i="11"/>
  <c r="E47" i="11" s="1"/>
  <c r="C10" i="7"/>
  <c r="E47" i="7" s="1"/>
  <c r="C10" i="10"/>
  <c r="E47" i="10" s="1"/>
  <c r="C10" i="9"/>
  <c r="E47" i="9" s="1"/>
  <c r="C10" i="12"/>
  <c r="C10" i="4"/>
  <c r="E47" i="4" s="1"/>
  <c r="C10" i="15"/>
  <c r="N9" i="5"/>
  <c r="CH9" i="5" s="1"/>
  <c r="J9" i="5"/>
  <c r="CE9" i="5" s="1"/>
  <c r="K9" i="5"/>
  <c r="AS9" i="5"/>
  <c r="P9" i="5"/>
  <c r="L9" i="5"/>
  <c r="CC9" i="5" s="1"/>
  <c r="CN13" i="11" l="1"/>
  <c r="CQ13" i="11"/>
  <c r="CP13" i="11"/>
  <c r="CO13" i="11"/>
  <c r="CQ10" i="11"/>
  <c r="CN10" i="11"/>
  <c r="CO13" i="8"/>
  <c r="CQ13" i="8"/>
  <c r="CN13" i="8"/>
  <c r="CP13" i="8"/>
  <c r="CQ10" i="4"/>
  <c r="CN10" i="4"/>
  <c r="CO13" i="6"/>
  <c r="CN13" i="6"/>
  <c r="CQ13" i="6"/>
  <c r="CP13" i="6"/>
  <c r="CQ10" i="6"/>
  <c r="CN10" i="6"/>
  <c r="CN10" i="12"/>
  <c r="CQ10" i="12"/>
  <c r="CO13" i="12"/>
  <c r="CN13" i="12"/>
  <c r="CQ13" i="12"/>
  <c r="CP13" i="12"/>
  <c r="CQ10" i="9"/>
  <c r="CN10" i="9"/>
  <c r="B5" i="18"/>
  <c r="H5" i="18" s="1"/>
  <c r="A9" i="18"/>
  <c r="E47" i="15"/>
  <c r="CI13" i="4"/>
  <c r="R13" i="4"/>
  <c r="E38" i="2"/>
  <c r="A9" i="17"/>
  <c r="AU13" i="5"/>
  <c r="AT13" i="5"/>
  <c r="AR13" i="5" s="1"/>
  <c r="AX13" i="5"/>
  <c r="AZ13" i="5" s="1"/>
  <c r="CB13" i="5" s="1"/>
  <c r="BB13" i="5"/>
  <c r="Q13" i="15"/>
  <c r="R13" i="15" s="1"/>
  <c r="BC13" i="15"/>
  <c r="AX13" i="10"/>
  <c r="AZ13" i="10" s="1"/>
  <c r="CB13" i="10" s="1"/>
  <c r="BC13" i="10"/>
  <c r="AT13" i="10"/>
  <c r="AR13" i="10" s="1"/>
  <c r="Q13" i="10"/>
  <c r="R13" i="10" s="1"/>
  <c r="AU13" i="10"/>
  <c r="AU13" i="15"/>
  <c r="BD13" i="15"/>
  <c r="BE13" i="15" s="1"/>
  <c r="BF13" i="15" s="1"/>
  <c r="AT13" i="15"/>
  <c r="AR13" i="15" s="1"/>
  <c r="BB13" i="15"/>
  <c r="CA13" i="15"/>
  <c r="AT13" i="9"/>
  <c r="AR13" i="9" s="1"/>
  <c r="BB13" i="9"/>
  <c r="AU13" i="9"/>
  <c r="AX13" i="9"/>
  <c r="AZ13" i="9" s="1"/>
  <c r="CB13" i="9" s="1"/>
  <c r="G9" i="15"/>
  <c r="E33" i="2"/>
  <c r="E36" i="2"/>
  <c r="E32" i="2"/>
  <c r="E37" i="2"/>
  <c r="E34" i="2"/>
  <c r="E35" i="2"/>
  <c r="C6" i="8"/>
  <c r="E25" i="7"/>
  <c r="C6" i="10"/>
  <c r="E18" i="15"/>
  <c r="E25" i="8"/>
  <c r="C6" i="12"/>
  <c r="E18" i="11"/>
  <c r="C6" i="11"/>
  <c r="E18" i="8"/>
  <c r="D12" i="15"/>
  <c r="J17" i="15" s="1"/>
  <c r="CE17" i="15" s="1"/>
  <c r="D12" i="7"/>
  <c r="J17" i="7" s="1"/>
  <c r="CE17" i="7" s="1"/>
  <c r="K11" i="8"/>
  <c r="CF11" i="8" s="1"/>
  <c r="C12" i="6"/>
  <c r="AS11" i="6" s="1"/>
  <c r="G11" i="8"/>
  <c r="I11" i="8" s="1"/>
  <c r="C12" i="11"/>
  <c r="N11" i="11" s="1"/>
  <c r="O11" i="11" s="1"/>
  <c r="C12" i="15"/>
  <c r="G11" i="15" s="1"/>
  <c r="I11" i="15" s="1"/>
  <c r="D12" i="6"/>
  <c r="H17" i="6" s="1"/>
  <c r="D12" i="11"/>
  <c r="H17" i="11" s="1"/>
  <c r="D12" i="9"/>
  <c r="G17" i="9" s="1"/>
  <c r="I17" i="9" s="1"/>
  <c r="D12" i="5"/>
  <c r="H17" i="5" s="1"/>
  <c r="D12" i="8"/>
  <c r="H17" i="8" s="1"/>
  <c r="C12" i="4"/>
  <c r="N11" i="4" s="1"/>
  <c r="CH11" i="4" s="1"/>
  <c r="D12" i="4"/>
  <c r="H17" i="4" s="1"/>
  <c r="D12" i="10"/>
  <c r="G17" i="10" s="1"/>
  <c r="I17" i="10" s="1"/>
  <c r="E25" i="6"/>
  <c r="E18" i="7"/>
  <c r="E25" i="11"/>
  <c r="E18" i="6"/>
  <c r="E18" i="5"/>
  <c r="E25" i="15"/>
  <c r="E25" i="5"/>
  <c r="C6" i="7"/>
  <c r="O31" i="2"/>
  <c r="E18" i="12"/>
  <c r="C6" i="5"/>
  <c r="C6" i="15"/>
  <c r="E25" i="12"/>
  <c r="C6" i="6"/>
  <c r="D36" i="2"/>
  <c r="D37" i="2" s="1"/>
  <c r="C6" i="4"/>
  <c r="C6" i="9"/>
  <c r="E25" i="4"/>
  <c r="E18" i="4"/>
  <c r="AS11" i="8"/>
  <c r="C12" i="9"/>
  <c r="J11" i="9" s="1"/>
  <c r="CE11" i="9" s="1"/>
  <c r="C12" i="10"/>
  <c r="G11" i="10" s="1"/>
  <c r="I11" i="10" s="1"/>
  <c r="C12" i="7"/>
  <c r="BG11" i="7" s="1"/>
  <c r="BH11" i="7" s="1"/>
  <c r="N11" i="8"/>
  <c r="O11" i="8" s="1"/>
  <c r="C12" i="12"/>
  <c r="J11" i="12" s="1"/>
  <c r="CE11" i="12" s="1"/>
  <c r="J11" i="8"/>
  <c r="CE11" i="8" s="1"/>
  <c r="L11" i="8"/>
  <c r="CC11" i="8" s="1"/>
  <c r="C12" i="5"/>
  <c r="G11" i="5" s="1"/>
  <c r="I11" i="5" s="1"/>
  <c r="CA13" i="11"/>
  <c r="BD13" i="4"/>
  <c r="BE13" i="4" s="1"/>
  <c r="BF13" i="4" s="1"/>
  <c r="CI13" i="12"/>
  <c r="CB13" i="4"/>
  <c r="BC13" i="6"/>
  <c r="CI13" i="11"/>
  <c r="CB13" i="11"/>
  <c r="CI13" i="8"/>
  <c r="AX13" i="6"/>
  <c r="AZ13" i="6" s="1"/>
  <c r="CA13" i="6" s="1"/>
  <c r="CI10" i="11"/>
  <c r="AT13" i="6"/>
  <c r="AR13" i="6" s="1"/>
  <c r="O10" i="11"/>
  <c r="CH10" i="11"/>
  <c r="M10" i="11"/>
  <c r="CC10" i="11"/>
  <c r="AU13" i="6"/>
  <c r="M10" i="8"/>
  <c r="CC10" i="8"/>
  <c r="O10" i="8"/>
  <c r="CH10" i="8"/>
  <c r="CB13" i="12"/>
  <c r="O10" i="7"/>
  <c r="CH10" i="7"/>
  <c r="M10" i="7"/>
  <c r="CC10" i="7"/>
  <c r="M10" i="4"/>
  <c r="CC10" i="4"/>
  <c r="O10" i="4"/>
  <c r="CH10" i="4"/>
  <c r="CI10" i="4"/>
  <c r="CA13" i="12"/>
  <c r="CI10" i="6"/>
  <c r="O10" i="6"/>
  <c r="CH10" i="6"/>
  <c r="M10" i="6"/>
  <c r="CC10" i="6"/>
  <c r="M10" i="5"/>
  <c r="CC10" i="5"/>
  <c r="K16" i="5"/>
  <c r="CF16" i="5" s="1"/>
  <c r="CF9" i="5"/>
  <c r="O10" i="5"/>
  <c r="CH10" i="5"/>
  <c r="CI10" i="12"/>
  <c r="O10" i="12"/>
  <c r="CH10" i="12"/>
  <c r="M10" i="12"/>
  <c r="CC10" i="12"/>
  <c r="O10" i="10"/>
  <c r="CH10" i="10"/>
  <c r="M10" i="10"/>
  <c r="CC10" i="10"/>
  <c r="CI10" i="9"/>
  <c r="O10" i="9"/>
  <c r="CH10" i="9"/>
  <c r="M10" i="9"/>
  <c r="CC10" i="9"/>
  <c r="O10" i="15"/>
  <c r="CF10" i="15"/>
  <c r="M10" i="15"/>
  <c r="CC10" i="15"/>
  <c r="AX10" i="8"/>
  <c r="AZ10" i="8" s="1"/>
  <c r="BB10" i="8"/>
  <c r="BC10" i="8"/>
  <c r="AX10" i="7"/>
  <c r="AZ10" i="7" s="1"/>
  <c r="BB10" i="7"/>
  <c r="BC10" i="7"/>
  <c r="AX10" i="5"/>
  <c r="AZ10" i="5" s="1"/>
  <c r="BB10" i="5"/>
  <c r="BC10" i="5"/>
  <c r="BB10" i="10"/>
  <c r="BC10" i="10"/>
  <c r="AX10" i="10"/>
  <c r="AZ10" i="10" s="1"/>
  <c r="L9" i="4"/>
  <c r="G9" i="4"/>
  <c r="K9" i="7"/>
  <c r="G9" i="7"/>
  <c r="J9" i="11"/>
  <c r="G9" i="11"/>
  <c r="K9" i="9"/>
  <c r="G9" i="9"/>
  <c r="K9" i="6"/>
  <c r="G9" i="6"/>
  <c r="AS9" i="8"/>
  <c r="AS16" i="8" s="1"/>
  <c r="G9" i="8"/>
  <c r="P9" i="10"/>
  <c r="AV9" i="10" s="1"/>
  <c r="G9" i="10"/>
  <c r="AS9" i="12"/>
  <c r="AS16" i="12" s="1"/>
  <c r="G9" i="12"/>
  <c r="J9" i="15"/>
  <c r="AS17" i="12"/>
  <c r="H17" i="12"/>
  <c r="AU10" i="8"/>
  <c r="AU10" i="7"/>
  <c r="AU10" i="10"/>
  <c r="AU10" i="15"/>
  <c r="AX10" i="15"/>
  <c r="AZ10" i="15" s="1"/>
  <c r="CB10" i="15" s="1"/>
  <c r="G17" i="12"/>
  <c r="I17" i="12" s="1"/>
  <c r="J17" i="12"/>
  <c r="CE17" i="12" s="1"/>
  <c r="K17" i="12"/>
  <c r="CF17" i="12" s="1"/>
  <c r="BG17" i="12"/>
  <c r="BH17" i="12" s="1"/>
  <c r="N17" i="12"/>
  <c r="L17" i="12"/>
  <c r="CC17" i="12" s="1"/>
  <c r="M17" i="12"/>
  <c r="I10" i="6"/>
  <c r="AT10" i="5"/>
  <c r="AR10" i="5" s="1"/>
  <c r="AU10" i="5"/>
  <c r="BC10" i="15"/>
  <c r="BB10" i="15"/>
  <c r="AT10" i="15"/>
  <c r="AR10" i="15" s="1"/>
  <c r="BG10" i="15"/>
  <c r="BH10" i="15" s="1"/>
  <c r="AV10" i="9"/>
  <c r="Q10" i="10"/>
  <c r="R10" i="10" s="1"/>
  <c r="AV10" i="4"/>
  <c r="AV10" i="11"/>
  <c r="AX10" i="11" s="1"/>
  <c r="AZ10" i="11" s="1"/>
  <c r="AV10" i="6"/>
  <c r="Q10" i="7"/>
  <c r="R10" i="7" s="1"/>
  <c r="AV10" i="12"/>
  <c r="Q10" i="5"/>
  <c r="R10" i="5" s="1"/>
  <c r="Q10" i="15"/>
  <c r="Q10" i="8"/>
  <c r="R10" i="8" s="1"/>
  <c r="J9" i="8"/>
  <c r="CE9" i="8" s="1"/>
  <c r="N9" i="8"/>
  <c r="CH9" i="8" s="1"/>
  <c r="L9" i="8"/>
  <c r="CC9" i="8" s="1"/>
  <c r="K9" i="8"/>
  <c r="CF9" i="8" s="1"/>
  <c r="P9" i="8"/>
  <c r="AS9" i="15"/>
  <c r="K9" i="12"/>
  <c r="CF9" i="12" s="1"/>
  <c r="L9" i="7"/>
  <c r="CC9" i="7" s="1"/>
  <c r="AS9" i="7"/>
  <c r="L9" i="11"/>
  <c r="CC9" i="11" s="1"/>
  <c r="J9" i="4"/>
  <c r="CE9" i="4" s="1"/>
  <c r="N9" i="6"/>
  <c r="CH9" i="6" s="1"/>
  <c r="K9" i="15"/>
  <c r="P9" i="15"/>
  <c r="Q9" i="15" s="1"/>
  <c r="CI9" i="15" s="1"/>
  <c r="N9" i="11"/>
  <c r="L9" i="15"/>
  <c r="CC9" i="15" s="1"/>
  <c r="AS9" i="4"/>
  <c r="J9" i="9"/>
  <c r="CE9" i="9" s="1"/>
  <c r="L9" i="6"/>
  <c r="CC9" i="6" s="1"/>
  <c r="L9" i="9"/>
  <c r="CC9" i="9" s="1"/>
  <c r="P9" i="6"/>
  <c r="N9" i="15"/>
  <c r="CH9" i="15" s="1"/>
  <c r="P9" i="9"/>
  <c r="Q9" i="9" s="1"/>
  <c r="P9" i="7"/>
  <c r="N9" i="7"/>
  <c r="CH9" i="7" s="1"/>
  <c r="N9" i="4"/>
  <c r="CH9" i="4" s="1"/>
  <c r="P9" i="4"/>
  <c r="AS9" i="11"/>
  <c r="AS16" i="11" s="1"/>
  <c r="AS9" i="6"/>
  <c r="AS16" i="6" s="1"/>
  <c r="P9" i="11"/>
  <c r="J9" i="7"/>
  <c r="CE9" i="7" s="1"/>
  <c r="AS9" i="9"/>
  <c r="N9" i="12"/>
  <c r="CH9" i="12" s="1"/>
  <c r="K9" i="4"/>
  <c r="CF9" i="4" s="1"/>
  <c r="AS9" i="10"/>
  <c r="N9" i="9"/>
  <c r="CH9" i="9" s="1"/>
  <c r="K9" i="11"/>
  <c r="CF9" i="11" s="1"/>
  <c r="J9" i="6"/>
  <c r="CE9" i="6" s="1"/>
  <c r="L9" i="12"/>
  <c r="CC9" i="12" s="1"/>
  <c r="K9" i="10"/>
  <c r="CF9" i="10" s="1"/>
  <c r="P9" i="12"/>
  <c r="J9" i="12"/>
  <c r="CE9" i="12" s="1"/>
  <c r="N9" i="10"/>
  <c r="CH9" i="10" s="1"/>
  <c r="L9" i="10"/>
  <c r="CC9" i="10" s="1"/>
  <c r="J9" i="10"/>
  <c r="CE9" i="10" s="1"/>
  <c r="AV9" i="5"/>
  <c r="P16" i="5"/>
  <c r="Q9" i="5"/>
  <c r="J16" i="5"/>
  <c r="CE16" i="5" s="1"/>
  <c r="BG10" i="8"/>
  <c r="BH10" i="8" s="1"/>
  <c r="AT10" i="8"/>
  <c r="AR10" i="8" s="1"/>
  <c r="BG10" i="7"/>
  <c r="BH10" i="7" s="1"/>
  <c r="AT10" i="7"/>
  <c r="AR10" i="7" s="1"/>
  <c r="I9" i="5"/>
  <c r="G16" i="5"/>
  <c r="O9" i="5"/>
  <c r="N16" i="5"/>
  <c r="CH16" i="5" s="1"/>
  <c r="AT10" i="10"/>
  <c r="AR10" i="10" s="1"/>
  <c r="BG10" i="10"/>
  <c r="BH10" i="10" s="1"/>
  <c r="AS16" i="5"/>
  <c r="BG10" i="5"/>
  <c r="BH10" i="5" s="1"/>
  <c r="M9" i="5"/>
  <c r="L16" i="5"/>
  <c r="CC16" i="5" s="1"/>
  <c r="CN10" i="8" l="1"/>
  <c r="CQ10" i="8"/>
  <c r="CQ10" i="7"/>
  <c r="CN10" i="7"/>
  <c r="CN13" i="4"/>
  <c r="CP13" i="4"/>
  <c r="CO13" i="4"/>
  <c r="CQ13" i="4"/>
  <c r="CQ10" i="5"/>
  <c r="CN10" i="5"/>
  <c r="CN10" i="10"/>
  <c r="CQ10" i="10"/>
  <c r="CO13" i="10"/>
  <c r="CN13" i="10"/>
  <c r="CQ13" i="10"/>
  <c r="CP13" i="10"/>
  <c r="C5" i="18"/>
  <c r="S5" i="18"/>
  <c r="I5" i="18"/>
  <c r="O5" i="18"/>
  <c r="P5" i="18" s="1"/>
  <c r="K5" i="18"/>
  <c r="L5" i="18" s="1"/>
  <c r="Q5" i="18"/>
  <c r="R5" i="18" s="1"/>
  <c r="J6" i="18"/>
  <c r="D5" i="18"/>
  <c r="G5" i="18"/>
  <c r="F5" i="18"/>
  <c r="M5" i="18"/>
  <c r="N5" i="18" s="1"/>
  <c r="E5" i="18"/>
  <c r="A10" i="18"/>
  <c r="CN13" i="15"/>
  <c r="CP13" i="15"/>
  <c r="CQ13" i="15"/>
  <c r="CO13" i="15"/>
  <c r="CI9" i="5"/>
  <c r="R9" i="5"/>
  <c r="CI9" i="9"/>
  <c r="R9" i="9"/>
  <c r="E18" i="10"/>
  <c r="E25" i="9"/>
  <c r="E24" i="8"/>
  <c r="E23" i="12"/>
  <c r="E22" i="5"/>
  <c r="E21" i="6"/>
  <c r="E20" i="8"/>
  <c r="E19" i="15"/>
  <c r="E18" i="9"/>
  <c r="O38" i="2"/>
  <c r="I9" i="15"/>
  <c r="G16" i="15"/>
  <c r="A10" i="17"/>
  <c r="BD13" i="5"/>
  <c r="BE13" i="5" s="1"/>
  <c r="BF13" i="5" s="1"/>
  <c r="CA13" i="5"/>
  <c r="CI13" i="15"/>
  <c r="BD13" i="10"/>
  <c r="BE13" i="10" s="1"/>
  <c r="BF13" i="10" s="1"/>
  <c r="CA13" i="10"/>
  <c r="CI13" i="10"/>
  <c r="CA13" i="9"/>
  <c r="BD13" i="9"/>
  <c r="BE13" i="9" s="1"/>
  <c r="BF13" i="9" s="1"/>
  <c r="E20" i="6"/>
  <c r="E20" i="12"/>
  <c r="O33" i="2"/>
  <c r="E20" i="9" s="1"/>
  <c r="E20" i="11"/>
  <c r="E21" i="15"/>
  <c r="E21" i="5"/>
  <c r="E21" i="7"/>
  <c r="E20" i="15"/>
  <c r="E21" i="12"/>
  <c r="E19" i="11"/>
  <c r="E20" i="7"/>
  <c r="E20" i="4"/>
  <c r="E20" i="5"/>
  <c r="O34" i="2"/>
  <c r="E21" i="9" s="1"/>
  <c r="E24" i="15"/>
  <c r="E24" i="11"/>
  <c r="E24" i="6"/>
  <c r="E23" i="11"/>
  <c r="E23" i="5"/>
  <c r="E23" i="7"/>
  <c r="E23" i="6"/>
  <c r="E24" i="12"/>
  <c r="E23" i="15"/>
  <c r="E23" i="8"/>
  <c r="E19" i="6"/>
  <c r="E19" i="4"/>
  <c r="E19" i="7"/>
  <c r="E19" i="8"/>
  <c r="E19" i="5"/>
  <c r="O32" i="2"/>
  <c r="E19" i="9" s="1"/>
  <c r="E23" i="4"/>
  <c r="E19" i="12"/>
  <c r="O35" i="2"/>
  <c r="E22" i="9" s="1"/>
  <c r="E22" i="7"/>
  <c r="E22" i="6"/>
  <c r="E24" i="7"/>
  <c r="E24" i="4"/>
  <c r="E22" i="12"/>
  <c r="E22" i="8"/>
  <c r="E24" i="5"/>
  <c r="E21" i="8"/>
  <c r="E21" i="11"/>
  <c r="E21" i="4"/>
  <c r="E22" i="11"/>
  <c r="E39" i="2"/>
  <c r="E22" i="15"/>
  <c r="E22" i="4"/>
  <c r="M17" i="7"/>
  <c r="CD17" i="7" s="1"/>
  <c r="AS17" i="15"/>
  <c r="L11" i="12"/>
  <c r="M11" i="12" s="1"/>
  <c r="BG11" i="6"/>
  <c r="BH11" i="6" s="1"/>
  <c r="L17" i="9"/>
  <c r="CC17" i="9" s="1"/>
  <c r="K11" i="6"/>
  <c r="CF11" i="6" s="1"/>
  <c r="BG17" i="15"/>
  <c r="BH17" i="15" s="1"/>
  <c r="G17" i="15"/>
  <c r="I17" i="15" s="1"/>
  <c r="K17" i="15"/>
  <c r="CF17" i="15" s="1"/>
  <c r="M17" i="15"/>
  <c r="CD17" i="15" s="1"/>
  <c r="N17" i="15"/>
  <c r="CH17" i="15" s="1"/>
  <c r="L17" i="15"/>
  <c r="CC17" i="15" s="1"/>
  <c r="H17" i="15"/>
  <c r="AS17" i="9"/>
  <c r="J17" i="9"/>
  <c r="CE17" i="9" s="1"/>
  <c r="L17" i="7"/>
  <c r="CC17" i="7" s="1"/>
  <c r="K17" i="7"/>
  <c r="CF17" i="7" s="1"/>
  <c r="AS17" i="6"/>
  <c r="H17" i="7"/>
  <c r="M17" i="9"/>
  <c r="CD17" i="9" s="1"/>
  <c r="AS11" i="12"/>
  <c r="BG17" i="7"/>
  <c r="BH17" i="7" s="1"/>
  <c r="G17" i="7"/>
  <c r="I17" i="7" s="1"/>
  <c r="N17" i="7"/>
  <c r="O17" i="7" s="1"/>
  <c r="BG17" i="4"/>
  <c r="BH17" i="4" s="1"/>
  <c r="J17" i="6"/>
  <c r="CE17" i="6" s="1"/>
  <c r="AS17" i="7"/>
  <c r="N17" i="10"/>
  <c r="CH17" i="10" s="1"/>
  <c r="L11" i="11"/>
  <c r="CC11" i="11" s="1"/>
  <c r="AS17" i="5"/>
  <c r="BG17" i="11"/>
  <c r="BH17" i="11" s="1"/>
  <c r="K11" i="11"/>
  <c r="CF11" i="11" s="1"/>
  <c r="BG11" i="11"/>
  <c r="BH11" i="11" s="1"/>
  <c r="BG17" i="9"/>
  <c r="BH17" i="9" s="1"/>
  <c r="J11" i="6"/>
  <c r="CE11" i="6" s="1"/>
  <c r="K11" i="12"/>
  <c r="CF11" i="12" s="1"/>
  <c r="H17" i="9"/>
  <c r="N17" i="9"/>
  <c r="CH17" i="9" s="1"/>
  <c r="N17" i="5"/>
  <c r="CH17" i="5" s="1"/>
  <c r="BG11" i="12"/>
  <c r="BH11" i="12" s="1"/>
  <c r="N11" i="6"/>
  <c r="O11" i="6" s="1"/>
  <c r="K17" i="9"/>
  <c r="CF17" i="9" s="1"/>
  <c r="G11" i="12"/>
  <c r="I11" i="12" s="1"/>
  <c r="G11" i="6"/>
  <c r="I11" i="6" s="1"/>
  <c r="N11" i="12"/>
  <c r="CH11" i="12" s="1"/>
  <c r="L11" i="6"/>
  <c r="M11" i="6" s="1"/>
  <c r="M17" i="5"/>
  <c r="CD17" i="5" s="1"/>
  <c r="K17" i="5"/>
  <c r="CF17" i="5" s="1"/>
  <c r="BG11" i="15"/>
  <c r="BH11" i="15" s="1"/>
  <c r="O11" i="4"/>
  <c r="P11" i="4" s="1"/>
  <c r="Q11" i="4" s="1"/>
  <c r="R11" i="4" s="1"/>
  <c r="M11" i="8"/>
  <c r="CD11" i="8" s="1"/>
  <c r="CH11" i="11"/>
  <c r="AS11" i="4"/>
  <c r="N11" i="15"/>
  <c r="CH11" i="15" s="1"/>
  <c r="BG11" i="4"/>
  <c r="BH11" i="4" s="1"/>
  <c r="J11" i="15"/>
  <c r="CE11" i="15" s="1"/>
  <c r="J11" i="4"/>
  <c r="CE11" i="4" s="1"/>
  <c r="AS11" i="15"/>
  <c r="N11" i="10"/>
  <c r="O11" i="10" s="1"/>
  <c r="AS11" i="11"/>
  <c r="L11" i="15"/>
  <c r="CC11" i="15" s="1"/>
  <c r="K11" i="15"/>
  <c r="CF11" i="15" s="1"/>
  <c r="L11" i="4"/>
  <c r="M11" i="4" s="1"/>
  <c r="K11" i="4"/>
  <c r="CF11" i="4" s="1"/>
  <c r="G11" i="11"/>
  <c r="I11" i="11" s="1"/>
  <c r="G11" i="4"/>
  <c r="I11" i="4" s="1"/>
  <c r="J11" i="11"/>
  <c r="CE11" i="11" s="1"/>
  <c r="N17" i="11"/>
  <c r="O17" i="11" s="1"/>
  <c r="G17" i="11"/>
  <c r="I17" i="11" s="1"/>
  <c r="K17" i="11"/>
  <c r="CF17" i="11" s="1"/>
  <c r="BG17" i="10"/>
  <c r="BH17" i="10" s="1"/>
  <c r="L17" i="6"/>
  <c r="CC17" i="6" s="1"/>
  <c r="N11" i="7"/>
  <c r="CH11" i="7" s="1"/>
  <c r="L17" i="10"/>
  <c r="CC17" i="10" s="1"/>
  <c r="J17" i="10"/>
  <c r="CE17" i="10" s="1"/>
  <c r="L17" i="11"/>
  <c r="CC17" i="11" s="1"/>
  <c r="BG17" i="6"/>
  <c r="BH17" i="6" s="1"/>
  <c r="K17" i="10"/>
  <c r="CF17" i="10" s="1"/>
  <c r="M17" i="10"/>
  <c r="CD17" i="10" s="1"/>
  <c r="AS17" i="10"/>
  <c r="J17" i="11"/>
  <c r="CE17" i="11" s="1"/>
  <c r="M17" i="11"/>
  <c r="CD17" i="11" s="1"/>
  <c r="H17" i="10"/>
  <c r="AS17" i="11"/>
  <c r="M17" i="6"/>
  <c r="CD17" i="6" s="1"/>
  <c r="G17" i="6"/>
  <c r="I17" i="6" s="1"/>
  <c r="N17" i="6"/>
  <c r="O17" i="6" s="1"/>
  <c r="K17" i="6"/>
  <c r="CF17" i="6" s="1"/>
  <c r="M17" i="8"/>
  <c r="CD17" i="8" s="1"/>
  <c r="N11" i="9"/>
  <c r="CH11" i="9" s="1"/>
  <c r="G17" i="8"/>
  <c r="I17" i="8" s="1"/>
  <c r="BG17" i="8"/>
  <c r="BH17" i="8" s="1"/>
  <c r="K17" i="8"/>
  <c r="CF17" i="8" s="1"/>
  <c r="J17" i="5"/>
  <c r="CE17" i="5" s="1"/>
  <c r="G17" i="5"/>
  <c r="I17" i="5" s="1"/>
  <c r="O37" i="2"/>
  <c r="E24" i="9" s="1"/>
  <c r="O36" i="2"/>
  <c r="E23" i="9" s="1"/>
  <c r="J17" i="8"/>
  <c r="CE17" i="8" s="1"/>
  <c r="L17" i="5"/>
  <c r="CC17" i="5" s="1"/>
  <c r="BG17" i="5"/>
  <c r="BH17" i="5" s="1"/>
  <c r="N17" i="8"/>
  <c r="CH17" i="8" s="1"/>
  <c r="AS17" i="8"/>
  <c r="L17" i="8"/>
  <c r="CC17" i="8" s="1"/>
  <c r="AS11" i="9"/>
  <c r="E25" i="10"/>
  <c r="BG11" i="9"/>
  <c r="BH11" i="9" s="1"/>
  <c r="K11" i="9"/>
  <c r="CF11" i="9" s="1"/>
  <c r="G11" i="9"/>
  <c r="I11" i="9" s="1"/>
  <c r="L11" i="9"/>
  <c r="CC11" i="9" s="1"/>
  <c r="K17" i="4"/>
  <c r="CF17" i="4" s="1"/>
  <c r="AS17" i="4"/>
  <c r="E12" i="4"/>
  <c r="G17" i="4"/>
  <c r="I17" i="4" s="1"/>
  <c r="M17" i="4"/>
  <c r="CD17" i="4" s="1"/>
  <c r="J17" i="4"/>
  <c r="CE17" i="4" s="1"/>
  <c r="L17" i="4"/>
  <c r="CC17" i="4" s="1"/>
  <c r="N17" i="4"/>
  <c r="O17" i="4" s="1"/>
  <c r="L11" i="7"/>
  <c r="M11" i="7" s="1"/>
  <c r="K11" i="10"/>
  <c r="CF11" i="10" s="1"/>
  <c r="BG11" i="5"/>
  <c r="BH11" i="5" s="1"/>
  <c r="AS11" i="5"/>
  <c r="J11" i="10"/>
  <c r="CE11" i="10" s="1"/>
  <c r="K11" i="5"/>
  <c r="CF11" i="5" s="1"/>
  <c r="BG11" i="10"/>
  <c r="BH11" i="10" s="1"/>
  <c r="J11" i="7"/>
  <c r="CE11" i="7" s="1"/>
  <c r="N11" i="5"/>
  <c r="O11" i="5" s="1"/>
  <c r="AS11" i="10"/>
  <c r="AS11" i="7"/>
  <c r="G11" i="7"/>
  <c r="I11" i="7" s="1"/>
  <c r="CH11" i="8"/>
  <c r="J11" i="5"/>
  <c r="CE11" i="5" s="1"/>
  <c r="L11" i="5"/>
  <c r="M11" i="5" s="1"/>
  <c r="L11" i="10"/>
  <c r="CC11" i="10" s="1"/>
  <c r="K11" i="7"/>
  <c r="CF11" i="7" s="1"/>
  <c r="P11" i="11"/>
  <c r="AV11" i="11" s="1"/>
  <c r="AU11" i="11" s="1"/>
  <c r="CG11" i="11"/>
  <c r="H10" i="11"/>
  <c r="CG10" i="11"/>
  <c r="H11" i="8"/>
  <c r="CG11" i="8"/>
  <c r="H10" i="8"/>
  <c r="CG10" i="8"/>
  <c r="H10" i="7"/>
  <c r="CG10" i="7"/>
  <c r="H10" i="4"/>
  <c r="CG10" i="4"/>
  <c r="H10" i="6"/>
  <c r="CG10" i="6"/>
  <c r="H9" i="5"/>
  <c r="H16" i="5" s="1"/>
  <c r="CG9" i="5"/>
  <c r="H10" i="5"/>
  <c r="CG10" i="5"/>
  <c r="H10" i="12"/>
  <c r="CG10" i="12"/>
  <c r="H10" i="10"/>
  <c r="CG10" i="10"/>
  <c r="H10" i="9"/>
  <c r="CG10" i="9"/>
  <c r="H10" i="15"/>
  <c r="CG10" i="15"/>
  <c r="P11" i="8"/>
  <c r="Q11" i="8" s="1"/>
  <c r="R11" i="8" s="1"/>
  <c r="CD10" i="11"/>
  <c r="CD10" i="8"/>
  <c r="CD10" i="7"/>
  <c r="CD10" i="4"/>
  <c r="CD10" i="6"/>
  <c r="CD10" i="5"/>
  <c r="CD9" i="5"/>
  <c r="CD17" i="12"/>
  <c r="CD10" i="12"/>
  <c r="CD10" i="10"/>
  <c r="CD10" i="9"/>
  <c r="CD10" i="15"/>
  <c r="CB13" i="6"/>
  <c r="BD13" i="6"/>
  <c r="BE13" i="6" s="1"/>
  <c r="BF13" i="6" s="1"/>
  <c r="H11" i="11"/>
  <c r="O9" i="11"/>
  <c r="CH9" i="11"/>
  <c r="BD10" i="11"/>
  <c r="BE10" i="11" s="1"/>
  <c r="BF10" i="11" s="1"/>
  <c r="CB10" i="11"/>
  <c r="CA10" i="11"/>
  <c r="J16" i="11"/>
  <c r="CE16" i="11" s="1"/>
  <c r="CE9" i="11"/>
  <c r="CI10" i="8"/>
  <c r="BD10" i="8"/>
  <c r="BE10" i="8" s="1"/>
  <c r="BF10" i="8" s="1"/>
  <c r="CB10" i="8"/>
  <c r="CA10" i="8"/>
  <c r="CI10" i="7"/>
  <c r="K16" i="7"/>
  <c r="CF16" i="7" s="1"/>
  <c r="CF9" i="7"/>
  <c r="BD10" i="7"/>
  <c r="BE10" i="7" s="1"/>
  <c r="BF10" i="7" s="1"/>
  <c r="CB10" i="7"/>
  <c r="CA10" i="7"/>
  <c r="M9" i="4"/>
  <c r="CC9" i="4"/>
  <c r="K16" i="6"/>
  <c r="CF16" i="6" s="1"/>
  <c r="CF9" i="6"/>
  <c r="CI10" i="5"/>
  <c r="BD10" i="5"/>
  <c r="BE10" i="5" s="1"/>
  <c r="BF10" i="5" s="1"/>
  <c r="CB10" i="5"/>
  <c r="CA10" i="5"/>
  <c r="O17" i="12"/>
  <c r="CH17" i="12"/>
  <c r="BD10" i="10"/>
  <c r="BE10" i="10" s="1"/>
  <c r="BF10" i="10" s="1"/>
  <c r="CB10" i="10"/>
  <c r="CA10" i="10"/>
  <c r="CI10" i="10"/>
  <c r="K16" i="9"/>
  <c r="CF16" i="9" s="1"/>
  <c r="CF9" i="9"/>
  <c r="R10" i="15"/>
  <c r="CQ10" i="15" s="1"/>
  <c r="CI10" i="15"/>
  <c r="CF9" i="15"/>
  <c r="J16" i="15"/>
  <c r="CE16" i="15" s="1"/>
  <c r="CE9" i="15"/>
  <c r="BD10" i="15"/>
  <c r="BE10" i="15" s="1"/>
  <c r="BF10" i="15" s="1"/>
  <c r="CA10" i="15"/>
  <c r="BB10" i="4"/>
  <c r="BC10" i="4"/>
  <c r="AX10" i="4"/>
  <c r="AZ10" i="4" s="1"/>
  <c r="AX10" i="6"/>
  <c r="AZ10" i="6" s="1"/>
  <c r="BC10" i="6"/>
  <c r="BB10" i="6"/>
  <c r="BC9" i="5"/>
  <c r="BB9" i="5"/>
  <c r="AX9" i="5"/>
  <c r="AZ9" i="5" s="1"/>
  <c r="BB10" i="12"/>
  <c r="BC10" i="12"/>
  <c r="AX10" i="12"/>
  <c r="AZ10" i="12" s="1"/>
  <c r="AX9" i="10"/>
  <c r="AZ9" i="10" s="1"/>
  <c r="BB9" i="10"/>
  <c r="BC9" i="10"/>
  <c r="AX10" i="9"/>
  <c r="AZ10" i="9" s="1"/>
  <c r="BB10" i="9"/>
  <c r="BC10" i="9"/>
  <c r="Q9" i="10"/>
  <c r="R9" i="10" s="1"/>
  <c r="L16" i="4"/>
  <c r="CC16" i="4" s="1"/>
  <c r="P16" i="10"/>
  <c r="AU9" i="10"/>
  <c r="BB10" i="11"/>
  <c r="AU10" i="11"/>
  <c r="AU10" i="4"/>
  <c r="AU10" i="6"/>
  <c r="AU10" i="12"/>
  <c r="AT10" i="9"/>
  <c r="AR10" i="9" s="1"/>
  <c r="AU10" i="9"/>
  <c r="AT9" i="5"/>
  <c r="AR9" i="5" s="1"/>
  <c r="AU9" i="5"/>
  <c r="BG10" i="9"/>
  <c r="BH10" i="9" s="1"/>
  <c r="AS16" i="15"/>
  <c r="BG10" i="11"/>
  <c r="BH10" i="11" s="1"/>
  <c r="BG10" i="4"/>
  <c r="BH10" i="4" s="1"/>
  <c r="AT10" i="4"/>
  <c r="AR10" i="4" s="1"/>
  <c r="AT10" i="6"/>
  <c r="AR10" i="6" s="1"/>
  <c r="BG10" i="6"/>
  <c r="BH10" i="6" s="1"/>
  <c r="BC10" i="11"/>
  <c r="AT10" i="11"/>
  <c r="AR10" i="11" s="1"/>
  <c r="BG10" i="12"/>
  <c r="BH10" i="12" s="1"/>
  <c r="AT10" i="12"/>
  <c r="AR10" i="12" s="1"/>
  <c r="AV9" i="7"/>
  <c r="J16" i="4"/>
  <c r="CE16" i="4" s="1"/>
  <c r="K16" i="10"/>
  <c r="CF16" i="10" s="1"/>
  <c r="K16" i="4"/>
  <c r="CF16" i="4" s="1"/>
  <c r="K16" i="11"/>
  <c r="CF16" i="11" s="1"/>
  <c r="K16" i="12"/>
  <c r="CF16" i="12" s="1"/>
  <c r="K16" i="8"/>
  <c r="CF16" i="8" s="1"/>
  <c r="AB27" i="15"/>
  <c r="AF27" i="15"/>
  <c r="AA27" i="15"/>
  <c r="AE27" i="15"/>
  <c r="AH27" i="15"/>
  <c r="AC27" i="15"/>
  <c r="AD27" i="15"/>
  <c r="G16" i="4"/>
  <c r="N16" i="8"/>
  <c r="CH16" i="8" s="1"/>
  <c r="O9" i="8"/>
  <c r="G16" i="8"/>
  <c r="J16" i="8"/>
  <c r="CE16" i="8" s="1"/>
  <c r="M9" i="8"/>
  <c r="L16" i="8"/>
  <c r="CC16" i="8" s="1"/>
  <c r="M9" i="9"/>
  <c r="AS16" i="4"/>
  <c r="L16" i="7"/>
  <c r="CC16" i="7" s="1"/>
  <c r="M9" i="7"/>
  <c r="CD9" i="7" s="1"/>
  <c r="I9" i="6"/>
  <c r="P16" i="9"/>
  <c r="I9" i="9"/>
  <c r="AS16" i="9"/>
  <c r="Q9" i="8"/>
  <c r="G16" i="9"/>
  <c r="AV9" i="8"/>
  <c r="AV9" i="12"/>
  <c r="P16" i="8"/>
  <c r="AS16" i="10"/>
  <c r="M9" i="15"/>
  <c r="I9" i="8"/>
  <c r="AV9" i="9"/>
  <c r="L16" i="9"/>
  <c r="CC16" i="9" s="1"/>
  <c r="N16" i="9"/>
  <c r="CH16" i="9" s="1"/>
  <c r="Q9" i="4"/>
  <c r="P16" i="12"/>
  <c r="AV9" i="6"/>
  <c r="O9" i="6"/>
  <c r="J16" i="9"/>
  <c r="CE16" i="9" s="1"/>
  <c r="L16" i="11"/>
  <c r="CC16" i="11" s="1"/>
  <c r="M9" i="11"/>
  <c r="Q9" i="7"/>
  <c r="N16" i="6"/>
  <c r="CH16" i="6" s="1"/>
  <c r="AV9" i="11"/>
  <c r="I9" i="4"/>
  <c r="G16" i="6"/>
  <c r="AS16" i="7"/>
  <c r="AV9" i="15"/>
  <c r="P16" i="15"/>
  <c r="AV9" i="4"/>
  <c r="N16" i="10"/>
  <c r="CH16" i="10" s="1"/>
  <c r="N16" i="12"/>
  <c r="CH16" i="12" s="1"/>
  <c r="G16" i="11"/>
  <c r="O9" i="10"/>
  <c r="M9" i="12"/>
  <c r="M9" i="6"/>
  <c r="P16" i="11"/>
  <c r="O9" i="7"/>
  <c r="L16" i="12"/>
  <c r="CC16" i="12" s="1"/>
  <c r="L16" i="6"/>
  <c r="CC16" i="6" s="1"/>
  <c r="N16" i="11"/>
  <c r="CH16" i="11" s="1"/>
  <c r="N16" i="15"/>
  <c r="CH16" i="15" s="1"/>
  <c r="L16" i="15"/>
  <c r="CC16" i="15" s="1"/>
  <c r="O9" i="15"/>
  <c r="CG9" i="15" s="1"/>
  <c r="O9" i="9"/>
  <c r="K16" i="15"/>
  <c r="P16" i="7"/>
  <c r="I9" i="10"/>
  <c r="I9" i="7"/>
  <c r="J16" i="6"/>
  <c r="CE16" i="6" s="1"/>
  <c r="Q9" i="6"/>
  <c r="L16" i="10"/>
  <c r="CC16" i="10" s="1"/>
  <c r="O9" i="4"/>
  <c r="G16" i="7"/>
  <c r="J16" i="7"/>
  <c r="CE16" i="7" s="1"/>
  <c r="P16" i="6"/>
  <c r="N16" i="4"/>
  <c r="CH16" i="4" s="1"/>
  <c r="J16" i="12"/>
  <c r="CE16" i="12" s="1"/>
  <c r="J16" i="10"/>
  <c r="CE16" i="10" s="1"/>
  <c r="O9" i="12"/>
  <c r="N16" i="7"/>
  <c r="CH16" i="7" s="1"/>
  <c r="G16" i="12"/>
  <c r="Q9" i="12"/>
  <c r="Q9" i="11"/>
  <c r="I9" i="11"/>
  <c r="P16" i="4"/>
  <c r="I9" i="12"/>
  <c r="G16" i="10"/>
  <c r="M9" i="10"/>
  <c r="Q16" i="5"/>
  <c r="CI16" i="5" s="1"/>
  <c r="R9" i="15"/>
  <c r="CQ9" i="15" s="1"/>
  <c r="Q16" i="15"/>
  <c r="CI16" i="15" s="1"/>
  <c r="Q16" i="9"/>
  <c r="CI16" i="9" s="1"/>
  <c r="BG9" i="5"/>
  <c r="AV16" i="5"/>
  <c r="I16" i="5"/>
  <c r="AT9" i="10"/>
  <c r="AR9" i="10" s="1"/>
  <c r="AV16" i="10"/>
  <c r="BG9" i="10"/>
  <c r="M16" i="5"/>
  <c r="O16" i="5"/>
  <c r="CG16" i="5" s="1"/>
  <c r="CQ11" i="8" l="1"/>
  <c r="CN11" i="8"/>
  <c r="CN11" i="4"/>
  <c r="CQ11" i="4"/>
  <c r="CQ9" i="5"/>
  <c r="CN9" i="5"/>
  <c r="CQ9" i="10"/>
  <c r="CN9" i="10"/>
  <c r="CQ9" i="9"/>
  <c r="CN9" i="9"/>
  <c r="B6" i="18"/>
  <c r="A11" i="18"/>
  <c r="R16" i="5"/>
  <c r="R16" i="10"/>
  <c r="R16" i="9"/>
  <c r="CN9" i="15"/>
  <c r="CN10" i="15"/>
  <c r="CI9" i="11"/>
  <c r="R9" i="11"/>
  <c r="CI9" i="8"/>
  <c r="R9" i="8"/>
  <c r="CI9" i="7"/>
  <c r="R9" i="7"/>
  <c r="CI9" i="4"/>
  <c r="R9" i="4"/>
  <c r="CI9" i="6"/>
  <c r="R9" i="6"/>
  <c r="CI9" i="12"/>
  <c r="R9" i="12"/>
  <c r="O39" i="2"/>
  <c r="E26" i="9" s="1"/>
  <c r="A11" i="17"/>
  <c r="E20" i="10"/>
  <c r="E21" i="10"/>
  <c r="E26" i="4"/>
  <c r="E26" i="7"/>
  <c r="E26" i="11"/>
  <c r="E22" i="10"/>
  <c r="E19" i="10"/>
  <c r="E26" i="15"/>
  <c r="E26" i="6"/>
  <c r="E26" i="5"/>
  <c r="E26" i="8"/>
  <c r="E26" i="12"/>
  <c r="O17" i="15"/>
  <c r="CG17" i="15" s="1"/>
  <c r="O17" i="10"/>
  <c r="P17" i="10" s="1"/>
  <c r="Q17" i="10" s="1"/>
  <c r="R17" i="10" s="1"/>
  <c r="CC11" i="12"/>
  <c r="O11" i="15"/>
  <c r="H11" i="15" s="1"/>
  <c r="CH17" i="7"/>
  <c r="O11" i="7"/>
  <c r="H11" i="7" s="1"/>
  <c r="O17" i="5"/>
  <c r="CG17" i="5" s="1"/>
  <c r="CH11" i="6"/>
  <c r="M11" i="11"/>
  <c r="CD11" i="11" s="1"/>
  <c r="O11" i="12"/>
  <c r="H11" i="12" s="1"/>
  <c r="CC11" i="6"/>
  <c r="O11" i="9"/>
  <c r="P11" i="9" s="1"/>
  <c r="Q11" i="9" s="1"/>
  <c r="R11" i="9" s="1"/>
  <c r="O17" i="9"/>
  <c r="P17" i="9" s="1"/>
  <c r="AV17" i="9" s="1"/>
  <c r="AX17" i="9" s="1"/>
  <c r="AZ17" i="9" s="1"/>
  <c r="CH17" i="11"/>
  <c r="CG11" i="4"/>
  <c r="E23" i="10"/>
  <c r="H11" i="4"/>
  <c r="CH17" i="6"/>
  <c r="M11" i="10"/>
  <c r="CD11" i="10" s="1"/>
  <c r="CC11" i="4"/>
  <c r="CH17" i="4"/>
  <c r="O17" i="8"/>
  <c r="CG17" i="8" s="1"/>
  <c r="CH11" i="10"/>
  <c r="M11" i="15"/>
  <c r="CD11" i="15" s="1"/>
  <c r="M11" i="9"/>
  <c r="CD11" i="9" s="1"/>
  <c r="E24" i="10"/>
  <c r="CC11" i="7"/>
  <c r="CC11" i="5"/>
  <c r="CH11" i="5"/>
  <c r="AX11" i="11"/>
  <c r="AZ11" i="11" s="1"/>
  <c r="BC11" i="11"/>
  <c r="AT11" i="11"/>
  <c r="AR11" i="11" s="1"/>
  <c r="Q11" i="11"/>
  <c r="R11" i="11" s="1"/>
  <c r="BB11" i="11"/>
  <c r="P17" i="11"/>
  <c r="Q17" i="11" s="1"/>
  <c r="R17" i="11" s="1"/>
  <c r="CG17" i="11"/>
  <c r="H9" i="11"/>
  <c r="H16" i="11" s="1"/>
  <c r="CG9" i="11"/>
  <c r="H9" i="8"/>
  <c r="H16" i="8" s="1"/>
  <c r="CG9" i="8"/>
  <c r="P17" i="7"/>
  <c r="AV17" i="7" s="1"/>
  <c r="AX17" i="7" s="1"/>
  <c r="AZ17" i="7" s="1"/>
  <c r="BD17" i="7" s="1"/>
  <c r="BE17" i="7" s="1"/>
  <c r="BF17" i="7" s="1"/>
  <c r="CG17" i="7"/>
  <c r="H9" i="7"/>
  <c r="H16" i="7" s="1"/>
  <c r="CG9" i="7"/>
  <c r="P17" i="4"/>
  <c r="AV17" i="4" s="1"/>
  <c r="BB17" i="4" s="1"/>
  <c r="CG17" i="4"/>
  <c r="H9" i="4"/>
  <c r="H16" i="4" s="1"/>
  <c r="CG9" i="4"/>
  <c r="H9" i="6"/>
  <c r="H16" i="6" s="1"/>
  <c r="CG9" i="6"/>
  <c r="P11" i="6"/>
  <c r="AV11" i="6" s="1"/>
  <c r="AT11" i="6" s="1"/>
  <c r="AR11" i="6" s="1"/>
  <c r="CG11" i="6"/>
  <c r="P17" i="6"/>
  <c r="AV17" i="6" s="1"/>
  <c r="BC17" i="6" s="1"/>
  <c r="CG17" i="6"/>
  <c r="H11" i="5"/>
  <c r="CG11" i="5"/>
  <c r="H9" i="12"/>
  <c r="H16" i="12" s="1"/>
  <c r="CG9" i="12"/>
  <c r="P17" i="12"/>
  <c r="Q17" i="12" s="1"/>
  <c r="R17" i="12" s="1"/>
  <c r="CG17" i="12"/>
  <c r="H9" i="10"/>
  <c r="H16" i="10" s="1"/>
  <c r="CG9" i="10"/>
  <c r="P11" i="10"/>
  <c r="Q11" i="10" s="1"/>
  <c r="R11" i="10" s="1"/>
  <c r="CG11" i="10"/>
  <c r="H9" i="9"/>
  <c r="H16" i="9" s="1"/>
  <c r="CG9" i="9"/>
  <c r="CI11" i="8"/>
  <c r="AV11" i="8"/>
  <c r="AX11" i="8" s="1"/>
  <c r="CD9" i="11"/>
  <c r="CD9" i="8"/>
  <c r="CD11" i="7"/>
  <c r="CD11" i="4"/>
  <c r="CD9" i="4"/>
  <c r="CD9" i="6"/>
  <c r="CD11" i="6"/>
  <c r="CD16" i="5"/>
  <c r="CD11" i="5"/>
  <c r="CD11" i="12"/>
  <c r="CD9" i="12"/>
  <c r="CD9" i="10"/>
  <c r="CD9" i="9"/>
  <c r="CD9" i="15"/>
  <c r="O16" i="11"/>
  <c r="CG16" i="11" s="1"/>
  <c r="H11" i="6"/>
  <c r="AV11" i="4"/>
  <c r="BC11" i="4" s="1"/>
  <c r="M16" i="7"/>
  <c r="CI11" i="4"/>
  <c r="BD10" i="4"/>
  <c r="BE10" i="4" s="1"/>
  <c r="BF10" i="4" s="1"/>
  <c r="CA10" i="4"/>
  <c r="CB10" i="4"/>
  <c r="M16" i="4"/>
  <c r="P11" i="5"/>
  <c r="Q11" i="5" s="1"/>
  <c r="R11" i="5" s="1"/>
  <c r="BD10" i="6"/>
  <c r="BE10" i="6" s="1"/>
  <c r="BF10" i="6" s="1"/>
  <c r="CB10" i="6"/>
  <c r="CA10" i="6"/>
  <c r="BD9" i="5"/>
  <c r="BE9" i="5" s="1"/>
  <c r="BF9" i="5" s="1"/>
  <c r="CB9" i="5"/>
  <c r="CA9" i="5"/>
  <c r="H11" i="10"/>
  <c r="BD10" i="12"/>
  <c r="BE10" i="12" s="1"/>
  <c r="BF10" i="12" s="1"/>
  <c r="CB10" i="12"/>
  <c r="CA10" i="12"/>
  <c r="Q16" i="10"/>
  <c r="CI16" i="10" s="1"/>
  <c r="CI9" i="10"/>
  <c r="BD9" i="10"/>
  <c r="BE9" i="10" s="1"/>
  <c r="BF9" i="10" s="1"/>
  <c r="CB9" i="10"/>
  <c r="CA9" i="10"/>
  <c r="BD10" i="9"/>
  <c r="BE10" i="9" s="1"/>
  <c r="BF10" i="9" s="1"/>
  <c r="CB10" i="9"/>
  <c r="CA10" i="9"/>
  <c r="CF16" i="15"/>
  <c r="BC9" i="8"/>
  <c r="AX9" i="8"/>
  <c r="AZ9" i="8" s="1"/>
  <c r="BB9" i="8"/>
  <c r="BC9" i="7"/>
  <c r="BB9" i="7"/>
  <c r="AX9" i="7"/>
  <c r="AZ9" i="7" s="1"/>
  <c r="AX9" i="4"/>
  <c r="AZ9" i="4" s="1"/>
  <c r="BC9" i="4"/>
  <c r="BB9" i="4"/>
  <c r="BC9" i="6"/>
  <c r="BB9" i="6"/>
  <c r="AX9" i="6"/>
  <c r="AZ9" i="6" s="1"/>
  <c r="AX16" i="5"/>
  <c r="BB16" i="5"/>
  <c r="BC16" i="5"/>
  <c r="AX9" i="12"/>
  <c r="AZ9" i="12" s="1"/>
  <c r="BC9" i="12"/>
  <c r="BB9" i="12"/>
  <c r="BB16" i="10"/>
  <c r="AX16" i="10"/>
  <c r="AZ16" i="10" s="1"/>
  <c r="BC16" i="10"/>
  <c r="BC9" i="9"/>
  <c r="BB9" i="9"/>
  <c r="AX9" i="9"/>
  <c r="AZ9" i="9" s="1"/>
  <c r="AU9" i="11"/>
  <c r="AX9" i="11"/>
  <c r="AU9" i="8"/>
  <c r="AU9" i="7"/>
  <c r="AU9" i="4"/>
  <c r="AU9" i="6"/>
  <c r="AU16" i="5"/>
  <c r="AU9" i="12"/>
  <c r="AU16" i="10"/>
  <c r="AU9" i="15"/>
  <c r="AX9" i="15"/>
  <c r="AZ9" i="15" s="1"/>
  <c r="O16" i="4"/>
  <c r="CG16" i="4" s="1"/>
  <c r="H9" i="15"/>
  <c r="BH9" i="5"/>
  <c r="BH9" i="10"/>
  <c r="AT9" i="9"/>
  <c r="AR9" i="9" s="1"/>
  <c r="AU9" i="9"/>
  <c r="BC9" i="15"/>
  <c r="BB9" i="15"/>
  <c r="AV16" i="15"/>
  <c r="AX16" i="15" s="1"/>
  <c r="AZ16" i="15" s="1"/>
  <c r="CB16" i="15" s="1"/>
  <c r="BG9" i="15"/>
  <c r="AT9" i="15"/>
  <c r="AR9" i="15" s="1"/>
  <c r="BC9" i="11"/>
  <c r="BB9" i="11"/>
  <c r="BG9" i="7"/>
  <c r="AV16" i="4"/>
  <c r="I16" i="8"/>
  <c r="O16" i="8"/>
  <c r="CG16" i="8" s="1"/>
  <c r="I16" i="15"/>
  <c r="M16" i="9"/>
  <c r="M16" i="8"/>
  <c r="I16" i="6"/>
  <c r="O16" i="6"/>
  <c r="CG16" i="6" s="1"/>
  <c r="AV16" i="8"/>
  <c r="BG9" i="8"/>
  <c r="Q16" i="8"/>
  <c r="CI16" i="8" s="1"/>
  <c r="I16" i="9"/>
  <c r="AV16" i="9"/>
  <c r="BG9" i="9"/>
  <c r="AT9" i="12"/>
  <c r="AR9" i="12" s="1"/>
  <c r="O16" i="10"/>
  <c r="CG16" i="10" s="1"/>
  <c r="O16" i="7"/>
  <c r="CG16" i="7" s="1"/>
  <c r="I16" i="10"/>
  <c r="AT9" i="8"/>
  <c r="AR9" i="8" s="1"/>
  <c r="M16" i="15"/>
  <c r="AT9" i="11"/>
  <c r="AR9" i="11" s="1"/>
  <c r="AV16" i="12"/>
  <c r="BG9" i="12"/>
  <c r="I16" i="4"/>
  <c r="Q16" i="7"/>
  <c r="CI16" i="7" s="1"/>
  <c r="M16" i="6"/>
  <c r="O16" i="15"/>
  <c r="CG16" i="15" s="1"/>
  <c r="AV16" i="11"/>
  <c r="BG9" i="11"/>
  <c r="M16" i="11"/>
  <c r="BG9" i="6"/>
  <c r="AV16" i="6"/>
  <c r="AT9" i="6"/>
  <c r="AR9" i="6" s="1"/>
  <c r="Q16" i="4"/>
  <c r="CI16" i="4" s="1"/>
  <c r="AT9" i="4"/>
  <c r="AR9" i="4" s="1"/>
  <c r="Q16" i="6"/>
  <c r="CI16" i="6" s="1"/>
  <c r="BG9" i="4"/>
  <c r="I16" i="7"/>
  <c r="AV16" i="7"/>
  <c r="AT9" i="7"/>
  <c r="AR9" i="7" s="1"/>
  <c r="M16" i="12"/>
  <c r="O16" i="9"/>
  <c r="CG16" i="9" s="1"/>
  <c r="M16" i="10"/>
  <c r="O16" i="12"/>
  <c r="CG16" i="12" s="1"/>
  <c r="I16" i="12"/>
  <c r="I16" i="11"/>
  <c r="Q16" i="12"/>
  <c r="CI16" i="12" s="1"/>
  <c r="Q16" i="11"/>
  <c r="CI16" i="11" s="1"/>
  <c r="AT16" i="5"/>
  <c r="AR16" i="5" s="1"/>
  <c r="BG16" i="5"/>
  <c r="BG16" i="10"/>
  <c r="AT16" i="10"/>
  <c r="AR16" i="10" s="1"/>
  <c r="R16" i="15"/>
  <c r="C6" i="18" l="1"/>
  <c r="H6" i="18"/>
  <c r="J7" i="18" s="1"/>
  <c r="CP17" i="11"/>
  <c r="CO17" i="11"/>
  <c r="CN17" i="11"/>
  <c r="CQ17" i="11"/>
  <c r="CN11" i="11"/>
  <c r="CQ11" i="11"/>
  <c r="CN9" i="11"/>
  <c r="CQ9" i="11"/>
  <c r="CQ9" i="8"/>
  <c r="CN9" i="8"/>
  <c r="CQ9" i="7"/>
  <c r="CN9" i="7"/>
  <c r="CQ9" i="4"/>
  <c r="CN9" i="4"/>
  <c r="CQ9" i="6"/>
  <c r="CN9" i="6"/>
  <c r="CO16" i="5"/>
  <c r="CN16" i="5"/>
  <c r="CP16" i="5"/>
  <c r="CQ16" i="5"/>
  <c r="CQ11" i="5"/>
  <c r="CN11" i="5"/>
  <c r="CQ9" i="12"/>
  <c r="CN9" i="12"/>
  <c r="CQ17" i="12"/>
  <c r="CP17" i="12"/>
  <c r="CN17" i="12"/>
  <c r="CO17" i="12"/>
  <c r="CQ11" i="10"/>
  <c r="CN11" i="10"/>
  <c r="CO16" i="10"/>
  <c r="CN16" i="10"/>
  <c r="CQ16" i="10"/>
  <c r="CP16" i="10"/>
  <c r="CQ17" i="10"/>
  <c r="CP17" i="10"/>
  <c r="CO17" i="10"/>
  <c r="CN17" i="10"/>
  <c r="CQ11" i="9"/>
  <c r="CN11" i="9"/>
  <c r="CO16" i="9"/>
  <c r="CQ16" i="9"/>
  <c r="CN16" i="9"/>
  <c r="CP16" i="9"/>
  <c r="D6" i="18"/>
  <c r="O6" i="18"/>
  <c r="P6" i="18" s="1"/>
  <c r="S6" i="18"/>
  <c r="K6" i="18"/>
  <c r="L6" i="18" s="1"/>
  <c r="Q6" i="18"/>
  <c r="R6" i="18" s="1"/>
  <c r="F6" i="18"/>
  <c r="M6" i="18"/>
  <c r="N6" i="18" s="1"/>
  <c r="I6" i="18"/>
  <c r="G6" i="18"/>
  <c r="E6" i="18"/>
  <c r="A12" i="18"/>
  <c r="R16" i="11"/>
  <c r="R16" i="8"/>
  <c r="R16" i="7"/>
  <c r="R16" i="4"/>
  <c r="R16" i="6"/>
  <c r="R16" i="12"/>
  <c r="CN16" i="15"/>
  <c r="CO16" i="15"/>
  <c r="CP16" i="15"/>
  <c r="CQ16" i="15"/>
  <c r="E26" i="10"/>
  <c r="A12" i="17"/>
  <c r="CG17" i="10"/>
  <c r="P17" i="15"/>
  <c r="AV17" i="15" s="1"/>
  <c r="AT17" i="15" s="1"/>
  <c r="AR17" i="15" s="1"/>
  <c r="CG11" i="15"/>
  <c r="P11" i="15"/>
  <c r="Q11" i="15" s="1"/>
  <c r="R11" i="15" s="1"/>
  <c r="CG11" i="7"/>
  <c r="P17" i="5"/>
  <c r="AV17" i="5" s="1"/>
  <c r="BB17" i="5" s="1"/>
  <c r="CG11" i="12"/>
  <c r="P11" i="7"/>
  <c r="Q11" i="7" s="1"/>
  <c r="H11" i="9"/>
  <c r="P11" i="12"/>
  <c r="Q11" i="12" s="1"/>
  <c r="R11" i="12" s="1"/>
  <c r="CG11" i="9"/>
  <c r="CG17" i="9"/>
  <c r="P17" i="8"/>
  <c r="AV17" i="8" s="1"/>
  <c r="BC17" i="8" s="1"/>
  <c r="AT17" i="4"/>
  <c r="AR17" i="4" s="1"/>
  <c r="Q17" i="4"/>
  <c r="CI11" i="11"/>
  <c r="CI17" i="11"/>
  <c r="BC17" i="4"/>
  <c r="AV17" i="11"/>
  <c r="BC17" i="11" s="1"/>
  <c r="BC17" i="7"/>
  <c r="AU17" i="7"/>
  <c r="Q17" i="7"/>
  <c r="R17" i="7" s="1"/>
  <c r="CA17" i="7"/>
  <c r="BB17" i="6"/>
  <c r="AU17" i="6"/>
  <c r="CB17" i="7"/>
  <c r="BB17" i="7"/>
  <c r="AT17" i="7"/>
  <c r="AR17" i="7" s="1"/>
  <c r="CI11" i="10"/>
  <c r="AU17" i="4"/>
  <c r="AX11" i="6"/>
  <c r="AZ11" i="6" s="1"/>
  <c r="AX17" i="4"/>
  <c r="AZ17" i="4" s="1"/>
  <c r="BD17" i="4" s="1"/>
  <c r="BE17" i="4" s="1"/>
  <c r="BF17" i="4" s="1"/>
  <c r="AV11" i="9"/>
  <c r="BC11" i="9" s="1"/>
  <c r="AX17" i="6"/>
  <c r="AZ17" i="6" s="1"/>
  <c r="CB17" i="6" s="1"/>
  <c r="AU11" i="6"/>
  <c r="BB11" i="6"/>
  <c r="Q11" i="6"/>
  <c r="R11" i="6" s="1"/>
  <c r="BC11" i="6"/>
  <c r="Q17" i="6"/>
  <c r="R17" i="6" s="1"/>
  <c r="AT17" i="6"/>
  <c r="AR17" i="6" s="1"/>
  <c r="AT17" i="9"/>
  <c r="AR17" i="9" s="1"/>
  <c r="AU17" i="9"/>
  <c r="CI11" i="9"/>
  <c r="BC17" i="9"/>
  <c r="AV11" i="10"/>
  <c r="AT11" i="10" s="1"/>
  <c r="AR11" i="10" s="1"/>
  <c r="BB17" i="9"/>
  <c r="AV17" i="12"/>
  <c r="BB17" i="12" s="1"/>
  <c r="CI17" i="12"/>
  <c r="Q17" i="9"/>
  <c r="AV17" i="10"/>
  <c r="BB17" i="10" s="1"/>
  <c r="CI17" i="10"/>
  <c r="AT11" i="8"/>
  <c r="AR11" i="8" s="1"/>
  <c r="BB11" i="8"/>
  <c r="AU11" i="8"/>
  <c r="BC11" i="8"/>
  <c r="CD16" i="11"/>
  <c r="CD16" i="8"/>
  <c r="CD16" i="7"/>
  <c r="CD16" i="4"/>
  <c r="CD16" i="6"/>
  <c r="CD16" i="12"/>
  <c r="CD16" i="10"/>
  <c r="CD16" i="9"/>
  <c r="CD16" i="15"/>
  <c r="AU11" i="4"/>
  <c r="AX11" i="4"/>
  <c r="AZ11" i="4" s="1"/>
  <c r="AT11" i="4"/>
  <c r="AR11" i="4" s="1"/>
  <c r="BB11" i="4"/>
  <c r="CB11" i="11"/>
  <c r="CA11" i="11"/>
  <c r="BD9" i="8"/>
  <c r="BE9" i="8" s="1"/>
  <c r="BF9" i="8" s="1"/>
  <c r="CB9" i="8"/>
  <c r="CA9" i="8"/>
  <c r="AV11" i="5"/>
  <c r="BC11" i="5" s="1"/>
  <c r="BD9" i="7"/>
  <c r="BE9" i="7" s="1"/>
  <c r="BF9" i="7" s="1"/>
  <c r="CB9" i="7"/>
  <c r="CA9" i="7"/>
  <c r="BD9" i="4"/>
  <c r="BE9" i="4" s="1"/>
  <c r="BF9" i="4" s="1"/>
  <c r="CA9" i="4"/>
  <c r="CB9" i="4"/>
  <c r="CI11" i="5"/>
  <c r="BD9" i="6"/>
  <c r="BE9" i="6" s="1"/>
  <c r="BF9" i="6" s="1"/>
  <c r="CB9" i="6"/>
  <c r="CA9" i="6"/>
  <c r="BD9" i="12"/>
  <c r="BE9" i="12" s="1"/>
  <c r="BF9" i="12" s="1"/>
  <c r="CB9" i="12"/>
  <c r="CA9" i="12"/>
  <c r="BD16" i="10"/>
  <c r="BE16" i="10" s="1"/>
  <c r="BF16" i="10" s="1"/>
  <c r="CB16" i="10"/>
  <c r="CA16" i="10"/>
  <c r="CB17" i="9"/>
  <c r="CA17" i="9"/>
  <c r="BD9" i="9"/>
  <c r="BE9" i="9" s="1"/>
  <c r="BF9" i="9" s="1"/>
  <c r="CB9" i="9"/>
  <c r="CA9" i="9"/>
  <c r="CA9" i="15"/>
  <c r="CB9" i="15"/>
  <c r="BD16" i="15"/>
  <c r="BE16" i="15" s="1"/>
  <c r="BF16" i="15" s="1"/>
  <c r="CA16" i="15"/>
  <c r="BD9" i="15"/>
  <c r="BE9" i="15" s="1"/>
  <c r="BF9" i="15" s="1"/>
  <c r="BD11" i="11"/>
  <c r="AZ9" i="11"/>
  <c r="AZ11" i="8"/>
  <c r="AX16" i="8"/>
  <c r="BC16" i="8"/>
  <c r="BB16" i="8"/>
  <c r="AX16" i="7"/>
  <c r="BB16" i="7"/>
  <c r="BC16" i="7"/>
  <c r="BB16" i="4"/>
  <c r="AX16" i="4"/>
  <c r="BC16" i="4"/>
  <c r="AX16" i="6"/>
  <c r="BC16" i="6"/>
  <c r="BB16" i="6"/>
  <c r="AZ16" i="5"/>
  <c r="BB16" i="12"/>
  <c r="AX16" i="12"/>
  <c r="AZ16" i="12" s="1"/>
  <c r="BC16" i="12"/>
  <c r="BD17" i="9"/>
  <c r="AX16" i="9"/>
  <c r="BB16" i="9"/>
  <c r="BC16" i="9"/>
  <c r="AU16" i="11"/>
  <c r="AX16" i="11"/>
  <c r="AZ16" i="11" s="1"/>
  <c r="AU16" i="8"/>
  <c r="AU16" i="7"/>
  <c r="AU16" i="6"/>
  <c r="AU16" i="12"/>
  <c r="AU16" i="9"/>
  <c r="AU16" i="15"/>
  <c r="H16" i="15"/>
  <c r="BH9" i="4"/>
  <c r="BH16" i="10"/>
  <c r="BH16" i="5"/>
  <c r="AT16" i="4"/>
  <c r="AR16" i="4" s="1"/>
  <c r="AU16" i="4"/>
  <c r="BC16" i="15"/>
  <c r="BB16" i="15"/>
  <c r="AT16" i="15"/>
  <c r="AR16" i="15" s="1"/>
  <c r="BG16" i="11"/>
  <c r="BH9" i="11"/>
  <c r="BH9" i="8"/>
  <c r="BH9" i="7"/>
  <c r="BH9" i="6"/>
  <c r="BH9" i="12"/>
  <c r="BH9" i="9"/>
  <c r="BG16" i="7"/>
  <c r="BC16" i="11"/>
  <c r="BB16" i="11"/>
  <c r="BG16" i="12"/>
  <c r="AT16" i="8"/>
  <c r="AR16" i="8" s="1"/>
  <c r="AT16" i="7"/>
  <c r="AR16" i="7" s="1"/>
  <c r="AT16" i="9"/>
  <c r="AR16" i="9" s="1"/>
  <c r="AT16" i="12"/>
  <c r="AR16" i="12" s="1"/>
  <c r="BG16" i="8"/>
  <c r="BG16" i="9"/>
  <c r="BG16" i="6"/>
  <c r="AT16" i="6"/>
  <c r="AR16" i="6" s="1"/>
  <c r="AT16" i="11"/>
  <c r="AR16" i="11" s="1"/>
  <c r="BG16" i="4"/>
  <c r="CN16" i="11" l="1"/>
  <c r="CQ16" i="11"/>
  <c r="CP16" i="11"/>
  <c r="CO16" i="11"/>
  <c r="CO16" i="8"/>
  <c r="CQ16" i="8"/>
  <c r="CN16" i="8"/>
  <c r="CP16" i="8"/>
  <c r="CQ17" i="7"/>
  <c r="CN17" i="7"/>
  <c r="CO17" i="7"/>
  <c r="CP17" i="7"/>
  <c r="CO16" i="7"/>
  <c r="CQ16" i="7"/>
  <c r="CP16" i="7"/>
  <c r="CN16" i="7"/>
  <c r="CN16" i="4"/>
  <c r="CP16" i="4"/>
  <c r="CO16" i="4"/>
  <c r="CQ16" i="4"/>
  <c r="CQ17" i="6"/>
  <c r="CP17" i="6"/>
  <c r="CO17" i="6"/>
  <c r="CN17" i="6"/>
  <c r="CQ11" i="6"/>
  <c r="CN11" i="6"/>
  <c r="CO16" i="6"/>
  <c r="CN16" i="6"/>
  <c r="CQ16" i="6"/>
  <c r="CP16" i="6"/>
  <c r="CQ11" i="12"/>
  <c r="CN11" i="12"/>
  <c r="CO16" i="12"/>
  <c r="CN16" i="12"/>
  <c r="CQ16" i="12"/>
  <c r="CP16" i="12"/>
  <c r="B7" i="18"/>
  <c r="A13" i="18"/>
  <c r="CN11" i="15"/>
  <c r="CQ11" i="15"/>
  <c r="CI11" i="7"/>
  <c r="R11" i="7"/>
  <c r="CI17" i="4"/>
  <c r="R17" i="4"/>
  <c r="CI17" i="9"/>
  <c r="R17" i="9"/>
  <c r="A13" i="17"/>
  <c r="AU17" i="15"/>
  <c r="AX17" i="15"/>
  <c r="AZ17" i="15" s="1"/>
  <c r="CB17" i="15" s="1"/>
  <c r="BC17" i="15"/>
  <c r="Q17" i="15"/>
  <c r="CI17" i="15" s="1"/>
  <c r="BB17" i="15"/>
  <c r="CI11" i="15"/>
  <c r="AV11" i="15"/>
  <c r="BB11" i="15" s="1"/>
  <c r="Q17" i="5"/>
  <c r="R17" i="5" s="1"/>
  <c r="BC17" i="5"/>
  <c r="AU17" i="5"/>
  <c r="AT17" i="5"/>
  <c r="AR17" i="5" s="1"/>
  <c r="AX17" i="5"/>
  <c r="AZ17" i="5" s="1"/>
  <c r="BD17" i="5" s="1"/>
  <c r="BE17" i="5" s="1"/>
  <c r="BF17" i="5" s="1"/>
  <c r="AV11" i="7"/>
  <c r="BB11" i="7" s="1"/>
  <c r="AV11" i="12"/>
  <c r="AX11" i="12" s="1"/>
  <c r="AZ11" i="12" s="1"/>
  <c r="CI11" i="12"/>
  <c r="AT17" i="8"/>
  <c r="AR17" i="8" s="1"/>
  <c r="Q17" i="8"/>
  <c r="AX17" i="8"/>
  <c r="AZ17" i="8" s="1"/>
  <c r="BD17" i="8" s="1"/>
  <c r="BE17" i="8" s="1"/>
  <c r="BF17" i="8" s="1"/>
  <c r="AU17" i="8"/>
  <c r="BB17" i="8"/>
  <c r="BB17" i="11"/>
  <c r="AU17" i="11"/>
  <c r="AT17" i="11"/>
  <c r="AR17" i="11" s="1"/>
  <c r="AX17" i="11"/>
  <c r="AZ17" i="11" s="1"/>
  <c r="BD17" i="11" s="1"/>
  <c r="CI17" i="7"/>
  <c r="CI11" i="6"/>
  <c r="AT17" i="12"/>
  <c r="AR17" i="12" s="1"/>
  <c r="CA17" i="4"/>
  <c r="AX11" i="9"/>
  <c r="AZ11" i="9" s="1"/>
  <c r="CB17" i="4"/>
  <c r="BD17" i="6"/>
  <c r="BE17" i="6" s="1"/>
  <c r="AU11" i="9"/>
  <c r="AX17" i="12"/>
  <c r="AZ17" i="12" s="1"/>
  <c r="BD17" i="12" s="1"/>
  <c r="BB11" i="9"/>
  <c r="BC17" i="12"/>
  <c r="AX11" i="10"/>
  <c r="AZ11" i="10" s="1"/>
  <c r="BB11" i="10"/>
  <c r="AX17" i="10"/>
  <c r="AZ17" i="10" s="1"/>
  <c r="CB17" i="10" s="1"/>
  <c r="CA17" i="6"/>
  <c r="AT11" i="9"/>
  <c r="AR11" i="9" s="1"/>
  <c r="BC11" i="10"/>
  <c r="BC17" i="10"/>
  <c r="CI17" i="6"/>
  <c r="AU11" i="10"/>
  <c r="AU17" i="12"/>
  <c r="AU17" i="10"/>
  <c r="AT17" i="10"/>
  <c r="AR17" i="10" s="1"/>
  <c r="AX11" i="5"/>
  <c r="AZ11" i="5" s="1"/>
  <c r="BD16" i="11"/>
  <c r="BE16" i="11" s="1"/>
  <c r="BF16" i="11" s="1"/>
  <c r="CB16" i="11"/>
  <c r="CA16" i="11"/>
  <c r="BD9" i="11"/>
  <c r="BE9" i="11" s="1"/>
  <c r="BF9" i="11" s="1"/>
  <c r="CB9" i="11"/>
  <c r="CA9" i="11"/>
  <c r="CB11" i="8"/>
  <c r="CA11" i="8"/>
  <c r="BB11" i="5"/>
  <c r="AT11" i="5"/>
  <c r="AR11" i="5" s="1"/>
  <c r="AU11" i="5"/>
  <c r="CA11" i="4"/>
  <c r="CB11" i="4"/>
  <c r="CB11" i="6"/>
  <c r="CA11" i="6"/>
  <c r="CB16" i="5"/>
  <c r="CA16" i="5"/>
  <c r="BD16" i="12"/>
  <c r="BE16" i="12" s="1"/>
  <c r="BF16" i="12" s="1"/>
  <c r="CB16" i="12"/>
  <c r="CA16" i="12"/>
  <c r="BE11" i="11"/>
  <c r="AZ16" i="8"/>
  <c r="BD11" i="8"/>
  <c r="AZ16" i="7"/>
  <c r="BD11" i="4"/>
  <c r="AZ16" i="4"/>
  <c r="AZ16" i="6"/>
  <c r="BD11" i="6"/>
  <c r="BD16" i="5"/>
  <c r="AZ16" i="9"/>
  <c r="BE17" i="9"/>
  <c r="BH16" i="9"/>
  <c r="BH16" i="11"/>
  <c r="BH16" i="4"/>
  <c r="BH16" i="7"/>
  <c r="BH16" i="12"/>
  <c r="BH16" i="8"/>
  <c r="BH16" i="6"/>
  <c r="Q7" i="18" l="1"/>
  <c r="R7" i="18" s="1"/>
  <c r="H7" i="18"/>
  <c r="J8" i="18" s="1"/>
  <c r="CQ11" i="7"/>
  <c r="CN11" i="7"/>
  <c r="CP17" i="4"/>
  <c r="CN17" i="4"/>
  <c r="CO17" i="4"/>
  <c r="CQ17" i="4"/>
  <c r="CQ17" i="5"/>
  <c r="CP17" i="5"/>
  <c r="CO17" i="5"/>
  <c r="CN17" i="5"/>
  <c r="CQ17" i="9"/>
  <c r="CP17" i="9"/>
  <c r="CN17" i="9"/>
  <c r="CO17" i="9"/>
  <c r="F7" i="18"/>
  <c r="M7" i="18"/>
  <c r="N7" i="18" s="1"/>
  <c r="O7" i="18"/>
  <c r="P7" i="18" s="1"/>
  <c r="I7" i="18"/>
  <c r="C7" i="18"/>
  <c r="S7" i="18"/>
  <c r="E7" i="18"/>
  <c r="K7" i="18"/>
  <c r="L7" i="18" s="1"/>
  <c r="G7" i="18"/>
  <c r="D7" i="18"/>
  <c r="A14" i="18"/>
  <c r="CI17" i="8"/>
  <c r="R17" i="8"/>
  <c r="A14" i="17"/>
  <c r="CA17" i="15"/>
  <c r="AT11" i="15"/>
  <c r="AR11" i="15" s="1"/>
  <c r="BD17" i="15"/>
  <c r="BE17" i="15" s="1"/>
  <c r="BF17" i="15" s="1"/>
  <c r="R17" i="15"/>
  <c r="AX11" i="15"/>
  <c r="AZ11" i="15" s="1"/>
  <c r="CB11" i="15" s="1"/>
  <c r="BC11" i="15"/>
  <c r="AU11" i="15"/>
  <c r="CI17" i="5"/>
  <c r="BC11" i="12"/>
  <c r="AU11" i="12"/>
  <c r="CA17" i="5"/>
  <c r="AT11" i="7"/>
  <c r="AR11" i="7" s="1"/>
  <c r="AT11" i="12"/>
  <c r="AR11" i="12" s="1"/>
  <c r="CB17" i="5"/>
  <c r="BB11" i="12"/>
  <c r="AU11" i="7"/>
  <c r="BC11" i="7"/>
  <c r="AX11" i="7"/>
  <c r="AZ11" i="7" s="1"/>
  <c r="CA11" i="7" s="1"/>
  <c r="CA17" i="8"/>
  <c r="CB17" i="8"/>
  <c r="CB17" i="12"/>
  <c r="CA17" i="11"/>
  <c r="CB17" i="11"/>
  <c r="BD17" i="10"/>
  <c r="BE17" i="10" s="1"/>
  <c r="CA17" i="10"/>
  <c r="CA17" i="12"/>
  <c r="CB16" i="8"/>
  <c r="CA16" i="8"/>
  <c r="CB16" i="7"/>
  <c r="CA16" i="7"/>
  <c r="CA16" i="4"/>
  <c r="CB16" i="4"/>
  <c r="CB16" i="6"/>
  <c r="CA16" i="6"/>
  <c r="CB11" i="5"/>
  <c r="CA11" i="5"/>
  <c r="CB11" i="12"/>
  <c r="CA11" i="12"/>
  <c r="CB11" i="10"/>
  <c r="CA11" i="10"/>
  <c r="CB11" i="9"/>
  <c r="CA11" i="9"/>
  <c r="CB16" i="9"/>
  <c r="CA16" i="9"/>
  <c r="BF11" i="11"/>
  <c r="BE17" i="11"/>
  <c r="BE11" i="8"/>
  <c r="BD16" i="8"/>
  <c r="BD16" i="7"/>
  <c r="BD16" i="4"/>
  <c r="BE11" i="4"/>
  <c r="BE11" i="6"/>
  <c r="BF17" i="6"/>
  <c r="BD16" i="6"/>
  <c r="BE16" i="5"/>
  <c r="BD11" i="5"/>
  <c r="BD11" i="12"/>
  <c r="BE17" i="12"/>
  <c r="BD11" i="10"/>
  <c r="BD11" i="9"/>
  <c r="BF17" i="9"/>
  <c r="BD16" i="9"/>
  <c r="CQ17" i="8" l="1"/>
  <c r="CN17" i="8"/>
  <c r="CP17" i="8"/>
  <c r="CO17" i="8"/>
  <c r="B8" i="18"/>
  <c r="A15" i="18"/>
  <c r="CN17" i="15"/>
  <c r="CP17" i="15"/>
  <c r="CQ17" i="15"/>
  <c r="CO17" i="15"/>
  <c r="A15" i="17"/>
  <c r="BD11" i="15"/>
  <c r="BE11" i="15" s="1"/>
  <c r="BF11" i="15" s="1"/>
  <c r="CA11" i="15"/>
  <c r="BD11" i="7"/>
  <c r="BE11" i="7" s="1"/>
  <c r="CB11" i="7"/>
  <c r="BF17" i="11"/>
  <c r="BE16" i="8"/>
  <c r="BF11" i="8"/>
  <c r="BE16" i="7"/>
  <c r="BF11" i="4"/>
  <c r="BE16" i="4"/>
  <c r="BE16" i="6"/>
  <c r="BF11" i="6"/>
  <c r="BE11" i="5"/>
  <c r="BF16" i="5"/>
  <c r="BF17" i="12"/>
  <c r="BE11" i="12"/>
  <c r="BE11" i="10"/>
  <c r="BF17" i="10"/>
  <c r="BE11" i="9"/>
  <c r="BE16" i="9"/>
  <c r="F8" i="18" l="1"/>
  <c r="H8" i="18"/>
  <c r="J9" i="18" s="1"/>
  <c r="C8" i="18"/>
  <c r="S8" i="18"/>
  <c r="M8" i="18"/>
  <c r="N8" i="18" s="1"/>
  <c r="K8" i="18"/>
  <c r="L8" i="18" s="1"/>
  <c r="E8" i="18"/>
  <c r="G8" i="18"/>
  <c r="I8" i="18"/>
  <c r="Q8" i="18"/>
  <c r="R8" i="18" s="1"/>
  <c r="D8" i="18"/>
  <c r="O8" i="18"/>
  <c r="P8" i="18" s="1"/>
  <c r="A16" i="18"/>
  <c r="A16" i="17"/>
  <c r="BF16" i="8"/>
  <c r="BF16" i="7"/>
  <c r="BF11" i="7"/>
  <c r="BF16" i="4"/>
  <c r="BF16" i="6"/>
  <c r="BF11" i="5"/>
  <c r="BF11" i="12"/>
  <c r="BF11" i="10"/>
  <c r="BF16" i="9"/>
  <c r="BF11" i="9"/>
  <c r="B9" i="18" l="1"/>
  <c r="A17" i="18"/>
  <c r="A17" i="17"/>
  <c r="D9" i="18" l="1"/>
  <c r="H9" i="18"/>
  <c r="J10" i="18" s="1"/>
  <c r="S9" i="18"/>
  <c r="F9" i="18"/>
  <c r="I9" i="18"/>
  <c r="O9" i="18"/>
  <c r="P9" i="18" s="1"/>
  <c r="Q9" i="18"/>
  <c r="R9" i="18" s="1"/>
  <c r="K9" i="18"/>
  <c r="L9" i="18" s="1"/>
  <c r="C9" i="18"/>
  <c r="G9" i="18"/>
  <c r="M9" i="18"/>
  <c r="N9" i="18" s="1"/>
  <c r="E9" i="18"/>
  <c r="A18" i="18"/>
  <c r="A18" i="17"/>
  <c r="B10" i="18" l="1"/>
  <c r="A19" i="18"/>
  <c r="A19" i="17"/>
  <c r="D10" i="18" l="1"/>
  <c r="H10" i="18"/>
  <c r="J11" i="18" s="1"/>
  <c r="C10" i="18"/>
  <c r="O10" i="18"/>
  <c r="P10" i="18" s="1"/>
  <c r="F10" i="18"/>
  <c r="S10" i="18"/>
  <c r="M10" i="18"/>
  <c r="N10" i="18" s="1"/>
  <c r="I10" i="18"/>
  <c r="E10" i="18"/>
  <c r="G10" i="18"/>
  <c r="Q10" i="18"/>
  <c r="R10" i="18" s="1"/>
  <c r="K10" i="18"/>
  <c r="L10" i="18" s="1"/>
  <c r="A20" i="18"/>
  <c r="A20" i="17"/>
  <c r="B11" i="18" l="1"/>
  <c r="A21" i="18"/>
  <c r="A21" i="17"/>
  <c r="S11" i="18" l="1"/>
  <c r="H11" i="18"/>
  <c r="J12" i="18" s="1"/>
  <c r="D11" i="18"/>
  <c r="I11" i="18"/>
  <c r="G11" i="18"/>
  <c r="E11" i="18"/>
  <c r="F11" i="18"/>
  <c r="Q11" i="18"/>
  <c r="R11" i="18" s="1"/>
  <c r="M11" i="18"/>
  <c r="N11" i="18" s="1"/>
  <c r="C11" i="18"/>
  <c r="O11" i="18"/>
  <c r="P11" i="18" s="1"/>
  <c r="K11" i="18"/>
  <c r="L11" i="18" s="1"/>
  <c r="A22" i="18"/>
  <c r="A22" i="17"/>
  <c r="B12" i="18" l="1"/>
  <c r="A23" i="18"/>
  <c r="A23" i="17"/>
  <c r="D12" i="18" l="1"/>
  <c r="H12" i="18"/>
  <c r="J13" i="18" s="1"/>
  <c r="M12" i="18"/>
  <c r="N12" i="18" s="1"/>
  <c r="Q12" i="18"/>
  <c r="R12" i="18" s="1"/>
  <c r="C12" i="18"/>
  <c r="S12" i="18"/>
  <c r="O12" i="18"/>
  <c r="P12" i="18" s="1"/>
  <c r="E12" i="18"/>
  <c r="K12" i="18"/>
  <c r="L12" i="18" s="1"/>
  <c r="F12" i="18"/>
  <c r="I12" i="18"/>
  <c r="G12" i="18"/>
  <c r="A24" i="18"/>
  <c r="A24" i="17"/>
  <c r="B13" i="18" l="1"/>
  <c r="A25" i="18"/>
  <c r="A25" i="17"/>
  <c r="E13" i="18" l="1"/>
  <c r="H13" i="18"/>
  <c r="J14" i="18" s="1"/>
  <c r="S13" i="18"/>
  <c r="I13" i="18"/>
  <c r="C13" i="18"/>
  <c r="O13" i="18"/>
  <c r="P13" i="18" s="1"/>
  <c r="M13" i="18"/>
  <c r="N13" i="18" s="1"/>
  <c r="F13" i="18"/>
  <c r="G13" i="18"/>
  <c r="Q13" i="18"/>
  <c r="R13" i="18" s="1"/>
  <c r="D13" i="18"/>
  <c r="K13" i="18"/>
  <c r="L13" i="18" s="1"/>
  <c r="A26" i="18"/>
  <c r="A26" i="17"/>
  <c r="B14" i="18" l="1"/>
  <c r="A27" i="18"/>
  <c r="A27" i="17"/>
  <c r="D14" i="18" l="1"/>
  <c r="H14" i="18"/>
  <c r="J15" i="18" s="1"/>
  <c r="S14" i="18"/>
  <c r="K14" i="18"/>
  <c r="L14" i="18" s="1"/>
  <c r="I14" i="18"/>
  <c r="O14" i="18"/>
  <c r="P14" i="18" s="1"/>
  <c r="G14" i="18"/>
  <c r="Q14" i="18"/>
  <c r="R14" i="18" s="1"/>
  <c r="M14" i="18"/>
  <c r="N14" i="18" s="1"/>
  <c r="C14" i="18"/>
  <c r="E14" i="18"/>
  <c r="F14" i="18"/>
  <c r="A28" i="18"/>
  <c r="A28" i="17"/>
  <c r="B15" i="18" l="1"/>
  <c r="A29" i="18"/>
  <c r="A29" i="17"/>
  <c r="D15" i="18" l="1"/>
  <c r="H15" i="18"/>
  <c r="J16" i="18" s="1"/>
  <c r="F15" i="18"/>
  <c r="E15" i="18"/>
  <c r="M15" i="18"/>
  <c r="N15" i="18" s="1"/>
  <c r="G15" i="18"/>
  <c r="S15" i="18"/>
  <c r="C15" i="18"/>
  <c r="K15" i="18"/>
  <c r="L15" i="18" s="1"/>
  <c r="O15" i="18"/>
  <c r="P15" i="18" s="1"/>
  <c r="Q15" i="18"/>
  <c r="R15" i="18" s="1"/>
  <c r="I15" i="18"/>
  <c r="A30" i="18"/>
  <c r="A30" i="17"/>
  <c r="B16" i="18" l="1"/>
  <c r="A31" i="18"/>
  <c r="A31" i="17"/>
  <c r="I16" i="18" l="1"/>
  <c r="H16" i="18"/>
  <c r="J17" i="18" s="1"/>
  <c r="F16" i="18"/>
  <c r="C16" i="18"/>
  <c r="Q16" i="18"/>
  <c r="R16" i="18" s="1"/>
  <c r="E16" i="18"/>
  <c r="D16" i="18"/>
  <c r="O16" i="18"/>
  <c r="P16" i="18" s="1"/>
  <c r="S16" i="18"/>
  <c r="K16" i="18"/>
  <c r="L16" i="18" s="1"/>
  <c r="G16" i="18"/>
  <c r="M16" i="18"/>
  <c r="N16" i="18" s="1"/>
  <c r="A32" i="18"/>
  <c r="A32" i="17"/>
  <c r="BG16" i="15"/>
  <c r="B17" i="18" l="1"/>
  <c r="A33" i="18"/>
  <c r="A33" i="17"/>
  <c r="BH16" i="15"/>
  <c r="Q17" i="18" l="1"/>
  <c r="R17" i="18" s="1"/>
  <c r="H17" i="18"/>
  <c r="J18" i="18" s="1"/>
  <c r="K17" i="18"/>
  <c r="L17" i="18" s="1"/>
  <c r="E17" i="18"/>
  <c r="F17" i="18"/>
  <c r="O17" i="18"/>
  <c r="P17" i="18" s="1"/>
  <c r="C17" i="18"/>
  <c r="D17" i="18"/>
  <c r="M17" i="18"/>
  <c r="N17" i="18" s="1"/>
  <c r="S17" i="18"/>
  <c r="G17" i="18"/>
  <c r="I17" i="18"/>
  <c r="A34" i="18"/>
  <c r="A34" i="17"/>
  <c r="B18" i="18" l="1"/>
  <c r="A35" i="18"/>
  <c r="A35" i="17"/>
  <c r="D18" i="18" l="1"/>
  <c r="H18" i="18"/>
  <c r="J19" i="18" s="1"/>
  <c r="E18" i="18"/>
  <c r="Q18" i="18"/>
  <c r="R18" i="18" s="1"/>
  <c r="I18" i="18"/>
  <c r="M18" i="18"/>
  <c r="N18" i="18" s="1"/>
  <c r="O18" i="18"/>
  <c r="P18" i="18" s="1"/>
  <c r="C18" i="18"/>
  <c r="F18" i="18"/>
  <c r="G18" i="18"/>
  <c r="K18" i="18"/>
  <c r="L18" i="18" s="1"/>
  <c r="S18" i="18"/>
  <c r="A36" i="18"/>
  <c r="A36" i="17"/>
  <c r="B19" i="18" l="1"/>
  <c r="A37" i="18"/>
  <c r="A37" i="17"/>
  <c r="BH9" i="15"/>
  <c r="S19" i="18" l="1"/>
  <c r="H19" i="18"/>
  <c r="J20" i="18" s="1"/>
  <c r="E19" i="18"/>
  <c r="Q19" i="18"/>
  <c r="R19" i="18" s="1"/>
  <c r="C19" i="18"/>
  <c r="G19" i="18"/>
  <c r="F19" i="18"/>
  <c r="K19" i="18"/>
  <c r="L19" i="18" s="1"/>
  <c r="D19" i="18"/>
  <c r="O19" i="18"/>
  <c r="P19" i="18" s="1"/>
  <c r="M19" i="18"/>
  <c r="N19" i="18" s="1"/>
  <c r="I19" i="18"/>
  <c r="A38" i="18"/>
  <c r="A38" i="17"/>
  <c r="B20" i="18" l="1"/>
  <c r="A39" i="18"/>
  <c r="A39" i="17"/>
  <c r="Q20" i="18" l="1"/>
  <c r="R20" i="18" s="1"/>
  <c r="H20" i="18"/>
  <c r="J21" i="18" s="1"/>
  <c r="K20" i="18"/>
  <c r="L20" i="18" s="1"/>
  <c r="C20" i="18"/>
  <c r="S20" i="18"/>
  <c r="I20" i="18"/>
  <c r="O20" i="18"/>
  <c r="P20" i="18" s="1"/>
  <c r="D20" i="18"/>
  <c r="G20" i="18"/>
  <c r="F20" i="18"/>
  <c r="E20" i="18"/>
  <c r="M20" i="18"/>
  <c r="N20" i="18" s="1"/>
  <c r="A40" i="18"/>
  <c r="A40" i="17"/>
  <c r="B21" i="18" l="1"/>
  <c r="A41" i="18"/>
  <c r="A41" i="17"/>
  <c r="S21" i="18" l="1"/>
  <c r="H21" i="18"/>
  <c r="J22" i="18" s="1"/>
  <c r="F21" i="18"/>
  <c r="M21" i="18"/>
  <c r="N21" i="18" s="1"/>
  <c r="G21" i="18"/>
  <c r="Q21" i="18"/>
  <c r="R21" i="18" s="1"/>
  <c r="I21" i="18"/>
  <c r="E21" i="18"/>
  <c r="D21" i="18"/>
  <c r="O21" i="18"/>
  <c r="P21" i="18" s="1"/>
  <c r="K21" i="18"/>
  <c r="L21" i="18" s="1"/>
  <c r="C21" i="18"/>
  <c r="A42" i="18"/>
  <c r="A42" i="17"/>
  <c r="B22" i="18" l="1"/>
  <c r="A43" i="18"/>
  <c r="A43" i="17"/>
  <c r="G22" i="18" l="1"/>
  <c r="H22" i="18"/>
  <c r="J23" i="18" s="1"/>
  <c r="S22" i="18"/>
  <c r="O22" i="18"/>
  <c r="P22" i="18" s="1"/>
  <c r="M22" i="18"/>
  <c r="N22" i="18" s="1"/>
  <c r="D22" i="18"/>
  <c r="K22" i="18"/>
  <c r="L22" i="18" s="1"/>
  <c r="E22" i="18"/>
  <c r="I22" i="18"/>
  <c r="Q22" i="18"/>
  <c r="R22" i="18" s="1"/>
  <c r="F22" i="18"/>
  <c r="C22" i="18"/>
  <c r="A44" i="18"/>
  <c r="A44" i="17"/>
  <c r="B23" i="18" l="1"/>
  <c r="A45" i="18"/>
  <c r="A45" i="17"/>
  <c r="D23" i="18" l="1"/>
  <c r="H23" i="18"/>
  <c r="J24" i="18" s="1"/>
  <c r="K23" i="18"/>
  <c r="L23" i="18" s="1"/>
  <c r="M23" i="18"/>
  <c r="N23" i="18" s="1"/>
  <c r="O23" i="18"/>
  <c r="P23" i="18" s="1"/>
  <c r="I23" i="18"/>
  <c r="E23" i="18"/>
  <c r="G23" i="18"/>
  <c r="C23" i="18"/>
  <c r="Q23" i="18"/>
  <c r="R23" i="18" s="1"/>
  <c r="F23" i="18"/>
  <c r="S23" i="18"/>
  <c r="A46" i="18"/>
  <c r="A46" i="17"/>
  <c r="B24" i="18" l="1"/>
  <c r="A47" i="18"/>
  <c r="A47" i="17"/>
  <c r="D24" i="18" l="1"/>
  <c r="H24" i="18"/>
  <c r="J25" i="18" s="1"/>
  <c r="K24" i="18"/>
  <c r="L24" i="18" s="1"/>
  <c r="F24" i="18"/>
  <c r="M24" i="18"/>
  <c r="N24" i="18" s="1"/>
  <c r="I24" i="18"/>
  <c r="S24" i="18"/>
  <c r="Q24" i="18"/>
  <c r="R24" i="18" s="1"/>
  <c r="E24" i="18"/>
  <c r="C24" i="18"/>
  <c r="O24" i="18"/>
  <c r="P24" i="18" s="1"/>
  <c r="G24" i="18"/>
  <c r="A48" i="18"/>
  <c r="A48" i="17"/>
  <c r="B25" i="18" l="1"/>
  <c r="A49" i="18"/>
  <c r="A49" i="17"/>
  <c r="F25" i="18" l="1"/>
  <c r="H25" i="18"/>
  <c r="J26" i="18" s="1"/>
  <c r="K25" i="18"/>
  <c r="L25" i="18" s="1"/>
  <c r="S25" i="18"/>
  <c r="O25" i="18"/>
  <c r="P25" i="18" s="1"/>
  <c r="C25" i="18"/>
  <c r="Q25" i="18"/>
  <c r="R25" i="18" s="1"/>
  <c r="D25" i="18"/>
  <c r="I25" i="18"/>
  <c r="E25" i="18"/>
  <c r="G25" i="18"/>
  <c r="M25" i="18"/>
  <c r="N25" i="18" s="1"/>
  <c r="A50" i="18"/>
  <c r="A50" i="17"/>
  <c r="B26" i="18" l="1"/>
  <c r="A51" i="18"/>
  <c r="A51" i="17"/>
  <c r="D26" i="18" l="1"/>
  <c r="H26" i="18"/>
  <c r="J27" i="18" s="1"/>
  <c r="I26" i="18"/>
  <c r="G26" i="18"/>
  <c r="K26" i="18"/>
  <c r="L26" i="18" s="1"/>
  <c r="O26" i="18"/>
  <c r="P26" i="18" s="1"/>
  <c r="F26" i="18"/>
  <c r="E26" i="18"/>
  <c r="C26" i="18"/>
  <c r="S26" i="18"/>
  <c r="Q26" i="18"/>
  <c r="R26" i="18" s="1"/>
  <c r="M26" i="18"/>
  <c r="N26" i="18" s="1"/>
  <c r="A52" i="18"/>
  <c r="A52" i="17"/>
  <c r="B27" i="18" l="1"/>
  <c r="A53" i="18"/>
  <c r="A53" i="17"/>
  <c r="D27" i="18" l="1"/>
  <c r="H27" i="18"/>
  <c r="J28" i="18" s="1"/>
  <c r="S27" i="18"/>
  <c r="M27" i="18"/>
  <c r="N27" i="18" s="1"/>
  <c r="O27" i="18"/>
  <c r="P27" i="18" s="1"/>
  <c r="I27" i="18"/>
  <c r="Q27" i="18"/>
  <c r="R27" i="18" s="1"/>
  <c r="F27" i="18"/>
  <c r="E27" i="18"/>
  <c r="G27" i="18"/>
  <c r="K27" i="18"/>
  <c r="L27" i="18" s="1"/>
  <c r="C27" i="18"/>
  <c r="A54" i="18"/>
  <c r="A54" i="17"/>
  <c r="B28" i="18" l="1"/>
  <c r="A55" i="18"/>
  <c r="A55" i="17"/>
  <c r="O28" i="18" l="1"/>
  <c r="P28" i="18" s="1"/>
  <c r="H28" i="18"/>
  <c r="J29" i="18" s="1"/>
  <c r="Q28" i="18"/>
  <c r="R28" i="18" s="1"/>
  <c r="K28" i="18"/>
  <c r="L28" i="18" s="1"/>
  <c r="D28" i="18"/>
  <c r="F28" i="18"/>
  <c r="M28" i="18"/>
  <c r="N28" i="18" s="1"/>
  <c r="S28" i="18"/>
  <c r="I28" i="18"/>
  <c r="E28" i="18"/>
  <c r="G28" i="18"/>
  <c r="C28" i="18"/>
  <c r="A56" i="18"/>
  <c r="A56" i="17"/>
  <c r="B29" i="18" l="1"/>
  <c r="A57" i="18"/>
  <c r="A57" i="17"/>
  <c r="I29" i="18" l="1"/>
  <c r="H29" i="18"/>
  <c r="J30" i="18" s="1"/>
  <c r="D29" i="18"/>
  <c r="E29" i="18"/>
  <c r="O29" i="18"/>
  <c r="P29" i="18" s="1"/>
  <c r="Q29" i="18"/>
  <c r="R29" i="18" s="1"/>
  <c r="S29" i="18"/>
  <c r="M29" i="18"/>
  <c r="N29" i="18" s="1"/>
  <c r="G29" i="18"/>
  <c r="F29" i="18"/>
  <c r="K29" i="18"/>
  <c r="L29" i="18" s="1"/>
  <c r="C29" i="18"/>
  <c r="A58" i="18"/>
  <c r="A58" i="17"/>
  <c r="B30" i="18" l="1"/>
  <c r="A59" i="18"/>
  <c r="A59" i="17"/>
  <c r="D30" i="18" l="1"/>
  <c r="H30" i="18"/>
  <c r="J31" i="18" s="1"/>
  <c r="O30" i="18"/>
  <c r="P30" i="18" s="1"/>
  <c r="Q30" i="18"/>
  <c r="R30" i="18" s="1"/>
  <c r="C30" i="18"/>
  <c r="E30" i="18"/>
  <c r="K30" i="18"/>
  <c r="L30" i="18" s="1"/>
  <c r="S30" i="18"/>
  <c r="I30" i="18"/>
  <c r="M30" i="18"/>
  <c r="N30" i="18" s="1"/>
  <c r="G30" i="18"/>
  <c r="F30" i="18"/>
  <c r="A60" i="18"/>
  <c r="A60" i="17"/>
  <c r="B31" i="18" l="1"/>
  <c r="A61" i="18"/>
  <c r="A61" i="17"/>
  <c r="Q31" i="18" l="1"/>
  <c r="R31" i="18" s="1"/>
  <c r="H31" i="18"/>
  <c r="J32" i="18" s="1"/>
  <c r="D31" i="18"/>
  <c r="M31" i="18"/>
  <c r="N31" i="18" s="1"/>
  <c r="K31" i="18"/>
  <c r="L31" i="18" s="1"/>
  <c r="F31" i="18"/>
  <c r="C31" i="18"/>
  <c r="G31" i="18"/>
  <c r="O31" i="18"/>
  <c r="P31" i="18" s="1"/>
  <c r="E31" i="18"/>
  <c r="S31" i="18"/>
  <c r="I31" i="18"/>
  <c r="A62" i="18"/>
  <c r="A62" i="17"/>
  <c r="B32" i="18" l="1"/>
  <c r="A63" i="18"/>
  <c r="A63" i="17"/>
  <c r="D32" i="18" l="1"/>
  <c r="H32" i="18"/>
  <c r="J33" i="18" s="1"/>
  <c r="E32" i="18"/>
  <c r="Q32" i="18"/>
  <c r="R32" i="18" s="1"/>
  <c r="M32" i="18"/>
  <c r="N32" i="18" s="1"/>
  <c r="K32" i="18"/>
  <c r="L32" i="18" s="1"/>
  <c r="C32" i="18"/>
  <c r="G32" i="18"/>
  <c r="O32" i="18"/>
  <c r="P32" i="18" s="1"/>
  <c r="S32" i="18"/>
  <c r="F32" i="18"/>
  <c r="I32" i="18"/>
  <c r="A64" i="18"/>
  <c r="A64" i="17"/>
  <c r="B33" i="18" l="1"/>
  <c r="A65" i="18"/>
  <c r="A65" i="17"/>
  <c r="D33" i="18" l="1"/>
  <c r="H33" i="18"/>
  <c r="J34" i="18" s="1"/>
  <c r="E33" i="18"/>
  <c r="M33" i="18"/>
  <c r="N33" i="18" s="1"/>
  <c r="G33" i="18"/>
  <c r="C33" i="18"/>
  <c r="I33" i="18"/>
  <c r="Q33" i="18"/>
  <c r="R33" i="18" s="1"/>
  <c r="K33" i="18"/>
  <c r="L33" i="18" s="1"/>
  <c r="F33" i="18"/>
  <c r="O33" i="18"/>
  <c r="P33" i="18" s="1"/>
  <c r="S33" i="18"/>
  <c r="A66" i="18"/>
  <c r="A66" i="17"/>
  <c r="B34" i="18" l="1"/>
  <c r="H34" i="18" s="1"/>
  <c r="A67" i="18"/>
  <c r="A67" i="17"/>
  <c r="D34" i="18" l="1"/>
  <c r="E34" i="18"/>
  <c r="M34" i="18"/>
  <c r="N34" i="18" s="1"/>
  <c r="I34" i="18"/>
  <c r="O34" i="18"/>
  <c r="P34" i="18" s="1"/>
  <c r="C34" i="18"/>
  <c r="F34" i="18"/>
  <c r="Q34" i="18"/>
  <c r="R34" i="18" s="1"/>
  <c r="K34" i="18"/>
  <c r="L34" i="18" s="1"/>
  <c r="S34" i="18"/>
  <c r="J35" i="18"/>
  <c r="G34" i="18"/>
  <c r="A68" i="18"/>
  <c r="A68" i="17"/>
  <c r="B35" i="18" l="1"/>
  <c r="A69" i="18"/>
  <c r="A69" i="17"/>
  <c r="G35" i="18" l="1"/>
  <c r="H35" i="18"/>
  <c r="J36" i="18" s="1"/>
  <c r="I35" i="18"/>
  <c r="F35" i="18"/>
  <c r="Q35" i="18"/>
  <c r="R35" i="18" s="1"/>
  <c r="K35" i="18"/>
  <c r="L35" i="18" s="1"/>
  <c r="E35" i="18"/>
  <c r="O35" i="18"/>
  <c r="P35" i="18" s="1"/>
  <c r="C35" i="18"/>
  <c r="M35" i="18"/>
  <c r="N35" i="18" s="1"/>
  <c r="S35" i="18"/>
  <c r="D35" i="18"/>
  <c r="A70" i="18"/>
  <c r="A70" i="17"/>
  <c r="B36" i="18" l="1"/>
  <c r="H36" i="18" s="1"/>
  <c r="A71" i="18"/>
  <c r="A71" i="17"/>
  <c r="O36" i="18" l="1"/>
  <c r="P36" i="18" s="1"/>
  <c r="F36" i="18"/>
  <c r="Q36" i="18"/>
  <c r="R36" i="18" s="1"/>
  <c r="S36" i="18"/>
  <c r="E36" i="18"/>
  <c r="J37" i="18"/>
  <c r="I36" i="18"/>
  <c r="K36" i="18"/>
  <c r="L36" i="18" s="1"/>
  <c r="M36" i="18"/>
  <c r="N36" i="18" s="1"/>
  <c r="G36" i="18"/>
  <c r="C36" i="18"/>
  <c r="D36" i="18"/>
  <c r="A72" i="18"/>
  <c r="A72" i="17"/>
  <c r="B37" i="18" l="1"/>
  <c r="A73" i="18"/>
  <c r="A73" i="17"/>
  <c r="G37" i="18" l="1"/>
  <c r="H37" i="18"/>
  <c r="J38" i="18" s="1"/>
  <c r="Q37" i="18"/>
  <c r="R37" i="18" s="1"/>
  <c r="F37" i="18"/>
  <c r="E37" i="18"/>
  <c r="S37" i="18"/>
  <c r="I37" i="18"/>
  <c r="M37" i="18"/>
  <c r="N37" i="18" s="1"/>
  <c r="C37" i="18"/>
  <c r="K37" i="18"/>
  <c r="L37" i="18" s="1"/>
  <c r="O37" i="18"/>
  <c r="P37" i="18" s="1"/>
  <c r="D37" i="18"/>
  <c r="A74" i="18"/>
  <c r="A74" i="17"/>
  <c r="B38" i="18" l="1"/>
  <c r="H38" i="18" s="1"/>
  <c r="A75" i="18"/>
  <c r="A75" i="17"/>
  <c r="I38" i="18" l="1"/>
  <c r="G38" i="18"/>
  <c r="O38" i="18"/>
  <c r="P38" i="18" s="1"/>
  <c r="C38" i="18"/>
  <c r="S38" i="18"/>
  <c r="K38" i="18"/>
  <c r="L38" i="18" s="1"/>
  <c r="J39" i="18"/>
  <c r="Q38" i="18"/>
  <c r="R38" i="18" s="1"/>
  <c r="D38" i="18"/>
  <c r="M38" i="18"/>
  <c r="N38" i="18" s="1"/>
  <c r="F38" i="18"/>
  <c r="E38" i="18"/>
  <c r="A76" i="18"/>
  <c r="A76" i="17"/>
  <c r="B39" i="18" l="1"/>
  <c r="H39" i="18" s="1"/>
  <c r="A77" i="18"/>
  <c r="A77" i="17"/>
  <c r="D39" i="18" l="1"/>
  <c r="J40" i="18"/>
  <c r="I39" i="18"/>
  <c r="K39" i="18"/>
  <c r="L39" i="18" s="1"/>
  <c r="G39" i="18"/>
  <c r="O39" i="18"/>
  <c r="P39" i="18" s="1"/>
  <c r="Q39" i="18"/>
  <c r="R39" i="18" s="1"/>
  <c r="C39" i="18"/>
  <c r="M39" i="18"/>
  <c r="N39" i="18" s="1"/>
  <c r="F39" i="18"/>
  <c r="S39" i="18"/>
  <c r="E39" i="18"/>
  <c r="A78" i="18"/>
  <c r="A78" i="17"/>
  <c r="B40" i="18" l="1"/>
  <c r="A79" i="18"/>
  <c r="A79" i="17"/>
  <c r="D40" i="18" l="1"/>
  <c r="H40" i="18"/>
  <c r="J41" i="18" s="1"/>
  <c r="K40" i="18"/>
  <c r="L40" i="18" s="1"/>
  <c r="O40" i="18"/>
  <c r="P40" i="18" s="1"/>
  <c r="C40" i="18"/>
  <c r="E40" i="18"/>
  <c r="M40" i="18"/>
  <c r="N40" i="18" s="1"/>
  <c r="G40" i="18"/>
  <c r="Q40" i="18"/>
  <c r="R40" i="18" s="1"/>
  <c r="S40" i="18"/>
  <c r="F40" i="18"/>
  <c r="I40" i="18"/>
  <c r="A80" i="18"/>
  <c r="A80" i="17"/>
  <c r="B41" i="18" l="1"/>
  <c r="A81" i="18"/>
  <c r="A81" i="17"/>
  <c r="D41" i="18" l="1"/>
  <c r="H41" i="18"/>
  <c r="J42" i="18" s="1"/>
  <c r="K41" i="18"/>
  <c r="L41" i="18" s="1"/>
  <c r="M41" i="18"/>
  <c r="N41" i="18" s="1"/>
  <c r="I41" i="18"/>
  <c r="S41" i="18"/>
  <c r="C41" i="18"/>
  <c r="Q41" i="18"/>
  <c r="R41" i="18" s="1"/>
  <c r="O41" i="18"/>
  <c r="P41" i="18" s="1"/>
  <c r="F41" i="18"/>
  <c r="G41" i="18"/>
  <c r="E41" i="18"/>
  <c r="A82" i="18"/>
  <c r="A82" i="17"/>
  <c r="B42" i="18" l="1"/>
  <c r="H42" i="18" s="1"/>
  <c r="A83" i="18"/>
  <c r="A83" i="17"/>
  <c r="D42" i="18" l="1"/>
  <c r="J43" i="18"/>
  <c r="I42" i="18"/>
  <c r="F42" i="18"/>
  <c r="O42" i="18"/>
  <c r="P42" i="18" s="1"/>
  <c r="C42" i="18"/>
  <c r="G42" i="18"/>
  <c r="Q42" i="18"/>
  <c r="R42" i="18" s="1"/>
  <c r="K42" i="18"/>
  <c r="L42" i="18" s="1"/>
  <c r="M42" i="18"/>
  <c r="N42" i="18" s="1"/>
  <c r="E42" i="18"/>
  <c r="S42" i="18"/>
  <c r="A84" i="18"/>
  <c r="A84" i="17"/>
  <c r="B43" i="18" l="1"/>
  <c r="A85" i="18"/>
  <c r="A85" i="17"/>
  <c r="Q43" i="18" l="1"/>
  <c r="R43" i="18" s="1"/>
  <c r="H43" i="18"/>
  <c r="J44" i="18" s="1"/>
  <c r="I43" i="18"/>
  <c r="C43" i="18"/>
  <c r="D43" i="18"/>
  <c r="M43" i="18"/>
  <c r="N43" i="18" s="1"/>
  <c r="E43" i="18"/>
  <c r="G43" i="18"/>
  <c r="O43" i="18"/>
  <c r="P43" i="18" s="1"/>
  <c r="F43" i="18"/>
  <c r="S43" i="18"/>
  <c r="K43" i="18"/>
  <c r="L43" i="18" s="1"/>
  <c r="A86" i="18"/>
  <c r="A86" i="17"/>
  <c r="B44" i="18" l="1"/>
  <c r="A87" i="18"/>
  <c r="A87" i="17"/>
  <c r="D44" i="18" l="1"/>
  <c r="H44" i="18"/>
  <c r="J45" i="18" s="1"/>
  <c r="M44" i="18"/>
  <c r="N44" i="18" s="1"/>
  <c r="C44" i="18"/>
  <c r="G44" i="18"/>
  <c r="K44" i="18"/>
  <c r="L44" i="18" s="1"/>
  <c r="S44" i="18"/>
  <c r="Q44" i="18"/>
  <c r="R44" i="18" s="1"/>
  <c r="I44" i="18"/>
  <c r="O44" i="18"/>
  <c r="P44" i="18" s="1"/>
  <c r="F44" i="18"/>
  <c r="E44" i="18"/>
  <c r="A88" i="18"/>
  <c r="A88" i="17"/>
  <c r="B45" i="18" l="1"/>
  <c r="A89" i="18"/>
  <c r="A89" i="17"/>
  <c r="Q45" i="18" l="1"/>
  <c r="R45" i="18" s="1"/>
  <c r="H45" i="18"/>
  <c r="J46" i="18" s="1"/>
  <c r="K45" i="18"/>
  <c r="L45" i="18" s="1"/>
  <c r="E45" i="18"/>
  <c r="C45" i="18"/>
  <c r="S45" i="18"/>
  <c r="O45" i="18"/>
  <c r="P45" i="18" s="1"/>
  <c r="I45" i="18"/>
  <c r="G45" i="18"/>
  <c r="F45" i="18"/>
  <c r="M45" i="18"/>
  <c r="N45" i="18" s="1"/>
  <c r="D45" i="18"/>
  <c r="A90" i="18"/>
  <c r="A90" i="17"/>
  <c r="B46" i="18" l="1"/>
  <c r="A91" i="18"/>
  <c r="A91" i="17"/>
  <c r="D46" i="18" l="1"/>
  <c r="H46" i="18"/>
  <c r="J47" i="18" s="1"/>
  <c r="I46" i="18"/>
  <c r="K46" i="18"/>
  <c r="L46" i="18" s="1"/>
  <c r="O46" i="18"/>
  <c r="P46" i="18" s="1"/>
  <c r="G46" i="18"/>
  <c r="F46" i="18"/>
  <c r="C46" i="18"/>
  <c r="E46" i="18"/>
  <c r="S46" i="18"/>
  <c r="Q46" i="18"/>
  <c r="R46" i="18" s="1"/>
  <c r="M46" i="18"/>
  <c r="N46" i="18" s="1"/>
  <c r="A92" i="18"/>
  <c r="A92" i="17"/>
  <c r="B47" i="18" l="1"/>
  <c r="A93" i="18"/>
  <c r="A93" i="17"/>
  <c r="F47" i="18" l="1"/>
  <c r="H47" i="18"/>
  <c r="J48" i="18" s="1"/>
  <c r="M47" i="18"/>
  <c r="N47" i="18" s="1"/>
  <c r="E47" i="18"/>
  <c r="I47" i="18"/>
  <c r="K47" i="18"/>
  <c r="L47" i="18" s="1"/>
  <c r="S47" i="18"/>
  <c r="O47" i="18"/>
  <c r="P47" i="18" s="1"/>
  <c r="G47" i="18"/>
  <c r="Q47" i="18"/>
  <c r="R47" i="18" s="1"/>
  <c r="C47" i="18"/>
  <c r="D47" i="18"/>
  <c r="A94" i="18"/>
  <c r="A94" i="17"/>
  <c r="B48" i="18" l="1"/>
  <c r="A95" i="18"/>
  <c r="A95" i="17"/>
  <c r="D48" i="18" l="1"/>
  <c r="H48" i="18"/>
  <c r="J49" i="18" s="1"/>
  <c r="E48" i="18"/>
  <c r="I48" i="18"/>
  <c r="G48" i="18"/>
  <c r="K48" i="18"/>
  <c r="L48" i="18" s="1"/>
  <c r="F48" i="18"/>
  <c r="S48" i="18"/>
  <c r="O48" i="18"/>
  <c r="P48" i="18" s="1"/>
  <c r="C48" i="18"/>
  <c r="M48" i="18"/>
  <c r="N48" i="18" s="1"/>
  <c r="Q48" i="18"/>
  <c r="R48" i="18" s="1"/>
  <c r="A96" i="18"/>
  <c r="A96" i="17"/>
  <c r="B49" i="18" l="1"/>
  <c r="A97" i="18"/>
  <c r="A97" i="17"/>
  <c r="E49" i="18" l="1"/>
  <c r="H49" i="18"/>
  <c r="J50" i="18" s="1"/>
  <c r="D49" i="18"/>
  <c r="O49" i="18"/>
  <c r="P49" i="18" s="1"/>
  <c r="M49" i="18"/>
  <c r="N49" i="18" s="1"/>
  <c r="S49" i="18"/>
  <c r="C49" i="18"/>
  <c r="Q49" i="18"/>
  <c r="R49" i="18" s="1"/>
  <c r="G49" i="18"/>
  <c r="F49" i="18"/>
  <c r="I49" i="18"/>
  <c r="K49" i="18"/>
  <c r="L49" i="18" s="1"/>
  <c r="A98" i="18"/>
  <c r="A98" i="17"/>
  <c r="B50" i="18" l="1"/>
  <c r="A99" i="18"/>
  <c r="A99" i="17"/>
  <c r="S50" i="18" l="1"/>
  <c r="H50" i="18"/>
  <c r="J51" i="18" s="1"/>
  <c r="E50" i="18"/>
  <c r="M50" i="18"/>
  <c r="N50" i="18" s="1"/>
  <c r="I50" i="18"/>
  <c r="K50" i="18"/>
  <c r="L50" i="18" s="1"/>
  <c r="F50" i="18"/>
  <c r="O50" i="18"/>
  <c r="P50" i="18" s="1"/>
  <c r="G50" i="18"/>
  <c r="C50" i="18"/>
  <c r="Q50" i="18"/>
  <c r="R50" i="18" s="1"/>
  <c r="D50" i="18"/>
  <c r="A100" i="18"/>
  <c r="A100" i="17"/>
  <c r="B51" i="18" l="1"/>
  <c r="A101" i="18"/>
  <c r="A101" i="17"/>
  <c r="O51" i="18" l="1"/>
  <c r="P51" i="18" s="1"/>
  <c r="H51" i="18"/>
  <c r="J52" i="18" s="1"/>
  <c r="C51" i="18"/>
  <c r="F51" i="18"/>
  <c r="K51" i="18"/>
  <c r="L51" i="18" s="1"/>
  <c r="D51" i="18"/>
  <c r="E51" i="18"/>
  <c r="S51" i="18"/>
  <c r="Q51" i="18"/>
  <c r="R51" i="18" s="1"/>
  <c r="G51" i="18"/>
  <c r="M51" i="18"/>
  <c r="N51" i="18" s="1"/>
  <c r="I51" i="18"/>
  <c r="A102" i="18"/>
  <c r="A102" i="17"/>
  <c r="B52" i="18" l="1"/>
  <c r="A103" i="18"/>
  <c r="A103" i="17"/>
  <c r="O52" i="18" l="1"/>
  <c r="P52" i="18" s="1"/>
  <c r="H52" i="18"/>
  <c r="J53" i="18" s="1"/>
  <c r="D52" i="18"/>
  <c r="K52" i="18"/>
  <c r="L52" i="18" s="1"/>
  <c r="C52" i="18"/>
  <c r="G52" i="18"/>
  <c r="I52" i="18"/>
  <c r="M52" i="18"/>
  <c r="N52" i="18" s="1"/>
  <c r="F52" i="18"/>
  <c r="Q52" i="18"/>
  <c r="R52" i="18" s="1"/>
  <c r="E52" i="18"/>
  <c r="S52" i="18"/>
  <c r="A104" i="18"/>
  <c r="A104" i="17"/>
  <c r="B53" i="18" l="1"/>
  <c r="A105" i="18"/>
  <c r="A105" i="17"/>
  <c r="H53" i="18" l="1"/>
  <c r="J54" i="18" s="1"/>
  <c r="D53" i="18"/>
  <c r="G53" i="18"/>
  <c r="F53" i="18"/>
  <c r="I53" i="18"/>
  <c r="K53" i="18"/>
  <c r="L53" i="18" s="1"/>
  <c r="M53" i="18"/>
  <c r="N53" i="18" s="1"/>
  <c r="S53" i="18"/>
  <c r="O53" i="18"/>
  <c r="P53" i="18" s="1"/>
  <c r="C53" i="18"/>
  <c r="Q53" i="18"/>
  <c r="R53" i="18" s="1"/>
  <c r="E53" i="18"/>
  <c r="A106" i="18"/>
  <c r="A106" i="17"/>
  <c r="B54" i="18" l="1"/>
  <c r="A107" i="18"/>
  <c r="A107" i="17"/>
  <c r="E54" i="18" l="1"/>
  <c r="H54" i="18"/>
  <c r="J55" i="18" s="1"/>
  <c r="F54" i="18"/>
  <c r="S54" i="18"/>
  <c r="C54" i="18"/>
  <c r="O54" i="18"/>
  <c r="P54" i="18" s="1"/>
  <c r="Q54" i="18"/>
  <c r="R54" i="18" s="1"/>
  <c r="I54" i="18"/>
  <c r="K54" i="18"/>
  <c r="L54" i="18" s="1"/>
  <c r="D54" i="18"/>
  <c r="M54" i="18"/>
  <c r="N54" i="18" s="1"/>
  <c r="G54" i="18"/>
  <c r="A108" i="18"/>
  <c r="A108" i="17"/>
  <c r="B55" i="18" l="1"/>
  <c r="A109" i="18"/>
  <c r="A109" i="17"/>
  <c r="D55" i="18" l="1"/>
  <c r="H55" i="18"/>
  <c r="J56" i="18" s="1"/>
  <c r="Q55" i="18"/>
  <c r="R55" i="18" s="1"/>
  <c r="F55" i="18"/>
  <c r="C55" i="18"/>
  <c r="G55" i="18"/>
  <c r="K55" i="18"/>
  <c r="L55" i="18" s="1"/>
  <c r="E55" i="18"/>
  <c r="O55" i="18"/>
  <c r="P55" i="18" s="1"/>
  <c r="I55" i="18"/>
  <c r="M55" i="18"/>
  <c r="N55" i="18" s="1"/>
  <c r="S55" i="18"/>
  <c r="A110" i="18"/>
  <c r="A110" i="17"/>
  <c r="B56" i="18" l="1"/>
  <c r="D56" i="18" s="1"/>
  <c r="A111" i="18"/>
  <c r="A111" i="17"/>
  <c r="M56" i="18" l="1"/>
  <c r="N56" i="18" s="1"/>
  <c r="H56" i="18"/>
  <c r="J57" i="18" s="1"/>
  <c r="K56" i="18"/>
  <c r="L56" i="18" s="1"/>
  <c r="G56" i="18"/>
  <c r="E56" i="18"/>
  <c r="S56" i="18"/>
  <c r="Q56" i="18"/>
  <c r="R56" i="18" s="1"/>
  <c r="C56" i="18"/>
  <c r="I56" i="18"/>
  <c r="O56" i="18"/>
  <c r="P56" i="18" s="1"/>
  <c r="F56" i="18"/>
  <c r="A112" i="18"/>
  <c r="A112" i="17"/>
  <c r="B57" i="18" l="1"/>
  <c r="A113" i="18"/>
  <c r="A113" i="17"/>
  <c r="F57" i="18" l="1"/>
  <c r="H57" i="18"/>
  <c r="J58" i="18" s="1"/>
  <c r="C57" i="18"/>
  <c r="O57" i="18"/>
  <c r="P57" i="18" s="1"/>
  <c r="Q57" i="18"/>
  <c r="R57" i="18" s="1"/>
  <c r="S57" i="18"/>
  <c r="K57" i="18"/>
  <c r="L57" i="18" s="1"/>
  <c r="G57" i="18"/>
  <c r="D57" i="18"/>
  <c r="E57" i="18"/>
  <c r="M57" i="18"/>
  <c r="N57" i="18" s="1"/>
  <c r="I57" i="18"/>
  <c r="A114" i="18"/>
  <c r="A114" i="17"/>
  <c r="B58" i="18" l="1"/>
  <c r="A115" i="18"/>
  <c r="A115" i="17"/>
  <c r="D58" i="18" l="1"/>
  <c r="H58" i="18"/>
  <c r="J59" i="18" s="1"/>
  <c r="K58" i="18"/>
  <c r="L58" i="18" s="1"/>
  <c r="Q58" i="18"/>
  <c r="R58" i="18" s="1"/>
  <c r="E58" i="18"/>
  <c r="I58" i="18"/>
  <c r="F58" i="18"/>
  <c r="O58" i="18"/>
  <c r="P58" i="18" s="1"/>
  <c r="G58" i="18"/>
  <c r="S58" i="18"/>
  <c r="C58" i="18"/>
  <c r="M58" i="18"/>
  <c r="N58" i="18" s="1"/>
  <c r="A116" i="18"/>
  <c r="A116" i="17"/>
  <c r="B59" i="18" l="1"/>
  <c r="A117" i="18"/>
  <c r="A117" i="17"/>
  <c r="M59" i="18" l="1"/>
  <c r="N59" i="18" s="1"/>
  <c r="H59" i="18"/>
  <c r="J60" i="18" s="1"/>
  <c r="D59" i="18"/>
  <c r="C59" i="18"/>
  <c r="K59" i="18"/>
  <c r="L59" i="18" s="1"/>
  <c r="S59" i="18"/>
  <c r="O59" i="18"/>
  <c r="P59" i="18" s="1"/>
  <c r="G59" i="18"/>
  <c r="F59" i="18"/>
  <c r="Q59" i="18"/>
  <c r="R59" i="18" s="1"/>
  <c r="E59" i="18"/>
  <c r="I59" i="18"/>
  <c r="A118" i="18"/>
  <c r="A118" i="17"/>
  <c r="B60" i="18" l="1"/>
  <c r="A119" i="18"/>
  <c r="A119" i="17"/>
  <c r="K60" i="18" l="1"/>
  <c r="L60" i="18" s="1"/>
  <c r="H60" i="18"/>
  <c r="J61" i="18" s="1"/>
  <c r="F60" i="18"/>
  <c r="I60" i="18"/>
  <c r="O60" i="18"/>
  <c r="P60" i="18" s="1"/>
  <c r="C60" i="18"/>
  <c r="M60" i="18"/>
  <c r="N60" i="18" s="1"/>
  <c r="Q60" i="18"/>
  <c r="R60" i="18" s="1"/>
  <c r="D60" i="18"/>
  <c r="S60" i="18"/>
  <c r="E60" i="18"/>
  <c r="G60" i="18"/>
  <c r="A120" i="18"/>
  <c r="A120" i="17"/>
  <c r="B61" i="18" l="1"/>
  <c r="A121" i="18"/>
  <c r="A121" i="17"/>
  <c r="D61" i="18" l="1"/>
  <c r="H61" i="18"/>
  <c r="J62" i="18" s="1"/>
  <c r="K61" i="18"/>
  <c r="L61" i="18" s="1"/>
  <c r="S61" i="18"/>
  <c r="C61" i="18"/>
  <c r="F61" i="18"/>
  <c r="I61" i="18"/>
  <c r="Q61" i="18"/>
  <c r="R61" i="18" s="1"/>
  <c r="G61" i="18"/>
  <c r="O61" i="18"/>
  <c r="P61" i="18" s="1"/>
  <c r="E61" i="18"/>
  <c r="M61" i="18"/>
  <c r="N61" i="18" s="1"/>
  <c r="A122" i="18"/>
  <c r="A122" i="17"/>
  <c r="B62" i="18" l="1"/>
  <c r="A123" i="18"/>
  <c r="A123" i="17"/>
  <c r="C62" i="18" l="1"/>
  <c r="H62" i="18"/>
  <c r="J63" i="18" s="1"/>
  <c r="M62" i="18"/>
  <c r="N62" i="18" s="1"/>
  <c r="K62" i="18"/>
  <c r="L62" i="18" s="1"/>
  <c r="E62" i="18"/>
  <c r="Q62" i="18"/>
  <c r="R62" i="18" s="1"/>
  <c r="F62" i="18"/>
  <c r="I62" i="18"/>
  <c r="G62" i="18"/>
  <c r="S62" i="18"/>
  <c r="D62" i="18"/>
  <c r="O62" i="18"/>
  <c r="P62" i="18" s="1"/>
  <c r="A124" i="18"/>
  <c r="A124" i="17"/>
  <c r="B63" i="18" l="1"/>
  <c r="A125" i="18"/>
  <c r="A125" i="17"/>
  <c r="D63" i="18" l="1"/>
  <c r="H63" i="18"/>
  <c r="J64" i="18" s="1"/>
  <c r="E63" i="18"/>
  <c r="Q63" i="18"/>
  <c r="R63" i="18" s="1"/>
  <c r="M63" i="18"/>
  <c r="N63" i="18" s="1"/>
  <c r="S63" i="18"/>
  <c r="K63" i="18"/>
  <c r="L63" i="18" s="1"/>
  <c r="I63" i="18"/>
  <c r="C63" i="18"/>
  <c r="G63" i="18"/>
  <c r="O63" i="18"/>
  <c r="P63" i="18" s="1"/>
  <c r="F63" i="18"/>
  <c r="A126" i="18"/>
  <c r="A126" i="17"/>
  <c r="B64" i="18" l="1"/>
  <c r="A127" i="18"/>
  <c r="A127" i="17"/>
  <c r="D64" i="18" l="1"/>
  <c r="H64" i="18"/>
  <c r="J65" i="18" s="1"/>
  <c r="G64" i="18"/>
  <c r="S64" i="18"/>
  <c r="I64" i="18"/>
  <c r="C64" i="18"/>
  <c r="Q64" i="18"/>
  <c r="R64" i="18" s="1"/>
  <c r="M64" i="18"/>
  <c r="N64" i="18" s="1"/>
  <c r="K64" i="18"/>
  <c r="L64" i="18" s="1"/>
  <c r="F64" i="18"/>
  <c r="E64" i="18"/>
  <c r="O64" i="18"/>
  <c r="P64" i="18" s="1"/>
  <c r="A128" i="18"/>
  <c r="A128" i="17"/>
  <c r="B65" i="18" l="1"/>
  <c r="A129" i="18"/>
  <c r="A129" i="17"/>
  <c r="C65" i="18" l="1"/>
  <c r="H65" i="18"/>
  <c r="J66" i="18" s="1"/>
  <c r="S65" i="18"/>
  <c r="E65" i="18"/>
  <c r="Q65" i="18"/>
  <c r="R65" i="18" s="1"/>
  <c r="K65" i="18"/>
  <c r="L65" i="18" s="1"/>
  <c r="I65" i="18"/>
  <c r="G65" i="18"/>
  <c r="M65" i="18"/>
  <c r="N65" i="18" s="1"/>
  <c r="O65" i="18"/>
  <c r="P65" i="18" s="1"/>
  <c r="D65" i="18"/>
  <c r="F65" i="18"/>
  <c r="A130" i="18"/>
  <c r="A130" i="17"/>
  <c r="B66" i="18" l="1"/>
  <c r="A131" i="18"/>
  <c r="A131" i="17"/>
  <c r="D66" i="18" l="1"/>
  <c r="H66" i="18"/>
  <c r="J67" i="18" s="1"/>
  <c r="S66" i="18"/>
  <c r="M66" i="18"/>
  <c r="N66" i="18" s="1"/>
  <c r="G66" i="18"/>
  <c r="E66" i="18"/>
  <c r="F66" i="18"/>
  <c r="C66" i="18"/>
  <c r="I66" i="18"/>
  <c r="O66" i="18"/>
  <c r="P66" i="18" s="1"/>
  <c r="K66" i="18"/>
  <c r="L66" i="18" s="1"/>
  <c r="Q66" i="18"/>
  <c r="R66" i="18" s="1"/>
  <c r="A132" i="18"/>
  <c r="A132" i="17"/>
  <c r="B67" i="18" l="1"/>
  <c r="A133" i="18"/>
  <c r="A133" i="17"/>
  <c r="G67" i="18" l="1"/>
  <c r="H67" i="18"/>
  <c r="J68" i="18" s="1"/>
  <c r="O67" i="18"/>
  <c r="P67" i="18" s="1"/>
  <c r="D67" i="18"/>
  <c r="S67" i="18"/>
  <c r="K67" i="18"/>
  <c r="L67" i="18" s="1"/>
  <c r="C67" i="18"/>
  <c r="Q67" i="18"/>
  <c r="R67" i="18" s="1"/>
  <c r="M67" i="18"/>
  <c r="N67" i="18" s="1"/>
  <c r="F67" i="18"/>
  <c r="E67" i="18"/>
  <c r="I67" i="18"/>
  <c r="A134" i="18"/>
  <c r="A134" i="17"/>
  <c r="B68" i="18" l="1"/>
  <c r="A135" i="18"/>
  <c r="A135" i="17"/>
  <c r="G68" i="18" l="1"/>
  <c r="H68" i="18"/>
  <c r="J69" i="18" s="1"/>
  <c r="K68" i="18"/>
  <c r="L68" i="18" s="1"/>
  <c r="D68" i="18"/>
  <c r="I68" i="18"/>
  <c r="M68" i="18"/>
  <c r="N68" i="18" s="1"/>
  <c r="E68" i="18"/>
  <c r="C68" i="18"/>
  <c r="O68" i="18"/>
  <c r="P68" i="18" s="1"/>
  <c r="S68" i="18"/>
  <c r="F68" i="18"/>
  <c r="Q68" i="18"/>
  <c r="R68" i="18" s="1"/>
  <c r="A136" i="18"/>
  <c r="A136" i="17"/>
  <c r="B69" i="18" l="1"/>
  <c r="A137" i="18"/>
  <c r="A137" i="17"/>
  <c r="G69" i="18" l="1"/>
  <c r="H69" i="18"/>
  <c r="J70" i="18" s="1"/>
  <c r="I69" i="18"/>
  <c r="D69" i="18"/>
  <c r="F69" i="18"/>
  <c r="S69" i="18"/>
  <c r="Q69" i="18"/>
  <c r="R69" i="18" s="1"/>
  <c r="K69" i="18"/>
  <c r="L69" i="18" s="1"/>
  <c r="E69" i="18"/>
  <c r="C69" i="18"/>
  <c r="O69" i="18"/>
  <c r="P69" i="18" s="1"/>
  <c r="M69" i="18"/>
  <c r="N69" i="18" s="1"/>
  <c r="A138" i="18"/>
  <c r="A138" i="17"/>
  <c r="B70" i="18" l="1"/>
  <c r="A139" i="18"/>
  <c r="A139" i="17"/>
  <c r="F70" i="18" l="1"/>
  <c r="H70" i="18"/>
  <c r="J71" i="18" s="1"/>
  <c r="G70" i="18"/>
  <c r="C70" i="18"/>
  <c r="M70" i="18"/>
  <c r="N70" i="18" s="1"/>
  <c r="K70" i="18"/>
  <c r="L70" i="18" s="1"/>
  <c r="D70" i="18"/>
  <c r="O70" i="18"/>
  <c r="P70" i="18" s="1"/>
  <c r="S70" i="18"/>
  <c r="Q70" i="18"/>
  <c r="R70" i="18" s="1"/>
  <c r="I70" i="18"/>
  <c r="E70" i="18"/>
  <c r="A140" i="18"/>
  <c r="A140" i="17"/>
  <c r="B71" i="18" l="1"/>
  <c r="A141" i="18"/>
  <c r="A141" i="17"/>
  <c r="D71" i="18" l="1"/>
  <c r="H71" i="18"/>
  <c r="J72" i="18" s="1"/>
  <c r="I71" i="18"/>
  <c r="G71" i="18"/>
  <c r="O71" i="18"/>
  <c r="P71" i="18" s="1"/>
  <c r="E71" i="18"/>
  <c r="S71" i="18"/>
  <c r="Q71" i="18"/>
  <c r="R71" i="18" s="1"/>
  <c r="K71" i="18"/>
  <c r="L71" i="18" s="1"/>
  <c r="F71" i="18"/>
  <c r="M71" i="18"/>
  <c r="N71" i="18" s="1"/>
  <c r="C71" i="18"/>
  <c r="A142" i="18"/>
  <c r="A142" i="17"/>
  <c r="B72" i="18" l="1"/>
  <c r="A143" i="18"/>
  <c r="A143" i="17"/>
  <c r="Q72" i="18" l="1"/>
  <c r="R72" i="18" s="1"/>
  <c r="H72" i="18"/>
  <c r="J73" i="18" s="1"/>
  <c r="D72" i="18"/>
  <c r="C72" i="18"/>
  <c r="S72" i="18"/>
  <c r="G72" i="18"/>
  <c r="K72" i="18"/>
  <c r="L72" i="18" s="1"/>
  <c r="I72" i="18"/>
  <c r="F72" i="18"/>
  <c r="E72" i="18"/>
  <c r="O72" i="18"/>
  <c r="P72" i="18" s="1"/>
  <c r="M72" i="18"/>
  <c r="N72" i="18" s="1"/>
  <c r="A144" i="18"/>
  <c r="A144" i="17"/>
  <c r="B73" i="18" l="1"/>
  <c r="A145" i="18"/>
  <c r="A145" i="17"/>
  <c r="D73" i="18" l="1"/>
  <c r="H73" i="18"/>
  <c r="J74" i="18" s="1"/>
  <c r="K73" i="18"/>
  <c r="L73" i="18" s="1"/>
  <c r="I73" i="18"/>
  <c r="S73" i="18"/>
  <c r="C73" i="18"/>
  <c r="M73" i="18"/>
  <c r="N73" i="18" s="1"/>
  <c r="G73" i="18"/>
  <c r="F73" i="18"/>
  <c r="E73" i="18"/>
  <c r="Q73" i="18"/>
  <c r="R73" i="18" s="1"/>
  <c r="O73" i="18"/>
  <c r="P73" i="18" s="1"/>
  <c r="A146" i="18"/>
  <c r="A146" i="17"/>
  <c r="B74" i="18" l="1"/>
  <c r="A147" i="18"/>
  <c r="A147" i="17"/>
  <c r="D74" i="18" l="1"/>
  <c r="H74" i="18"/>
  <c r="J75" i="18" s="1"/>
  <c r="I74" i="18"/>
  <c r="E74" i="18"/>
  <c r="F74" i="18"/>
  <c r="Q74" i="18"/>
  <c r="R74" i="18" s="1"/>
  <c r="K74" i="18"/>
  <c r="L74" i="18" s="1"/>
  <c r="S74" i="18"/>
  <c r="G74" i="18"/>
  <c r="C74" i="18"/>
  <c r="O74" i="18"/>
  <c r="P74" i="18" s="1"/>
  <c r="M74" i="18"/>
  <c r="N74" i="18" s="1"/>
  <c r="A148" i="18"/>
  <c r="A148" i="17"/>
  <c r="B75" i="18" l="1"/>
  <c r="A149" i="18"/>
  <c r="A149" i="17"/>
  <c r="D75" i="18" l="1"/>
  <c r="H75" i="18"/>
  <c r="J76" i="18" s="1"/>
  <c r="M75" i="18"/>
  <c r="N75" i="18" s="1"/>
  <c r="C75" i="18"/>
  <c r="I75" i="18"/>
  <c r="Q75" i="18"/>
  <c r="R75" i="18" s="1"/>
  <c r="K75" i="18"/>
  <c r="L75" i="18" s="1"/>
  <c r="O75" i="18"/>
  <c r="P75" i="18" s="1"/>
  <c r="S75" i="18"/>
  <c r="F75" i="18"/>
  <c r="E75" i="18"/>
  <c r="G75" i="18"/>
  <c r="A150" i="18"/>
  <c r="A150" i="17"/>
  <c r="B76" i="18" l="1"/>
  <c r="A151" i="18"/>
  <c r="A151" i="17"/>
  <c r="D76" i="18" l="1"/>
  <c r="H76" i="18"/>
  <c r="J77" i="18" s="1"/>
  <c r="F76" i="18"/>
  <c r="C76" i="18"/>
  <c r="I76" i="18"/>
  <c r="S76" i="18"/>
  <c r="K76" i="18"/>
  <c r="L76" i="18" s="1"/>
  <c r="E76" i="18"/>
  <c r="Q76" i="18"/>
  <c r="R76" i="18" s="1"/>
  <c r="M76" i="18"/>
  <c r="N76" i="18" s="1"/>
  <c r="O76" i="18"/>
  <c r="P76" i="18" s="1"/>
  <c r="G76" i="18"/>
  <c r="A152" i="18"/>
  <c r="A152" i="17"/>
  <c r="B77" i="18" l="1"/>
  <c r="A153" i="18"/>
  <c r="A153" i="17"/>
  <c r="F77" i="18" l="1"/>
  <c r="H77" i="18"/>
  <c r="J78" i="18" s="1"/>
  <c r="D77" i="18"/>
  <c r="K77" i="18"/>
  <c r="L77" i="18" s="1"/>
  <c r="C77" i="18"/>
  <c r="E77" i="18"/>
  <c r="M77" i="18"/>
  <c r="N77" i="18" s="1"/>
  <c r="G77" i="18"/>
  <c r="Q77" i="18"/>
  <c r="R77" i="18" s="1"/>
  <c r="O77" i="18"/>
  <c r="P77" i="18" s="1"/>
  <c r="I77" i="18"/>
  <c r="S77" i="18"/>
  <c r="A154" i="18"/>
  <c r="A154" i="17"/>
  <c r="B78" i="18" l="1"/>
  <c r="A155" i="18"/>
  <c r="A155" i="17"/>
  <c r="C78" i="18" l="1"/>
  <c r="H78" i="18"/>
  <c r="J79" i="18" s="1"/>
  <c r="E78" i="18"/>
  <c r="F78" i="18"/>
  <c r="O78" i="18"/>
  <c r="P78" i="18" s="1"/>
  <c r="M78" i="18"/>
  <c r="N78" i="18" s="1"/>
  <c r="K78" i="18"/>
  <c r="L78" i="18" s="1"/>
  <c r="I78" i="18"/>
  <c r="Q78" i="18"/>
  <c r="R78" i="18" s="1"/>
  <c r="G78" i="18"/>
  <c r="S78" i="18"/>
  <c r="D78" i="18"/>
  <c r="A156" i="18"/>
  <c r="A156" i="17"/>
  <c r="B79" i="18" l="1"/>
  <c r="A157" i="18"/>
  <c r="A157" i="17"/>
  <c r="D79" i="18" l="1"/>
  <c r="H79" i="18"/>
  <c r="J80" i="18" s="1"/>
  <c r="Q79" i="18"/>
  <c r="R79" i="18" s="1"/>
  <c r="C79" i="18"/>
  <c r="E79" i="18"/>
  <c r="K79" i="18"/>
  <c r="L79" i="18" s="1"/>
  <c r="F79" i="18"/>
  <c r="S79" i="18"/>
  <c r="O79" i="18"/>
  <c r="P79" i="18" s="1"/>
  <c r="G79" i="18"/>
  <c r="M79" i="18"/>
  <c r="N79" i="18" s="1"/>
  <c r="I79" i="18"/>
  <c r="A158" i="18"/>
  <c r="A158" i="17"/>
  <c r="B80" i="18" l="1"/>
  <c r="A159" i="18"/>
  <c r="A159" i="17"/>
  <c r="M80" i="18" l="1"/>
  <c r="N80" i="18" s="1"/>
  <c r="H80" i="18"/>
  <c r="J81" i="18" s="1"/>
  <c r="D80" i="18"/>
  <c r="I80" i="18"/>
  <c r="O80" i="18"/>
  <c r="P80" i="18" s="1"/>
  <c r="E80" i="18"/>
  <c r="G80" i="18"/>
  <c r="Q80" i="18"/>
  <c r="R80" i="18" s="1"/>
  <c r="C80" i="18"/>
  <c r="K80" i="18"/>
  <c r="L80" i="18" s="1"/>
  <c r="S80" i="18"/>
  <c r="F80" i="18"/>
  <c r="A160" i="18"/>
  <c r="A160" i="17"/>
  <c r="B81" i="18" l="1"/>
  <c r="A161" i="18"/>
  <c r="A161" i="17"/>
  <c r="F81" i="18" l="1"/>
  <c r="H81" i="18"/>
  <c r="J82" i="18" s="1"/>
  <c r="C81" i="18"/>
  <c r="O81" i="18"/>
  <c r="P81" i="18" s="1"/>
  <c r="E81" i="18"/>
  <c r="S81" i="18"/>
  <c r="G81" i="18"/>
  <c r="D81" i="18"/>
  <c r="K81" i="18"/>
  <c r="L81" i="18" s="1"/>
  <c r="Q81" i="18"/>
  <c r="R81" i="18" s="1"/>
  <c r="M81" i="18"/>
  <c r="N81" i="18" s="1"/>
  <c r="I81" i="18"/>
  <c r="A162" i="18"/>
  <c r="A162" i="17"/>
  <c r="B82" i="18" l="1"/>
  <c r="A163" i="18"/>
  <c r="A163" i="17"/>
  <c r="M82" i="18" l="1"/>
  <c r="N82" i="18" s="1"/>
  <c r="H82" i="18"/>
  <c r="J83" i="18" s="1"/>
  <c r="O82" i="18"/>
  <c r="P82" i="18" s="1"/>
  <c r="F82" i="18"/>
  <c r="K82" i="18"/>
  <c r="L82" i="18" s="1"/>
  <c r="S82" i="18"/>
  <c r="I82" i="18"/>
  <c r="C82" i="18"/>
  <c r="E82" i="18"/>
  <c r="Q82" i="18"/>
  <c r="R82" i="18" s="1"/>
  <c r="D82" i="18"/>
  <c r="G82" i="18"/>
  <c r="A164" i="18"/>
  <c r="A164" i="17"/>
  <c r="B83" i="18" l="1"/>
  <c r="D83" i="18" s="1"/>
  <c r="A165" i="18"/>
  <c r="A165" i="17"/>
  <c r="O83" i="18" l="1"/>
  <c r="P83" i="18" s="1"/>
  <c r="H83" i="18"/>
  <c r="J84" i="18" s="1"/>
  <c r="M83" i="18"/>
  <c r="N83" i="18" s="1"/>
  <c r="K83" i="18"/>
  <c r="L83" i="18" s="1"/>
  <c r="G83" i="18"/>
  <c r="I83" i="18"/>
  <c r="Q83" i="18"/>
  <c r="R83" i="18" s="1"/>
  <c r="S83" i="18"/>
  <c r="E83" i="18"/>
  <c r="F83" i="18"/>
  <c r="C83" i="18"/>
  <c r="A166" i="18"/>
  <c r="A166" i="17"/>
  <c r="B84" i="18" l="1"/>
  <c r="A167" i="18"/>
  <c r="A167" i="17"/>
  <c r="D84" i="18" l="1"/>
  <c r="H84" i="18"/>
  <c r="J85" i="18" s="1"/>
  <c r="I84" i="18"/>
  <c r="G84" i="18"/>
  <c r="O84" i="18"/>
  <c r="P84" i="18" s="1"/>
  <c r="E84" i="18"/>
  <c r="K84" i="18"/>
  <c r="L84" i="18" s="1"/>
  <c r="F84" i="18"/>
  <c r="M84" i="18"/>
  <c r="N84" i="18" s="1"/>
  <c r="S84" i="18"/>
  <c r="Q84" i="18"/>
  <c r="R84" i="18" s="1"/>
  <c r="C84" i="18"/>
  <c r="A168" i="18"/>
  <c r="A168" i="17"/>
  <c r="B85" i="18" l="1"/>
  <c r="A169" i="18"/>
  <c r="A169" i="17"/>
  <c r="D85" i="18" l="1"/>
  <c r="H85" i="18"/>
  <c r="J86" i="18" s="1"/>
  <c r="M85" i="18"/>
  <c r="N85" i="18" s="1"/>
  <c r="O85" i="18"/>
  <c r="P85" i="18" s="1"/>
  <c r="C85" i="18"/>
  <c r="S85" i="18"/>
  <c r="G85" i="18"/>
  <c r="Q85" i="18"/>
  <c r="R85" i="18" s="1"/>
  <c r="E85" i="18"/>
  <c r="K85" i="18"/>
  <c r="L85" i="18" s="1"/>
  <c r="I85" i="18"/>
  <c r="F85" i="18"/>
  <c r="A170" i="18"/>
  <c r="A170" i="17"/>
  <c r="B86" i="18" l="1"/>
  <c r="A171" i="18"/>
  <c r="A171" i="17"/>
  <c r="D86" i="18" l="1"/>
  <c r="H86" i="18"/>
  <c r="J87" i="18" s="1"/>
  <c r="M86" i="18"/>
  <c r="N86" i="18" s="1"/>
  <c r="E86" i="18"/>
  <c r="Q86" i="18"/>
  <c r="R86" i="18" s="1"/>
  <c r="S86" i="18"/>
  <c r="G86" i="18"/>
  <c r="C86" i="18"/>
  <c r="K86" i="18"/>
  <c r="L86" i="18" s="1"/>
  <c r="F86" i="18"/>
  <c r="I86" i="18"/>
  <c r="O86" i="18"/>
  <c r="P86" i="18" s="1"/>
  <c r="A172" i="18"/>
  <c r="A172" i="17"/>
  <c r="B87" i="18" l="1"/>
  <c r="A173" i="18"/>
  <c r="A173" i="17"/>
  <c r="K87" i="18" l="1"/>
  <c r="L87" i="18" s="1"/>
  <c r="H87" i="18"/>
  <c r="J88" i="18" s="1"/>
  <c r="O87" i="18"/>
  <c r="P87" i="18" s="1"/>
  <c r="F87" i="18"/>
  <c r="M87" i="18"/>
  <c r="N87" i="18" s="1"/>
  <c r="C87" i="18"/>
  <c r="E87" i="18"/>
  <c r="Q87" i="18"/>
  <c r="R87" i="18" s="1"/>
  <c r="D87" i="18"/>
  <c r="S87" i="18"/>
  <c r="G87" i="18"/>
  <c r="I87" i="18"/>
  <c r="A174" i="18"/>
  <c r="A174" i="17"/>
  <c r="B88" i="18" l="1"/>
  <c r="A175" i="18"/>
  <c r="A175" i="17"/>
  <c r="H88" i="18" l="1"/>
  <c r="J89" i="18" s="1"/>
  <c r="S88" i="18"/>
  <c r="G88" i="18"/>
  <c r="C88" i="18"/>
  <c r="I88" i="18"/>
  <c r="E88" i="18"/>
  <c r="K88" i="18"/>
  <c r="L88" i="18" s="1"/>
  <c r="M88" i="18"/>
  <c r="N88" i="18" s="1"/>
  <c r="F88" i="18"/>
  <c r="Q88" i="18"/>
  <c r="R88" i="18" s="1"/>
  <c r="D88" i="18"/>
  <c r="O88" i="18"/>
  <c r="P88" i="18" s="1"/>
  <c r="A176" i="18"/>
  <c r="A176" i="17"/>
  <c r="B89" i="18" l="1"/>
  <c r="A177" i="18"/>
  <c r="A177" i="17"/>
  <c r="D89" i="18" l="1"/>
  <c r="H89" i="18"/>
  <c r="J90" i="18" s="1"/>
  <c r="O89" i="18"/>
  <c r="P89" i="18" s="1"/>
  <c r="K89" i="18"/>
  <c r="L89" i="18" s="1"/>
  <c r="C89" i="18"/>
  <c r="F89" i="18"/>
  <c r="Q89" i="18"/>
  <c r="R89" i="18" s="1"/>
  <c r="M89" i="18"/>
  <c r="N89" i="18" s="1"/>
  <c r="E89" i="18"/>
  <c r="I89" i="18"/>
  <c r="G89" i="18"/>
  <c r="S89" i="18"/>
  <c r="A178" i="18"/>
  <c r="A178" i="17"/>
  <c r="B90" i="18" l="1"/>
  <c r="A179" i="18"/>
  <c r="A179" i="17"/>
  <c r="D90" i="18" l="1"/>
  <c r="H90" i="18"/>
  <c r="J91" i="18" s="1"/>
  <c r="E90" i="18"/>
  <c r="I90" i="18"/>
  <c r="G90" i="18"/>
  <c r="M90" i="18"/>
  <c r="N90" i="18" s="1"/>
  <c r="Q90" i="18"/>
  <c r="R90" i="18" s="1"/>
  <c r="O90" i="18"/>
  <c r="P90" i="18" s="1"/>
  <c r="K90" i="18"/>
  <c r="L90" i="18" s="1"/>
  <c r="C90" i="18"/>
  <c r="F90" i="18"/>
  <c r="S90" i="18"/>
  <c r="A180" i="18"/>
  <c r="A180" i="17"/>
  <c r="B91" i="18" l="1"/>
  <c r="A181" i="18"/>
  <c r="A181" i="17"/>
  <c r="D91" i="18" l="1"/>
  <c r="H91" i="18"/>
  <c r="J92" i="18" s="1"/>
  <c r="S91" i="18"/>
  <c r="K91" i="18"/>
  <c r="L91" i="18" s="1"/>
  <c r="G91" i="18"/>
  <c r="Q91" i="18"/>
  <c r="R91" i="18" s="1"/>
  <c r="M91" i="18"/>
  <c r="N91" i="18" s="1"/>
  <c r="E91" i="18"/>
  <c r="F91" i="18"/>
  <c r="C91" i="18"/>
  <c r="O91" i="18"/>
  <c r="P91" i="18" s="1"/>
  <c r="I91" i="18"/>
  <c r="A182" i="18"/>
  <c r="A182" i="17"/>
  <c r="B92" i="18" l="1"/>
  <c r="A183" i="18"/>
  <c r="A183" i="17"/>
  <c r="D92" i="18" l="1"/>
  <c r="H92" i="18"/>
  <c r="J93" i="18" s="1"/>
  <c r="K92" i="18"/>
  <c r="L92" i="18" s="1"/>
  <c r="E92" i="18"/>
  <c r="S92" i="18"/>
  <c r="M92" i="18"/>
  <c r="N92" i="18" s="1"/>
  <c r="G92" i="18"/>
  <c r="C92" i="18"/>
  <c r="I92" i="18"/>
  <c r="O92" i="18"/>
  <c r="P92" i="18" s="1"/>
  <c r="F92" i="18"/>
  <c r="Q92" i="18"/>
  <c r="R92" i="18" s="1"/>
  <c r="A184" i="18"/>
  <c r="A184" i="17"/>
  <c r="B93" i="18" l="1"/>
  <c r="A185" i="18"/>
  <c r="A185" i="17"/>
  <c r="D93" i="18" l="1"/>
  <c r="H93" i="18"/>
  <c r="J94" i="18" s="1"/>
  <c r="E93" i="18"/>
  <c r="Q93" i="18"/>
  <c r="R93" i="18" s="1"/>
  <c r="C93" i="18"/>
  <c r="O93" i="18"/>
  <c r="P93" i="18" s="1"/>
  <c r="F93" i="18"/>
  <c r="K93" i="18"/>
  <c r="L93" i="18" s="1"/>
  <c r="M93" i="18"/>
  <c r="N93" i="18" s="1"/>
  <c r="G93" i="18"/>
  <c r="S93" i="18"/>
  <c r="I93" i="18"/>
  <c r="A186" i="18"/>
  <c r="A186" i="17"/>
  <c r="B94" i="18" l="1"/>
  <c r="A187" i="18"/>
  <c r="A187" i="17"/>
  <c r="D94" i="18" l="1"/>
  <c r="H94" i="18"/>
  <c r="J95" i="18" s="1"/>
  <c r="G94" i="18"/>
  <c r="Q94" i="18"/>
  <c r="R94" i="18" s="1"/>
  <c r="E94" i="18"/>
  <c r="S94" i="18"/>
  <c r="I94" i="18"/>
  <c r="M94" i="18"/>
  <c r="N94" i="18" s="1"/>
  <c r="C94" i="18"/>
  <c r="F94" i="18"/>
  <c r="O94" i="18"/>
  <c r="P94" i="18" s="1"/>
  <c r="K94" i="18"/>
  <c r="L94" i="18" s="1"/>
  <c r="A188" i="18"/>
  <c r="A188" i="17"/>
  <c r="B95" i="18" l="1"/>
  <c r="A189" i="18"/>
  <c r="A189" i="17"/>
  <c r="F95" i="18" l="1"/>
  <c r="H95" i="18"/>
  <c r="J96" i="18" s="1"/>
  <c r="D95" i="18"/>
  <c r="M95" i="18"/>
  <c r="N95" i="18" s="1"/>
  <c r="O95" i="18"/>
  <c r="P95" i="18" s="1"/>
  <c r="G95" i="18"/>
  <c r="C95" i="18"/>
  <c r="S95" i="18"/>
  <c r="Q95" i="18"/>
  <c r="R95" i="18" s="1"/>
  <c r="E95" i="18"/>
  <c r="I95" i="18"/>
  <c r="K95" i="18"/>
  <c r="L95" i="18" s="1"/>
  <c r="A190" i="18"/>
  <c r="A190" i="17"/>
  <c r="B96" i="18" l="1"/>
  <c r="A191" i="18"/>
  <c r="A191" i="17"/>
  <c r="E96" i="18" l="1"/>
  <c r="H96" i="18"/>
  <c r="J97" i="18" s="1"/>
  <c r="D96" i="18"/>
  <c r="F96" i="18"/>
  <c r="S96" i="18"/>
  <c r="K96" i="18"/>
  <c r="L96" i="18" s="1"/>
  <c r="Q96" i="18"/>
  <c r="R96" i="18" s="1"/>
  <c r="I96" i="18"/>
  <c r="O96" i="18"/>
  <c r="P96" i="18" s="1"/>
  <c r="C96" i="18"/>
  <c r="G96" i="18"/>
  <c r="M96" i="18"/>
  <c r="N96" i="18" s="1"/>
  <c r="A192" i="18"/>
  <c r="A192" i="17"/>
  <c r="B97" i="18" l="1"/>
  <c r="A193" i="18"/>
  <c r="A193" i="17"/>
  <c r="G97" i="18" l="1"/>
  <c r="H97" i="18"/>
  <c r="J98" i="18" s="1"/>
  <c r="F97" i="18"/>
  <c r="I97" i="18"/>
  <c r="O97" i="18"/>
  <c r="P97" i="18" s="1"/>
  <c r="E97" i="18"/>
  <c r="K97" i="18"/>
  <c r="L97" i="18" s="1"/>
  <c r="S97" i="18"/>
  <c r="M97" i="18"/>
  <c r="N97" i="18" s="1"/>
  <c r="Q97" i="18"/>
  <c r="R97" i="18" s="1"/>
  <c r="C97" i="18"/>
  <c r="D97" i="18"/>
  <c r="A194" i="18"/>
  <c r="A194" i="17"/>
  <c r="B98" i="18" l="1"/>
  <c r="A195" i="18"/>
  <c r="A195" i="17"/>
  <c r="D98" i="18" l="1"/>
  <c r="H98" i="18"/>
  <c r="J99" i="18" s="1"/>
  <c r="I98" i="18"/>
  <c r="K98" i="18"/>
  <c r="L98" i="18" s="1"/>
  <c r="G98" i="18"/>
  <c r="M98" i="18"/>
  <c r="N98" i="18" s="1"/>
  <c r="Q98" i="18"/>
  <c r="R98" i="18" s="1"/>
  <c r="C98" i="18"/>
  <c r="E98" i="18"/>
  <c r="S98" i="18"/>
  <c r="F98" i="18"/>
  <c r="O98" i="18"/>
  <c r="P98" i="18" s="1"/>
  <c r="A196" i="18"/>
  <c r="A196" i="17"/>
  <c r="B99" i="18" l="1"/>
  <c r="A197" i="18"/>
  <c r="A197" i="17"/>
  <c r="D99" i="18" l="1"/>
  <c r="H99" i="18"/>
  <c r="J100" i="18" s="1"/>
  <c r="E99" i="18"/>
  <c r="I99" i="18"/>
  <c r="G99" i="18"/>
  <c r="C99" i="18"/>
  <c r="O99" i="18"/>
  <c r="P99" i="18" s="1"/>
  <c r="F99" i="18"/>
  <c r="M99" i="18"/>
  <c r="N99" i="18" s="1"/>
  <c r="S99" i="18"/>
  <c r="K99" i="18"/>
  <c r="L99" i="18" s="1"/>
  <c r="Q99" i="18"/>
  <c r="R99" i="18" s="1"/>
  <c r="A198" i="18"/>
  <c r="A198" i="17"/>
  <c r="B100" i="18" l="1"/>
  <c r="A199" i="18"/>
  <c r="A199" i="17"/>
  <c r="D100" i="18" l="1"/>
  <c r="H100" i="18"/>
  <c r="J101" i="18" s="1"/>
  <c r="F100" i="18"/>
  <c r="O100" i="18"/>
  <c r="P100" i="18" s="1"/>
  <c r="K100" i="18"/>
  <c r="L100" i="18" s="1"/>
  <c r="M100" i="18"/>
  <c r="N100" i="18" s="1"/>
  <c r="C100" i="18"/>
  <c r="Q100" i="18"/>
  <c r="R100" i="18" s="1"/>
  <c r="S100" i="18"/>
  <c r="G100" i="18"/>
  <c r="E100" i="18"/>
  <c r="I100" i="18"/>
  <c r="A200" i="18"/>
  <c r="A200" i="17"/>
  <c r="B101" i="18" l="1"/>
  <c r="A201" i="18"/>
  <c r="A201" i="17"/>
  <c r="D101" i="18" l="1"/>
  <c r="H101" i="18"/>
  <c r="J102" i="18" s="1"/>
  <c r="E101" i="18"/>
  <c r="F101" i="18"/>
  <c r="O101" i="18"/>
  <c r="P101" i="18" s="1"/>
  <c r="Q101" i="18"/>
  <c r="R101" i="18" s="1"/>
  <c r="S101" i="18"/>
  <c r="I101" i="18"/>
  <c r="C101" i="18"/>
  <c r="G101" i="18"/>
  <c r="M101" i="18"/>
  <c r="N101" i="18" s="1"/>
  <c r="K101" i="18"/>
  <c r="L101" i="18" s="1"/>
  <c r="A202" i="18"/>
  <c r="A202" i="17"/>
  <c r="B102" i="18" l="1"/>
  <c r="A203" i="18"/>
  <c r="A203" i="17"/>
  <c r="H102" i="18" l="1"/>
  <c r="J103" i="18" s="1"/>
  <c r="M102" i="18"/>
  <c r="N102" i="18" s="1"/>
  <c r="C102" i="18"/>
  <c r="O102" i="18"/>
  <c r="P102" i="18" s="1"/>
  <c r="G102" i="18"/>
  <c r="S102" i="18"/>
  <c r="Q102" i="18"/>
  <c r="R102" i="18" s="1"/>
  <c r="E102" i="18"/>
  <c r="F102" i="18"/>
  <c r="I102" i="18"/>
  <c r="K102" i="18"/>
  <c r="L102" i="18" s="1"/>
  <c r="D102" i="18"/>
  <c r="A204" i="18"/>
  <c r="A204" i="17"/>
  <c r="B103" i="18" l="1"/>
  <c r="A205" i="18"/>
  <c r="A205" i="17"/>
  <c r="H103" i="18" l="1"/>
  <c r="J104" i="18" s="1"/>
  <c r="I103" i="18"/>
  <c r="Q103" i="18"/>
  <c r="R103" i="18" s="1"/>
  <c r="O103" i="18"/>
  <c r="P103" i="18" s="1"/>
  <c r="S103" i="18"/>
  <c r="D103" i="18"/>
  <c r="C103" i="18"/>
  <c r="E103" i="18"/>
  <c r="F103" i="18"/>
  <c r="M103" i="18"/>
  <c r="N103" i="18" s="1"/>
  <c r="K103" i="18"/>
  <c r="L103" i="18" s="1"/>
  <c r="G103" i="18"/>
  <c r="A206" i="18"/>
  <c r="A206" i="17"/>
  <c r="B104" i="18" l="1"/>
  <c r="A207" i="18"/>
  <c r="A207" i="17"/>
  <c r="M104" i="18" l="1"/>
  <c r="N104" i="18" s="1"/>
  <c r="H104" i="18"/>
  <c r="J105" i="18" s="1"/>
  <c r="O104" i="18"/>
  <c r="P104" i="18" s="1"/>
  <c r="Q104" i="18"/>
  <c r="R104" i="18" s="1"/>
  <c r="D104" i="18"/>
  <c r="C104" i="18"/>
  <c r="E104" i="18"/>
  <c r="S104" i="18"/>
  <c r="I104" i="18"/>
  <c r="G104" i="18"/>
  <c r="F104" i="18"/>
  <c r="K104" i="18"/>
  <c r="L104" i="18" s="1"/>
  <c r="A208" i="18"/>
  <c r="A208" i="17"/>
  <c r="B105" i="18" l="1"/>
  <c r="A209" i="18"/>
  <c r="A209" i="17"/>
  <c r="D105" i="18" l="1"/>
  <c r="H105" i="18"/>
  <c r="J106" i="18" s="1"/>
  <c r="S105" i="18"/>
  <c r="M105" i="18"/>
  <c r="N105" i="18" s="1"/>
  <c r="G105" i="18"/>
  <c r="C105" i="18"/>
  <c r="I105" i="18"/>
  <c r="O105" i="18"/>
  <c r="P105" i="18" s="1"/>
  <c r="F105" i="18"/>
  <c r="E105" i="18"/>
  <c r="Q105" i="18"/>
  <c r="R105" i="18" s="1"/>
  <c r="K105" i="18"/>
  <c r="L105" i="18" s="1"/>
  <c r="A210" i="18"/>
  <c r="A210" i="17"/>
  <c r="B106" i="18" l="1"/>
  <c r="A211" i="18"/>
  <c r="A211" i="17"/>
  <c r="D106" i="18" l="1"/>
  <c r="H106" i="18"/>
  <c r="J107" i="18" s="1"/>
  <c r="Q106" i="18"/>
  <c r="R106" i="18" s="1"/>
  <c r="K106" i="18"/>
  <c r="L106" i="18" s="1"/>
  <c r="F106" i="18"/>
  <c r="S106" i="18"/>
  <c r="I106" i="18"/>
  <c r="E106" i="18"/>
  <c r="O106" i="18"/>
  <c r="P106" i="18" s="1"/>
  <c r="M106" i="18"/>
  <c r="N106" i="18" s="1"/>
  <c r="G106" i="18"/>
  <c r="C106" i="18"/>
  <c r="A212" i="18"/>
  <c r="A212" i="17"/>
  <c r="B107" i="18" l="1"/>
  <c r="A213" i="18"/>
  <c r="A213" i="17"/>
  <c r="M107" i="18" l="1"/>
  <c r="N107" i="18" s="1"/>
  <c r="H107" i="18"/>
  <c r="J108" i="18" s="1"/>
  <c r="D107" i="18"/>
  <c r="I107" i="18"/>
  <c r="Q107" i="18"/>
  <c r="R107" i="18" s="1"/>
  <c r="G107" i="18"/>
  <c r="K107" i="18"/>
  <c r="L107" i="18" s="1"/>
  <c r="C107" i="18"/>
  <c r="E107" i="18"/>
  <c r="O107" i="18"/>
  <c r="P107" i="18" s="1"/>
  <c r="F107" i="18"/>
  <c r="S107" i="18"/>
  <c r="A214" i="18"/>
  <c r="A214" i="17"/>
  <c r="B108" i="18" l="1"/>
  <c r="A215" i="18"/>
  <c r="A215" i="17"/>
  <c r="G108" i="18" l="1"/>
  <c r="H108" i="18"/>
  <c r="J109" i="18" s="1"/>
  <c r="O108" i="18"/>
  <c r="P108" i="18" s="1"/>
  <c r="D108" i="18"/>
  <c r="K108" i="18"/>
  <c r="L108" i="18" s="1"/>
  <c r="F108" i="18"/>
  <c r="I108" i="18"/>
  <c r="C108" i="18"/>
  <c r="Q108" i="18"/>
  <c r="R108" i="18" s="1"/>
  <c r="E108" i="18"/>
  <c r="S108" i="18"/>
  <c r="M108" i="18"/>
  <c r="N108" i="18" s="1"/>
  <c r="A216" i="18"/>
  <c r="A216" i="17"/>
  <c r="B109" i="18" l="1"/>
  <c r="A217" i="18"/>
  <c r="A217" i="17"/>
  <c r="M109" i="18" l="1"/>
  <c r="N109" i="18" s="1"/>
  <c r="H109" i="18"/>
  <c r="J110" i="18" s="1"/>
  <c r="K109" i="18"/>
  <c r="L109" i="18" s="1"/>
  <c r="F109" i="18"/>
  <c r="E109" i="18"/>
  <c r="D109" i="18"/>
  <c r="I109" i="18"/>
  <c r="G109" i="18"/>
  <c r="C109" i="18"/>
  <c r="O109" i="18"/>
  <c r="P109" i="18" s="1"/>
  <c r="Q109" i="18"/>
  <c r="R109" i="18" s="1"/>
  <c r="S109" i="18"/>
  <c r="A218" i="18"/>
  <c r="A218" i="17"/>
  <c r="B110" i="18" l="1"/>
  <c r="D110" i="18" s="1"/>
  <c r="A219" i="18"/>
  <c r="A219" i="17"/>
  <c r="O110" i="18" l="1"/>
  <c r="P110" i="18" s="1"/>
  <c r="H110" i="18"/>
  <c r="J111" i="18" s="1"/>
  <c r="I110" i="18"/>
  <c r="K110" i="18"/>
  <c r="L110" i="18" s="1"/>
  <c r="S110" i="18"/>
  <c r="E110" i="18"/>
  <c r="G110" i="18"/>
  <c r="F110" i="18"/>
  <c r="Q110" i="18"/>
  <c r="R110" i="18" s="1"/>
  <c r="M110" i="18"/>
  <c r="N110" i="18" s="1"/>
  <c r="C110" i="18"/>
  <c r="A220" i="18"/>
  <c r="A220" i="17"/>
  <c r="B111" i="18" l="1"/>
  <c r="A221" i="18"/>
  <c r="A221" i="17"/>
  <c r="O111" i="18" l="1"/>
  <c r="P111" i="18" s="1"/>
  <c r="H111" i="18"/>
  <c r="J112" i="18" s="1"/>
  <c r="C111" i="18"/>
  <c r="F111" i="18"/>
  <c r="I111" i="18"/>
  <c r="K111" i="18"/>
  <c r="L111" i="18" s="1"/>
  <c r="Q111" i="18"/>
  <c r="R111" i="18" s="1"/>
  <c r="E111" i="18"/>
  <c r="G111" i="18"/>
  <c r="M111" i="18"/>
  <c r="N111" i="18" s="1"/>
  <c r="D111" i="18"/>
  <c r="S111" i="18"/>
  <c r="A222" i="18"/>
  <c r="A222" i="17"/>
  <c r="B112" i="18" l="1"/>
  <c r="A223" i="18"/>
  <c r="A223" i="17"/>
  <c r="D112" i="18" l="1"/>
  <c r="H112" i="18"/>
  <c r="J113" i="18" s="1"/>
  <c r="F112" i="18"/>
  <c r="Q112" i="18"/>
  <c r="R112" i="18" s="1"/>
  <c r="I112" i="18"/>
  <c r="S112" i="18"/>
  <c r="C112" i="18"/>
  <c r="K112" i="18"/>
  <c r="L112" i="18" s="1"/>
  <c r="O112" i="18"/>
  <c r="P112" i="18" s="1"/>
  <c r="G112" i="18"/>
  <c r="E112" i="18"/>
  <c r="M112" i="18"/>
  <c r="N112" i="18" s="1"/>
  <c r="A224" i="18"/>
  <c r="A224" i="17"/>
  <c r="B113" i="18" l="1"/>
  <c r="A225" i="18"/>
  <c r="A225" i="17"/>
  <c r="K113" i="18" l="1"/>
  <c r="L113" i="18" s="1"/>
  <c r="H113" i="18"/>
  <c r="J114" i="18" s="1"/>
  <c r="C113" i="18"/>
  <c r="Q113" i="18"/>
  <c r="R113" i="18" s="1"/>
  <c r="F113" i="18"/>
  <c r="G113" i="18"/>
  <c r="M113" i="18"/>
  <c r="N113" i="18" s="1"/>
  <c r="O113" i="18"/>
  <c r="P113" i="18" s="1"/>
  <c r="D113" i="18"/>
  <c r="S113" i="18"/>
  <c r="E113" i="18"/>
  <c r="I113" i="18"/>
  <c r="A226" i="18"/>
  <c r="A226" i="17"/>
  <c r="B114" i="18" l="1"/>
  <c r="A227" i="18"/>
  <c r="A227" i="17"/>
  <c r="C114" i="18" l="1"/>
  <c r="H114" i="18"/>
  <c r="J115" i="18" s="1"/>
  <c r="M114" i="18"/>
  <c r="N114" i="18" s="1"/>
  <c r="I114" i="18"/>
  <c r="F114" i="18"/>
  <c r="E114" i="18"/>
  <c r="D114" i="18"/>
  <c r="K114" i="18"/>
  <c r="L114" i="18" s="1"/>
  <c r="O114" i="18"/>
  <c r="P114" i="18" s="1"/>
  <c r="Q114" i="18"/>
  <c r="R114" i="18" s="1"/>
  <c r="S114" i="18"/>
  <c r="G114" i="18"/>
  <c r="A228" i="18"/>
  <c r="A228" i="17"/>
  <c r="B115" i="18" l="1"/>
  <c r="A229" i="18"/>
  <c r="A229" i="17"/>
  <c r="Q115" i="18" l="1"/>
  <c r="R115" i="18" s="1"/>
  <c r="H115" i="18"/>
  <c r="J116" i="18" s="1"/>
  <c r="K115" i="18"/>
  <c r="L115" i="18" s="1"/>
  <c r="S115" i="18"/>
  <c r="G115" i="18"/>
  <c r="M115" i="18"/>
  <c r="N115" i="18" s="1"/>
  <c r="I115" i="18"/>
  <c r="O115" i="18"/>
  <c r="P115" i="18" s="1"/>
  <c r="F115" i="18"/>
  <c r="E115" i="18"/>
  <c r="D115" i="18"/>
  <c r="C115" i="18"/>
  <c r="A230" i="18"/>
  <c r="A230" i="17"/>
  <c r="B116" i="18" l="1"/>
  <c r="A231" i="18"/>
  <c r="A231" i="17"/>
  <c r="M116" i="18" l="1"/>
  <c r="N116" i="18" s="1"/>
  <c r="H116" i="18"/>
  <c r="J117" i="18" s="1"/>
  <c r="O116" i="18"/>
  <c r="P116" i="18" s="1"/>
  <c r="D116" i="18"/>
  <c r="K116" i="18"/>
  <c r="L116" i="18" s="1"/>
  <c r="E116" i="18"/>
  <c r="G116" i="18"/>
  <c r="Q116" i="18"/>
  <c r="R116" i="18" s="1"/>
  <c r="C116" i="18"/>
  <c r="I116" i="18"/>
  <c r="F116" i="18"/>
  <c r="S116" i="18"/>
  <c r="A232" i="18"/>
  <c r="A232" i="17"/>
  <c r="B117" i="18" l="1"/>
  <c r="A233" i="18"/>
  <c r="A233" i="17"/>
  <c r="O117" i="18" l="1"/>
  <c r="P117" i="18" s="1"/>
  <c r="H117" i="18"/>
  <c r="J118" i="18" s="1"/>
  <c r="I117" i="18"/>
  <c r="F117" i="18"/>
  <c r="D117" i="18"/>
  <c r="S117" i="18"/>
  <c r="E117" i="18"/>
  <c r="K117" i="18"/>
  <c r="L117" i="18" s="1"/>
  <c r="M117" i="18"/>
  <c r="N117" i="18" s="1"/>
  <c r="G117" i="18"/>
  <c r="C117" i="18"/>
  <c r="Q117" i="18"/>
  <c r="R117" i="18" s="1"/>
  <c r="A234" i="18"/>
  <c r="A234" i="17"/>
  <c r="B118" i="18" l="1"/>
  <c r="A235" i="18"/>
  <c r="A235" i="17"/>
  <c r="Q118" i="18" l="1"/>
  <c r="R118" i="18" s="1"/>
  <c r="H118" i="18"/>
  <c r="J119" i="18" s="1"/>
  <c r="E118" i="18"/>
  <c r="F118" i="18"/>
  <c r="O118" i="18"/>
  <c r="P118" i="18" s="1"/>
  <c r="M118" i="18"/>
  <c r="N118" i="18" s="1"/>
  <c r="C118" i="18"/>
  <c r="I118" i="18"/>
  <c r="G118" i="18"/>
  <c r="K118" i="18"/>
  <c r="L118" i="18" s="1"/>
  <c r="D118" i="18"/>
  <c r="S118" i="18"/>
  <c r="A236" i="18"/>
  <c r="A236" i="17"/>
  <c r="B119" i="18" l="1"/>
  <c r="A237" i="18"/>
  <c r="A237" i="17"/>
  <c r="D119" i="18" l="1"/>
  <c r="H119" i="18"/>
  <c r="J120" i="18" s="1"/>
  <c r="G119" i="18"/>
  <c r="O119" i="18"/>
  <c r="P119" i="18" s="1"/>
  <c r="M119" i="18"/>
  <c r="N119" i="18" s="1"/>
  <c r="F119" i="18"/>
  <c r="S119" i="18"/>
  <c r="E119" i="18"/>
  <c r="C119" i="18"/>
  <c r="I119" i="18"/>
  <c r="Q119" i="18"/>
  <c r="R119" i="18" s="1"/>
  <c r="K119" i="18"/>
  <c r="L119" i="18" s="1"/>
  <c r="A238" i="18"/>
  <c r="A238" i="17"/>
  <c r="B120" i="18" l="1"/>
  <c r="A239" i="18"/>
  <c r="A239" i="17"/>
  <c r="D120" i="18" l="1"/>
  <c r="H120" i="18"/>
  <c r="J121" i="18" s="1"/>
  <c r="K120" i="18"/>
  <c r="L120" i="18" s="1"/>
  <c r="G120" i="18"/>
  <c r="E120" i="18"/>
  <c r="F120" i="18"/>
  <c r="I120" i="18"/>
  <c r="C120" i="18"/>
  <c r="S120" i="18"/>
  <c r="M120" i="18"/>
  <c r="N120" i="18" s="1"/>
  <c r="O120" i="18"/>
  <c r="P120" i="18" s="1"/>
  <c r="Q120" i="18"/>
  <c r="R120" i="18" s="1"/>
  <c r="A240" i="18"/>
  <c r="A240" i="17"/>
  <c r="B121" i="18" l="1"/>
  <c r="A241" i="18"/>
  <c r="A241" i="17"/>
  <c r="G121" i="18" l="1"/>
  <c r="H121" i="18"/>
  <c r="J122" i="18" s="1"/>
  <c r="E121" i="18"/>
  <c r="O121" i="18"/>
  <c r="P121" i="18" s="1"/>
  <c r="M121" i="18"/>
  <c r="N121" i="18" s="1"/>
  <c r="D121" i="18"/>
  <c r="C121" i="18"/>
  <c r="K121" i="18"/>
  <c r="L121" i="18" s="1"/>
  <c r="Q121" i="18"/>
  <c r="R121" i="18" s="1"/>
  <c r="I121" i="18"/>
  <c r="F121" i="18"/>
  <c r="S121" i="18"/>
  <c r="A242" i="18"/>
  <c r="A242" i="17"/>
  <c r="B122" i="18" l="1"/>
  <c r="A243" i="18"/>
  <c r="A243" i="17"/>
  <c r="I122" i="18" l="1"/>
  <c r="H122" i="18"/>
  <c r="J123" i="18" s="1"/>
  <c r="C122" i="18"/>
  <c r="K122" i="18"/>
  <c r="L122" i="18" s="1"/>
  <c r="D122" i="18"/>
  <c r="M122" i="18"/>
  <c r="N122" i="18" s="1"/>
  <c r="S122" i="18"/>
  <c r="F122" i="18"/>
  <c r="E122" i="18"/>
  <c r="O122" i="18"/>
  <c r="P122" i="18" s="1"/>
  <c r="G122" i="18"/>
  <c r="Q122" i="18"/>
  <c r="R122" i="18" s="1"/>
  <c r="A244" i="18"/>
  <c r="A244" i="17"/>
  <c r="B123" i="18" l="1"/>
  <c r="A245" i="18"/>
  <c r="A245" i="17"/>
  <c r="K123" i="18" l="1"/>
  <c r="L123" i="18" s="1"/>
  <c r="H123" i="18"/>
  <c r="J124" i="18" s="1"/>
  <c r="D123" i="18"/>
  <c r="I123" i="18"/>
  <c r="G123" i="18"/>
  <c r="M123" i="18"/>
  <c r="N123" i="18" s="1"/>
  <c r="S123" i="18"/>
  <c r="E123" i="18"/>
  <c r="F123" i="18"/>
  <c r="Q123" i="18"/>
  <c r="R123" i="18" s="1"/>
  <c r="C123" i="18"/>
  <c r="O123" i="18"/>
  <c r="P123" i="18" s="1"/>
  <c r="A246" i="18"/>
  <c r="A246" i="17"/>
  <c r="B124" i="18" l="1"/>
  <c r="A247" i="18"/>
  <c r="A247" i="17"/>
  <c r="S124" i="18" l="1"/>
  <c r="H124" i="18"/>
  <c r="J125" i="18" s="1"/>
  <c r="Q124" i="18"/>
  <c r="R124" i="18" s="1"/>
  <c r="G124" i="18"/>
  <c r="O124" i="18"/>
  <c r="P124" i="18" s="1"/>
  <c r="I124" i="18"/>
  <c r="E124" i="18"/>
  <c r="K124" i="18"/>
  <c r="L124" i="18" s="1"/>
  <c r="D124" i="18"/>
  <c r="M124" i="18"/>
  <c r="N124" i="18" s="1"/>
  <c r="F124" i="18"/>
  <c r="C124" i="18"/>
  <c r="A248" i="18"/>
  <c r="A248" i="17"/>
  <c r="B125" i="18" l="1"/>
  <c r="A249" i="18"/>
  <c r="A249" i="17"/>
  <c r="C125" i="18" l="1"/>
  <c r="H125" i="18"/>
  <c r="J126" i="18" s="1"/>
  <c r="O125" i="18"/>
  <c r="P125" i="18" s="1"/>
  <c r="D125" i="18"/>
  <c r="Q125" i="18"/>
  <c r="R125" i="18" s="1"/>
  <c r="I125" i="18"/>
  <c r="S125" i="18"/>
  <c r="K125" i="18"/>
  <c r="L125" i="18" s="1"/>
  <c r="E125" i="18"/>
  <c r="M125" i="18"/>
  <c r="N125" i="18" s="1"/>
  <c r="G125" i="18"/>
  <c r="F125" i="18"/>
  <c r="A250" i="18"/>
  <c r="A250" i="17"/>
  <c r="B126" i="18" l="1"/>
  <c r="A251" i="18"/>
  <c r="A251" i="17"/>
  <c r="M126" i="18" l="1"/>
  <c r="N126" i="18" s="1"/>
  <c r="H126" i="18"/>
  <c r="J127" i="18" s="1"/>
  <c r="D126" i="18"/>
  <c r="O126" i="18"/>
  <c r="P126" i="18" s="1"/>
  <c r="S126" i="18"/>
  <c r="K126" i="18"/>
  <c r="L126" i="18" s="1"/>
  <c r="Q126" i="18"/>
  <c r="R126" i="18" s="1"/>
  <c r="G126" i="18"/>
  <c r="C126" i="18"/>
  <c r="I126" i="18"/>
  <c r="E126" i="18"/>
  <c r="F126" i="18"/>
  <c r="A252" i="18"/>
  <c r="A252" i="17"/>
  <c r="B127" i="18" l="1"/>
  <c r="A253" i="18"/>
  <c r="A253" i="17"/>
  <c r="E127" i="18" l="1"/>
  <c r="H127" i="18"/>
  <c r="J128" i="18" s="1"/>
  <c r="M127" i="18"/>
  <c r="N127" i="18" s="1"/>
  <c r="D127" i="18"/>
  <c r="S127" i="18"/>
  <c r="C127" i="18"/>
  <c r="O127" i="18"/>
  <c r="P127" i="18" s="1"/>
  <c r="G127" i="18"/>
  <c r="K127" i="18"/>
  <c r="L127" i="18" s="1"/>
  <c r="I127" i="18"/>
  <c r="Q127" i="18"/>
  <c r="R127" i="18" s="1"/>
  <c r="F127" i="18"/>
  <c r="A254" i="18"/>
  <c r="A254" i="17"/>
  <c r="B128" i="18" l="1"/>
  <c r="A255" i="18"/>
  <c r="A255" i="17"/>
  <c r="F128" i="18" l="1"/>
  <c r="H128" i="18"/>
  <c r="J129" i="18" s="1"/>
  <c r="E128" i="18"/>
  <c r="O128" i="18"/>
  <c r="P128" i="18" s="1"/>
  <c r="K128" i="18"/>
  <c r="L128" i="18" s="1"/>
  <c r="D128" i="18"/>
  <c r="Q128" i="18"/>
  <c r="R128" i="18" s="1"/>
  <c r="I128" i="18"/>
  <c r="C128" i="18"/>
  <c r="G128" i="18"/>
  <c r="M128" i="18"/>
  <c r="N128" i="18" s="1"/>
  <c r="S128" i="18"/>
  <c r="A256" i="18"/>
  <c r="A256" i="17"/>
  <c r="B129" i="18" l="1"/>
  <c r="A257" i="18"/>
  <c r="A257" i="17"/>
  <c r="O129" i="18" l="1"/>
  <c r="P129" i="18" s="1"/>
  <c r="H129" i="18"/>
  <c r="J130" i="18" s="1"/>
  <c r="S129" i="18"/>
  <c r="M129" i="18"/>
  <c r="N129" i="18" s="1"/>
  <c r="E129" i="18"/>
  <c r="G129" i="18"/>
  <c r="F129" i="18"/>
  <c r="C129" i="18"/>
  <c r="K129" i="18"/>
  <c r="L129" i="18" s="1"/>
  <c r="Q129" i="18"/>
  <c r="R129" i="18" s="1"/>
  <c r="D129" i="18"/>
  <c r="I129" i="18"/>
  <c r="A258" i="18"/>
  <c r="A258" i="17"/>
  <c r="B130" i="18" l="1"/>
  <c r="A259" i="18"/>
  <c r="A259" i="17"/>
  <c r="E130" i="18" l="1"/>
  <c r="H130" i="18"/>
  <c r="J131" i="18" s="1"/>
  <c r="Q130" i="18"/>
  <c r="R130" i="18" s="1"/>
  <c r="O130" i="18"/>
  <c r="P130" i="18" s="1"/>
  <c r="M130" i="18"/>
  <c r="N130" i="18" s="1"/>
  <c r="I130" i="18"/>
  <c r="C130" i="18"/>
  <c r="D130" i="18"/>
  <c r="F130" i="18"/>
  <c r="G130" i="18"/>
  <c r="K130" i="18"/>
  <c r="L130" i="18" s="1"/>
  <c r="S130" i="18"/>
  <c r="A260" i="18"/>
  <c r="A260" i="17"/>
  <c r="B131" i="18" l="1"/>
  <c r="A261" i="18"/>
  <c r="A261" i="17"/>
  <c r="F131" i="18" l="1"/>
  <c r="H131" i="18"/>
  <c r="J132" i="18" s="1"/>
  <c r="G131" i="18"/>
  <c r="E131" i="18"/>
  <c r="I131" i="18"/>
  <c r="S131" i="18"/>
  <c r="Q131" i="18"/>
  <c r="R131" i="18" s="1"/>
  <c r="O131" i="18"/>
  <c r="P131" i="18" s="1"/>
  <c r="D131" i="18"/>
  <c r="M131" i="18"/>
  <c r="N131" i="18" s="1"/>
  <c r="C131" i="18"/>
  <c r="K131" i="18"/>
  <c r="L131" i="18" s="1"/>
  <c r="A262" i="18"/>
  <c r="A262" i="17"/>
  <c r="B132" i="18" l="1"/>
  <c r="A263" i="18"/>
  <c r="A263" i="17"/>
  <c r="D132" i="18" l="1"/>
  <c r="H132" i="18"/>
  <c r="J133" i="18" s="1"/>
  <c r="E132" i="18"/>
  <c r="Q132" i="18"/>
  <c r="R132" i="18" s="1"/>
  <c r="K132" i="18"/>
  <c r="L132" i="18" s="1"/>
  <c r="G132" i="18"/>
  <c r="C132" i="18"/>
  <c r="O132" i="18"/>
  <c r="P132" i="18" s="1"/>
  <c r="M132" i="18"/>
  <c r="N132" i="18" s="1"/>
  <c r="I132" i="18"/>
  <c r="S132" i="18"/>
  <c r="F132" i="18"/>
  <c r="A264" i="18"/>
  <c r="A264" i="17"/>
  <c r="B133" i="18" l="1"/>
  <c r="A265" i="18"/>
  <c r="A265" i="17"/>
  <c r="K133" i="18" l="1"/>
  <c r="L133" i="18" s="1"/>
  <c r="H133" i="18"/>
  <c r="J134" i="18" s="1"/>
  <c r="M133" i="18"/>
  <c r="N133" i="18" s="1"/>
  <c r="G133" i="18"/>
  <c r="D133" i="18"/>
  <c r="I133" i="18"/>
  <c r="Q133" i="18"/>
  <c r="R133" i="18" s="1"/>
  <c r="S133" i="18"/>
  <c r="O133" i="18"/>
  <c r="P133" i="18" s="1"/>
  <c r="C133" i="18"/>
  <c r="E133" i="18"/>
  <c r="F133" i="18"/>
  <c r="A266" i="18"/>
  <c r="A266" i="17"/>
  <c r="B134" i="18" l="1"/>
  <c r="A267" i="18"/>
  <c r="A267" i="17"/>
  <c r="G134" i="18" l="1"/>
  <c r="H134" i="18"/>
  <c r="J135" i="18" s="1"/>
  <c r="Q134" i="18"/>
  <c r="R134" i="18" s="1"/>
  <c r="D134" i="18"/>
  <c r="K134" i="18"/>
  <c r="L134" i="18" s="1"/>
  <c r="E134" i="18"/>
  <c r="F134" i="18"/>
  <c r="C134" i="18"/>
  <c r="S134" i="18"/>
  <c r="I134" i="18"/>
  <c r="M134" i="18"/>
  <c r="N134" i="18" s="1"/>
  <c r="O134" i="18"/>
  <c r="P134" i="18" s="1"/>
  <c r="A268" i="18"/>
  <c r="A268" i="17"/>
  <c r="B135" i="18" l="1"/>
  <c r="A269" i="18"/>
  <c r="A269" i="17"/>
  <c r="D135" i="18" l="1"/>
  <c r="H135" i="18"/>
  <c r="J136" i="18" s="1"/>
  <c r="S135" i="18"/>
  <c r="M135" i="18"/>
  <c r="N135" i="18" s="1"/>
  <c r="Q135" i="18"/>
  <c r="R135" i="18" s="1"/>
  <c r="E135" i="18"/>
  <c r="I135" i="18"/>
  <c r="K135" i="18"/>
  <c r="L135" i="18" s="1"/>
  <c r="G135" i="18"/>
  <c r="O135" i="18"/>
  <c r="P135" i="18" s="1"/>
  <c r="C135" i="18"/>
  <c r="F135" i="18"/>
  <c r="A270" i="18"/>
  <c r="A270" i="17"/>
  <c r="B136" i="18" l="1"/>
  <c r="A271" i="18"/>
  <c r="A271" i="17"/>
  <c r="F136" i="18" l="1"/>
  <c r="H136" i="18"/>
  <c r="J137" i="18" s="1"/>
  <c r="O136" i="18"/>
  <c r="P136" i="18" s="1"/>
  <c r="I136" i="18"/>
  <c r="M136" i="18"/>
  <c r="N136" i="18" s="1"/>
  <c r="E136" i="18"/>
  <c r="G136" i="18"/>
  <c r="K136" i="18"/>
  <c r="L136" i="18" s="1"/>
  <c r="Q136" i="18"/>
  <c r="R136" i="18" s="1"/>
  <c r="D136" i="18"/>
  <c r="S136" i="18"/>
  <c r="C136" i="18"/>
  <c r="A272" i="18"/>
  <c r="A272" i="17"/>
  <c r="B137" i="18" l="1"/>
  <c r="D137" i="18" s="1"/>
  <c r="A273" i="18"/>
  <c r="A273" i="17"/>
  <c r="S137" i="18" l="1"/>
  <c r="H137" i="18"/>
  <c r="J138" i="18" s="1"/>
  <c r="K137" i="18"/>
  <c r="L137" i="18" s="1"/>
  <c r="C137" i="18"/>
  <c r="Q137" i="18"/>
  <c r="R137" i="18" s="1"/>
  <c r="I137" i="18"/>
  <c r="E137" i="18"/>
  <c r="M137" i="18"/>
  <c r="N137" i="18" s="1"/>
  <c r="G137" i="18"/>
  <c r="F137" i="18"/>
  <c r="O137" i="18"/>
  <c r="P137" i="18" s="1"/>
  <c r="A274" i="18"/>
  <c r="A274" i="17"/>
  <c r="B138" i="18" l="1"/>
  <c r="A275" i="18"/>
  <c r="A275" i="17"/>
  <c r="M138" i="18" l="1"/>
  <c r="N138" i="18" s="1"/>
  <c r="H138" i="18"/>
  <c r="J139" i="18" s="1"/>
  <c r="F138" i="18"/>
  <c r="Q138" i="18"/>
  <c r="R138" i="18" s="1"/>
  <c r="I138" i="18"/>
  <c r="C138" i="18"/>
  <c r="E138" i="18"/>
  <c r="K138" i="18"/>
  <c r="L138" i="18" s="1"/>
  <c r="G138" i="18"/>
  <c r="D138" i="18"/>
  <c r="S138" i="18"/>
  <c r="O138" i="18"/>
  <c r="P138" i="18" s="1"/>
  <c r="A276" i="18"/>
  <c r="A276" i="17"/>
  <c r="B139" i="18" l="1"/>
  <c r="A277" i="18"/>
  <c r="A277" i="17"/>
  <c r="Q139" i="18" l="1"/>
  <c r="R139" i="18" s="1"/>
  <c r="H139" i="18"/>
  <c r="J140" i="18" s="1"/>
  <c r="K139" i="18"/>
  <c r="L139" i="18" s="1"/>
  <c r="C139" i="18"/>
  <c r="I139" i="18"/>
  <c r="O139" i="18"/>
  <c r="P139" i="18" s="1"/>
  <c r="E139" i="18"/>
  <c r="S139" i="18"/>
  <c r="G139" i="18"/>
  <c r="D139" i="18"/>
  <c r="M139" i="18"/>
  <c r="N139" i="18" s="1"/>
  <c r="F139" i="18"/>
  <c r="A278" i="18"/>
  <c r="A278" i="17"/>
  <c r="B140" i="18" l="1"/>
  <c r="A279" i="18"/>
  <c r="A279" i="17"/>
  <c r="Q140" i="18" l="1"/>
  <c r="R140" i="18" s="1"/>
  <c r="H140" i="18"/>
  <c r="J141" i="18" s="1"/>
  <c r="S140" i="18"/>
  <c r="K140" i="18"/>
  <c r="L140" i="18" s="1"/>
  <c r="O140" i="18"/>
  <c r="P140" i="18" s="1"/>
  <c r="E140" i="18"/>
  <c r="D140" i="18"/>
  <c r="M140" i="18"/>
  <c r="N140" i="18" s="1"/>
  <c r="G140" i="18"/>
  <c r="C140" i="18"/>
  <c r="I140" i="18"/>
  <c r="F140" i="18"/>
  <c r="A280" i="18"/>
  <c r="A280" i="17"/>
  <c r="B141" i="18" l="1"/>
  <c r="A281" i="18"/>
  <c r="A281" i="17"/>
  <c r="G141" i="18" l="1"/>
  <c r="H141" i="18"/>
  <c r="J142" i="18" s="1"/>
  <c r="F141" i="18"/>
  <c r="Q141" i="18"/>
  <c r="R141" i="18" s="1"/>
  <c r="O141" i="18"/>
  <c r="P141" i="18" s="1"/>
  <c r="E141" i="18"/>
  <c r="C141" i="18"/>
  <c r="D141" i="18"/>
  <c r="I141" i="18"/>
  <c r="M141" i="18"/>
  <c r="N141" i="18" s="1"/>
  <c r="K141" i="18"/>
  <c r="L141" i="18" s="1"/>
  <c r="S141" i="18"/>
  <c r="A282" i="18"/>
  <c r="A282" i="17"/>
  <c r="B142" i="18" l="1"/>
  <c r="A283" i="18"/>
  <c r="A283" i="17"/>
  <c r="G142" i="18" l="1"/>
  <c r="H142" i="18"/>
  <c r="J143" i="18" s="1"/>
  <c r="E142" i="18"/>
  <c r="F142" i="18"/>
  <c r="D142" i="18"/>
  <c r="C142" i="18"/>
  <c r="K142" i="18"/>
  <c r="L142" i="18" s="1"/>
  <c r="S142" i="18"/>
  <c r="O142" i="18"/>
  <c r="P142" i="18" s="1"/>
  <c r="Q142" i="18"/>
  <c r="R142" i="18" s="1"/>
  <c r="M142" i="18"/>
  <c r="N142" i="18" s="1"/>
  <c r="I142" i="18"/>
  <c r="A284" i="18"/>
  <c r="A284" i="17"/>
  <c r="B143" i="18" l="1"/>
  <c r="A285" i="18"/>
  <c r="A285" i="17"/>
  <c r="D143" i="18" l="1"/>
  <c r="H143" i="18"/>
  <c r="J144" i="18" s="1"/>
  <c r="S143" i="18"/>
  <c r="Q143" i="18"/>
  <c r="R143" i="18" s="1"/>
  <c r="E143" i="18"/>
  <c r="C143" i="18"/>
  <c r="K143" i="18"/>
  <c r="L143" i="18" s="1"/>
  <c r="I143" i="18"/>
  <c r="O143" i="18"/>
  <c r="P143" i="18" s="1"/>
  <c r="F143" i="18"/>
  <c r="G143" i="18"/>
  <c r="M143" i="18"/>
  <c r="N143" i="18" s="1"/>
  <c r="A286" i="18"/>
  <c r="A286" i="17"/>
  <c r="B144" i="18" l="1"/>
  <c r="A287" i="18"/>
  <c r="A287" i="17"/>
  <c r="I144" i="18" l="1"/>
  <c r="H144" i="18"/>
  <c r="J145" i="18" s="1"/>
  <c r="S144" i="18"/>
  <c r="E144" i="18"/>
  <c r="O144" i="18"/>
  <c r="P144" i="18" s="1"/>
  <c r="D144" i="18"/>
  <c r="C144" i="18"/>
  <c r="K144" i="18"/>
  <c r="L144" i="18" s="1"/>
  <c r="Q144" i="18"/>
  <c r="R144" i="18" s="1"/>
  <c r="G144" i="18"/>
  <c r="M144" i="18"/>
  <c r="N144" i="18" s="1"/>
  <c r="F144" i="18"/>
  <c r="A288" i="18"/>
  <c r="A288" i="17"/>
  <c r="B145" i="18" l="1"/>
  <c r="A289" i="18"/>
  <c r="A289" i="17"/>
  <c r="M145" i="18" l="1"/>
  <c r="N145" i="18" s="1"/>
  <c r="H145" i="18"/>
  <c r="J146" i="18" s="1"/>
  <c r="K145" i="18"/>
  <c r="L145" i="18" s="1"/>
  <c r="C145" i="18"/>
  <c r="F145" i="18"/>
  <c r="D145" i="18"/>
  <c r="S145" i="18"/>
  <c r="Q145" i="18"/>
  <c r="R145" i="18" s="1"/>
  <c r="E145" i="18"/>
  <c r="G145" i="18"/>
  <c r="I145" i="18"/>
  <c r="O145" i="18"/>
  <c r="P145" i="18" s="1"/>
  <c r="A290" i="18"/>
  <c r="A290" i="17"/>
  <c r="B146" i="18" l="1"/>
  <c r="A291" i="18"/>
  <c r="A291" i="17"/>
  <c r="M146" i="18" l="1"/>
  <c r="N146" i="18" s="1"/>
  <c r="H146" i="18"/>
  <c r="J147" i="18" s="1"/>
  <c r="O146" i="18"/>
  <c r="P146" i="18" s="1"/>
  <c r="K146" i="18"/>
  <c r="L146" i="18" s="1"/>
  <c r="E146" i="18"/>
  <c r="C146" i="18"/>
  <c r="I146" i="18"/>
  <c r="D146" i="18"/>
  <c r="S146" i="18"/>
  <c r="F146" i="18"/>
  <c r="G146" i="18"/>
  <c r="Q146" i="18"/>
  <c r="R146" i="18" s="1"/>
  <c r="A292" i="18"/>
  <c r="A292" i="17"/>
  <c r="B147" i="18" l="1"/>
  <c r="O147" i="18" s="1"/>
  <c r="P147" i="18" s="1"/>
  <c r="A293" i="18"/>
  <c r="A293" i="17"/>
  <c r="E147" i="18" l="1"/>
  <c r="S147" i="18"/>
  <c r="I147" i="18"/>
  <c r="Q147" i="18"/>
  <c r="R147" i="18" s="1"/>
  <c r="F147" i="18"/>
  <c r="H147" i="18"/>
  <c r="J148" i="18" s="1"/>
  <c r="M147" i="18"/>
  <c r="N147" i="18" s="1"/>
  <c r="K147" i="18"/>
  <c r="L147" i="18" s="1"/>
  <c r="G147" i="18"/>
  <c r="D147" i="18"/>
  <c r="C147" i="18"/>
  <c r="A294" i="18"/>
  <c r="A294" i="17"/>
  <c r="B148" i="18" l="1"/>
  <c r="O148" i="18" s="1"/>
  <c r="P148" i="18" s="1"/>
  <c r="A295" i="18"/>
  <c r="A295" i="17"/>
  <c r="I148" i="18" l="1"/>
  <c r="E148" i="18"/>
  <c r="Q148" i="18"/>
  <c r="R148" i="18" s="1"/>
  <c r="H148" i="18"/>
  <c r="J149" i="18" s="1"/>
  <c r="F148" i="18"/>
  <c r="M148" i="18"/>
  <c r="N148" i="18" s="1"/>
  <c r="G148" i="18"/>
  <c r="S148" i="18"/>
  <c r="D148" i="18"/>
  <c r="C148" i="18"/>
  <c r="K148" i="18"/>
  <c r="L148" i="18" s="1"/>
  <c r="A296" i="18"/>
  <c r="A296" i="17"/>
  <c r="B149" i="18" l="1"/>
  <c r="G149" i="18" s="1"/>
  <c r="A297" i="18"/>
  <c r="A297" i="17"/>
  <c r="M149" i="18" l="1"/>
  <c r="N149" i="18" s="1"/>
  <c r="D149" i="18"/>
  <c r="H149" i="18"/>
  <c r="J150" i="18" s="1"/>
  <c r="S149" i="18"/>
  <c r="Q149" i="18"/>
  <c r="R149" i="18" s="1"/>
  <c r="I149" i="18"/>
  <c r="K149" i="18"/>
  <c r="L149" i="18" s="1"/>
  <c r="O149" i="18"/>
  <c r="P149" i="18" s="1"/>
  <c r="E149" i="18"/>
  <c r="F149" i="18"/>
  <c r="C149" i="18"/>
  <c r="A298" i="18"/>
  <c r="A298" i="17"/>
  <c r="B150" i="18" l="1"/>
  <c r="G150" i="18" s="1"/>
  <c r="A299" i="18"/>
  <c r="A299" i="17"/>
  <c r="I150" i="18" l="1"/>
  <c r="E150" i="18"/>
  <c r="Q150" i="18"/>
  <c r="R150" i="18" s="1"/>
  <c r="S150" i="18"/>
  <c r="K150" i="18"/>
  <c r="L150" i="18" s="1"/>
  <c r="C150" i="18"/>
  <c r="F150" i="18"/>
  <c r="O150" i="18"/>
  <c r="P150" i="18" s="1"/>
  <c r="M150" i="18"/>
  <c r="N150" i="18" s="1"/>
  <c r="D150" i="18"/>
  <c r="H150" i="18"/>
  <c r="J151" i="18" s="1"/>
  <c r="A300" i="18"/>
  <c r="A300" i="17"/>
  <c r="B151" i="18" l="1"/>
  <c r="G151" i="18" s="1"/>
  <c r="A301" i="18"/>
  <c r="A301" i="17"/>
  <c r="S151" i="18" l="1"/>
  <c r="E151" i="18"/>
  <c r="Q151" i="18"/>
  <c r="R151" i="18" s="1"/>
  <c r="I151" i="18"/>
  <c r="F151" i="18"/>
  <c r="H151" i="18"/>
  <c r="J152" i="18" s="1"/>
  <c r="C151" i="18"/>
  <c r="O151" i="18"/>
  <c r="P151" i="18" s="1"/>
  <c r="D151" i="18"/>
  <c r="K151" i="18"/>
  <c r="L151" i="18" s="1"/>
  <c r="M151" i="18"/>
  <c r="N151" i="18" s="1"/>
  <c r="A302" i="18"/>
  <c r="A302" i="17"/>
  <c r="B152" i="18" l="1"/>
  <c r="Q152" i="18" s="1"/>
  <c r="R152" i="18" s="1"/>
  <c r="A303" i="18"/>
  <c r="A303" i="17"/>
  <c r="M152" i="18" l="1"/>
  <c r="N152" i="18" s="1"/>
  <c r="C152" i="18"/>
  <c r="F152" i="18"/>
  <c r="H152" i="18"/>
  <c r="J153" i="18" s="1"/>
  <c r="K152" i="18"/>
  <c r="L152" i="18" s="1"/>
  <c r="D152" i="18"/>
  <c r="S152" i="18"/>
  <c r="O152" i="18"/>
  <c r="P152" i="18" s="1"/>
  <c r="I152" i="18"/>
  <c r="E152" i="18"/>
  <c r="G152" i="18"/>
  <c r="A304" i="18"/>
  <c r="A304" i="17"/>
  <c r="B153" i="18" l="1"/>
  <c r="G153" i="18" s="1"/>
  <c r="A305" i="18"/>
  <c r="A305" i="17"/>
  <c r="O153" i="18" l="1"/>
  <c r="P153" i="18" s="1"/>
  <c r="C153" i="18"/>
  <c r="S153" i="18"/>
  <c r="Q153" i="18"/>
  <c r="R153" i="18" s="1"/>
  <c r="E153" i="18"/>
  <c r="K153" i="18"/>
  <c r="L153" i="18" s="1"/>
  <c r="D153" i="18"/>
  <c r="I153" i="18"/>
  <c r="F153" i="18"/>
  <c r="M153" i="18"/>
  <c r="N153" i="18" s="1"/>
  <c r="H153" i="18"/>
  <c r="J154" i="18" s="1"/>
  <c r="A306" i="18"/>
  <c r="A306" i="17"/>
  <c r="B154" i="18" l="1"/>
  <c r="O154" i="18" s="1"/>
  <c r="P154" i="18" s="1"/>
  <c r="A307" i="18"/>
  <c r="A307" i="17"/>
  <c r="S154" i="18" l="1"/>
  <c r="I154" i="18"/>
  <c r="F154" i="18"/>
  <c r="G154" i="18"/>
  <c r="C154" i="18"/>
  <c r="K154" i="18"/>
  <c r="L154" i="18" s="1"/>
  <c r="E154" i="18"/>
  <c r="M154" i="18"/>
  <c r="N154" i="18" s="1"/>
  <c r="H154" i="18"/>
  <c r="J155" i="18" s="1"/>
  <c r="D154" i="18"/>
  <c r="Q154" i="18"/>
  <c r="R154" i="18" s="1"/>
  <c r="A308" i="18"/>
  <c r="A308" i="17"/>
  <c r="B155" i="18" l="1"/>
  <c r="C155" i="18" s="1"/>
  <c r="A309" i="18"/>
  <c r="A309" i="17"/>
  <c r="F155" i="18" l="1"/>
  <c r="S155" i="18"/>
  <c r="G155" i="18"/>
  <c r="O155" i="18"/>
  <c r="P155" i="18" s="1"/>
  <c r="M155" i="18"/>
  <c r="N155" i="18" s="1"/>
  <c r="K155" i="18"/>
  <c r="L155" i="18" s="1"/>
  <c r="I155" i="18"/>
  <c r="D155" i="18"/>
  <c r="Q155" i="18"/>
  <c r="R155" i="18" s="1"/>
  <c r="E155" i="18"/>
  <c r="H155" i="18"/>
  <c r="J156" i="18" s="1"/>
  <c r="A310" i="18"/>
  <c r="A310" i="17"/>
  <c r="B156" i="18" l="1"/>
  <c r="M156" i="18" s="1"/>
  <c r="N156" i="18" s="1"/>
  <c r="A311" i="18"/>
  <c r="A311" i="17"/>
  <c r="D156" i="18" l="1"/>
  <c r="C156" i="18"/>
  <c r="H156" i="18"/>
  <c r="J157" i="18" s="1"/>
  <c r="Q156" i="18"/>
  <c r="R156" i="18" s="1"/>
  <c r="O156" i="18"/>
  <c r="P156" i="18" s="1"/>
  <c r="K156" i="18"/>
  <c r="L156" i="18" s="1"/>
  <c r="F156" i="18"/>
  <c r="I156" i="18"/>
  <c r="S156" i="18"/>
  <c r="G156" i="18"/>
  <c r="E156" i="18"/>
  <c r="A312" i="18"/>
  <c r="A312" i="17"/>
  <c r="B157" i="18" l="1"/>
  <c r="K157" i="18" s="1"/>
  <c r="L157" i="18" s="1"/>
  <c r="A313" i="18"/>
  <c r="A313" i="17"/>
  <c r="C157" i="18" l="1"/>
  <c r="G157" i="18"/>
  <c r="O157" i="18"/>
  <c r="P157" i="18" s="1"/>
  <c r="I157" i="18"/>
  <c r="H157" i="18"/>
  <c r="J158" i="18" s="1"/>
  <c r="Q157" i="18"/>
  <c r="R157" i="18" s="1"/>
  <c r="S157" i="18"/>
  <c r="D157" i="18"/>
  <c r="M157" i="18"/>
  <c r="N157" i="18" s="1"/>
  <c r="E157" i="18"/>
  <c r="F157" i="18"/>
  <c r="A314" i="18"/>
  <c r="A314" i="17"/>
  <c r="B158" i="18" l="1"/>
  <c r="I158" i="18" s="1"/>
  <c r="A315" i="18"/>
  <c r="A315" i="17"/>
  <c r="S158" i="18" l="1"/>
  <c r="G158" i="18"/>
  <c r="H158" i="18"/>
  <c r="J159" i="18" s="1"/>
  <c r="K158" i="18"/>
  <c r="L158" i="18" s="1"/>
  <c r="D158" i="18"/>
  <c r="M158" i="18"/>
  <c r="N158" i="18" s="1"/>
  <c r="F158" i="18"/>
  <c r="O158" i="18"/>
  <c r="P158" i="18" s="1"/>
  <c r="E158" i="18"/>
  <c r="C158" i="18"/>
  <c r="Q158" i="18"/>
  <c r="R158" i="18" s="1"/>
  <c r="A316" i="18"/>
  <c r="A316" i="17"/>
  <c r="B159" i="18" l="1"/>
  <c r="E159" i="18" s="1"/>
  <c r="A317" i="18"/>
  <c r="A317" i="17"/>
  <c r="H159" i="18" l="1"/>
  <c r="J160" i="18" s="1"/>
  <c r="D159" i="18"/>
  <c r="Q159" i="18"/>
  <c r="R159" i="18" s="1"/>
  <c r="S159" i="18"/>
  <c r="G159" i="18"/>
  <c r="O159" i="18"/>
  <c r="P159" i="18" s="1"/>
  <c r="I159" i="18"/>
  <c r="F159" i="18"/>
  <c r="C159" i="18"/>
  <c r="K159" i="18"/>
  <c r="L159" i="18" s="1"/>
  <c r="M159" i="18"/>
  <c r="N159" i="18" s="1"/>
  <c r="A318" i="18"/>
  <c r="A318" i="17"/>
  <c r="B160" i="18" l="1"/>
  <c r="D160" i="18" s="1"/>
  <c r="A319" i="18"/>
  <c r="A319" i="17"/>
  <c r="I160" i="18" l="1"/>
  <c r="G160" i="18"/>
  <c r="F160" i="18"/>
  <c r="M160" i="18"/>
  <c r="N160" i="18" s="1"/>
  <c r="H160" i="18"/>
  <c r="J161" i="18" s="1"/>
  <c r="S160" i="18"/>
  <c r="E160" i="18"/>
  <c r="Q160" i="18"/>
  <c r="R160" i="18" s="1"/>
  <c r="C160" i="18"/>
  <c r="O160" i="18"/>
  <c r="P160" i="18" s="1"/>
  <c r="K160" i="18"/>
  <c r="L160" i="18" s="1"/>
  <c r="A320" i="18"/>
  <c r="A320" i="17"/>
  <c r="B161" i="18" l="1"/>
  <c r="G161" i="18" s="1"/>
  <c r="A321" i="18"/>
  <c r="A321" i="17"/>
  <c r="D161" i="18" l="1"/>
  <c r="M161" i="18"/>
  <c r="N161" i="18" s="1"/>
  <c r="E161" i="18"/>
  <c r="C161" i="18"/>
  <c r="I161" i="18"/>
  <c r="S161" i="18"/>
  <c r="H161" i="18"/>
  <c r="J162" i="18" s="1"/>
  <c r="Q161" i="18"/>
  <c r="R161" i="18" s="1"/>
  <c r="F161" i="18"/>
  <c r="O161" i="18"/>
  <c r="P161" i="18" s="1"/>
  <c r="K161" i="18"/>
  <c r="L161" i="18" s="1"/>
  <c r="A322" i="18"/>
  <c r="A322" i="17"/>
  <c r="B162" i="18" l="1"/>
  <c r="O162" i="18" s="1"/>
  <c r="P162" i="18" s="1"/>
  <c r="A323" i="18"/>
  <c r="A323" i="17"/>
  <c r="K162" i="18" l="1"/>
  <c r="L162" i="18" s="1"/>
  <c r="G162" i="18"/>
  <c r="H162" i="18"/>
  <c r="J163" i="18" s="1"/>
  <c r="E162" i="18"/>
  <c r="I162" i="18"/>
  <c r="S162" i="18"/>
  <c r="D162" i="18"/>
  <c r="C162" i="18"/>
  <c r="Q162" i="18"/>
  <c r="R162" i="18" s="1"/>
  <c r="M162" i="18"/>
  <c r="N162" i="18" s="1"/>
  <c r="F162" i="18"/>
  <c r="A324" i="18"/>
  <c r="A324" i="17"/>
  <c r="B163" i="18" l="1"/>
  <c r="D163" i="18" s="1"/>
  <c r="A325" i="18"/>
  <c r="A325" i="17"/>
  <c r="C163" i="18" l="1"/>
  <c r="H163" i="18"/>
  <c r="J164" i="18" s="1"/>
  <c r="S163" i="18"/>
  <c r="Q163" i="18"/>
  <c r="R163" i="18" s="1"/>
  <c r="K163" i="18"/>
  <c r="L163" i="18" s="1"/>
  <c r="G163" i="18"/>
  <c r="M163" i="18"/>
  <c r="N163" i="18" s="1"/>
  <c r="F163" i="18"/>
  <c r="E163" i="18"/>
  <c r="O163" i="18"/>
  <c r="P163" i="18" s="1"/>
  <c r="I163" i="18"/>
  <c r="A326" i="18"/>
  <c r="A326" i="17"/>
  <c r="B164" i="18" l="1"/>
  <c r="O164" i="18" s="1"/>
  <c r="P164" i="18" s="1"/>
  <c r="A327" i="18"/>
  <c r="A327" i="17"/>
  <c r="D164" i="18" l="1"/>
  <c r="Q164" i="18"/>
  <c r="R164" i="18" s="1"/>
  <c r="G164" i="18"/>
  <c r="S164" i="18"/>
  <c r="C164" i="18"/>
  <c r="F164" i="18"/>
  <c r="K164" i="18"/>
  <c r="L164" i="18" s="1"/>
  <c r="I164" i="18"/>
  <c r="E164" i="18"/>
  <c r="M164" i="18"/>
  <c r="N164" i="18" s="1"/>
  <c r="H164" i="18"/>
  <c r="J165" i="18" s="1"/>
  <c r="A328" i="18"/>
  <c r="A328" i="17"/>
  <c r="B165" i="18" l="1"/>
  <c r="M165" i="18" s="1"/>
  <c r="N165" i="18" s="1"/>
  <c r="A329" i="18"/>
  <c r="A329" i="17"/>
  <c r="C165" i="18" l="1"/>
  <c r="O165" i="18"/>
  <c r="P165" i="18" s="1"/>
  <c r="Q165" i="18"/>
  <c r="R165" i="18" s="1"/>
  <c r="K165" i="18"/>
  <c r="L165" i="18" s="1"/>
  <c r="F165" i="18"/>
  <c r="G165" i="18"/>
  <c r="H165" i="18"/>
  <c r="J166" i="18" s="1"/>
  <c r="E165" i="18"/>
  <c r="D165" i="18"/>
  <c r="S165" i="18"/>
  <c r="I165" i="18"/>
  <c r="A330" i="18"/>
  <c r="A330" i="17"/>
  <c r="B166" i="18" l="1"/>
  <c r="F166" i="18" s="1"/>
  <c r="A331" i="18"/>
  <c r="A331" i="17"/>
  <c r="O166" i="18" l="1"/>
  <c r="P166" i="18" s="1"/>
  <c r="Q166" i="18"/>
  <c r="R166" i="18" s="1"/>
  <c r="H166" i="18"/>
  <c r="J167" i="18" s="1"/>
  <c r="D166" i="18"/>
  <c r="S166" i="18"/>
  <c r="M166" i="18"/>
  <c r="N166" i="18" s="1"/>
  <c r="I166" i="18"/>
  <c r="K166" i="18"/>
  <c r="L166" i="18" s="1"/>
  <c r="E166" i="18"/>
  <c r="C166" i="18"/>
  <c r="G166" i="18"/>
  <c r="A332" i="18"/>
  <c r="A332" i="17"/>
  <c r="B167" i="18" l="1"/>
  <c r="Q167" i="18" s="1"/>
  <c r="R167" i="18" s="1"/>
  <c r="A333" i="18"/>
  <c r="A333" i="17"/>
  <c r="D167" i="18" l="1"/>
  <c r="C167" i="18"/>
  <c r="K167" i="18"/>
  <c r="L167" i="18" s="1"/>
  <c r="E167" i="18"/>
  <c r="F167" i="18"/>
  <c r="O167" i="18"/>
  <c r="P167" i="18" s="1"/>
  <c r="M167" i="18"/>
  <c r="N167" i="18" s="1"/>
  <c r="I167" i="18"/>
  <c r="H167" i="18"/>
  <c r="J168" i="18" s="1"/>
  <c r="S167" i="18"/>
  <c r="G167" i="18"/>
  <c r="A334" i="18"/>
  <c r="A334" i="17"/>
  <c r="B168" i="18" l="1"/>
  <c r="I168" i="18" s="1"/>
  <c r="A335" i="18"/>
  <c r="A335" i="17"/>
  <c r="K168" i="18" l="1"/>
  <c r="L168" i="18" s="1"/>
  <c r="F168" i="18"/>
  <c r="Q168" i="18"/>
  <c r="R168" i="18" s="1"/>
  <c r="S168" i="18"/>
  <c r="H168" i="18"/>
  <c r="J169" i="18" s="1"/>
  <c r="E168" i="18"/>
  <c r="C168" i="18"/>
  <c r="D168" i="18"/>
  <c r="G168" i="18"/>
  <c r="O168" i="18"/>
  <c r="P168" i="18" s="1"/>
  <c r="M168" i="18"/>
  <c r="N168" i="18" s="1"/>
  <c r="A336" i="18"/>
  <c r="A336" i="17"/>
  <c r="B169" i="18" l="1"/>
  <c r="S169" i="18" s="1"/>
  <c r="A337" i="18"/>
  <c r="A337" i="17"/>
  <c r="H169" i="18" l="1"/>
  <c r="J170" i="18" s="1"/>
  <c r="M169" i="18"/>
  <c r="N169" i="18" s="1"/>
  <c r="F169" i="18"/>
  <c r="G169" i="18"/>
  <c r="C169" i="18"/>
  <c r="E169" i="18"/>
  <c r="Q169" i="18"/>
  <c r="R169" i="18" s="1"/>
  <c r="D169" i="18"/>
  <c r="I169" i="18"/>
  <c r="K169" i="18"/>
  <c r="L169" i="18" s="1"/>
  <c r="O169" i="18"/>
  <c r="P169" i="18" s="1"/>
  <c r="A338" i="18"/>
  <c r="A338" i="17"/>
  <c r="B170" i="18" l="1"/>
  <c r="G170" i="18" s="1"/>
  <c r="A339" i="18"/>
  <c r="A339" i="17"/>
  <c r="S170" i="18" l="1"/>
  <c r="D170" i="18"/>
  <c r="M170" i="18"/>
  <c r="N170" i="18" s="1"/>
  <c r="I170" i="18"/>
  <c r="Q170" i="18"/>
  <c r="R170" i="18" s="1"/>
  <c r="K170" i="18"/>
  <c r="L170" i="18" s="1"/>
  <c r="E170" i="18"/>
  <c r="C170" i="18"/>
  <c r="F170" i="18"/>
  <c r="O170" i="18"/>
  <c r="P170" i="18" s="1"/>
  <c r="H170" i="18"/>
  <c r="J171" i="18" s="1"/>
  <c r="A340" i="18"/>
  <c r="A340" i="17"/>
  <c r="B171" i="18" l="1"/>
  <c r="Q171" i="18" s="1"/>
  <c r="R171" i="18" s="1"/>
  <c r="A341" i="18"/>
  <c r="A341" i="17"/>
  <c r="H171" i="18" l="1"/>
  <c r="J172" i="18" s="1"/>
  <c r="M171" i="18"/>
  <c r="N171" i="18" s="1"/>
  <c r="D171" i="18"/>
  <c r="F171" i="18"/>
  <c r="C171" i="18"/>
  <c r="I171" i="18"/>
  <c r="E171" i="18"/>
  <c r="S171" i="18"/>
  <c r="O171" i="18"/>
  <c r="P171" i="18" s="1"/>
  <c r="G171" i="18"/>
  <c r="K171" i="18"/>
  <c r="L171" i="18" s="1"/>
  <c r="A342" i="18"/>
  <c r="A342" i="17"/>
  <c r="B172" i="18" l="1"/>
  <c r="D172" i="18" s="1"/>
  <c r="A343" i="18"/>
  <c r="A343" i="17"/>
  <c r="O172" i="18" l="1"/>
  <c r="P172" i="18" s="1"/>
  <c r="E172" i="18"/>
  <c r="G172" i="18"/>
  <c r="Q172" i="18"/>
  <c r="R172" i="18" s="1"/>
  <c r="H172" i="18"/>
  <c r="J173" i="18" s="1"/>
  <c r="M172" i="18"/>
  <c r="N172" i="18" s="1"/>
  <c r="K172" i="18"/>
  <c r="L172" i="18" s="1"/>
  <c r="C172" i="18"/>
  <c r="I172" i="18"/>
  <c r="S172" i="18"/>
  <c r="F172" i="18"/>
  <c r="A344" i="18"/>
  <c r="A344" i="17"/>
  <c r="B173" i="18" l="1"/>
  <c r="G173" i="18" s="1"/>
  <c r="A345" i="18"/>
  <c r="A345" i="17"/>
  <c r="I173" i="18" l="1"/>
  <c r="D173" i="18"/>
  <c r="F173" i="18"/>
  <c r="Q173" i="18"/>
  <c r="R173" i="18" s="1"/>
  <c r="H173" i="18"/>
  <c r="J174" i="18" s="1"/>
  <c r="M173" i="18"/>
  <c r="N173" i="18" s="1"/>
  <c r="C173" i="18"/>
  <c r="K173" i="18"/>
  <c r="L173" i="18" s="1"/>
  <c r="S173" i="18"/>
  <c r="O173" i="18"/>
  <c r="P173" i="18" s="1"/>
  <c r="E173" i="18"/>
  <c r="A346" i="18"/>
  <c r="A346" i="17"/>
  <c r="B174" i="18" l="1"/>
  <c r="C174" i="18" s="1"/>
  <c r="A347" i="18"/>
  <c r="A347" i="17"/>
  <c r="D174" i="18" l="1"/>
  <c r="G174" i="18"/>
  <c r="H174" i="18"/>
  <c r="J175" i="18" s="1"/>
  <c r="K174" i="18"/>
  <c r="L174" i="18" s="1"/>
  <c r="O174" i="18"/>
  <c r="P174" i="18" s="1"/>
  <c r="F174" i="18"/>
  <c r="E174" i="18"/>
  <c r="S174" i="18"/>
  <c r="Q174" i="18"/>
  <c r="R174" i="18" s="1"/>
  <c r="I174" i="18"/>
  <c r="M174" i="18"/>
  <c r="N174" i="18" s="1"/>
  <c r="A348" i="18"/>
  <c r="A348" i="17"/>
  <c r="B175" i="18" l="1"/>
  <c r="Q175" i="18" s="1"/>
  <c r="R175" i="18" s="1"/>
  <c r="A349" i="18"/>
  <c r="A349" i="17"/>
  <c r="D175" i="18" l="1"/>
  <c r="S175" i="18"/>
  <c r="K175" i="18"/>
  <c r="L175" i="18" s="1"/>
  <c r="H175" i="18"/>
  <c r="J176" i="18" s="1"/>
  <c r="I175" i="18"/>
  <c r="F175" i="18"/>
  <c r="E175" i="18"/>
  <c r="M175" i="18"/>
  <c r="N175" i="18" s="1"/>
  <c r="C175" i="18"/>
  <c r="G175" i="18"/>
  <c r="O175" i="18"/>
  <c r="P175" i="18" s="1"/>
  <c r="A350" i="18"/>
  <c r="A350" i="17"/>
  <c r="B176" i="18" l="1"/>
  <c r="I176" i="18" s="1"/>
  <c r="A351" i="18"/>
  <c r="A351" i="17"/>
  <c r="K176" i="18" l="1"/>
  <c r="L176" i="18" s="1"/>
  <c r="E176" i="18"/>
  <c r="D176" i="18"/>
  <c r="C176" i="18"/>
  <c r="M176" i="18"/>
  <c r="N176" i="18" s="1"/>
  <c r="G176" i="18"/>
  <c r="H176" i="18"/>
  <c r="J177" i="18" s="1"/>
  <c r="S176" i="18"/>
  <c r="F176" i="18"/>
  <c r="O176" i="18"/>
  <c r="P176" i="18" s="1"/>
  <c r="Q176" i="18"/>
  <c r="R176" i="18" s="1"/>
  <c r="A352" i="18"/>
  <c r="A352" i="17"/>
  <c r="B177" i="18" l="1"/>
  <c r="M177" i="18" s="1"/>
  <c r="N177" i="18" s="1"/>
  <c r="A353" i="18"/>
  <c r="A353" i="17"/>
  <c r="E177" i="18" l="1"/>
  <c r="K177" i="18"/>
  <c r="L177" i="18" s="1"/>
  <c r="D177" i="18"/>
  <c r="C177" i="18"/>
  <c r="I177" i="18"/>
  <c r="Q177" i="18"/>
  <c r="R177" i="18" s="1"/>
  <c r="F177" i="18"/>
  <c r="H177" i="18"/>
  <c r="J178" i="18" s="1"/>
  <c r="G177" i="18"/>
  <c r="S177" i="18"/>
  <c r="O177" i="18"/>
  <c r="P177" i="18" s="1"/>
  <c r="A354" i="18"/>
  <c r="A354" i="17"/>
  <c r="B178" i="18" l="1"/>
  <c r="Q178" i="18" s="1"/>
  <c r="R178" i="18" s="1"/>
  <c r="A355" i="18"/>
  <c r="A355" i="17"/>
  <c r="M178" i="18" l="1"/>
  <c r="N178" i="18" s="1"/>
  <c r="K178" i="18"/>
  <c r="L178" i="18" s="1"/>
  <c r="C178" i="18"/>
  <c r="H178" i="18"/>
  <c r="J179" i="18" s="1"/>
  <c r="I178" i="18"/>
  <c r="G178" i="18"/>
  <c r="D178" i="18"/>
  <c r="E178" i="18"/>
  <c r="O178" i="18"/>
  <c r="P178" i="18" s="1"/>
  <c r="S178" i="18"/>
  <c r="F178" i="18"/>
  <c r="A356" i="18"/>
  <c r="A356" i="17"/>
  <c r="B179" i="18" l="1"/>
  <c r="S179" i="18" s="1"/>
  <c r="A357" i="18"/>
  <c r="A357" i="17"/>
  <c r="F179" i="18" l="1"/>
  <c r="O179" i="18"/>
  <c r="P179" i="18" s="1"/>
  <c r="C179" i="18"/>
  <c r="G179" i="18"/>
  <c r="I179" i="18"/>
  <c r="D179" i="18"/>
  <c r="M179" i="18"/>
  <c r="N179" i="18" s="1"/>
  <c r="H179" i="18"/>
  <c r="J180" i="18" s="1"/>
  <c r="Q179" i="18"/>
  <c r="R179" i="18" s="1"/>
  <c r="K179" i="18"/>
  <c r="L179" i="18" s="1"/>
  <c r="E179" i="18"/>
  <c r="A358" i="18"/>
  <c r="A358" i="17"/>
  <c r="B180" i="18" l="1"/>
  <c r="M180" i="18" s="1"/>
  <c r="N180" i="18" s="1"/>
  <c r="A359" i="18"/>
  <c r="A359" i="17"/>
  <c r="Q180" i="18" l="1"/>
  <c r="R180" i="18" s="1"/>
  <c r="G180" i="18"/>
  <c r="F180" i="18"/>
  <c r="H180" i="18"/>
  <c r="J181" i="18" s="1"/>
  <c r="S180" i="18"/>
  <c r="D180" i="18"/>
  <c r="I180" i="18"/>
  <c r="K180" i="18"/>
  <c r="L180" i="18" s="1"/>
  <c r="E180" i="18"/>
  <c r="C180" i="18"/>
  <c r="O180" i="18"/>
  <c r="P180" i="18" s="1"/>
  <c r="A360" i="18"/>
  <c r="A360" i="17"/>
  <c r="B181" i="18" l="1"/>
  <c r="G181" i="18" s="1"/>
  <c r="A361" i="18"/>
  <c r="A361" i="17"/>
  <c r="Q181" i="18" l="1"/>
  <c r="R181" i="18" s="1"/>
  <c r="D181" i="18"/>
  <c r="E181" i="18"/>
  <c r="I181" i="18"/>
  <c r="F181" i="18"/>
  <c r="H181" i="18"/>
  <c r="J182" i="18" s="1"/>
  <c r="C181" i="18"/>
  <c r="M181" i="18"/>
  <c r="N181" i="18" s="1"/>
  <c r="O181" i="18"/>
  <c r="P181" i="18" s="1"/>
  <c r="K181" i="18"/>
  <c r="L181" i="18" s="1"/>
  <c r="S181" i="18"/>
  <c r="A362" i="18"/>
  <c r="A362" i="17"/>
  <c r="B182" i="18" l="1"/>
  <c r="I182" i="18" s="1"/>
  <c r="A363" i="18"/>
  <c r="A363" i="17"/>
  <c r="F182" i="18" l="1"/>
  <c r="S182" i="18"/>
  <c r="C182" i="18"/>
  <c r="Q182" i="18"/>
  <c r="R182" i="18" s="1"/>
  <c r="O182" i="18"/>
  <c r="P182" i="18" s="1"/>
  <c r="K182" i="18"/>
  <c r="L182" i="18" s="1"/>
  <c r="G182" i="18"/>
  <c r="M182" i="18"/>
  <c r="N182" i="18" s="1"/>
  <c r="H182" i="18"/>
  <c r="J183" i="18" s="1"/>
  <c r="E182" i="18"/>
  <c r="D182" i="18"/>
  <c r="A364" i="18"/>
  <c r="A364" i="17"/>
  <c r="B183" i="18" l="1"/>
  <c r="D183" i="18" s="1"/>
  <c r="A365" i="18"/>
  <c r="A365" i="17"/>
  <c r="F183" i="18" l="1"/>
  <c r="I183" i="18"/>
  <c r="O183" i="18"/>
  <c r="P183" i="18" s="1"/>
  <c r="E183" i="18"/>
  <c r="Q183" i="18"/>
  <c r="R183" i="18" s="1"/>
  <c r="G183" i="18"/>
  <c r="C183" i="18"/>
  <c r="K183" i="18"/>
  <c r="L183" i="18" s="1"/>
  <c r="M183" i="18"/>
  <c r="N183" i="18" s="1"/>
  <c r="H183" i="18"/>
  <c r="J184" i="18" s="1"/>
  <c r="S183" i="18"/>
  <c r="A366" i="18"/>
  <c r="A366" i="17"/>
  <c r="B184" i="18" l="1"/>
  <c r="D184" i="18" s="1"/>
  <c r="A367" i="18"/>
  <c r="A367" i="17"/>
  <c r="S184" i="18" l="1"/>
  <c r="C184" i="18"/>
  <c r="I184" i="18"/>
  <c r="K184" i="18"/>
  <c r="L184" i="18" s="1"/>
  <c r="F184" i="18"/>
  <c r="E184" i="18"/>
  <c r="M184" i="18"/>
  <c r="N184" i="18" s="1"/>
  <c r="Q184" i="18"/>
  <c r="R184" i="18" s="1"/>
  <c r="H184" i="18"/>
  <c r="J185" i="18" s="1"/>
  <c r="O184" i="18"/>
  <c r="P184" i="18" s="1"/>
  <c r="G184" i="18"/>
  <c r="A368" i="18"/>
  <c r="A368" i="17"/>
  <c r="B185" i="18" l="1"/>
  <c r="K185" i="18" s="1"/>
  <c r="L185" i="18" s="1"/>
  <c r="A369" i="18"/>
  <c r="A369" i="17"/>
  <c r="C185" i="18" l="1"/>
  <c r="G185" i="18"/>
  <c r="Q185" i="18"/>
  <c r="R185" i="18" s="1"/>
  <c r="F185" i="18"/>
  <c r="I185" i="18"/>
  <c r="M185" i="18"/>
  <c r="N185" i="18" s="1"/>
  <c r="S185" i="18"/>
  <c r="O185" i="18"/>
  <c r="P185" i="18" s="1"/>
  <c r="D185" i="18"/>
  <c r="E185" i="18"/>
  <c r="H185" i="18"/>
  <c r="J186" i="18" s="1"/>
  <c r="A370" i="18"/>
  <c r="A370" i="17"/>
  <c r="B186" i="18" l="1"/>
  <c r="H186" i="18" s="1"/>
  <c r="J187" i="18" s="1"/>
  <c r="A371" i="18"/>
  <c r="A371" i="17"/>
  <c r="M186" i="18" l="1"/>
  <c r="N186" i="18" s="1"/>
  <c r="C186" i="18"/>
  <c r="F186" i="18"/>
  <c r="I186" i="18"/>
  <c r="E186" i="18"/>
  <c r="S186" i="18"/>
  <c r="O186" i="18"/>
  <c r="P186" i="18" s="1"/>
  <c r="Q186" i="18"/>
  <c r="R186" i="18" s="1"/>
  <c r="G186" i="18"/>
  <c r="K186" i="18"/>
  <c r="L186" i="18" s="1"/>
  <c r="D186" i="18"/>
  <c r="A372" i="18"/>
  <c r="A372" i="17"/>
  <c r="B187" i="18" l="1"/>
  <c r="H187" i="18" s="1"/>
  <c r="J188" i="18" s="1"/>
  <c r="A373" i="18"/>
  <c r="A373" i="17"/>
  <c r="E187" i="18" l="1"/>
  <c r="K187" i="18"/>
  <c r="L187" i="18" s="1"/>
  <c r="D187" i="18"/>
  <c r="F187" i="18"/>
  <c r="S187" i="18"/>
  <c r="C187" i="18"/>
  <c r="I187" i="18"/>
  <c r="M187" i="18"/>
  <c r="N187" i="18" s="1"/>
  <c r="G187" i="18"/>
  <c r="O187" i="18"/>
  <c r="P187" i="18" s="1"/>
  <c r="Q187" i="18"/>
  <c r="R187" i="18" s="1"/>
  <c r="A374" i="18"/>
  <c r="A374" i="17"/>
  <c r="B188" i="18" l="1"/>
  <c r="Q188" i="18" s="1"/>
  <c r="R188" i="18" s="1"/>
  <c r="A375" i="18"/>
  <c r="A375" i="17"/>
  <c r="D188" i="18" l="1"/>
  <c r="I188" i="18"/>
  <c r="C188" i="18"/>
  <c r="E188" i="18"/>
  <c r="O188" i="18"/>
  <c r="P188" i="18" s="1"/>
  <c r="F188" i="18"/>
  <c r="S188" i="18"/>
  <c r="G188" i="18"/>
  <c r="H188" i="18"/>
  <c r="J189" i="18" s="1"/>
  <c r="M188" i="18"/>
  <c r="N188" i="18" s="1"/>
  <c r="K188" i="18"/>
  <c r="L188" i="18" s="1"/>
  <c r="A376" i="18"/>
  <c r="A376" i="17"/>
  <c r="B189" i="18" l="1"/>
  <c r="F189" i="18" s="1"/>
  <c r="A377" i="18"/>
  <c r="A377" i="17"/>
  <c r="C189" i="18" l="1"/>
  <c r="E189" i="18"/>
  <c r="I189" i="18"/>
  <c r="K189" i="18"/>
  <c r="L189" i="18" s="1"/>
  <c r="Q189" i="18"/>
  <c r="R189" i="18" s="1"/>
  <c r="M189" i="18"/>
  <c r="N189" i="18" s="1"/>
  <c r="O189" i="18"/>
  <c r="P189" i="18" s="1"/>
  <c r="S189" i="18"/>
  <c r="G189" i="18"/>
  <c r="D189" i="18"/>
  <c r="H189" i="18"/>
  <c r="J190" i="18" s="1"/>
  <c r="A378" i="18"/>
  <c r="A378" i="17"/>
  <c r="B190" i="18" l="1"/>
  <c r="I190" i="18" s="1"/>
  <c r="A379" i="18"/>
  <c r="A379" i="17"/>
  <c r="Q190" i="18" l="1"/>
  <c r="R190" i="18" s="1"/>
  <c r="E190" i="18"/>
  <c r="O190" i="18"/>
  <c r="P190" i="18" s="1"/>
  <c r="M190" i="18"/>
  <c r="N190" i="18" s="1"/>
  <c r="G190" i="18"/>
  <c r="S190" i="18"/>
  <c r="C190" i="18"/>
  <c r="H190" i="18"/>
  <c r="J191" i="18" s="1"/>
  <c r="K190" i="18"/>
  <c r="L190" i="18" s="1"/>
  <c r="F190" i="18"/>
  <c r="D190" i="18"/>
  <c r="A380" i="18"/>
  <c r="A380" i="17"/>
  <c r="B191" i="18" l="1"/>
  <c r="H191" i="18" s="1"/>
  <c r="J192" i="18" s="1"/>
  <c r="A381" i="18"/>
  <c r="A381" i="17"/>
  <c r="D191" i="18" l="1"/>
  <c r="O191" i="18"/>
  <c r="P191" i="18" s="1"/>
  <c r="G191" i="18"/>
  <c r="M191" i="18"/>
  <c r="N191" i="18" s="1"/>
  <c r="Q191" i="18"/>
  <c r="R191" i="18" s="1"/>
  <c r="E191" i="18"/>
  <c r="S191" i="18"/>
  <c r="I191" i="18"/>
  <c r="K191" i="18"/>
  <c r="L191" i="18" s="1"/>
  <c r="F191" i="18"/>
  <c r="C191" i="18"/>
  <c r="A382" i="18"/>
  <c r="A382" i="17"/>
  <c r="B192" i="18" l="1"/>
  <c r="F192" i="18" s="1"/>
  <c r="A383" i="18"/>
  <c r="A383" i="17"/>
  <c r="D192" i="18" l="1"/>
  <c r="C192" i="18"/>
  <c r="E192" i="18"/>
  <c r="Q192" i="18"/>
  <c r="R192" i="18" s="1"/>
  <c r="M192" i="18"/>
  <c r="N192" i="18" s="1"/>
  <c r="O192" i="18"/>
  <c r="P192" i="18" s="1"/>
  <c r="H192" i="18"/>
  <c r="J193" i="18" s="1"/>
  <c r="S192" i="18"/>
  <c r="K192" i="18"/>
  <c r="L192" i="18" s="1"/>
  <c r="G192" i="18"/>
  <c r="I192" i="18"/>
  <c r="A384" i="18"/>
  <c r="A384" i="17"/>
  <c r="B193" i="18" l="1"/>
  <c r="G193" i="18" s="1"/>
  <c r="A385" i="18"/>
  <c r="A385" i="17"/>
  <c r="D193" i="18" l="1"/>
  <c r="C193" i="18"/>
  <c r="K193" i="18"/>
  <c r="L193" i="18" s="1"/>
  <c r="Q193" i="18"/>
  <c r="R193" i="18" s="1"/>
  <c r="F193" i="18"/>
  <c r="E193" i="18"/>
  <c r="I193" i="18"/>
  <c r="H193" i="18"/>
  <c r="J194" i="18" s="1"/>
  <c r="M193" i="18"/>
  <c r="N193" i="18" s="1"/>
  <c r="O193" i="18"/>
  <c r="P193" i="18" s="1"/>
  <c r="S193" i="18"/>
  <c r="A386" i="18"/>
  <c r="A386" i="17"/>
  <c r="B194" i="18" l="1"/>
  <c r="C194" i="18" s="1"/>
  <c r="A387" i="18"/>
  <c r="A387" i="17"/>
  <c r="M194" i="18" l="1"/>
  <c r="N194" i="18" s="1"/>
  <c r="I194" i="18"/>
  <c r="G194" i="18"/>
  <c r="H194" i="18"/>
  <c r="J195" i="18" s="1"/>
  <c r="O194" i="18"/>
  <c r="P194" i="18" s="1"/>
  <c r="F194" i="18"/>
  <c r="Q194" i="18"/>
  <c r="R194" i="18" s="1"/>
  <c r="K194" i="18"/>
  <c r="L194" i="18" s="1"/>
  <c r="D194" i="18"/>
  <c r="S194" i="18"/>
  <c r="E194" i="18"/>
  <c r="A388" i="18"/>
  <c r="A388" i="17"/>
  <c r="B195" i="18" l="1"/>
  <c r="S195" i="18" s="1"/>
  <c r="A389" i="18"/>
  <c r="A389" i="17"/>
  <c r="Q195" i="18" l="1"/>
  <c r="R195" i="18" s="1"/>
  <c r="E195" i="18"/>
  <c r="H195" i="18"/>
  <c r="J196" i="18" s="1"/>
  <c r="I195" i="18"/>
  <c r="O195" i="18"/>
  <c r="P195" i="18" s="1"/>
  <c r="F195" i="18"/>
  <c r="K195" i="18"/>
  <c r="L195" i="18" s="1"/>
  <c r="C195" i="18"/>
  <c r="M195" i="18"/>
  <c r="N195" i="18" s="1"/>
  <c r="D195" i="18"/>
  <c r="G195" i="18"/>
  <c r="A390" i="18"/>
  <c r="A390" i="17"/>
  <c r="B196" i="18" l="1"/>
  <c r="D196" i="18" s="1"/>
  <c r="A391" i="18"/>
  <c r="A391" i="17"/>
  <c r="F196" i="18" l="1"/>
  <c r="I196" i="18"/>
  <c r="G196" i="18"/>
  <c r="Q196" i="18"/>
  <c r="R196" i="18" s="1"/>
  <c r="S196" i="18"/>
  <c r="E196" i="18"/>
  <c r="K196" i="18"/>
  <c r="L196" i="18" s="1"/>
  <c r="M196" i="18"/>
  <c r="N196" i="18" s="1"/>
  <c r="C196" i="18"/>
  <c r="O196" i="18"/>
  <c r="P196" i="18" s="1"/>
  <c r="H196" i="18"/>
  <c r="J197" i="18" s="1"/>
  <c r="A392" i="18"/>
  <c r="A392" i="17"/>
  <c r="B197" i="18" l="1"/>
  <c r="K197" i="18" s="1"/>
  <c r="L197" i="18" s="1"/>
  <c r="A393" i="18"/>
  <c r="A393" i="17"/>
  <c r="S197" i="18" l="1"/>
  <c r="C197" i="18"/>
  <c r="M197" i="18"/>
  <c r="N197" i="18" s="1"/>
  <c r="H197" i="18"/>
  <c r="J198" i="18" s="1"/>
  <c r="G197" i="18"/>
  <c r="F197" i="18"/>
  <c r="E197" i="18"/>
  <c r="I197" i="18"/>
  <c r="D197" i="18"/>
  <c r="O197" i="18"/>
  <c r="P197" i="18" s="1"/>
  <c r="Q197" i="18"/>
  <c r="R197" i="18" s="1"/>
  <c r="A394" i="18"/>
  <c r="A394" i="17"/>
  <c r="B198" i="18" l="1"/>
  <c r="F198" i="18" s="1"/>
  <c r="A395" i="18"/>
  <c r="A395" i="17"/>
  <c r="O198" i="18" l="1"/>
  <c r="P198" i="18" s="1"/>
  <c r="C198" i="18"/>
  <c r="E198" i="18"/>
  <c r="I198" i="18"/>
  <c r="Q198" i="18"/>
  <c r="R198" i="18" s="1"/>
  <c r="G198" i="18"/>
  <c r="D198" i="18"/>
  <c r="S198" i="18"/>
  <c r="H198" i="18"/>
  <c r="J199" i="18" s="1"/>
  <c r="M198" i="18"/>
  <c r="N198" i="18" s="1"/>
  <c r="K198" i="18"/>
  <c r="L198" i="18" s="1"/>
  <c r="A396" i="18"/>
  <c r="A396" i="17"/>
  <c r="B199" i="18" l="1"/>
  <c r="K199" i="18" s="1"/>
  <c r="L199" i="18" s="1"/>
  <c r="A397" i="18"/>
  <c r="A397" i="17"/>
  <c r="G199" i="18" l="1"/>
  <c r="F199" i="18"/>
  <c r="O199" i="18"/>
  <c r="P199" i="18" s="1"/>
  <c r="S199" i="18"/>
  <c r="D199" i="18"/>
  <c r="I199" i="18"/>
  <c r="Q199" i="18"/>
  <c r="R199" i="18" s="1"/>
  <c r="E199" i="18"/>
  <c r="C199" i="18"/>
  <c r="H199" i="18"/>
  <c r="J200" i="18" s="1"/>
  <c r="M199" i="18"/>
  <c r="N199" i="18" s="1"/>
  <c r="A398" i="18"/>
  <c r="A398" i="17"/>
  <c r="B200" i="18" l="1"/>
  <c r="O200" i="18" s="1"/>
  <c r="P200" i="18" s="1"/>
  <c r="A399" i="18"/>
  <c r="A399" i="17"/>
  <c r="Q200" i="18" l="1"/>
  <c r="R200" i="18" s="1"/>
  <c r="G200" i="18"/>
  <c r="F200" i="18"/>
  <c r="K200" i="18"/>
  <c r="L200" i="18" s="1"/>
  <c r="I200" i="18"/>
  <c r="C200" i="18"/>
  <c r="M200" i="18"/>
  <c r="N200" i="18" s="1"/>
  <c r="E200" i="18"/>
  <c r="S200" i="18"/>
  <c r="H200" i="18"/>
  <c r="J201" i="18" s="1"/>
  <c r="D200" i="18"/>
  <c r="A400" i="18"/>
  <c r="A400" i="17"/>
  <c r="B201" i="18" l="1"/>
  <c r="F201" i="18" s="1"/>
  <c r="A401" i="18"/>
  <c r="A401" i="17"/>
  <c r="Q201" i="18" l="1"/>
  <c r="R201" i="18" s="1"/>
  <c r="C201" i="18"/>
  <c r="E201" i="18"/>
  <c r="H201" i="18"/>
  <c r="J202" i="18" s="1"/>
  <c r="K201" i="18"/>
  <c r="L201" i="18" s="1"/>
  <c r="I201" i="18"/>
  <c r="O201" i="18"/>
  <c r="P201" i="18" s="1"/>
  <c r="M201" i="18"/>
  <c r="N201" i="18" s="1"/>
  <c r="G201" i="18"/>
  <c r="D201" i="18"/>
  <c r="S201" i="18"/>
  <c r="A402" i="18"/>
  <c r="A402" i="17"/>
  <c r="B202" i="18" l="1"/>
  <c r="F202" i="18" s="1"/>
  <c r="A403" i="18"/>
  <c r="A403" i="17"/>
  <c r="D202" i="18" l="1"/>
  <c r="K202" i="18"/>
  <c r="L202" i="18" s="1"/>
  <c r="C202" i="18"/>
  <c r="Q202" i="18"/>
  <c r="R202" i="18" s="1"/>
  <c r="G202" i="18"/>
  <c r="M202" i="18"/>
  <c r="N202" i="18" s="1"/>
  <c r="H202" i="18"/>
  <c r="J203" i="18" s="1"/>
  <c r="E202" i="18"/>
  <c r="I202" i="18"/>
  <c r="O202" i="18"/>
  <c r="P202" i="18" s="1"/>
  <c r="S202" i="18"/>
  <c r="A404" i="18"/>
  <c r="A404" i="17"/>
  <c r="B203" i="18" l="1"/>
  <c r="S203" i="18" s="1"/>
  <c r="A405" i="18"/>
  <c r="A405" i="17"/>
  <c r="K203" i="18" l="1"/>
  <c r="L203" i="18" s="1"/>
  <c r="D203" i="18"/>
  <c r="O203" i="18"/>
  <c r="P203" i="18" s="1"/>
  <c r="C203" i="18"/>
  <c r="M203" i="18"/>
  <c r="N203" i="18" s="1"/>
  <c r="I203" i="18"/>
  <c r="F203" i="18"/>
  <c r="G203" i="18"/>
  <c r="H203" i="18"/>
  <c r="J204" i="18" s="1"/>
  <c r="Q203" i="18"/>
  <c r="R203" i="18" s="1"/>
  <c r="E203" i="18"/>
  <c r="A406" i="18"/>
  <c r="A406" i="17"/>
  <c r="B204" i="18" l="1"/>
  <c r="S204" i="18" s="1"/>
  <c r="A407" i="18"/>
  <c r="A407" i="17"/>
  <c r="D204" i="18" l="1"/>
  <c r="E204" i="18"/>
  <c r="C204" i="18"/>
  <c r="Q204" i="18"/>
  <c r="R204" i="18" s="1"/>
  <c r="K204" i="18"/>
  <c r="L204" i="18" s="1"/>
  <c r="F204" i="18"/>
  <c r="I204" i="18"/>
  <c r="G204" i="18"/>
  <c r="O204" i="18"/>
  <c r="P204" i="18" s="1"/>
  <c r="M204" i="18"/>
  <c r="N204" i="18" s="1"/>
  <c r="H204" i="18"/>
  <c r="J205" i="18" s="1"/>
  <c r="A408" i="18"/>
  <c r="A408" i="17"/>
  <c r="B205" i="18" l="1"/>
  <c r="D205" i="18" s="1"/>
  <c r="A409" i="18"/>
  <c r="A409" i="17"/>
  <c r="F205" i="18" l="1"/>
  <c r="G205" i="18"/>
  <c r="C205" i="18"/>
  <c r="H205" i="18"/>
  <c r="J206" i="18" s="1"/>
  <c r="Q205" i="18"/>
  <c r="R205" i="18" s="1"/>
  <c r="O205" i="18"/>
  <c r="P205" i="18" s="1"/>
  <c r="K205" i="18"/>
  <c r="L205" i="18" s="1"/>
  <c r="E205" i="18"/>
  <c r="S205" i="18"/>
  <c r="M205" i="18"/>
  <c r="N205" i="18" s="1"/>
  <c r="I205" i="18"/>
  <c r="A410" i="18"/>
  <c r="A410" i="17"/>
  <c r="B206" i="18" l="1"/>
  <c r="D206" i="18" s="1"/>
  <c r="A411" i="18"/>
  <c r="A411" i="17"/>
  <c r="S206" i="18" l="1"/>
  <c r="K206" i="18"/>
  <c r="L206" i="18" s="1"/>
  <c r="O206" i="18"/>
  <c r="P206" i="18" s="1"/>
  <c r="Q206" i="18"/>
  <c r="R206" i="18" s="1"/>
  <c r="F206" i="18"/>
  <c r="E206" i="18"/>
  <c r="C206" i="18"/>
  <c r="H206" i="18"/>
  <c r="J207" i="18" s="1"/>
  <c r="G206" i="18"/>
  <c r="M206" i="18"/>
  <c r="N206" i="18" s="1"/>
  <c r="I206" i="18"/>
  <c r="A412" i="18"/>
  <c r="A412" i="17"/>
  <c r="B207" i="18" l="1"/>
  <c r="S207" i="18" s="1"/>
  <c r="A413" i="18"/>
  <c r="A413" i="17"/>
  <c r="D207" i="18" l="1"/>
  <c r="F207" i="18"/>
  <c r="E207" i="18"/>
  <c r="C207" i="18"/>
  <c r="Q207" i="18"/>
  <c r="R207" i="18" s="1"/>
  <c r="I207" i="18"/>
  <c r="H207" i="18"/>
  <c r="J208" i="18" s="1"/>
  <c r="O207" i="18"/>
  <c r="P207" i="18" s="1"/>
  <c r="G207" i="18"/>
  <c r="M207" i="18"/>
  <c r="N207" i="18" s="1"/>
  <c r="K207" i="18"/>
  <c r="L207" i="18" s="1"/>
  <c r="A414" i="18"/>
  <c r="A414" i="17"/>
  <c r="B208" i="18" l="1"/>
  <c r="H208" i="18" s="1"/>
  <c r="J209" i="18" s="1"/>
  <c r="A415" i="18"/>
  <c r="A415" i="17"/>
  <c r="O208" i="18" l="1"/>
  <c r="P208" i="18" s="1"/>
  <c r="D208" i="18"/>
  <c r="F208" i="18"/>
  <c r="G208" i="18"/>
  <c r="E208" i="18"/>
  <c r="C208" i="18"/>
  <c r="I208" i="18"/>
  <c r="M208" i="18"/>
  <c r="N208" i="18" s="1"/>
  <c r="Q208" i="18"/>
  <c r="R208" i="18" s="1"/>
  <c r="K208" i="18"/>
  <c r="L208" i="18" s="1"/>
  <c r="S208" i="18"/>
  <c r="A416" i="18"/>
  <c r="A416" i="17"/>
  <c r="B209" i="18" l="1"/>
  <c r="K209" i="18" s="1"/>
  <c r="L209" i="18" s="1"/>
  <c r="A417" i="18"/>
  <c r="A417" i="17"/>
  <c r="D209" i="18" l="1"/>
  <c r="Q209" i="18"/>
  <c r="R209" i="18" s="1"/>
  <c r="M209" i="18"/>
  <c r="N209" i="18" s="1"/>
  <c r="S209" i="18"/>
  <c r="C209" i="18"/>
  <c r="G209" i="18"/>
  <c r="F209" i="18"/>
  <c r="H209" i="18"/>
  <c r="J210" i="18" s="1"/>
  <c r="O209" i="18"/>
  <c r="P209" i="18" s="1"/>
  <c r="E209" i="18"/>
  <c r="I209" i="18"/>
  <c r="A418" i="18"/>
  <c r="A418" i="17"/>
  <c r="B210" i="18" l="1"/>
  <c r="E210" i="18" s="1"/>
  <c r="A419" i="18"/>
  <c r="A419" i="17"/>
  <c r="M210" i="18" l="1"/>
  <c r="N210" i="18" s="1"/>
  <c r="D210" i="18"/>
  <c r="F210" i="18"/>
  <c r="S210" i="18"/>
  <c r="G210" i="18"/>
  <c r="O210" i="18"/>
  <c r="P210" i="18" s="1"/>
  <c r="K210" i="18"/>
  <c r="L210" i="18" s="1"/>
  <c r="H210" i="18"/>
  <c r="J211" i="18" s="1"/>
  <c r="C210" i="18"/>
  <c r="I210" i="18"/>
  <c r="Q210" i="18"/>
  <c r="R210" i="18" s="1"/>
  <c r="A420" i="18"/>
  <c r="A420" i="17"/>
  <c r="B211" i="18" l="1"/>
  <c r="K211" i="18" s="1"/>
  <c r="L211" i="18" s="1"/>
  <c r="A421" i="18"/>
  <c r="A421" i="17"/>
  <c r="C211" i="18" l="1"/>
  <c r="O211" i="18"/>
  <c r="P211" i="18" s="1"/>
  <c r="Q211" i="18"/>
  <c r="R211" i="18" s="1"/>
  <c r="I211" i="18"/>
  <c r="D211" i="18"/>
  <c r="F211" i="18"/>
  <c r="H211" i="18"/>
  <c r="J212" i="18" s="1"/>
  <c r="E211" i="18"/>
  <c r="S211" i="18"/>
  <c r="G211" i="18"/>
  <c r="M211" i="18"/>
  <c r="N211" i="18" s="1"/>
  <c r="A422" i="18"/>
  <c r="A422" i="17"/>
  <c r="B212" i="18" l="1"/>
  <c r="O212" i="18" s="1"/>
  <c r="P212" i="18" s="1"/>
  <c r="A423" i="18"/>
  <c r="A423" i="17"/>
  <c r="E212" i="18" l="1"/>
  <c r="S212" i="18"/>
  <c r="F212" i="18"/>
  <c r="Q212" i="18"/>
  <c r="R212" i="18" s="1"/>
  <c r="I212" i="18"/>
  <c r="D212" i="18"/>
  <c r="K212" i="18"/>
  <c r="L212" i="18" s="1"/>
  <c r="C212" i="18"/>
  <c r="G212" i="18"/>
  <c r="H212" i="18"/>
  <c r="J213" i="18" s="1"/>
  <c r="M212" i="18"/>
  <c r="N212" i="18" s="1"/>
  <c r="A424" i="18"/>
  <c r="A424" i="17"/>
  <c r="B213" i="18" l="1"/>
  <c r="Q213" i="18" s="1"/>
  <c r="R213" i="18" s="1"/>
  <c r="A425" i="18"/>
  <c r="A425" i="17"/>
  <c r="E213" i="18" l="1"/>
  <c r="D213" i="18"/>
  <c r="C213" i="18"/>
  <c r="S213" i="18"/>
  <c r="O213" i="18"/>
  <c r="P213" i="18" s="1"/>
  <c r="G213" i="18"/>
  <c r="K213" i="18"/>
  <c r="L213" i="18" s="1"/>
  <c r="F213" i="18"/>
  <c r="I213" i="18"/>
  <c r="H213" i="18"/>
  <c r="J214" i="18" s="1"/>
  <c r="M213" i="18"/>
  <c r="N213" i="18" s="1"/>
  <c r="A426" i="18"/>
  <c r="A426" i="17"/>
  <c r="B214" i="18" l="1"/>
  <c r="C214" i="18" s="1"/>
  <c r="A427" i="18"/>
  <c r="A427" i="17"/>
  <c r="Q214" i="18" l="1"/>
  <c r="R214" i="18" s="1"/>
  <c r="F214" i="18"/>
  <c r="I214" i="18"/>
  <c r="D214" i="18"/>
  <c r="K214" i="18"/>
  <c r="L214" i="18" s="1"/>
  <c r="S214" i="18"/>
  <c r="G214" i="18"/>
  <c r="E214" i="18"/>
  <c r="M214" i="18"/>
  <c r="N214" i="18" s="1"/>
  <c r="O214" i="18"/>
  <c r="P214" i="18" s="1"/>
  <c r="H214" i="18"/>
  <c r="J215" i="18" s="1"/>
  <c r="A428" i="18"/>
  <c r="A428" i="17"/>
  <c r="B215" i="18" l="1"/>
  <c r="S215" i="18" s="1"/>
  <c r="A429" i="18"/>
  <c r="A429" i="17"/>
  <c r="Q215" i="18" l="1"/>
  <c r="R215" i="18" s="1"/>
  <c r="K215" i="18"/>
  <c r="L215" i="18" s="1"/>
  <c r="C215" i="18"/>
  <c r="M215" i="18"/>
  <c r="N215" i="18" s="1"/>
  <c r="H215" i="18"/>
  <c r="J216" i="18" s="1"/>
  <c r="F215" i="18"/>
  <c r="D215" i="18"/>
  <c r="O215" i="18"/>
  <c r="P215" i="18" s="1"/>
  <c r="I215" i="18"/>
  <c r="G215" i="18"/>
  <c r="E215" i="18"/>
  <c r="A430" i="18"/>
  <c r="A430" i="17"/>
  <c r="B216" i="18" l="1"/>
  <c r="C216" i="18" s="1"/>
  <c r="A431" i="18"/>
  <c r="A431" i="17"/>
  <c r="I216" i="18" l="1"/>
  <c r="M216" i="18"/>
  <c r="N216" i="18" s="1"/>
  <c r="S216" i="18"/>
  <c r="O216" i="18"/>
  <c r="P216" i="18" s="1"/>
  <c r="Q216" i="18"/>
  <c r="R216" i="18" s="1"/>
  <c r="G216" i="18"/>
  <c r="H216" i="18"/>
  <c r="J217" i="18" s="1"/>
  <c r="D216" i="18"/>
  <c r="K216" i="18"/>
  <c r="L216" i="18" s="1"/>
  <c r="F216" i="18"/>
  <c r="E216" i="18"/>
  <c r="A432" i="18"/>
  <c r="A432" i="17"/>
  <c r="B217" i="18" l="1"/>
  <c r="E217" i="18" s="1"/>
  <c r="A433" i="18"/>
  <c r="A433" i="17"/>
  <c r="F217" i="18" l="1"/>
  <c r="O217" i="18"/>
  <c r="P217" i="18" s="1"/>
  <c r="I217" i="18"/>
  <c r="G217" i="18"/>
  <c r="D217" i="18"/>
  <c r="K217" i="18"/>
  <c r="L217" i="18" s="1"/>
  <c r="C217" i="18"/>
  <c r="H217" i="18"/>
  <c r="J218" i="18" s="1"/>
  <c r="Q217" i="18"/>
  <c r="R217" i="18" s="1"/>
  <c r="M217" i="18"/>
  <c r="N217" i="18" s="1"/>
  <c r="S217" i="18"/>
  <c r="A434" i="18"/>
  <c r="A434" i="17"/>
  <c r="B218" i="18" l="1"/>
  <c r="Q218" i="18" s="1"/>
  <c r="R218" i="18" s="1"/>
  <c r="A435" i="18"/>
  <c r="A435" i="17"/>
  <c r="D218" i="18" l="1"/>
  <c r="H218" i="18"/>
  <c r="J219" i="18" s="1"/>
  <c r="M218" i="18"/>
  <c r="N218" i="18" s="1"/>
  <c r="S218" i="18"/>
  <c r="I218" i="18"/>
  <c r="C218" i="18"/>
  <c r="G218" i="18"/>
  <c r="K218" i="18"/>
  <c r="L218" i="18" s="1"/>
  <c r="E218" i="18"/>
  <c r="O218" i="18"/>
  <c r="P218" i="18" s="1"/>
  <c r="F218" i="18"/>
  <c r="A436" i="18"/>
  <c r="A436" i="17"/>
  <c r="B219" i="18" l="1"/>
  <c r="K219" i="18" s="1"/>
  <c r="L219" i="18" s="1"/>
  <c r="A437" i="18"/>
  <c r="A437" i="17"/>
  <c r="I219" i="18" l="1"/>
  <c r="Q219" i="18"/>
  <c r="R219" i="18" s="1"/>
  <c r="S219" i="18"/>
  <c r="F219" i="18"/>
  <c r="H219" i="18"/>
  <c r="J220" i="18" s="1"/>
  <c r="M219" i="18"/>
  <c r="N219" i="18" s="1"/>
  <c r="O219" i="18"/>
  <c r="P219" i="18" s="1"/>
  <c r="E219" i="18"/>
  <c r="G219" i="18"/>
  <c r="D219" i="18"/>
  <c r="C219" i="18"/>
  <c r="A438" i="18"/>
  <c r="A438" i="17"/>
  <c r="B220" i="18" l="1"/>
  <c r="H220" i="18" s="1"/>
  <c r="J221" i="18" s="1"/>
  <c r="A439" i="18"/>
  <c r="A439" i="17"/>
  <c r="F220" i="18" l="1"/>
  <c r="D220" i="18"/>
  <c r="E220" i="18"/>
  <c r="K220" i="18"/>
  <c r="L220" i="18" s="1"/>
  <c r="M220" i="18"/>
  <c r="N220" i="18" s="1"/>
  <c r="I220" i="18"/>
  <c r="S220" i="18"/>
  <c r="C220" i="18"/>
  <c r="O220" i="18"/>
  <c r="P220" i="18" s="1"/>
  <c r="G220" i="18"/>
  <c r="Q220" i="18"/>
  <c r="R220" i="18" s="1"/>
  <c r="A440" i="18"/>
  <c r="A440" i="17"/>
  <c r="B221" i="18" l="1"/>
  <c r="I221" i="18" s="1"/>
  <c r="A441" i="18"/>
  <c r="A441" i="17"/>
  <c r="E221" i="18" l="1"/>
  <c r="M221" i="18"/>
  <c r="N221" i="18" s="1"/>
  <c r="C221" i="18"/>
  <c r="O221" i="18"/>
  <c r="P221" i="18" s="1"/>
  <c r="S221" i="18"/>
  <c r="K221" i="18"/>
  <c r="L221" i="18" s="1"/>
  <c r="Q221" i="18"/>
  <c r="R221" i="18" s="1"/>
  <c r="G221" i="18"/>
  <c r="F221" i="18"/>
  <c r="H221" i="18"/>
  <c r="J222" i="18" s="1"/>
  <c r="D221" i="18"/>
  <c r="A442" i="18"/>
  <c r="A442" i="17"/>
  <c r="B222" i="18" l="1"/>
  <c r="G222" i="18" s="1"/>
  <c r="A443" i="18"/>
  <c r="A443" i="17"/>
  <c r="E222" i="18" l="1"/>
  <c r="K222" i="18"/>
  <c r="L222" i="18" s="1"/>
  <c r="H222" i="18"/>
  <c r="J223" i="18" s="1"/>
  <c r="I222" i="18"/>
  <c r="M222" i="18"/>
  <c r="N222" i="18" s="1"/>
  <c r="F222" i="18"/>
  <c r="C222" i="18"/>
  <c r="D222" i="18"/>
  <c r="O222" i="18"/>
  <c r="P222" i="18" s="1"/>
  <c r="Q222" i="18"/>
  <c r="R222" i="18" s="1"/>
  <c r="S222" i="18"/>
  <c r="A444" i="18"/>
  <c r="A444" i="17"/>
  <c r="B223" i="18" l="1"/>
  <c r="F223" i="18" s="1"/>
  <c r="A445" i="18"/>
  <c r="A445" i="17"/>
  <c r="M223" i="18" l="1"/>
  <c r="N223" i="18" s="1"/>
  <c r="O223" i="18"/>
  <c r="P223" i="18" s="1"/>
  <c r="S223" i="18"/>
  <c r="C223" i="18"/>
  <c r="G223" i="18"/>
  <c r="E223" i="18"/>
  <c r="K223" i="18"/>
  <c r="L223" i="18" s="1"/>
  <c r="D223" i="18"/>
  <c r="H223" i="18"/>
  <c r="J224" i="18" s="1"/>
  <c r="I223" i="18"/>
  <c r="Q223" i="18"/>
  <c r="R223" i="18" s="1"/>
  <c r="A446" i="18"/>
  <c r="A446" i="17"/>
  <c r="B224" i="18" l="1"/>
  <c r="Q224" i="18" s="1"/>
  <c r="R224" i="18" s="1"/>
  <c r="A447" i="18"/>
  <c r="A447" i="17"/>
  <c r="M224" i="18" l="1"/>
  <c r="N224" i="18" s="1"/>
  <c r="D224" i="18"/>
  <c r="S224" i="18"/>
  <c r="I224" i="18"/>
  <c r="F224" i="18"/>
  <c r="O224" i="18"/>
  <c r="P224" i="18" s="1"/>
  <c r="C224" i="18"/>
  <c r="G224" i="18"/>
  <c r="E224" i="18"/>
  <c r="H224" i="18"/>
  <c r="J225" i="18" s="1"/>
  <c r="K224" i="18"/>
  <c r="L224" i="18" s="1"/>
  <c r="A448" i="18"/>
  <c r="A448" i="17"/>
  <c r="B225" i="18" l="1"/>
  <c r="O225" i="18" s="1"/>
  <c r="P225" i="18" s="1"/>
  <c r="A449" i="18"/>
  <c r="A449" i="17"/>
  <c r="F225" i="18" l="1"/>
  <c r="C225" i="18"/>
  <c r="H225" i="18"/>
  <c r="J226" i="18" s="1"/>
  <c r="Q225" i="18"/>
  <c r="R225" i="18" s="1"/>
  <c r="K225" i="18"/>
  <c r="L225" i="18" s="1"/>
  <c r="M225" i="18"/>
  <c r="N225" i="18" s="1"/>
  <c r="S225" i="18"/>
  <c r="E225" i="18"/>
  <c r="G225" i="18"/>
  <c r="I225" i="18"/>
  <c r="D225" i="18"/>
  <c r="A450" i="18"/>
  <c r="A450" i="17"/>
  <c r="B226" i="18" l="1"/>
  <c r="I226" i="18" s="1"/>
  <c r="A451" i="18"/>
  <c r="A451" i="17"/>
  <c r="E226" i="18" l="1"/>
  <c r="O226" i="18"/>
  <c r="P226" i="18" s="1"/>
  <c r="H226" i="18"/>
  <c r="J227" i="18" s="1"/>
  <c r="M226" i="18"/>
  <c r="N226" i="18" s="1"/>
  <c r="D226" i="18"/>
  <c r="K226" i="18"/>
  <c r="L226" i="18" s="1"/>
  <c r="G226" i="18"/>
  <c r="Q226" i="18"/>
  <c r="R226" i="18" s="1"/>
  <c r="F226" i="18"/>
  <c r="S226" i="18"/>
  <c r="C226" i="18"/>
  <c r="A452" i="18"/>
  <c r="A452" i="17"/>
  <c r="B227" i="18" l="1"/>
  <c r="D227" i="18" s="1"/>
  <c r="A453" i="18"/>
  <c r="A453" i="17"/>
  <c r="G227" i="18" l="1"/>
  <c r="M227" i="18"/>
  <c r="N227" i="18" s="1"/>
  <c r="K227" i="18"/>
  <c r="L227" i="18" s="1"/>
  <c r="Q227" i="18"/>
  <c r="R227" i="18" s="1"/>
  <c r="H227" i="18"/>
  <c r="J228" i="18" s="1"/>
  <c r="C227" i="18"/>
  <c r="I227" i="18"/>
  <c r="E227" i="18"/>
  <c r="O227" i="18"/>
  <c r="P227" i="18" s="1"/>
  <c r="S227" i="18"/>
  <c r="F227" i="18"/>
  <c r="A454" i="18"/>
  <c r="A454" i="17"/>
  <c r="B228" i="18" l="1"/>
  <c r="H228" i="18" s="1"/>
  <c r="J229" i="18" s="1"/>
  <c r="A455" i="18"/>
  <c r="A455" i="17"/>
  <c r="M228" i="18" l="1"/>
  <c r="N228" i="18" s="1"/>
  <c r="E228" i="18"/>
  <c r="F228" i="18"/>
  <c r="O228" i="18"/>
  <c r="P228" i="18" s="1"/>
  <c r="C228" i="18"/>
  <c r="Q228" i="18"/>
  <c r="R228" i="18" s="1"/>
  <c r="G228" i="18"/>
  <c r="S228" i="18"/>
  <c r="K228" i="18"/>
  <c r="L228" i="18" s="1"/>
  <c r="I228" i="18"/>
  <c r="D228" i="18"/>
  <c r="A456" i="18"/>
  <c r="A456" i="17"/>
  <c r="B229" i="18" l="1"/>
  <c r="G229" i="18" s="1"/>
  <c r="A457" i="18"/>
  <c r="A457" i="17"/>
  <c r="Q229" i="18" l="1"/>
  <c r="R229" i="18" s="1"/>
  <c r="H229" i="18"/>
  <c r="J230" i="18" s="1"/>
  <c r="E229" i="18"/>
  <c r="F229" i="18"/>
  <c r="C229" i="18"/>
  <c r="M229" i="18"/>
  <c r="N229" i="18" s="1"/>
  <c r="S229" i="18"/>
  <c r="I229" i="18"/>
  <c r="K229" i="18"/>
  <c r="L229" i="18" s="1"/>
  <c r="O229" i="18"/>
  <c r="P229" i="18" s="1"/>
  <c r="D229" i="18"/>
  <c r="A458" i="18"/>
  <c r="A458" i="17"/>
  <c r="B230" i="18" l="1"/>
  <c r="K230" i="18" s="1"/>
  <c r="L230" i="18" s="1"/>
  <c r="A459" i="18"/>
  <c r="A459" i="17"/>
  <c r="S230" i="18" l="1"/>
  <c r="M230" i="18"/>
  <c r="N230" i="18" s="1"/>
  <c r="D230" i="18"/>
  <c r="C230" i="18"/>
  <c r="F230" i="18"/>
  <c r="Q230" i="18"/>
  <c r="R230" i="18" s="1"/>
  <c r="H230" i="18"/>
  <c r="J231" i="18" s="1"/>
  <c r="G230" i="18"/>
  <c r="O230" i="18"/>
  <c r="P230" i="18" s="1"/>
  <c r="I230" i="18"/>
  <c r="E230" i="18"/>
  <c r="A460" i="18"/>
  <c r="A460" i="17"/>
  <c r="B231" i="18" l="1"/>
  <c r="O231" i="18" s="1"/>
  <c r="P231" i="18" s="1"/>
  <c r="A461" i="18"/>
  <c r="A461" i="17"/>
  <c r="I231" i="18" l="1"/>
  <c r="G231" i="18"/>
  <c r="H231" i="18"/>
  <c r="J232" i="18" s="1"/>
  <c r="F231" i="18"/>
  <c r="M231" i="18"/>
  <c r="N231" i="18" s="1"/>
  <c r="D231" i="18"/>
  <c r="Q231" i="18"/>
  <c r="R231" i="18" s="1"/>
  <c r="K231" i="18"/>
  <c r="L231" i="18" s="1"/>
  <c r="C231" i="18"/>
  <c r="S231" i="18"/>
  <c r="E231" i="18"/>
  <c r="A462" i="18"/>
  <c r="A462" i="17"/>
  <c r="B232" i="18" l="1"/>
  <c r="E232" i="18" s="1"/>
  <c r="A463" i="18"/>
  <c r="A463" i="17"/>
  <c r="H232" i="18" l="1"/>
  <c r="J233" i="18" s="1"/>
  <c r="S232" i="18"/>
  <c r="K232" i="18"/>
  <c r="L232" i="18" s="1"/>
  <c r="I232" i="18"/>
  <c r="Q232" i="18"/>
  <c r="R232" i="18" s="1"/>
  <c r="M232" i="18"/>
  <c r="N232" i="18" s="1"/>
  <c r="F232" i="18"/>
  <c r="G232" i="18"/>
  <c r="C232" i="18"/>
  <c r="D232" i="18"/>
  <c r="O232" i="18"/>
  <c r="P232" i="18" s="1"/>
  <c r="A464" i="18"/>
  <c r="A464" i="17"/>
  <c r="B233" i="18" l="1"/>
  <c r="O233" i="18" s="1"/>
  <c r="P233" i="18" s="1"/>
  <c r="A465" i="18"/>
  <c r="A465" i="17"/>
  <c r="E233" i="18" l="1"/>
  <c r="D233" i="18"/>
  <c r="F233" i="18"/>
  <c r="M233" i="18"/>
  <c r="N233" i="18" s="1"/>
  <c r="I233" i="18"/>
  <c r="S233" i="18"/>
  <c r="H233" i="18"/>
  <c r="J234" i="18" s="1"/>
  <c r="C233" i="18"/>
  <c r="G233" i="18"/>
  <c r="K233" i="18"/>
  <c r="L233" i="18" s="1"/>
  <c r="Q233" i="18"/>
  <c r="R233" i="18" s="1"/>
  <c r="A466" i="18"/>
  <c r="A466" i="17"/>
  <c r="B234" i="18" l="1"/>
  <c r="E234" i="18" s="1"/>
  <c r="A467" i="18"/>
  <c r="A467" i="17"/>
  <c r="K234" i="18" l="1"/>
  <c r="L234" i="18" s="1"/>
  <c r="C234" i="18"/>
  <c r="D234" i="18"/>
  <c r="M234" i="18"/>
  <c r="N234" i="18" s="1"/>
  <c r="F234" i="18"/>
  <c r="Q234" i="18"/>
  <c r="R234" i="18" s="1"/>
  <c r="S234" i="18"/>
  <c r="G234" i="18"/>
  <c r="I234" i="18"/>
  <c r="H234" i="18"/>
  <c r="J235" i="18" s="1"/>
  <c r="O234" i="18"/>
  <c r="P234" i="18" s="1"/>
  <c r="A468" i="18"/>
  <c r="A468" i="17"/>
  <c r="B235" i="18" l="1"/>
  <c r="O235" i="18" s="1"/>
  <c r="P235" i="18" s="1"/>
  <c r="A469" i="18"/>
  <c r="A469" i="17"/>
  <c r="Q235" i="18" l="1"/>
  <c r="R235" i="18" s="1"/>
  <c r="E235" i="18"/>
  <c r="D235" i="18"/>
  <c r="M235" i="18"/>
  <c r="N235" i="18" s="1"/>
  <c r="K235" i="18"/>
  <c r="L235" i="18" s="1"/>
  <c r="G235" i="18"/>
  <c r="S235" i="18"/>
  <c r="H235" i="18"/>
  <c r="J236" i="18" s="1"/>
  <c r="C235" i="18"/>
  <c r="F235" i="18"/>
  <c r="I235" i="18"/>
  <c r="A470" i="18"/>
  <c r="A470" i="17"/>
  <c r="B236" i="18" l="1"/>
  <c r="D236" i="18" s="1"/>
  <c r="A471" i="18"/>
  <c r="A471" i="17"/>
  <c r="M236" i="18" l="1"/>
  <c r="N236" i="18" s="1"/>
  <c r="I236" i="18"/>
  <c r="K236" i="18"/>
  <c r="L236" i="18" s="1"/>
  <c r="O236" i="18"/>
  <c r="P236" i="18" s="1"/>
  <c r="Q236" i="18"/>
  <c r="R236" i="18" s="1"/>
  <c r="S236" i="18"/>
  <c r="C236" i="18"/>
  <c r="F236" i="18"/>
  <c r="E236" i="18"/>
  <c r="H236" i="18"/>
  <c r="J237" i="18" s="1"/>
  <c r="G236" i="18"/>
  <c r="A472" i="18"/>
  <c r="A472" i="17"/>
  <c r="B237" i="18" l="1"/>
  <c r="G237" i="18" s="1"/>
  <c r="A473" i="18"/>
  <c r="A473" i="17"/>
  <c r="S237" i="18" l="1"/>
  <c r="I237" i="18"/>
  <c r="Q237" i="18"/>
  <c r="R237" i="18" s="1"/>
  <c r="H237" i="18"/>
  <c r="J238" i="18" s="1"/>
  <c r="F237" i="18"/>
  <c r="C237" i="18"/>
  <c r="M237" i="18"/>
  <c r="N237" i="18" s="1"/>
  <c r="D237" i="18"/>
  <c r="O237" i="18"/>
  <c r="P237" i="18" s="1"/>
  <c r="E237" i="18"/>
  <c r="K237" i="18"/>
  <c r="L237" i="18" s="1"/>
  <c r="A474" i="18"/>
  <c r="A474" i="17"/>
  <c r="B238" i="18" l="1"/>
  <c r="D238" i="18" s="1"/>
  <c r="A475" i="18"/>
  <c r="A475" i="17"/>
  <c r="K238" i="18" l="1"/>
  <c r="L238" i="18" s="1"/>
  <c r="I238" i="18"/>
  <c r="Q238" i="18"/>
  <c r="R238" i="18" s="1"/>
  <c r="O238" i="18"/>
  <c r="P238" i="18" s="1"/>
  <c r="E238" i="18"/>
  <c r="H238" i="18"/>
  <c r="J239" i="18" s="1"/>
  <c r="F238" i="18"/>
  <c r="G238" i="18"/>
  <c r="M238" i="18"/>
  <c r="N238" i="18" s="1"/>
  <c r="S238" i="18"/>
  <c r="C238" i="18"/>
  <c r="A476" i="18"/>
  <c r="A476" i="17"/>
  <c r="B239" i="18" l="1"/>
  <c r="M239" i="18" s="1"/>
  <c r="N239" i="18" s="1"/>
  <c r="A477" i="18"/>
  <c r="A477" i="17"/>
  <c r="Q239" i="18" l="1"/>
  <c r="R239" i="18" s="1"/>
  <c r="O239" i="18"/>
  <c r="P239" i="18" s="1"/>
  <c r="C239" i="18"/>
  <c r="S239" i="18"/>
  <c r="H239" i="18"/>
  <c r="J240" i="18" s="1"/>
  <c r="F239" i="18"/>
  <c r="K239" i="18"/>
  <c r="L239" i="18" s="1"/>
  <c r="I239" i="18"/>
  <c r="E239" i="18"/>
  <c r="D239" i="18"/>
  <c r="G239" i="18"/>
  <c r="A478" i="18"/>
  <c r="A478" i="17"/>
  <c r="B240" i="18" l="1"/>
  <c r="D240" i="18" s="1"/>
  <c r="A479" i="18"/>
  <c r="A479" i="17"/>
  <c r="G240" i="18" l="1"/>
  <c r="K240" i="18"/>
  <c r="L240" i="18" s="1"/>
  <c r="M240" i="18"/>
  <c r="N240" i="18" s="1"/>
  <c r="Q240" i="18"/>
  <c r="R240" i="18" s="1"/>
  <c r="E240" i="18"/>
  <c r="F240" i="18"/>
  <c r="I240" i="18"/>
  <c r="S240" i="18"/>
  <c r="O240" i="18"/>
  <c r="P240" i="18" s="1"/>
  <c r="C240" i="18"/>
  <c r="H240" i="18"/>
  <c r="J241" i="18" s="1"/>
  <c r="A480" i="18"/>
  <c r="A480" i="17"/>
  <c r="B241" i="18" l="1"/>
  <c r="I241" i="18" s="1"/>
  <c r="A481" i="18"/>
  <c r="A481" i="17"/>
  <c r="O241" i="18" l="1"/>
  <c r="P241" i="18" s="1"/>
  <c r="E241" i="18"/>
  <c r="K241" i="18"/>
  <c r="L241" i="18" s="1"/>
  <c r="H241" i="18"/>
  <c r="J242" i="18" s="1"/>
  <c r="D241" i="18"/>
  <c r="F241" i="18"/>
  <c r="M241" i="18"/>
  <c r="N241" i="18" s="1"/>
  <c r="G241" i="18"/>
  <c r="S241" i="18"/>
  <c r="C241" i="18"/>
  <c r="Q241" i="18"/>
  <c r="R241" i="18" s="1"/>
  <c r="A482" i="18"/>
  <c r="A482" i="17"/>
  <c r="B242" i="18" l="1"/>
  <c r="D242" i="18" s="1"/>
  <c r="A483" i="18"/>
  <c r="A483" i="17"/>
  <c r="F242" i="18" l="1"/>
  <c r="G242" i="18"/>
  <c r="C242" i="18"/>
  <c r="S242" i="18"/>
  <c r="H242" i="18"/>
  <c r="J243" i="18" s="1"/>
  <c r="I242" i="18"/>
  <c r="Q242" i="18"/>
  <c r="R242" i="18" s="1"/>
  <c r="M242" i="18"/>
  <c r="N242" i="18" s="1"/>
  <c r="O242" i="18"/>
  <c r="P242" i="18" s="1"/>
  <c r="K242" i="18"/>
  <c r="L242" i="18" s="1"/>
  <c r="E242" i="18"/>
  <c r="A484" i="18"/>
  <c r="A484" i="17"/>
  <c r="B243" i="18" l="1"/>
  <c r="D243" i="18" s="1"/>
  <c r="A485" i="18"/>
  <c r="A485" i="17"/>
  <c r="S243" i="18" l="1"/>
  <c r="C243" i="18"/>
  <c r="E243" i="18"/>
  <c r="G243" i="18"/>
  <c r="F243" i="18"/>
  <c r="I243" i="18"/>
  <c r="K243" i="18"/>
  <c r="L243" i="18" s="1"/>
  <c r="O243" i="18"/>
  <c r="P243" i="18" s="1"/>
  <c r="M243" i="18"/>
  <c r="N243" i="18" s="1"/>
  <c r="Q243" i="18"/>
  <c r="R243" i="18" s="1"/>
  <c r="H243" i="18"/>
  <c r="J244" i="18" s="1"/>
  <c r="A486" i="18"/>
  <c r="A486" i="17"/>
  <c r="B244" i="18" l="1"/>
  <c r="O244" i="18" s="1"/>
  <c r="P244" i="18" s="1"/>
  <c r="A487" i="18"/>
  <c r="A487" i="17"/>
  <c r="D244" i="18" l="1"/>
  <c r="G244" i="18"/>
  <c r="H244" i="18"/>
  <c r="J245" i="18" s="1"/>
  <c r="Q244" i="18"/>
  <c r="R244" i="18" s="1"/>
  <c r="B245" i="18" s="1"/>
  <c r="F244" i="18"/>
  <c r="K244" i="18"/>
  <c r="L244" i="18" s="1"/>
  <c r="I244" i="18"/>
  <c r="S244" i="18"/>
  <c r="E244" i="18"/>
  <c r="C244" i="18"/>
  <c r="M244" i="18"/>
  <c r="N244" i="18" s="1"/>
  <c r="A488" i="18"/>
  <c r="A488" i="17"/>
  <c r="D245" i="18" l="1"/>
  <c r="F245" i="18"/>
  <c r="E245" i="18"/>
  <c r="K245" i="18"/>
  <c r="L245" i="18" s="1"/>
  <c r="G245" i="18"/>
  <c r="Q245" i="18"/>
  <c r="R245" i="18" s="1"/>
  <c r="M245" i="18"/>
  <c r="N245" i="18" s="1"/>
  <c r="H245" i="18"/>
  <c r="J246" i="18" s="1"/>
  <c r="I245" i="18"/>
  <c r="O245" i="18"/>
  <c r="P245" i="18" s="1"/>
  <c r="S245" i="18"/>
  <c r="C245" i="18"/>
  <c r="A489" i="18"/>
  <c r="A489" i="17"/>
  <c r="B246" i="18" l="1"/>
  <c r="A490" i="18"/>
  <c r="A490" i="17"/>
  <c r="D246" i="18" l="1"/>
  <c r="C246" i="18"/>
  <c r="F246" i="18"/>
  <c r="E246" i="18"/>
  <c r="O246" i="18"/>
  <c r="P246" i="18" s="1"/>
  <c r="K246" i="18"/>
  <c r="L246" i="18" s="1"/>
  <c r="H246" i="18"/>
  <c r="J247" i="18" s="1"/>
  <c r="Q246" i="18"/>
  <c r="R246" i="18" s="1"/>
  <c r="S246" i="18"/>
  <c r="G246" i="18"/>
  <c r="I246" i="18"/>
  <c r="M246" i="18"/>
  <c r="N246" i="18" s="1"/>
  <c r="A491" i="18"/>
  <c r="A491" i="17"/>
  <c r="B247" i="18" l="1"/>
  <c r="D247" i="18" s="1"/>
  <c r="A492" i="18"/>
  <c r="A492" i="17"/>
  <c r="M247" i="18" l="1"/>
  <c r="N247" i="18" s="1"/>
  <c r="C247" i="18"/>
  <c r="K247" i="18"/>
  <c r="L247" i="18" s="1"/>
  <c r="F247" i="18"/>
  <c r="Q247" i="18"/>
  <c r="R247" i="18" s="1"/>
  <c r="H247" i="18"/>
  <c r="J248" i="18" s="1"/>
  <c r="O247" i="18"/>
  <c r="P247" i="18" s="1"/>
  <c r="G247" i="18"/>
  <c r="E247" i="18"/>
  <c r="S247" i="18"/>
  <c r="I247" i="18"/>
  <c r="A493" i="18"/>
  <c r="A493" i="17"/>
  <c r="B248" i="18" l="1"/>
  <c r="A494" i="18"/>
  <c r="A494" i="17"/>
  <c r="S248" i="18" l="1"/>
  <c r="C248" i="18"/>
  <c r="Q248" i="18"/>
  <c r="R248" i="18" s="1"/>
  <c r="O248" i="18"/>
  <c r="P248" i="18" s="1"/>
  <c r="M248" i="18"/>
  <c r="N248" i="18" s="1"/>
  <c r="H248" i="18"/>
  <c r="J249" i="18" s="1"/>
  <c r="E248" i="18"/>
  <c r="I248" i="18"/>
  <c r="F248" i="18"/>
  <c r="G248" i="18"/>
  <c r="K248" i="18"/>
  <c r="L248" i="18" s="1"/>
  <c r="D248" i="18"/>
  <c r="A495" i="18"/>
  <c r="A495" i="17"/>
  <c r="B249" i="18" l="1"/>
  <c r="D249" i="18" s="1"/>
  <c r="A496" i="18"/>
  <c r="A496" i="17"/>
  <c r="S249" i="18" l="1"/>
  <c r="Q249" i="18"/>
  <c r="R249" i="18" s="1"/>
  <c r="E249" i="18"/>
  <c r="K249" i="18"/>
  <c r="L249" i="18" s="1"/>
  <c r="C249" i="18"/>
  <c r="F249" i="18"/>
  <c r="O249" i="18"/>
  <c r="P249" i="18" s="1"/>
  <c r="I249" i="18"/>
  <c r="H249" i="18"/>
  <c r="J250" i="18" s="1"/>
  <c r="G249" i="18"/>
  <c r="M249" i="18"/>
  <c r="N249" i="18" s="1"/>
  <c r="A497" i="18"/>
  <c r="A497" i="17"/>
  <c r="B250" i="18" l="1"/>
  <c r="D250" i="18" s="1"/>
  <c r="A498" i="18"/>
  <c r="A498" i="17"/>
  <c r="C250" i="18" l="1"/>
  <c r="E250" i="18"/>
  <c r="S250" i="18"/>
  <c r="F250" i="18"/>
  <c r="K250" i="18"/>
  <c r="L250" i="18" s="1"/>
  <c r="O250" i="18"/>
  <c r="P250" i="18" s="1"/>
  <c r="Q250" i="18"/>
  <c r="R250" i="18" s="1"/>
  <c r="G250" i="18"/>
  <c r="H250" i="18"/>
  <c r="J251" i="18" s="1"/>
  <c r="M250" i="18"/>
  <c r="N250" i="18" s="1"/>
  <c r="I250" i="18"/>
  <c r="A499" i="18"/>
  <c r="A499" i="17"/>
  <c r="B251" i="18" l="1"/>
  <c r="G251" i="18" s="1"/>
  <c r="A500" i="18"/>
  <c r="A500" i="17"/>
  <c r="F251" i="18" l="1"/>
  <c r="E251" i="18"/>
  <c r="Q251" i="18"/>
  <c r="R251" i="18" s="1"/>
  <c r="O251" i="18"/>
  <c r="P251" i="18" s="1"/>
  <c r="D251" i="18"/>
  <c r="I251" i="18"/>
  <c r="K251" i="18"/>
  <c r="L251" i="18" s="1"/>
  <c r="C251" i="18"/>
  <c r="S251" i="18"/>
  <c r="H251" i="18"/>
  <c r="J252" i="18" s="1"/>
  <c r="M251" i="18"/>
  <c r="N251" i="18" s="1"/>
  <c r="A501" i="18"/>
  <c r="A501" i="17"/>
  <c r="B252" i="18" l="1"/>
  <c r="O252" i="18" s="1"/>
  <c r="P252" i="18" s="1"/>
  <c r="A502" i="18"/>
  <c r="A502" i="17"/>
  <c r="K252" i="18" l="1"/>
  <c r="L252" i="18" s="1"/>
  <c r="D252" i="18"/>
  <c r="E252" i="18"/>
  <c r="S252" i="18"/>
  <c r="F252" i="18"/>
  <c r="M252" i="18"/>
  <c r="N252" i="18" s="1"/>
  <c r="Q252" i="18"/>
  <c r="R252" i="18" s="1"/>
  <c r="C252" i="18"/>
  <c r="G252" i="18"/>
  <c r="H252" i="18"/>
  <c r="J253" i="18" s="1"/>
  <c r="I252" i="18"/>
  <c r="A503" i="18"/>
  <c r="A503" i="17"/>
  <c r="B253" i="18" l="1"/>
  <c r="S253" i="18" s="1"/>
  <c r="A504" i="18"/>
  <c r="A504" i="17"/>
  <c r="D253" i="18" l="1"/>
  <c r="C253" i="18"/>
  <c r="E253" i="18"/>
  <c r="F253" i="18"/>
  <c r="I253" i="18"/>
  <c r="M253" i="18"/>
  <c r="N253" i="18" s="1"/>
  <c r="H253" i="18"/>
  <c r="J254" i="18" s="1"/>
  <c r="K253" i="18"/>
  <c r="L253" i="18" s="1"/>
  <c r="Q253" i="18"/>
  <c r="R253" i="18" s="1"/>
  <c r="G253" i="18"/>
  <c r="O253" i="18"/>
  <c r="P253" i="18" s="1"/>
  <c r="A505" i="18"/>
  <c r="A505" i="17"/>
  <c r="B254" i="18" l="1"/>
  <c r="A506" i="18"/>
  <c r="A506" i="17"/>
  <c r="E254" i="18" l="1"/>
  <c r="I254" i="18"/>
  <c r="O254" i="18"/>
  <c r="P254" i="18" s="1"/>
  <c r="D254" i="18"/>
  <c r="C254" i="18"/>
  <c r="K254" i="18"/>
  <c r="L254" i="18" s="1"/>
  <c r="G254" i="18"/>
  <c r="F254" i="18"/>
  <c r="Q254" i="18"/>
  <c r="R254" i="18" s="1"/>
  <c r="S254" i="18"/>
  <c r="H254" i="18"/>
  <c r="J255" i="18" s="1"/>
  <c r="M254" i="18"/>
  <c r="N254" i="18" s="1"/>
  <c r="A507" i="18"/>
  <c r="A507" i="17"/>
  <c r="B255" i="18" l="1"/>
  <c r="A508" i="18"/>
  <c r="A508" i="17"/>
  <c r="Q255" i="18" l="1"/>
  <c r="R255" i="18" s="1"/>
  <c r="E255" i="18"/>
  <c r="K255" i="18"/>
  <c r="L255" i="18" s="1"/>
  <c r="I255" i="18"/>
  <c r="H255" i="18"/>
  <c r="J256" i="18" s="1"/>
  <c r="F255" i="18"/>
  <c r="S255" i="18"/>
  <c r="G255" i="18"/>
  <c r="M255" i="18"/>
  <c r="N255" i="18" s="1"/>
  <c r="C255" i="18"/>
  <c r="O255" i="18"/>
  <c r="P255" i="18" s="1"/>
  <c r="D255" i="18"/>
  <c r="A509" i="18"/>
  <c r="A509" i="17"/>
  <c r="B256" i="18" l="1"/>
  <c r="A510" i="18"/>
  <c r="A510" i="17"/>
  <c r="I256" i="18" l="1"/>
  <c r="M256" i="18"/>
  <c r="N256" i="18" s="1"/>
  <c r="H256" i="18"/>
  <c r="J257" i="18" s="1"/>
  <c r="F256" i="18"/>
  <c r="O256" i="18"/>
  <c r="P256" i="18" s="1"/>
  <c r="G256" i="18"/>
  <c r="C256" i="18"/>
  <c r="K256" i="18"/>
  <c r="L256" i="18" s="1"/>
  <c r="Q256" i="18"/>
  <c r="R256" i="18" s="1"/>
  <c r="E256" i="18"/>
  <c r="S256" i="18"/>
  <c r="D256" i="18"/>
  <c r="A511" i="18"/>
  <c r="A511" i="17"/>
  <c r="B257" i="18" l="1"/>
  <c r="A512" i="18"/>
  <c r="A512" i="17"/>
  <c r="Q257" i="18" l="1"/>
  <c r="R257" i="18" s="1"/>
  <c r="M257" i="18"/>
  <c r="N257" i="18" s="1"/>
  <c r="K257" i="18"/>
  <c r="L257" i="18" s="1"/>
  <c r="F257" i="18"/>
  <c r="S257" i="18"/>
  <c r="I257" i="18"/>
  <c r="G257" i="18"/>
  <c r="C257" i="18"/>
  <c r="O257" i="18"/>
  <c r="P257" i="18" s="1"/>
  <c r="H257" i="18"/>
  <c r="J258" i="18" s="1"/>
  <c r="E257" i="18"/>
  <c r="D257" i="18"/>
  <c r="A513" i="18"/>
  <c r="A513" i="17"/>
  <c r="B258" i="18" l="1"/>
  <c r="A514" i="18"/>
  <c r="A514" i="17"/>
  <c r="D258" i="18" l="1"/>
  <c r="S258" i="18"/>
  <c r="O258" i="18"/>
  <c r="P258" i="18" s="1"/>
  <c r="H258" i="18"/>
  <c r="J259" i="18" s="1"/>
  <c r="G258" i="18"/>
  <c r="M258" i="18"/>
  <c r="N258" i="18" s="1"/>
  <c r="K258" i="18"/>
  <c r="L258" i="18" s="1"/>
  <c r="F258" i="18"/>
  <c r="C258" i="18"/>
  <c r="Q258" i="18"/>
  <c r="R258" i="18" s="1"/>
  <c r="I258" i="18"/>
  <c r="E258" i="18"/>
  <c r="A515" i="18"/>
  <c r="A515" i="17"/>
  <c r="B259" i="18" l="1"/>
  <c r="D259" i="18" s="1"/>
  <c r="A516" i="18"/>
  <c r="A516" i="17"/>
  <c r="Q259" i="18" l="1"/>
  <c r="R259" i="18" s="1"/>
  <c r="M259" i="18"/>
  <c r="N259" i="18" s="1"/>
  <c r="C259" i="18"/>
  <c r="K259" i="18"/>
  <c r="L259" i="18" s="1"/>
  <c r="G259" i="18"/>
  <c r="S259" i="18"/>
  <c r="H259" i="18"/>
  <c r="J260" i="18" s="1"/>
  <c r="I259" i="18"/>
  <c r="E259" i="18"/>
  <c r="F259" i="18"/>
  <c r="O259" i="18"/>
  <c r="P259" i="18" s="1"/>
  <c r="A517" i="18"/>
  <c r="A517" i="17"/>
  <c r="B260" i="18" l="1"/>
  <c r="D260" i="18" s="1"/>
  <c r="A518" i="18"/>
  <c r="A518" i="17"/>
  <c r="Q260" i="18" l="1"/>
  <c r="R260" i="18" s="1"/>
  <c r="C260" i="18"/>
  <c r="M260" i="18"/>
  <c r="N260" i="18" s="1"/>
  <c r="O260" i="18"/>
  <c r="P260" i="18" s="1"/>
  <c r="E260" i="18"/>
  <c r="G260" i="18"/>
  <c r="S260" i="18"/>
  <c r="F260" i="18"/>
  <c r="I260" i="18"/>
  <c r="K260" i="18"/>
  <c r="L260" i="18" s="1"/>
  <c r="H260" i="18"/>
  <c r="J261" i="18" s="1"/>
  <c r="A519" i="18"/>
  <c r="A519" i="17"/>
  <c r="B261" i="18" l="1"/>
  <c r="A520" i="18"/>
  <c r="A520" i="17"/>
  <c r="G261" i="18" l="1"/>
  <c r="Q261" i="18"/>
  <c r="R261" i="18" s="1"/>
  <c r="H261" i="18"/>
  <c r="J262" i="18" s="1"/>
  <c r="I261" i="18"/>
  <c r="C261" i="18"/>
  <c r="M261" i="18"/>
  <c r="N261" i="18" s="1"/>
  <c r="K261" i="18"/>
  <c r="L261" i="18" s="1"/>
  <c r="S261" i="18"/>
  <c r="E261" i="18"/>
  <c r="F261" i="18"/>
  <c r="O261" i="18"/>
  <c r="P261" i="18" s="1"/>
  <c r="D261" i="18"/>
  <c r="A521" i="18"/>
  <c r="A521" i="17"/>
  <c r="B262" i="18" l="1"/>
  <c r="C262" i="18" s="1"/>
  <c r="A522" i="18"/>
  <c r="A522" i="17"/>
  <c r="F262" i="18" l="1"/>
  <c r="K262" i="18"/>
  <c r="L262" i="18" s="1"/>
  <c r="M262" i="18"/>
  <c r="N262" i="18" s="1"/>
  <c r="I262" i="18"/>
  <c r="O262" i="18"/>
  <c r="P262" i="18" s="1"/>
  <c r="G262" i="18"/>
  <c r="Q262" i="18"/>
  <c r="R262" i="18" s="1"/>
  <c r="D262" i="18"/>
  <c r="S262" i="18"/>
  <c r="E262" i="18"/>
  <c r="H262" i="18"/>
  <c r="J263" i="18" s="1"/>
  <c r="A523" i="18"/>
  <c r="A523" i="17"/>
  <c r="B263" i="18" l="1"/>
  <c r="I263" i="18" s="1"/>
  <c r="A524" i="18"/>
  <c r="A524" i="17"/>
  <c r="Q263" i="18" l="1"/>
  <c r="R263" i="18" s="1"/>
  <c r="K263" i="18"/>
  <c r="L263" i="18" s="1"/>
  <c r="S263" i="18"/>
  <c r="O263" i="18"/>
  <c r="P263" i="18" s="1"/>
  <c r="G263" i="18"/>
  <c r="E263" i="18"/>
  <c r="H263" i="18"/>
  <c r="J264" i="18" s="1"/>
  <c r="M263" i="18"/>
  <c r="N263" i="18" s="1"/>
  <c r="D263" i="18"/>
  <c r="F263" i="18"/>
  <c r="C263" i="18"/>
  <c r="A525" i="18"/>
  <c r="A525" i="17"/>
  <c r="B264" i="18" l="1"/>
  <c r="D264" i="18" s="1"/>
  <c r="A526" i="18"/>
  <c r="A526" i="17"/>
  <c r="K264" i="18" l="1"/>
  <c r="L264" i="18" s="1"/>
  <c r="C264" i="18"/>
  <c r="O264" i="18"/>
  <c r="P264" i="18" s="1"/>
  <c r="G264" i="18"/>
  <c r="M264" i="18"/>
  <c r="N264" i="18" s="1"/>
  <c r="F264" i="18"/>
  <c r="I264" i="18"/>
  <c r="S264" i="18"/>
  <c r="Q264" i="18"/>
  <c r="R264" i="18" s="1"/>
  <c r="H264" i="18"/>
  <c r="J265" i="18" s="1"/>
  <c r="E264" i="18"/>
  <c r="A527" i="18"/>
  <c r="A527" i="17"/>
  <c r="B265" i="18" l="1"/>
  <c r="G265" i="18" s="1"/>
  <c r="A528" i="18"/>
  <c r="A528" i="17"/>
  <c r="D265" i="18" l="1"/>
  <c r="S265" i="18"/>
  <c r="I265" i="18"/>
  <c r="E265" i="18"/>
  <c r="F265" i="18"/>
  <c r="Q265" i="18"/>
  <c r="R265" i="18" s="1"/>
  <c r="C265" i="18"/>
  <c r="K265" i="18"/>
  <c r="L265" i="18" s="1"/>
  <c r="M265" i="18"/>
  <c r="N265" i="18" s="1"/>
  <c r="H265" i="18"/>
  <c r="J266" i="18" s="1"/>
  <c r="O265" i="18"/>
  <c r="P265" i="18" s="1"/>
  <c r="A529" i="18"/>
  <c r="A529" i="17"/>
  <c r="B266" i="18" l="1"/>
  <c r="D266" i="18" s="1"/>
  <c r="A530" i="18"/>
  <c r="A530" i="17"/>
  <c r="S266" i="18" l="1"/>
  <c r="G266" i="18"/>
  <c r="Q266" i="18"/>
  <c r="R266" i="18" s="1"/>
  <c r="O266" i="18"/>
  <c r="P266" i="18" s="1"/>
  <c r="K266" i="18"/>
  <c r="L266" i="18" s="1"/>
  <c r="C266" i="18"/>
  <c r="I266" i="18"/>
  <c r="H266" i="18"/>
  <c r="J267" i="18" s="1"/>
  <c r="F266" i="18"/>
  <c r="M266" i="18"/>
  <c r="N266" i="18" s="1"/>
  <c r="E266" i="18"/>
  <c r="A531" i="18"/>
  <c r="A531" i="17"/>
  <c r="B267" i="18" l="1"/>
  <c r="D267" i="18" s="1"/>
  <c r="A532" i="18"/>
  <c r="A532" i="17"/>
  <c r="S267" i="18" l="1"/>
  <c r="Q267" i="18"/>
  <c r="R267" i="18" s="1"/>
  <c r="E267" i="18"/>
  <c r="O267" i="18"/>
  <c r="P267" i="18" s="1"/>
  <c r="I267" i="18"/>
  <c r="K267" i="18"/>
  <c r="L267" i="18" s="1"/>
  <c r="H267" i="18"/>
  <c r="J268" i="18" s="1"/>
  <c r="C267" i="18"/>
  <c r="F267" i="18"/>
  <c r="M267" i="18"/>
  <c r="N267" i="18" s="1"/>
  <c r="G267" i="18"/>
  <c r="A533" i="18"/>
  <c r="A533" i="17"/>
  <c r="B268" i="18" l="1"/>
  <c r="D268" i="18" s="1"/>
  <c r="A534" i="18"/>
  <c r="A534" i="17"/>
  <c r="M268" i="18" l="1"/>
  <c r="N268" i="18" s="1"/>
  <c r="S268" i="18"/>
  <c r="C268" i="18"/>
  <c r="I268" i="18"/>
  <c r="F268" i="18"/>
  <c r="H268" i="18"/>
  <c r="J269" i="18" s="1"/>
  <c r="Q268" i="18"/>
  <c r="R268" i="18" s="1"/>
  <c r="K268" i="18"/>
  <c r="L268" i="18" s="1"/>
  <c r="E268" i="18"/>
  <c r="O268" i="18"/>
  <c r="P268" i="18" s="1"/>
  <c r="G268" i="18"/>
  <c r="A535" i="18"/>
  <c r="A535" i="17"/>
  <c r="B269" i="18" l="1"/>
  <c r="D269" i="18" s="1"/>
  <c r="A536" i="18"/>
  <c r="A536" i="17"/>
  <c r="I269" i="18" l="1"/>
  <c r="E269" i="18"/>
  <c r="F269" i="18"/>
  <c r="S269" i="18"/>
  <c r="O269" i="18"/>
  <c r="P269" i="18" s="1"/>
  <c r="H269" i="18"/>
  <c r="J270" i="18" s="1"/>
  <c r="G269" i="18"/>
  <c r="C269" i="18"/>
  <c r="Q269" i="18"/>
  <c r="R269" i="18" s="1"/>
  <c r="K269" i="18"/>
  <c r="L269" i="18" s="1"/>
  <c r="M269" i="18"/>
  <c r="N269" i="18" s="1"/>
  <c r="A537" i="18"/>
  <c r="A537" i="17"/>
  <c r="B270" i="18" l="1"/>
  <c r="E270" i="18" s="1"/>
  <c r="A538" i="18"/>
  <c r="A538" i="17"/>
  <c r="F270" i="18" l="1"/>
  <c r="I270" i="18"/>
  <c r="Q270" i="18"/>
  <c r="R270" i="18" s="1"/>
  <c r="S270" i="18"/>
  <c r="H270" i="18"/>
  <c r="J271" i="18" s="1"/>
  <c r="M270" i="18"/>
  <c r="N270" i="18" s="1"/>
  <c r="K270" i="18"/>
  <c r="L270" i="18" s="1"/>
  <c r="G270" i="18"/>
  <c r="O270" i="18"/>
  <c r="P270" i="18" s="1"/>
  <c r="C270" i="18"/>
  <c r="D270" i="18"/>
  <c r="A539" i="18"/>
  <c r="A539" i="17"/>
  <c r="B271" i="18" l="1"/>
  <c r="H271" i="18" s="1"/>
  <c r="J272" i="18" s="1"/>
  <c r="A540" i="18"/>
  <c r="A540" i="17"/>
  <c r="O271" i="18" l="1"/>
  <c r="P271" i="18" s="1"/>
  <c r="M271" i="18"/>
  <c r="N271" i="18" s="1"/>
  <c r="Q271" i="18"/>
  <c r="R271" i="18" s="1"/>
  <c r="G271" i="18"/>
  <c r="F271" i="18"/>
  <c r="D271" i="18"/>
  <c r="I271" i="18"/>
  <c r="K271" i="18"/>
  <c r="L271" i="18" s="1"/>
  <c r="E271" i="18"/>
  <c r="C271" i="18"/>
  <c r="S271" i="18"/>
  <c r="A541" i="18"/>
  <c r="A541" i="17"/>
  <c r="B272" i="18" l="1"/>
  <c r="C272" i="18" s="1"/>
  <c r="A542" i="18"/>
  <c r="A542" i="17"/>
  <c r="I272" i="18" l="1"/>
  <c r="E272" i="18"/>
  <c r="F272" i="18"/>
  <c r="M272" i="18"/>
  <c r="N272" i="18" s="1"/>
  <c r="O272" i="18"/>
  <c r="P272" i="18" s="1"/>
  <c r="H272" i="18"/>
  <c r="J273" i="18" s="1"/>
  <c r="S272" i="18"/>
  <c r="Q272" i="18"/>
  <c r="R272" i="18" s="1"/>
  <c r="G272" i="18"/>
  <c r="K272" i="18"/>
  <c r="L272" i="18" s="1"/>
  <c r="D272" i="18"/>
  <c r="A543" i="18"/>
  <c r="A543" i="17"/>
  <c r="B273" i="18" l="1"/>
  <c r="M273" i="18" s="1"/>
  <c r="N273" i="18" s="1"/>
  <c r="A544" i="18"/>
  <c r="A544" i="17"/>
  <c r="H273" i="18" l="1"/>
  <c r="J274" i="18" s="1"/>
  <c r="G273" i="18"/>
  <c r="Q273" i="18"/>
  <c r="R273" i="18" s="1"/>
  <c r="C273" i="18"/>
  <c r="F273" i="18"/>
  <c r="K273" i="18"/>
  <c r="L273" i="18" s="1"/>
  <c r="E273" i="18"/>
  <c r="O273" i="18"/>
  <c r="P273" i="18" s="1"/>
  <c r="D273" i="18"/>
  <c r="S273" i="18"/>
  <c r="I273" i="18"/>
  <c r="A545" i="18"/>
  <c r="A545" i="17"/>
  <c r="B274" i="18" l="1"/>
  <c r="E274" i="18" s="1"/>
  <c r="A546" i="18"/>
  <c r="A546" i="17"/>
  <c r="D274" i="18" l="1"/>
  <c r="K274" i="18"/>
  <c r="L274" i="18" s="1"/>
  <c r="H274" i="18"/>
  <c r="J275" i="18" s="1"/>
  <c r="G274" i="18"/>
  <c r="O274" i="18"/>
  <c r="P274" i="18" s="1"/>
  <c r="S274" i="18"/>
  <c r="C274" i="18"/>
  <c r="Q274" i="18"/>
  <c r="R274" i="18" s="1"/>
  <c r="M274" i="18"/>
  <c r="N274" i="18" s="1"/>
  <c r="I274" i="18"/>
  <c r="F274" i="18"/>
  <c r="A547" i="18"/>
  <c r="A547" i="17"/>
  <c r="B275" i="18" l="1"/>
  <c r="Q275" i="18" s="1"/>
  <c r="R275" i="18" s="1"/>
  <c r="A548" i="18"/>
  <c r="A548" i="17"/>
  <c r="S275" i="18" l="1"/>
  <c r="F275" i="18"/>
  <c r="H275" i="18"/>
  <c r="J276" i="18" s="1"/>
  <c r="G275" i="18"/>
  <c r="I275" i="18"/>
  <c r="D275" i="18"/>
  <c r="O275" i="18"/>
  <c r="P275" i="18" s="1"/>
  <c r="B276" i="18" s="1"/>
  <c r="O276" i="18" s="1"/>
  <c r="P276" i="18" s="1"/>
  <c r="C275" i="18"/>
  <c r="M275" i="18"/>
  <c r="N275" i="18" s="1"/>
  <c r="E275" i="18"/>
  <c r="K275" i="18"/>
  <c r="L275" i="18" s="1"/>
  <c r="A549" i="18"/>
  <c r="A549" i="17"/>
  <c r="C276" i="18" l="1"/>
  <c r="I276" i="18"/>
  <c r="Q276" i="18"/>
  <c r="R276" i="18" s="1"/>
  <c r="B277" i="18" s="1"/>
  <c r="H276" i="18"/>
  <c r="J277" i="18" s="1"/>
  <c r="F276" i="18"/>
  <c r="D276" i="18"/>
  <c r="E276" i="18"/>
  <c r="S276" i="18"/>
  <c r="M276" i="18"/>
  <c r="N276" i="18" s="1"/>
  <c r="G276" i="18"/>
  <c r="K276" i="18"/>
  <c r="L276" i="18" s="1"/>
  <c r="A550" i="18"/>
  <c r="A550" i="17"/>
  <c r="O277" i="18" l="1"/>
  <c r="P277" i="18" s="1"/>
  <c r="Q277" i="18"/>
  <c r="R277" i="18" s="1"/>
  <c r="I277" i="18"/>
  <c r="C277" i="18"/>
  <c r="E277" i="18"/>
  <c r="D277" i="18"/>
  <c r="H277" i="18"/>
  <c r="J278" i="18" s="1"/>
  <c r="F277" i="18"/>
  <c r="M277" i="18"/>
  <c r="N277" i="18" s="1"/>
  <c r="S277" i="18"/>
  <c r="G277" i="18"/>
  <c r="K277" i="18"/>
  <c r="L277" i="18" s="1"/>
  <c r="A551" i="18"/>
  <c r="A551" i="17"/>
  <c r="B278" i="18" l="1"/>
  <c r="D278" i="18" s="1"/>
  <c r="A552" i="18"/>
  <c r="A552" i="17"/>
  <c r="O278" i="18" l="1"/>
  <c r="P278" i="18" s="1"/>
  <c r="C278" i="18"/>
  <c r="Q278" i="18"/>
  <c r="R278" i="18" s="1"/>
  <c r="F278" i="18"/>
  <c r="S278" i="18"/>
  <c r="I278" i="18"/>
  <c r="K278" i="18"/>
  <c r="L278" i="18" s="1"/>
  <c r="E278" i="18"/>
  <c r="M278" i="18"/>
  <c r="N278" i="18" s="1"/>
  <c r="H278" i="18"/>
  <c r="J279" i="18" s="1"/>
  <c r="G278" i="18"/>
  <c r="A553" i="18"/>
  <c r="A553" i="17"/>
  <c r="B279" i="18" l="1"/>
  <c r="G279" i="18" s="1"/>
  <c r="A554" i="18"/>
  <c r="A554" i="17"/>
  <c r="H279" i="18" l="1"/>
  <c r="J280" i="18" s="1"/>
  <c r="D279" i="18"/>
  <c r="C279" i="18"/>
  <c r="F279" i="18"/>
  <c r="Q279" i="18"/>
  <c r="R279" i="18" s="1"/>
  <c r="E279" i="18"/>
  <c r="S279" i="18"/>
  <c r="K279" i="18"/>
  <c r="L279" i="18" s="1"/>
  <c r="M279" i="18"/>
  <c r="N279" i="18" s="1"/>
  <c r="I279" i="18"/>
  <c r="O279" i="18"/>
  <c r="P279" i="18" s="1"/>
  <c r="A555" i="18"/>
  <c r="A555" i="17"/>
  <c r="B280" i="18" l="1"/>
  <c r="O280" i="18" s="1"/>
  <c r="P280" i="18" s="1"/>
  <c r="A556" i="18"/>
  <c r="A556" i="17"/>
  <c r="I280" i="18" l="1"/>
  <c r="D280" i="18"/>
  <c r="E280" i="18"/>
  <c r="C280" i="18"/>
  <c r="H280" i="18"/>
  <c r="J281" i="18" s="1"/>
  <c r="Q280" i="18"/>
  <c r="R280" i="18" s="1"/>
  <c r="B281" i="18" s="1"/>
  <c r="S280" i="18"/>
  <c r="K280" i="18"/>
  <c r="L280" i="18" s="1"/>
  <c r="M280" i="18"/>
  <c r="N280" i="18" s="1"/>
  <c r="F280" i="18"/>
  <c r="G280" i="18"/>
  <c r="A557" i="18"/>
  <c r="A557" i="17"/>
  <c r="D281" i="18" l="1"/>
  <c r="O281" i="18"/>
  <c r="P281" i="18" s="1"/>
  <c r="G281" i="18"/>
  <c r="E281" i="18"/>
  <c r="Q281" i="18"/>
  <c r="R281" i="18" s="1"/>
  <c r="C281" i="18"/>
  <c r="H281" i="18"/>
  <c r="J282" i="18" s="1"/>
  <c r="M281" i="18"/>
  <c r="N281" i="18" s="1"/>
  <c r="F281" i="18"/>
  <c r="I281" i="18"/>
  <c r="K281" i="18"/>
  <c r="L281" i="18" s="1"/>
  <c r="S281" i="18"/>
  <c r="A558" i="18"/>
  <c r="A558" i="17"/>
  <c r="B282" i="18" l="1"/>
  <c r="A559" i="18"/>
  <c r="A559" i="17"/>
  <c r="D282" i="18" l="1"/>
  <c r="H282" i="18"/>
  <c r="J283" i="18" s="1"/>
  <c r="M282" i="18"/>
  <c r="N282" i="18" s="1"/>
  <c r="Q282" i="18"/>
  <c r="R282" i="18" s="1"/>
  <c r="S282" i="18"/>
  <c r="O282" i="18"/>
  <c r="P282" i="18" s="1"/>
  <c r="C282" i="18"/>
  <c r="K282" i="18"/>
  <c r="L282" i="18" s="1"/>
  <c r="G282" i="18"/>
  <c r="I282" i="18"/>
  <c r="E282" i="18"/>
  <c r="F282" i="18"/>
  <c r="A560" i="18"/>
  <c r="A560" i="17"/>
  <c r="B283" i="18" l="1"/>
  <c r="D283" i="18" s="1"/>
  <c r="A561" i="18"/>
  <c r="A561" i="17"/>
  <c r="M283" i="18" l="1"/>
  <c r="N283" i="18" s="1"/>
  <c r="Q283" i="18"/>
  <c r="R283" i="18" s="1"/>
  <c r="C283" i="18"/>
  <c r="K283" i="18"/>
  <c r="L283" i="18" s="1"/>
  <c r="F283" i="18"/>
  <c r="H283" i="18"/>
  <c r="J284" i="18" s="1"/>
  <c r="G283" i="18"/>
  <c r="I283" i="18"/>
  <c r="O283" i="18"/>
  <c r="P283" i="18" s="1"/>
  <c r="E283" i="18"/>
  <c r="S283" i="18"/>
  <c r="A562" i="18"/>
  <c r="A562" i="17"/>
  <c r="B284" i="18" l="1"/>
  <c r="A563" i="18"/>
  <c r="A563" i="17"/>
  <c r="H284" i="18" l="1"/>
  <c r="J285" i="18" s="1"/>
  <c r="I284" i="18"/>
  <c r="G284" i="18"/>
  <c r="O284" i="18"/>
  <c r="P284" i="18" s="1"/>
  <c r="M284" i="18"/>
  <c r="N284" i="18" s="1"/>
  <c r="Q284" i="18"/>
  <c r="R284" i="18" s="1"/>
  <c r="C284" i="18"/>
  <c r="K284" i="18"/>
  <c r="L284" i="18" s="1"/>
  <c r="S284" i="18"/>
  <c r="F284" i="18"/>
  <c r="E284" i="18"/>
  <c r="D284" i="18"/>
  <c r="A564" i="18"/>
  <c r="A564" i="17"/>
  <c r="B285" i="18" l="1"/>
  <c r="A565" i="18"/>
  <c r="A565" i="17"/>
  <c r="E285" i="18" l="1"/>
  <c r="Q285" i="18"/>
  <c r="R285" i="18" s="1"/>
  <c r="C285" i="18"/>
  <c r="K285" i="18"/>
  <c r="L285" i="18" s="1"/>
  <c r="I285" i="18"/>
  <c r="M285" i="18"/>
  <c r="N285" i="18" s="1"/>
  <c r="F285" i="18"/>
  <c r="G285" i="18"/>
  <c r="O285" i="18"/>
  <c r="P285" i="18" s="1"/>
  <c r="S285" i="18"/>
  <c r="H285" i="18"/>
  <c r="J286" i="18" s="1"/>
  <c r="D285" i="18"/>
  <c r="A566" i="18"/>
  <c r="A566" i="17"/>
  <c r="B286" i="18" l="1"/>
  <c r="A567" i="18"/>
  <c r="A567" i="17"/>
  <c r="D286" i="18" l="1"/>
  <c r="G286" i="18"/>
  <c r="S286" i="18"/>
  <c r="K286" i="18"/>
  <c r="L286" i="18" s="1"/>
  <c r="C286" i="18"/>
  <c r="F286" i="18"/>
  <c r="E286" i="18"/>
  <c r="M286" i="18"/>
  <c r="N286" i="18" s="1"/>
  <c r="O286" i="18"/>
  <c r="P286" i="18" s="1"/>
  <c r="Q286" i="18"/>
  <c r="R286" i="18" s="1"/>
  <c r="H286" i="18"/>
  <c r="J287" i="18" s="1"/>
  <c r="I286" i="18"/>
  <c r="A568" i="18"/>
  <c r="A568" i="17"/>
  <c r="B287" i="18" l="1"/>
  <c r="A569" i="18"/>
  <c r="A569" i="17"/>
  <c r="D287" i="18" l="1"/>
  <c r="H287" i="18"/>
  <c r="J288" i="18" s="1"/>
  <c r="S287" i="18"/>
  <c r="K287" i="18"/>
  <c r="L287" i="18" s="1"/>
  <c r="C287" i="18"/>
  <c r="G287" i="18"/>
  <c r="O287" i="18"/>
  <c r="P287" i="18" s="1"/>
  <c r="Q287" i="18"/>
  <c r="R287" i="18" s="1"/>
  <c r="F287" i="18"/>
  <c r="M287" i="18"/>
  <c r="N287" i="18" s="1"/>
  <c r="I287" i="18"/>
  <c r="E287" i="18"/>
  <c r="A570" i="18"/>
  <c r="A570" i="17"/>
  <c r="B288" i="18" l="1"/>
  <c r="F288" i="18" s="1"/>
  <c r="A571" i="18"/>
  <c r="A571" i="17"/>
  <c r="I288" i="18" l="1"/>
  <c r="D288" i="18"/>
  <c r="K288" i="18"/>
  <c r="L288" i="18" s="1"/>
  <c r="E288" i="18"/>
  <c r="S288" i="18"/>
  <c r="M288" i="18"/>
  <c r="N288" i="18" s="1"/>
  <c r="H288" i="18"/>
  <c r="J289" i="18" s="1"/>
  <c r="C288" i="18"/>
  <c r="Q288" i="18"/>
  <c r="R288" i="18" s="1"/>
  <c r="O288" i="18"/>
  <c r="P288" i="18" s="1"/>
  <c r="G288" i="18"/>
  <c r="A572" i="18"/>
  <c r="A572" i="17"/>
  <c r="B289" i="18" l="1"/>
  <c r="M289" i="18" s="1"/>
  <c r="N289" i="18" s="1"/>
  <c r="A573" i="18"/>
  <c r="A573" i="17"/>
  <c r="E289" i="18" l="1"/>
  <c r="G289" i="18"/>
  <c r="H289" i="18"/>
  <c r="J290" i="18" s="1"/>
  <c r="F289" i="18"/>
  <c r="C289" i="18"/>
  <c r="D289" i="18"/>
  <c r="S289" i="18"/>
  <c r="Q289" i="18"/>
  <c r="R289" i="18" s="1"/>
  <c r="K289" i="18"/>
  <c r="L289" i="18" s="1"/>
  <c r="O289" i="18"/>
  <c r="P289" i="18" s="1"/>
  <c r="I289" i="18"/>
  <c r="A574" i="18"/>
  <c r="A574" i="17"/>
  <c r="B290" i="18" l="1"/>
  <c r="D290" i="18" s="1"/>
  <c r="A575" i="18"/>
  <c r="A575" i="17"/>
  <c r="Q290" i="18" l="1"/>
  <c r="R290" i="18" s="1"/>
  <c r="E290" i="18"/>
  <c r="F290" i="18"/>
  <c r="O290" i="18"/>
  <c r="P290" i="18" s="1"/>
  <c r="K290" i="18"/>
  <c r="L290" i="18" s="1"/>
  <c r="M290" i="18"/>
  <c r="N290" i="18" s="1"/>
  <c r="C290" i="18"/>
  <c r="H290" i="18"/>
  <c r="J291" i="18" s="1"/>
  <c r="S290" i="18"/>
  <c r="I290" i="18"/>
  <c r="G290" i="18"/>
  <c r="A576" i="18"/>
  <c r="A576" i="17"/>
  <c r="B291" i="18" l="1"/>
  <c r="D291" i="18" s="1"/>
  <c r="A577" i="18"/>
  <c r="A577" i="17"/>
  <c r="C291" i="18" l="1"/>
  <c r="S291" i="18"/>
  <c r="O291" i="18"/>
  <c r="P291" i="18" s="1"/>
  <c r="G291" i="18"/>
  <c r="M291" i="18"/>
  <c r="N291" i="18" s="1"/>
  <c r="K291" i="18"/>
  <c r="L291" i="18" s="1"/>
  <c r="Q291" i="18"/>
  <c r="R291" i="18" s="1"/>
  <c r="E291" i="18"/>
  <c r="I291" i="18"/>
  <c r="H291" i="18"/>
  <c r="J292" i="18" s="1"/>
  <c r="F291" i="18"/>
  <c r="A578" i="18"/>
  <c r="A578" i="17"/>
  <c r="B292" i="18" l="1"/>
  <c r="S292" i="18" s="1"/>
  <c r="A579" i="18"/>
  <c r="A579" i="17"/>
  <c r="E292" i="18" l="1"/>
  <c r="Q292" i="18"/>
  <c r="R292" i="18" s="1"/>
  <c r="K292" i="18"/>
  <c r="L292" i="18" s="1"/>
  <c r="G292" i="18"/>
  <c r="H292" i="18"/>
  <c r="J293" i="18" s="1"/>
  <c r="M292" i="18"/>
  <c r="N292" i="18" s="1"/>
  <c r="F292" i="18"/>
  <c r="C292" i="18"/>
  <c r="O292" i="18"/>
  <c r="P292" i="18" s="1"/>
  <c r="I292" i="18"/>
  <c r="D292" i="18"/>
  <c r="A580" i="18"/>
  <c r="A580" i="17"/>
  <c r="B293" i="18" l="1"/>
  <c r="D293" i="18" s="1"/>
  <c r="A581" i="18"/>
  <c r="A581" i="17"/>
  <c r="C293" i="18" l="1"/>
  <c r="S293" i="18"/>
  <c r="F293" i="18"/>
  <c r="E293" i="18"/>
  <c r="I293" i="18"/>
  <c r="Q293" i="18"/>
  <c r="R293" i="18" s="1"/>
  <c r="M293" i="18"/>
  <c r="N293" i="18" s="1"/>
  <c r="G293" i="18"/>
  <c r="H293" i="18"/>
  <c r="J294" i="18" s="1"/>
  <c r="O293" i="18"/>
  <c r="P293" i="18" s="1"/>
  <c r="K293" i="18"/>
  <c r="L293" i="18" s="1"/>
  <c r="A582" i="18"/>
  <c r="A582" i="17"/>
  <c r="B294" i="18" l="1"/>
  <c r="F294" i="18" s="1"/>
  <c r="A583" i="18"/>
  <c r="A583" i="17"/>
  <c r="D294" i="18" l="1"/>
  <c r="M294" i="18"/>
  <c r="N294" i="18" s="1"/>
  <c r="C294" i="18"/>
  <c r="H294" i="18"/>
  <c r="J295" i="18" s="1"/>
  <c r="Q294" i="18"/>
  <c r="R294" i="18" s="1"/>
  <c r="K294" i="18"/>
  <c r="L294" i="18" s="1"/>
  <c r="E294" i="18"/>
  <c r="O294" i="18"/>
  <c r="P294" i="18" s="1"/>
  <c r="S294" i="18"/>
  <c r="G294" i="18"/>
  <c r="I294" i="18"/>
  <c r="A584" i="18"/>
  <c r="A584" i="17"/>
  <c r="B295" i="18" l="1"/>
  <c r="D295" i="18" s="1"/>
  <c r="A585" i="18"/>
  <c r="A585" i="17"/>
  <c r="C295" i="18" l="1"/>
  <c r="H295" i="18"/>
  <c r="J296" i="18" s="1"/>
  <c r="O295" i="18"/>
  <c r="P295" i="18" s="1"/>
  <c r="F295" i="18"/>
  <c r="K295" i="18"/>
  <c r="L295" i="18" s="1"/>
  <c r="I295" i="18"/>
  <c r="Q295" i="18"/>
  <c r="R295" i="18" s="1"/>
  <c r="G295" i="18"/>
  <c r="E295" i="18"/>
  <c r="S295" i="18"/>
  <c r="M295" i="18"/>
  <c r="N295" i="18" s="1"/>
  <c r="A586" i="18"/>
  <c r="A586" i="17"/>
  <c r="B296" i="18" l="1"/>
  <c r="G296" i="18" s="1"/>
  <c r="A587" i="18"/>
  <c r="A587" i="17"/>
  <c r="Q296" i="18" l="1"/>
  <c r="R296" i="18" s="1"/>
  <c r="I296" i="18"/>
  <c r="D296" i="18"/>
  <c r="C296" i="18"/>
  <c r="O296" i="18"/>
  <c r="P296" i="18" s="1"/>
  <c r="K296" i="18"/>
  <c r="L296" i="18" s="1"/>
  <c r="F296" i="18"/>
  <c r="H296" i="18"/>
  <c r="J297" i="18" s="1"/>
  <c r="E296" i="18"/>
  <c r="M296" i="18"/>
  <c r="N296" i="18" s="1"/>
  <c r="S296" i="18"/>
  <c r="A588" i="18"/>
  <c r="A588" i="17"/>
  <c r="B297" i="18" l="1"/>
  <c r="M297" i="18" s="1"/>
  <c r="N297" i="18" s="1"/>
  <c r="A589" i="18"/>
  <c r="A589" i="17"/>
  <c r="Q297" i="18" l="1"/>
  <c r="R297" i="18" s="1"/>
  <c r="E297" i="18"/>
  <c r="H297" i="18"/>
  <c r="J298" i="18" s="1"/>
  <c r="G297" i="18"/>
  <c r="K297" i="18"/>
  <c r="L297" i="18" s="1"/>
  <c r="D297" i="18"/>
  <c r="I297" i="18"/>
  <c r="S297" i="18"/>
  <c r="C297" i="18"/>
  <c r="F297" i="18"/>
  <c r="O297" i="18"/>
  <c r="P297" i="18" s="1"/>
  <c r="A590" i="18"/>
  <c r="A590" i="17"/>
  <c r="B298" i="18" l="1"/>
  <c r="G298" i="18" s="1"/>
  <c r="A591" i="18"/>
  <c r="A591" i="17"/>
  <c r="D298" i="18" l="1"/>
  <c r="E298" i="18"/>
  <c r="O298" i="18"/>
  <c r="P298" i="18" s="1"/>
  <c r="Q298" i="18"/>
  <c r="R298" i="18" s="1"/>
  <c r="H298" i="18"/>
  <c r="J299" i="18" s="1"/>
  <c r="K298" i="18"/>
  <c r="L298" i="18" s="1"/>
  <c r="S298" i="18"/>
  <c r="C298" i="18"/>
  <c r="F298" i="18"/>
  <c r="M298" i="18"/>
  <c r="N298" i="18" s="1"/>
  <c r="I298" i="18"/>
  <c r="A592" i="18"/>
  <c r="A592" i="17"/>
  <c r="B299" i="18" l="1"/>
  <c r="I299" i="18" s="1"/>
  <c r="A593" i="18"/>
  <c r="A593" i="17"/>
  <c r="E299" i="18" l="1"/>
  <c r="G299" i="18"/>
  <c r="Q299" i="18"/>
  <c r="R299" i="18" s="1"/>
  <c r="C299" i="18"/>
  <c r="M299" i="18"/>
  <c r="N299" i="18" s="1"/>
  <c r="K299" i="18"/>
  <c r="L299" i="18" s="1"/>
  <c r="H299" i="18"/>
  <c r="J300" i="18" s="1"/>
  <c r="F299" i="18"/>
  <c r="D299" i="18"/>
  <c r="O299" i="18"/>
  <c r="P299" i="18" s="1"/>
  <c r="S299" i="18"/>
  <c r="A594" i="18"/>
  <c r="A594" i="17"/>
  <c r="B300" i="18" l="1"/>
  <c r="E300" i="18" s="1"/>
  <c r="A595" i="18"/>
  <c r="A595" i="17"/>
  <c r="Q300" i="18" l="1"/>
  <c r="R300" i="18" s="1"/>
  <c r="S300" i="18"/>
  <c r="G300" i="18"/>
  <c r="C300" i="18"/>
  <c r="F300" i="18"/>
  <c r="I300" i="18"/>
  <c r="D300" i="18"/>
  <c r="K300" i="18"/>
  <c r="L300" i="18" s="1"/>
  <c r="O300" i="18"/>
  <c r="P300" i="18" s="1"/>
  <c r="M300" i="18"/>
  <c r="N300" i="18" s="1"/>
  <c r="H300" i="18"/>
  <c r="J301" i="18" s="1"/>
  <c r="A596" i="18"/>
  <c r="A596" i="17"/>
  <c r="B301" i="18" l="1"/>
  <c r="D301" i="18" s="1"/>
  <c r="A597" i="18"/>
  <c r="A597" i="17"/>
  <c r="C301" i="18" l="1"/>
  <c r="M301" i="18"/>
  <c r="N301" i="18" s="1"/>
  <c r="O301" i="18"/>
  <c r="P301" i="18" s="1"/>
  <c r="Q301" i="18"/>
  <c r="R301" i="18" s="1"/>
  <c r="H301" i="18"/>
  <c r="J302" i="18" s="1"/>
  <c r="I301" i="18"/>
  <c r="F301" i="18"/>
  <c r="E301" i="18"/>
  <c r="K301" i="18"/>
  <c r="L301" i="18" s="1"/>
  <c r="G301" i="18"/>
  <c r="S301" i="18"/>
  <c r="A598" i="18"/>
  <c r="A598" i="17"/>
  <c r="B302" i="18" l="1"/>
  <c r="G302" i="18" s="1"/>
  <c r="K302" i="18"/>
  <c r="L302" i="18" s="1"/>
  <c r="A599" i="18"/>
  <c r="A599" i="17"/>
  <c r="F302" i="18" l="1"/>
  <c r="M302" i="18"/>
  <c r="N302" i="18" s="1"/>
  <c r="H302" i="18"/>
  <c r="J303" i="18" s="1"/>
  <c r="D302" i="18"/>
  <c r="C302" i="18"/>
  <c r="O302" i="18"/>
  <c r="P302" i="18" s="1"/>
  <c r="Q302" i="18"/>
  <c r="R302" i="18" s="1"/>
  <c r="I302" i="18"/>
  <c r="E302" i="18"/>
  <c r="S302" i="18"/>
  <c r="A600" i="18"/>
  <c r="A600" i="17"/>
  <c r="B303" i="18" l="1"/>
  <c r="I303" i="18" s="1"/>
  <c r="D303" i="18"/>
  <c r="K303" i="18"/>
  <c r="L303" i="18" s="1"/>
  <c r="M303" i="18"/>
  <c r="N303" i="18" s="1"/>
  <c r="A601" i="18"/>
  <c r="A601" i="17"/>
  <c r="C303" i="18" l="1"/>
  <c r="F303" i="18"/>
  <c r="S303" i="18"/>
  <c r="H303" i="18"/>
  <c r="J304" i="18" s="1"/>
  <c r="E303" i="18"/>
  <c r="Q303" i="18"/>
  <c r="R303" i="18" s="1"/>
  <c r="O303" i="18"/>
  <c r="P303" i="18" s="1"/>
  <c r="G303" i="18"/>
  <c r="A602" i="18"/>
  <c r="A602" i="17"/>
  <c r="B304" i="18" l="1"/>
  <c r="C304" i="18" s="1"/>
  <c r="I304" i="18"/>
  <c r="K304" i="18"/>
  <c r="L304" i="18" s="1"/>
  <c r="E304" i="18"/>
  <c r="D304" i="18"/>
  <c r="H304" i="18"/>
  <c r="J305" i="18" s="1"/>
  <c r="M304" i="18"/>
  <c r="N304" i="18" s="1"/>
  <c r="O304" i="18"/>
  <c r="P304" i="18" s="1"/>
  <c r="F304" i="18"/>
  <c r="Q304" i="18"/>
  <c r="R304" i="18" s="1"/>
  <c r="S304" i="18"/>
  <c r="G304" i="18"/>
  <c r="A603" i="18"/>
  <c r="A603" i="17"/>
  <c r="B305" i="18" l="1"/>
  <c r="A604" i="18"/>
  <c r="A604" i="17"/>
  <c r="I305" i="18" l="1"/>
  <c r="H305" i="18"/>
  <c r="J306" i="18" s="1"/>
  <c r="C305" i="18"/>
  <c r="F305" i="18"/>
  <c r="S305" i="18"/>
  <c r="D305" i="18"/>
  <c r="Q305" i="18"/>
  <c r="R305" i="18" s="1"/>
  <c r="O305" i="18"/>
  <c r="P305" i="18" s="1"/>
  <c r="E305" i="18"/>
  <c r="K305" i="18"/>
  <c r="L305" i="18" s="1"/>
  <c r="G305" i="18"/>
  <c r="M305" i="18"/>
  <c r="N305" i="18" s="1"/>
  <c r="A605" i="18"/>
  <c r="A605" i="17"/>
  <c r="B306" i="18" l="1"/>
  <c r="O306" i="18" s="1"/>
  <c r="P306" i="18" s="1"/>
  <c r="A606" i="18"/>
  <c r="A606" i="17"/>
  <c r="S306" i="18" l="1"/>
  <c r="H306" i="18"/>
  <c r="J307" i="18" s="1"/>
  <c r="E306" i="18"/>
  <c r="I306" i="18"/>
  <c r="K306" i="18"/>
  <c r="L306" i="18" s="1"/>
  <c r="F306" i="18"/>
  <c r="C306" i="18"/>
  <c r="Q306" i="18"/>
  <c r="R306" i="18" s="1"/>
  <c r="B307" i="18" s="1"/>
  <c r="D306" i="18"/>
  <c r="G306" i="18"/>
  <c r="M306" i="18"/>
  <c r="N306" i="18" s="1"/>
  <c r="A607" i="18"/>
  <c r="A607" i="17"/>
  <c r="E307" i="18" l="1"/>
  <c r="D307" i="18"/>
  <c r="I307" i="18"/>
  <c r="H307" i="18"/>
  <c r="J308" i="18" s="1"/>
  <c r="S307" i="18"/>
  <c r="C307" i="18"/>
  <c r="F307" i="18"/>
  <c r="O307" i="18"/>
  <c r="P307" i="18" s="1"/>
  <c r="M307" i="18"/>
  <c r="N307" i="18" s="1"/>
  <c r="K307" i="18"/>
  <c r="L307" i="18" s="1"/>
  <c r="Q307" i="18"/>
  <c r="R307" i="18" s="1"/>
  <c r="G307" i="18"/>
  <c r="A608" i="18"/>
  <c r="A608" i="17"/>
  <c r="B308" i="18" l="1"/>
  <c r="E308" i="18" s="1"/>
  <c r="A609" i="18"/>
  <c r="A609" i="17"/>
  <c r="O308" i="18" l="1"/>
  <c r="P308" i="18" s="1"/>
  <c r="Q308" i="18"/>
  <c r="R308" i="18" s="1"/>
  <c r="F308" i="18"/>
  <c r="S308" i="18"/>
  <c r="K308" i="18"/>
  <c r="L308" i="18" s="1"/>
  <c r="I308" i="18"/>
  <c r="D308" i="18"/>
  <c r="C308" i="18"/>
  <c r="H308" i="18"/>
  <c r="J309" i="18" s="1"/>
  <c r="M308" i="18"/>
  <c r="N308" i="18" s="1"/>
  <c r="G308" i="18"/>
  <c r="A610" i="18"/>
  <c r="A610" i="17"/>
  <c r="B309" i="18" l="1"/>
  <c r="C309" i="18" s="1"/>
  <c r="A611" i="18"/>
  <c r="A611" i="17"/>
  <c r="Q309" i="18" l="1"/>
  <c r="R309" i="18" s="1"/>
  <c r="E309" i="18"/>
  <c r="H309" i="18"/>
  <c r="J310" i="18" s="1"/>
  <c r="F309" i="18"/>
  <c r="K309" i="18"/>
  <c r="L309" i="18" s="1"/>
  <c r="O309" i="18"/>
  <c r="P309" i="18" s="1"/>
  <c r="I309" i="18"/>
  <c r="D309" i="18"/>
  <c r="S309" i="18"/>
  <c r="G309" i="18"/>
  <c r="M309" i="18"/>
  <c r="N309" i="18" s="1"/>
  <c r="A612" i="18"/>
  <c r="A612" i="17"/>
  <c r="B310" i="18" l="1"/>
  <c r="E310" i="18" s="1"/>
  <c r="A613" i="18"/>
  <c r="A613" i="17"/>
  <c r="M310" i="18" l="1"/>
  <c r="N310" i="18" s="1"/>
  <c r="F310" i="18"/>
  <c r="O310" i="18"/>
  <c r="P310" i="18" s="1"/>
  <c r="I310" i="18"/>
  <c r="H310" i="18"/>
  <c r="J311" i="18" s="1"/>
  <c r="C310" i="18"/>
  <c r="Q310" i="18"/>
  <c r="R310" i="18" s="1"/>
  <c r="S310" i="18"/>
  <c r="D310" i="18"/>
  <c r="K310" i="18"/>
  <c r="L310" i="18" s="1"/>
  <c r="G310" i="18"/>
  <c r="A614" i="18"/>
  <c r="A614" i="17"/>
  <c r="B311" i="18" l="1"/>
  <c r="E311" i="18" s="1"/>
  <c r="A615" i="18"/>
  <c r="A615" i="17"/>
  <c r="S311" i="18" l="1"/>
  <c r="K311" i="18"/>
  <c r="L311" i="18" s="1"/>
  <c r="O311" i="18"/>
  <c r="P311" i="18" s="1"/>
  <c r="C311" i="18"/>
  <c r="F311" i="18"/>
  <c r="I311" i="18"/>
  <c r="Q311" i="18"/>
  <c r="R311" i="18" s="1"/>
  <c r="M311" i="18"/>
  <c r="N311" i="18" s="1"/>
  <c r="G311" i="18"/>
  <c r="H311" i="18"/>
  <c r="J312" i="18" s="1"/>
  <c r="D311" i="18"/>
  <c r="A616" i="18"/>
  <c r="A616" i="17"/>
  <c r="B312" i="18" l="1"/>
  <c r="S312" i="18" s="1"/>
  <c r="M312" i="18"/>
  <c r="N312" i="18" s="1"/>
  <c r="A617" i="18"/>
  <c r="A617" i="17"/>
  <c r="O312" i="18" l="1"/>
  <c r="P312" i="18" s="1"/>
  <c r="H312" i="18"/>
  <c r="J313" i="18" s="1"/>
  <c r="Q312" i="18"/>
  <c r="R312" i="18" s="1"/>
  <c r="E312" i="18"/>
  <c r="D312" i="18"/>
  <c r="I312" i="18"/>
  <c r="C312" i="18"/>
  <c r="F312" i="18"/>
  <c r="G312" i="18"/>
  <c r="K312" i="18"/>
  <c r="L312" i="18" s="1"/>
  <c r="A618" i="18"/>
  <c r="A618" i="17"/>
  <c r="B313" i="18" l="1"/>
  <c r="D313" i="18" s="1"/>
  <c r="S313" i="18"/>
  <c r="A619" i="18"/>
  <c r="A619" i="17"/>
  <c r="C313" i="18" l="1"/>
  <c r="I313" i="18"/>
  <c r="M313" i="18"/>
  <c r="N313" i="18" s="1"/>
  <c r="F313" i="18"/>
  <c r="G313" i="18"/>
  <c r="H313" i="18"/>
  <c r="J314" i="18" s="1"/>
  <c r="O313" i="18"/>
  <c r="P313" i="18" s="1"/>
  <c r="Q313" i="18"/>
  <c r="R313" i="18" s="1"/>
  <c r="K313" i="18"/>
  <c r="L313" i="18" s="1"/>
  <c r="E313" i="18"/>
  <c r="A620" i="18"/>
  <c r="A620" i="17"/>
  <c r="B314" i="18" l="1"/>
  <c r="G314" i="18" s="1"/>
  <c r="I314" i="18"/>
  <c r="E314" i="18"/>
  <c r="S314" i="18"/>
  <c r="F314" i="18"/>
  <c r="O314" i="18"/>
  <c r="P314" i="18" s="1"/>
  <c r="C314" i="18"/>
  <c r="Q314" i="18"/>
  <c r="R314" i="18" s="1"/>
  <c r="K314" i="18"/>
  <c r="L314" i="18" s="1"/>
  <c r="H314" i="18"/>
  <c r="J315" i="18" s="1"/>
  <c r="M314" i="18"/>
  <c r="N314" i="18" s="1"/>
  <c r="D314" i="18"/>
  <c r="A621" i="18"/>
  <c r="A621" i="17"/>
  <c r="B315" i="18" l="1"/>
  <c r="H315" i="18" s="1"/>
  <c r="J316" i="18" s="1"/>
  <c r="A622" i="18"/>
  <c r="A622" i="17"/>
  <c r="Q315" i="18" l="1"/>
  <c r="R315" i="18" s="1"/>
  <c r="F315" i="18"/>
  <c r="K315" i="18"/>
  <c r="L315" i="18" s="1"/>
  <c r="S315" i="18"/>
  <c r="D315" i="18"/>
  <c r="O315" i="18"/>
  <c r="P315" i="18" s="1"/>
  <c r="M315" i="18"/>
  <c r="N315" i="18" s="1"/>
  <c r="E315" i="18"/>
  <c r="I315" i="18"/>
  <c r="G315" i="18"/>
  <c r="C315" i="18"/>
  <c r="A623" i="18"/>
  <c r="A623" i="17"/>
  <c r="B316" i="18" l="1"/>
  <c r="I316" i="18" s="1"/>
  <c r="A624" i="18"/>
  <c r="A624" i="17"/>
  <c r="Q316" i="18" l="1"/>
  <c r="R316" i="18" s="1"/>
  <c r="E316" i="18"/>
  <c r="F316" i="18"/>
  <c r="D316" i="18"/>
  <c r="O316" i="18"/>
  <c r="P316" i="18" s="1"/>
  <c r="G316" i="18"/>
  <c r="M316" i="18"/>
  <c r="N316" i="18" s="1"/>
  <c r="H316" i="18"/>
  <c r="J317" i="18" s="1"/>
  <c r="K316" i="18"/>
  <c r="L316" i="18" s="1"/>
  <c r="S316" i="18"/>
  <c r="C316" i="18"/>
  <c r="A625" i="18"/>
  <c r="A625" i="17"/>
  <c r="B317" i="18" l="1"/>
  <c r="I317" i="18" s="1"/>
  <c r="A626" i="18"/>
  <c r="A626" i="17"/>
  <c r="E317" i="18" l="1"/>
  <c r="Q317" i="18"/>
  <c r="R317" i="18" s="1"/>
  <c r="K317" i="18"/>
  <c r="L317" i="18" s="1"/>
  <c r="D317" i="18"/>
  <c r="H317" i="18"/>
  <c r="J318" i="18" s="1"/>
  <c r="O317" i="18"/>
  <c r="P317" i="18" s="1"/>
  <c r="C317" i="18"/>
  <c r="F317" i="18"/>
  <c r="M317" i="18"/>
  <c r="N317" i="18" s="1"/>
  <c r="G317" i="18"/>
  <c r="S317" i="18"/>
  <c r="A627" i="18"/>
  <c r="A627" i="17"/>
  <c r="B318" i="18" l="1"/>
  <c r="I318" i="18" s="1"/>
  <c r="A628" i="18"/>
  <c r="A628" i="17"/>
  <c r="S318" i="18" l="1"/>
  <c r="K318" i="18"/>
  <c r="L318" i="18" s="1"/>
  <c r="M318" i="18"/>
  <c r="N318" i="18" s="1"/>
  <c r="H318" i="18"/>
  <c r="J319" i="18" s="1"/>
  <c r="D318" i="18"/>
  <c r="C318" i="18"/>
  <c r="F318" i="18"/>
  <c r="O318" i="18"/>
  <c r="P318" i="18" s="1"/>
  <c r="E318" i="18"/>
  <c r="G318" i="18"/>
  <c r="Q318" i="18"/>
  <c r="R318" i="18" s="1"/>
  <c r="A629" i="18"/>
  <c r="A629" i="17"/>
  <c r="B319" i="18" l="1"/>
  <c r="S319" i="18" s="1"/>
  <c r="A630" i="18"/>
  <c r="A630" i="17"/>
  <c r="K319" i="18" l="1"/>
  <c r="L319" i="18" s="1"/>
  <c r="Q319" i="18"/>
  <c r="R319" i="18" s="1"/>
  <c r="G319" i="18"/>
  <c r="I319" i="18"/>
  <c r="O319" i="18"/>
  <c r="P319" i="18" s="1"/>
  <c r="F319" i="18"/>
  <c r="H319" i="18"/>
  <c r="J320" i="18" s="1"/>
  <c r="C319" i="18"/>
  <c r="M319" i="18"/>
  <c r="N319" i="18" s="1"/>
  <c r="D319" i="18"/>
  <c r="E319" i="18"/>
  <c r="A631" i="18"/>
  <c r="A631" i="17"/>
  <c r="B320" i="18" l="1"/>
  <c r="D320" i="18" s="1"/>
  <c r="A632" i="18"/>
  <c r="A632" i="17"/>
  <c r="F320" i="18" l="1"/>
  <c r="S320" i="18"/>
  <c r="M320" i="18"/>
  <c r="N320" i="18" s="1"/>
  <c r="C320" i="18"/>
  <c r="H320" i="18"/>
  <c r="J321" i="18" s="1"/>
  <c r="K320" i="18"/>
  <c r="L320" i="18" s="1"/>
  <c r="Q320" i="18"/>
  <c r="R320" i="18" s="1"/>
  <c r="I320" i="18"/>
  <c r="E320" i="18"/>
  <c r="O320" i="18"/>
  <c r="P320" i="18" s="1"/>
  <c r="G320" i="18"/>
  <c r="A633" i="18"/>
  <c r="A633" i="17"/>
  <c r="B321" i="18" l="1"/>
  <c r="S321" i="18" s="1"/>
  <c r="A634" i="18"/>
  <c r="A634" i="17"/>
  <c r="M321" i="18" l="1"/>
  <c r="N321" i="18" s="1"/>
  <c r="Q321" i="18"/>
  <c r="R321" i="18" s="1"/>
  <c r="I321" i="18"/>
  <c r="C321" i="18"/>
  <c r="O321" i="18"/>
  <c r="P321" i="18" s="1"/>
  <c r="D321" i="18"/>
  <c r="H321" i="18"/>
  <c r="J322" i="18" s="1"/>
  <c r="K321" i="18"/>
  <c r="L321" i="18" s="1"/>
  <c r="E321" i="18"/>
  <c r="G321" i="18"/>
  <c r="F321" i="18"/>
  <c r="A635" i="18"/>
  <c r="A635" i="17"/>
  <c r="B322" i="18" l="1"/>
  <c r="D322" i="18" s="1"/>
  <c r="E45" i="12"/>
  <c r="E55" i="12"/>
  <c r="E46" i="12"/>
  <c r="E47" i="12"/>
  <c r="Q322" i="18" l="1"/>
  <c r="R322" i="18" s="1"/>
  <c r="K322" i="18"/>
  <c r="L322" i="18" s="1"/>
  <c r="S322" i="18"/>
  <c r="C322" i="18"/>
  <c r="F322" i="18"/>
  <c r="E322" i="18"/>
  <c r="G322" i="18"/>
  <c r="H322" i="18"/>
  <c r="J323" i="18" s="1"/>
  <c r="M322" i="18"/>
  <c r="N322" i="18" s="1"/>
  <c r="I322" i="18"/>
  <c r="O322" i="18"/>
  <c r="P322" i="18" s="1"/>
  <c r="B323" i="18" l="1"/>
  <c r="K323" i="18" s="1"/>
  <c r="L323" i="18" s="1"/>
  <c r="E323" i="18" l="1"/>
  <c r="F323" i="18"/>
  <c r="Q323" i="18"/>
  <c r="R323" i="18" s="1"/>
  <c r="S323" i="18"/>
  <c r="C323" i="18"/>
  <c r="I323" i="18"/>
  <c r="G323" i="18"/>
  <c r="D323" i="18"/>
  <c r="H323" i="18"/>
  <c r="J324" i="18" s="1"/>
  <c r="O323" i="18"/>
  <c r="P323" i="18" s="1"/>
  <c r="M323" i="18"/>
  <c r="N323" i="18" s="1"/>
  <c r="B324" i="18" l="1"/>
  <c r="F324" i="18" s="1"/>
  <c r="D324" i="18" l="1"/>
  <c r="K324" i="18"/>
  <c r="L324" i="18" s="1"/>
  <c r="E324" i="18"/>
  <c r="I324" i="18"/>
  <c r="Q324" i="18"/>
  <c r="R324" i="18" s="1"/>
  <c r="G324" i="18"/>
  <c r="M324" i="18"/>
  <c r="N324" i="18" s="1"/>
  <c r="O324" i="18"/>
  <c r="P324" i="18" s="1"/>
  <c r="C324" i="18"/>
  <c r="H324" i="18"/>
  <c r="J325" i="18" s="1"/>
  <c r="S324" i="18"/>
  <c r="B325" i="18" l="1"/>
  <c r="S325" i="18" s="1"/>
  <c r="Q325" i="18" l="1"/>
  <c r="R325" i="18" s="1"/>
  <c r="E325" i="18"/>
  <c r="O325" i="18"/>
  <c r="P325" i="18" s="1"/>
  <c r="F325" i="18"/>
  <c r="D325" i="18"/>
  <c r="C325" i="18"/>
  <c r="G325" i="18"/>
  <c r="K325" i="18"/>
  <c r="L325" i="18" s="1"/>
  <c r="M325" i="18"/>
  <c r="N325" i="18" s="1"/>
  <c r="H325" i="18"/>
  <c r="J326" i="18" s="1"/>
  <c r="I325" i="18"/>
  <c r="B326" i="18" l="1"/>
  <c r="S326" i="18" s="1"/>
  <c r="E326" i="18" l="1"/>
  <c r="G326" i="18"/>
  <c r="D326" i="18"/>
  <c r="F326" i="18"/>
  <c r="M326" i="18"/>
  <c r="N326" i="18" s="1"/>
  <c r="C326" i="18"/>
  <c r="I326" i="18"/>
  <c r="O326" i="18"/>
  <c r="P326" i="18" s="1"/>
  <c r="K326" i="18"/>
  <c r="L326" i="18" s="1"/>
  <c r="Q326" i="18"/>
  <c r="R326" i="18" s="1"/>
  <c r="H326" i="18"/>
  <c r="J327" i="18" s="1"/>
  <c r="B327" i="18" l="1"/>
  <c r="D327" i="18" s="1"/>
  <c r="F327" i="18" l="1"/>
  <c r="Q327" i="18"/>
  <c r="R327" i="18" s="1"/>
  <c r="O327" i="18"/>
  <c r="P327" i="18" s="1"/>
  <c r="M327" i="18"/>
  <c r="N327" i="18" s="1"/>
  <c r="H327" i="18"/>
  <c r="J328" i="18" s="1"/>
  <c r="K327" i="18"/>
  <c r="L327" i="18" s="1"/>
  <c r="I327" i="18"/>
  <c r="C327" i="18"/>
  <c r="G327" i="18"/>
  <c r="S327" i="18"/>
  <c r="E327" i="18"/>
  <c r="B328" i="18" l="1"/>
  <c r="K328" i="18" s="1"/>
  <c r="L328" i="18" s="1"/>
  <c r="O328" i="18" l="1"/>
  <c r="P328" i="18" s="1"/>
  <c r="S328" i="18"/>
  <c r="I328" i="18"/>
  <c r="M328" i="18"/>
  <c r="N328" i="18" s="1"/>
  <c r="C328" i="18"/>
  <c r="G328" i="18"/>
  <c r="F328" i="18"/>
  <c r="E328" i="18"/>
  <c r="D328" i="18"/>
  <c r="H328" i="18"/>
  <c r="J329" i="18" s="1"/>
  <c r="Q328" i="18"/>
  <c r="R328" i="18" s="1"/>
  <c r="B329" i="18" l="1"/>
  <c r="O329" i="18" s="1"/>
  <c r="P329" i="18" s="1"/>
  <c r="F329" i="18" l="1"/>
  <c r="S329" i="18"/>
  <c r="I329" i="18"/>
  <c r="C329" i="18"/>
  <c r="M329" i="18"/>
  <c r="N329" i="18" s="1"/>
  <c r="E329" i="18"/>
  <c r="K329" i="18"/>
  <c r="L329" i="18" s="1"/>
  <c r="D329" i="18"/>
  <c r="H329" i="18"/>
  <c r="J330" i="18" s="1"/>
  <c r="G329" i="18"/>
  <c r="Q329" i="18"/>
  <c r="R329" i="18" s="1"/>
  <c r="B330" i="18" s="1"/>
  <c r="O330" i="18" s="1"/>
  <c r="P330" i="18" s="1"/>
  <c r="I330" i="18" l="1"/>
  <c r="S330" i="18"/>
  <c r="M330" i="18"/>
  <c r="N330" i="18" s="1"/>
  <c r="H330" i="18"/>
  <c r="J331" i="18" s="1"/>
  <c r="G330" i="18"/>
  <c r="E330" i="18"/>
  <c r="F330" i="18"/>
  <c r="D330" i="18"/>
  <c r="Q330" i="18"/>
  <c r="R330" i="18" s="1"/>
  <c r="B331" i="18" s="1"/>
  <c r="C330" i="18"/>
  <c r="K330" i="18"/>
  <c r="L330" i="18" s="1"/>
  <c r="D331" i="18" l="1"/>
  <c r="C331" i="18"/>
  <c r="I331" i="18"/>
  <c r="E331" i="18"/>
  <c r="F331" i="18"/>
  <c r="K331" i="18"/>
  <c r="L331" i="18" s="1"/>
  <c r="Q331" i="18"/>
  <c r="R331" i="18" s="1"/>
  <c r="O331" i="18"/>
  <c r="P331" i="18" s="1"/>
  <c r="H331" i="18"/>
  <c r="J332" i="18" s="1"/>
  <c r="M331" i="18"/>
  <c r="N331" i="18" s="1"/>
  <c r="S331" i="18"/>
  <c r="G331" i="18"/>
  <c r="B332" i="18" l="1"/>
  <c r="H332" i="18" s="1"/>
  <c r="J333" i="18" s="1"/>
  <c r="C332" i="18" l="1"/>
  <c r="Q332" i="18"/>
  <c r="R332" i="18" s="1"/>
  <c r="K332" i="18"/>
  <c r="L332" i="18" s="1"/>
  <c r="O332" i="18"/>
  <c r="P332" i="18" s="1"/>
  <c r="E332" i="18"/>
  <c r="M332" i="18"/>
  <c r="N332" i="18" s="1"/>
  <c r="I332" i="18"/>
  <c r="F332" i="18"/>
  <c r="D332" i="18"/>
  <c r="S332" i="18"/>
  <c r="G332" i="18"/>
  <c r="B333" i="18" l="1"/>
  <c r="F333" i="18" s="1"/>
  <c r="E333" i="18" l="1"/>
  <c r="I333" i="18"/>
  <c r="H333" i="18"/>
  <c r="J334" i="18" s="1"/>
  <c r="Q333" i="18"/>
  <c r="R333" i="18" s="1"/>
  <c r="K333" i="18"/>
  <c r="L333" i="18" s="1"/>
  <c r="O333" i="18"/>
  <c r="P333" i="18" s="1"/>
  <c r="M333" i="18"/>
  <c r="N333" i="18" s="1"/>
  <c r="D333" i="18"/>
  <c r="G333" i="18"/>
  <c r="S333" i="18"/>
  <c r="C333" i="18"/>
  <c r="B334" i="18" l="1"/>
  <c r="F334" i="18" s="1"/>
  <c r="H334" i="18" l="1"/>
  <c r="J335" i="18" s="1"/>
  <c r="K334" i="18"/>
  <c r="L334" i="18" s="1"/>
  <c r="C334" i="18"/>
  <c r="E334" i="18"/>
  <c r="I334" i="18"/>
  <c r="O334" i="18"/>
  <c r="P334" i="18" s="1"/>
  <c r="Q334" i="18"/>
  <c r="R334" i="18" s="1"/>
  <c r="G334" i="18"/>
  <c r="M334" i="18"/>
  <c r="N334" i="18" s="1"/>
  <c r="D334" i="18"/>
  <c r="S334" i="18"/>
  <c r="B335" i="18" l="1"/>
  <c r="F335" i="18" s="1"/>
  <c r="O335" i="18" l="1"/>
  <c r="P335" i="18" s="1"/>
  <c r="I335" i="18"/>
  <c r="Q335" i="18"/>
  <c r="R335" i="18" s="1"/>
  <c r="S335" i="18"/>
  <c r="G335" i="18"/>
  <c r="D335" i="18"/>
  <c r="E335" i="18"/>
  <c r="M335" i="18"/>
  <c r="N335" i="18" s="1"/>
  <c r="K335" i="18"/>
  <c r="L335" i="18" s="1"/>
  <c r="H335" i="18"/>
  <c r="J336" i="18" s="1"/>
  <c r="C335" i="18"/>
  <c r="B336" i="18" l="1"/>
  <c r="Q336" i="18" s="1"/>
  <c r="R336" i="18" s="1"/>
  <c r="H336" i="18" l="1"/>
  <c r="J337" i="18" s="1"/>
  <c r="E336" i="18"/>
  <c r="G336" i="18"/>
  <c r="I336" i="18"/>
  <c r="S336" i="18"/>
  <c r="D336" i="18"/>
  <c r="K336" i="18"/>
  <c r="L336" i="18" s="1"/>
  <c r="C336" i="18"/>
  <c r="F336" i="18"/>
  <c r="M336" i="18"/>
  <c r="N336" i="18" s="1"/>
  <c r="O336" i="18"/>
  <c r="P336" i="18" s="1"/>
  <c r="B337" i="18" s="1"/>
  <c r="Q337" i="18" l="1"/>
  <c r="R337" i="18" s="1"/>
  <c r="E337" i="18"/>
  <c r="O337" i="18"/>
  <c r="P337" i="18" s="1"/>
  <c r="F337" i="18"/>
  <c r="K337" i="18"/>
  <c r="L337" i="18" s="1"/>
  <c r="M337" i="18"/>
  <c r="N337" i="18" s="1"/>
  <c r="G337" i="18"/>
  <c r="D337" i="18"/>
  <c r="C337" i="18"/>
  <c r="I337" i="18"/>
  <c r="H337" i="18"/>
  <c r="J338" i="18" s="1"/>
  <c r="S337" i="18"/>
  <c r="B338" i="18" l="1"/>
  <c r="D338" i="18" s="1"/>
  <c r="M338" i="18" l="1"/>
  <c r="N338" i="18" s="1"/>
  <c r="E338" i="18"/>
  <c r="G338" i="18"/>
  <c r="F338" i="18"/>
  <c r="Q338" i="18"/>
  <c r="R338" i="18" s="1"/>
  <c r="C338" i="18"/>
  <c r="K338" i="18"/>
  <c r="L338" i="18" s="1"/>
  <c r="S338" i="18"/>
  <c r="H338" i="18"/>
  <c r="J339" i="18" s="1"/>
  <c r="O338" i="18"/>
  <c r="P338" i="18" s="1"/>
  <c r="I338" i="18"/>
  <c r="B339" i="18" l="1"/>
  <c r="F339" i="18" s="1"/>
  <c r="D339" i="18" l="1"/>
  <c r="G339" i="18"/>
  <c r="E339" i="18"/>
  <c r="K339" i="18"/>
  <c r="L339" i="18" s="1"/>
  <c r="O339" i="18"/>
  <c r="P339" i="18" s="1"/>
  <c r="I339" i="18"/>
  <c r="Q339" i="18"/>
  <c r="R339" i="18" s="1"/>
  <c r="C339" i="18"/>
  <c r="M339" i="18"/>
  <c r="N339" i="18" s="1"/>
  <c r="S339" i="18"/>
  <c r="H339" i="18"/>
  <c r="J340" i="18" s="1"/>
  <c r="B340" i="18" l="1"/>
  <c r="G340" i="18" s="1"/>
  <c r="F340" i="18" l="1"/>
  <c r="E340" i="18"/>
  <c r="Q340" i="18"/>
  <c r="R340" i="18" s="1"/>
  <c r="K340" i="18"/>
  <c r="L340" i="18" s="1"/>
  <c r="I340" i="18"/>
  <c r="S340" i="18"/>
  <c r="C340" i="18"/>
  <c r="O340" i="18"/>
  <c r="P340" i="18" s="1"/>
  <c r="H340" i="18"/>
  <c r="J341" i="18" s="1"/>
  <c r="D340" i="18"/>
  <c r="M340" i="18"/>
  <c r="N340" i="18" s="1"/>
  <c r="B341" i="18" l="1"/>
  <c r="G341" i="18" s="1"/>
  <c r="E341" i="18" l="1"/>
  <c r="C341" i="18"/>
  <c r="Q341" i="18"/>
  <c r="R341" i="18" s="1"/>
  <c r="D341" i="18"/>
  <c r="K341" i="18"/>
  <c r="L341" i="18" s="1"/>
  <c r="S341" i="18"/>
  <c r="H341" i="18"/>
  <c r="J342" i="18" s="1"/>
  <c r="I341" i="18"/>
  <c r="M341" i="18"/>
  <c r="N341" i="18" s="1"/>
  <c r="O341" i="18"/>
  <c r="P341" i="18" s="1"/>
  <c r="F341" i="18"/>
  <c r="B342" i="18" l="1"/>
  <c r="S342" i="18" s="1"/>
  <c r="Q342" i="18" l="1"/>
  <c r="R342" i="18" s="1"/>
  <c r="K342" i="18"/>
  <c r="L342" i="18" s="1"/>
  <c r="I342" i="18"/>
  <c r="O342" i="18"/>
  <c r="P342" i="18" s="1"/>
  <c r="G342" i="18"/>
  <c r="E342" i="18"/>
  <c r="H342" i="18"/>
  <c r="J343" i="18" s="1"/>
  <c r="M342" i="18"/>
  <c r="N342" i="18" s="1"/>
  <c r="F342" i="18"/>
  <c r="D342" i="18"/>
  <c r="C342" i="18"/>
  <c r="B343" i="18" l="1"/>
  <c r="S343" i="18" s="1"/>
  <c r="Q343" i="18" l="1"/>
  <c r="R343" i="18" s="1"/>
  <c r="I343" i="18"/>
  <c r="H343" i="18"/>
  <c r="J344" i="18" s="1"/>
  <c r="F343" i="18"/>
  <c r="C343" i="18"/>
  <c r="D343" i="18"/>
  <c r="M343" i="18"/>
  <c r="N343" i="18" s="1"/>
  <c r="O343" i="18"/>
  <c r="P343" i="18" s="1"/>
  <c r="K343" i="18"/>
  <c r="L343" i="18" s="1"/>
  <c r="E343" i="18"/>
  <c r="G343" i="18"/>
  <c r="B344" i="18" l="1"/>
  <c r="Q344" i="18" s="1"/>
  <c r="R344" i="18" s="1"/>
  <c r="M344" i="18" l="1"/>
  <c r="N344" i="18" s="1"/>
  <c r="D344" i="18"/>
  <c r="F344" i="18"/>
  <c r="E344" i="18"/>
  <c r="G344" i="18"/>
  <c r="K344" i="18"/>
  <c r="L344" i="18" s="1"/>
  <c r="H344" i="18"/>
  <c r="J345" i="18" s="1"/>
  <c r="S344" i="18"/>
  <c r="C344" i="18"/>
  <c r="I344" i="18"/>
  <c r="O344" i="18"/>
  <c r="P344" i="18" s="1"/>
  <c r="B345" i="18" s="1"/>
  <c r="O345" i="18" l="1"/>
  <c r="P345" i="18" s="1"/>
  <c r="S345" i="18"/>
  <c r="H345" i="18"/>
  <c r="J346" i="18" s="1"/>
  <c r="I345" i="18"/>
  <c r="K345" i="18"/>
  <c r="L345" i="18" s="1"/>
  <c r="Q345" i="18"/>
  <c r="R345" i="18" s="1"/>
  <c r="M345" i="18"/>
  <c r="N345" i="18" s="1"/>
  <c r="D345" i="18"/>
  <c r="F345" i="18"/>
  <c r="G345" i="18"/>
  <c r="C345" i="18"/>
  <c r="E345" i="18"/>
  <c r="B346" i="18" l="1"/>
  <c r="E346" i="18" s="1"/>
  <c r="F346" i="18" l="1"/>
  <c r="C346" i="18"/>
  <c r="D346" i="18"/>
  <c r="I346" i="18"/>
  <c r="O346" i="18"/>
  <c r="P346" i="18" s="1"/>
  <c r="G346" i="18"/>
  <c r="H346" i="18"/>
  <c r="J347" i="18" s="1"/>
  <c r="M346" i="18"/>
  <c r="N346" i="18" s="1"/>
  <c r="Q346" i="18"/>
  <c r="R346" i="18" s="1"/>
  <c r="S346" i="18"/>
  <c r="K346" i="18"/>
  <c r="L346" i="18" s="1"/>
  <c r="B347" i="18" l="1"/>
  <c r="I347" i="18"/>
  <c r="H347" i="18"/>
  <c r="J348" i="18" s="1"/>
  <c r="M347" i="18"/>
  <c r="N347" i="18" s="1"/>
  <c r="S347" i="18"/>
  <c r="D347" i="18"/>
  <c r="K347" i="18"/>
  <c r="L347" i="18" s="1"/>
  <c r="Q347" i="18"/>
  <c r="R347" i="18" s="1"/>
  <c r="C347" i="18"/>
  <c r="F347" i="18"/>
  <c r="G347" i="18"/>
  <c r="O347" i="18"/>
  <c r="P347" i="18" s="1"/>
  <c r="E347" i="18"/>
  <c r="B348" i="18" l="1"/>
  <c r="Q348" i="18" s="1"/>
  <c r="R348" i="18" s="1"/>
  <c r="D348" i="18"/>
  <c r="H348" i="18"/>
  <c r="J349" i="18" s="1"/>
  <c r="O348" i="18" l="1"/>
  <c r="P348" i="18" s="1"/>
  <c r="B349" i="18" s="1"/>
  <c r="M348" i="18"/>
  <c r="N348" i="18" s="1"/>
  <c r="G348" i="18"/>
  <c r="F348" i="18"/>
  <c r="C348" i="18"/>
  <c r="I348" i="18"/>
  <c r="S348" i="18"/>
  <c r="K348" i="18"/>
  <c r="L348" i="18" s="1"/>
  <c r="E348" i="18"/>
  <c r="O349" i="18" l="1"/>
  <c r="P349" i="18" s="1"/>
  <c r="D349" i="18"/>
  <c r="E349" i="18"/>
  <c r="C349" i="18"/>
  <c r="H349" i="18"/>
  <c r="J350" i="18" s="1"/>
  <c r="F349" i="18"/>
  <c r="Q349" i="18"/>
  <c r="R349" i="18" s="1"/>
  <c r="B350" i="18" s="1"/>
  <c r="O350" i="18" s="1"/>
  <c r="P350" i="18" s="1"/>
  <c r="S349" i="18"/>
  <c r="I349" i="18"/>
  <c r="M349" i="18"/>
  <c r="N349" i="18" s="1"/>
  <c r="K349" i="18"/>
  <c r="L349" i="18" s="1"/>
  <c r="G349" i="18"/>
  <c r="F350" i="18" l="1"/>
  <c r="C350" i="18"/>
  <c r="G350" i="18"/>
  <c r="S350" i="18"/>
  <c r="I350" i="18"/>
  <c r="H350" i="18"/>
  <c r="J351" i="18" s="1"/>
  <c r="E350" i="18"/>
  <c r="M350" i="18"/>
  <c r="N350" i="18" s="1"/>
  <c r="K350" i="18"/>
  <c r="L350" i="18" s="1"/>
  <c r="Q350" i="18"/>
  <c r="R350" i="18" s="1"/>
  <c r="D350" i="18"/>
  <c r="B351" i="18" l="1"/>
  <c r="D351" i="18" s="1"/>
  <c r="E351" i="18" l="1"/>
  <c r="K351" i="18"/>
  <c r="L351" i="18" s="1"/>
  <c r="C351" i="18"/>
  <c r="M351" i="18"/>
  <c r="N351" i="18" s="1"/>
  <c r="F351" i="18"/>
  <c r="Q351" i="18"/>
  <c r="R351" i="18" s="1"/>
  <c r="H351" i="18"/>
  <c r="J352" i="18" s="1"/>
  <c r="O351" i="18"/>
  <c r="P351" i="18" s="1"/>
  <c r="I351" i="18"/>
  <c r="G351" i="18"/>
  <c r="S351" i="18"/>
  <c r="B352" i="18" l="1"/>
  <c r="D352" i="18" s="1"/>
  <c r="F352" i="18" l="1"/>
  <c r="Q352" i="18"/>
  <c r="R352" i="18" s="1"/>
  <c r="S352" i="18"/>
  <c r="K352" i="18"/>
  <c r="L352" i="18" s="1"/>
  <c r="H352" i="18"/>
  <c r="J353" i="18" s="1"/>
  <c r="O352" i="18"/>
  <c r="P352" i="18" s="1"/>
  <c r="I352" i="18"/>
  <c r="E352" i="18"/>
  <c r="M352" i="18"/>
  <c r="N352" i="18" s="1"/>
  <c r="C352" i="18"/>
  <c r="G352" i="18"/>
  <c r="B353" i="18" l="1"/>
  <c r="E353" i="18" s="1"/>
  <c r="Q353" i="18" l="1"/>
  <c r="R353" i="18" s="1"/>
  <c r="M353" i="18"/>
  <c r="N353" i="18" s="1"/>
  <c r="I353" i="18"/>
  <c r="K353" i="18"/>
  <c r="L353" i="18" s="1"/>
  <c r="H353" i="18"/>
  <c r="J354" i="18" s="1"/>
  <c r="D353" i="18"/>
  <c r="O353" i="18"/>
  <c r="P353" i="18" s="1"/>
  <c r="C353" i="18"/>
  <c r="G353" i="18"/>
  <c r="S353" i="18"/>
  <c r="F353" i="18"/>
  <c r="B354" i="18" l="1"/>
  <c r="E354" i="18" s="1"/>
  <c r="H354" i="18" l="1"/>
  <c r="J355" i="18" s="1"/>
  <c r="I354" i="18"/>
  <c r="D354" i="18"/>
  <c r="C354" i="18"/>
  <c r="O354" i="18"/>
  <c r="P354" i="18" s="1"/>
  <c r="K354" i="18"/>
  <c r="L354" i="18" s="1"/>
  <c r="M354" i="18"/>
  <c r="N354" i="18" s="1"/>
  <c r="S354" i="18"/>
  <c r="Q354" i="18"/>
  <c r="R354" i="18" s="1"/>
  <c r="F354" i="18"/>
  <c r="G354" i="18"/>
  <c r="B355" i="18" l="1"/>
  <c r="Q355" i="18" s="1"/>
  <c r="R355" i="18" s="1"/>
  <c r="C355" i="18" l="1"/>
  <c r="O355" i="18"/>
  <c r="P355" i="18" s="1"/>
  <c r="B356" i="18" s="1"/>
  <c r="M355" i="18"/>
  <c r="N355" i="18" s="1"/>
  <c r="G355" i="18"/>
  <c r="K355" i="18"/>
  <c r="L355" i="18" s="1"/>
  <c r="D355" i="18"/>
  <c r="E355" i="18"/>
  <c r="F355" i="18"/>
  <c r="S355" i="18"/>
  <c r="I355" i="18"/>
  <c r="H355" i="18"/>
  <c r="J356" i="18" s="1"/>
  <c r="D356" i="18" l="1"/>
  <c r="O356" i="18"/>
  <c r="P356" i="18" s="1"/>
  <c r="G356" i="18"/>
  <c r="E356" i="18"/>
  <c r="I356" i="18"/>
  <c r="Q356" i="18"/>
  <c r="R356" i="18" s="1"/>
  <c r="M356" i="18"/>
  <c r="N356" i="18" s="1"/>
  <c r="K356" i="18"/>
  <c r="L356" i="18" s="1"/>
  <c r="F356" i="18"/>
  <c r="C356" i="18"/>
  <c r="S356" i="18"/>
  <c r="H356" i="18"/>
  <c r="J357" i="18" s="1"/>
  <c r="B357" i="18" l="1"/>
  <c r="F357" i="18" l="1"/>
  <c r="S357" i="18"/>
  <c r="H357" i="18"/>
  <c r="J358" i="18" s="1"/>
  <c r="C357" i="18"/>
  <c r="I357" i="18"/>
  <c r="Q357" i="18"/>
  <c r="R357" i="18" s="1"/>
  <c r="K357" i="18"/>
  <c r="L357" i="18" s="1"/>
  <c r="D357" i="18"/>
  <c r="G357" i="18"/>
  <c r="O357" i="18"/>
  <c r="P357" i="18" s="1"/>
  <c r="E357" i="18"/>
  <c r="M357" i="18"/>
  <c r="N357" i="18" s="1"/>
  <c r="B358" i="18" l="1"/>
  <c r="G358" i="18" l="1"/>
  <c r="F358" i="18"/>
  <c r="K358" i="18"/>
  <c r="L358" i="18" s="1"/>
  <c r="O358" i="18"/>
  <c r="P358" i="18" s="1"/>
  <c r="C358" i="18"/>
  <c r="Q358" i="18"/>
  <c r="R358" i="18" s="1"/>
  <c r="H358" i="18"/>
  <c r="J359" i="18" s="1"/>
  <c r="D358" i="18"/>
  <c r="I358" i="18"/>
  <c r="M358" i="18"/>
  <c r="N358" i="18" s="1"/>
  <c r="S358" i="18"/>
  <c r="E358" i="18"/>
  <c r="B359" i="18" l="1"/>
  <c r="O359" i="18" l="1"/>
  <c r="P359" i="18" s="1"/>
  <c r="F359" i="18"/>
  <c r="H359" i="18"/>
  <c r="J360" i="18" s="1"/>
  <c r="Q359" i="18"/>
  <c r="R359" i="18" s="1"/>
  <c r="G359" i="18"/>
  <c r="E359" i="18"/>
  <c r="I359" i="18"/>
  <c r="K359" i="18"/>
  <c r="L359" i="18" s="1"/>
  <c r="S359" i="18"/>
  <c r="C359" i="18"/>
  <c r="M359" i="18"/>
  <c r="N359" i="18" s="1"/>
  <c r="D359" i="18"/>
  <c r="B360" i="18" l="1"/>
  <c r="G360" i="18" l="1"/>
  <c r="M360" i="18"/>
  <c r="N360" i="18" s="1"/>
  <c r="F360" i="18"/>
  <c r="K360" i="18"/>
  <c r="L360" i="18" s="1"/>
  <c r="E360" i="18"/>
  <c r="C360" i="18"/>
  <c r="H360" i="18"/>
  <c r="J361" i="18" s="1"/>
  <c r="Q360" i="18"/>
  <c r="R360" i="18" s="1"/>
  <c r="I360" i="18"/>
  <c r="O360" i="18"/>
  <c r="P360" i="18" s="1"/>
  <c r="S360" i="18"/>
  <c r="D360" i="18"/>
  <c r="B361" i="18" l="1"/>
  <c r="D3" i="17"/>
  <c r="O3" i="17"/>
  <c r="P3" i="17" s="1"/>
  <c r="K3" i="17"/>
  <c r="L3" i="17" s="1"/>
  <c r="M3" i="17"/>
  <c r="N3" i="17" s="1"/>
  <c r="Q3" i="17"/>
  <c r="R3" i="17" s="1"/>
  <c r="S3" i="17"/>
  <c r="F3" i="17"/>
  <c r="E3" i="17"/>
  <c r="I3" i="17"/>
  <c r="C3" i="17"/>
  <c r="G3" i="17"/>
  <c r="D361" i="18" l="1"/>
  <c r="K361" i="18"/>
  <c r="L361" i="18" s="1"/>
  <c r="G361" i="18"/>
  <c r="C361" i="18"/>
  <c r="I361" i="18"/>
  <c r="H361" i="18"/>
  <c r="J362" i="18" s="1"/>
  <c r="O361" i="18"/>
  <c r="P361" i="18" s="1"/>
  <c r="E361" i="18"/>
  <c r="M361" i="18"/>
  <c r="N361" i="18" s="1"/>
  <c r="S361" i="18"/>
  <c r="F361" i="18"/>
  <c r="Q361" i="18"/>
  <c r="R361" i="18" s="1"/>
  <c r="B4" i="17"/>
  <c r="H4" i="17" s="1"/>
  <c r="B362" i="18" l="1"/>
  <c r="F4" i="17"/>
  <c r="K4" i="17"/>
  <c r="L4" i="17" s="1"/>
  <c r="J5" i="17"/>
  <c r="E4" i="17"/>
  <c r="C4" i="17"/>
  <c r="I4" i="17"/>
  <c r="D4" i="17"/>
  <c r="O4" i="17"/>
  <c r="P4" i="17" s="1"/>
  <c r="S4" i="17"/>
  <c r="Q4" i="17"/>
  <c r="R4" i="17" s="1"/>
  <c r="G4" i="17"/>
  <c r="M4" i="17"/>
  <c r="N4" i="17" s="1"/>
  <c r="D362" i="18" l="1"/>
  <c r="G362" i="18"/>
  <c r="E362" i="18"/>
  <c r="F362" i="18"/>
  <c r="S362" i="18"/>
  <c r="K362" i="18"/>
  <c r="L362" i="18" s="1"/>
  <c r="I362" i="18"/>
  <c r="M362" i="18"/>
  <c r="N362" i="18" s="1"/>
  <c r="O362" i="18"/>
  <c r="P362" i="18" s="1"/>
  <c r="H362" i="18"/>
  <c r="J363" i="18" s="1"/>
  <c r="C362" i="18"/>
  <c r="Q362" i="18"/>
  <c r="R362" i="18" s="1"/>
  <c r="B5" i="17"/>
  <c r="H5" i="17" s="1"/>
  <c r="B363" i="18" l="1"/>
  <c r="D363" i="18" s="1"/>
  <c r="S5" i="17"/>
  <c r="F5" i="17"/>
  <c r="J6" i="17"/>
  <c r="M5" i="17"/>
  <c r="N5" i="17" s="1"/>
  <c r="G5" i="17"/>
  <c r="E5" i="17"/>
  <c r="Q5" i="17"/>
  <c r="R5" i="17" s="1"/>
  <c r="D5" i="17"/>
  <c r="K5" i="17"/>
  <c r="L5" i="17" s="1"/>
  <c r="C5" i="17"/>
  <c r="I5" i="17"/>
  <c r="O5" i="17"/>
  <c r="P5" i="17" s="1"/>
  <c r="K363" i="18" l="1"/>
  <c r="L363" i="18" s="1"/>
  <c r="E363" i="18"/>
  <c r="M363" i="18"/>
  <c r="N363" i="18" s="1"/>
  <c r="Q363" i="18"/>
  <c r="R363" i="18" s="1"/>
  <c r="S363" i="18"/>
  <c r="O363" i="18"/>
  <c r="P363" i="18" s="1"/>
  <c r="G363" i="18"/>
  <c r="I363" i="18"/>
  <c r="F363" i="18"/>
  <c r="H363" i="18"/>
  <c r="J364" i="18" s="1"/>
  <c r="C363" i="18"/>
  <c r="B6" i="17"/>
  <c r="H6" i="17" s="1"/>
  <c r="B364" i="18" l="1"/>
  <c r="G6" i="17"/>
  <c r="Q6" i="17"/>
  <c r="R6" i="17" s="1"/>
  <c r="F6" i="17"/>
  <c r="C6" i="17"/>
  <c r="O6" i="17"/>
  <c r="P6" i="17" s="1"/>
  <c r="E6" i="17"/>
  <c r="M6" i="17"/>
  <c r="N6" i="17" s="1"/>
  <c r="D6" i="17"/>
  <c r="K6" i="17"/>
  <c r="L6" i="17" s="1"/>
  <c r="I6" i="17"/>
  <c r="J7" i="17"/>
  <c r="S6" i="17"/>
  <c r="E364" i="18" l="1"/>
  <c r="K364" i="18"/>
  <c r="L364" i="18" s="1"/>
  <c r="G364" i="18"/>
  <c r="I364" i="18"/>
  <c r="Q364" i="18"/>
  <c r="R364" i="18" s="1"/>
  <c r="S364" i="18"/>
  <c r="M364" i="18"/>
  <c r="N364" i="18" s="1"/>
  <c r="H364" i="18"/>
  <c r="J365" i="18" s="1"/>
  <c r="F364" i="18"/>
  <c r="C364" i="18"/>
  <c r="O364" i="18"/>
  <c r="P364" i="18" s="1"/>
  <c r="D364" i="18"/>
  <c r="B7" i="17"/>
  <c r="B365" i="18" l="1"/>
  <c r="D365" i="18" s="1"/>
  <c r="D7" i="17"/>
  <c r="H7" i="17"/>
  <c r="J8" i="17" s="1"/>
  <c r="O7" i="17"/>
  <c r="P7" i="17" s="1"/>
  <c r="K7" i="17"/>
  <c r="L7" i="17" s="1"/>
  <c r="G7" i="17"/>
  <c r="Q7" i="17"/>
  <c r="R7" i="17" s="1"/>
  <c r="S7" i="17"/>
  <c r="I7" i="17"/>
  <c r="C7" i="17"/>
  <c r="E7" i="17"/>
  <c r="M7" i="17"/>
  <c r="N7" i="17" s="1"/>
  <c r="F7" i="17"/>
  <c r="C365" i="18" l="1"/>
  <c r="O365" i="18"/>
  <c r="P365" i="18" s="1"/>
  <c r="I365" i="18"/>
  <c r="G365" i="18"/>
  <c r="K365" i="18"/>
  <c r="L365" i="18" s="1"/>
  <c r="H365" i="18"/>
  <c r="J366" i="18" s="1"/>
  <c r="F365" i="18"/>
  <c r="M365" i="18"/>
  <c r="N365" i="18" s="1"/>
  <c r="E365" i="18"/>
  <c r="S365" i="18"/>
  <c r="Q365" i="18"/>
  <c r="R365" i="18" s="1"/>
  <c r="B8" i="17"/>
  <c r="B366" i="18" l="1"/>
  <c r="Q366" i="18" s="1"/>
  <c r="R366" i="18" s="1"/>
  <c r="S8" i="17"/>
  <c r="H8" i="17"/>
  <c r="J9" i="17" s="1"/>
  <c r="M8" i="17"/>
  <c r="N8" i="17" s="1"/>
  <c r="O8" i="17"/>
  <c r="P8" i="17" s="1"/>
  <c r="G8" i="17"/>
  <c r="K8" i="17"/>
  <c r="L8" i="17" s="1"/>
  <c r="C8" i="17"/>
  <c r="F8" i="17"/>
  <c r="E8" i="17"/>
  <c r="I8" i="17"/>
  <c r="Q8" i="17"/>
  <c r="R8" i="17" s="1"/>
  <c r="D8" i="17"/>
  <c r="C366" i="18" l="1"/>
  <c r="M366" i="18"/>
  <c r="N366" i="18" s="1"/>
  <c r="K366" i="18"/>
  <c r="L366" i="18" s="1"/>
  <c r="H366" i="18"/>
  <c r="J367" i="18" s="1"/>
  <c r="G366" i="18"/>
  <c r="I366" i="18"/>
  <c r="F366" i="18"/>
  <c r="O366" i="18"/>
  <c r="P366" i="18" s="1"/>
  <c r="S366" i="18"/>
  <c r="E366" i="18"/>
  <c r="D366" i="18"/>
  <c r="B9" i="17"/>
  <c r="B367" i="18" l="1"/>
  <c r="G367" i="18" s="1"/>
  <c r="O9" i="17"/>
  <c r="P9" i="17" s="1"/>
  <c r="H9" i="17"/>
  <c r="J10" i="17" s="1"/>
  <c r="S9" i="17"/>
  <c r="E9" i="17"/>
  <c r="K9" i="17"/>
  <c r="L9" i="17" s="1"/>
  <c r="I9" i="17"/>
  <c r="F9" i="17"/>
  <c r="C9" i="17"/>
  <c r="D9" i="17"/>
  <c r="M9" i="17"/>
  <c r="N9" i="17" s="1"/>
  <c r="Q9" i="17"/>
  <c r="R9" i="17" s="1"/>
  <c r="G9" i="17"/>
  <c r="Q367" i="18" l="1"/>
  <c r="R367" i="18" s="1"/>
  <c r="C367" i="18"/>
  <c r="I367" i="18"/>
  <c r="K367" i="18"/>
  <c r="L367" i="18" s="1"/>
  <c r="E367" i="18"/>
  <c r="F367" i="18"/>
  <c r="S367" i="18"/>
  <c r="O367" i="18"/>
  <c r="P367" i="18" s="1"/>
  <c r="M367" i="18"/>
  <c r="N367" i="18" s="1"/>
  <c r="H367" i="18"/>
  <c r="J368" i="18" s="1"/>
  <c r="D367" i="18"/>
  <c r="B10" i="17"/>
  <c r="B368" i="18" l="1"/>
  <c r="E368" i="18" s="1"/>
  <c r="Q10" i="17"/>
  <c r="R10" i="17" s="1"/>
  <c r="H10" i="17"/>
  <c r="J11" i="17" s="1"/>
  <c r="K10" i="17"/>
  <c r="L10" i="17" s="1"/>
  <c r="F10" i="17"/>
  <c r="I10" i="17"/>
  <c r="E10" i="17"/>
  <c r="D10" i="17"/>
  <c r="G10" i="17"/>
  <c r="O10" i="17"/>
  <c r="P10" i="17" s="1"/>
  <c r="S10" i="17"/>
  <c r="M10" i="17"/>
  <c r="N10" i="17" s="1"/>
  <c r="C10" i="17"/>
  <c r="C368" i="18" l="1"/>
  <c r="K368" i="18"/>
  <c r="L368" i="18" s="1"/>
  <c r="F368" i="18"/>
  <c r="O368" i="18"/>
  <c r="P368" i="18" s="1"/>
  <c r="D368" i="18"/>
  <c r="Q368" i="18"/>
  <c r="R368" i="18" s="1"/>
  <c r="M368" i="18"/>
  <c r="N368" i="18" s="1"/>
  <c r="I368" i="18"/>
  <c r="G368" i="18"/>
  <c r="H368" i="18"/>
  <c r="J369" i="18" s="1"/>
  <c r="S368" i="18"/>
  <c r="B11" i="17"/>
  <c r="B369" i="18" l="1"/>
  <c r="G369" i="18" s="1"/>
  <c r="H11" i="17"/>
  <c r="J12" i="17" s="1"/>
  <c r="D11" i="17"/>
  <c r="G11" i="17"/>
  <c r="O11" i="17"/>
  <c r="P11" i="17" s="1"/>
  <c r="C11" i="17"/>
  <c r="Q11" i="17"/>
  <c r="R11" i="17" s="1"/>
  <c r="F11" i="17"/>
  <c r="E11" i="17"/>
  <c r="M11" i="17"/>
  <c r="N11" i="17" s="1"/>
  <c r="S11" i="17"/>
  <c r="I11" i="17"/>
  <c r="K11" i="17"/>
  <c r="L11" i="17" s="1"/>
  <c r="S369" i="18" l="1"/>
  <c r="E369" i="18"/>
  <c r="Q369" i="18"/>
  <c r="R369" i="18" s="1"/>
  <c r="H369" i="18"/>
  <c r="J370" i="18" s="1"/>
  <c r="O369" i="18"/>
  <c r="P369" i="18" s="1"/>
  <c r="I369" i="18"/>
  <c r="F369" i="18"/>
  <c r="K369" i="18"/>
  <c r="L369" i="18" s="1"/>
  <c r="D369" i="18"/>
  <c r="C369" i="18"/>
  <c r="M369" i="18"/>
  <c r="N369" i="18" s="1"/>
  <c r="B12" i="17"/>
  <c r="B370" i="18" l="1"/>
  <c r="I370" i="18" s="1"/>
  <c r="H12" i="17"/>
  <c r="J13" i="17" s="1"/>
  <c r="K12" i="17"/>
  <c r="L12" i="17" s="1"/>
  <c r="S12" i="17"/>
  <c r="D12" i="17"/>
  <c r="M12" i="17"/>
  <c r="N12" i="17" s="1"/>
  <c r="F12" i="17"/>
  <c r="E12" i="17"/>
  <c r="C12" i="17"/>
  <c r="I12" i="17"/>
  <c r="G12" i="17"/>
  <c r="Q12" i="17"/>
  <c r="R12" i="17" s="1"/>
  <c r="O12" i="17"/>
  <c r="P12" i="17" s="1"/>
  <c r="D370" i="18" l="1"/>
  <c r="H370" i="18"/>
  <c r="J371" i="18" s="1"/>
  <c r="S370" i="18"/>
  <c r="F370" i="18"/>
  <c r="M370" i="18"/>
  <c r="N370" i="18" s="1"/>
  <c r="K370" i="18"/>
  <c r="L370" i="18" s="1"/>
  <c r="E370" i="18"/>
  <c r="Q370" i="18"/>
  <c r="R370" i="18" s="1"/>
  <c r="O370" i="18"/>
  <c r="P370" i="18" s="1"/>
  <c r="G370" i="18"/>
  <c r="C370" i="18"/>
  <c r="B13" i="17"/>
  <c r="B371" i="18" l="1"/>
  <c r="O371" i="18" s="1"/>
  <c r="P371" i="18" s="1"/>
  <c r="E13" i="17"/>
  <c r="H13" i="17"/>
  <c r="J14" i="17" s="1"/>
  <c r="Q13" i="17"/>
  <c r="R13" i="17" s="1"/>
  <c r="S13" i="17"/>
  <c r="D13" i="17"/>
  <c r="K13" i="17"/>
  <c r="L13" i="17" s="1"/>
  <c r="M13" i="17"/>
  <c r="N13" i="17" s="1"/>
  <c r="I13" i="17"/>
  <c r="F13" i="17"/>
  <c r="G13" i="17"/>
  <c r="C13" i="17"/>
  <c r="O13" i="17"/>
  <c r="P13" i="17" s="1"/>
  <c r="Q371" i="18" l="1"/>
  <c r="R371" i="18" s="1"/>
  <c r="B372" i="18" s="1"/>
  <c r="I371" i="18"/>
  <c r="S371" i="18"/>
  <c r="K371" i="18"/>
  <c r="L371" i="18" s="1"/>
  <c r="M371" i="18"/>
  <c r="N371" i="18" s="1"/>
  <c r="G371" i="18"/>
  <c r="C371" i="18"/>
  <c r="D371" i="18"/>
  <c r="E371" i="18"/>
  <c r="H371" i="18"/>
  <c r="J372" i="18" s="1"/>
  <c r="F371" i="18"/>
  <c r="B14" i="17"/>
  <c r="D372" i="18" l="1"/>
  <c r="O372" i="18"/>
  <c r="P372" i="18" s="1"/>
  <c r="M372" i="18"/>
  <c r="N372" i="18" s="1"/>
  <c r="K372" i="18"/>
  <c r="L372" i="18" s="1"/>
  <c r="I372" i="18"/>
  <c r="H372" i="18"/>
  <c r="J373" i="18" s="1"/>
  <c r="E372" i="18"/>
  <c r="C372" i="18"/>
  <c r="S372" i="18"/>
  <c r="F372" i="18"/>
  <c r="Q372" i="18"/>
  <c r="R372" i="18" s="1"/>
  <c r="G372" i="18"/>
  <c r="D14" i="17"/>
  <c r="H14" i="17"/>
  <c r="J15" i="17" s="1"/>
  <c r="C14" i="17"/>
  <c r="S14" i="17"/>
  <c r="O14" i="17"/>
  <c r="P14" i="17" s="1"/>
  <c r="Q14" i="17"/>
  <c r="R14" i="17" s="1"/>
  <c r="I14" i="17"/>
  <c r="G14" i="17"/>
  <c r="M14" i="17"/>
  <c r="N14" i="17" s="1"/>
  <c r="F14" i="17"/>
  <c r="E14" i="17"/>
  <c r="K14" i="17"/>
  <c r="L14" i="17" s="1"/>
  <c r="B373" i="18" l="1"/>
  <c r="D373" i="18" s="1"/>
  <c r="B15" i="17"/>
  <c r="I373" i="18" l="1"/>
  <c r="O373" i="18"/>
  <c r="P373" i="18" s="1"/>
  <c r="M373" i="18"/>
  <c r="N373" i="18" s="1"/>
  <c r="C373" i="18"/>
  <c r="F373" i="18"/>
  <c r="E373" i="18"/>
  <c r="G373" i="18"/>
  <c r="K373" i="18"/>
  <c r="L373" i="18" s="1"/>
  <c r="H373" i="18"/>
  <c r="J374" i="18" s="1"/>
  <c r="Q373" i="18"/>
  <c r="R373" i="18" s="1"/>
  <c r="S373" i="18"/>
  <c r="D15" i="17"/>
  <c r="H15" i="17"/>
  <c r="J16" i="17" s="1"/>
  <c r="I15" i="17"/>
  <c r="E15" i="17"/>
  <c r="S15" i="17"/>
  <c r="G15" i="17"/>
  <c r="Q15" i="17"/>
  <c r="R15" i="17" s="1"/>
  <c r="C15" i="17"/>
  <c r="O15" i="17"/>
  <c r="P15" i="17" s="1"/>
  <c r="F15" i="17"/>
  <c r="K15" i="17"/>
  <c r="L15" i="17" s="1"/>
  <c r="M15" i="17"/>
  <c r="N15" i="17" s="1"/>
  <c r="B374" i="18" l="1"/>
  <c r="D374" i="18" s="1"/>
  <c r="B16" i="17"/>
  <c r="Q374" i="18" l="1"/>
  <c r="R374" i="18" s="1"/>
  <c r="S374" i="18"/>
  <c r="K374" i="18"/>
  <c r="L374" i="18" s="1"/>
  <c r="G374" i="18"/>
  <c r="M374" i="18"/>
  <c r="N374" i="18" s="1"/>
  <c r="F374" i="18"/>
  <c r="O374" i="18"/>
  <c r="P374" i="18" s="1"/>
  <c r="C374" i="18"/>
  <c r="E374" i="18"/>
  <c r="I374" i="18"/>
  <c r="H374" i="18"/>
  <c r="J375" i="18" s="1"/>
  <c r="D16" i="17"/>
  <c r="H16" i="17"/>
  <c r="J17" i="17" s="1"/>
  <c r="K16" i="17"/>
  <c r="L16" i="17" s="1"/>
  <c r="F16" i="17"/>
  <c r="O16" i="17"/>
  <c r="P16" i="17" s="1"/>
  <c r="Q16" i="17"/>
  <c r="R16" i="17" s="1"/>
  <c r="E16" i="17"/>
  <c r="S16" i="17"/>
  <c r="G16" i="17"/>
  <c r="C16" i="17"/>
  <c r="I16" i="17"/>
  <c r="M16" i="17"/>
  <c r="N16" i="17" s="1"/>
  <c r="B375" i="18" l="1"/>
  <c r="D375" i="18" s="1"/>
  <c r="B17" i="17"/>
  <c r="Q375" i="18" l="1"/>
  <c r="R375" i="18" s="1"/>
  <c r="H375" i="18"/>
  <c r="J376" i="18" s="1"/>
  <c r="K375" i="18"/>
  <c r="L375" i="18" s="1"/>
  <c r="S375" i="18"/>
  <c r="O375" i="18"/>
  <c r="P375" i="18" s="1"/>
  <c r="G375" i="18"/>
  <c r="F375" i="18"/>
  <c r="I375" i="18"/>
  <c r="M375" i="18"/>
  <c r="N375" i="18" s="1"/>
  <c r="C375" i="18"/>
  <c r="E375" i="18"/>
  <c r="H17" i="17"/>
  <c r="J18" i="17" s="1"/>
  <c r="C17" i="17"/>
  <c r="F17" i="17"/>
  <c r="K17" i="17"/>
  <c r="L17" i="17" s="1"/>
  <c r="O17" i="17"/>
  <c r="P17" i="17" s="1"/>
  <c r="M17" i="17"/>
  <c r="N17" i="17" s="1"/>
  <c r="S17" i="17"/>
  <c r="I17" i="17"/>
  <c r="D17" i="17"/>
  <c r="E17" i="17"/>
  <c r="Q17" i="17"/>
  <c r="R17" i="17" s="1"/>
  <c r="G17" i="17"/>
  <c r="B376" i="18" l="1"/>
  <c r="H376" i="18" s="1"/>
  <c r="J377" i="18" s="1"/>
  <c r="B18" i="17"/>
  <c r="K376" i="18" l="1"/>
  <c r="L376" i="18" s="1"/>
  <c r="C376" i="18"/>
  <c r="F376" i="18"/>
  <c r="G376" i="18"/>
  <c r="D376" i="18"/>
  <c r="E376" i="18"/>
  <c r="M376" i="18"/>
  <c r="N376" i="18" s="1"/>
  <c r="I376" i="18"/>
  <c r="Q376" i="18"/>
  <c r="R376" i="18" s="1"/>
  <c r="S376" i="18"/>
  <c r="O376" i="18"/>
  <c r="P376" i="18" s="1"/>
  <c r="D18" i="17"/>
  <c r="H18" i="17"/>
  <c r="J19" i="17" s="1"/>
  <c r="E18" i="17"/>
  <c r="Q18" i="17"/>
  <c r="R18" i="17" s="1"/>
  <c r="I18" i="17"/>
  <c r="G18" i="17"/>
  <c r="C18" i="17"/>
  <c r="O18" i="17"/>
  <c r="P18" i="17" s="1"/>
  <c r="K18" i="17"/>
  <c r="L18" i="17" s="1"/>
  <c r="S18" i="17"/>
  <c r="M18" i="17"/>
  <c r="N18" i="17" s="1"/>
  <c r="F18" i="17"/>
  <c r="B377" i="18" l="1"/>
  <c r="D377" i="18" s="1"/>
  <c r="B19" i="17"/>
  <c r="H377" i="18" l="1"/>
  <c r="J378" i="18" s="1"/>
  <c r="C377" i="18"/>
  <c r="Q377" i="18"/>
  <c r="R377" i="18" s="1"/>
  <c r="F377" i="18"/>
  <c r="M377" i="18"/>
  <c r="N377" i="18" s="1"/>
  <c r="K377" i="18"/>
  <c r="L377" i="18" s="1"/>
  <c r="I377" i="18"/>
  <c r="O377" i="18"/>
  <c r="P377" i="18" s="1"/>
  <c r="G377" i="18"/>
  <c r="S377" i="18"/>
  <c r="E377" i="18"/>
  <c r="E19" i="17"/>
  <c r="H19" i="17"/>
  <c r="J20" i="17" s="1"/>
  <c r="I19" i="17"/>
  <c r="D19" i="17"/>
  <c r="K19" i="17"/>
  <c r="L19" i="17" s="1"/>
  <c r="M19" i="17"/>
  <c r="N19" i="17" s="1"/>
  <c r="G19" i="17"/>
  <c r="S19" i="17"/>
  <c r="Q19" i="17"/>
  <c r="R19" i="17" s="1"/>
  <c r="C19" i="17"/>
  <c r="O19" i="17"/>
  <c r="P19" i="17" s="1"/>
  <c r="F19" i="17"/>
  <c r="B378" i="18" l="1"/>
  <c r="C378" i="18" s="1"/>
  <c r="B20" i="17"/>
  <c r="S378" i="18" l="1"/>
  <c r="E378" i="18"/>
  <c r="K378" i="18"/>
  <c r="L378" i="18" s="1"/>
  <c r="G378" i="18"/>
  <c r="M378" i="18"/>
  <c r="N378" i="18" s="1"/>
  <c r="I378" i="18"/>
  <c r="D378" i="18"/>
  <c r="F378" i="18"/>
  <c r="O378" i="18"/>
  <c r="P378" i="18" s="1"/>
  <c r="H378" i="18"/>
  <c r="J379" i="18" s="1"/>
  <c r="Q378" i="18"/>
  <c r="R378" i="18" s="1"/>
  <c r="I20" i="17"/>
  <c r="H20" i="17"/>
  <c r="J21" i="17" s="1"/>
  <c r="E20" i="17"/>
  <c r="C20" i="17"/>
  <c r="K20" i="17"/>
  <c r="L20" i="17" s="1"/>
  <c r="D20" i="17"/>
  <c r="G20" i="17"/>
  <c r="Q20" i="17"/>
  <c r="R20" i="17" s="1"/>
  <c r="O20" i="17"/>
  <c r="P20" i="17" s="1"/>
  <c r="F20" i="17"/>
  <c r="M20" i="17"/>
  <c r="N20" i="17" s="1"/>
  <c r="S20" i="17"/>
  <c r="B379" i="18" l="1"/>
  <c r="D379" i="18" s="1"/>
  <c r="B21" i="17"/>
  <c r="C379" i="18" l="1"/>
  <c r="O379" i="18"/>
  <c r="P379" i="18" s="1"/>
  <c r="H379" i="18"/>
  <c r="J380" i="18" s="1"/>
  <c r="G379" i="18"/>
  <c r="F379" i="18"/>
  <c r="E379" i="18"/>
  <c r="M379" i="18"/>
  <c r="N379" i="18" s="1"/>
  <c r="K379" i="18"/>
  <c r="L379" i="18" s="1"/>
  <c r="I379" i="18"/>
  <c r="Q379" i="18"/>
  <c r="R379" i="18" s="1"/>
  <c r="S379" i="18"/>
  <c r="K21" i="17"/>
  <c r="L21" i="17" s="1"/>
  <c r="H21" i="17"/>
  <c r="J22" i="17" s="1"/>
  <c r="E21" i="17"/>
  <c r="D21" i="17"/>
  <c r="O21" i="17"/>
  <c r="P21" i="17" s="1"/>
  <c r="C21" i="17"/>
  <c r="Q21" i="17"/>
  <c r="R21" i="17" s="1"/>
  <c r="F21" i="17"/>
  <c r="I21" i="17"/>
  <c r="M21" i="17"/>
  <c r="N21" i="17" s="1"/>
  <c r="S21" i="17"/>
  <c r="G21" i="17"/>
  <c r="B380" i="18" l="1"/>
  <c r="O380" i="18" s="1"/>
  <c r="P380" i="18" s="1"/>
  <c r="B22" i="17"/>
  <c r="K380" i="18" l="1"/>
  <c r="L380" i="18" s="1"/>
  <c r="F380" i="18"/>
  <c r="C380" i="18"/>
  <c r="H380" i="18"/>
  <c r="J381" i="18" s="1"/>
  <c r="Q380" i="18"/>
  <c r="R380" i="18" s="1"/>
  <c r="B381" i="18" s="1"/>
  <c r="G380" i="18"/>
  <c r="I380" i="18"/>
  <c r="E380" i="18"/>
  <c r="D380" i="18"/>
  <c r="M380" i="18"/>
  <c r="N380" i="18" s="1"/>
  <c r="S380" i="18"/>
  <c r="G22" i="17"/>
  <c r="H22" i="17"/>
  <c r="J23" i="17" s="1"/>
  <c r="I22" i="17"/>
  <c r="E22" i="17"/>
  <c r="Q22" i="17"/>
  <c r="R22" i="17" s="1"/>
  <c r="C22" i="17"/>
  <c r="O22" i="17"/>
  <c r="P22" i="17" s="1"/>
  <c r="K22" i="17"/>
  <c r="L22" i="17" s="1"/>
  <c r="S22" i="17"/>
  <c r="F22" i="17"/>
  <c r="M22" i="17"/>
  <c r="N22" i="17" s="1"/>
  <c r="D22" i="17"/>
  <c r="D381" i="18" l="1"/>
  <c r="I381" i="18"/>
  <c r="E381" i="18"/>
  <c r="M381" i="18"/>
  <c r="N381" i="18" s="1"/>
  <c r="F381" i="18"/>
  <c r="H381" i="18"/>
  <c r="J382" i="18" s="1"/>
  <c r="G381" i="18"/>
  <c r="Q381" i="18"/>
  <c r="R381" i="18" s="1"/>
  <c r="K381" i="18"/>
  <c r="L381" i="18" s="1"/>
  <c r="C381" i="18"/>
  <c r="O381" i="18"/>
  <c r="P381" i="18" s="1"/>
  <c r="S381" i="18"/>
  <c r="B23" i="17"/>
  <c r="B382" i="18" l="1"/>
  <c r="H23" i="17"/>
  <c r="J24" i="17" s="1"/>
  <c r="M23" i="17"/>
  <c r="N23" i="17" s="1"/>
  <c r="I23" i="17"/>
  <c r="Q23" i="17"/>
  <c r="R23" i="17" s="1"/>
  <c r="G23" i="17"/>
  <c r="E23" i="17"/>
  <c r="K23" i="17"/>
  <c r="L23" i="17" s="1"/>
  <c r="C23" i="17"/>
  <c r="F23" i="17"/>
  <c r="D23" i="17"/>
  <c r="O23" i="17"/>
  <c r="P23" i="17" s="1"/>
  <c r="S23" i="17"/>
  <c r="D382" i="18" l="1"/>
  <c r="F382" i="18"/>
  <c r="I382" i="18"/>
  <c r="K382" i="18"/>
  <c r="L382" i="18" s="1"/>
  <c r="S382" i="18"/>
  <c r="Q382" i="18"/>
  <c r="R382" i="18" s="1"/>
  <c r="G382" i="18"/>
  <c r="H382" i="18"/>
  <c r="J383" i="18" s="1"/>
  <c r="M382" i="18"/>
  <c r="N382" i="18" s="1"/>
  <c r="O382" i="18"/>
  <c r="P382" i="18" s="1"/>
  <c r="C382" i="18"/>
  <c r="E382" i="18"/>
  <c r="B24" i="17"/>
  <c r="B383" i="18" l="1"/>
  <c r="H24" i="17"/>
  <c r="J25" i="17" s="1"/>
  <c r="I24" i="17"/>
  <c r="G24" i="17"/>
  <c r="O24" i="17"/>
  <c r="P24" i="17" s="1"/>
  <c r="S24" i="17"/>
  <c r="Q24" i="17"/>
  <c r="R24" i="17" s="1"/>
  <c r="D24" i="17"/>
  <c r="F24" i="17"/>
  <c r="K24" i="17"/>
  <c r="L24" i="17" s="1"/>
  <c r="C24" i="17"/>
  <c r="M24" i="17"/>
  <c r="N24" i="17" s="1"/>
  <c r="E24" i="17"/>
  <c r="D383" i="18" l="1"/>
  <c r="H383" i="18"/>
  <c r="J384" i="18" s="1"/>
  <c r="F383" i="18"/>
  <c r="I383" i="18"/>
  <c r="Q383" i="18"/>
  <c r="R383" i="18" s="1"/>
  <c r="C383" i="18"/>
  <c r="K383" i="18"/>
  <c r="L383" i="18" s="1"/>
  <c r="M383" i="18"/>
  <c r="N383" i="18" s="1"/>
  <c r="G383" i="18"/>
  <c r="O383" i="18"/>
  <c r="P383" i="18" s="1"/>
  <c r="E383" i="18"/>
  <c r="S383" i="18"/>
  <c r="B25" i="17"/>
  <c r="B384" i="18" l="1"/>
  <c r="D384" i="18" s="1"/>
  <c r="C25" i="17"/>
  <c r="H25" i="17"/>
  <c r="J26" i="17" s="1"/>
  <c r="K25" i="17"/>
  <c r="L25" i="17" s="1"/>
  <c r="E25" i="17"/>
  <c r="O25" i="17"/>
  <c r="P25" i="17" s="1"/>
  <c r="F25" i="17"/>
  <c r="S25" i="17"/>
  <c r="Q25" i="17"/>
  <c r="R25" i="17" s="1"/>
  <c r="D25" i="17"/>
  <c r="G25" i="17"/>
  <c r="I25" i="17"/>
  <c r="M25" i="17"/>
  <c r="N25" i="17" s="1"/>
  <c r="G384" i="18" l="1"/>
  <c r="C384" i="18"/>
  <c r="Q384" i="18"/>
  <c r="R384" i="18" s="1"/>
  <c r="M384" i="18"/>
  <c r="N384" i="18" s="1"/>
  <c r="K384" i="18"/>
  <c r="L384" i="18" s="1"/>
  <c r="O384" i="18"/>
  <c r="P384" i="18" s="1"/>
  <c r="E384" i="18"/>
  <c r="I384" i="18"/>
  <c r="S384" i="18"/>
  <c r="F384" i="18"/>
  <c r="H384" i="18"/>
  <c r="J385" i="18" s="1"/>
  <c r="B26" i="17"/>
  <c r="B385" i="18" l="1"/>
  <c r="M26" i="17"/>
  <c r="N26" i="17" s="1"/>
  <c r="H26" i="17"/>
  <c r="J27" i="17" s="1"/>
  <c r="D26" i="17"/>
  <c r="E26" i="17"/>
  <c r="I26" i="17"/>
  <c r="F26" i="17"/>
  <c r="C26" i="17"/>
  <c r="O26" i="17"/>
  <c r="P26" i="17" s="1"/>
  <c r="S26" i="17"/>
  <c r="K26" i="17"/>
  <c r="L26" i="17" s="1"/>
  <c r="G26" i="17"/>
  <c r="Q26" i="17"/>
  <c r="R26" i="17" s="1"/>
  <c r="D385" i="18" l="1"/>
  <c r="M385" i="18"/>
  <c r="N385" i="18" s="1"/>
  <c r="G385" i="18"/>
  <c r="E385" i="18"/>
  <c r="K385" i="18"/>
  <c r="L385" i="18" s="1"/>
  <c r="S385" i="18"/>
  <c r="Q385" i="18"/>
  <c r="R385" i="18" s="1"/>
  <c r="F385" i="18"/>
  <c r="H385" i="18"/>
  <c r="J386" i="18" s="1"/>
  <c r="C385" i="18"/>
  <c r="O385" i="18"/>
  <c r="P385" i="18" s="1"/>
  <c r="I385" i="18"/>
  <c r="B27" i="17"/>
  <c r="B386" i="18" l="1"/>
  <c r="D386" i="18" s="1"/>
  <c r="C27" i="17"/>
  <c r="H27" i="17"/>
  <c r="J28" i="17" s="1"/>
  <c r="O27" i="17"/>
  <c r="P27" i="17" s="1"/>
  <c r="E27" i="17"/>
  <c r="M27" i="17"/>
  <c r="N27" i="17" s="1"/>
  <c r="Q27" i="17"/>
  <c r="R27" i="17" s="1"/>
  <c r="K27" i="17"/>
  <c r="L27" i="17" s="1"/>
  <c r="F27" i="17"/>
  <c r="S27" i="17"/>
  <c r="D27" i="17"/>
  <c r="I27" i="17"/>
  <c r="G27" i="17"/>
  <c r="I386" i="18" l="1"/>
  <c r="F386" i="18"/>
  <c r="Q386" i="18"/>
  <c r="R386" i="18" s="1"/>
  <c r="E386" i="18"/>
  <c r="C386" i="18"/>
  <c r="K386" i="18"/>
  <c r="L386" i="18" s="1"/>
  <c r="M386" i="18"/>
  <c r="N386" i="18" s="1"/>
  <c r="G386" i="18"/>
  <c r="H386" i="18"/>
  <c r="J387" i="18" s="1"/>
  <c r="O386" i="18"/>
  <c r="P386" i="18" s="1"/>
  <c r="S386" i="18"/>
  <c r="B28" i="17"/>
  <c r="B387" i="18" l="1"/>
  <c r="G387" i="18" s="1"/>
  <c r="F28" i="17"/>
  <c r="H28" i="17"/>
  <c r="J29" i="17" s="1"/>
  <c r="D28" i="17"/>
  <c r="E28" i="17"/>
  <c r="O28" i="17"/>
  <c r="P28" i="17" s="1"/>
  <c r="I28" i="17"/>
  <c r="C28" i="17"/>
  <c r="Q28" i="17"/>
  <c r="R28" i="17" s="1"/>
  <c r="M28" i="17"/>
  <c r="N28" i="17" s="1"/>
  <c r="S28" i="17"/>
  <c r="G28" i="17"/>
  <c r="K28" i="17"/>
  <c r="L28" i="17" s="1"/>
  <c r="K387" i="18" l="1"/>
  <c r="L387" i="18" s="1"/>
  <c r="Q387" i="18"/>
  <c r="R387" i="18" s="1"/>
  <c r="D387" i="18"/>
  <c r="O387" i="18"/>
  <c r="P387" i="18" s="1"/>
  <c r="I387" i="18"/>
  <c r="C387" i="18"/>
  <c r="E387" i="18"/>
  <c r="S387" i="18"/>
  <c r="M387" i="18"/>
  <c r="N387" i="18" s="1"/>
  <c r="H387" i="18"/>
  <c r="J388" i="18" s="1"/>
  <c r="F387" i="18"/>
  <c r="B29" i="17"/>
  <c r="B388" i="18" l="1"/>
  <c r="D388" i="18" s="1"/>
  <c r="F29" i="17"/>
  <c r="H29" i="17"/>
  <c r="J30" i="17" s="1"/>
  <c r="O29" i="17"/>
  <c r="P29" i="17" s="1"/>
  <c r="I29" i="17"/>
  <c r="D29" i="17"/>
  <c r="G29" i="17"/>
  <c r="C29" i="17"/>
  <c r="Q29" i="17"/>
  <c r="R29" i="17" s="1"/>
  <c r="M29" i="17"/>
  <c r="N29" i="17" s="1"/>
  <c r="E29" i="17"/>
  <c r="K29" i="17"/>
  <c r="L29" i="17" s="1"/>
  <c r="S29" i="17"/>
  <c r="Q388" i="18" l="1"/>
  <c r="R388" i="18" s="1"/>
  <c r="C388" i="18"/>
  <c r="G388" i="18"/>
  <c r="F388" i="18"/>
  <c r="E388" i="18"/>
  <c r="M388" i="18"/>
  <c r="N388" i="18" s="1"/>
  <c r="I388" i="18"/>
  <c r="H388" i="18"/>
  <c r="J389" i="18" s="1"/>
  <c r="K388" i="18"/>
  <c r="L388" i="18" s="1"/>
  <c r="O388" i="18"/>
  <c r="P388" i="18" s="1"/>
  <c r="S388" i="18"/>
  <c r="B30" i="17"/>
  <c r="B389" i="18" l="1"/>
  <c r="D389" i="18" s="1"/>
  <c r="G30" i="17"/>
  <c r="H30" i="17"/>
  <c r="J31" i="17" s="1"/>
  <c r="S30" i="17"/>
  <c r="Q30" i="17"/>
  <c r="R30" i="17" s="1"/>
  <c r="F30" i="17"/>
  <c r="D30" i="17"/>
  <c r="I30" i="17"/>
  <c r="C30" i="17"/>
  <c r="E30" i="17"/>
  <c r="K30" i="17"/>
  <c r="L30" i="17" s="1"/>
  <c r="O30" i="17"/>
  <c r="P30" i="17" s="1"/>
  <c r="M30" i="17"/>
  <c r="N30" i="17" s="1"/>
  <c r="C389" i="18" l="1"/>
  <c r="O389" i="18"/>
  <c r="P389" i="18" s="1"/>
  <c r="S389" i="18"/>
  <c r="M389" i="18"/>
  <c r="N389" i="18" s="1"/>
  <c r="F389" i="18"/>
  <c r="E389" i="18"/>
  <c r="H389" i="18"/>
  <c r="J390" i="18" s="1"/>
  <c r="Q389" i="18"/>
  <c r="R389" i="18" s="1"/>
  <c r="G389" i="18"/>
  <c r="I389" i="18"/>
  <c r="K389" i="18"/>
  <c r="L389" i="18" s="1"/>
  <c r="B31" i="17"/>
  <c r="B390" i="18" l="1"/>
  <c r="C390" i="18" s="1"/>
  <c r="C31" i="17"/>
  <c r="H31" i="17"/>
  <c r="J32" i="17" s="1"/>
  <c r="F31" i="17"/>
  <c r="I31" i="17"/>
  <c r="D31" i="17"/>
  <c r="M31" i="17"/>
  <c r="N31" i="17" s="1"/>
  <c r="K31" i="17"/>
  <c r="L31" i="17" s="1"/>
  <c r="O31" i="17"/>
  <c r="P31" i="17" s="1"/>
  <c r="S31" i="17"/>
  <c r="Q31" i="17"/>
  <c r="R31" i="17" s="1"/>
  <c r="E31" i="17"/>
  <c r="G31" i="17"/>
  <c r="O390" i="18" l="1"/>
  <c r="P390" i="18" s="1"/>
  <c r="K390" i="18"/>
  <c r="L390" i="18" s="1"/>
  <c r="S390" i="18"/>
  <c r="H390" i="18"/>
  <c r="J391" i="18" s="1"/>
  <c r="F390" i="18"/>
  <c r="Q390" i="18"/>
  <c r="R390" i="18" s="1"/>
  <c r="G390" i="18"/>
  <c r="M390" i="18"/>
  <c r="N390" i="18" s="1"/>
  <c r="I390" i="18"/>
  <c r="E390" i="18"/>
  <c r="D390" i="18"/>
  <c r="B32" i="17"/>
  <c r="B391" i="18" l="1"/>
  <c r="D391" i="18" s="1"/>
  <c r="F32" i="17"/>
  <c r="H32" i="17"/>
  <c r="J33" i="17" s="1"/>
  <c r="M32" i="17"/>
  <c r="N32" i="17" s="1"/>
  <c r="D32" i="17"/>
  <c r="I32" i="17"/>
  <c r="S32" i="17"/>
  <c r="O32" i="17"/>
  <c r="P32" i="17" s="1"/>
  <c r="Q32" i="17"/>
  <c r="R32" i="17" s="1"/>
  <c r="E32" i="17"/>
  <c r="K32" i="17"/>
  <c r="L32" i="17" s="1"/>
  <c r="C32" i="17"/>
  <c r="G32" i="17"/>
  <c r="M391" i="18" l="1"/>
  <c r="N391" i="18" s="1"/>
  <c r="H391" i="18"/>
  <c r="J392" i="18" s="1"/>
  <c r="Q391" i="18"/>
  <c r="R391" i="18" s="1"/>
  <c r="E391" i="18"/>
  <c r="K391" i="18"/>
  <c r="L391" i="18" s="1"/>
  <c r="G391" i="18"/>
  <c r="O391" i="18"/>
  <c r="P391" i="18" s="1"/>
  <c r="F391" i="18"/>
  <c r="I391" i="18"/>
  <c r="C391" i="18"/>
  <c r="S391" i="18"/>
  <c r="B33" i="17"/>
  <c r="B392" i="18" l="1"/>
  <c r="D392" i="18" s="1"/>
  <c r="G33" i="17"/>
  <c r="H33" i="17"/>
  <c r="J34" i="17" s="1"/>
  <c r="Q33" i="17"/>
  <c r="R33" i="17" s="1"/>
  <c r="C33" i="17"/>
  <c r="E33" i="17"/>
  <c r="K33" i="17"/>
  <c r="L33" i="17" s="1"/>
  <c r="M33" i="17"/>
  <c r="N33" i="17" s="1"/>
  <c r="F33" i="17"/>
  <c r="I33" i="17"/>
  <c r="D33" i="17"/>
  <c r="O33" i="17"/>
  <c r="P33" i="17" s="1"/>
  <c r="S33" i="17"/>
  <c r="S392" i="18" l="1"/>
  <c r="E392" i="18"/>
  <c r="F392" i="18"/>
  <c r="C392" i="18"/>
  <c r="Q392" i="18"/>
  <c r="R392" i="18" s="1"/>
  <c r="O392" i="18"/>
  <c r="P392" i="18" s="1"/>
  <c r="I392" i="18"/>
  <c r="G392" i="18"/>
  <c r="M392" i="18"/>
  <c r="N392" i="18" s="1"/>
  <c r="H392" i="18"/>
  <c r="J393" i="18" s="1"/>
  <c r="K392" i="18"/>
  <c r="L392" i="18" s="1"/>
  <c r="B34" i="17"/>
  <c r="B393" i="18" l="1"/>
  <c r="K393" i="18" s="1"/>
  <c r="L393" i="18" s="1"/>
  <c r="E34" i="17"/>
  <c r="H34" i="17"/>
  <c r="J35" i="17" s="1"/>
  <c r="M34" i="17"/>
  <c r="N34" i="17" s="1"/>
  <c r="G34" i="17"/>
  <c r="C34" i="17"/>
  <c r="Q34" i="17"/>
  <c r="R34" i="17" s="1"/>
  <c r="S34" i="17"/>
  <c r="D34" i="17"/>
  <c r="K34" i="17"/>
  <c r="L34" i="17" s="1"/>
  <c r="O34" i="17"/>
  <c r="P34" i="17" s="1"/>
  <c r="F34" i="17"/>
  <c r="I34" i="17"/>
  <c r="I393" i="18" l="1"/>
  <c r="M393" i="18"/>
  <c r="N393" i="18" s="1"/>
  <c r="Q393" i="18"/>
  <c r="R393" i="18" s="1"/>
  <c r="F393" i="18"/>
  <c r="C393" i="18"/>
  <c r="S393" i="18"/>
  <c r="E393" i="18"/>
  <c r="H393" i="18"/>
  <c r="J394" i="18" s="1"/>
  <c r="D393" i="18"/>
  <c r="O393" i="18"/>
  <c r="P393" i="18" s="1"/>
  <c r="G393" i="18"/>
  <c r="B35" i="17"/>
  <c r="B394" i="18" l="1"/>
  <c r="K394" i="18" s="1"/>
  <c r="L394" i="18" s="1"/>
  <c r="D35" i="17"/>
  <c r="H35" i="17"/>
  <c r="J36" i="17" s="1"/>
  <c r="F35" i="17"/>
  <c r="Q35" i="17"/>
  <c r="R35" i="17" s="1"/>
  <c r="I35" i="17"/>
  <c r="S35" i="17"/>
  <c r="K35" i="17"/>
  <c r="L35" i="17" s="1"/>
  <c r="E35" i="17"/>
  <c r="C35" i="17"/>
  <c r="O35" i="17"/>
  <c r="P35" i="17" s="1"/>
  <c r="G35" i="17"/>
  <c r="M35" i="17"/>
  <c r="N35" i="17" s="1"/>
  <c r="S394" i="18" l="1"/>
  <c r="M394" i="18"/>
  <c r="N394" i="18" s="1"/>
  <c r="O394" i="18"/>
  <c r="P394" i="18" s="1"/>
  <c r="H394" i="18"/>
  <c r="J395" i="18" s="1"/>
  <c r="F394" i="18"/>
  <c r="D394" i="18"/>
  <c r="C394" i="18"/>
  <c r="I394" i="18"/>
  <c r="G394" i="18"/>
  <c r="Q394" i="18"/>
  <c r="R394" i="18" s="1"/>
  <c r="E394" i="18"/>
  <c r="B36" i="17"/>
  <c r="B395" i="18" l="1"/>
  <c r="O395" i="18" s="1"/>
  <c r="P395" i="18" s="1"/>
  <c r="D36" i="17"/>
  <c r="H36" i="17"/>
  <c r="J37" i="17" s="1"/>
  <c r="C36" i="17"/>
  <c r="F36" i="17"/>
  <c r="I36" i="17"/>
  <c r="O36" i="17"/>
  <c r="P36" i="17" s="1"/>
  <c r="S36" i="17"/>
  <c r="K36" i="17"/>
  <c r="L36" i="17" s="1"/>
  <c r="M36" i="17"/>
  <c r="N36" i="17" s="1"/>
  <c r="E36" i="17"/>
  <c r="Q36" i="17"/>
  <c r="R36" i="17" s="1"/>
  <c r="G36" i="17"/>
  <c r="C395" i="18" l="1"/>
  <c r="M395" i="18"/>
  <c r="N395" i="18" s="1"/>
  <c r="Q395" i="18"/>
  <c r="R395" i="18" s="1"/>
  <c r="B396" i="18" s="1"/>
  <c r="S395" i="18"/>
  <c r="K395" i="18"/>
  <c r="L395" i="18" s="1"/>
  <c r="I395" i="18"/>
  <c r="H395" i="18"/>
  <c r="J396" i="18" s="1"/>
  <c r="G395" i="18"/>
  <c r="E395" i="18"/>
  <c r="D395" i="18"/>
  <c r="F395" i="18"/>
  <c r="B37" i="17"/>
  <c r="M396" i="18" l="1"/>
  <c r="N396" i="18" s="1"/>
  <c r="D396" i="18"/>
  <c r="Q396" i="18"/>
  <c r="R396" i="18" s="1"/>
  <c r="I396" i="18"/>
  <c r="H396" i="18"/>
  <c r="J397" i="18" s="1"/>
  <c r="O396" i="18"/>
  <c r="P396" i="18" s="1"/>
  <c r="C396" i="18"/>
  <c r="E396" i="18"/>
  <c r="F396" i="18"/>
  <c r="G396" i="18"/>
  <c r="S396" i="18"/>
  <c r="K396" i="18"/>
  <c r="L396" i="18" s="1"/>
  <c r="Q37" i="17"/>
  <c r="R37" i="17" s="1"/>
  <c r="H37" i="17"/>
  <c r="J38" i="17" s="1"/>
  <c r="D37" i="17"/>
  <c r="F37" i="17"/>
  <c r="O37" i="17"/>
  <c r="P37" i="17" s="1"/>
  <c r="I37" i="17"/>
  <c r="M37" i="17"/>
  <c r="N37" i="17" s="1"/>
  <c r="K37" i="17"/>
  <c r="L37" i="17" s="1"/>
  <c r="G37" i="17"/>
  <c r="S37" i="17"/>
  <c r="E37" i="17"/>
  <c r="C37" i="17"/>
  <c r="B397" i="18" l="1"/>
  <c r="O397" i="18" s="1"/>
  <c r="P397" i="18" s="1"/>
  <c r="B38" i="17"/>
  <c r="K397" i="18" l="1"/>
  <c r="L397" i="18" s="1"/>
  <c r="H397" i="18"/>
  <c r="J398" i="18" s="1"/>
  <c r="E397" i="18"/>
  <c r="M397" i="18"/>
  <c r="N397" i="18" s="1"/>
  <c r="C397" i="18"/>
  <c r="D397" i="18"/>
  <c r="I397" i="18"/>
  <c r="G397" i="18"/>
  <c r="F397" i="18"/>
  <c r="Q397" i="18"/>
  <c r="R397" i="18" s="1"/>
  <c r="B398" i="18" s="1"/>
  <c r="S397" i="18"/>
  <c r="S38" i="17"/>
  <c r="H38" i="17"/>
  <c r="J39" i="17" s="1"/>
  <c r="F38" i="17"/>
  <c r="Q38" i="17"/>
  <c r="R38" i="17" s="1"/>
  <c r="D38" i="17"/>
  <c r="C38" i="17"/>
  <c r="M38" i="17"/>
  <c r="N38" i="17" s="1"/>
  <c r="E38" i="17"/>
  <c r="G38" i="17"/>
  <c r="K38" i="17"/>
  <c r="L38" i="17" s="1"/>
  <c r="I38" i="17"/>
  <c r="O38" i="17"/>
  <c r="P38" i="17" s="1"/>
  <c r="D398" i="18" l="1"/>
  <c r="E398" i="18"/>
  <c r="I398" i="18"/>
  <c r="O398" i="18"/>
  <c r="P398" i="18" s="1"/>
  <c r="Q398" i="18"/>
  <c r="R398" i="18" s="1"/>
  <c r="S398" i="18"/>
  <c r="G398" i="18"/>
  <c r="C398" i="18"/>
  <c r="H398" i="18"/>
  <c r="J399" i="18" s="1"/>
  <c r="K398" i="18"/>
  <c r="L398" i="18" s="1"/>
  <c r="F398" i="18"/>
  <c r="M398" i="18"/>
  <c r="N398" i="18" s="1"/>
  <c r="B39" i="17"/>
  <c r="B399" i="18" l="1"/>
  <c r="D399" i="18" s="1"/>
  <c r="G39" i="17"/>
  <c r="H39" i="17"/>
  <c r="J40" i="17" s="1"/>
  <c r="M39" i="17"/>
  <c r="N39" i="17" s="1"/>
  <c r="D39" i="17"/>
  <c r="K39" i="17"/>
  <c r="L39" i="17" s="1"/>
  <c r="S39" i="17"/>
  <c r="I39" i="17"/>
  <c r="F39" i="17"/>
  <c r="O39" i="17"/>
  <c r="P39" i="17" s="1"/>
  <c r="Q39" i="17"/>
  <c r="R39" i="17" s="1"/>
  <c r="E39" i="17"/>
  <c r="C39" i="17"/>
  <c r="M399" i="18" l="1"/>
  <c r="N399" i="18" s="1"/>
  <c r="K399" i="18"/>
  <c r="L399" i="18" s="1"/>
  <c r="F399" i="18"/>
  <c r="G399" i="18"/>
  <c r="O399" i="18"/>
  <c r="P399" i="18" s="1"/>
  <c r="Q399" i="18"/>
  <c r="R399" i="18" s="1"/>
  <c r="I399" i="18"/>
  <c r="C399" i="18"/>
  <c r="E399" i="18"/>
  <c r="H399" i="18"/>
  <c r="J400" i="18" s="1"/>
  <c r="S399" i="18"/>
  <c r="B40" i="17"/>
  <c r="B400" i="18" l="1"/>
  <c r="H40" i="17"/>
  <c r="J41" i="17" s="1"/>
  <c r="Q40" i="17"/>
  <c r="R40" i="17" s="1"/>
  <c r="M40" i="17"/>
  <c r="N40" i="17" s="1"/>
  <c r="C40" i="17"/>
  <c r="S40" i="17"/>
  <c r="I40" i="17"/>
  <c r="F40" i="17"/>
  <c r="G40" i="17"/>
  <c r="O40" i="17"/>
  <c r="P40" i="17" s="1"/>
  <c r="D40" i="17"/>
  <c r="E40" i="17"/>
  <c r="K40" i="17"/>
  <c r="L40" i="17" s="1"/>
  <c r="D400" i="18" l="1"/>
  <c r="E400" i="18"/>
  <c r="Q400" i="18"/>
  <c r="R400" i="18" s="1"/>
  <c r="H400" i="18"/>
  <c r="J401" i="18" s="1"/>
  <c r="F400" i="18"/>
  <c r="I400" i="18"/>
  <c r="C400" i="18"/>
  <c r="M400" i="18"/>
  <c r="N400" i="18" s="1"/>
  <c r="G400" i="18"/>
  <c r="S400" i="18"/>
  <c r="K400" i="18"/>
  <c r="L400" i="18" s="1"/>
  <c r="O400" i="18"/>
  <c r="P400" i="18" s="1"/>
  <c r="B41" i="17"/>
  <c r="B401" i="18" l="1"/>
  <c r="S41" i="17"/>
  <c r="H41" i="17"/>
  <c r="J42" i="17" s="1"/>
  <c r="M41" i="17"/>
  <c r="N41" i="17" s="1"/>
  <c r="F41" i="17"/>
  <c r="I41" i="17"/>
  <c r="K41" i="17"/>
  <c r="L41" i="17" s="1"/>
  <c r="D41" i="17"/>
  <c r="Q41" i="17"/>
  <c r="R41" i="17" s="1"/>
  <c r="E41" i="17"/>
  <c r="C41" i="17"/>
  <c r="G41" i="17"/>
  <c r="O41" i="17"/>
  <c r="P41" i="17" s="1"/>
  <c r="D401" i="18" l="1"/>
  <c r="I401" i="18"/>
  <c r="H401" i="18"/>
  <c r="J402" i="18" s="1"/>
  <c r="O401" i="18"/>
  <c r="P401" i="18" s="1"/>
  <c r="M401" i="18"/>
  <c r="N401" i="18" s="1"/>
  <c r="G401" i="18"/>
  <c r="F401" i="18"/>
  <c r="K401" i="18"/>
  <c r="L401" i="18" s="1"/>
  <c r="E401" i="18"/>
  <c r="Q401" i="18"/>
  <c r="R401" i="18" s="1"/>
  <c r="C401" i="18"/>
  <c r="S401" i="18"/>
  <c r="B42" i="17"/>
  <c r="B402" i="18" l="1"/>
  <c r="D402" i="18" s="1"/>
  <c r="Q42" i="17"/>
  <c r="R42" i="17" s="1"/>
  <c r="H42" i="17"/>
  <c r="J43" i="17" s="1"/>
  <c r="D42" i="17"/>
  <c r="M42" i="17"/>
  <c r="N42" i="17" s="1"/>
  <c r="O42" i="17"/>
  <c r="P42" i="17" s="1"/>
  <c r="C42" i="17"/>
  <c r="G42" i="17"/>
  <c r="K42" i="17"/>
  <c r="L42" i="17" s="1"/>
  <c r="E42" i="17"/>
  <c r="F42" i="17"/>
  <c r="I42" i="17"/>
  <c r="S42" i="17"/>
  <c r="Q402" i="18" l="1"/>
  <c r="R402" i="18" s="1"/>
  <c r="H402" i="18"/>
  <c r="J403" i="18" s="1"/>
  <c r="F402" i="18"/>
  <c r="K402" i="18"/>
  <c r="L402" i="18" s="1"/>
  <c r="E402" i="18"/>
  <c r="O402" i="18"/>
  <c r="P402" i="18" s="1"/>
  <c r="I402" i="18"/>
  <c r="M402" i="18"/>
  <c r="N402" i="18" s="1"/>
  <c r="G402" i="18"/>
  <c r="S402" i="18"/>
  <c r="C402" i="18"/>
  <c r="B43" i="17"/>
  <c r="B403" i="18" l="1"/>
  <c r="D403" i="18" s="1"/>
  <c r="D43" i="17"/>
  <c r="H43" i="17"/>
  <c r="J44" i="17" s="1"/>
  <c r="S43" i="17"/>
  <c r="I43" i="17"/>
  <c r="Q43" i="17"/>
  <c r="R43" i="17" s="1"/>
  <c r="G43" i="17"/>
  <c r="E43" i="17"/>
  <c r="K43" i="17"/>
  <c r="L43" i="17" s="1"/>
  <c r="C43" i="17"/>
  <c r="O43" i="17"/>
  <c r="P43" i="17" s="1"/>
  <c r="M43" i="17"/>
  <c r="N43" i="17" s="1"/>
  <c r="F43" i="17"/>
  <c r="H403" i="18" l="1"/>
  <c r="J404" i="18" s="1"/>
  <c r="C403" i="18"/>
  <c r="Q403" i="18"/>
  <c r="R403" i="18" s="1"/>
  <c r="M403" i="18"/>
  <c r="N403" i="18" s="1"/>
  <c r="E403" i="18"/>
  <c r="S403" i="18"/>
  <c r="K403" i="18"/>
  <c r="L403" i="18" s="1"/>
  <c r="F403" i="18"/>
  <c r="O403" i="18"/>
  <c r="P403" i="18" s="1"/>
  <c r="I403" i="18"/>
  <c r="G403" i="18"/>
  <c r="B44" i="17"/>
  <c r="B404" i="18" l="1"/>
  <c r="E404" i="18" s="1"/>
  <c r="F44" i="17"/>
  <c r="H44" i="17"/>
  <c r="J45" i="17" s="1"/>
  <c r="C44" i="17"/>
  <c r="O44" i="17"/>
  <c r="P44" i="17" s="1"/>
  <c r="M44" i="17"/>
  <c r="N44" i="17" s="1"/>
  <c r="I44" i="17"/>
  <c r="G44" i="17"/>
  <c r="D44" i="17"/>
  <c r="K44" i="17"/>
  <c r="L44" i="17" s="1"/>
  <c r="Q44" i="17"/>
  <c r="R44" i="17" s="1"/>
  <c r="S44" i="17"/>
  <c r="E44" i="17"/>
  <c r="S404" i="18" l="1"/>
  <c r="Q404" i="18"/>
  <c r="R404" i="18" s="1"/>
  <c r="M404" i="18"/>
  <c r="N404" i="18" s="1"/>
  <c r="D404" i="18"/>
  <c r="C404" i="18"/>
  <c r="K404" i="18"/>
  <c r="L404" i="18" s="1"/>
  <c r="O404" i="18"/>
  <c r="P404" i="18" s="1"/>
  <c r="G404" i="18"/>
  <c r="H404" i="18"/>
  <c r="J405" i="18" s="1"/>
  <c r="I404" i="18"/>
  <c r="F404" i="18"/>
  <c r="B45" i="17"/>
  <c r="B405" i="18" l="1"/>
  <c r="C405" i="18" s="1"/>
  <c r="Q45" i="17"/>
  <c r="R45" i="17" s="1"/>
  <c r="H45" i="17"/>
  <c r="J46" i="17" s="1"/>
  <c r="O45" i="17"/>
  <c r="P45" i="17" s="1"/>
  <c r="S45" i="17"/>
  <c r="D45" i="17"/>
  <c r="I45" i="17"/>
  <c r="K45" i="17"/>
  <c r="L45" i="17" s="1"/>
  <c r="G45" i="17"/>
  <c r="C45" i="17"/>
  <c r="M45" i="17"/>
  <c r="N45" i="17" s="1"/>
  <c r="F45" i="17"/>
  <c r="E45" i="17"/>
  <c r="H405" i="18" l="1"/>
  <c r="J406" i="18" s="1"/>
  <c r="M405" i="18"/>
  <c r="N405" i="18" s="1"/>
  <c r="F405" i="18"/>
  <c r="I405" i="18"/>
  <c r="Q405" i="18"/>
  <c r="R405" i="18" s="1"/>
  <c r="E405" i="18"/>
  <c r="S405" i="18"/>
  <c r="G405" i="18"/>
  <c r="K405" i="18"/>
  <c r="L405" i="18" s="1"/>
  <c r="O405" i="18"/>
  <c r="P405" i="18" s="1"/>
  <c r="D405" i="18"/>
  <c r="B46" i="17"/>
  <c r="B406" i="18" l="1"/>
  <c r="K406" i="18" s="1"/>
  <c r="L406" i="18" s="1"/>
  <c r="G46" i="17"/>
  <c r="H46" i="17"/>
  <c r="J47" i="17" s="1"/>
  <c r="E46" i="17"/>
  <c r="D46" i="17"/>
  <c r="O46" i="17"/>
  <c r="P46" i="17" s="1"/>
  <c r="S46" i="17"/>
  <c r="F46" i="17"/>
  <c r="I46" i="17"/>
  <c r="K46" i="17"/>
  <c r="L46" i="17" s="1"/>
  <c r="C46" i="17"/>
  <c r="Q46" i="17"/>
  <c r="R46" i="17" s="1"/>
  <c r="M46" i="17"/>
  <c r="N46" i="17" s="1"/>
  <c r="F406" i="18" l="1"/>
  <c r="M406" i="18"/>
  <c r="N406" i="18" s="1"/>
  <c r="I406" i="18"/>
  <c r="O406" i="18"/>
  <c r="P406" i="18" s="1"/>
  <c r="Q406" i="18"/>
  <c r="R406" i="18" s="1"/>
  <c r="S406" i="18"/>
  <c r="C406" i="18"/>
  <c r="D406" i="18"/>
  <c r="G406" i="18"/>
  <c r="E406" i="18"/>
  <c r="H406" i="18"/>
  <c r="J407" i="18" s="1"/>
  <c r="B47" i="17"/>
  <c r="B407" i="18" l="1"/>
  <c r="I407" i="18" s="1"/>
  <c r="G47" i="17"/>
  <c r="H47" i="17"/>
  <c r="J48" i="17" s="1"/>
  <c r="D47" i="17"/>
  <c r="C47" i="17"/>
  <c r="O47" i="17"/>
  <c r="P47" i="17" s="1"/>
  <c r="F47" i="17"/>
  <c r="S47" i="17"/>
  <c r="E47" i="17"/>
  <c r="I47" i="17"/>
  <c r="M47" i="17"/>
  <c r="N47" i="17" s="1"/>
  <c r="K47" i="17"/>
  <c r="L47" i="17" s="1"/>
  <c r="Q47" i="17"/>
  <c r="R47" i="17" s="1"/>
  <c r="K407" i="18" l="1"/>
  <c r="L407" i="18" s="1"/>
  <c r="E407" i="18"/>
  <c r="Q407" i="18"/>
  <c r="R407" i="18" s="1"/>
  <c r="G407" i="18"/>
  <c r="H407" i="18"/>
  <c r="J408" i="18" s="1"/>
  <c r="M407" i="18"/>
  <c r="N407" i="18" s="1"/>
  <c r="D407" i="18"/>
  <c r="S407" i="18"/>
  <c r="C407" i="18"/>
  <c r="O407" i="18"/>
  <c r="P407" i="18" s="1"/>
  <c r="F407" i="18"/>
  <c r="B48" i="17"/>
  <c r="B408" i="18" l="1"/>
  <c r="S408" i="18" s="1"/>
  <c r="I48" i="17"/>
  <c r="H48" i="17"/>
  <c r="J49" i="17" s="1"/>
  <c r="M48" i="17"/>
  <c r="N48" i="17" s="1"/>
  <c r="K48" i="17"/>
  <c r="L48" i="17" s="1"/>
  <c r="F48" i="17"/>
  <c r="E48" i="17"/>
  <c r="S48" i="17"/>
  <c r="G48" i="17"/>
  <c r="Q48" i="17"/>
  <c r="R48" i="17" s="1"/>
  <c r="C48" i="17"/>
  <c r="D48" i="17"/>
  <c r="O48" i="17"/>
  <c r="P48" i="17" s="1"/>
  <c r="D408" i="18" l="1"/>
  <c r="M408" i="18"/>
  <c r="N408" i="18" s="1"/>
  <c r="H408" i="18"/>
  <c r="J409" i="18" s="1"/>
  <c r="Q408" i="18"/>
  <c r="R408" i="18" s="1"/>
  <c r="K408" i="18"/>
  <c r="L408" i="18" s="1"/>
  <c r="I408" i="18"/>
  <c r="C408" i="18"/>
  <c r="G408" i="18"/>
  <c r="O408" i="18"/>
  <c r="P408" i="18" s="1"/>
  <c r="E408" i="18"/>
  <c r="F408" i="18"/>
  <c r="B49" i="17"/>
  <c r="B409" i="18" l="1"/>
  <c r="K409" i="18" s="1"/>
  <c r="L409" i="18" s="1"/>
  <c r="K49" i="17"/>
  <c r="L49" i="17" s="1"/>
  <c r="H49" i="17"/>
  <c r="J50" i="17" s="1"/>
  <c r="D49" i="17"/>
  <c r="F49" i="17"/>
  <c r="C49" i="17"/>
  <c r="O49" i="17"/>
  <c r="P49" i="17" s="1"/>
  <c r="G49" i="17"/>
  <c r="I49" i="17"/>
  <c r="M49" i="17"/>
  <c r="N49" i="17" s="1"/>
  <c r="Q49" i="17"/>
  <c r="R49" i="17" s="1"/>
  <c r="S49" i="17"/>
  <c r="E49" i="17"/>
  <c r="F409" i="18" l="1"/>
  <c r="I409" i="18"/>
  <c r="O409" i="18"/>
  <c r="P409" i="18" s="1"/>
  <c r="H409" i="18"/>
  <c r="J410" i="18" s="1"/>
  <c r="D409" i="18"/>
  <c r="M409" i="18"/>
  <c r="N409" i="18" s="1"/>
  <c r="C409" i="18"/>
  <c r="Q409" i="18"/>
  <c r="R409" i="18" s="1"/>
  <c r="G409" i="18"/>
  <c r="S409" i="18"/>
  <c r="E409" i="18"/>
  <c r="B50" i="17"/>
  <c r="B410" i="18" l="1"/>
  <c r="S410" i="18" s="1"/>
  <c r="D50" i="17"/>
  <c r="H50" i="17"/>
  <c r="J51" i="17" s="1"/>
  <c r="C50" i="17"/>
  <c r="S50" i="17"/>
  <c r="Q50" i="17"/>
  <c r="R50" i="17" s="1"/>
  <c r="E50" i="17"/>
  <c r="F50" i="17"/>
  <c r="O50" i="17"/>
  <c r="P50" i="17" s="1"/>
  <c r="G50" i="17"/>
  <c r="I50" i="17"/>
  <c r="K50" i="17"/>
  <c r="L50" i="17" s="1"/>
  <c r="M50" i="17"/>
  <c r="N50" i="17" s="1"/>
  <c r="C410" i="18" l="1"/>
  <c r="F410" i="18"/>
  <c r="M410" i="18"/>
  <c r="N410" i="18" s="1"/>
  <c r="H410" i="18"/>
  <c r="J411" i="18" s="1"/>
  <c r="I410" i="18"/>
  <c r="O410" i="18"/>
  <c r="P410" i="18" s="1"/>
  <c r="E410" i="18"/>
  <c r="D410" i="18"/>
  <c r="Q410" i="18"/>
  <c r="R410" i="18" s="1"/>
  <c r="G410" i="18"/>
  <c r="K410" i="18"/>
  <c r="L410" i="18" s="1"/>
  <c r="B51" i="17"/>
  <c r="B411" i="18" l="1"/>
  <c r="S411" i="18" s="1"/>
  <c r="O51" i="17"/>
  <c r="P51" i="17" s="1"/>
  <c r="H51" i="17"/>
  <c r="J52" i="17" s="1"/>
  <c r="I51" i="17"/>
  <c r="F51" i="17"/>
  <c r="G51" i="17"/>
  <c r="K51" i="17"/>
  <c r="L51" i="17" s="1"/>
  <c r="S51" i="17"/>
  <c r="E51" i="17"/>
  <c r="Q51" i="17"/>
  <c r="R51" i="17" s="1"/>
  <c r="D51" i="17"/>
  <c r="M51" i="17"/>
  <c r="N51" i="17" s="1"/>
  <c r="C51" i="17"/>
  <c r="D411" i="18" l="1"/>
  <c r="I411" i="18"/>
  <c r="H411" i="18"/>
  <c r="J412" i="18" s="1"/>
  <c r="E411" i="18"/>
  <c r="G411" i="18"/>
  <c r="M411" i="18"/>
  <c r="N411" i="18" s="1"/>
  <c r="Q411" i="18"/>
  <c r="R411" i="18" s="1"/>
  <c r="K411" i="18"/>
  <c r="L411" i="18" s="1"/>
  <c r="F411" i="18"/>
  <c r="C411" i="18"/>
  <c r="O411" i="18"/>
  <c r="P411" i="18" s="1"/>
  <c r="B52" i="17"/>
  <c r="B412" i="18" l="1"/>
  <c r="G412" i="18" s="1"/>
  <c r="D52" i="17"/>
  <c r="H52" i="17"/>
  <c r="J53" i="17" s="1"/>
  <c r="I52" i="17"/>
  <c r="F52" i="17"/>
  <c r="Q52" i="17"/>
  <c r="R52" i="17" s="1"/>
  <c r="E52" i="17"/>
  <c r="K52" i="17"/>
  <c r="L52" i="17" s="1"/>
  <c r="O52" i="17"/>
  <c r="P52" i="17" s="1"/>
  <c r="M52" i="17"/>
  <c r="N52" i="17" s="1"/>
  <c r="S52" i="17"/>
  <c r="G52" i="17"/>
  <c r="C52" i="17"/>
  <c r="K412" i="18" l="1"/>
  <c r="L412" i="18" s="1"/>
  <c r="D412" i="18"/>
  <c r="E412" i="18"/>
  <c r="F412" i="18"/>
  <c r="Q412" i="18"/>
  <c r="R412" i="18" s="1"/>
  <c r="M412" i="18"/>
  <c r="N412" i="18" s="1"/>
  <c r="O412" i="18"/>
  <c r="P412" i="18" s="1"/>
  <c r="S412" i="18"/>
  <c r="I412" i="18"/>
  <c r="H412" i="18"/>
  <c r="J413" i="18" s="1"/>
  <c r="C412" i="18"/>
  <c r="B53" i="17"/>
  <c r="B413" i="18" l="1"/>
  <c r="C413" i="18" s="1"/>
  <c r="H53" i="17"/>
  <c r="J54" i="17" s="1"/>
  <c r="D53" i="17"/>
  <c r="C53" i="17"/>
  <c r="M53" i="17"/>
  <c r="N53" i="17" s="1"/>
  <c r="O53" i="17"/>
  <c r="P53" i="17" s="1"/>
  <c r="Q53" i="17"/>
  <c r="R53" i="17" s="1"/>
  <c r="I53" i="17"/>
  <c r="S53" i="17"/>
  <c r="F53" i="17"/>
  <c r="G53" i="17"/>
  <c r="K53" i="17"/>
  <c r="L53" i="17" s="1"/>
  <c r="E53" i="17"/>
  <c r="K413" i="18" l="1"/>
  <c r="L413" i="18" s="1"/>
  <c r="Q413" i="18"/>
  <c r="R413" i="18" s="1"/>
  <c r="M413" i="18"/>
  <c r="N413" i="18" s="1"/>
  <c r="E413" i="18"/>
  <c r="G413" i="18"/>
  <c r="I413" i="18"/>
  <c r="H413" i="18"/>
  <c r="J414" i="18" s="1"/>
  <c r="D413" i="18"/>
  <c r="S413" i="18"/>
  <c r="O413" i="18"/>
  <c r="P413" i="18" s="1"/>
  <c r="F413" i="18"/>
  <c r="B54" i="17"/>
  <c r="B414" i="18" l="1"/>
  <c r="Q414" i="18" s="1"/>
  <c r="R414" i="18" s="1"/>
  <c r="C54" i="17"/>
  <c r="H54" i="17"/>
  <c r="J55" i="17" s="1"/>
  <c r="D54" i="17"/>
  <c r="M54" i="17"/>
  <c r="N54" i="17" s="1"/>
  <c r="S54" i="17"/>
  <c r="O54" i="17"/>
  <c r="P54" i="17" s="1"/>
  <c r="F54" i="17"/>
  <c r="I54" i="17"/>
  <c r="E54" i="17"/>
  <c r="G54" i="17"/>
  <c r="K54" i="17"/>
  <c r="L54" i="17" s="1"/>
  <c r="Q54" i="17"/>
  <c r="R54" i="17" s="1"/>
  <c r="K414" i="18" l="1"/>
  <c r="L414" i="18" s="1"/>
  <c r="H414" i="18"/>
  <c r="J415" i="18" s="1"/>
  <c r="E414" i="18"/>
  <c r="S414" i="18"/>
  <c r="G414" i="18"/>
  <c r="D414" i="18"/>
  <c r="M414" i="18"/>
  <c r="N414" i="18" s="1"/>
  <c r="F414" i="18"/>
  <c r="I414" i="18"/>
  <c r="O414" i="18"/>
  <c r="P414" i="18" s="1"/>
  <c r="B415" i="18" s="1"/>
  <c r="C414" i="18"/>
  <c r="B55" i="17"/>
  <c r="S415" i="18" l="1"/>
  <c r="D415" i="18"/>
  <c r="H415" i="18"/>
  <c r="J416" i="18" s="1"/>
  <c r="F415" i="18"/>
  <c r="M415" i="18"/>
  <c r="N415" i="18" s="1"/>
  <c r="K415" i="18"/>
  <c r="L415" i="18" s="1"/>
  <c r="E415" i="18"/>
  <c r="I415" i="18"/>
  <c r="C415" i="18"/>
  <c r="G415" i="18"/>
  <c r="Q415" i="18"/>
  <c r="R415" i="18" s="1"/>
  <c r="O415" i="18"/>
  <c r="P415" i="18" s="1"/>
  <c r="D55" i="17"/>
  <c r="H55" i="17"/>
  <c r="J56" i="17" s="1"/>
  <c r="M55" i="17"/>
  <c r="N55" i="17" s="1"/>
  <c r="K55" i="17"/>
  <c r="L55" i="17" s="1"/>
  <c r="F55" i="17"/>
  <c r="O55" i="17"/>
  <c r="P55" i="17" s="1"/>
  <c r="C55" i="17"/>
  <c r="Q55" i="17"/>
  <c r="R55" i="17" s="1"/>
  <c r="E55" i="17"/>
  <c r="S55" i="17"/>
  <c r="I55" i="17"/>
  <c r="G55" i="17"/>
  <c r="B416" i="18" l="1"/>
  <c r="S416" i="18" s="1"/>
  <c r="B56" i="17"/>
  <c r="D416" i="18" l="1"/>
  <c r="O416" i="18"/>
  <c r="P416" i="18" s="1"/>
  <c r="G416" i="18"/>
  <c r="C416" i="18"/>
  <c r="H416" i="18"/>
  <c r="J417" i="18" s="1"/>
  <c r="I416" i="18"/>
  <c r="K416" i="18"/>
  <c r="L416" i="18" s="1"/>
  <c r="M416" i="18"/>
  <c r="N416" i="18" s="1"/>
  <c r="E416" i="18"/>
  <c r="Q416" i="18"/>
  <c r="R416" i="18" s="1"/>
  <c r="B417" i="18" s="1"/>
  <c r="Q417" i="18" s="1"/>
  <c r="R417" i="18" s="1"/>
  <c r="F416" i="18"/>
  <c r="E56" i="17"/>
  <c r="H56" i="17"/>
  <c r="J57" i="17" s="1"/>
  <c r="I56" i="17"/>
  <c r="D56" i="17"/>
  <c r="K56" i="17"/>
  <c r="L56" i="17" s="1"/>
  <c r="C56" i="17"/>
  <c r="Q56" i="17"/>
  <c r="R56" i="17" s="1"/>
  <c r="S56" i="17"/>
  <c r="M56" i="17"/>
  <c r="N56" i="17" s="1"/>
  <c r="F56" i="17"/>
  <c r="G56" i="17"/>
  <c r="O56" i="17"/>
  <c r="P56" i="17" s="1"/>
  <c r="C417" i="18" l="1"/>
  <c r="S417" i="18"/>
  <c r="E417" i="18"/>
  <c r="I417" i="18"/>
  <c r="O417" i="18"/>
  <c r="P417" i="18" s="1"/>
  <c r="B418" i="18" s="1"/>
  <c r="K417" i="18"/>
  <c r="L417" i="18" s="1"/>
  <c r="F417" i="18"/>
  <c r="H417" i="18"/>
  <c r="J418" i="18" s="1"/>
  <c r="G417" i="18"/>
  <c r="D417" i="18"/>
  <c r="M417" i="18"/>
  <c r="N417" i="18" s="1"/>
  <c r="B57" i="17"/>
  <c r="E418" i="18" l="1"/>
  <c r="M418" i="18"/>
  <c r="N418" i="18" s="1"/>
  <c r="G418" i="18"/>
  <c r="C418" i="18"/>
  <c r="S418" i="18"/>
  <c r="D418" i="18"/>
  <c r="Q418" i="18"/>
  <c r="R418" i="18" s="1"/>
  <c r="H418" i="18"/>
  <c r="J419" i="18" s="1"/>
  <c r="I418" i="18"/>
  <c r="F418" i="18"/>
  <c r="O418" i="18"/>
  <c r="P418" i="18" s="1"/>
  <c r="K418" i="18"/>
  <c r="L418" i="18" s="1"/>
  <c r="D57" i="17"/>
  <c r="H57" i="17"/>
  <c r="J58" i="17" s="1"/>
  <c r="C57" i="17"/>
  <c r="S57" i="17"/>
  <c r="G57" i="17"/>
  <c r="M57" i="17"/>
  <c r="N57" i="17" s="1"/>
  <c r="Q57" i="17"/>
  <c r="R57" i="17" s="1"/>
  <c r="F57" i="17"/>
  <c r="K57" i="17"/>
  <c r="L57" i="17" s="1"/>
  <c r="E57" i="17"/>
  <c r="O57" i="17"/>
  <c r="P57" i="17" s="1"/>
  <c r="I57" i="17"/>
  <c r="B419" i="18" l="1"/>
  <c r="D419" i="18" s="1"/>
  <c r="B58" i="17"/>
  <c r="S419" i="18" l="1"/>
  <c r="K419" i="18"/>
  <c r="L419" i="18" s="1"/>
  <c r="O419" i="18"/>
  <c r="P419" i="18" s="1"/>
  <c r="E419" i="18"/>
  <c r="G419" i="18"/>
  <c r="F419" i="18"/>
  <c r="I419" i="18"/>
  <c r="M419" i="18"/>
  <c r="N419" i="18" s="1"/>
  <c r="Q419" i="18"/>
  <c r="R419" i="18" s="1"/>
  <c r="C419" i="18"/>
  <c r="H419" i="18"/>
  <c r="J420" i="18" s="1"/>
  <c r="G58" i="17"/>
  <c r="H58" i="17"/>
  <c r="J59" i="17" s="1"/>
  <c r="M58" i="17"/>
  <c r="N58" i="17" s="1"/>
  <c r="K58" i="17"/>
  <c r="L58" i="17" s="1"/>
  <c r="Q58" i="17"/>
  <c r="R58" i="17" s="1"/>
  <c r="D58" i="17"/>
  <c r="E58" i="17"/>
  <c r="C58" i="17"/>
  <c r="F58" i="17"/>
  <c r="I58" i="17"/>
  <c r="S58" i="17"/>
  <c r="O58" i="17"/>
  <c r="P58" i="17" s="1"/>
  <c r="B420" i="18" l="1"/>
  <c r="B59" i="17"/>
  <c r="O420" i="18" l="1"/>
  <c r="P420" i="18" s="1"/>
  <c r="F420" i="18"/>
  <c r="M420" i="18"/>
  <c r="N420" i="18" s="1"/>
  <c r="H420" i="18"/>
  <c r="J421" i="18" s="1"/>
  <c r="S420" i="18"/>
  <c r="E420" i="18"/>
  <c r="I420" i="18"/>
  <c r="C420" i="18"/>
  <c r="Q420" i="18"/>
  <c r="R420" i="18" s="1"/>
  <c r="K420" i="18"/>
  <c r="L420" i="18" s="1"/>
  <c r="G420" i="18"/>
  <c r="D420" i="18"/>
  <c r="H59" i="17"/>
  <c r="J60" i="17" s="1"/>
  <c r="C59" i="17"/>
  <c r="I59" i="17"/>
  <c r="S59" i="17"/>
  <c r="E59" i="17"/>
  <c r="K59" i="17"/>
  <c r="L59" i="17" s="1"/>
  <c r="Q59" i="17"/>
  <c r="R59" i="17" s="1"/>
  <c r="M59" i="17"/>
  <c r="N59" i="17" s="1"/>
  <c r="F59" i="17"/>
  <c r="D59" i="17"/>
  <c r="O59" i="17"/>
  <c r="P59" i="17" s="1"/>
  <c r="G59" i="17"/>
  <c r="B421" i="18" l="1"/>
  <c r="D421" i="18" s="1"/>
  <c r="B60" i="17"/>
  <c r="K421" i="18" l="1"/>
  <c r="L421" i="18" s="1"/>
  <c r="F421" i="18"/>
  <c r="O421" i="18"/>
  <c r="P421" i="18" s="1"/>
  <c r="C421" i="18"/>
  <c r="I421" i="18"/>
  <c r="G421" i="18"/>
  <c r="Q421" i="18"/>
  <c r="R421" i="18" s="1"/>
  <c r="S421" i="18"/>
  <c r="E421" i="18"/>
  <c r="M421" i="18"/>
  <c r="N421" i="18" s="1"/>
  <c r="H421" i="18"/>
  <c r="J422" i="18" s="1"/>
  <c r="D60" i="17"/>
  <c r="H60" i="17"/>
  <c r="J61" i="17" s="1"/>
  <c r="C60" i="17"/>
  <c r="O60" i="17"/>
  <c r="P60" i="17" s="1"/>
  <c r="E60" i="17"/>
  <c r="F60" i="17"/>
  <c r="M60" i="17"/>
  <c r="N60" i="17" s="1"/>
  <c r="K60" i="17"/>
  <c r="L60" i="17" s="1"/>
  <c r="Q60" i="17"/>
  <c r="R60" i="17" s="1"/>
  <c r="G60" i="17"/>
  <c r="S60" i="17"/>
  <c r="I60" i="17"/>
  <c r="B422" i="18" l="1"/>
  <c r="D422" i="18" s="1"/>
  <c r="B61" i="17"/>
  <c r="E422" i="18" l="1"/>
  <c r="M422" i="18"/>
  <c r="N422" i="18" s="1"/>
  <c r="I422" i="18"/>
  <c r="F422" i="18"/>
  <c r="H422" i="18"/>
  <c r="J423" i="18" s="1"/>
  <c r="Q422" i="18"/>
  <c r="R422" i="18" s="1"/>
  <c r="G422" i="18"/>
  <c r="C422" i="18"/>
  <c r="O422" i="18"/>
  <c r="P422" i="18" s="1"/>
  <c r="S422" i="18"/>
  <c r="K422" i="18"/>
  <c r="L422" i="18" s="1"/>
  <c r="F61" i="17"/>
  <c r="H61" i="17"/>
  <c r="J62" i="17" s="1"/>
  <c r="I61" i="17"/>
  <c r="Q61" i="17"/>
  <c r="R61" i="17" s="1"/>
  <c r="D61" i="17"/>
  <c r="E61" i="17"/>
  <c r="G61" i="17"/>
  <c r="K61" i="17"/>
  <c r="L61" i="17" s="1"/>
  <c r="O61" i="17"/>
  <c r="P61" i="17" s="1"/>
  <c r="M61" i="17"/>
  <c r="N61" i="17" s="1"/>
  <c r="S61" i="17"/>
  <c r="C61" i="17"/>
  <c r="B423" i="18" l="1"/>
  <c r="D423" i="18" s="1"/>
  <c r="B62" i="17"/>
  <c r="Q423" i="18" l="1"/>
  <c r="R423" i="18" s="1"/>
  <c r="M423" i="18"/>
  <c r="N423" i="18" s="1"/>
  <c r="F423" i="18"/>
  <c r="S423" i="18"/>
  <c r="I423" i="18"/>
  <c r="E423" i="18"/>
  <c r="H423" i="18"/>
  <c r="J424" i="18" s="1"/>
  <c r="O423" i="18"/>
  <c r="P423" i="18" s="1"/>
  <c r="G423" i="18"/>
  <c r="K423" i="18"/>
  <c r="L423" i="18" s="1"/>
  <c r="C423" i="18"/>
  <c r="D62" i="17"/>
  <c r="H62" i="17"/>
  <c r="J63" i="17" s="1"/>
  <c r="K62" i="17"/>
  <c r="L62" i="17" s="1"/>
  <c r="I62" i="17"/>
  <c r="F62" i="17"/>
  <c r="Q62" i="17"/>
  <c r="R62" i="17" s="1"/>
  <c r="C62" i="17"/>
  <c r="M62" i="17"/>
  <c r="N62" i="17" s="1"/>
  <c r="S62" i="17"/>
  <c r="E62" i="17"/>
  <c r="O62" i="17"/>
  <c r="P62" i="17" s="1"/>
  <c r="G62" i="17"/>
  <c r="B424" i="18" l="1"/>
  <c r="D424" i="18" s="1"/>
  <c r="B63" i="17"/>
  <c r="C424" i="18" l="1"/>
  <c r="G424" i="18"/>
  <c r="H424" i="18"/>
  <c r="J425" i="18" s="1"/>
  <c r="M424" i="18"/>
  <c r="N424" i="18" s="1"/>
  <c r="O424" i="18"/>
  <c r="P424" i="18" s="1"/>
  <c r="K424" i="18"/>
  <c r="L424" i="18" s="1"/>
  <c r="F424" i="18"/>
  <c r="E424" i="18"/>
  <c r="S424" i="18"/>
  <c r="I424" i="18"/>
  <c r="Q424" i="18"/>
  <c r="R424" i="18" s="1"/>
  <c r="F63" i="17"/>
  <c r="H63" i="17"/>
  <c r="J64" i="17" s="1"/>
  <c r="C63" i="17"/>
  <c r="Q63" i="17"/>
  <c r="R63" i="17" s="1"/>
  <c r="M63" i="17"/>
  <c r="N63" i="17" s="1"/>
  <c r="O63" i="17"/>
  <c r="P63" i="17" s="1"/>
  <c r="E63" i="17"/>
  <c r="G63" i="17"/>
  <c r="D63" i="17"/>
  <c r="S63" i="17"/>
  <c r="K63" i="17"/>
  <c r="L63" i="17" s="1"/>
  <c r="I63" i="17"/>
  <c r="B425" i="18" l="1"/>
  <c r="B64" i="17"/>
  <c r="D425" i="18" l="1"/>
  <c r="Q425" i="18"/>
  <c r="R425" i="18" s="1"/>
  <c r="H425" i="18"/>
  <c r="J426" i="18" s="1"/>
  <c r="K425" i="18"/>
  <c r="L425" i="18" s="1"/>
  <c r="C425" i="18"/>
  <c r="O425" i="18"/>
  <c r="P425" i="18" s="1"/>
  <c r="G425" i="18"/>
  <c r="I425" i="18"/>
  <c r="M425" i="18"/>
  <c r="N425" i="18" s="1"/>
  <c r="S425" i="18"/>
  <c r="F425" i="18"/>
  <c r="E425" i="18"/>
  <c r="E64" i="17"/>
  <c r="H64" i="17"/>
  <c r="J65" i="17" s="1"/>
  <c r="O64" i="17"/>
  <c r="P64" i="17" s="1"/>
  <c r="Q64" i="17"/>
  <c r="R64" i="17" s="1"/>
  <c r="I64" i="17"/>
  <c r="M64" i="17"/>
  <c r="N64" i="17" s="1"/>
  <c r="D64" i="17"/>
  <c r="F64" i="17"/>
  <c r="K64" i="17"/>
  <c r="L64" i="17" s="1"/>
  <c r="C64" i="17"/>
  <c r="S64" i="17"/>
  <c r="G64" i="17"/>
  <c r="B426" i="18" l="1"/>
  <c r="D426" i="18" s="1"/>
  <c r="B65" i="17"/>
  <c r="H426" i="18" l="1"/>
  <c r="J427" i="18" s="1"/>
  <c r="O426" i="18"/>
  <c r="P426" i="18" s="1"/>
  <c r="M426" i="18"/>
  <c r="N426" i="18" s="1"/>
  <c r="Q426" i="18"/>
  <c r="R426" i="18" s="1"/>
  <c r="I426" i="18"/>
  <c r="C426" i="18"/>
  <c r="S426" i="18"/>
  <c r="F426" i="18"/>
  <c r="K426" i="18"/>
  <c r="L426" i="18" s="1"/>
  <c r="G426" i="18"/>
  <c r="E426" i="18"/>
  <c r="S65" i="17"/>
  <c r="H65" i="17"/>
  <c r="J66" i="17" s="1"/>
  <c r="O65" i="17"/>
  <c r="P65" i="17" s="1"/>
  <c r="F65" i="17"/>
  <c r="G65" i="17"/>
  <c r="M65" i="17"/>
  <c r="N65" i="17" s="1"/>
  <c r="C65" i="17"/>
  <c r="I65" i="17"/>
  <c r="K65" i="17"/>
  <c r="L65" i="17" s="1"/>
  <c r="Q65" i="17"/>
  <c r="R65" i="17" s="1"/>
  <c r="D65" i="17"/>
  <c r="E65" i="17"/>
  <c r="B427" i="18" l="1"/>
  <c r="B66" i="17"/>
  <c r="D427" i="18" l="1"/>
  <c r="F427" i="18"/>
  <c r="E427" i="18"/>
  <c r="G427" i="18"/>
  <c r="S427" i="18"/>
  <c r="H427" i="18"/>
  <c r="J428" i="18" s="1"/>
  <c r="C427" i="18"/>
  <c r="I427" i="18"/>
  <c r="M427" i="18"/>
  <c r="N427" i="18" s="1"/>
  <c r="K427" i="18"/>
  <c r="L427" i="18" s="1"/>
  <c r="O427" i="18"/>
  <c r="P427" i="18" s="1"/>
  <c r="Q427" i="18"/>
  <c r="R427" i="18" s="1"/>
  <c r="C66" i="17"/>
  <c r="H66" i="17"/>
  <c r="J67" i="17" s="1"/>
  <c r="E66" i="17"/>
  <c r="K66" i="17"/>
  <c r="L66" i="17" s="1"/>
  <c r="S66" i="17"/>
  <c r="D66" i="17"/>
  <c r="Q66" i="17"/>
  <c r="R66" i="17" s="1"/>
  <c r="O66" i="17"/>
  <c r="P66" i="17" s="1"/>
  <c r="I66" i="17"/>
  <c r="G66" i="17"/>
  <c r="F66" i="17"/>
  <c r="M66" i="17"/>
  <c r="N66" i="17" s="1"/>
  <c r="B428" i="18" l="1"/>
  <c r="D428" i="18" s="1"/>
  <c r="B67" i="17"/>
  <c r="Q428" i="18" l="1"/>
  <c r="R428" i="18" s="1"/>
  <c r="S428" i="18"/>
  <c r="H428" i="18"/>
  <c r="J429" i="18" s="1"/>
  <c r="G428" i="18"/>
  <c r="E428" i="18"/>
  <c r="M428" i="18"/>
  <c r="N428" i="18" s="1"/>
  <c r="F428" i="18"/>
  <c r="K428" i="18"/>
  <c r="L428" i="18" s="1"/>
  <c r="C428" i="18"/>
  <c r="O428" i="18"/>
  <c r="P428" i="18" s="1"/>
  <c r="I428" i="18"/>
  <c r="D67" i="17"/>
  <c r="H67" i="17"/>
  <c r="J68" i="17" s="1"/>
  <c r="Q67" i="17"/>
  <c r="R67" i="17" s="1"/>
  <c r="M67" i="17"/>
  <c r="N67" i="17" s="1"/>
  <c r="S67" i="17"/>
  <c r="G67" i="17"/>
  <c r="C67" i="17"/>
  <c r="O67" i="17"/>
  <c r="P67" i="17" s="1"/>
  <c r="E67" i="17"/>
  <c r="K67" i="17"/>
  <c r="L67" i="17" s="1"/>
  <c r="I67" i="17"/>
  <c r="F67" i="17"/>
  <c r="B429" i="18" l="1"/>
  <c r="D429" i="18" s="1"/>
  <c r="B68" i="17"/>
  <c r="H429" i="18" l="1"/>
  <c r="J430" i="18" s="1"/>
  <c r="E429" i="18"/>
  <c r="K429" i="18"/>
  <c r="L429" i="18" s="1"/>
  <c r="Q429" i="18"/>
  <c r="R429" i="18" s="1"/>
  <c r="C429" i="18"/>
  <c r="F429" i="18"/>
  <c r="O429" i="18"/>
  <c r="P429" i="18" s="1"/>
  <c r="S429" i="18"/>
  <c r="M429" i="18"/>
  <c r="N429" i="18" s="1"/>
  <c r="G429" i="18"/>
  <c r="I429" i="18"/>
  <c r="D68" i="17"/>
  <c r="H68" i="17"/>
  <c r="J69" i="17" s="1"/>
  <c r="E68" i="17"/>
  <c r="F68" i="17"/>
  <c r="O68" i="17"/>
  <c r="P68" i="17" s="1"/>
  <c r="M68" i="17"/>
  <c r="N68" i="17" s="1"/>
  <c r="K68" i="17"/>
  <c r="L68" i="17" s="1"/>
  <c r="C68" i="17"/>
  <c r="Q68" i="17"/>
  <c r="R68" i="17" s="1"/>
  <c r="G68" i="17"/>
  <c r="I68" i="17"/>
  <c r="S68" i="17"/>
  <c r="B430" i="18" l="1"/>
  <c r="B69" i="17"/>
  <c r="O430" i="18" l="1"/>
  <c r="P430" i="18" s="1"/>
  <c r="S430" i="18"/>
  <c r="E430" i="18"/>
  <c r="H430" i="18"/>
  <c r="J431" i="18" s="1"/>
  <c r="C430" i="18"/>
  <c r="Q430" i="18"/>
  <c r="R430" i="18" s="1"/>
  <c r="K430" i="18"/>
  <c r="L430" i="18" s="1"/>
  <c r="I430" i="18"/>
  <c r="F430" i="18"/>
  <c r="G430" i="18"/>
  <c r="M430" i="18"/>
  <c r="N430" i="18" s="1"/>
  <c r="D430" i="18"/>
  <c r="D69" i="17"/>
  <c r="H69" i="17"/>
  <c r="J70" i="17" s="1"/>
  <c r="Q69" i="17"/>
  <c r="R69" i="17" s="1"/>
  <c r="F69" i="17"/>
  <c r="O69" i="17"/>
  <c r="P69" i="17" s="1"/>
  <c r="I69" i="17"/>
  <c r="M69" i="17"/>
  <c r="N69" i="17" s="1"/>
  <c r="G69" i="17"/>
  <c r="K69" i="17"/>
  <c r="L69" i="17" s="1"/>
  <c r="C69" i="17"/>
  <c r="E69" i="17"/>
  <c r="S69" i="17"/>
  <c r="B431" i="18" l="1"/>
  <c r="B70" i="17"/>
  <c r="F431" i="18" l="1"/>
  <c r="M431" i="18"/>
  <c r="N431" i="18" s="1"/>
  <c r="H431" i="18"/>
  <c r="J432" i="18" s="1"/>
  <c r="S431" i="18"/>
  <c r="G431" i="18"/>
  <c r="Q431" i="18"/>
  <c r="R431" i="18" s="1"/>
  <c r="E431" i="18"/>
  <c r="K431" i="18"/>
  <c r="L431" i="18" s="1"/>
  <c r="C431" i="18"/>
  <c r="O431" i="18"/>
  <c r="P431" i="18" s="1"/>
  <c r="I431" i="18"/>
  <c r="D431" i="18"/>
  <c r="D70" i="17"/>
  <c r="H70" i="17"/>
  <c r="J71" i="17" s="1"/>
  <c r="O70" i="17"/>
  <c r="P70" i="17" s="1"/>
  <c r="Q70" i="17"/>
  <c r="R70" i="17" s="1"/>
  <c r="I70" i="17"/>
  <c r="F70" i="17"/>
  <c r="M70" i="17"/>
  <c r="N70" i="17" s="1"/>
  <c r="G70" i="17"/>
  <c r="S70" i="17"/>
  <c r="C70" i="17"/>
  <c r="K70" i="17"/>
  <c r="L70" i="17" s="1"/>
  <c r="E70" i="17"/>
  <c r="B432" i="18" l="1"/>
  <c r="D432" i="18" s="1"/>
  <c r="B71" i="17"/>
  <c r="S432" i="18" l="1"/>
  <c r="G432" i="18"/>
  <c r="AD17" i="18" s="1"/>
  <c r="K432" i="18"/>
  <c r="L432" i="18" s="1"/>
  <c r="AD25" i="18" s="1"/>
  <c r="AD26" i="18" s="1"/>
  <c r="O432" i="18"/>
  <c r="P432" i="18" s="1"/>
  <c r="C432" i="18"/>
  <c r="I432" i="18"/>
  <c r="F432" i="18"/>
  <c r="Q432" i="18"/>
  <c r="R432" i="18" s="1"/>
  <c r="M432" i="18"/>
  <c r="N432" i="18" s="1"/>
  <c r="X25" i="18" s="1"/>
  <c r="E432" i="18"/>
  <c r="H432" i="18"/>
  <c r="J433" i="18" s="1"/>
  <c r="V17" i="18"/>
  <c r="S71" i="17"/>
  <c r="H71" i="17"/>
  <c r="J72" i="17" s="1"/>
  <c r="C71" i="17"/>
  <c r="M71" i="17"/>
  <c r="N71" i="17" s="1"/>
  <c r="E71" i="17"/>
  <c r="F71" i="17"/>
  <c r="Q71" i="17"/>
  <c r="R71" i="17" s="1"/>
  <c r="G71" i="17"/>
  <c r="D71" i="17"/>
  <c r="O71" i="17"/>
  <c r="P71" i="17" s="1"/>
  <c r="I71" i="17"/>
  <c r="K71" i="17"/>
  <c r="L71" i="17" s="1"/>
  <c r="AE26" i="18" l="1"/>
  <c r="CL25" i="11" s="1"/>
  <c r="AF17" i="18"/>
  <c r="AD24" i="18"/>
  <c r="AE24" i="18" s="1"/>
  <c r="CL23" i="11" s="1"/>
  <c r="X26" i="18"/>
  <c r="B433" i="18"/>
  <c r="D433" i="18" s="1"/>
  <c r="AD22" i="18"/>
  <c r="AE25" i="18"/>
  <c r="CL24" i="11" s="1"/>
  <c r="V25" i="18"/>
  <c r="X22" i="18"/>
  <c r="X24" i="18"/>
  <c r="B72" i="17"/>
  <c r="AD21" i="18" l="1"/>
  <c r="AE21" i="18" s="1"/>
  <c r="CL20" i="11" s="1"/>
  <c r="AD23" i="18"/>
  <c r="AE23" i="18" s="1"/>
  <c r="CL22" i="11" s="1"/>
  <c r="V24" i="18"/>
  <c r="Z24" i="18" s="1"/>
  <c r="AF25" i="18"/>
  <c r="AG25" i="18" s="1"/>
  <c r="W25" i="18"/>
  <c r="V26" i="18"/>
  <c r="AF26" i="18" s="1"/>
  <c r="AG26" i="18" s="1"/>
  <c r="W26" i="18" s="1"/>
  <c r="V22" i="18"/>
  <c r="Z22" i="18" s="1"/>
  <c r="X20" i="18"/>
  <c r="G433" i="18"/>
  <c r="H433" i="18"/>
  <c r="J434" i="18" s="1"/>
  <c r="S433" i="18"/>
  <c r="Q433" i="18"/>
  <c r="R433" i="18" s="1"/>
  <c r="C433" i="18"/>
  <c r="M433" i="18"/>
  <c r="N433" i="18" s="1"/>
  <c r="I433" i="18"/>
  <c r="E433" i="18"/>
  <c r="K433" i="18"/>
  <c r="L433" i="18" s="1"/>
  <c r="O433" i="18"/>
  <c r="P433" i="18" s="1"/>
  <c r="F433" i="18"/>
  <c r="Z25" i="18"/>
  <c r="X21" i="18"/>
  <c r="AE22" i="18"/>
  <c r="CL21" i="11" s="1"/>
  <c r="AD20" i="18"/>
  <c r="X23" i="18"/>
  <c r="D72" i="17"/>
  <c r="H72" i="17"/>
  <c r="J73" i="17" s="1"/>
  <c r="E72" i="17"/>
  <c r="Q72" i="17"/>
  <c r="R72" i="17" s="1"/>
  <c r="G72" i="17"/>
  <c r="S72" i="17"/>
  <c r="I72" i="17"/>
  <c r="K72" i="17"/>
  <c r="L72" i="17" s="1"/>
  <c r="C72" i="17"/>
  <c r="O72" i="17"/>
  <c r="P72" i="17" s="1"/>
  <c r="F72" i="17"/>
  <c r="M72" i="17"/>
  <c r="N72" i="17" s="1"/>
  <c r="Z26" i="18" l="1"/>
  <c r="AE20" i="18"/>
  <c r="CL19" i="11" s="1"/>
  <c r="AD19" i="18"/>
  <c r="X19" i="18"/>
  <c r="Y20" i="18" s="1"/>
  <c r="B434" i="18"/>
  <c r="D434" i="18" s="1"/>
  <c r="AF22" i="18"/>
  <c r="AG22" i="18" s="1"/>
  <c r="W22" i="18" s="1"/>
  <c r="V20" i="18"/>
  <c r="Z20" i="18" s="1"/>
  <c r="V21" i="18"/>
  <c r="AF24" i="18"/>
  <c r="AG24" i="18" s="1"/>
  <c r="W24" i="18" s="1"/>
  <c r="V23" i="18"/>
  <c r="AF23" i="18" s="1"/>
  <c r="AG23" i="18" s="1"/>
  <c r="W23" i="18" s="1"/>
  <c r="B73" i="17"/>
  <c r="Y21" i="18" l="1"/>
  <c r="W21" i="18"/>
  <c r="AF21" i="18"/>
  <c r="AG21" i="18" s="1"/>
  <c r="S434" i="18"/>
  <c r="I434" i="18"/>
  <c r="E434" i="18"/>
  <c r="M434" i="18"/>
  <c r="N434" i="18" s="1"/>
  <c r="O434" i="18"/>
  <c r="P434" i="18" s="1"/>
  <c r="F434" i="18"/>
  <c r="K434" i="18"/>
  <c r="L434" i="18" s="1"/>
  <c r="Q434" i="18"/>
  <c r="R434" i="18" s="1"/>
  <c r="H434" i="18"/>
  <c r="J435" i="18" s="1"/>
  <c r="G434" i="18"/>
  <c r="C434" i="18"/>
  <c r="Z21" i="18"/>
  <c r="AF20" i="18"/>
  <c r="AG20" i="18" s="1"/>
  <c r="W20" i="18" s="1"/>
  <c r="V19" i="18"/>
  <c r="Y23" i="18"/>
  <c r="Z23" i="18"/>
  <c r="AC12" i="18"/>
  <c r="AE19" i="18"/>
  <c r="CL18" i="11" s="1"/>
  <c r="Y19" i="18"/>
  <c r="Y25" i="18"/>
  <c r="Y24" i="18"/>
  <c r="Y26" i="18"/>
  <c r="Y22" i="18"/>
  <c r="D73" i="17"/>
  <c r="H73" i="17"/>
  <c r="J74" i="17" s="1"/>
  <c r="E73" i="17"/>
  <c r="G73" i="17"/>
  <c r="F73" i="17"/>
  <c r="K73" i="17"/>
  <c r="L73" i="17" s="1"/>
  <c r="M73" i="17"/>
  <c r="N73" i="17" s="1"/>
  <c r="Q73" i="17"/>
  <c r="R73" i="17" s="1"/>
  <c r="O73" i="17"/>
  <c r="P73" i="17" s="1"/>
  <c r="S73" i="17"/>
  <c r="C73" i="17"/>
  <c r="I73" i="17"/>
  <c r="W19" i="18" l="1"/>
  <c r="AF19" i="18"/>
  <c r="AB12" i="18"/>
  <c r="W17" i="18"/>
  <c r="B435" i="18"/>
  <c r="D435" i="18" s="1"/>
  <c r="Z19" i="18"/>
  <c r="B74" i="17"/>
  <c r="AG19" i="18" l="1"/>
  <c r="AC15" i="18" s="1"/>
  <c r="AC13" i="18"/>
  <c r="AC14" i="18"/>
  <c r="I435" i="18"/>
  <c r="M435" i="18"/>
  <c r="N435" i="18" s="1"/>
  <c r="O435" i="18"/>
  <c r="P435" i="18" s="1"/>
  <c r="S435" i="18"/>
  <c r="C435" i="18"/>
  <c r="K435" i="18"/>
  <c r="L435" i="18" s="1"/>
  <c r="H435" i="18"/>
  <c r="J436" i="18" s="1"/>
  <c r="Q435" i="18"/>
  <c r="R435" i="18" s="1"/>
  <c r="G435" i="18"/>
  <c r="F435" i="18"/>
  <c r="E435" i="18"/>
  <c r="Q74" i="17"/>
  <c r="R74" i="17" s="1"/>
  <c r="H74" i="17"/>
  <c r="J75" i="17" s="1"/>
  <c r="O74" i="17"/>
  <c r="P74" i="17" s="1"/>
  <c r="S74" i="17"/>
  <c r="F74" i="17"/>
  <c r="C74" i="17"/>
  <c r="K74" i="17"/>
  <c r="L74" i="17" s="1"/>
  <c r="I74" i="17"/>
  <c r="G74" i="17"/>
  <c r="D74" i="17"/>
  <c r="M74" i="17"/>
  <c r="N74" i="17" s="1"/>
  <c r="E74" i="17"/>
  <c r="B436" i="18" l="1"/>
  <c r="B75" i="17"/>
  <c r="O436" i="18" l="1"/>
  <c r="P436" i="18" s="1"/>
  <c r="Q436" i="18"/>
  <c r="R436" i="18" s="1"/>
  <c r="M436" i="18"/>
  <c r="N436" i="18" s="1"/>
  <c r="G436" i="18"/>
  <c r="H436" i="18"/>
  <c r="J437" i="18" s="1"/>
  <c r="S436" i="18"/>
  <c r="C436" i="18"/>
  <c r="I436" i="18"/>
  <c r="F436" i="18"/>
  <c r="E436" i="18"/>
  <c r="K436" i="18"/>
  <c r="L436" i="18" s="1"/>
  <c r="D436" i="18"/>
  <c r="H75" i="17"/>
  <c r="J76" i="17" s="1"/>
  <c r="K75" i="17"/>
  <c r="L75" i="17" s="1"/>
  <c r="D75" i="17"/>
  <c r="G75" i="17"/>
  <c r="E75" i="17"/>
  <c r="C75" i="17"/>
  <c r="S75" i="17"/>
  <c r="I75" i="17"/>
  <c r="O75" i="17"/>
  <c r="P75" i="17" s="1"/>
  <c r="Q75" i="17"/>
  <c r="R75" i="17" s="1"/>
  <c r="M75" i="17"/>
  <c r="N75" i="17" s="1"/>
  <c r="F75" i="17"/>
  <c r="B437" i="18" l="1"/>
  <c r="D437" i="18" s="1"/>
  <c r="B76" i="17"/>
  <c r="I437" i="18" l="1"/>
  <c r="C437" i="18"/>
  <c r="E437" i="18"/>
  <c r="G437" i="18"/>
  <c r="F437" i="18"/>
  <c r="H437" i="18"/>
  <c r="J438" i="18" s="1"/>
  <c r="M437" i="18"/>
  <c r="N437" i="18" s="1"/>
  <c r="K437" i="18"/>
  <c r="L437" i="18" s="1"/>
  <c r="Q437" i="18"/>
  <c r="R437" i="18" s="1"/>
  <c r="S437" i="18"/>
  <c r="O437" i="18"/>
  <c r="P437" i="18" s="1"/>
  <c r="E76" i="17"/>
  <c r="H76" i="17"/>
  <c r="J77" i="17" s="1"/>
  <c r="M76" i="17"/>
  <c r="N76" i="17" s="1"/>
  <c r="S76" i="17"/>
  <c r="I76" i="17"/>
  <c r="Q76" i="17"/>
  <c r="R76" i="17" s="1"/>
  <c r="D76" i="17"/>
  <c r="C76" i="17"/>
  <c r="F76" i="17"/>
  <c r="G76" i="17"/>
  <c r="K76" i="17"/>
  <c r="L76" i="17" s="1"/>
  <c r="O76" i="17"/>
  <c r="P76" i="17" s="1"/>
  <c r="B438" i="18" l="1"/>
  <c r="M438" i="18" s="1"/>
  <c r="N438" i="18" s="1"/>
  <c r="B77" i="17"/>
  <c r="C438" i="18" l="1"/>
  <c r="I438" i="18"/>
  <c r="F438" i="18"/>
  <c r="E438" i="18"/>
  <c r="K438" i="18"/>
  <c r="L438" i="18" s="1"/>
  <c r="G438" i="18"/>
  <c r="Q438" i="18"/>
  <c r="R438" i="18" s="1"/>
  <c r="H438" i="18"/>
  <c r="J439" i="18" s="1"/>
  <c r="S438" i="18"/>
  <c r="D438" i="18"/>
  <c r="O438" i="18"/>
  <c r="P438" i="18" s="1"/>
  <c r="G77" i="17"/>
  <c r="H77" i="17"/>
  <c r="J78" i="17" s="1"/>
  <c r="K77" i="17"/>
  <c r="L77" i="17" s="1"/>
  <c r="F77" i="17"/>
  <c r="M77" i="17"/>
  <c r="N77" i="17" s="1"/>
  <c r="E77" i="17"/>
  <c r="D77" i="17"/>
  <c r="Q77" i="17"/>
  <c r="R77" i="17" s="1"/>
  <c r="O77" i="17"/>
  <c r="P77" i="17" s="1"/>
  <c r="C77" i="17"/>
  <c r="S77" i="17"/>
  <c r="I77" i="17"/>
  <c r="B439" i="18" l="1"/>
  <c r="I439" i="18" s="1"/>
  <c r="B78" i="17"/>
  <c r="D439" i="18" l="1"/>
  <c r="K439" i="18"/>
  <c r="L439" i="18" s="1"/>
  <c r="M439" i="18"/>
  <c r="N439" i="18" s="1"/>
  <c r="F439" i="18"/>
  <c r="S439" i="18"/>
  <c r="H439" i="18"/>
  <c r="J440" i="18" s="1"/>
  <c r="G439" i="18"/>
  <c r="O439" i="18"/>
  <c r="P439" i="18" s="1"/>
  <c r="E439" i="18"/>
  <c r="Q439" i="18"/>
  <c r="R439" i="18" s="1"/>
  <c r="C439" i="18"/>
  <c r="D78" i="17"/>
  <c r="H78" i="17"/>
  <c r="J79" i="17" s="1"/>
  <c r="Q78" i="17"/>
  <c r="R78" i="17" s="1"/>
  <c r="C78" i="17"/>
  <c r="I78" i="17"/>
  <c r="M78" i="17"/>
  <c r="N78" i="17" s="1"/>
  <c r="K78" i="17"/>
  <c r="L78" i="17" s="1"/>
  <c r="O78" i="17"/>
  <c r="P78" i="17" s="1"/>
  <c r="F78" i="17"/>
  <c r="G78" i="17"/>
  <c r="E78" i="17"/>
  <c r="S78" i="17"/>
  <c r="B440" i="18" l="1"/>
  <c r="S440" i="18" s="1"/>
  <c r="B79" i="17"/>
  <c r="E440" i="18" l="1"/>
  <c r="C440" i="18"/>
  <c r="O440" i="18"/>
  <c r="P440" i="18" s="1"/>
  <c r="F440" i="18"/>
  <c r="D440" i="18"/>
  <c r="M440" i="18"/>
  <c r="N440" i="18" s="1"/>
  <c r="H440" i="18"/>
  <c r="J441" i="18" s="1"/>
  <c r="Q440" i="18"/>
  <c r="R440" i="18" s="1"/>
  <c r="G440" i="18"/>
  <c r="K440" i="18"/>
  <c r="L440" i="18" s="1"/>
  <c r="I440" i="18"/>
  <c r="D79" i="17"/>
  <c r="H79" i="17"/>
  <c r="J80" i="17" s="1"/>
  <c r="Q79" i="17"/>
  <c r="R79" i="17" s="1"/>
  <c r="O79" i="17"/>
  <c r="P79" i="17" s="1"/>
  <c r="C79" i="17"/>
  <c r="M79" i="17"/>
  <c r="N79" i="17" s="1"/>
  <c r="F79" i="17"/>
  <c r="K79" i="17"/>
  <c r="L79" i="17" s="1"/>
  <c r="G79" i="17"/>
  <c r="S79" i="17"/>
  <c r="I79" i="17"/>
  <c r="E79" i="17"/>
  <c r="B441" i="18" l="1"/>
  <c r="K441" i="18" s="1"/>
  <c r="L441" i="18" s="1"/>
  <c r="B80" i="17"/>
  <c r="D80" i="17" s="1"/>
  <c r="I441" i="18" l="1"/>
  <c r="M441" i="18"/>
  <c r="N441" i="18" s="1"/>
  <c r="C441" i="18"/>
  <c r="D441" i="18"/>
  <c r="O441" i="18"/>
  <c r="P441" i="18" s="1"/>
  <c r="E441" i="18"/>
  <c r="F441" i="18"/>
  <c r="G441" i="18"/>
  <c r="Q441" i="18"/>
  <c r="R441" i="18" s="1"/>
  <c r="S441" i="18"/>
  <c r="H441" i="18"/>
  <c r="J442" i="18" s="1"/>
  <c r="G80" i="17"/>
  <c r="H80" i="17"/>
  <c r="J81" i="17" s="1"/>
  <c r="F80" i="17"/>
  <c r="C80" i="17"/>
  <c r="E80" i="17"/>
  <c r="S80" i="17"/>
  <c r="M80" i="17"/>
  <c r="N80" i="17" s="1"/>
  <c r="I80" i="17"/>
  <c r="O80" i="17"/>
  <c r="P80" i="17" s="1"/>
  <c r="K80" i="17"/>
  <c r="L80" i="17" s="1"/>
  <c r="Q80" i="17"/>
  <c r="R80" i="17" s="1"/>
  <c r="B442" i="18" l="1"/>
  <c r="I442" i="18" s="1"/>
  <c r="B81" i="17"/>
  <c r="M442" i="18" l="1"/>
  <c r="N442" i="18" s="1"/>
  <c r="E442" i="18"/>
  <c r="S442" i="18"/>
  <c r="Q442" i="18"/>
  <c r="R442" i="18" s="1"/>
  <c r="O442" i="18"/>
  <c r="P442" i="18" s="1"/>
  <c r="K442" i="18"/>
  <c r="L442" i="18" s="1"/>
  <c r="C442" i="18"/>
  <c r="H442" i="18"/>
  <c r="J443" i="18" s="1"/>
  <c r="D442" i="18"/>
  <c r="G442" i="18"/>
  <c r="F442" i="18"/>
  <c r="D81" i="17"/>
  <c r="H81" i="17"/>
  <c r="J82" i="17" s="1"/>
  <c r="C81" i="17"/>
  <c r="Q81" i="17"/>
  <c r="R81" i="17" s="1"/>
  <c r="F81" i="17"/>
  <c r="S81" i="17"/>
  <c r="I81" i="17"/>
  <c r="O81" i="17"/>
  <c r="P81" i="17" s="1"/>
  <c r="G81" i="17"/>
  <c r="K81" i="17"/>
  <c r="L81" i="17" s="1"/>
  <c r="M81" i="17"/>
  <c r="N81" i="17" s="1"/>
  <c r="E81" i="17"/>
  <c r="B443" i="18" l="1"/>
  <c r="I443" i="18" s="1"/>
  <c r="B82" i="17"/>
  <c r="S443" i="18" l="1"/>
  <c r="G443" i="18"/>
  <c r="C443" i="18"/>
  <c r="Q443" i="18"/>
  <c r="R443" i="18" s="1"/>
  <c r="M443" i="18"/>
  <c r="N443" i="18" s="1"/>
  <c r="O443" i="18"/>
  <c r="P443" i="18" s="1"/>
  <c r="K443" i="18"/>
  <c r="L443" i="18" s="1"/>
  <c r="D443" i="18"/>
  <c r="E443" i="18"/>
  <c r="H443" i="18"/>
  <c r="J444" i="18" s="1"/>
  <c r="F443" i="18"/>
  <c r="D82" i="17"/>
  <c r="H82" i="17"/>
  <c r="J83" i="17" s="1"/>
  <c r="Q82" i="17"/>
  <c r="R82" i="17" s="1"/>
  <c r="I82" i="17"/>
  <c r="K82" i="17"/>
  <c r="L82" i="17" s="1"/>
  <c r="G82" i="17"/>
  <c r="C82" i="17"/>
  <c r="M82" i="17"/>
  <c r="N82" i="17" s="1"/>
  <c r="O82" i="17"/>
  <c r="P82" i="17" s="1"/>
  <c r="S82" i="17"/>
  <c r="E82" i="17"/>
  <c r="F82" i="17"/>
  <c r="B444" i="18" l="1"/>
  <c r="E444" i="18" s="1"/>
  <c r="B83" i="17"/>
  <c r="D444" i="18" l="1"/>
  <c r="G444" i="18"/>
  <c r="M444" i="18"/>
  <c r="N444" i="18" s="1"/>
  <c r="I444" i="18"/>
  <c r="H444" i="18"/>
  <c r="J445" i="18" s="1"/>
  <c r="K444" i="18"/>
  <c r="L444" i="18" s="1"/>
  <c r="O444" i="18"/>
  <c r="P444" i="18" s="1"/>
  <c r="S444" i="18"/>
  <c r="Q444" i="18"/>
  <c r="R444" i="18" s="1"/>
  <c r="F444" i="18"/>
  <c r="C444" i="18"/>
  <c r="D83" i="17"/>
  <c r="H83" i="17"/>
  <c r="J84" i="17" s="1"/>
  <c r="M83" i="17"/>
  <c r="N83" i="17" s="1"/>
  <c r="K83" i="17"/>
  <c r="L83" i="17" s="1"/>
  <c r="E83" i="17"/>
  <c r="O83" i="17"/>
  <c r="P83" i="17" s="1"/>
  <c r="C83" i="17"/>
  <c r="G83" i="17"/>
  <c r="F83" i="17"/>
  <c r="I83" i="17"/>
  <c r="Q83" i="17"/>
  <c r="R83" i="17" s="1"/>
  <c r="S83" i="17"/>
  <c r="B445" i="18" l="1"/>
  <c r="E445" i="18" s="1"/>
  <c r="B84" i="17"/>
  <c r="G445" i="18" l="1"/>
  <c r="F445" i="18"/>
  <c r="K445" i="18"/>
  <c r="L445" i="18" s="1"/>
  <c r="H445" i="18"/>
  <c r="J446" i="18" s="1"/>
  <c r="S445" i="18"/>
  <c r="C445" i="18"/>
  <c r="M445" i="18"/>
  <c r="N445" i="18" s="1"/>
  <c r="D445" i="18"/>
  <c r="Q445" i="18"/>
  <c r="R445" i="18" s="1"/>
  <c r="O445" i="18"/>
  <c r="P445" i="18" s="1"/>
  <c r="I445" i="18"/>
  <c r="M84" i="17"/>
  <c r="N84" i="17" s="1"/>
  <c r="H84" i="17"/>
  <c r="J85" i="17" s="1"/>
  <c r="G84" i="17"/>
  <c r="K84" i="17"/>
  <c r="L84" i="17" s="1"/>
  <c r="I84" i="17"/>
  <c r="D84" i="17"/>
  <c r="E84" i="17"/>
  <c r="C84" i="17"/>
  <c r="O84" i="17"/>
  <c r="P84" i="17" s="1"/>
  <c r="F84" i="17"/>
  <c r="Q84" i="17"/>
  <c r="R84" i="17" s="1"/>
  <c r="S84" i="17"/>
  <c r="B446" i="18" l="1"/>
  <c r="D446" i="18" s="1"/>
  <c r="B85" i="17"/>
  <c r="O446" i="18" l="1"/>
  <c r="P446" i="18" s="1"/>
  <c r="E446" i="18"/>
  <c r="F446" i="18"/>
  <c r="I446" i="18"/>
  <c r="K446" i="18"/>
  <c r="L446" i="18" s="1"/>
  <c r="G446" i="18"/>
  <c r="M446" i="18"/>
  <c r="N446" i="18" s="1"/>
  <c r="S446" i="18"/>
  <c r="Q446" i="18"/>
  <c r="R446" i="18" s="1"/>
  <c r="H446" i="18"/>
  <c r="J447" i="18" s="1"/>
  <c r="C446" i="18"/>
  <c r="K85" i="17"/>
  <c r="L85" i="17" s="1"/>
  <c r="H85" i="17"/>
  <c r="J86" i="17" s="1"/>
  <c r="I85" i="17"/>
  <c r="S85" i="17"/>
  <c r="C85" i="17"/>
  <c r="M85" i="17"/>
  <c r="N85" i="17" s="1"/>
  <c r="F85" i="17"/>
  <c r="D85" i="17"/>
  <c r="G85" i="17"/>
  <c r="Q85" i="17"/>
  <c r="R85" i="17" s="1"/>
  <c r="E85" i="17"/>
  <c r="O85" i="17"/>
  <c r="P85" i="17" s="1"/>
  <c r="B447" i="18" l="1"/>
  <c r="Q447" i="18" s="1"/>
  <c r="R447" i="18" s="1"/>
  <c r="B86" i="17"/>
  <c r="F447" i="18" l="1"/>
  <c r="E447" i="18"/>
  <c r="M447" i="18"/>
  <c r="N447" i="18" s="1"/>
  <c r="C447" i="18"/>
  <c r="H447" i="18"/>
  <c r="J448" i="18" s="1"/>
  <c r="D447" i="18"/>
  <c r="O447" i="18"/>
  <c r="P447" i="18" s="1"/>
  <c r="B448" i="18" s="1"/>
  <c r="K447" i="18"/>
  <c r="L447" i="18" s="1"/>
  <c r="G447" i="18"/>
  <c r="I447" i="18"/>
  <c r="S447" i="18"/>
  <c r="Q86" i="17"/>
  <c r="R86" i="17" s="1"/>
  <c r="H86" i="17"/>
  <c r="J87" i="17" s="1"/>
  <c r="O86" i="17"/>
  <c r="P86" i="17" s="1"/>
  <c r="D86" i="17"/>
  <c r="F86" i="17"/>
  <c r="I86" i="17"/>
  <c r="S86" i="17"/>
  <c r="E86" i="17"/>
  <c r="M86" i="17"/>
  <c r="N86" i="17" s="1"/>
  <c r="K86" i="17"/>
  <c r="L86" i="17" s="1"/>
  <c r="G86" i="17"/>
  <c r="C86" i="17"/>
  <c r="K448" i="18" l="1"/>
  <c r="L448" i="18" s="1"/>
  <c r="C448" i="18"/>
  <c r="S448" i="18"/>
  <c r="M448" i="18"/>
  <c r="N448" i="18" s="1"/>
  <c r="F448" i="18"/>
  <c r="D448" i="18"/>
  <c r="E448" i="18"/>
  <c r="Q448" i="18"/>
  <c r="R448" i="18" s="1"/>
  <c r="I448" i="18"/>
  <c r="G448" i="18"/>
  <c r="H448" i="18"/>
  <c r="J449" i="18" s="1"/>
  <c r="O448" i="18"/>
  <c r="P448" i="18" s="1"/>
  <c r="B87" i="17"/>
  <c r="B449" i="18" l="1"/>
  <c r="Q449" i="18" s="1"/>
  <c r="R449" i="18" s="1"/>
  <c r="Q87" i="17"/>
  <c r="R87" i="17" s="1"/>
  <c r="H87" i="17"/>
  <c r="J88" i="17" s="1"/>
  <c r="O87" i="17"/>
  <c r="P87" i="17" s="1"/>
  <c r="G87" i="17"/>
  <c r="D87" i="17"/>
  <c r="F87" i="17"/>
  <c r="M87" i="17"/>
  <c r="N87" i="17" s="1"/>
  <c r="S87" i="17"/>
  <c r="C87" i="17"/>
  <c r="K87" i="17"/>
  <c r="L87" i="17" s="1"/>
  <c r="I87" i="17"/>
  <c r="E87" i="17"/>
  <c r="E449" i="18" l="1"/>
  <c r="S449" i="18"/>
  <c r="F449" i="18"/>
  <c r="G449" i="18"/>
  <c r="K449" i="18"/>
  <c r="L449" i="18" s="1"/>
  <c r="M449" i="18"/>
  <c r="N449" i="18" s="1"/>
  <c r="D449" i="18"/>
  <c r="C449" i="18"/>
  <c r="H449" i="18"/>
  <c r="J450" i="18" s="1"/>
  <c r="I449" i="18"/>
  <c r="O449" i="18"/>
  <c r="P449" i="18" s="1"/>
  <c r="B450" i="18" s="1"/>
  <c r="B88" i="17"/>
  <c r="D450" i="18" l="1"/>
  <c r="O450" i="18"/>
  <c r="P450" i="18" s="1"/>
  <c r="Q450" i="18"/>
  <c r="R450" i="18" s="1"/>
  <c r="I450" i="18"/>
  <c r="E450" i="18"/>
  <c r="F450" i="18"/>
  <c r="K450" i="18"/>
  <c r="L450" i="18" s="1"/>
  <c r="H450" i="18"/>
  <c r="J451" i="18" s="1"/>
  <c r="G450" i="18"/>
  <c r="M450" i="18"/>
  <c r="N450" i="18" s="1"/>
  <c r="S450" i="18"/>
  <c r="C450" i="18"/>
  <c r="E88" i="17"/>
  <c r="H88" i="17"/>
  <c r="J89" i="17" s="1"/>
  <c r="K88" i="17"/>
  <c r="L88" i="17" s="1"/>
  <c r="Q88" i="17"/>
  <c r="R88" i="17" s="1"/>
  <c r="O88" i="17"/>
  <c r="P88" i="17" s="1"/>
  <c r="G88" i="17"/>
  <c r="D88" i="17"/>
  <c r="S88" i="17"/>
  <c r="F88" i="17"/>
  <c r="I88" i="17"/>
  <c r="C88" i="17"/>
  <c r="M88" i="17"/>
  <c r="N88" i="17" s="1"/>
  <c r="B451" i="18" l="1"/>
  <c r="D451" i="18" s="1"/>
  <c r="B89" i="17"/>
  <c r="C451" i="18" l="1"/>
  <c r="H451" i="18"/>
  <c r="J452" i="18" s="1"/>
  <c r="O451" i="18"/>
  <c r="P451" i="18" s="1"/>
  <c r="Q451" i="18"/>
  <c r="R451" i="18" s="1"/>
  <c r="F451" i="18"/>
  <c r="M451" i="18"/>
  <c r="N451" i="18" s="1"/>
  <c r="K451" i="18"/>
  <c r="L451" i="18" s="1"/>
  <c r="G451" i="18"/>
  <c r="E451" i="18"/>
  <c r="I451" i="18"/>
  <c r="S451" i="18"/>
  <c r="D89" i="17"/>
  <c r="H89" i="17"/>
  <c r="J90" i="17" s="1"/>
  <c r="C89" i="17"/>
  <c r="I89" i="17"/>
  <c r="K89" i="17"/>
  <c r="L89" i="17" s="1"/>
  <c r="E89" i="17"/>
  <c r="Q89" i="17"/>
  <c r="R89" i="17" s="1"/>
  <c r="G89" i="17"/>
  <c r="M89" i="17"/>
  <c r="N89" i="17" s="1"/>
  <c r="F89" i="17"/>
  <c r="O89" i="17"/>
  <c r="P89" i="17" s="1"/>
  <c r="S89" i="17"/>
  <c r="B452" i="18" l="1"/>
  <c r="D452" i="18" s="1"/>
  <c r="B90" i="17"/>
  <c r="M452" i="18" l="1"/>
  <c r="N452" i="18" s="1"/>
  <c r="O452" i="18"/>
  <c r="P452" i="18" s="1"/>
  <c r="Q452" i="18"/>
  <c r="R452" i="18" s="1"/>
  <c r="E452" i="18"/>
  <c r="K452" i="18"/>
  <c r="L452" i="18" s="1"/>
  <c r="F452" i="18"/>
  <c r="I452" i="18"/>
  <c r="H452" i="18"/>
  <c r="J453" i="18" s="1"/>
  <c r="G452" i="18"/>
  <c r="C452" i="18"/>
  <c r="S452" i="18"/>
  <c r="C90" i="17"/>
  <c r="H90" i="17"/>
  <c r="J91" i="17" s="1"/>
  <c r="D90" i="17"/>
  <c r="K90" i="17"/>
  <c r="L90" i="17" s="1"/>
  <c r="I90" i="17"/>
  <c r="M90" i="17"/>
  <c r="N90" i="17" s="1"/>
  <c r="S90" i="17"/>
  <c r="F90" i="17"/>
  <c r="E90" i="17"/>
  <c r="O90" i="17"/>
  <c r="P90" i="17" s="1"/>
  <c r="G90" i="17"/>
  <c r="Q90" i="17"/>
  <c r="R90" i="17" s="1"/>
  <c r="B453" i="18" l="1"/>
  <c r="B91" i="17"/>
  <c r="Q453" i="18" l="1"/>
  <c r="R453" i="18" s="1"/>
  <c r="M453" i="18"/>
  <c r="N453" i="18" s="1"/>
  <c r="G453" i="18"/>
  <c r="E453" i="18"/>
  <c r="K453" i="18"/>
  <c r="L453" i="18" s="1"/>
  <c r="C453" i="18"/>
  <c r="H453" i="18"/>
  <c r="J454" i="18" s="1"/>
  <c r="F453" i="18"/>
  <c r="O453" i="18"/>
  <c r="P453" i="18" s="1"/>
  <c r="S453" i="18"/>
  <c r="I453" i="18"/>
  <c r="D453" i="18"/>
  <c r="D91" i="17"/>
  <c r="H91" i="17"/>
  <c r="J92" i="17" s="1"/>
  <c r="M91" i="17"/>
  <c r="N91" i="17" s="1"/>
  <c r="O91" i="17"/>
  <c r="P91" i="17" s="1"/>
  <c r="F91" i="17"/>
  <c r="C91" i="17"/>
  <c r="Q91" i="17"/>
  <c r="R91" i="17" s="1"/>
  <c r="I91" i="17"/>
  <c r="G91" i="17"/>
  <c r="K91" i="17"/>
  <c r="L91" i="17" s="1"/>
  <c r="S91" i="17"/>
  <c r="E91" i="17"/>
  <c r="B454" i="18" l="1"/>
  <c r="H454" i="18" s="1"/>
  <c r="J455" i="18" s="1"/>
  <c r="B92" i="17"/>
  <c r="D454" i="18" l="1"/>
  <c r="M454" i="18"/>
  <c r="N454" i="18" s="1"/>
  <c r="G454" i="18"/>
  <c r="I454" i="18"/>
  <c r="S454" i="18"/>
  <c r="O454" i="18"/>
  <c r="P454" i="18" s="1"/>
  <c r="Q454" i="18"/>
  <c r="R454" i="18" s="1"/>
  <c r="C454" i="18"/>
  <c r="E454" i="18"/>
  <c r="K454" i="18"/>
  <c r="L454" i="18" s="1"/>
  <c r="F454" i="18"/>
  <c r="O92" i="17"/>
  <c r="P92" i="17" s="1"/>
  <c r="H92" i="17"/>
  <c r="J93" i="17" s="1"/>
  <c r="F92" i="17"/>
  <c r="Q92" i="17"/>
  <c r="R92" i="17" s="1"/>
  <c r="I92" i="17"/>
  <c r="K92" i="17"/>
  <c r="L92" i="17" s="1"/>
  <c r="M92" i="17"/>
  <c r="N92" i="17" s="1"/>
  <c r="D92" i="17"/>
  <c r="G92" i="17"/>
  <c r="C92" i="17"/>
  <c r="S92" i="17"/>
  <c r="E92" i="17"/>
  <c r="B455" i="18" l="1"/>
  <c r="H455" i="18" s="1"/>
  <c r="J456" i="18" s="1"/>
  <c r="B93" i="17"/>
  <c r="E455" i="18" l="1"/>
  <c r="C455" i="18"/>
  <c r="Q455" i="18"/>
  <c r="R455" i="18" s="1"/>
  <c r="O455" i="18"/>
  <c r="P455" i="18" s="1"/>
  <c r="M455" i="18"/>
  <c r="N455" i="18" s="1"/>
  <c r="G455" i="18"/>
  <c r="F455" i="18"/>
  <c r="D455" i="18"/>
  <c r="K455" i="18"/>
  <c r="L455" i="18" s="1"/>
  <c r="S455" i="18"/>
  <c r="I455" i="18"/>
  <c r="G93" i="17"/>
  <c r="H93" i="17"/>
  <c r="J94" i="17" s="1"/>
  <c r="K93" i="17"/>
  <c r="L93" i="17" s="1"/>
  <c r="O93" i="17"/>
  <c r="P93" i="17" s="1"/>
  <c r="I93" i="17"/>
  <c r="S93" i="17"/>
  <c r="D93" i="17"/>
  <c r="Q93" i="17"/>
  <c r="R93" i="17" s="1"/>
  <c r="E93" i="17"/>
  <c r="M93" i="17"/>
  <c r="N93" i="17" s="1"/>
  <c r="F93" i="17"/>
  <c r="C93" i="17"/>
  <c r="B456" i="18" l="1"/>
  <c r="E456" i="18" s="1"/>
  <c r="B94" i="17"/>
  <c r="I94" i="17" s="1"/>
  <c r="D456" i="18" l="1"/>
  <c r="K456" i="18"/>
  <c r="L456" i="18" s="1"/>
  <c r="C456" i="18"/>
  <c r="Q456" i="18"/>
  <c r="R456" i="18" s="1"/>
  <c r="I456" i="18"/>
  <c r="M456" i="18"/>
  <c r="N456" i="18" s="1"/>
  <c r="O456" i="18"/>
  <c r="P456" i="18" s="1"/>
  <c r="H456" i="18"/>
  <c r="J457" i="18" s="1"/>
  <c r="G456" i="18"/>
  <c r="F456" i="18"/>
  <c r="S456" i="18"/>
  <c r="Q94" i="17"/>
  <c r="R94" i="17" s="1"/>
  <c r="C94" i="17"/>
  <c r="K94" i="17"/>
  <c r="L94" i="17" s="1"/>
  <c r="D94" i="17"/>
  <c r="S94" i="17"/>
  <c r="G94" i="17"/>
  <c r="H94" i="17"/>
  <c r="J95" i="17" s="1"/>
  <c r="M94" i="17"/>
  <c r="N94" i="17" s="1"/>
  <c r="E94" i="17"/>
  <c r="F94" i="17"/>
  <c r="O94" i="17"/>
  <c r="P94" i="17" s="1"/>
  <c r="B457" i="18" l="1"/>
  <c r="D457" i="18" s="1"/>
  <c r="B95" i="17"/>
  <c r="S95" i="17" s="1"/>
  <c r="I457" i="18" l="1"/>
  <c r="M457" i="18"/>
  <c r="N457" i="18" s="1"/>
  <c r="Q457" i="18"/>
  <c r="R457" i="18" s="1"/>
  <c r="S457" i="18"/>
  <c r="K457" i="18"/>
  <c r="L457" i="18" s="1"/>
  <c r="C457" i="18"/>
  <c r="E457" i="18"/>
  <c r="G457" i="18"/>
  <c r="H457" i="18"/>
  <c r="J458" i="18" s="1"/>
  <c r="O457" i="18"/>
  <c r="P457" i="18" s="1"/>
  <c r="F457" i="18"/>
  <c r="O95" i="17"/>
  <c r="P95" i="17" s="1"/>
  <c r="C95" i="17"/>
  <c r="M95" i="17"/>
  <c r="N95" i="17" s="1"/>
  <c r="D95" i="17"/>
  <c r="K95" i="17"/>
  <c r="L95" i="17" s="1"/>
  <c r="F95" i="17"/>
  <c r="Q95" i="17"/>
  <c r="R95" i="17" s="1"/>
  <c r="E95" i="17"/>
  <c r="I95" i="17"/>
  <c r="G95" i="17"/>
  <c r="H95" i="17"/>
  <c r="J96" i="17" s="1"/>
  <c r="B458" i="18" l="1"/>
  <c r="G458" i="18" s="1"/>
  <c r="B96" i="17"/>
  <c r="Q96" i="17" s="1"/>
  <c r="R96" i="17" s="1"/>
  <c r="S458" i="18" l="1"/>
  <c r="E458" i="18"/>
  <c r="F458" i="18"/>
  <c r="C458" i="18"/>
  <c r="K458" i="18"/>
  <c r="L458" i="18" s="1"/>
  <c r="I458" i="18"/>
  <c r="Q458" i="18"/>
  <c r="R458" i="18" s="1"/>
  <c r="O458" i="18"/>
  <c r="P458" i="18" s="1"/>
  <c r="H458" i="18"/>
  <c r="J459" i="18" s="1"/>
  <c r="D458" i="18"/>
  <c r="M458" i="18"/>
  <c r="N458" i="18" s="1"/>
  <c r="E96" i="17"/>
  <c r="S96" i="17"/>
  <c r="M96" i="17"/>
  <c r="N96" i="17" s="1"/>
  <c r="K96" i="17"/>
  <c r="L96" i="17" s="1"/>
  <c r="D96" i="17"/>
  <c r="G96" i="17"/>
  <c r="O96" i="17"/>
  <c r="P96" i="17" s="1"/>
  <c r="F96" i="17"/>
  <c r="C96" i="17"/>
  <c r="H96" i="17"/>
  <c r="J97" i="17" s="1"/>
  <c r="I96" i="17"/>
  <c r="B459" i="18" l="1"/>
  <c r="D459" i="18" s="1"/>
  <c r="B97" i="17"/>
  <c r="H97" i="17" s="1"/>
  <c r="J98" i="17" s="1"/>
  <c r="E459" i="18" l="1"/>
  <c r="Q459" i="18"/>
  <c r="R459" i="18" s="1"/>
  <c r="O459" i="18"/>
  <c r="P459" i="18" s="1"/>
  <c r="K459" i="18"/>
  <c r="L459" i="18" s="1"/>
  <c r="H459" i="18"/>
  <c r="J460" i="18" s="1"/>
  <c r="M459" i="18"/>
  <c r="N459" i="18" s="1"/>
  <c r="I459" i="18"/>
  <c r="G459" i="18"/>
  <c r="F459" i="18"/>
  <c r="C459" i="18"/>
  <c r="S459" i="18"/>
  <c r="M97" i="17"/>
  <c r="N97" i="17" s="1"/>
  <c r="F97" i="17"/>
  <c r="O97" i="17"/>
  <c r="P97" i="17" s="1"/>
  <c r="I97" i="17"/>
  <c r="K97" i="17"/>
  <c r="L97" i="17" s="1"/>
  <c r="C97" i="17"/>
  <c r="S97" i="17"/>
  <c r="Q97" i="17"/>
  <c r="R97" i="17" s="1"/>
  <c r="D97" i="17"/>
  <c r="E97" i="17"/>
  <c r="G97" i="17"/>
  <c r="B460" i="18" l="1"/>
  <c r="G460" i="18" s="1"/>
  <c r="B98" i="17"/>
  <c r="K98" i="17" s="1"/>
  <c r="L98" i="17" s="1"/>
  <c r="H460" i="18" l="1"/>
  <c r="J461" i="18" s="1"/>
  <c r="K460" i="18"/>
  <c r="L460" i="18" s="1"/>
  <c r="D460" i="18"/>
  <c r="S460" i="18"/>
  <c r="E460" i="18"/>
  <c r="C460" i="18"/>
  <c r="F460" i="18"/>
  <c r="I460" i="18"/>
  <c r="O460" i="18"/>
  <c r="P460" i="18" s="1"/>
  <c r="Q460" i="18"/>
  <c r="R460" i="18" s="1"/>
  <c r="M460" i="18"/>
  <c r="N460" i="18" s="1"/>
  <c r="I98" i="17"/>
  <c r="F98" i="17"/>
  <c r="M98" i="17"/>
  <c r="N98" i="17" s="1"/>
  <c r="O98" i="17"/>
  <c r="P98" i="17" s="1"/>
  <c r="S98" i="17"/>
  <c r="C98" i="17"/>
  <c r="H98" i="17"/>
  <c r="J99" i="17" s="1"/>
  <c r="G98" i="17"/>
  <c r="E98" i="17"/>
  <c r="Q98" i="17"/>
  <c r="R98" i="17" s="1"/>
  <c r="D98" i="17"/>
  <c r="B461" i="18" l="1"/>
  <c r="F461" i="18" s="1"/>
  <c r="B99" i="17"/>
  <c r="O99" i="17" s="1"/>
  <c r="P99" i="17" s="1"/>
  <c r="Q461" i="18" l="1"/>
  <c r="R461" i="18" s="1"/>
  <c r="G461" i="18"/>
  <c r="D461" i="18"/>
  <c r="H461" i="18"/>
  <c r="J462" i="18" s="1"/>
  <c r="C461" i="18"/>
  <c r="K461" i="18"/>
  <c r="L461" i="18" s="1"/>
  <c r="E461" i="18"/>
  <c r="O461" i="18"/>
  <c r="P461" i="18" s="1"/>
  <c r="S461" i="18"/>
  <c r="M461" i="18"/>
  <c r="N461" i="18" s="1"/>
  <c r="I461" i="18"/>
  <c r="S99" i="17"/>
  <c r="C99" i="17"/>
  <c r="D99" i="17"/>
  <c r="G99" i="17"/>
  <c r="Q99" i="17"/>
  <c r="R99" i="17" s="1"/>
  <c r="K99" i="17"/>
  <c r="L99" i="17" s="1"/>
  <c r="M99" i="17"/>
  <c r="N99" i="17" s="1"/>
  <c r="F99" i="17"/>
  <c r="H99" i="17"/>
  <c r="J100" i="17" s="1"/>
  <c r="I99" i="17"/>
  <c r="E99" i="17"/>
  <c r="B462" i="18" l="1"/>
  <c r="G462" i="18" s="1"/>
  <c r="B100" i="17"/>
  <c r="E100" i="17" s="1"/>
  <c r="F462" i="18" l="1"/>
  <c r="I462" i="18"/>
  <c r="M462" i="18"/>
  <c r="N462" i="18" s="1"/>
  <c r="O462" i="18"/>
  <c r="P462" i="18" s="1"/>
  <c r="K462" i="18"/>
  <c r="L462" i="18" s="1"/>
  <c r="S462" i="18"/>
  <c r="H462" i="18"/>
  <c r="J463" i="18" s="1"/>
  <c r="Q462" i="18"/>
  <c r="R462" i="18" s="1"/>
  <c r="D462" i="18"/>
  <c r="E462" i="18"/>
  <c r="C462" i="18"/>
  <c r="O100" i="17"/>
  <c r="P100" i="17" s="1"/>
  <c r="M100" i="17"/>
  <c r="N100" i="17" s="1"/>
  <c r="S100" i="17"/>
  <c r="G100" i="17"/>
  <c r="C100" i="17"/>
  <c r="D100" i="17"/>
  <c r="Q100" i="17"/>
  <c r="R100" i="17" s="1"/>
  <c r="K100" i="17"/>
  <c r="L100" i="17" s="1"/>
  <c r="F100" i="17"/>
  <c r="H100" i="17"/>
  <c r="J101" i="17" s="1"/>
  <c r="I100" i="17"/>
  <c r="B463" i="18" l="1"/>
  <c r="C463" i="18" s="1"/>
  <c r="B101" i="17"/>
  <c r="K101" i="17" s="1"/>
  <c r="L101" i="17" s="1"/>
  <c r="E463" i="18" l="1"/>
  <c r="Q463" i="18"/>
  <c r="R463" i="18" s="1"/>
  <c r="H463" i="18"/>
  <c r="J464" i="18" s="1"/>
  <c r="M463" i="18"/>
  <c r="N463" i="18" s="1"/>
  <c r="O463" i="18"/>
  <c r="P463" i="18" s="1"/>
  <c r="F463" i="18"/>
  <c r="K463" i="18"/>
  <c r="L463" i="18" s="1"/>
  <c r="G463" i="18"/>
  <c r="I463" i="18"/>
  <c r="S463" i="18"/>
  <c r="D463" i="18"/>
  <c r="G101" i="17"/>
  <c r="M101" i="17"/>
  <c r="N101" i="17" s="1"/>
  <c r="O101" i="17"/>
  <c r="P101" i="17" s="1"/>
  <c r="D101" i="17"/>
  <c r="Q101" i="17"/>
  <c r="R101" i="17" s="1"/>
  <c r="I101" i="17"/>
  <c r="H101" i="17"/>
  <c r="J102" i="17" s="1"/>
  <c r="C101" i="17"/>
  <c r="S101" i="17"/>
  <c r="E101" i="17"/>
  <c r="F101" i="17"/>
  <c r="B464" i="18" l="1"/>
  <c r="G464" i="18" s="1"/>
  <c r="B102" i="17"/>
  <c r="H102" i="17" s="1"/>
  <c r="J103" i="17" s="1"/>
  <c r="Q464" i="18" l="1"/>
  <c r="R464" i="18" s="1"/>
  <c r="C464" i="18"/>
  <c r="H464" i="18"/>
  <c r="J465" i="18" s="1"/>
  <c r="O464" i="18"/>
  <c r="P464" i="18" s="1"/>
  <c r="I464" i="18"/>
  <c r="E464" i="18"/>
  <c r="M464" i="18"/>
  <c r="N464" i="18" s="1"/>
  <c r="D464" i="18"/>
  <c r="K464" i="18"/>
  <c r="L464" i="18" s="1"/>
  <c r="S464" i="18"/>
  <c r="F464" i="18"/>
  <c r="F102" i="17"/>
  <c r="S102" i="17"/>
  <c r="D102" i="17"/>
  <c r="K102" i="17"/>
  <c r="L102" i="17" s="1"/>
  <c r="M102" i="17"/>
  <c r="N102" i="17" s="1"/>
  <c r="G102" i="17"/>
  <c r="E102" i="17"/>
  <c r="C102" i="17"/>
  <c r="Q102" i="17"/>
  <c r="R102" i="17" s="1"/>
  <c r="O102" i="17"/>
  <c r="P102" i="17" s="1"/>
  <c r="I102" i="17"/>
  <c r="B465" i="18" l="1"/>
  <c r="K465" i="18" s="1"/>
  <c r="L465" i="18" s="1"/>
  <c r="M465" i="18"/>
  <c r="N465" i="18" s="1"/>
  <c r="B103" i="17"/>
  <c r="H103" i="17" s="1"/>
  <c r="J104" i="17" s="1"/>
  <c r="C465" i="18" l="1"/>
  <c r="G465" i="18"/>
  <c r="H465" i="18"/>
  <c r="J466" i="18" s="1"/>
  <c r="F465" i="18"/>
  <c r="S465" i="18"/>
  <c r="Q465" i="18"/>
  <c r="R465" i="18" s="1"/>
  <c r="I465" i="18"/>
  <c r="O465" i="18"/>
  <c r="P465" i="18" s="1"/>
  <c r="E465" i="18"/>
  <c r="D465" i="18"/>
  <c r="S103" i="17"/>
  <c r="D103" i="17"/>
  <c r="C103" i="17"/>
  <c r="K103" i="17"/>
  <c r="L103" i="17" s="1"/>
  <c r="M103" i="17"/>
  <c r="N103" i="17" s="1"/>
  <c r="F103" i="17"/>
  <c r="I103" i="17"/>
  <c r="O103" i="17"/>
  <c r="P103" i="17" s="1"/>
  <c r="Q103" i="17"/>
  <c r="R103" i="17" s="1"/>
  <c r="G103" i="17"/>
  <c r="E103" i="17"/>
  <c r="B466" i="18" l="1"/>
  <c r="G466" i="18" s="1"/>
  <c r="O466" i="18"/>
  <c r="P466" i="18" s="1"/>
  <c r="K466" i="18"/>
  <c r="L466" i="18" s="1"/>
  <c r="M466" i="18"/>
  <c r="N466" i="18" s="1"/>
  <c r="Q466" i="18"/>
  <c r="R466" i="18" s="1"/>
  <c r="B104" i="17"/>
  <c r="Q104" i="17" s="1"/>
  <c r="R104" i="17" s="1"/>
  <c r="E466" i="18" l="1"/>
  <c r="C466" i="18"/>
  <c r="F466" i="18"/>
  <c r="H466" i="18"/>
  <c r="J467" i="18" s="1"/>
  <c r="I466" i="18"/>
  <c r="S466" i="18"/>
  <c r="D466" i="18"/>
  <c r="B467" i="18"/>
  <c r="H467" i="18" s="1"/>
  <c r="J468" i="18" s="1"/>
  <c r="M104" i="17"/>
  <c r="N104" i="17" s="1"/>
  <c r="D104" i="17"/>
  <c r="E104" i="17"/>
  <c r="I104" i="17"/>
  <c r="G104" i="17"/>
  <c r="S104" i="17"/>
  <c r="C104" i="17"/>
  <c r="K104" i="17"/>
  <c r="L104" i="17" s="1"/>
  <c r="F104" i="17"/>
  <c r="O104" i="17"/>
  <c r="P104" i="17" s="1"/>
  <c r="H104" i="17"/>
  <c r="J105" i="17" s="1"/>
  <c r="K467" i="18" l="1"/>
  <c r="L467" i="18" s="1"/>
  <c r="C467" i="18"/>
  <c r="I467" i="18"/>
  <c r="S467" i="18"/>
  <c r="O467" i="18"/>
  <c r="P467" i="18" s="1"/>
  <c r="G467" i="18"/>
  <c r="M467" i="18"/>
  <c r="N467" i="18" s="1"/>
  <c r="E467" i="18"/>
  <c r="D467" i="18"/>
  <c r="Q467" i="18"/>
  <c r="R467" i="18" s="1"/>
  <c r="F467" i="18"/>
  <c r="B105" i="17"/>
  <c r="H105" i="17" s="1"/>
  <c r="J106" i="17" s="1"/>
  <c r="B468" i="18" l="1"/>
  <c r="F468" i="18" s="1"/>
  <c r="D105" i="17"/>
  <c r="F105" i="17"/>
  <c r="I105" i="17"/>
  <c r="C105" i="17"/>
  <c r="Q105" i="17"/>
  <c r="R105" i="17" s="1"/>
  <c r="G105" i="17"/>
  <c r="K105" i="17"/>
  <c r="L105" i="17" s="1"/>
  <c r="O105" i="17"/>
  <c r="P105" i="17" s="1"/>
  <c r="M105" i="17"/>
  <c r="N105" i="17" s="1"/>
  <c r="S105" i="17"/>
  <c r="E105" i="17"/>
  <c r="E468" i="18" l="1"/>
  <c r="C468" i="18"/>
  <c r="S468" i="18"/>
  <c r="D468" i="18"/>
  <c r="G468" i="18"/>
  <c r="I468" i="18"/>
  <c r="H468" i="18"/>
  <c r="J469" i="18" s="1"/>
  <c r="M468" i="18"/>
  <c r="N468" i="18" s="1"/>
  <c r="O468" i="18"/>
  <c r="P468" i="18" s="1"/>
  <c r="Q468" i="18"/>
  <c r="R468" i="18" s="1"/>
  <c r="K468" i="18"/>
  <c r="L468" i="18" s="1"/>
  <c r="B106" i="17"/>
  <c r="I106" i="17" s="1"/>
  <c r="B469" i="18" l="1"/>
  <c r="S469" i="18" s="1"/>
  <c r="M106" i="17"/>
  <c r="N106" i="17" s="1"/>
  <c r="S106" i="17"/>
  <c r="K106" i="17"/>
  <c r="L106" i="17" s="1"/>
  <c r="H106" i="17"/>
  <c r="J107" i="17" s="1"/>
  <c r="F106" i="17"/>
  <c r="Q106" i="17"/>
  <c r="R106" i="17" s="1"/>
  <c r="C106" i="17"/>
  <c r="G106" i="17"/>
  <c r="D106" i="17"/>
  <c r="E106" i="17"/>
  <c r="O106" i="17"/>
  <c r="P106" i="17" s="1"/>
  <c r="E469" i="18" l="1"/>
  <c r="K469" i="18"/>
  <c r="L469" i="18" s="1"/>
  <c r="Q469" i="18"/>
  <c r="R469" i="18" s="1"/>
  <c r="H469" i="18"/>
  <c r="J470" i="18" s="1"/>
  <c r="I469" i="18"/>
  <c r="O469" i="18"/>
  <c r="P469" i="18" s="1"/>
  <c r="G469" i="18"/>
  <c r="D469" i="18"/>
  <c r="C469" i="18"/>
  <c r="F469" i="18"/>
  <c r="M469" i="18"/>
  <c r="N469" i="18" s="1"/>
  <c r="B107" i="17"/>
  <c r="D107" i="17" s="1"/>
  <c r="B470" i="18" l="1"/>
  <c r="K470" i="18" s="1"/>
  <c r="L470" i="18" s="1"/>
  <c r="F107" i="17"/>
  <c r="I107" i="17"/>
  <c r="O107" i="17"/>
  <c r="P107" i="17" s="1"/>
  <c r="S107" i="17"/>
  <c r="H107" i="17"/>
  <c r="J108" i="17" s="1"/>
  <c r="G107" i="17"/>
  <c r="E107" i="17"/>
  <c r="C107" i="17"/>
  <c r="K107" i="17"/>
  <c r="L107" i="17" s="1"/>
  <c r="M107" i="17"/>
  <c r="N107" i="17" s="1"/>
  <c r="Q107" i="17"/>
  <c r="R107" i="17" s="1"/>
  <c r="E470" i="18" l="1"/>
  <c r="D470" i="18"/>
  <c r="F470" i="18"/>
  <c r="C470" i="18"/>
  <c r="Q470" i="18"/>
  <c r="R470" i="18" s="1"/>
  <c r="I470" i="18"/>
  <c r="M470" i="18"/>
  <c r="N470" i="18" s="1"/>
  <c r="H470" i="18"/>
  <c r="J471" i="18" s="1"/>
  <c r="S470" i="18"/>
  <c r="G470" i="18"/>
  <c r="O470" i="18"/>
  <c r="P470" i="18" s="1"/>
  <c r="B108" i="17"/>
  <c r="K108" i="17" s="1"/>
  <c r="L108" i="17" s="1"/>
  <c r="B471" i="18" l="1"/>
  <c r="I471" i="18" s="1"/>
  <c r="I108" i="17"/>
  <c r="H108" i="17"/>
  <c r="J109" i="17" s="1"/>
  <c r="G108" i="17"/>
  <c r="F108" i="17"/>
  <c r="C108" i="17"/>
  <c r="D108" i="17"/>
  <c r="S108" i="17"/>
  <c r="Q108" i="17"/>
  <c r="R108" i="17" s="1"/>
  <c r="O108" i="17"/>
  <c r="P108" i="17" s="1"/>
  <c r="E108" i="17"/>
  <c r="M108" i="17"/>
  <c r="N108" i="17" s="1"/>
  <c r="E471" i="18" l="1"/>
  <c r="D471" i="18"/>
  <c r="M471" i="18"/>
  <c r="N471" i="18" s="1"/>
  <c r="Q471" i="18"/>
  <c r="R471" i="18" s="1"/>
  <c r="G471" i="18"/>
  <c r="C471" i="18"/>
  <c r="H471" i="18"/>
  <c r="J472" i="18" s="1"/>
  <c r="F471" i="18"/>
  <c r="K471" i="18"/>
  <c r="L471" i="18" s="1"/>
  <c r="S471" i="18"/>
  <c r="O471" i="18"/>
  <c r="P471" i="18" s="1"/>
  <c r="B109" i="17"/>
  <c r="O109" i="17" s="1"/>
  <c r="P109" i="17" s="1"/>
  <c r="B472" i="18" l="1"/>
  <c r="E472" i="18" s="1"/>
  <c r="M109" i="17"/>
  <c r="N109" i="17" s="1"/>
  <c r="S109" i="17"/>
  <c r="H109" i="17"/>
  <c r="J110" i="17" s="1"/>
  <c r="G109" i="17"/>
  <c r="C109" i="17"/>
  <c r="E109" i="17"/>
  <c r="K109" i="17"/>
  <c r="L109" i="17" s="1"/>
  <c r="Q109" i="17"/>
  <c r="R109" i="17" s="1"/>
  <c r="D109" i="17"/>
  <c r="I109" i="17"/>
  <c r="F109" i="17"/>
  <c r="O472" i="18" l="1"/>
  <c r="P472" i="18" s="1"/>
  <c r="M472" i="18"/>
  <c r="N472" i="18" s="1"/>
  <c r="Q472" i="18"/>
  <c r="R472" i="18" s="1"/>
  <c r="C472" i="18"/>
  <c r="K472" i="18"/>
  <c r="L472" i="18" s="1"/>
  <c r="S472" i="18"/>
  <c r="D472" i="18"/>
  <c r="F472" i="18"/>
  <c r="G472" i="18"/>
  <c r="H472" i="18"/>
  <c r="J473" i="18" s="1"/>
  <c r="I472" i="18"/>
  <c r="B110" i="17"/>
  <c r="H110" i="17" s="1"/>
  <c r="J111" i="17" s="1"/>
  <c r="B473" i="18" l="1"/>
  <c r="I473" i="18" s="1"/>
  <c r="E110" i="17"/>
  <c r="Q110" i="17"/>
  <c r="R110" i="17" s="1"/>
  <c r="C110" i="17"/>
  <c r="I110" i="17"/>
  <c r="O110" i="17"/>
  <c r="P110" i="17" s="1"/>
  <c r="D110" i="17"/>
  <c r="G110" i="17"/>
  <c r="F110" i="17"/>
  <c r="S110" i="17"/>
  <c r="K110" i="17"/>
  <c r="L110" i="17" s="1"/>
  <c r="M110" i="17"/>
  <c r="N110" i="17" s="1"/>
  <c r="K473" i="18" l="1"/>
  <c r="L473" i="18" s="1"/>
  <c r="D473" i="18"/>
  <c r="M473" i="18"/>
  <c r="N473" i="18" s="1"/>
  <c r="C473" i="18"/>
  <c r="O473" i="18"/>
  <c r="P473" i="18" s="1"/>
  <c r="F473" i="18"/>
  <c r="G473" i="18"/>
  <c r="Q473" i="18"/>
  <c r="R473" i="18" s="1"/>
  <c r="H473" i="18"/>
  <c r="J474" i="18" s="1"/>
  <c r="S473" i="18"/>
  <c r="E473" i="18"/>
  <c r="B111" i="17"/>
  <c r="F111" i="17" s="1"/>
  <c r="B474" i="18" l="1"/>
  <c r="S474" i="18" s="1"/>
  <c r="E111" i="17"/>
  <c r="S111" i="17"/>
  <c r="Q111" i="17"/>
  <c r="R111" i="17" s="1"/>
  <c r="D111" i="17"/>
  <c r="C111" i="17"/>
  <c r="I111" i="17"/>
  <c r="K111" i="17"/>
  <c r="L111" i="17" s="1"/>
  <c r="M111" i="17"/>
  <c r="N111" i="17" s="1"/>
  <c r="G111" i="17"/>
  <c r="H111" i="17"/>
  <c r="J112" i="17" s="1"/>
  <c r="O111" i="17"/>
  <c r="P111" i="17" s="1"/>
  <c r="I474" i="18" l="1"/>
  <c r="Q474" i="18"/>
  <c r="R474" i="18" s="1"/>
  <c r="F474" i="18"/>
  <c r="K474" i="18"/>
  <c r="L474" i="18" s="1"/>
  <c r="D474" i="18"/>
  <c r="G474" i="18"/>
  <c r="O474" i="18"/>
  <c r="P474" i="18" s="1"/>
  <c r="M474" i="18"/>
  <c r="N474" i="18" s="1"/>
  <c r="H474" i="18"/>
  <c r="J475" i="18" s="1"/>
  <c r="E474" i="18"/>
  <c r="C474" i="18"/>
  <c r="B112" i="17"/>
  <c r="H112" i="17" s="1"/>
  <c r="J113" i="17" s="1"/>
  <c r="B475" i="18" l="1"/>
  <c r="Q475" i="18" s="1"/>
  <c r="R475" i="18" s="1"/>
  <c r="Q112" i="17"/>
  <c r="R112" i="17" s="1"/>
  <c r="G112" i="17"/>
  <c r="O112" i="17"/>
  <c r="P112" i="17" s="1"/>
  <c r="F112" i="17"/>
  <c r="C112" i="17"/>
  <c r="K112" i="17"/>
  <c r="L112" i="17" s="1"/>
  <c r="E112" i="17"/>
  <c r="D112" i="17"/>
  <c r="S112" i="17"/>
  <c r="I112" i="17"/>
  <c r="M112" i="17"/>
  <c r="N112" i="17" s="1"/>
  <c r="H475" i="18" l="1"/>
  <c r="J476" i="18" s="1"/>
  <c r="C475" i="18"/>
  <c r="K475" i="18"/>
  <c r="L475" i="18" s="1"/>
  <c r="I475" i="18"/>
  <c r="F475" i="18"/>
  <c r="S475" i="18"/>
  <c r="O475" i="18"/>
  <c r="P475" i="18" s="1"/>
  <c r="B476" i="18" s="1"/>
  <c r="O476" i="18" s="1"/>
  <c r="P476" i="18" s="1"/>
  <c r="G475" i="18"/>
  <c r="M475" i="18"/>
  <c r="N475" i="18" s="1"/>
  <c r="D475" i="18"/>
  <c r="E475" i="18"/>
  <c r="B113" i="17"/>
  <c r="K113" i="17" s="1"/>
  <c r="L113" i="17" s="1"/>
  <c r="S476" i="18" l="1"/>
  <c r="Q476" i="18"/>
  <c r="R476" i="18" s="1"/>
  <c r="B477" i="18" s="1"/>
  <c r="Q477" i="18" s="1"/>
  <c r="R477" i="18" s="1"/>
  <c r="D476" i="18"/>
  <c r="I476" i="18"/>
  <c r="F476" i="18"/>
  <c r="C476" i="18"/>
  <c r="E476" i="18"/>
  <c r="H476" i="18"/>
  <c r="J477" i="18" s="1"/>
  <c r="K476" i="18"/>
  <c r="L476" i="18" s="1"/>
  <c r="G476" i="18"/>
  <c r="M476" i="18"/>
  <c r="N476" i="18" s="1"/>
  <c r="F113" i="17"/>
  <c r="D113" i="17"/>
  <c r="S113" i="17"/>
  <c r="Q113" i="17"/>
  <c r="R113" i="17" s="1"/>
  <c r="H113" i="17"/>
  <c r="J114" i="17" s="1"/>
  <c r="M113" i="17"/>
  <c r="N113" i="17" s="1"/>
  <c r="C113" i="17"/>
  <c r="O113" i="17"/>
  <c r="P113" i="17" s="1"/>
  <c r="G113" i="17"/>
  <c r="I113" i="17"/>
  <c r="E113" i="17"/>
  <c r="S477" i="18" l="1"/>
  <c r="I477" i="18"/>
  <c r="E477" i="18"/>
  <c r="O477" i="18"/>
  <c r="P477" i="18" s="1"/>
  <c r="B478" i="18" s="1"/>
  <c r="F477" i="18"/>
  <c r="C477" i="18"/>
  <c r="G477" i="18"/>
  <c r="H477" i="18"/>
  <c r="J478" i="18" s="1"/>
  <c r="D477" i="18"/>
  <c r="K477" i="18"/>
  <c r="L477" i="18" s="1"/>
  <c r="M477" i="18"/>
  <c r="N477" i="18" s="1"/>
  <c r="B114" i="17"/>
  <c r="F114" i="17" s="1"/>
  <c r="I478" i="18" l="1"/>
  <c r="F478" i="18"/>
  <c r="D478" i="18"/>
  <c r="O478" i="18"/>
  <c r="P478" i="18" s="1"/>
  <c r="C478" i="18"/>
  <c r="K478" i="18"/>
  <c r="L478" i="18" s="1"/>
  <c r="Q478" i="18"/>
  <c r="R478" i="18" s="1"/>
  <c r="G478" i="18"/>
  <c r="H478" i="18"/>
  <c r="J479" i="18" s="1"/>
  <c r="S478" i="18"/>
  <c r="E478" i="18"/>
  <c r="M478" i="18"/>
  <c r="N478" i="18" s="1"/>
  <c r="C114" i="17"/>
  <c r="M114" i="17"/>
  <c r="N114" i="17" s="1"/>
  <c r="O114" i="17"/>
  <c r="P114" i="17" s="1"/>
  <c r="K114" i="17"/>
  <c r="L114" i="17" s="1"/>
  <c r="H114" i="17"/>
  <c r="J115" i="17" s="1"/>
  <c r="S114" i="17"/>
  <c r="G114" i="17"/>
  <c r="D114" i="17"/>
  <c r="I114" i="17"/>
  <c r="E114" i="17"/>
  <c r="Q114" i="17"/>
  <c r="R114" i="17" s="1"/>
  <c r="B479" i="18" l="1"/>
  <c r="E479" i="18" s="1"/>
  <c r="B115" i="17"/>
  <c r="I115" i="17" s="1"/>
  <c r="F479" i="18" l="1"/>
  <c r="C479" i="18"/>
  <c r="M479" i="18"/>
  <c r="N479" i="18" s="1"/>
  <c r="S479" i="18"/>
  <c r="O479" i="18"/>
  <c r="P479" i="18" s="1"/>
  <c r="H479" i="18"/>
  <c r="J480" i="18" s="1"/>
  <c r="G479" i="18"/>
  <c r="D479" i="18"/>
  <c r="K479" i="18"/>
  <c r="L479" i="18" s="1"/>
  <c r="I479" i="18"/>
  <c r="Q479" i="18"/>
  <c r="R479" i="18" s="1"/>
  <c r="E115" i="17"/>
  <c r="Q115" i="17"/>
  <c r="R115" i="17" s="1"/>
  <c r="G115" i="17"/>
  <c r="C115" i="17"/>
  <c r="D115" i="17"/>
  <c r="F115" i="17"/>
  <c r="S115" i="17"/>
  <c r="K115" i="17"/>
  <c r="L115" i="17" s="1"/>
  <c r="M115" i="17"/>
  <c r="N115" i="17" s="1"/>
  <c r="H115" i="17"/>
  <c r="J116" i="17" s="1"/>
  <c r="O115" i="17"/>
  <c r="P115" i="17" s="1"/>
  <c r="B480" i="18" l="1"/>
  <c r="F480" i="18" s="1"/>
  <c r="B116" i="17"/>
  <c r="H116" i="17" s="1"/>
  <c r="J117" i="17" s="1"/>
  <c r="C480" i="18" l="1"/>
  <c r="G480" i="18"/>
  <c r="E480" i="18"/>
  <c r="Q480" i="18"/>
  <c r="R480" i="18" s="1"/>
  <c r="H480" i="18"/>
  <c r="J481" i="18" s="1"/>
  <c r="D480" i="18"/>
  <c r="S480" i="18"/>
  <c r="I480" i="18"/>
  <c r="K480" i="18"/>
  <c r="L480" i="18" s="1"/>
  <c r="O480" i="18"/>
  <c r="P480" i="18" s="1"/>
  <c r="M480" i="18"/>
  <c r="N480" i="18" s="1"/>
  <c r="O116" i="17"/>
  <c r="P116" i="17" s="1"/>
  <c r="M116" i="17"/>
  <c r="N116" i="17" s="1"/>
  <c r="I116" i="17"/>
  <c r="D116" i="17"/>
  <c r="F116" i="17"/>
  <c r="C116" i="17"/>
  <c r="G116" i="17"/>
  <c r="K116" i="17"/>
  <c r="L116" i="17" s="1"/>
  <c r="E116" i="17"/>
  <c r="S116" i="17"/>
  <c r="Q116" i="17"/>
  <c r="R116" i="17" s="1"/>
  <c r="B481" i="18" l="1"/>
  <c r="M481" i="18" s="1"/>
  <c r="N481" i="18" s="1"/>
  <c r="B117" i="17"/>
  <c r="G117" i="17" s="1"/>
  <c r="F481" i="18" l="1"/>
  <c r="H481" i="18"/>
  <c r="J482" i="18" s="1"/>
  <c r="G481" i="18"/>
  <c r="C481" i="18"/>
  <c r="D481" i="18"/>
  <c r="Q481" i="18"/>
  <c r="R481" i="18" s="1"/>
  <c r="K481" i="18"/>
  <c r="L481" i="18" s="1"/>
  <c r="O481" i="18"/>
  <c r="P481" i="18" s="1"/>
  <c r="E481" i="18"/>
  <c r="S481" i="18"/>
  <c r="I481" i="18"/>
  <c r="D117" i="17"/>
  <c r="O117" i="17"/>
  <c r="P117" i="17" s="1"/>
  <c r="H117" i="17"/>
  <c r="J118" i="17" s="1"/>
  <c r="Q117" i="17"/>
  <c r="R117" i="17" s="1"/>
  <c r="C117" i="17"/>
  <c r="F117" i="17"/>
  <c r="E117" i="17"/>
  <c r="K117" i="17"/>
  <c r="L117" i="17" s="1"/>
  <c r="I117" i="17"/>
  <c r="M117" i="17"/>
  <c r="N117" i="17" s="1"/>
  <c r="S117" i="17"/>
  <c r="B482" i="18" l="1"/>
  <c r="D482" i="18" s="1"/>
  <c r="B118" i="17"/>
  <c r="D118" i="17" s="1"/>
  <c r="C482" i="18" l="1"/>
  <c r="S482" i="18"/>
  <c r="Q482" i="18"/>
  <c r="R482" i="18" s="1"/>
  <c r="I482" i="18"/>
  <c r="F482" i="18"/>
  <c r="M482" i="18"/>
  <c r="N482" i="18" s="1"/>
  <c r="K482" i="18"/>
  <c r="L482" i="18" s="1"/>
  <c r="H482" i="18"/>
  <c r="J483" i="18" s="1"/>
  <c r="G482" i="18"/>
  <c r="E482" i="18"/>
  <c r="O482" i="18"/>
  <c r="P482" i="18" s="1"/>
  <c r="B483" i="18" s="1"/>
  <c r="O483" i="18" s="1"/>
  <c r="P483" i="18" s="1"/>
  <c r="E118" i="17"/>
  <c r="Q118" i="17"/>
  <c r="R118" i="17" s="1"/>
  <c r="K118" i="17"/>
  <c r="L118" i="17" s="1"/>
  <c r="G118" i="17"/>
  <c r="M118" i="17"/>
  <c r="N118" i="17" s="1"/>
  <c r="H118" i="17"/>
  <c r="J119" i="17" s="1"/>
  <c r="I118" i="17"/>
  <c r="O118" i="17"/>
  <c r="P118" i="17" s="1"/>
  <c r="F118" i="17"/>
  <c r="S118" i="17"/>
  <c r="C118" i="17"/>
  <c r="Q483" i="18" l="1"/>
  <c r="R483" i="18" s="1"/>
  <c r="B484" i="18" s="1"/>
  <c r="Q484" i="18" s="1"/>
  <c r="R484" i="18" s="1"/>
  <c r="C483" i="18"/>
  <c r="D483" i="18"/>
  <c r="K483" i="18"/>
  <c r="L483" i="18" s="1"/>
  <c r="I483" i="18"/>
  <c r="G483" i="18"/>
  <c r="F483" i="18"/>
  <c r="H483" i="18"/>
  <c r="J484" i="18" s="1"/>
  <c r="M483" i="18"/>
  <c r="N483" i="18" s="1"/>
  <c r="S483" i="18"/>
  <c r="E483" i="18"/>
  <c r="B119" i="17"/>
  <c r="K119" i="17" s="1"/>
  <c r="L119" i="17" s="1"/>
  <c r="I484" i="18" l="1"/>
  <c r="D484" i="18"/>
  <c r="S484" i="18"/>
  <c r="C484" i="18"/>
  <c r="O484" i="18"/>
  <c r="P484" i="18" s="1"/>
  <c r="B485" i="18" s="1"/>
  <c r="E484" i="18"/>
  <c r="F484" i="18"/>
  <c r="K484" i="18"/>
  <c r="L484" i="18" s="1"/>
  <c r="G484" i="18"/>
  <c r="M484" i="18"/>
  <c r="N484" i="18" s="1"/>
  <c r="H484" i="18"/>
  <c r="J485" i="18" s="1"/>
  <c r="E119" i="17"/>
  <c r="S119" i="17"/>
  <c r="D119" i="17"/>
  <c r="I119" i="17"/>
  <c r="G119" i="17"/>
  <c r="Q119" i="17"/>
  <c r="R119" i="17" s="1"/>
  <c r="M119" i="17"/>
  <c r="N119" i="17" s="1"/>
  <c r="O119" i="17"/>
  <c r="P119" i="17" s="1"/>
  <c r="H119" i="17"/>
  <c r="J120" i="17" s="1"/>
  <c r="F119" i="17"/>
  <c r="C119" i="17"/>
  <c r="F485" i="18" l="1"/>
  <c r="H485" i="18"/>
  <c r="J486" i="18" s="1"/>
  <c r="I485" i="18"/>
  <c r="O485" i="18"/>
  <c r="P485" i="18" s="1"/>
  <c r="Q485" i="18"/>
  <c r="R485" i="18" s="1"/>
  <c r="D485" i="18"/>
  <c r="C485" i="18"/>
  <c r="E485" i="18"/>
  <c r="S485" i="18"/>
  <c r="G485" i="18"/>
  <c r="K485" i="18"/>
  <c r="L485" i="18" s="1"/>
  <c r="M485" i="18"/>
  <c r="N485" i="18" s="1"/>
  <c r="B120" i="17"/>
  <c r="C120" i="17" s="1"/>
  <c r="B486" i="18" l="1"/>
  <c r="G486" i="18" s="1"/>
  <c r="O120" i="17"/>
  <c r="P120" i="17" s="1"/>
  <c r="E120" i="17"/>
  <c r="D120" i="17"/>
  <c r="M120" i="17"/>
  <c r="N120" i="17" s="1"/>
  <c r="S120" i="17"/>
  <c r="I120" i="17"/>
  <c r="Q120" i="17"/>
  <c r="R120" i="17" s="1"/>
  <c r="G120" i="17"/>
  <c r="K120" i="17"/>
  <c r="L120" i="17" s="1"/>
  <c r="H120" i="17"/>
  <c r="J121" i="17" s="1"/>
  <c r="F120" i="17"/>
  <c r="C486" i="18" l="1"/>
  <c r="K486" i="18"/>
  <c r="L486" i="18" s="1"/>
  <c r="M486" i="18"/>
  <c r="N486" i="18" s="1"/>
  <c r="I486" i="18"/>
  <c r="H486" i="18"/>
  <c r="J487" i="18" s="1"/>
  <c r="Q486" i="18"/>
  <c r="R486" i="18" s="1"/>
  <c r="F486" i="18"/>
  <c r="O486" i="18"/>
  <c r="P486" i="18" s="1"/>
  <c r="S486" i="18"/>
  <c r="E486" i="18"/>
  <c r="D486" i="18"/>
  <c r="B121" i="17"/>
  <c r="B487" i="18" l="1"/>
  <c r="M487" i="18" s="1"/>
  <c r="N487" i="18" s="1"/>
  <c r="S121" i="17"/>
  <c r="F121" i="17"/>
  <c r="K121" i="17"/>
  <c r="L121" i="17" s="1"/>
  <c r="E121" i="17"/>
  <c r="Q121" i="17"/>
  <c r="R121" i="17" s="1"/>
  <c r="D121" i="17"/>
  <c r="O121" i="17"/>
  <c r="P121" i="17" s="1"/>
  <c r="I121" i="17"/>
  <c r="G121" i="17"/>
  <c r="M121" i="17"/>
  <c r="N121" i="17" s="1"/>
  <c r="H121" i="17"/>
  <c r="J122" i="17" s="1"/>
  <c r="C121" i="17"/>
  <c r="O487" i="18" l="1"/>
  <c r="P487" i="18" s="1"/>
  <c r="Q487" i="18"/>
  <c r="R487" i="18" s="1"/>
  <c r="K487" i="18"/>
  <c r="L487" i="18" s="1"/>
  <c r="E487" i="18"/>
  <c r="F487" i="18"/>
  <c r="C487" i="18"/>
  <c r="S487" i="18"/>
  <c r="I487" i="18"/>
  <c r="D487" i="18"/>
  <c r="H487" i="18"/>
  <c r="J488" i="18" s="1"/>
  <c r="G487" i="18"/>
  <c r="B122" i="17"/>
  <c r="I122" i="17" s="1"/>
  <c r="B488" i="18" l="1"/>
  <c r="F488" i="18" s="1"/>
  <c r="K122" i="17"/>
  <c r="L122" i="17" s="1"/>
  <c r="S122" i="17"/>
  <c r="Q122" i="17"/>
  <c r="R122" i="17" s="1"/>
  <c r="E122" i="17"/>
  <c r="O122" i="17"/>
  <c r="P122" i="17" s="1"/>
  <c r="H122" i="17"/>
  <c r="J123" i="17" s="1"/>
  <c r="M122" i="17"/>
  <c r="N122" i="17" s="1"/>
  <c r="G122" i="17"/>
  <c r="F122" i="17"/>
  <c r="C122" i="17"/>
  <c r="D122" i="17"/>
  <c r="S488" i="18" l="1"/>
  <c r="H488" i="18"/>
  <c r="J489" i="18" s="1"/>
  <c r="C488" i="18"/>
  <c r="O488" i="18"/>
  <c r="P488" i="18" s="1"/>
  <c r="G488" i="18"/>
  <c r="K488" i="18"/>
  <c r="L488" i="18" s="1"/>
  <c r="Q488" i="18"/>
  <c r="R488" i="18" s="1"/>
  <c r="D488" i="18"/>
  <c r="E488" i="18"/>
  <c r="M488" i="18"/>
  <c r="N488" i="18" s="1"/>
  <c r="I488" i="18"/>
  <c r="B123" i="17"/>
  <c r="D123" i="17" s="1"/>
  <c r="B489" i="18" l="1"/>
  <c r="D489" i="18" s="1"/>
  <c r="I123" i="17"/>
  <c r="K123" i="17"/>
  <c r="L123" i="17" s="1"/>
  <c r="C123" i="17"/>
  <c r="Q123" i="17"/>
  <c r="R123" i="17" s="1"/>
  <c r="F123" i="17"/>
  <c r="H123" i="17"/>
  <c r="J124" i="17" s="1"/>
  <c r="S123" i="17"/>
  <c r="E123" i="17"/>
  <c r="M123" i="17"/>
  <c r="N123" i="17" s="1"/>
  <c r="G123" i="17"/>
  <c r="O123" i="17"/>
  <c r="P123" i="17" s="1"/>
  <c r="O489" i="18" l="1"/>
  <c r="P489" i="18" s="1"/>
  <c r="M489" i="18"/>
  <c r="N489" i="18" s="1"/>
  <c r="H489" i="18"/>
  <c r="J490" i="18" s="1"/>
  <c r="F489" i="18"/>
  <c r="E489" i="18"/>
  <c r="C489" i="18"/>
  <c r="Q489" i="18"/>
  <c r="R489" i="18" s="1"/>
  <c r="S489" i="18"/>
  <c r="K489" i="18"/>
  <c r="L489" i="18" s="1"/>
  <c r="G489" i="18"/>
  <c r="I489" i="18"/>
  <c r="B124" i="17"/>
  <c r="S124" i="17" s="1"/>
  <c r="B490" i="18" l="1"/>
  <c r="G490" i="18" s="1"/>
  <c r="O124" i="17"/>
  <c r="P124" i="17" s="1"/>
  <c r="K124" i="17"/>
  <c r="L124" i="17" s="1"/>
  <c r="Q124" i="17"/>
  <c r="R124" i="17" s="1"/>
  <c r="D124" i="17"/>
  <c r="E124" i="17"/>
  <c r="G124" i="17"/>
  <c r="H124" i="17"/>
  <c r="J125" i="17" s="1"/>
  <c r="M124" i="17"/>
  <c r="N124" i="17" s="1"/>
  <c r="F124" i="17"/>
  <c r="I124" i="17"/>
  <c r="C124" i="17"/>
  <c r="F490" i="18" l="1"/>
  <c r="E490" i="18"/>
  <c r="S490" i="18"/>
  <c r="K490" i="18"/>
  <c r="L490" i="18" s="1"/>
  <c r="C490" i="18"/>
  <c r="H490" i="18"/>
  <c r="J491" i="18" s="1"/>
  <c r="I490" i="18"/>
  <c r="Q490" i="18"/>
  <c r="R490" i="18" s="1"/>
  <c r="O490" i="18"/>
  <c r="P490" i="18" s="1"/>
  <c r="M490" i="18"/>
  <c r="N490" i="18" s="1"/>
  <c r="D490" i="18"/>
  <c r="B125" i="17"/>
  <c r="H125" i="17" s="1"/>
  <c r="J126" i="17" s="1"/>
  <c r="B491" i="18" l="1"/>
  <c r="D491" i="18" s="1"/>
  <c r="I125" i="17"/>
  <c r="C125" i="17"/>
  <c r="E125" i="17"/>
  <c r="M125" i="17"/>
  <c r="N125" i="17" s="1"/>
  <c r="F125" i="17"/>
  <c r="O125" i="17"/>
  <c r="P125" i="17" s="1"/>
  <c r="S125" i="17"/>
  <c r="D125" i="17"/>
  <c r="Q125" i="17"/>
  <c r="R125" i="17" s="1"/>
  <c r="K125" i="17"/>
  <c r="L125" i="17" s="1"/>
  <c r="G125" i="17"/>
  <c r="O491" i="18" l="1"/>
  <c r="P491" i="18" s="1"/>
  <c r="F491" i="18"/>
  <c r="Q491" i="18"/>
  <c r="R491" i="18" s="1"/>
  <c r="H491" i="18"/>
  <c r="J492" i="18" s="1"/>
  <c r="K491" i="18"/>
  <c r="L491" i="18" s="1"/>
  <c r="I491" i="18"/>
  <c r="G491" i="18"/>
  <c r="M491" i="18"/>
  <c r="N491" i="18" s="1"/>
  <c r="E491" i="18"/>
  <c r="S491" i="18"/>
  <c r="C491" i="18"/>
  <c r="B126" i="17"/>
  <c r="I126" i="17" s="1"/>
  <c r="B492" i="18" l="1"/>
  <c r="D492" i="18" s="1"/>
  <c r="E126" i="17"/>
  <c r="O126" i="17"/>
  <c r="P126" i="17" s="1"/>
  <c r="C126" i="17"/>
  <c r="H126" i="17"/>
  <c r="J127" i="17" s="1"/>
  <c r="D126" i="17"/>
  <c r="K126" i="17"/>
  <c r="L126" i="17" s="1"/>
  <c r="F126" i="17"/>
  <c r="G126" i="17"/>
  <c r="Q126" i="17"/>
  <c r="R126" i="17" s="1"/>
  <c r="S126" i="17"/>
  <c r="M126" i="17"/>
  <c r="N126" i="17" s="1"/>
  <c r="K492" i="18" l="1"/>
  <c r="L492" i="18" s="1"/>
  <c r="Q492" i="18"/>
  <c r="R492" i="18" s="1"/>
  <c r="H492" i="18"/>
  <c r="J493" i="18" s="1"/>
  <c r="M492" i="18"/>
  <c r="N492" i="18" s="1"/>
  <c r="S492" i="18"/>
  <c r="G492" i="18"/>
  <c r="C492" i="18"/>
  <c r="I492" i="18"/>
  <c r="E492" i="18"/>
  <c r="F492" i="18"/>
  <c r="O492" i="18"/>
  <c r="P492" i="18" s="1"/>
  <c r="B127" i="17"/>
  <c r="K127" i="17" s="1"/>
  <c r="L127" i="17" s="1"/>
  <c r="B493" i="18" l="1"/>
  <c r="I493" i="18" s="1"/>
  <c r="O127" i="17"/>
  <c r="P127" i="17" s="1"/>
  <c r="D127" i="17"/>
  <c r="F127" i="17"/>
  <c r="H127" i="17"/>
  <c r="J128" i="17" s="1"/>
  <c r="M127" i="17"/>
  <c r="N127" i="17" s="1"/>
  <c r="E127" i="17"/>
  <c r="C127" i="17"/>
  <c r="I127" i="17"/>
  <c r="G127" i="17"/>
  <c r="Q127" i="17"/>
  <c r="R127" i="17" s="1"/>
  <c r="S127" i="17"/>
  <c r="F493" i="18" l="1"/>
  <c r="S493" i="18"/>
  <c r="E493" i="18"/>
  <c r="G493" i="18"/>
  <c r="D493" i="18"/>
  <c r="O493" i="18"/>
  <c r="P493" i="18" s="1"/>
  <c r="K493" i="18"/>
  <c r="L493" i="18" s="1"/>
  <c r="Q493" i="18"/>
  <c r="R493" i="18" s="1"/>
  <c r="M493" i="18"/>
  <c r="N493" i="18" s="1"/>
  <c r="C493" i="18"/>
  <c r="H493" i="18"/>
  <c r="J494" i="18" s="1"/>
  <c r="B128" i="17"/>
  <c r="K128" i="17" s="1"/>
  <c r="L128" i="17" s="1"/>
  <c r="B494" i="18" l="1"/>
  <c r="Q494" i="18" s="1"/>
  <c r="R494" i="18" s="1"/>
  <c r="S128" i="17"/>
  <c r="I128" i="17"/>
  <c r="M128" i="17"/>
  <c r="N128" i="17" s="1"/>
  <c r="F128" i="17"/>
  <c r="O128" i="17"/>
  <c r="P128" i="17" s="1"/>
  <c r="D128" i="17"/>
  <c r="E128" i="17"/>
  <c r="G128" i="17"/>
  <c r="C128" i="17"/>
  <c r="Q128" i="17"/>
  <c r="R128" i="17" s="1"/>
  <c r="H128" i="17"/>
  <c r="J129" i="17" s="1"/>
  <c r="K494" i="18" l="1"/>
  <c r="L494" i="18" s="1"/>
  <c r="G494" i="18"/>
  <c r="F494" i="18"/>
  <c r="D494" i="18"/>
  <c r="E494" i="18"/>
  <c r="S494" i="18"/>
  <c r="I494" i="18"/>
  <c r="M494" i="18"/>
  <c r="N494" i="18" s="1"/>
  <c r="O494" i="18"/>
  <c r="P494" i="18" s="1"/>
  <c r="B495" i="18" s="1"/>
  <c r="Q495" i="18" s="1"/>
  <c r="R495" i="18" s="1"/>
  <c r="H494" i="18"/>
  <c r="J495" i="18" s="1"/>
  <c r="C494" i="18"/>
  <c r="B129" i="17"/>
  <c r="I129" i="17" s="1"/>
  <c r="I495" i="18" l="1"/>
  <c r="F495" i="18"/>
  <c r="K495" i="18"/>
  <c r="L495" i="18" s="1"/>
  <c r="G495" i="18"/>
  <c r="O495" i="18"/>
  <c r="P495" i="18" s="1"/>
  <c r="B496" i="18" s="1"/>
  <c r="S495" i="18"/>
  <c r="M495" i="18"/>
  <c r="N495" i="18" s="1"/>
  <c r="H495" i="18"/>
  <c r="J496" i="18" s="1"/>
  <c r="D495" i="18"/>
  <c r="E495" i="18"/>
  <c r="C495" i="18"/>
  <c r="O129" i="17"/>
  <c r="P129" i="17" s="1"/>
  <c r="S129" i="17"/>
  <c r="D129" i="17"/>
  <c r="F129" i="17"/>
  <c r="G129" i="17"/>
  <c r="E129" i="17"/>
  <c r="C129" i="17"/>
  <c r="K129" i="17"/>
  <c r="L129" i="17" s="1"/>
  <c r="H129" i="17"/>
  <c r="J130" i="17" s="1"/>
  <c r="Q129" i="17"/>
  <c r="R129" i="17" s="1"/>
  <c r="M129" i="17"/>
  <c r="N129" i="17" s="1"/>
  <c r="G496" i="18" l="1"/>
  <c r="D496" i="18"/>
  <c r="C496" i="18"/>
  <c r="I496" i="18"/>
  <c r="Q496" i="18"/>
  <c r="R496" i="18" s="1"/>
  <c r="O496" i="18"/>
  <c r="P496" i="18" s="1"/>
  <c r="S496" i="18"/>
  <c r="M496" i="18"/>
  <c r="N496" i="18" s="1"/>
  <c r="F496" i="18"/>
  <c r="H496" i="18"/>
  <c r="J497" i="18" s="1"/>
  <c r="E496" i="18"/>
  <c r="K496" i="18"/>
  <c r="L496" i="18" s="1"/>
  <c r="B130" i="17"/>
  <c r="O130" i="17" s="1"/>
  <c r="P130" i="17" s="1"/>
  <c r="B497" i="18" l="1"/>
  <c r="S497" i="18" s="1"/>
  <c r="D130" i="17"/>
  <c r="Q130" i="17"/>
  <c r="R130" i="17" s="1"/>
  <c r="E130" i="17"/>
  <c r="C130" i="17"/>
  <c r="S130" i="17"/>
  <c r="I130" i="17"/>
  <c r="G130" i="17"/>
  <c r="M130" i="17"/>
  <c r="N130" i="17" s="1"/>
  <c r="H130" i="17"/>
  <c r="J131" i="17" s="1"/>
  <c r="F130" i="17"/>
  <c r="K130" i="17"/>
  <c r="L130" i="17" s="1"/>
  <c r="Q497" i="18" l="1"/>
  <c r="R497" i="18" s="1"/>
  <c r="O497" i="18"/>
  <c r="P497" i="18" s="1"/>
  <c r="M497" i="18"/>
  <c r="N497" i="18" s="1"/>
  <c r="C497" i="18"/>
  <c r="D497" i="18"/>
  <c r="F497" i="18"/>
  <c r="K497" i="18"/>
  <c r="L497" i="18" s="1"/>
  <c r="H497" i="18"/>
  <c r="J498" i="18" s="1"/>
  <c r="I497" i="18"/>
  <c r="E497" i="18"/>
  <c r="G497" i="18"/>
  <c r="B131" i="17"/>
  <c r="D131" i="17" s="1"/>
  <c r="B498" i="18" l="1"/>
  <c r="F498" i="18" s="1"/>
  <c r="Q131" i="17"/>
  <c r="R131" i="17" s="1"/>
  <c r="S131" i="17"/>
  <c r="H131" i="17"/>
  <c r="J132" i="17" s="1"/>
  <c r="K131" i="17"/>
  <c r="L131" i="17" s="1"/>
  <c r="I131" i="17"/>
  <c r="E131" i="17"/>
  <c r="G131" i="17"/>
  <c r="F131" i="17"/>
  <c r="M131" i="17"/>
  <c r="N131" i="17" s="1"/>
  <c r="O131" i="17"/>
  <c r="P131" i="17" s="1"/>
  <c r="C131" i="17"/>
  <c r="D498" i="18" l="1"/>
  <c r="K498" i="18"/>
  <c r="L498" i="18" s="1"/>
  <c r="Q498" i="18"/>
  <c r="R498" i="18" s="1"/>
  <c r="C498" i="18"/>
  <c r="G498" i="18"/>
  <c r="S498" i="18"/>
  <c r="M498" i="18"/>
  <c r="N498" i="18" s="1"/>
  <c r="I498" i="18"/>
  <c r="E498" i="18"/>
  <c r="H498" i="18"/>
  <c r="J499" i="18" s="1"/>
  <c r="O498" i="18"/>
  <c r="P498" i="18" s="1"/>
  <c r="B132" i="17"/>
  <c r="B499" i="18" l="1"/>
  <c r="I499" i="18" s="1"/>
  <c r="M132" i="17"/>
  <c r="N132" i="17" s="1"/>
  <c r="G132" i="17"/>
  <c r="Q132" i="17"/>
  <c r="R132" i="17" s="1"/>
  <c r="S132" i="17"/>
  <c r="K132" i="17"/>
  <c r="L132" i="17" s="1"/>
  <c r="H132" i="17"/>
  <c r="J133" i="17" s="1"/>
  <c r="I132" i="17"/>
  <c r="O132" i="17"/>
  <c r="P132" i="17" s="1"/>
  <c r="E132" i="17"/>
  <c r="C132" i="17"/>
  <c r="F132" i="17"/>
  <c r="D132" i="17"/>
  <c r="C499" i="18" l="1"/>
  <c r="G499" i="18"/>
  <c r="M499" i="18"/>
  <c r="N499" i="18" s="1"/>
  <c r="Q499" i="18"/>
  <c r="R499" i="18" s="1"/>
  <c r="K499" i="18"/>
  <c r="L499" i="18" s="1"/>
  <c r="S499" i="18"/>
  <c r="F499" i="18"/>
  <c r="H499" i="18"/>
  <c r="J500" i="18" s="1"/>
  <c r="D499" i="18"/>
  <c r="O499" i="18"/>
  <c r="P499" i="18" s="1"/>
  <c r="E499" i="18"/>
  <c r="B133" i="17"/>
  <c r="D133" i="17" s="1"/>
  <c r="B500" i="18" l="1"/>
  <c r="G500" i="18" s="1"/>
  <c r="S133" i="17"/>
  <c r="H133" i="17"/>
  <c r="J134" i="17" s="1"/>
  <c r="F133" i="17"/>
  <c r="C133" i="17"/>
  <c r="O133" i="17"/>
  <c r="P133" i="17" s="1"/>
  <c r="Q133" i="17"/>
  <c r="R133" i="17" s="1"/>
  <c r="I133" i="17"/>
  <c r="G133" i="17"/>
  <c r="M133" i="17"/>
  <c r="N133" i="17" s="1"/>
  <c r="E133" i="17"/>
  <c r="K133" i="17"/>
  <c r="L133" i="17" s="1"/>
  <c r="H500" i="18" l="1"/>
  <c r="J501" i="18" s="1"/>
  <c r="K500" i="18"/>
  <c r="L500" i="18" s="1"/>
  <c r="D500" i="18"/>
  <c r="S500" i="18"/>
  <c r="C500" i="18"/>
  <c r="I500" i="18"/>
  <c r="E500" i="18"/>
  <c r="F500" i="18"/>
  <c r="Q500" i="18"/>
  <c r="R500" i="18" s="1"/>
  <c r="M500" i="18"/>
  <c r="N500" i="18" s="1"/>
  <c r="O500" i="18"/>
  <c r="P500" i="18" s="1"/>
  <c r="B134" i="17"/>
  <c r="B501" i="18" l="1"/>
  <c r="C501" i="18" s="1"/>
  <c r="G134" i="17"/>
  <c r="O134" i="17"/>
  <c r="P134" i="17" s="1"/>
  <c r="I134" i="17"/>
  <c r="Q134" i="17"/>
  <c r="R134" i="17" s="1"/>
  <c r="D134" i="17"/>
  <c r="K134" i="17"/>
  <c r="L134" i="17" s="1"/>
  <c r="M134" i="17"/>
  <c r="N134" i="17" s="1"/>
  <c r="E134" i="17"/>
  <c r="H134" i="17"/>
  <c r="J135" i="17" s="1"/>
  <c r="F134" i="17"/>
  <c r="S134" i="17"/>
  <c r="C134" i="17"/>
  <c r="Q501" i="18" l="1"/>
  <c r="R501" i="18" s="1"/>
  <c r="I501" i="18"/>
  <c r="H501" i="18"/>
  <c r="J502" i="18" s="1"/>
  <c r="G501" i="18"/>
  <c r="M501" i="18"/>
  <c r="N501" i="18" s="1"/>
  <c r="D501" i="18"/>
  <c r="O501" i="18"/>
  <c r="P501" i="18" s="1"/>
  <c r="F501" i="18"/>
  <c r="E501" i="18"/>
  <c r="S501" i="18"/>
  <c r="K501" i="18"/>
  <c r="L501" i="18" s="1"/>
  <c r="B135" i="17"/>
  <c r="B502" i="18" l="1"/>
  <c r="H502" i="18" s="1"/>
  <c r="J503" i="18" s="1"/>
  <c r="K135" i="17"/>
  <c r="L135" i="17" s="1"/>
  <c r="O135" i="17"/>
  <c r="P135" i="17" s="1"/>
  <c r="F135" i="17"/>
  <c r="Q135" i="17"/>
  <c r="R135" i="17" s="1"/>
  <c r="M135" i="17"/>
  <c r="N135" i="17" s="1"/>
  <c r="S135" i="17"/>
  <c r="I135" i="17"/>
  <c r="H135" i="17"/>
  <c r="J136" i="17" s="1"/>
  <c r="C135" i="17"/>
  <c r="E135" i="17"/>
  <c r="D135" i="17"/>
  <c r="G135" i="17"/>
  <c r="K502" i="18" l="1"/>
  <c r="L502" i="18" s="1"/>
  <c r="S502" i="18"/>
  <c r="F502" i="18"/>
  <c r="Q502" i="18"/>
  <c r="R502" i="18" s="1"/>
  <c r="D502" i="18"/>
  <c r="I502" i="18"/>
  <c r="G502" i="18"/>
  <c r="C502" i="18"/>
  <c r="M502" i="18"/>
  <c r="N502" i="18" s="1"/>
  <c r="E502" i="18"/>
  <c r="O502" i="18"/>
  <c r="P502" i="18" s="1"/>
  <c r="B136" i="17"/>
  <c r="D136" i="17" s="1"/>
  <c r="B503" i="18" l="1"/>
  <c r="E503" i="18" s="1"/>
  <c r="H136" i="17"/>
  <c r="J137" i="17" s="1"/>
  <c r="G136" i="17"/>
  <c r="Q136" i="17"/>
  <c r="R136" i="17" s="1"/>
  <c r="E136" i="17"/>
  <c r="C136" i="17"/>
  <c r="I136" i="17"/>
  <c r="K136" i="17"/>
  <c r="L136" i="17" s="1"/>
  <c r="F136" i="17"/>
  <c r="M136" i="17"/>
  <c r="N136" i="17" s="1"/>
  <c r="S136" i="17"/>
  <c r="O136" i="17"/>
  <c r="P136" i="17" s="1"/>
  <c r="Q503" i="18" l="1"/>
  <c r="R503" i="18" s="1"/>
  <c r="O503" i="18"/>
  <c r="P503" i="18" s="1"/>
  <c r="C503" i="18"/>
  <c r="G503" i="18"/>
  <c r="K503" i="18"/>
  <c r="L503" i="18" s="1"/>
  <c r="H503" i="18"/>
  <c r="J504" i="18" s="1"/>
  <c r="M503" i="18"/>
  <c r="N503" i="18" s="1"/>
  <c r="S503" i="18"/>
  <c r="F503" i="18"/>
  <c r="D503" i="18"/>
  <c r="I503" i="18"/>
  <c r="B137" i="17"/>
  <c r="H137" i="17" s="1"/>
  <c r="J138" i="17" s="1"/>
  <c r="B504" i="18" l="1"/>
  <c r="M504" i="18" s="1"/>
  <c r="N504" i="18" s="1"/>
  <c r="I137" i="17"/>
  <c r="S137" i="17"/>
  <c r="E137" i="17"/>
  <c r="F137" i="17"/>
  <c r="K137" i="17"/>
  <c r="L137" i="17" s="1"/>
  <c r="G137" i="17"/>
  <c r="D137" i="17"/>
  <c r="O137" i="17"/>
  <c r="P137" i="17" s="1"/>
  <c r="Q137" i="17"/>
  <c r="R137" i="17" s="1"/>
  <c r="C137" i="17"/>
  <c r="M137" i="17"/>
  <c r="N137" i="17" s="1"/>
  <c r="E504" i="18" l="1"/>
  <c r="H504" i="18"/>
  <c r="J505" i="18" s="1"/>
  <c r="C504" i="18"/>
  <c r="F504" i="18"/>
  <c r="D504" i="18"/>
  <c r="K504" i="18"/>
  <c r="L504" i="18" s="1"/>
  <c r="Q504" i="18"/>
  <c r="R504" i="18" s="1"/>
  <c r="G504" i="18"/>
  <c r="O504" i="18"/>
  <c r="P504" i="18" s="1"/>
  <c r="S504" i="18"/>
  <c r="I504" i="18"/>
  <c r="B138" i="17"/>
  <c r="Q138" i="17" s="1"/>
  <c r="R138" i="17" s="1"/>
  <c r="B505" i="18" l="1"/>
  <c r="Q505" i="18" s="1"/>
  <c r="R505" i="18" s="1"/>
  <c r="O138" i="17"/>
  <c r="P138" i="17" s="1"/>
  <c r="D138" i="17"/>
  <c r="K138" i="17"/>
  <c r="L138" i="17" s="1"/>
  <c r="I138" i="17"/>
  <c r="F138" i="17"/>
  <c r="M138" i="17"/>
  <c r="N138" i="17" s="1"/>
  <c r="G138" i="17"/>
  <c r="S138" i="17"/>
  <c r="E138" i="17"/>
  <c r="H138" i="17"/>
  <c r="J139" i="17" s="1"/>
  <c r="C138" i="17"/>
  <c r="I505" i="18" l="1"/>
  <c r="M505" i="18"/>
  <c r="N505" i="18" s="1"/>
  <c r="G505" i="18"/>
  <c r="D505" i="18"/>
  <c r="S505" i="18"/>
  <c r="H505" i="18"/>
  <c r="J506" i="18" s="1"/>
  <c r="K505" i="18"/>
  <c r="L505" i="18" s="1"/>
  <c r="E505" i="18"/>
  <c r="C505" i="18"/>
  <c r="O505" i="18"/>
  <c r="P505" i="18" s="1"/>
  <c r="B506" i="18" s="1"/>
  <c r="F505" i="18"/>
  <c r="B139" i="17"/>
  <c r="D139" i="17" s="1"/>
  <c r="E506" i="18" l="1"/>
  <c r="C506" i="18"/>
  <c r="H506" i="18"/>
  <c r="J507" i="18" s="1"/>
  <c r="D506" i="18"/>
  <c r="I506" i="18"/>
  <c r="K506" i="18"/>
  <c r="L506" i="18" s="1"/>
  <c r="G506" i="18"/>
  <c r="F506" i="18"/>
  <c r="M506" i="18"/>
  <c r="N506" i="18" s="1"/>
  <c r="Q506" i="18"/>
  <c r="R506" i="18" s="1"/>
  <c r="O506" i="18"/>
  <c r="P506" i="18" s="1"/>
  <c r="S506" i="18"/>
  <c r="F139" i="17"/>
  <c r="Q139" i="17"/>
  <c r="R139" i="17" s="1"/>
  <c r="M139" i="17"/>
  <c r="N139" i="17" s="1"/>
  <c r="I139" i="17"/>
  <c r="S139" i="17"/>
  <c r="K139" i="17"/>
  <c r="L139" i="17" s="1"/>
  <c r="E139" i="17"/>
  <c r="G139" i="17"/>
  <c r="H139" i="17"/>
  <c r="J140" i="17" s="1"/>
  <c r="O139" i="17"/>
  <c r="P139" i="17" s="1"/>
  <c r="C139" i="17"/>
  <c r="B507" i="18" l="1"/>
  <c r="B140" i="17"/>
  <c r="H140" i="17" s="1"/>
  <c r="J141" i="17" s="1"/>
  <c r="F507" i="18" l="1"/>
  <c r="I507" i="18"/>
  <c r="G507" i="18"/>
  <c r="M507" i="18"/>
  <c r="N507" i="18" s="1"/>
  <c r="D507" i="18"/>
  <c r="H507" i="18"/>
  <c r="J508" i="18" s="1"/>
  <c r="O507" i="18"/>
  <c r="P507" i="18" s="1"/>
  <c r="Q507" i="18"/>
  <c r="R507" i="18" s="1"/>
  <c r="E507" i="18"/>
  <c r="K507" i="18"/>
  <c r="L507" i="18" s="1"/>
  <c r="S507" i="18"/>
  <c r="C507" i="18"/>
  <c r="M140" i="17"/>
  <c r="N140" i="17" s="1"/>
  <c r="Q140" i="17"/>
  <c r="R140" i="17" s="1"/>
  <c r="K140" i="17"/>
  <c r="L140" i="17" s="1"/>
  <c r="I140" i="17"/>
  <c r="G140" i="17"/>
  <c r="O140" i="17"/>
  <c r="P140" i="17" s="1"/>
  <c r="D140" i="17"/>
  <c r="S140" i="17"/>
  <c r="C140" i="17"/>
  <c r="F140" i="17"/>
  <c r="E140" i="17"/>
  <c r="B508" i="18" l="1"/>
  <c r="Q508" i="18" s="1"/>
  <c r="R508" i="18" s="1"/>
  <c r="B141" i="17"/>
  <c r="H141" i="17" s="1"/>
  <c r="J142" i="17" s="1"/>
  <c r="I508" i="18" l="1"/>
  <c r="D508" i="18"/>
  <c r="H508" i="18"/>
  <c r="J509" i="18" s="1"/>
  <c r="F508" i="18"/>
  <c r="E508" i="18"/>
  <c r="M508" i="18"/>
  <c r="N508" i="18" s="1"/>
  <c r="S508" i="18"/>
  <c r="O508" i="18"/>
  <c r="P508" i="18" s="1"/>
  <c r="B509" i="18" s="1"/>
  <c r="O509" i="18" s="1"/>
  <c r="P509" i="18" s="1"/>
  <c r="K508" i="18"/>
  <c r="L508" i="18" s="1"/>
  <c r="C508" i="18"/>
  <c r="G508" i="18"/>
  <c r="F141" i="17"/>
  <c r="D141" i="17"/>
  <c r="C141" i="17"/>
  <c r="K141" i="17"/>
  <c r="L141" i="17" s="1"/>
  <c r="G141" i="17"/>
  <c r="E141" i="17"/>
  <c r="S141" i="17"/>
  <c r="M141" i="17"/>
  <c r="N141" i="17" s="1"/>
  <c r="Q141" i="17"/>
  <c r="R141" i="17" s="1"/>
  <c r="O141" i="17"/>
  <c r="P141" i="17" s="1"/>
  <c r="I141" i="17"/>
  <c r="Q509" i="18" l="1"/>
  <c r="R509" i="18" s="1"/>
  <c r="B510" i="18" s="1"/>
  <c r="M509" i="18"/>
  <c r="N509" i="18" s="1"/>
  <c r="I509" i="18"/>
  <c r="S509" i="18"/>
  <c r="G509" i="18"/>
  <c r="E509" i="18"/>
  <c r="F509" i="18"/>
  <c r="D509" i="18"/>
  <c r="C509" i="18"/>
  <c r="K509" i="18"/>
  <c r="L509" i="18" s="1"/>
  <c r="H509" i="18"/>
  <c r="J510" i="18" s="1"/>
  <c r="B142" i="17"/>
  <c r="F510" i="18" l="1"/>
  <c r="O510" i="18"/>
  <c r="P510" i="18" s="1"/>
  <c r="I510" i="18"/>
  <c r="C510" i="18"/>
  <c r="S510" i="18"/>
  <c r="H510" i="18"/>
  <c r="J511" i="18" s="1"/>
  <c r="G510" i="18"/>
  <c r="Q510" i="18"/>
  <c r="R510" i="18" s="1"/>
  <c r="E510" i="18"/>
  <c r="D510" i="18"/>
  <c r="K510" i="18"/>
  <c r="L510" i="18" s="1"/>
  <c r="M510" i="18"/>
  <c r="N510" i="18" s="1"/>
  <c r="D142" i="17"/>
  <c r="C142" i="17"/>
  <c r="O142" i="17"/>
  <c r="P142" i="17" s="1"/>
  <c r="S142" i="17"/>
  <c r="K142" i="17"/>
  <c r="L142" i="17" s="1"/>
  <c r="H142" i="17"/>
  <c r="J143" i="17" s="1"/>
  <c r="F142" i="17"/>
  <c r="G142" i="17"/>
  <c r="Q142" i="17"/>
  <c r="R142" i="17" s="1"/>
  <c r="E142" i="17"/>
  <c r="I142" i="17"/>
  <c r="M142" i="17"/>
  <c r="N142" i="17" s="1"/>
  <c r="B511" i="18" l="1"/>
  <c r="G511" i="18" s="1"/>
  <c r="B143" i="17"/>
  <c r="D511" i="18" l="1"/>
  <c r="Q511" i="18"/>
  <c r="R511" i="18" s="1"/>
  <c r="M511" i="18"/>
  <c r="N511" i="18" s="1"/>
  <c r="I511" i="18"/>
  <c r="E511" i="18"/>
  <c r="S511" i="18"/>
  <c r="C511" i="18"/>
  <c r="H511" i="18"/>
  <c r="J512" i="18" s="1"/>
  <c r="K511" i="18"/>
  <c r="L511" i="18" s="1"/>
  <c r="O511" i="18"/>
  <c r="P511" i="18" s="1"/>
  <c r="B512" i="18" s="1"/>
  <c r="F511" i="18"/>
  <c r="H143" i="17"/>
  <c r="J144" i="17" s="1"/>
  <c r="M143" i="17"/>
  <c r="N143" i="17" s="1"/>
  <c r="K143" i="17"/>
  <c r="L143" i="17" s="1"/>
  <c r="S143" i="17"/>
  <c r="G143" i="17"/>
  <c r="O143" i="17"/>
  <c r="P143" i="17" s="1"/>
  <c r="F143" i="17"/>
  <c r="I143" i="17"/>
  <c r="E143" i="17"/>
  <c r="Q143" i="17"/>
  <c r="R143" i="17" s="1"/>
  <c r="C143" i="17"/>
  <c r="D143" i="17"/>
  <c r="Q512" i="18" l="1"/>
  <c r="R512" i="18" s="1"/>
  <c r="O512" i="18"/>
  <c r="P512" i="18" s="1"/>
  <c r="M512" i="18"/>
  <c r="N512" i="18" s="1"/>
  <c r="H512" i="18"/>
  <c r="J513" i="18" s="1"/>
  <c r="S512" i="18"/>
  <c r="C512" i="18"/>
  <c r="G512" i="18"/>
  <c r="E512" i="18"/>
  <c r="K512" i="18"/>
  <c r="L512" i="18" s="1"/>
  <c r="I512" i="18"/>
  <c r="F512" i="18"/>
  <c r="D512" i="18"/>
  <c r="B144" i="17"/>
  <c r="B513" i="18" l="1"/>
  <c r="Q513" i="18" s="1"/>
  <c r="R513" i="18" s="1"/>
  <c r="H144" i="17"/>
  <c r="J145" i="17" s="1"/>
  <c r="C144" i="17"/>
  <c r="F144" i="17"/>
  <c r="M144" i="17"/>
  <c r="N144" i="17" s="1"/>
  <c r="K144" i="17"/>
  <c r="L144" i="17" s="1"/>
  <c r="G144" i="17"/>
  <c r="O144" i="17"/>
  <c r="P144" i="17" s="1"/>
  <c r="Q144" i="17"/>
  <c r="R144" i="17" s="1"/>
  <c r="E144" i="17"/>
  <c r="S144" i="17"/>
  <c r="I144" i="17"/>
  <c r="D144" i="17"/>
  <c r="C513" i="18" l="1"/>
  <c r="E513" i="18"/>
  <c r="I513" i="18"/>
  <c r="K513" i="18"/>
  <c r="L513" i="18" s="1"/>
  <c r="F513" i="18"/>
  <c r="O513" i="18"/>
  <c r="P513" i="18" s="1"/>
  <c r="B514" i="18" s="1"/>
  <c r="D513" i="18"/>
  <c r="S513" i="18"/>
  <c r="G513" i="18"/>
  <c r="M513" i="18"/>
  <c r="N513" i="18" s="1"/>
  <c r="H513" i="18"/>
  <c r="J514" i="18" s="1"/>
  <c r="B145" i="17"/>
  <c r="H514" i="18" l="1"/>
  <c r="J515" i="18" s="1"/>
  <c r="Q514" i="18"/>
  <c r="R514" i="18" s="1"/>
  <c r="K514" i="18"/>
  <c r="L514" i="18" s="1"/>
  <c r="I514" i="18"/>
  <c r="G514" i="18"/>
  <c r="E514" i="18"/>
  <c r="D514" i="18"/>
  <c r="C514" i="18"/>
  <c r="M514" i="18"/>
  <c r="N514" i="18" s="1"/>
  <c r="S514" i="18"/>
  <c r="O514" i="18"/>
  <c r="P514" i="18" s="1"/>
  <c r="F514" i="18"/>
  <c r="D145" i="17"/>
  <c r="I145" i="17"/>
  <c r="Q145" i="17"/>
  <c r="R145" i="17" s="1"/>
  <c r="E145" i="17"/>
  <c r="F145" i="17"/>
  <c r="S145" i="17"/>
  <c r="C145" i="17"/>
  <c r="H145" i="17"/>
  <c r="J146" i="17" s="1"/>
  <c r="G145" i="17"/>
  <c r="O145" i="17"/>
  <c r="P145" i="17" s="1"/>
  <c r="K145" i="17"/>
  <c r="L145" i="17" s="1"/>
  <c r="M145" i="17"/>
  <c r="N145" i="17" s="1"/>
  <c r="B515" i="18" l="1"/>
  <c r="Q515" i="18" s="1"/>
  <c r="R515" i="18" s="1"/>
  <c r="B146" i="17"/>
  <c r="H515" i="18" l="1"/>
  <c r="J516" i="18" s="1"/>
  <c r="F515" i="18"/>
  <c r="G515" i="18"/>
  <c r="S515" i="18"/>
  <c r="E515" i="18"/>
  <c r="C515" i="18"/>
  <c r="I515" i="18"/>
  <c r="D515" i="18"/>
  <c r="O515" i="18"/>
  <c r="P515" i="18" s="1"/>
  <c r="B516" i="18" s="1"/>
  <c r="E516" i="18" s="1"/>
  <c r="K515" i="18"/>
  <c r="L515" i="18" s="1"/>
  <c r="M515" i="18"/>
  <c r="N515" i="18" s="1"/>
  <c r="D146" i="17"/>
  <c r="M146" i="17"/>
  <c r="N146" i="17" s="1"/>
  <c r="K146" i="17"/>
  <c r="L146" i="17" s="1"/>
  <c r="F146" i="17"/>
  <c r="O146" i="17"/>
  <c r="P146" i="17" s="1"/>
  <c r="S146" i="17"/>
  <c r="H146" i="17"/>
  <c r="J147" i="17" s="1"/>
  <c r="I146" i="17"/>
  <c r="C146" i="17"/>
  <c r="E146" i="17"/>
  <c r="G146" i="17"/>
  <c r="Q146" i="17"/>
  <c r="R146" i="17" s="1"/>
  <c r="S516" i="18" l="1"/>
  <c r="C516" i="18"/>
  <c r="Q516" i="18"/>
  <c r="R516" i="18" s="1"/>
  <c r="G516" i="18"/>
  <c r="I516" i="18"/>
  <c r="H516" i="18"/>
  <c r="J517" i="18" s="1"/>
  <c r="K516" i="18"/>
  <c r="L516" i="18" s="1"/>
  <c r="M516" i="18"/>
  <c r="N516" i="18" s="1"/>
  <c r="D516" i="18"/>
  <c r="F516" i="18"/>
  <c r="O516" i="18"/>
  <c r="P516" i="18" s="1"/>
  <c r="B147" i="17"/>
  <c r="B517" i="18" l="1"/>
  <c r="O517" i="18" s="1"/>
  <c r="P517" i="18" s="1"/>
  <c r="I517" i="18"/>
  <c r="D517" i="18"/>
  <c r="C147" i="17"/>
  <c r="D147" i="17"/>
  <c r="M147" i="17"/>
  <c r="N147" i="17" s="1"/>
  <c r="E147" i="17"/>
  <c r="O147" i="17"/>
  <c r="P147" i="17" s="1"/>
  <c r="I147" i="17"/>
  <c r="F147" i="17"/>
  <c r="H147" i="17"/>
  <c r="J148" i="17" s="1"/>
  <c r="S147" i="17"/>
  <c r="G147" i="17"/>
  <c r="K147" i="17"/>
  <c r="L147" i="17" s="1"/>
  <c r="Q147" i="17"/>
  <c r="R147" i="17" s="1"/>
  <c r="S517" i="18" l="1"/>
  <c r="C517" i="18"/>
  <c r="M517" i="18"/>
  <c r="N517" i="18" s="1"/>
  <c r="H517" i="18"/>
  <c r="J518" i="18" s="1"/>
  <c r="G517" i="18"/>
  <c r="K517" i="18"/>
  <c r="L517" i="18" s="1"/>
  <c r="E517" i="18"/>
  <c r="Q517" i="18"/>
  <c r="R517" i="18" s="1"/>
  <c r="B518" i="18" s="1"/>
  <c r="H518" i="18" s="1"/>
  <c r="J519" i="18" s="1"/>
  <c r="F517" i="18"/>
  <c r="B148" i="17"/>
  <c r="C518" i="18" l="1"/>
  <c r="Q518" i="18"/>
  <c r="R518" i="18" s="1"/>
  <c r="O518" i="18"/>
  <c r="P518" i="18" s="1"/>
  <c r="M518" i="18"/>
  <c r="N518" i="18" s="1"/>
  <c r="I518" i="18"/>
  <c r="D518" i="18"/>
  <c r="S518" i="18"/>
  <c r="E518" i="18"/>
  <c r="F518" i="18"/>
  <c r="G518" i="18"/>
  <c r="K518" i="18"/>
  <c r="L518" i="18" s="1"/>
  <c r="F148" i="17"/>
  <c r="S148" i="17"/>
  <c r="O148" i="17"/>
  <c r="P148" i="17" s="1"/>
  <c r="C148" i="17"/>
  <c r="Q148" i="17"/>
  <c r="R148" i="17" s="1"/>
  <c r="M148" i="17"/>
  <c r="N148" i="17" s="1"/>
  <c r="D148" i="17"/>
  <c r="G148" i="17"/>
  <c r="H148" i="17"/>
  <c r="J149" i="17" s="1"/>
  <c r="K148" i="17"/>
  <c r="L148" i="17" s="1"/>
  <c r="I148" i="17"/>
  <c r="E148" i="17"/>
  <c r="B519" i="18" l="1"/>
  <c r="H519" i="18" s="1"/>
  <c r="J520" i="18" s="1"/>
  <c r="M519" i="18"/>
  <c r="N519" i="18" s="1"/>
  <c r="D519" i="18"/>
  <c r="B149" i="17"/>
  <c r="G149" i="17" s="1"/>
  <c r="G519" i="18" l="1"/>
  <c r="C519" i="18"/>
  <c r="F519" i="18"/>
  <c r="I519" i="18"/>
  <c r="K519" i="18"/>
  <c r="L519" i="18" s="1"/>
  <c r="E519" i="18"/>
  <c r="O519" i="18"/>
  <c r="P519" i="18" s="1"/>
  <c r="S519" i="18"/>
  <c r="Q519" i="18"/>
  <c r="R519" i="18" s="1"/>
  <c r="S149" i="17"/>
  <c r="M149" i="17"/>
  <c r="N149" i="17" s="1"/>
  <c r="C149" i="17"/>
  <c r="F149" i="17"/>
  <c r="Q149" i="17"/>
  <c r="R149" i="17" s="1"/>
  <c r="O149" i="17"/>
  <c r="P149" i="17" s="1"/>
  <c r="K149" i="17"/>
  <c r="L149" i="17" s="1"/>
  <c r="D149" i="17"/>
  <c r="E149" i="17"/>
  <c r="H149" i="17"/>
  <c r="J150" i="17" s="1"/>
  <c r="I149" i="17"/>
  <c r="B520" i="18" l="1"/>
  <c r="O520" i="18" s="1"/>
  <c r="P520" i="18" s="1"/>
  <c r="C520" i="18"/>
  <c r="S520" i="18"/>
  <c r="E520" i="18"/>
  <c r="I520" i="18"/>
  <c r="D520" i="18"/>
  <c r="F520" i="18"/>
  <c r="Q520" i="18"/>
  <c r="R520" i="18" s="1"/>
  <c r="B521" i="18" s="1"/>
  <c r="K520" i="18"/>
  <c r="L520" i="18" s="1"/>
  <c r="M520" i="18"/>
  <c r="N520" i="18" s="1"/>
  <c r="H520" i="18"/>
  <c r="J521" i="18" s="1"/>
  <c r="G520" i="18"/>
  <c r="B150" i="17"/>
  <c r="E150" i="17" s="1"/>
  <c r="H521" i="18" l="1"/>
  <c r="J522" i="18" s="1"/>
  <c r="S521" i="18"/>
  <c r="G521" i="18"/>
  <c r="C521" i="18"/>
  <c r="K521" i="18"/>
  <c r="L521" i="18" s="1"/>
  <c r="O521" i="18"/>
  <c r="P521" i="18" s="1"/>
  <c r="M521" i="18"/>
  <c r="N521" i="18" s="1"/>
  <c r="I521" i="18"/>
  <c r="E521" i="18"/>
  <c r="Q521" i="18"/>
  <c r="R521" i="18" s="1"/>
  <c r="F521" i="18"/>
  <c r="D521" i="18"/>
  <c r="D150" i="17"/>
  <c r="F150" i="17"/>
  <c r="Q150" i="17"/>
  <c r="R150" i="17" s="1"/>
  <c r="K150" i="17"/>
  <c r="L150" i="17" s="1"/>
  <c r="C150" i="17"/>
  <c r="G150" i="17"/>
  <c r="M150" i="17"/>
  <c r="N150" i="17" s="1"/>
  <c r="H150" i="17"/>
  <c r="J151" i="17" s="1"/>
  <c r="I150" i="17"/>
  <c r="O150" i="17"/>
  <c r="P150" i="17" s="1"/>
  <c r="S150" i="17"/>
  <c r="B522" i="18" l="1"/>
  <c r="H522" i="18" s="1"/>
  <c r="J523" i="18" s="1"/>
  <c r="B151" i="17"/>
  <c r="G151" i="17" s="1"/>
  <c r="C522" i="18" l="1"/>
  <c r="O522" i="18"/>
  <c r="P522" i="18" s="1"/>
  <c r="M522" i="18"/>
  <c r="N522" i="18" s="1"/>
  <c r="F522" i="18"/>
  <c r="E522" i="18"/>
  <c r="G522" i="18"/>
  <c r="K522" i="18"/>
  <c r="L522" i="18" s="1"/>
  <c r="D522" i="18"/>
  <c r="I522" i="18"/>
  <c r="S522" i="18"/>
  <c r="Q522" i="18"/>
  <c r="R522" i="18" s="1"/>
  <c r="E151" i="17"/>
  <c r="H151" i="17"/>
  <c r="J152" i="17" s="1"/>
  <c r="F151" i="17"/>
  <c r="M151" i="17"/>
  <c r="N151" i="17" s="1"/>
  <c r="C151" i="17"/>
  <c r="I151" i="17"/>
  <c r="K151" i="17"/>
  <c r="L151" i="17" s="1"/>
  <c r="S151" i="17"/>
  <c r="D151" i="17"/>
  <c r="O151" i="17"/>
  <c r="P151" i="17" s="1"/>
  <c r="Q151" i="17"/>
  <c r="R151" i="17" s="1"/>
  <c r="B523" i="18" l="1"/>
  <c r="K523" i="18" s="1"/>
  <c r="L523" i="18" s="1"/>
  <c r="B152" i="17"/>
  <c r="O152" i="17" s="1"/>
  <c r="P152" i="17" s="1"/>
  <c r="O523" i="18" l="1"/>
  <c r="P523" i="18" s="1"/>
  <c r="D523" i="18"/>
  <c r="S523" i="18"/>
  <c r="Q523" i="18"/>
  <c r="R523" i="18" s="1"/>
  <c r="C523" i="18"/>
  <c r="G523" i="18"/>
  <c r="H523" i="18"/>
  <c r="J524" i="18" s="1"/>
  <c r="I523" i="18"/>
  <c r="E523" i="18"/>
  <c r="F523" i="18"/>
  <c r="M523" i="18"/>
  <c r="N523" i="18" s="1"/>
  <c r="M152" i="17"/>
  <c r="N152" i="17" s="1"/>
  <c r="C152" i="17"/>
  <c r="E152" i="17"/>
  <c r="S152" i="17"/>
  <c r="K152" i="17"/>
  <c r="L152" i="17" s="1"/>
  <c r="F152" i="17"/>
  <c r="I152" i="17"/>
  <c r="D152" i="17"/>
  <c r="Q152" i="17"/>
  <c r="R152" i="17" s="1"/>
  <c r="H152" i="17"/>
  <c r="J153" i="17" s="1"/>
  <c r="G152" i="17"/>
  <c r="B524" i="18" l="1"/>
  <c r="G524" i="18" s="1"/>
  <c r="B153" i="17"/>
  <c r="S153" i="17" s="1"/>
  <c r="E524" i="18" l="1"/>
  <c r="C524" i="18"/>
  <c r="O524" i="18"/>
  <c r="P524" i="18" s="1"/>
  <c r="M524" i="18"/>
  <c r="N524" i="18" s="1"/>
  <c r="D524" i="18"/>
  <c r="I524" i="18"/>
  <c r="S524" i="18"/>
  <c r="H524" i="18"/>
  <c r="J525" i="18" s="1"/>
  <c r="K524" i="18"/>
  <c r="L524" i="18" s="1"/>
  <c r="F524" i="18"/>
  <c r="Q524" i="18"/>
  <c r="R524" i="18" s="1"/>
  <c r="E153" i="17"/>
  <c r="F153" i="17"/>
  <c r="O153" i="17"/>
  <c r="P153" i="17" s="1"/>
  <c r="M153" i="17"/>
  <c r="N153" i="17" s="1"/>
  <c r="I153" i="17"/>
  <c r="H153" i="17"/>
  <c r="J154" i="17" s="1"/>
  <c r="K153" i="17"/>
  <c r="L153" i="17" s="1"/>
  <c r="Q153" i="17"/>
  <c r="R153" i="17" s="1"/>
  <c r="D153" i="17"/>
  <c r="G153" i="17"/>
  <c r="C153" i="17"/>
  <c r="B525" i="18" l="1"/>
  <c r="I525" i="18" s="1"/>
  <c r="B154" i="17"/>
  <c r="H154" i="17" s="1"/>
  <c r="J155" i="17" s="1"/>
  <c r="C525" i="18" l="1"/>
  <c r="M525" i="18"/>
  <c r="N525" i="18" s="1"/>
  <c r="H525" i="18"/>
  <c r="J526" i="18" s="1"/>
  <c r="E525" i="18"/>
  <c r="K525" i="18"/>
  <c r="L525" i="18" s="1"/>
  <c r="O525" i="18"/>
  <c r="P525" i="18" s="1"/>
  <c r="G525" i="18"/>
  <c r="S525" i="18"/>
  <c r="D525" i="18"/>
  <c r="Q525" i="18"/>
  <c r="R525" i="18" s="1"/>
  <c r="F525" i="18"/>
  <c r="S154" i="17"/>
  <c r="Q154" i="17"/>
  <c r="R154" i="17" s="1"/>
  <c r="C154" i="17"/>
  <c r="E154" i="17"/>
  <c r="I154" i="17"/>
  <c r="F154" i="17"/>
  <c r="G154" i="17"/>
  <c r="D154" i="17"/>
  <c r="M154" i="17"/>
  <c r="N154" i="17" s="1"/>
  <c r="O154" i="17"/>
  <c r="P154" i="17" s="1"/>
  <c r="K154" i="17"/>
  <c r="L154" i="17" s="1"/>
  <c r="B526" i="18" l="1"/>
  <c r="Q526" i="18" s="1"/>
  <c r="R526" i="18" s="1"/>
  <c r="B155" i="17"/>
  <c r="D155" i="17" s="1"/>
  <c r="K526" i="18" l="1"/>
  <c r="L526" i="18" s="1"/>
  <c r="D526" i="18"/>
  <c r="H526" i="18"/>
  <c r="J527" i="18" s="1"/>
  <c r="M526" i="18"/>
  <c r="N526" i="18" s="1"/>
  <c r="F526" i="18"/>
  <c r="I526" i="18"/>
  <c r="S526" i="18"/>
  <c r="G526" i="18"/>
  <c r="E526" i="18"/>
  <c r="O526" i="18"/>
  <c r="P526" i="18" s="1"/>
  <c r="B527" i="18" s="1"/>
  <c r="Q527" i="18" s="1"/>
  <c r="R527" i="18" s="1"/>
  <c r="C526" i="18"/>
  <c r="F155" i="17"/>
  <c r="C155" i="17"/>
  <c r="G155" i="17"/>
  <c r="K155" i="17"/>
  <c r="L155" i="17" s="1"/>
  <c r="H155" i="17"/>
  <c r="J156" i="17" s="1"/>
  <c r="O155" i="17"/>
  <c r="P155" i="17" s="1"/>
  <c r="E155" i="17"/>
  <c r="S155" i="17"/>
  <c r="Q155" i="17"/>
  <c r="R155" i="17" s="1"/>
  <c r="I155" i="17"/>
  <c r="M155" i="17"/>
  <c r="N155" i="17" s="1"/>
  <c r="M527" i="18" l="1"/>
  <c r="N527" i="18" s="1"/>
  <c r="G527" i="18"/>
  <c r="C527" i="18"/>
  <c r="H527" i="18"/>
  <c r="J528" i="18" s="1"/>
  <c r="K527" i="18"/>
  <c r="L527" i="18" s="1"/>
  <c r="I527" i="18"/>
  <c r="O527" i="18"/>
  <c r="P527" i="18" s="1"/>
  <c r="B528" i="18" s="1"/>
  <c r="H528" i="18" s="1"/>
  <c r="J529" i="18" s="1"/>
  <c r="S527" i="18"/>
  <c r="E527" i="18"/>
  <c r="F527" i="18"/>
  <c r="D527" i="18"/>
  <c r="B156" i="17"/>
  <c r="F156" i="17" s="1"/>
  <c r="C528" i="18" l="1"/>
  <c r="M528" i="18"/>
  <c r="N528" i="18" s="1"/>
  <c r="I528" i="18"/>
  <c r="S528" i="18"/>
  <c r="E528" i="18"/>
  <c r="Q528" i="18"/>
  <c r="R528" i="18" s="1"/>
  <c r="G528" i="18"/>
  <c r="F528" i="18"/>
  <c r="K528" i="18"/>
  <c r="L528" i="18" s="1"/>
  <c r="D528" i="18"/>
  <c r="O528" i="18"/>
  <c r="P528" i="18" s="1"/>
  <c r="S156" i="17"/>
  <c r="M156" i="17"/>
  <c r="N156" i="17" s="1"/>
  <c r="H156" i="17"/>
  <c r="J157" i="17" s="1"/>
  <c r="O156" i="17"/>
  <c r="P156" i="17" s="1"/>
  <c r="E156" i="17"/>
  <c r="K156" i="17"/>
  <c r="L156" i="17" s="1"/>
  <c r="G156" i="17"/>
  <c r="Q156" i="17"/>
  <c r="R156" i="17" s="1"/>
  <c r="C156" i="17"/>
  <c r="D156" i="17"/>
  <c r="I156" i="17"/>
  <c r="B529" i="18" l="1"/>
  <c r="Q529" i="18" s="1"/>
  <c r="R529" i="18" s="1"/>
  <c r="O529" i="18"/>
  <c r="P529" i="18" s="1"/>
  <c r="E529" i="18"/>
  <c r="B157" i="17"/>
  <c r="H157" i="17" s="1"/>
  <c r="J158" i="17" s="1"/>
  <c r="B530" i="18" l="1"/>
  <c r="G529" i="18"/>
  <c r="C529" i="18"/>
  <c r="H529" i="18"/>
  <c r="J530" i="18" s="1"/>
  <c r="K529" i="18"/>
  <c r="L529" i="18" s="1"/>
  <c r="S529" i="18"/>
  <c r="S530" i="18" s="1"/>
  <c r="I529" i="18"/>
  <c r="I530" i="18" s="1"/>
  <c r="M529" i="18"/>
  <c r="N529" i="18" s="1"/>
  <c r="F529" i="18"/>
  <c r="F530" i="18" s="1"/>
  <c r="D529" i="18"/>
  <c r="C530" i="18" s="1"/>
  <c r="Q530" i="18"/>
  <c r="R530" i="18" s="1"/>
  <c r="O530" i="18"/>
  <c r="P530" i="18" s="1"/>
  <c r="E530" i="18"/>
  <c r="O157" i="17"/>
  <c r="P157" i="17" s="1"/>
  <c r="C157" i="17"/>
  <c r="K157" i="17"/>
  <c r="L157" i="17" s="1"/>
  <c r="D157" i="17"/>
  <c r="M157" i="17"/>
  <c r="N157" i="17" s="1"/>
  <c r="I157" i="17"/>
  <c r="Q157" i="17"/>
  <c r="R157" i="17" s="1"/>
  <c r="E157" i="17"/>
  <c r="S157" i="17"/>
  <c r="F157" i="17"/>
  <c r="G157" i="17"/>
  <c r="G530" i="18" l="1"/>
  <c r="D530" i="18"/>
  <c r="M530" i="18"/>
  <c r="N530" i="18" s="1"/>
  <c r="K530" i="18"/>
  <c r="L530" i="18" s="1"/>
  <c r="H530" i="18"/>
  <c r="J531" i="18" s="1"/>
  <c r="B531" i="18"/>
  <c r="Q531" i="18" s="1"/>
  <c r="R531" i="18" s="1"/>
  <c r="B158" i="17"/>
  <c r="H158" i="17" s="1"/>
  <c r="J159" i="17" s="1"/>
  <c r="D531" i="18" l="1"/>
  <c r="O531" i="18"/>
  <c r="P531" i="18" s="1"/>
  <c r="B532" i="18" s="1"/>
  <c r="S531" i="18"/>
  <c r="H531" i="18"/>
  <c r="J532" i="18" s="1"/>
  <c r="I531" i="18"/>
  <c r="C531" i="18"/>
  <c r="K531" i="18"/>
  <c r="L531" i="18" s="1"/>
  <c r="F531" i="18"/>
  <c r="E531" i="18"/>
  <c r="G531" i="18"/>
  <c r="M531" i="18"/>
  <c r="N531" i="18" s="1"/>
  <c r="S158" i="17"/>
  <c r="D158" i="17"/>
  <c r="G158" i="17"/>
  <c r="C158" i="17"/>
  <c r="K158" i="17"/>
  <c r="L158" i="17" s="1"/>
  <c r="Q158" i="17"/>
  <c r="R158" i="17" s="1"/>
  <c r="I158" i="17"/>
  <c r="E158" i="17"/>
  <c r="O158" i="17"/>
  <c r="P158" i="17" s="1"/>
  <c r="F158" i="17"/>
  <c r="M158" i="17"/>
  <c r="N158" i="17" s="1"/>
  <c r="K532" i="18" l="1"/>
  <c r="L532" i="18" s="1"/>
  <c r="E532" i="18"/>
  <c r="H532" i="18"/>
  <c r="J533" i="18" s="1"/>
  <c r="G532" i="18"/>
  <c r="C532" i="18"/>
  <c r="M532" i="18"/>
  <c r="N532" i="18" s="1"/>
  <c r="O532" i="18"/>
  <c r="P532" i="18" s="1"/>
  <c r="I532" i="18"/>
  <c r="F532" i="18"/>
  <c r="Q532" i="18"/>
  <c r="R532" i="18" s="1"/>
  <c r="S532" i="18"/>
  <c r="D532" i="18"/>
  <c r="B159" i="17"/>
  <c r="H159" i="17" s="1"/>
  <c r="J160" i="17" s="1"/>
  <c r="B533" i="18" l="1"/>
  <c r="I533" i="18" s="1"/>
  <c r="O159" i="17"/>
  <c r="P159" i="17" s="1"/>
  <c r="E159" i="17"/>
  <c r="F159" i="17"/>
  <c r="Q159" i="17"/>
  <c r="R159" i="17" s="1"/>
  <c r="G159" i="17"/>
  <c r="S159" i="17"/>
  <c r="M159" i="17"/>
  <c r="N159" i="17" s="1"/>
  <c r="I159" i="17"/>
  <c r="K159" i="17"/>
  <c r="L159" i="17" s="1"/>
  <c r="D159" i="17"/>
  <c r="C159" i="17"/>
  <c r="H533" i="18" l="1"/>
  <c r="J534" i="18" s="1"/>
  <c r="Q533" i="18"/>
  <c r="R533" i="18" s="1"/>
  <c r="M533" i="18"/>
  <c r="N533" i="18" s="1"/>
  <c r="G533" i="18"/>
  <c r="S533" i="18"/>
  <c r="E533" i="18"/>
  <c r="K533" i="18"/>
  <c r="L533" i="18" s="1"/>
  <c r="C533" i="18"/>
  <c r="D533" i="18"/>
  <c r="O533" i="18"/>
  <c r="P533" i="18" s="1"/>
  <c r="B534" i="18" s="1"/>
  <c r="F533" i="18"/>
  <c r="B160" i="17"/>
  <c r="F160" i="17" s="1"/>
  <c r="D534" i="18" l="1"/>
  <c r="G534" i="18"/>
  <c r="I534" i="18"/>
  <c r="Q534" i="18"/>
  <c r="R534" i="18" s="1"/>
  <c r="E534" i="18"/>
  <c r="H534" i="18"/>
  <c r="J535" i="18" s="1"/>
  <c r="F534" i="18"/>
  <c r="C534" i="18"/>
  <c r="K534" i="18"/>
  <c r="L534" i="18" s="1"/>
  <c r="S534" i="18"/>
  <c r="M534" i="18"/>
  <c r="N534" i="18" s="1"/>
  <c r="O534" i="18"/>
  <c r="P534" i="18" s="1"/>
  <c r="O160" i="17"/>
  <c r="P160" i="17" s="1"/>
  <c r="C160" i="17"/>
  <c r="E160" i="17"/>
  <c r="M160" i="17"/>
  <c r="N160" i="17" s="1"/>
  <c r="K160" i="17"/>
  <c r="L160" i="17" s="1"/>
  <c r="S160" i="17"/>
  <c r="I160" i="17"/>
  <c r="D160" i="17"/>
  <c r="Q160" i="17"/>
  <c r="R160" i="17" s="1"/>
  <c r="G160" i="17"/>
  <c r="H160" i="17"/>
  <c r="J161" i="17" s="1"/>
  <c r="B535" i="18" l="1"/>
  <c r="O535" i="18" s="1"/>
  <c r="P535" i="18" s="1"/>
  <c r="B161" i="17"/>
  <c r="F161" i="17" s="1"/>
  <c r="M535" i="18" l="1"/>
  <c r="N535" i="18" s="1"/>
  <c r="E535" i="18"/>
  <c r="H535" i="18"/>
  <c r="J536" i="18" s="1"/>
  <c r="C535" i="18"/>
  <c r="S535" i="18"/>
  <c r="I535" i="18"/>
  <c r="F535" i="18"/>
  <c r="D535" i="18"/>
  <c r="Q535" i="18"/>
  <c r="R535" i="18" s="1"/>
  <c r="B536" i="18" s="1"/>
  <c r="K535" i="18"/>
  <c r="L535" i="18" s="1"/>
  <c r="G535" i="18"/>
  <c r="K161" i="17"/>
  <c r="L161" i="17" s="1"/>
  <c r="C161" i="17"/>
  <c r="D161" i="17"/>
  <c r="O161" i="17"/>
  <c r="P161" i="17" s="1"/>
  <c r="H161" i="17"/>
  <c r="J162" i="17" s="1"/>
  <c r="I161" i="17"/>
  <c r="E161" i="17"/>
  <c r="Q161" i="17"/>
  <c r="R161" i="17" s="1"/>
  <c r="G161" i="17"/>
  <c r="M161" i="17"/>
  <c r="N161" i="17" s="1"/>
  <c r="S161" i="17"/>
  <c r="I536" i="18" l="1"/>
  <c r="D536" i="18"/>
  <c r="M536" i="18"/>
  <c r="N536" i="18" s="1"/>
  <c r="O536" i="18"/>
  <c r="P536" i="18" s="1"/>
  <c r="Q536" i="18"/>
  <c r="R536" i="18" s="1"/>
  <c r="H536" i="18"/>
  <c r="J537" i="18" s="1"/>
  <c r="G536" i="18"/>
  <c r="C536" i="18"/>
  <c r="K536" i="18"/>
  <c r="L536" i="18" s="1"/>
  <c r="F536" i="18"/>
  <c r="S536" i="18"/>
  <c r="E536" i="18"/>
  <c r="B162" i="17"/>
  <c r="S162" i="17" s="1"/>
  <c r="B537" i="18" l="1"/>
  <c r="I537" i="18" s="1"/>
  <c r="Q162" i="17"/>
  <c r="R162" i="17" s="1"/>
  <c r="D162" i="17"/>
  <c r="C162" i="17"/>
  <c r="G162" i="17"/>
  <c r="O162" i="17"/>
  <c r="P162" i="17" s="1"/>
  <c r="F162" i="17"/>
  <c r="I162" i="17"/>
  <c r="M162" i="17"/>
  <c r="N162" i="17" s="1"/>
  <c r="H162" i="17"/>
  <c r="J163" i="17" s="1"/>
  <c r="K162" i="17"/>
  <c r="L162" i="17" s="1"/>
  <c r="E162" i="17"/>
  <c r="S537" i="18" l="1"/>
  <c r="D537" i="18"/>
  <c r="E537" i="18"/>
  <c r="G537" i="18"/>
  <c r="K537" i="18"/>
  <c r="L537" i="18" s="1"/>
  <c r="Q537" i="18"/>
  <c r="R537" i="18" s="1"/>
  <c r="M537" i="18"/>
  <c r="N537" i="18" s="1"/>
  <c r="F537" i="18"/>
  <c r="H537" i="18"/>
  <c r="J538" i="18" s="1"/>
  <c r="O537" i="18"/>
  <c r="P537" i="18" s="1"/>
  <c r="C537" i="18"/>
  <c r="B163" i="17"/>
  <c r="O163" i="17" s="1"/>
  <c r="P163" i="17" s="1"/>
  <c r="B538" i="18" l="1"/>
  <c r="G538" i="18" s="1"/>
  <c r="E163" i="17"/>
  <c r="C163" i="17"/>
  <c r="D163" i="17"/>
  <c r="K163" i="17"/>
  <c r="L163" i="17" s="1"/>
  <c r="S163" i="17"/>
  <c r="G163" i="17"/>
  <c r="M163" i="17"/>
  <c r="N163" i="17" s="1"/>
  <c r="Q163" i="17"/>
  <c r="R163" i="17" s="1"/>
  <c r="I163" i="17"/>
  <c r="F163" i="17"/>
  <c r="H163" i="17"/>
  <c r="J164" i="17" s="1"/>
  <c r="K538" i="18" l="1"/>
  <c r="L538" i="18" s="1"/>
  <c r="E538" i="18"/>
  <c r="C538" i="18"/>
  <c r="H538" i="18"/>
  <c r="J539" i="18" s="1"/>
  <c r="I538" i="18"/>
  <c r="D538" i="18"/>
  <c r="O538" i="18"/>
  <c r="P538" i="18" s="1"/>
  <c r="S538" i="18"/>
  <c r="M538" i="18"/>
  <c r="N538" i="18" s="1"/>
  <c r="F538" i="18"/>
  <c r="Q538" i="18"/>
  <c r="R538" i="18" s="1"/>
  <c r="B164" i="17"/>
  <c r="M164" i="17" s="1"/>
  <c r="N164" i="17" s="1"/>
  <c r="B539" i="18" l="1"/>
  <c r="M539" i="18"/>
  <c r="N539" i="18" s="1"/>
  <c r="O539" i="18"/>
  <c r="P539" i="18" s="1"/>
  <c r="F539" i="18"/>
  <c r="S539" i="18"/>
  <c r="Q539" i="18"/>
  <c r="R539" i="18" s="1"/>
  <c r="E539" i="18"/>
  <c r="C539" i="18"/>
  <c r="I539" i="18"/>
  <c r="G539" i="18"/>
  <c r="D539" i="18"/>
  <c r="H539" i="18"/>
  <c r="J540" i="18" s="1"/>
  <c r="K539" i="18"/>
  <c r="L539" i="18" s="1"/>
  <c r="C164" i="17"/>
  <c r="H164" i="17"/>
  <c r="J165" i="17" s="1"/>
  <c r="Q164" i="17"/>
  <c r="R164" i="17" s="1"/>
  <c r="F164" i="17"/>
  <c r="K164" i="17"/>
  <c r="L164" i="17" s="1"/>
  <c r="D164" i="17"/>
  <c r="E164" i="17"/>
  <c r="O164" i="17"/>
  <c r="P164" i="17" s="1"/>
  <c r="S164" i="17"/>
  <c r="G164" i="17"/>
  <c r="I164" i="17"/>
  <c r="B540" i="18" l="1"/>
  <c r="G540" i="18" s="1"/>
  <c r="B165" i="17"/>
  <c r="E165" i="17" s="1"/>
  <c r="M540" i="18" l="1"/>
  <c r="N540" i="18" s="1"/>
  <c r="Q540" i="18"/>
  <c r="R540" i="18" s="1"/>
  <c r="C540" i="18"/>
  <c r="S540" i="18"/>
  <c r="I540" i="18"/>
  <c r="K540" i="18"/>
  <c r="L540" i="18" s="1"/>
  <c r="D540" i="18"/>
  <c r="E540" i="18"/>
  <c r="F540" i="18"/>
  <c r="H540" i="18"/>
  <c r="J541" i="18" s="1"/>
  <c r="O540" i="18"/>
  <c r="P540" i="18" s="1"/>
  <c r="F165" i="17"/>
  <c r="K165" i="17"/>
  <c r="L165" i="17" s="1"/>
  <c r="S165" i="17"/>
  <c r="G165" i="17"/>
  <c r="Q165" i="17"/>
  <c r="R165" i="17" s="1"/>
  <c r="M165" i="17"/>
  <c r="N165" i="17" s="1"/>
  <c r="H165" i="17"/>
  <c r="J166" i="17" s="1"/>
  <c r="I165" i="17"/>
  <c r="C165" i="17"/>
  <c r="O165" i="17"/>
  <c r="P165" i="17" s="1"/>
  <c r="D165" i="17"/>
  <c r="B541" i="18" l="1"/>
  <c r="D541" i="18" s="1"/>
  <c r="B166" i="17"/>
  <c r="K166" i="17" s="1"/>
  <c r="L166" i="17" s="1"/>
  <c r="F541" i="18" l="1"/>
  <c r="K541" i="18"/>
  <c r="L541" i="18" s="1"/>
  <c r="O541" i="18"/>
  <c r="P541" i="18" s="1"/>
  <c r="M541" i="18"/>
  <c r="N541" i="18" s="1"/>
  <c r="I541" i="18"/>
  <c r="C541" i="18"/>
  <c r="Q541" i="18"/>
  <c r="R541" i="18" s="1"/>
  <c r="H541" i="18"/>
  <c r="J542" i="18" s="1"/>
  <c r="G541" i="18"/>
  <c r="E541" i="18"/>
  <c r="S541" i="18"/>
  <c r="D166" i="17"/>
  <c r="I166" i="17"/>
  <c r="C166" i="17"/>
  <c r="M166" i="17"/>
  <c r="N166" i="17" s="1"/>
  <c r="F166" i="17"/>
  <c r="S166" i="17"/>
  <c r="G166" i="17"/>
  <c r="E166" i="17"/>
  <c r="Q166" i="17"/>
  <c r="R166" i="17" s="1"/>
  <c r="H166" i="17"/>
  <c r="J167" i="17" s="1"/>
  <c r="O166" i="17"/>
  <c r="P166" i="17" s="1"/>
  <c r="B542" i="18" l="1"/>
  <c r="D542" i="18" s="1"/>
  <c r="M542" i="18"/>
  <c r="N542" i="18" s="1"/>
  <c r="K542" i="18"/>
  <c r="L542" i="18" s="1"/>
  <c r="S542" i="18"/>
  <c r="G542" i="18"/>
  <c r="I542" i="18"/>
  <c r="F542" i="18"/>
  <c r="H542" i="18"/>
  <c r="J543" i="18" s="1"/>
  <c r="C542" i="18"/>
  <c r="Q542" i="18"/>
  <c r="R542" i="18" s="1"/>
  <c r="B167" i="17"/>
  <c r="O542" i="18" l="1"/>
  <c r="P542" i="18" s="1"/>
  <c r="B543" i="18" s="1"/>
  <c r="I543" i="18" s="1"/>
  <c r="E542" i="18"/>
  <c r="D167" i="17"/>
  <c r="O167" i="17"/>
  <c r="P167" i="17" s="1"/>
  <c r="Q167" i="17"/>
  <c r="R167" i="17" s="1"/>
  <c r="C167" i="17"/>
  <c r="M167" i="17"/>
  <c r="N167" i="17" s="1"/>
  <c r="H167" i="17"/>
  <c r="J168" i="17" s="1"/>
  <c r="F167" i="17"/>
  <c r="G167" i="17"/>
  <c r="E167" i="17"/>
  <c r="S167" i="17"/>
  <c r="K167" i="17"/>
  <c r="L167" i="17" s="1"/>
  <c r="I167" i="17"/>
  <c r="O543" i="18" l="1"/>
  <c r="P543" i="18" s="1"/>
  <c r="D543" i="18"/>
  <c r="S543" i="18"/>
  <c r="M543" i="18"/>
  <c r="N543" i="18" s="1"/>
  <c r="K543" i="18"/>
  <c r="L543" i="18" s="1"/>
  <c r="G543" i="18"/>
  <c r="E543" i="18"/>
  <c r="H543" i="18"/>
  <c r="J544" i="18" s="1"/>
  <c r="Q543" i="18"/>
  <c r="R543" i="18" s="1"/>
  <c r="B544" i="18" s="1"/>
  <c r="F543" i="18"/>
  <c r="C543" i="18"/>
  <c r="B168" i="17"/>
  <c r="G544" i="18" l="1"/>
  <c r="Q544" i="18"/>
  <c r="R544" i="18" s="1"/>
  <c r="C544" i="18"/>
  <c r="K544" i="18"/>
  <c r="L544" i="18" s="1"/>
  <c r="D544" i="18"/>
  <c r="S544" i="18"/>
  <c r="E544" i="18"/>
  <c r="H544" i="18"/>
  <c r="J545" i="18" s="1"/>
  <c r="O544" i="18"/>
  <c r="P544" i="18" s="1"/>
  <c r="I544" i="18"/>
  <c r="M544" i="18"/>
  <c r="N544" i="18" s="1"/>
  <c r="F544" i="18"/>
  <c r="H168" i="17"/>
  <c r="J169" i="17" s="1"/>
  <c r="C168" i="17"/>
  <c r="S168" i="17"/>
  <c r="K168" i="17"/>
  <c r="L168" i="17" s="1"/>
  <c r="D168" i="17"/>
  <c r="F168" i="17"/>
  <c r="I168" i="17"/>
  <c r="Q168" i="17"/>
  <c r="R168" i="17" s="1"/>
  <c r="G168" i="17"/>
  <c r="E168" i="17"/>
  <c r="O168" i="17"/>
  <c r="P168" i="17" s="1"/>
  <c r="M168" i="17"/>
  <c r="N168" i="17" s="1"/>
  <c r="B545" i="18" l="1"/>
  <c r="C545" i="18" s="1"/>
  <c r="B169" i="17"/>
  <c r="F169" i="17" s="1"/>
  <c r="E545" i="18" l="1"/>
  <c r="Q545" i="18"/>
  <c r="R545" i="18" s="1"/>
  <c r="G545" i="18"/>
  <c r="I545" i="18"/>
  <c r="S545" i="18"/>
  <c r="H545" i="18"/>
  <c r="J546" i="18" s="1"/>
  <c r="K545" i="18"/>
  <c r="L545" i="18" s="1"/>
  <c r="D545" i="18"/>
  <c r="F545" i="18"/>
  <c r="M545" i="18"/>
  <c r="N545" i="18" s="1"/>
  <c r="O545" i="18"/>
  <c r="P545" i="18" s="1"/>
  <c r="E169" i="17"/>
  <c r="D169" i="17"/>
  <c r="G169" i="17"/>
  <c r="S169" i="17"/>
  <c r="H169" i="17"/>
  <c r="J170" i="17" s="1"/>
  <c r="M169" i="17"/>
  <c r="N169" i="17" s="1"/>
  <c r="O169" i="17"/>
  <c r="P169" i="17" s="1"/>
  <c r="Q169" i="17"/>
  <c r="R169" i="17" s="1"/>
  <c r="I169" i="17"/>
  <c r="K169" i="17"/>
  <c r="L169" i="17" s="1"/>
  <c r="C169" i="17"/>
  <c r="B546" i="18" l="1"/>
  <c r="D546" i="18" s="1"/>
  <c r="B170" i="17"/>
  <c r="H170" i="17" s="1"/>
  <c r="J171" i="17" s="1"/>
  <c r="F546" i="18" l="1"/>
  <c r="O546" i="18"/>
  <c r="P546" i="18" s="1"/>
  <c r="M546" i="18"/>
  <c r="N546" i="18" s="1"/>
  <c r="H546" i="18"/>
  <c r="J547" i="18" s="1"/>
  <c r="G546" i="18"/>
  <c r="I546" i="18"/>
  <c r="C546" i="18"/>
  <c r="S546" i="18"/>
  <c r="Q546" i="18"/>
  <c r="R546" i="18" s="1"/>
  <c r="E546" i="18"/>
  <c r="K546" i="18"/>
  <c r="L546" i="18" s="1"/>
  <c r="I170" i="17"/>
  <c r="O170" i="17"/>
  <c r="P170" i="17" s="1"/>
  <c r="E170" i="17"/>
  <c r="M170" i="17"/>
  <c r="N170" i="17" s="1"/>
  <c r="Q170" i="17"/>
  <c r="R170" i="17" s="1"/>
  <c r="D170" i="17"/>
  <c r="K170" i="17"/>
  <c r="L170" i="17" s="1"/>
  <c r="C170" i="17"/>
  <c r="S170" i="17"/>
  <c r="G170" i="17"/>
  <c r="F170" i="17"/>
  <c r="B547" i="18" l="1"/>
  <c r="F547" i="18" s="1"/>
  <c r="B171" i="17"/>
  <c r="I171" i="17" s="1"/>
  <c r="K547" i="18" l="1"/>
  <c r="L547" i="18" s="1"/>
  <c r="I547" i="18"/>
  <c r="S547" i="18"/>
  <c r="D547" i="18"/>
  <c r="E547" i="18"/>
  <c r="O547" i="18"/>
  <c r="P547" i="18" s="1"/>
  <c r="H547" i="18"/>
  <c r="J548" i="18" s="1"/>
  <c r="G547" i="18"/>
  <c r="M547" i="18"/>
  <c r="N547" i="18" s="1"/>
  <c r="C547" i="18"/>
  <c r="Q547" i="18"/>
  <c r="R547" i="18" s="1"/>
  <c r="M171" i="17"/>
  <c r="N171" i="17" s="1"/>
  <c r="F171" i="17"/>
  <c r="D171" i="17"/>
  <c r="K171" i="17"/>
  <c r="L171" i="17" s="1"/>
  <c r="E171" i="17"/>
  <c r="S171" i="17"/>
  <c r="Q171" i="17"/>
  <c r="R171" i="17" s="1"/>
  <c r="C171" i="17"/>
  <c r="G171" i="17"/>
  <c r="O171" i="17"/>
  <c r="P171" i="17" s="1"/>
  <c r="H171" i="17"/>
  <c r="J172" i="17" s="1"/>
  <c r="B548" i="18" l="1"/>
  <c r="F548" i="18" s="1"/>
  <c r="B172" i="17"/>
  <c r="D172" i="17" s="1"/>
  <c r="D548" i="18" l="1"/>
  <c r="Q548" i="18"/>
  <c r="R548" i="18" s="1"/>
  <c r="I548" i="18"/>
  <c r="O548" i="18"/>
  <c r="P548" i="18" s="1"/>
  <c r="M548" i="18"/>
  <c r="N548" i="18" s="1"/>
  <c r="C548" i="18"/>
  <c r="E548" i="18"/>
  <c r="G548" i="18"/>
  <c r="K548" i="18"/>
  <c r="L548" i="18" s="1"/>
  <c r="H548" i="18"/>
  <c r="J549" i="18" s="1"/>
  <c r="S548" i="18"/>
  <c r="H172" i="17"/>
  <c r="J173" i="17" s="1"/>
  <c r="O172" i="17"/>
  <c r="P172" i="17" s="1"/>
  <c r="G172" i="17"/>
  <c r="S172" i="17"/>
  <c r="E172" i="17"/>
  <c r="Q172" i="17"/>
  <c r="R172" i="17" s="1"/>
  <c r="C172" i="17"/>
  <c r="I172" i="17"/>
  <c r="M172" i="17"/>
  <c r="N172" i="17" s="1"/>
  <c r="F172" i="17"/>
  <c r="K172" i="17"/>
  <c r="L172" i="17" s="1"/>
  <c r="B549" i="18" l="1"/>
  <c r="H549" i="18"/>
  <c r="J550" i="18" s="1"/>
  <c r="S549" i="18"/>
  <c r="D549" i="18"/>
  <c r="I549" i="18"/>
  <c r="K549" i="18"/>
  <c r="L549" i="18" s="1"/>
  <c r="E549" i="18"/>
  <c r="O549" i="18"/>
  <c r="P549" i="18" s="1"/>
  <c r="G549" i="18"/>
  <c r="M549" i="18"/>
  <c r="N549" i="18" s="1"/>
  <c r="F549" i="18"/>
  <c r="C549" i="18"/>
  <c r="Q549" i="18"/>
  <c r="R549" i="18" s="1"/>
  <c r="B173" i="17"/>
  <c r="I173" i="17" s="1"/>
  <c r="B550" i="18" l="1"/>
  <c r="E550" i="18" s="1"/>
  <c r="M173" i="17"/>
  <c r="N173" i="17" s="1"/>
  <c r="H173" i="17"/>
  <c r="J174" i="17" s="1"/>
  <c r="S173" i="17"/>
  <c r="Q173" i="17"/>
  <c r="R173" i="17" s="1"/>
  <c r="C173" i="17"/>
  <c r="D173" i="17"/>
  <c r="O173" i="17"/>
  <c r="P173" i="17" s="1"/>
  <c r="F173" i="17"/>
  <c r="E173" i="17"/>
  <c r="K173" i="17"/>
  <c r="L173" i="17" s="1"/>
  <c r="G173" i="17"/>
  <c r="H550" i="18" l="1"/>
  <c r="J551" i="18" s="1"/>
  <c r="O550" i="18"/>
  <c r="P550" i="18" s="1"/>
  <c r="D550" i="18"/>
  <c r="S550" i="18"/>
  <c r="C550" i="18"/>
  <c r="Q550" i="18"/>
  <c r="R550" i="18" s="1"/>
  <c r="G550" i="18"/>
  <c r="M550" i="18"/>
  <c r="N550" i="18" s="1"/>
  <c r="F550" i="18"/>
  <c r="K550" i="18"/>
  <c r="L550" i="18" s="1"/>
  <c r="I550" i="18"/>
  <c r="B174" i="17"/>
  <c r="G174" i="17" s="1"/>
  <c r="B551" i="18" l="1"/>
  <c r="H551" i="18" s="1"/>
  <c r="J552" i="18" s="1"/>
  <c r="K551" i="18"/>
  <c r="L551" i="18" s="1"/>
  <c r="F174" i="17"/>
  <c r="H174" i="17"/>
  <c r="J175" i="17" s="1"/>
  <c r="K174" i="17"/>
  <c r="L174" i="17" s="1"/>
  <c r="S174" i="17"/>
  <c r="D174" i="17"/>
  <c r="M174" i="17"/>
  <c r="N174" i="17" s="1"/>
  <c r="E174" i="17"/>
  <c r="Q174" i="17"/>
  <c r="R174" i="17" s="1"/>
  <c r="O174" i="17"/>
  <c r="P174" i="17" s="1"/>
  <c r="C174" i="17"/>
  <c r="I174" i="17"/>
  <c r="F551" i="18" l="1"/>
  <c r="O551" i="18"/>
  <c r="P551" i="18" s="1"/>
  <c r="S551" i="18"/>
  <c r="M551" i="18"/>
  <c r="N551" i="18" s="1"/>
  <c r="I551" i="18"/>
  <c r="C551" i="18"/>
  <c r="D551" i="18"/>
  <c r="G551" i="18"/>
  <c r="Q551" i="18"/>
  <c r="R551" i="18" s="1"/>
  <c r="B552" i="18" s="1"/>
  <c r="E551" i="18"/>
  <c r="B175" i="17"/>
  <c r="S175" i="17" s="1"/>
  <c r="E552" i="18" l="1"/>
  <c r="K552" i="18"/>
  <c r="L552" i="18" s="1"/>
  <c r="C552" i="18"/>
  <c r="S552" i="18"/>
  <c r="D552" i="18"/>
  <c r="G552" i="18"/>
  <c r="H552" i="18"/>
  <c r="J553" i="18" s="1"/>
  <c r="O552" i="18"/>
  <c r="P552" i="18" s="1"/>
  <c r="M552" i="18"/>
  <c r="N552" i="18" s="1"/>
  <c r="Q552" i="18"/>
  <c r="R552" i="18" s="1"/>
  <c r="I552" i="18"/>
  <c r="F552" i="18"/>
  <c r="Q175" i="17"/>
  <c r="R175" i="17" s="1"/>
  <c r="C175" i="17"/>
  <c r="I175" i="17"/>
  <c r="H175" i="17"/>
  <c r="J176" i="17" s="1"/>
  <c r="D175" i="17"/>
  <c r="E175" i="17"/>
  <c r="K175" i="17"/>
  <c r="L175" i="17" s="1"/>
  <c r="M175" i="17"/>
  <c r="N175" i="17" s="1"/>
  <c r="F175" i="17"/>
  <c r="G175" i="17"/>
  <c r="O175" i="17"/>
  <c r="P175" i="17" s="1"/>
  <c r="B553" i="18" l="1"/>
  <c r="K553" i="18" s="1"/>
  <c r="L553" i="18" s="1"/>
  <c r="B176" i="17"/>
  <c r="I176" i="17" s="1"/>
  <c r="F553" i="18" l="1"/>
  <c r="D553" i="18"/>
  <c r="G553" i="18"/>
  <c r="S553" i="18"/>
  <c r="Q553" i="18"/>
  <c r="R553" i="18" s="1"/>
  <c r="C553" i="18"/>
  <c r="O553" i="18"/>
  <c r="P553" i="18" s="1"/>
  <c r="M553" i="18"/>
  <c r="N553" i="18" s="1"/>
  <c r="I553" i="18"/>
  <c r="H553" i="18"/>
  <c r="J554" i="18" s="1"/>
  <c r="E553" i="18"/>
  <c r="M176" i="17"/>
  <c r="N176" i="17" s="1"/>
  <c r="D176" i="17"/>
  <c r="S176" i="17"/>
  <c r="K176" i="17"/>
  <c r="L176" i="17" s="1"/>
  <c r="G176" i="17"/>
  <c r="C176" i="17"/>
  <c r="O176" i="17"/>
  <c r="P176" i="17" s="1"/>
  <c r="Q176" i="17"/>
  <c r="R176" i="17" s="1"/>
  <c r="F176" i="17"/>
  <c r="H176" i="17"/>
  <c r="J177" i="17" s="1"/>
  <c r="E176" i="17"/>
  <c r="B554" i="18" l="1"/>
  <c r="G554" i="18" s="1"/>
  <c r="B177" i="17"/>
  <c r="D177" i="17" s="1"/>
  <c r="K554" i="18" l="1"/>
  <c r="L554" i="18" s="1"/>
  <c r="D554" i="18"/>
  <c r="S554" i="18"/>
  <c r="C554" i="18"/>
  <c r="H554" i="18"/>
  <c r="J555" i="18" s="1"/>
  <c r="E554" i="18"/>
  <c r="Q554" i="18"/>
  <c r="R554" i="18" s="1"/>
  <c r="O554" i="18"/>
  <c r="P554" i="18" s="1"/>
  <c r="I554" i="18"/>
  <c r="M554" i="18"/>
  <c r="N554" i="18" s="1"/>
  <c r="F554" i="18"/>
  <c r="O177" i="17"/>
  <c r="P177" i="17" s="1"/>
  <c r="G177" i="17"/>
  <c r="K177" i="17"/>
  <c r="L177" i="17" s="1"/>
  <c r="S177" i="17"/>
  <c r="E177" i="17"/>
  <c r="Q177" i="17"/>
  <c r="R177" i="17" s="1"/>
  <c r="M177" i="17"/>
  <c r="N177" i="17" s="1"/>
  <c r="C177" i="17"/>
  <c r="H177" i="17"/>
  <c r="J178" i="17" s="1"/>
  <c r="I177" i="17"/>
  <c r="F177" i="17"/>
  <c r="B555" i="18" l="1"/>
  <c r="C555" i="18" s="1"/>
  <c r="B178" i="17"/>
  <c r="F555" i="18" l="1"/>
  <c r="E555" i="18"/>
  <c r="M555" i="18"/>
  <c r="N555" i="18" s="1"/>
  <c r="G555" i="18"/>
  <c r="D555" i="18"/>
  <c r="O555" i="18"/>
  <c r="P555" i="18" s="1"/>
  <c r="I555" i="18"/>
  <c r="H555" i="18"/>
  <c r="J556" i="18" s="1"/>
  <c r="Q555" i="18"/>
  <c r="R555" i="18" s="1"/>
  <c r="K555" i="18"/>
  <c r="L555" i="18" s="1"/>
  <c r="S555" i="18"/>
  <c r="K178" i="17"/>
  <c r="L178" i="17" s="1"/>
  <c r="H178" i="17"/>
  <c r="J179" i="17" s="1"/>
  <c r="M178" i="17"/>
  <c r="N178" i="17" s="1"/>
  <c r="S178" i="17"/>
  <c r="Q178" i="17"/>
  <c r="R178" i="17" s="1"/>
  <c r="E178" i="17"/>
  <c r="I178" i="17"/>
  <c r="C178" i="17"/>
  <c r="G178" i="17"/>
  <c r="F178" i="17"/>
  <c r="O178" i="17"/>
  <c r="P178" i="17" s="1"/>
  <c r="D178" i="17"/>
  <c r="B556" i="18" l="1"/>
  <c r="B179" i="17"/>
  <c r="F556" i="18" l="1"/>
  <c r="I556" i="18"/>
  <c r="C556" i="18"/>
  <c r="M556" i="18"/>
  <c r="N556" i="18" s="1"/>
  <c r="H556" i="18"/>
  <c r="J557" i="18" s="1"/>
  <c r="S556" i="18"/>
  <c r="D556" i="18"/>
  <c r="O556" i="18"/>
  <c r="P556" i="18" s="1"/>
  <c r="K556" i="18"/>
  <c r="L556" i="18" s="1"/>
  <c r="Q556" i="18"/>
  <c r="R556" i="18" s="1"/>
  <c r="G556" i="18"/>
  <c r="E556" i="18"/>
  <c r="K179" i="17"/>
  <c r="L179" i="17" s="1"/>
  <c r="H179" i="17"/>
  <c r="J180" i="17" s="1"/>
  <c r="G179" i="17"/>
  <c r="E179" i="17"/>
  <c r="I179" i="17"/>
  <c r="D179" i="17"/>
  <c r="O179" i="17"/>
  <c r="P179" i="17" s="1"/>
  <c r="F179" i="17"/>
  <c r="S179" i="17"/>
  <c r="C179" i="17"/>
  <c r="M179" i="17"/>
  <c r="N179" i="17" s="1"/>
  <c r="Q179" i="17"/>
  <c r="R179" i="17" s="1"/>
  <c r="B557" i="18" l="1"/>
  <c r="K557" i="18" s="1"/>
  <c r="L557" i="18" s="1"/>
  <c r="S557" i="18"/>
  <c r="B180" i="17"/>
  <c r="D557" i="18" l="1"/>
  <c r="E557" i="18"/>
  <c r="Q557" i="18"/>
  <c r="R557" i="18" s="1"/>
  <c r="I557" i="18"/>
  <c r="F557" i="18"/>
  <c r="G557" i="18"/>
  <c r="C557" i="18"/>
  <c r="H557" i="18"/>
  <c r="J558" i="18" s="1"/>
  <c r="O557" i="18"/>
  <c r="P557" i="18" s="1"/>
  <c r="M557" i="18"/>
  <c r="N557" i="18" s="1"/>
  <c r="S180" i="17"/>
  <c r="K180" i="17"/>
  <c r="L180" i="17" s="1"/>
  <c r="Q180" i="17"/>
  <c r="R180" i="17" s="1"/>
  <c r="H180" i="17"/>
  <c r="J181" i="17" s="1"/>
  <c r="I180" i="17"/>
  <c r="F180" i="17"/>
  <c r="C180" i="17"/>
  <c r="D180" i="17"/>
  <c r="E180" i="17"/>
  <c r="O180" i="17"/>
  <c r="P180" i="17" s="1"/>
  <c r="G180" i="17"/>
  <c r="M180" i="17"/>
  <c r="N180" i="17" s="1"/>
  <c r="B558" i="18" l="1"/>
  <c r="D558" i="18" s="1"/>
  <c r="B181" i="17"/>
  <c r="D181" i="17" s="1"/>
  <c r="Q558" i="18" l="1"/>
  <c r="R558" i="18" s="1"/>
  <c r="E558" i="18"/>
  <c r="S558" i="18"/>
  <c r="C558" i="18"/>
  <c r="H558" i="18"/>
  <c r="J559" i="18" s="1"/>
  <c r="O558" i="18"/>
  <c r="P558" i="18" s="1"/>
  <c r="M558" i="18"/>
  <c r="N558" i="18" s="1"/>
  <c r="I558" i="18"/>
  <c r="F558" i="18"/>
  <c r="G558" i="18"/>
  <c r="K558" i="18"/>
  <c r="L558" i="18" s="1"/>
  <c r="Q181" i="17"/>
  <c r="R181" i="17" s="1"/>
  <c r="H181" i="17"/>
  <c r="J182" i="17" s="1"/>
  <c r="S181" i="17"/>
  <c r="G181" i="17"/>
  <c r="K181" i="17"/>
  <c r="L181" i="17" s="1"/>
  <c r="E181" i="17"/>
  <c r="I181" i="17"/>
  <c r="M181" i="17"/>
  <c r="N181" i="17" s="1"/>
  <c r="F181" i="17"/>
  <c r="C181" i="17"/>
  <c r="O181" i="17"/>
  <c r="P181" i="17" s="1"/>
  <c r="B559" i="18" l="1"/>
  <c r="D559" i="18" s="1"/>
  <c r="I559" i="18"/>
  <c r="B182" i="17"/>
  <c r="D182" i="17" s="1"/>
  <c r="H559" i="18" l="1"/>
  <c r="J560" i="18" s="1"/>
  <c r="E559" i="18"/>
  <c r="O559" i="18"/>
  <c r="P559" i="18" s="1"/>
  <c r="K559" i="18"/>
  <c r="L559" i="18" s="1"/>
  <c r="F559" i="18"/>
  <c r="Q559" i="18"/>
  <c r="R559" i="18" s="1"/>
  <c r="B560" i="18" s="1"/>
  <c r="M559" i="18"/>
  <c r="N559" i="18" s="1"/>
  <c r="S559" i="18"/>
  <c r="G559" i="18"/>
  <c r="C559" i="18"/>
  <c r="I182" i="17"/>
  <c r="C182" i="17"/>
  <c r="G182" i="17"/>
  <c r="Q182" i="17"/>
  <c r="R182" i="17" s="1"/>
  <c r="F182" i="17"/>
  <c r="O182" i="17"/>
  <c r="P182" i="17" s="1"/>
  <c r="S182" i="17"/>
  <c r="K182" i="17"/>
  <c r="L182" i="17" s="1"/>
  <c r="M182" i="17"/>
  <c r="N182" i="17" s="1"/>
  <c r="H182" i="17"/>
  <c r="J183" i="17" s="1"/>
  <c r="E182" i="17"/>
  <c r="O560" i="18" l="1"/>
  <c r="P560" i="18" s="1"/>
  <c r="K560" i="18"/>
  <c r="L560" i="18" s="1"/>
  <c r="E560" i="18"/>
  <c r="Q560" i="18"/>
  <c r="R560" i="18" s="1"/>
  <c r="F560" i="18"/>
  <c r="G560" i="18"/>
  <c r="D560" i="18"/>
  <c r="M560" i="18"/>
  <c r="N560" i="18" s="1"/>
  <c r="H560" i="18"/>
  <c r="J561" i="18" s="1"/>
  <c r="C560" i="18"/>
  <c r="S560" i="18"/>
  <c r="I560" i="18"/>
  <c r="B183" i="17"/>
  <c r="B561" i="18" l="1"/>
  <c r="D561" i="18" s="1"/>
  <c r="K183" i="17"/>
  <c r="L183" i="17" s="1"/>
  <c r="F183" i="17"/>
  <c r="G183" i="17"/>
  <c r="C183" i="17"/>
  <c r="I183" i="17"/>
  <c r="D183" i="17"/>
  <c r="H183" i="17"/>
  <c r="J184" i="17" s="1"/>
  <c r="Q183" i="17"/>
  <c r="R183" i="17" s="1"/>
  <c r="M183" i="17"/>
  <c r="N183" i="17" s="1"/>
  <c r="S183" i="17"/>
  <c r="O183" i="17"/>
  <c r="P183" i="17" s="1"/>
  <c r="E183" i="17"/>
  <c r="C561" i="18" l="1"/>
  <c r="Q561" i="18"/>
  <c r="R561" i="18" s="1"/>
  <c r="E561" i="18"/>
  <c r="I561" i="18"/>
  <c r="K561" i="18"/>
  <c r="L561" i="18" s="1"/>
  <c r="G561" i="18"/>
  <c r="H561" i="18"/>
  <c r="J562" i="18" s="1"/>
  <c r="S561" i="18"/>
  <c r="O561" i="18"/>
  <c r="P561" i="18" s="1"/>
  <c r="M561" i="18"/>
  <c r="N561" i="18" s="1"/>
  <c r="F561" i="18"/>
  <c r="B184" i="17"/>
  <c r="B562" i="18" l="1"/>
  <c r="D562" i="18" s="1"/>
  <c r="S562" i="18"/>
  <c r="O184" i="17"/>
  <c r="P184" i="17" s="1"/>
  <c r="G184" i="17"/>
  <c r="I184" i="17"/>
  <c r="H184" i="17"/>
  <c r="J185" i="17" s="1"/>
  <c r="K184" i="17"/>
  <c r="L184" i="17" s="1"/>
  <c r="S184" i="17"/>
  <c r="M184" i="17"/>
  <c r="N184" i="17" s="1"/>
  <c r="C184" i="17"/>
  <c r="E184" i="17"/>
  <c r="F184" i="17"/>
  <c r="Q184" i="17"/>
  <c r="R184" i="17" s="1"/>
  <c r="D184" i="17"/>
  <c r="H562" i="18" l="1"/>
  <c r="J563" i="18" s="1"/>
  <c r="F562" i="18"/>
  <c r="Q562" i="18"/>
  <c r="R562" i="18" s="1"/>
  <c r="O562" i="18"/>
  <c r="P562" i="18" s="1"/>
  <c r="K562" i="18"/>
  <c r="L562" i="18" s="1"/>
  <c r="E562" i="18"/>
  <c r="I562" i="18"/>
  <c r="G562" i="18"/>
  <c r="M562" i="18"/>
  <c r="N562" i="18" s="1"/>
  <c r="C562" i="18"/>
  <c r="B185" i="17"/>
  <c r="B563" i="18" l="1"/>
  <c r="D563" i="18"/>
  <c r="M563" i="18"/>
  <c r="N563" i="18" s="1"/>
  <c r="S563" i="18"/>
  <c r="H563" i="18"/>
  <c r="J564" i="18" s="1"/>
  <c r="C563" i="18"/>
  <c r="K563" i="18"/>
  <c r="L563" i="18" s="1"/>
  <c r="I563" i="18"/>
  <c r="E563" i="18"/>
  <c r="Q563" i="18"/>
  <c r="R563" i="18" s="1"/>
  <c r="F563" i="18"/>
  <c r="O563" i="18"/>
  <c r="P563" i="18" s="1"/>
  <c r="G563" i="18"/>
  <c r="Q185" i="17"/>
  <c r="R185" i="17" s="1"/>
  <c r="O185" i="17"/>
  <c r="P185" i="17" s="1"/>
  <c r="E185" i="17"/>
  <c r="C185" i="17"/>
  <c r="F185" i="17"/>
  <c r="K185" i="17"/>
  <c r="L185" i="17" s="1"/>
  <c r="M185" i="17"/>
  <c r="N185" i="17" s="1"/>
  <c r="I185" i="17"/>
  <c r="S185" i="17"/>
  <c r="G185" i="17"/>
  <c r="H185" i="17"/>
  <c r="J186" i="17" s="1"/>
  <c r="D185" i="17"/>
  <c r="B564" i="18" l="1"/>
  <c r="B186" i="17"/>
  <c r="D564" i="18" l="1"/>
  <c r="M564" i="18"/>
  <c r="N564" i="18" s="1"/>
  <c r="G564" i="18"/>
  <c r="O564" i="18"/>
  <c r="P564" i="18" s="1"/>
  <c r="F564" i="18"/>
  <c r="E564" i="18"/>
  <c r="K564" i="18"/>
  <c r="L564" i="18" s="1"/>
  <c r="H564" i="18"/>
  <c r="J565" i="18" s="1"/>
  <c r="C564" i="18"/>
  <c r="I564" i="18"/>
  <c r="S564" i="18"/>
  <c r="Q564" i="18"/>
  <c r="R564" i="18" s="1"/>
  <c r="O186" i="17"/>
  <c r="P186" i="17" s="1"/>
  <c r="M186" i="17"/>
  <c r="N186" i="17" s="1"/>
  <c r="F186" i="17"/>
  <c r="Q186" i="17"/>
  <c r="R186" i="17" s="1"/>
  <c r="G186" i="17"/>
  <c r="I186" i="17"/>
  <c r="K186" i="17"/>
  <c r="L186" i="17" s="1"/>
  <c r="E186" i="17"/>
  <c r="S186" i="17"/>
  <c r="H186" i="17"/>
  <c r="J187" i="17" s="1"/>
  <c r="C186" i="17"/>
  <c r="D186" i="17"/>
  <c r="B565" i="18" l="1"/>
  <c r="B187" i="17"/>
  <c r="D187" i="17" s="1"/>
  <c r="D565" i="18" l="1"/>
  <c r="M565" i="18"/>
  <c r="N565" i="18" s="1"/>
  <c r="C565" i="18"/>
  <c r="G565" i="18"/>
  <c r="F565" i="18"/>
  <c r="O565" i="18"/>
  <c r="P565" i="18" s="1"/>
  <c r="K565" i="18"/>
  <c r="L565" i="18" s="1"/>
  <c r="I565" i="18"/>
  <c r="E565" i="18"/>
  <c r="H565" i="18"/>
  <c r="J566" i="18" s="1"/>
  <c r="Q565" i="18"/>
  <c r="R565" i="18" s="1"/>
  <c r="S565" i="18"/>
  <c r="I187" i="17"/>
  <c r="O187" i="17"/>
  <c r="P187" i="17" s="1"/>
  <c r="C187" i="17"/>
  <c r="E187" i="17"/>
  <c r="Q187" i="17"/>
  <c r="R187" i="17" s="1"/>
  <c r="K187" i="17"/>
  <c r="L187" i="17" s="1"/>
  <c r="M187" i="17"/>
  <c r="N187" i="17" s="1"/>
  <c r="H187" i="17"/>
  <c r="J188" i="17" s="1"/>
  <c r="G187" i="17"/>
  <c r="F187" i="17"/>
  <c r="S187" i="17"/>
  <c r="B566" i="18" l="1"/>
  <c r="S566" i="18" s="1"/>
  <c r="C566" i="18"/>
  <c r="B188" i="17"/>
  <c r="Q566" i="18" l="1"/>
  <c r="R566" i="18" s="1"/>
  <c r="E566" i="18"/>
  <c r="M566" i="18"/>
  <c r="N566" i="18" s="1"/>
  <c r="H566" i="18"/>
  <c r="J567" i="18" s="1"/>
  <c r="K566" i="18"/>
  <c r="L566" i="18" s="1"/>
  <c r="G566" i="18"/>
  <c r="D566" i="18"/>
  <c r="O566" i="18"/>
  <c r="P566" i="18" s="1"/>
  <c r="F566" i="18"/>
  <c r="I566" i="18"/>
  <c r="H188" i="17"/>
  <c r="J189" i="17" s="1"/>
  <c r="I188" i="17"/>
  <c r="C188" i="17"/>
  <c r="M188" i="17"/>
  <c r="N188" i="17" s="1"/>
  <c r="E188" i="17"/>
  <c r="K188" i="17"/>
  <c r="L188" i="17" s="1"/>
  <c r="S188" i="17"/>
  <c r="Q188" i="17"/>
  <c r="R188" i="17" s="1"/>
  <c r="D188" i="17"/>
  <c r="O188" i="17"/>
  <c r="P188" i="17" s="1"/>
  <c r="F188" i="17"/>
  <c r="G188" i="17"/>
  <c r="B567" i="18" l="1"/>
  <c r="K567" i="18" s="1"/>
  <c r="L567" i="18" s="1"/>
  <c r="S567" i="18"/>
  <c r="H567" i="18"/>
  <c r="J568" i="18" s="1"/>
  <c r="I567" i="18"/>
  <c r="G567" i="18"/>
  <c r="O567" i="18"/>
  <c r="P567" i="18" s="1"/>
  <c r="C567" i="18"/>
  <c r="B189" i="17"/>
  <c r="D189" i="17" s="1"/>
  <c r="D567" i="18" l="1"/>
  <c r="M567" i="18"/>
  <c r="N567" i="18" s="1"/>
  <c r="Q567" i="18"/>
  <c r="R567" i="18" s="1"/>
  <c r="B568" i="18" s="1"/>
  <c r="F567" i="18"/>
  <c r="E567" i="18"/>
  <c r="E189" i="17"/>
  <c r="Q189" i="17"/>
  <c r="R189" i="17" s="1"/>
  <c r="G189" i="17"/>
  <c r="F189" i="17"/>
  <c r="M189" i="17"/>
  <c r="N189" i="17" s="1"/>
  <c r="S189" i="17"/>
  <c r="O189" i="17"/>
  <c r="P189" i="17" s="1"/>
  <c r="I189" i="17"/>
  <c r="C189" i="17"/>
  <c r="K189" i="17"/>
  <c r="L189" i="17" s="1"/>
  <c r="H189" i="17"/>
  <c r="J190" i="17" s="1"/>
  <c r="S568" i="18" l="1"/>
  <c r="H568" i="18"/>
  <c r="J569" i="18" s="1"/>
  <c r="G568" i="18"/>
  <c r="Q568" i="18"/>
  <c r="R568" i="18" s="1"/>
  <c r="I568" i="18"/>
  <c r="C568" i="18"/>
  <c r="O568" i="18"/>
  <c r="P568" i="18" s="1"/>
  <c r="K568" i="18"/>
  <c r="L568" i="18" s="1"/>
  <c r="D568" i="18"/>
  <c r="M568" i="18"/>
  <c r="N568" i="18" s="1"/>
  <c r="E568" i="18"/>
  <c r="F568" i="18"/>
  <c r="B190" i="17"/>
  <c r="B569" i="18" l="1"/>
  <c r="I569" i="18" s="1"/>
  <c r="S569" i="18"/>
  <c r="C569" i="18"/>
  <c r="F569" i="18"/>
  <c r="D569" i="18"/>
  <c r="E569" i="18"/>
  <c r="O569" i="18"/>
  <c r="P569" i="18" s="1"/>
  <c r="G569" i="18"/>
  <c r="Q190" i="17"/>
  <c r="R190" i="17" s="1"/>
  <c r="H190" i="17"/>
  <c r="J191" i="17" s="1"/>
  <c r="C190" i="17"/>
  <c r="I190" i="17"/>
  <c r="O190" i="17"/>
  <c r="P190" i="17" s="1"/>
  <c r="E190" i="17"/>
  <c r="F190" i="17"/>
  <c r="M190" i="17"/>
  <c r="N190" i="17" s="1"/>
  <c r="S190" i="17"/>
  <c r="K190" i="17"/>
  <c r="L190" i="17" s="1"/>
  <c r="G190" i="17"/>
  <c r="D190" i="17"/>
  <c r="M569" i="18" l="1"/>
  <c r="N569" i="18" s="1"/>
  <c r="K569" i="18"/>
  <c r="L569" i="18" s="1"/>
  <c r="Q569" i="18"/>
  <c r="R569" i="18" s="1"/>
  <c r="B570" i="18" s="1"/>
  <c r="F570" i="18" s="1"/>
  <c r="H569" i="18"/>
  <c r="J570" i="18" s="1"/>
  <c r="B191" i="17"/>
  <c r="Q191" i="17" s="1"/>
  <c r="R191" i="17" s="1"/>
  <c r="I570" i="18" l="1"/>
  <c r="D570" i="18"/>
  <c r="Q570" i="18"/>
  <c r="R570" i="18" s="1"/>
  <c r="K570" i="18"/>
  <c r="L570" i="18" s="1"/>
  <c r="S570" i="18"/>
  <c r="H570" i="18"/>
  <c r="J571" i="18" s="1"/>
  <c r="M570" i="18"/>
  <c r="N570" i="18" s="1"/>
  <c r="C570" i="18"/>
  <c r="E570" i="18"/>
  <c r="O570" i="18"/>
  <c r="P570" i="18" s="1"/>
  <c r="G570" i="18"/>
  <c r="K191" i="17"/>
  <c r="L191" i="17" s="1"/>
  <c r="M191" i="17"/>
  <c r="N191" i="17" s="1"/>
  <c r="G191" i="17"/>
  <c r="F191" i="17"/>
  <c r="D191" i="17"/>
  <c r="O191" i="17"/>
  <c r="P191" i="17" s="1"/>
  <c r="C191" i="17"/>
  <c r="I191" i="17"/>
  <c r="E191" i="17"/>
  <c r="H191" i="17"/>
  <c r="J192" i="17" s="1"/>
  <c r="S191" i="17"/>
  <c r="B571" i="18" l="1"/>
  <c r="S571" i="18" s="1"/>
  <c r="I571" i="18"/>
  <c r="B192" i="17"/>
  <c r="D192" i="17" s="1"/>
  <c r="O571" i="18" l="1"/>
  <c r="P571" i="18" s="1"/>
  <c r="H571" i="18"/>
  <c r="J572" i="18" s="1"/>
  <c r="D571" i="18"/>
  <c r="G571" i="18"/>
  <c r="C571" i="18"/>
  <c r="E571" i="18"/>
  <c r="K571" i="18"/>
  <c r="L571" i="18" s="1"/>
  <c r="F571" i="18"/>
  <c r="M571" i="18"/>
  <c r="N571" i="18" s="1"/>
  <c r="Q571" i="18"/>
  <c r="R571" i="18" s="1"/>
  <c r="F192" i="17"/>
  <c r="K192" i="17"/>
  <c r="L192" i="17" s="1"/>
  <c r="O192" i="17"/>
  <c r="P192" i="17" s="1"/>
  <c r="S192" i="17"/>
  <c r="M192" i="17"/>
  <c r="N192" i="17" s="1"/>
  <c r="Q192" i="17"/>
  <c r="R192" i="17" s="1"/>
  <c r="I192" i="17"/>
  <c r="G192" i="17"/>
  <c r="H192" i="17"/>
  <c r="J193" i="17" s="1"/>
  <c r="E192" i="17"/>
  <c r="C192" i="17"/>
  <c r="B572" i="18" l="1"/>
  <c r="M572" i="18" s="1"/>
  <c r="N572" i="18" s="1"/>
  <c r="C572" i="18"/>
  <c r="B193" i="17"/>
  <c r="G572" i="18" l="1"/>
  <c r="F572" i="18"/>
  <c r="K572" i="18"/>
  <c r="L572" i="18" s="1"/>
  <c r="I572" i="18"/>
  <c r="O572" i="18"/>
  <c r="P572" i="18" s="1"/>
  <c r="D572" i="18"/>
  <c r="S572" i="18"/>
  <c r="H572" i="18"/>
  <c r="J573" i="18" s="1"/>
  <c r="Q572" i="18"/>
  <c r="R572" i="18" s="1"/>
  <c r="B573" i="18" s="1"/>
  <c r="E572" i="18"/>
  <c r="K193" i="17"/>
  <c r="L193" i="17" s="1"/>
  <c r="F193" i="17"/>
  <c r="C193" i="17"/>
  <c r="Q193" i="17"/>
  <c r="R193" i="17" s="1"/>
  <c r="O193" i="17"/>
  <c r="P193" i="17" s="1"/>
  <c r="I193" i="17"/>
  <c r="E193" i="17"/>
  <c r="H193" i="17"/>
  <c r="J194" i="17" s="1"/>
  <c r="G193" i="17"/>
  <c r="M193" i="17"/>
  <c r="N193" i="17" s="1"/>
  <c r="S193" i="17"/>
  <c r="D193" i="17"/>
  <c r="Q573" i="18" l="1"/>
  <c r="R573" i="18" s="1"/>
  <c r="F573" i="18"/>
  <c r="K573" i="18"/>
  <c r="L573" i="18" s="1"/>
  <c r="O573" i="18"/>
  <c r="P573" i="18" s="1"/>
  <c r="B574" i="18" s="1"/>
  <c r="C573" i="18"/>
  <c r="E573" i="18"/>
  <c r="S573" i="18"/>
  <c r="G573" i="18"/>
  <c r="D573" i="18"/>
  <c r="I573" i="18"/>
  <c r="M573" i="18"/>
  <c r="N573" i="18" s="1"/>
  <c r="H573" i="18"/>
  <c r="J574" i="18" s="1"/>
  <c r="B194" i="17"/>
  <c r="D574" i="18" l="1"/>
  <c r="S574" i="18"/>
  <c r="I574" i="18"/>
  <c r="K574" i="18"/>
  <c r="L574" i="18" s="1"/>
  <c r="O574" i="18"/>
  <c r="P574" i="18" s="1"/>
  <c r="E574" i="18"/>
  <c r="M574" i="18"/>
  <c r="N574" i="18" s="1"/>
  <c r="Q574" i="18"/>
  <c r="R574" i="18" s="1"/>
  <c r="G574" i="18"/>
  <c r="H574" i="18"/>
  <c r="J575" i="18" s="1"/>
  <c r="C574" i="18"/>
  <c r="F574" i="18"/>
  <c r="S194" i="17"/>
  <c r="E194" i="17"/>
  <c r="O194" i="17"/>
  <c r="P194" i="17" s="1"/>
  <c r="G194" i="17"/>
  <c r="M194" i="17"/>
  <c r="N194" i="17" s="1"/>
  <c r="I194" i="17"/>
  <c r="Q194" i="17"/>
  <c r="R194" i="17" s="1"/>
  <c r="C194" i="17"/>
  <c r="F194" i="17"/>
  <c r="H194" i="17"/>
  <c r="J195" i="17" s="1"/>
  <c r="K194" i="17"/>
  <c r="L194" i="17" s="1"/>
  <c r="D194" i="17"/>
  <c r="B575" i="18" l="1"/>
  <c r="K575" i="18" s="1"/>
  <c r="L575" i="18" s="1"/>
  <c r="I575" i="18"/>
  <c r="M575" i="18"/>
  <c r="N575" i="18" s="1"/>
  <c r="C575" i="18"/>
  <c r="H575" i="18"/>
  <c r="J576" i="18" s="1"/>
  <c r="Q575" i="18"/>
  <c r="R575" i="18" s="1"/>
  <c r="D575" i="18"/>
  <c r="G575" i="18"/>
  <c r="F575" i="18"/>
  <c r="O575" i="18"/>
  <c r="P575" i="18" s="1"/>
  <c r="S575" i="18"/>
  <c r="E575" i="18"/>
  <c r="B195" i="17"/>
  <c r="B576" i="18" l="1"/>
  <c r="C576" i="18" s="1"/>
  <c r="I195" i="17"/>
  <c r="S195" i="17"/>
  <c r="O195" i="17"/>
  <c r="P195" i="17" s="1"/>
  <c r="Q195" i="17"/>
  <c r="R195" i="17" s="1"/>
  <c r="F195" i="17"/>
  <c r="C195" i="17"/>
  <c r="G195" i="17"/>
  <c r="H195" i="17"/>
  <c r="J196" i="17" s="1"/>
  <c r="E195" i="17"/>
  <c r="K195" i="17"/>
  <c r="L195" i="17" s="1"/>
  <c r="M195" i="17"/>
  <c r="N195" i="17" s="1"/>
  <c r="D195" i="17"/>
  <c r="G576" i="18" l="1"/>
  <c r="F576" i="18"/>
  <c r="Q576" i="18"/>
  <c r="R576" i="18" s="1"/>
  <c r="I576" i="18"/>
  <c r="S576" i="18"/>
  <c r="D576" i="18"/>
  <c r="H576" i="18"/>
  <c r="J577" i="18" s="1"/>
  <c r="M576" i="18"/>
  <c r="N576" i="18" s="1"/>
  <c r="K576" i="18"/>
  <c r="L576" i="18" s="1"/>
  <c r="E576" i="18"/>
  <c r="O576" i="18"/>
  <c r="P576" i="18" s="1"/>
  <c r="B577" i="18" s="1"/>
  <c r="B196" i="17"/>
  <c r="K577" i="18" l="1"/>
  <c r="L577" i="18" s="1"/>
  <c r="I577" i="18"/>
  <c r="M577" i="18"/>
  <c r="N577" i="18" s="1"/>
  <c r="F577" i="18"/>
  <c r="E577" i="18"/>
  <c r="D577" i="18"/>
  <c r="Q577" i="18"/>
  <c r="R577" i="18" s="1"/>
  <c r="C577" i="18"/>
  <c r="S577" i="18"/>
  <c r="O577" i="18"/>
  <c r="P577" i="18" s="1"/>
  <c r="H577" i="18"/>
  <c r="J578" i="18" s="1"/>
  <c r="G577" i="18"/>
  <c r="D196" i="17"/>
  <c r="C196" i="17"/>
  <c r="M196" i="17"/>
  <c r="N196" i="17" s="1"/>
  <c r="O196" i="17"/>
  <c r="P196" i="17" s="1"/>
  <c r="I196" i="17"/>
  <c r="Q196" i="17"/>
  <c r="R196" i="17" s="1"/>
  <c r="S196" i="17"/>
  <c r="H196" i="17"/>
  <c r="J197" i="17" s="1"/>
  <c r="F196" i="17"/>
  <c r="E196" i="17"/>
  <c r="G196" i="17"/>
  <c r="K196" i="17"/>
  <c r="L196" i="17" s="1"/>
  <c r="B578" i="18" l="1"/>
  <c r="Q578" i="18" s="1"/>
  <c r="R578" i="18" s="1"/>
  <c r="B197" i="17"/>
  <c r="K578" i="18" l="1"/>
  <c r="L578" i="18" s="1"/>
  <c r="H578" i="18"/>
  <c r="J579" i="18" s="1"/>
  <c r="O578" i="18"/>
  <c r="P578" i="18" s="1"/>
  <c r="B579" i="18" s="1"/>
  <c r="M578" i="18"/>
  <c r="N578" i="18" s="1"/>
  <c r="G578" i="18"/>
  <c r="S578" i="18"/>
  <c r="C578" i="18"/>
  <c r="E578" i="18"/>
  <c r="I578" i="18"/>
  <c r="F578" i="18"/>
  <c r="D578" i="18"/>
  <c r="G197" i="17"/>
  <c r="Q197" i="17"/>
  <c r="R197" i="17" s="1"/>
  <c r="S197" i="17"/>
  <c r="H197" i="17"/>
  <c r="J198" i="17" s="1"/>
  <c r="M197" i="17"/>
  <c r="N197" i="17" s="1"/>
  <c r="O197" i="17"/>
  <c r="P197" i="17" s="1"/>
  <c r="E197" i="17"/>
  <c r="C197" i="17"/>
  <c r="F197" i="17"/>
  <c r="I197" i="17"/>
  <c r="K197" i="17"/>
  <c r="L197" i="17" s="1"/>
  <c r="D197" i="17"/>
  <c r="M579" i="18" l="1"/>
  <c r="N579" i="18" s="1"/>
  <c r="E579" i="18"/>
  <c r="O579" i="18"/>
  <c r="P579" i="18" s="1"/>
  <c r="D579" i="18"/>
  <c r="S579" i="18"/>
  <c r="Q579" i="18"/>
  <c r="R579" i="18" s="1"/>
  <c r="K579" i="18"/>
  <c r="L579" i="18" s="1"/>
  <c r="G579" i="18"/>
  <c r="F579" i="18"/>
  <c r="C579" i="18"/>
  <c r="I579" i="18"/>
  <c r="H579" i="18"/>
  <c r="J580" i="18" s="1"/>
  <c r="B198" i="17"/>
  <c r="H198" i="17" s="1"/>
  <c r="J199" i="17" s="1"/>
  <c r="B580" i="18" l="1"/>
  <c r="O580" i="18" s="1"/>
  <c r="P580" i="18" s="1"/>
  <c r="D198" i="17"/>
  <c r="O198" i="17"/>
  <c r="P198" i="17" s="1"/>
  <c r="Q198" i="17"/>
  <c r="R198" i="17" s="1"/>
  <c r="C198" i="17"/>
  <c r="S198" i="17"/>
  <c r="I198" i="17"/>
  <c r="K198" i="17"/>
  <c r="L198" i="17" s="1"/>
  <c r="F198" i="17"/>
  <c r="E198" i="17"/>
  <c r="G198" i="17"/>
  <c r="M198" i="17"/>
  <c r="N198" i="17" s="1"/>
  <c r="H580" i="18" l="1"/>
  <c r="J581" i="18" s="1"/>
  <c r="K580" i="18"/>
  <c r="L580" i="18" s="1"/>
  <c r="Q580" i="18"/>
  <c r="R580" i="18" s="1"/>
  <c r="B581" i="18" s="1"/>
  <c r="C580" i="18"/>
  <c r="M580" i="18"/>
  <c r="N580" i="18" s="1"/>
  <c r="D580" i="18"/>
  <c r="G580" i="18"/>
  <c r="I580" i="18"/>
  <c r="E580" i="18"/>
  <c r="F580" i="18"/>
  <c r="S580" i="18"/>
  <c r="B199" i="17"/>
  <c r="H581" i="18" l="1"/>
  <c r="J582" i="18" s="1"/>
  <c r="E581" i="18"/>
  <c r="G581" i="18"/>
  <c r="Q581" i="18"/>
  <c r="R581" i="18" s="1"/>
  <c r="F581" i="18"/>
  <c r="D581" i="18"/>
  <c r="M581" i="18"/>
  <c r="N581" i="18" s="1"/>
  <c r="K581" i="18"/>
  <c r="L581" i="18" s="1"/>
  <c r="O581" i="18"/>
  <c r="P581" i="18" s="1"/>
  <c r="I581" i="18"/>
  <c r="C581" i="18"/>
  <c r="S581" i="18"/>
  <c r="D199" i="17"/>
  <c r="M199" i="17"/>
  <c r="N199" i="17" s="1"/>
  <c r="G199" i="17"/>
  <c r="F199" i="17"/>
  <c r="E199" i="17"/>
  <c r="C199" i="17"/>
  <c r="K199" i="17"/>
  <c r="L199" i="17" s="1"/>
  <c r="H199" i="17"/>
  <c r="J200" i="17" s="1"/>
  <c r="S199" i="17"/>
  <c r="O199" i="17"/>
  <c r="P199" i="17" s="1"/>
  <c r="Q199" i="17"/>
  <c r="R199" i="17" s="1"/>
  <c r="I199" i="17"/>
  <c r="B582" i="18" l="1"/>
  <c r="H582" i="18" s="1"/>
  <c r="J583" i="18" s="1"/>
  <c r="B200" i="17"/>
  <c r="M582" i="18" l="1"/>
  <c r="N582" i="18" s="1"/>
  <c r="O582" i="18"/>
  <c r="P582" i="18" s="1"/>
  <c r="F582" i="18"/>
  <c r="Q582" i="18"/>
  <c r="R582" i="18" s="1"/>
  <c r="D582" i="18"/>
  <c r="E582" i="18"/>
  <c r="S582" i="18"/>
  <c r="I582" i="18"/>
  <c r="K582" i="18"/>
  <c r="L582" i="18" s="1"/>
  <c r="G582" i="18"/>
  <c r="C582" i="18"/>
  <c r="E200" i="17"/>
  <c r="O200" i="17"/>
  <c r="P200" i="17" s="1"/>
  <c r="M200" i="17"/>
  <c r="N200" i="17" s="1"/>
  <c r="D200" i="17"/>
  <c r="K200" i="17"/>
  <c r="L200" i="17" s="1"/>
  <c r="F200" i="17"/>
  <c r="Q200" i="17"/>
  <c r="R200" i="17" s="1"/>
  <c r="H200" i="17"/>
  <c r="J201" i="17" s="1"/>
  <c r="I200" i="17"/>
  <c r="S200" i="17"/>
  <c r="G200" i="17"/>
  <c r="C200" i="17"/>
  <c r="B583" i="18" l="1"/>
  <c r="K583" i="18" s="1"/>
  <c r="L583" i="18" s="1"/>
  <c r="B201" i="17"/>
  <c r="H583" i="18" l="1"/>
  <c r="J584" i="18" s="1"/>
  <c r="D583" i="18"/>
  <c r="F583" i="18"/>
  <c r="M583" i="18"/>
  <c r="N583" i="18" s="1"/>
  <c r="S583" i="18"/>
  <c r="C583" i="18"/>
  <c r="G583" i="18"/>
  <c r="E583" i="18"/>
  <c r="Q583" i="18"/>
  <c r="R583" i="18" s="1"/>
  <c r="O583" i="18"/>
  <c r="P583" i="18" s="1"/>
  <c r="I583" i="18"/>
  <c r="K201" i="17"/>
  <c r="L201" i="17" s="1"/>
  <c r="O201" i="17"/>
  <c r="P201" i="17" s="1"/>
  <c r="H201" i="17"/>
  <c r="J202" i="17" s="1"/>
  <c r="M201" i="17"/>
  <c r="N201" i="17" s="1"/>
  <c r="C201" i="17"/>
  <c r="Q201" i="17"/>
  <c r="R201" i="17" s="1"/>
  <c r="S201" i="17"/>
  <c r="E201" i="17"/>
  <c r="F201" i="17"/>
  <c r="G201" i="17"/>
  <c r="I201" i="17"/>
  <c r="D201" i="17"/>
  <c r="B584" i="18" l="1"/>
  <c r="B202" i="17"/>
  <c r="O584" i="18" l="1"/>
  <c r="P584" i="18" s="1"/>
  <c r="C584" i="18"/>
  <c r="M584" i="18"/>
  <c r="N584" i="18" s="1"/>
  <c r="H584" i="18"/>
  <c r="J585" i="18" s="1"/>
  <c r="K584" i="18"/>
  <c r="L584" i="18" s="1"/>
  <c r="Q584" i="18"/>
  <c r="R584" i="18" s="1"/>
  <c r="F584" i="18"/>
  <c r="S584" i="18"/>
  <c r="D584" i="18"/>
  <c r="G584" i="18"/>
  <c r="I584" i="18"/>
  <c r="E584" i="18"/>
  <c r="S202" i="17"/>
  <c r="M202" i="17"/>
  <c r="N202" i="17" s="1"/>
  <c r="K202" i="17"/>
  <c r="L202" i="17" s="1"/>
  <c r="F202" i="17"/>
  <c r="I202" i="17"/>
  <c r="C202" i="17"/>
  <c r="H202" i="17"/>
  <c r="J203" i="17" s="1"/>
  <c r="E202" i="17"/>
  <c r="O202" i="17"/>
  <c r="P202" i="17" s="1"/>
  <c r="G202" i="17"/>
  <c r="Q202" i="17"/>
  <c r="R202" i="17" s="1"/>
  <c r="D202" i="17"/>
  <c r="B585" i="18" l="1"/>
  <c r="B203" i="17"/>
  <c r="Q585" i="18" l="1"/>
  <c r="R585" i="18" s="1"/>
  <c r="O585" i="18"/>
  <c r="P585" i="18" s="1"/>
  <c r="K585" i="18"/>
  <c r="L585" i="18" s="1"/>
  <c r="C585" i="18"/>
  <c r="S585" i="18"/>
  <c r="G585" i="18"/>
  <c r="E585" i="18"/>
  <c r="F585" i="18"/>
  <c r="H585" i="18"/>
  <c r="J586" i="18" s="1"/>
  <c r="I585" i="18"/>
  <c r="M585" i="18"/>
  <c r="N585" i="18" s="1"/>
  <c r="D585" i="18"/>
  <c r="G203" i="17"/>
  <c r="S203" i="17"/>
  <c r="C203" i="17"/>
  <c r="F203" i="17"/>
  <c r="K203" i="17"/>
  <c r="L203" i="17" s="1"/>
  <c r="M203" i="17"/>
  <c r="N203" i="17" s="1"/>
  <c r="Q203" i="17"/>
  <c r="R203" i="17" s="1"/>
  <c r="D203" i="17"/>
  <c r="E203" i="17"/>
  <c r="H203" i="17"/>
  <c r="J204" i="17" s="1"/>
  <c r="O203" i="17"/>
  <c r="P203" i="17" s="1"/>
  <c r="I203" i="17"/>
  <c r="B586" i="18" l="1"/>
  <c r="B204" i="17"/>
  <c r="H586" i="18" l="1"/>
  <c r="J587" i="18" s="1"/>
  <c r="K586" i="18"/>
  <c r="L586" i="18" s="1"/>
  <c r="G586" i="18"/>
  <c r="S586" i="18"/>
  <c r="C586" i="18"/>
  <c r="M586" i="18"/>
  <c r="N586" i="18" s="1"/>
  <c r="F586" i="18"/>
  <c r="O586" i="18"/>
  <c r="P586" i="18" s="1"/>
  <c r="I586" i="18"/>
  <c r="E586" i="18"/>
  <c r="Q586" i="18"/>
  <c r="R586" i="18" s="1"/>
  <c r="D586" i="18"/>
  <c r="G204" i="17"/>
  <c r="S204" i="17"/>
  <c r="C204" i="17"/>
  <c r="K204" i="17"/>
  <c r="L204" i="17" s="1"/>
  <c r="F204" i="17"/>
  <c r="M204" i="17"/>
  <c r="N204" i="17" s="1"/>
  <c r="O204" i="17"/>
  <c r="P204" i="17" s="1"/>
  <c r="Q204" i="17"/>
  <c r="R204" i="17" s="1"/>
  <c r="H204" i="17"/>
  <c r="J205" i="17" s="1"/>
  <c r="E204" i="17"/>
  <c r="I204" i="17"/>
  <c r="D204" i="17"/>
  <c r="B587" i="18" l="1"/>
  <c r="B205" i="17"/>
  <c r="D587" i="18" l="1"/>
  <c r="O587" i="18"/>
  <c r="P587" i="18" s="1"/>
  <c r="E587" i="18"/>
  <c r="C587" i="18"/>
  <c r="S587" i="18"/>
  <c r="Q587" i="18"/>
  <c r="R587" i="18" s="1"/>
  <c r="G587" i="18"/>
  <c r="K587" i="18"/>
  <c r="L587" i="18" s="1"/>
  <c r="H587" i="18"/>
  <c r="J588" i="18" s="1"/>
  <c r="I587" i="18"/>
  <c r="F587" i="18"/>
  <c r="M587" i="18"/>
  <c r="N587" i="18" s="1"/>
  <c r="D205" i="17"/>
  <c r="E205" i="17"/>
  <c r="K205" i="17"/>
  <c r="L205" i="17" s="1"/>
  <c r="F205" i="17"/>
  <c r="H205" i="17"/>
  <c r="J206" i="17" s="1"/>
  <c r="O205" i="17"/>
  <c r="P205" i="17" s="1"/>
  <c r="I205" i="17"/>
  <c r="C205" i="17"/>
  <c r="G205" i="17"/>
  <c r="Q205" i="17"/>
  <c r="R205" i="17" s="1"/>
  <c r="S205" i="17"/>
  <c r="M205" i="17"/>
  <c r="N205" i="17" s="1"/>
  <c r="B588" i="18" l="1"/>
  <c r="B206" i="17"/>
  <c r="F588" i="18" l="1"/>
  <c r="C588" i="18"/>
  <c r="K588" i="18"/>
  <c r="L588" i="18" s="1"/>
  <c r="Q588" i="18"/>
  <c r="R588" i="18" s="1"/>
  <c r="O588" i="18"/>
  <c r="P588" i="18" s="1"/>
  <c r="E588" i="18"/>
  <c r="G588" i="18"/>
  <c r="H588" i="18"/>
  <c r="J589" i="18" s="1"/>
  <c r="I588" i="18"/>
  <c r="M588" i="18"/>
  <c r="N588" i="18" s="1"/>
  <c r="S588" i="18"/>
  <c r="D588" i="18"/>
  <c r="M206" i="17"/>
  <c r="N206" i="17" s="1"/>
  <c r="E206" i="17"/>
  <c r="Q206" i="17"/>
  <c r="R206" i="17" s="1"/>
  <c r="D206" i="17"/>
  <c r="I206" i="17"/>
  <c r="H206" i="17"/>
  <c r="J207" i="17" s="1"/>
  <c r="G206" i="17"/>
  <c r="K206" i="17"/>
  <c r="L206" i="17" s="1"/>
  <c r="C206" i="17"/>
  <c r="S206" i="17"/>
  <c r="O206" i="17"/>
  <c r="P206" i="17" s="1"/>
  <c r="F206" i="17"/>
  <c r="B589" i="18" l="1"/>
  <c r="M589" i="18" s="1"/>
  <c r="N589" i="18" s="1"/>
  <c r="I589" i="18"/>
  <c r="C589" i="18"/>
  <c r="F589" i="18"/>
  <c r="E589" i="18"/>
  <c r="H589" i="18"/>
  <c r="J590" i="18" s="1"/>
  <c r="Q589" i="18"/>
  <c r="R589" i="18" s="1"/>
  <c r="O589" i="18"/>
  <c r="P589" i="18" s="1"/>
  <c r="K589" i="18"/>
  <c r="L589" i="18" s="1"/>
  <c r="D589" i="18"/>
  <c r="B207" i="17"/>
  <c r="D207" i="17" s="1"/>
  <c r="G589" i="18" l="1"/>
  <c r="S589" i="18"/>
  <c r="B590" i="18"/>
  <c r="D590" i="18" s="1"/>
  <c r="O207" i="17"/>
  <c r="P207" i="17" s="1"/>
  <c r="M207" i="17"/>
  <c r="N207" i="17" s="1"/>
  <c r="C207" i="17"/>
  <c r="E207" i="17"/>
  <c r="S207" i="17"/>
  <c r="G207" i="17"/>
  <c r="F207" i="17"/>
  <c r="I207" i="17"/>
  <c r="K207" i="17"/>
  <c r="L207" i="17" s="1"/>
  <c r="Q207" i="17"/>
  <c r="R207" i="17" s="1"/>
  <c r="H207" i="17"/>
  <c r="J208" i="17" s="1"/>
  <c r="F590" i="18" l="1"/>
  <c r="H590" i="18"/>
  <c r="J591" i="18" s="1"/>
  <c r="G590" i="18"/>
  <c r="S590" i="18"/>
  <c r="I590" i="18"/>
  <c r="E590" i="18"/>
  <c r="C590" i="18"/>
  <c r="Q590" i="18"/>
  <c r="R590" i="18" s="1"/>
  <c r="O590" i="18"/>
  <c r="P590" i="18" s="1"/>
  <c r="K590" i="18"/>
  <c r="L590" i="18" s="1"/>
  <c r="M590" i="18"/>
  <c r="N590" i="18" s="1"/>
  <c r="B208" i="17"/>
  <c r="B591" i="18" l="1"/>
  <c r="D591" i="18" s="1"/>
  <c r="F591" i="18"/>
  <c r="I591" i="18"/>
  <c r="S591" i="18"/>
  <c r="C591" i="18"/>
  <c r="O591" i="18"/>
  <c r="P591" i="18" s="1"/>
  <c r="E591" i="18"/>
  <c r="G591" i="18"/>
  <c r="H591" i="18"/>
  <c r="J592" i="18" s="1"/>
  <c r="M591" i="18"/>
  <c r="N591" i="18" s="1"/>
  <c r="K591" i="18"/>
  <c r="L591" i="18" s="1"/>
  <c r="Q591" i="18"/>
  <c r="R591" i="18" s="1"/>
  <c r="H208" i="17"/>
  <c r="J209" i="17" s="1"/>
  <c r="D208" i="17"/>
  <c r="E208" i="17"/>
  <c r="M208" i="17"/>
  <c r="N208" i="17" s="1"/>
  <c r="I208" i="17"/>
  <c r="K208" i="17"/>
  <c r="L208" i="17" s="1"/>
  <c r="C208" i="17"/>
  <c r="Q208" i="17"/>
  <c r="R208" i="17" s="1"/>
  <c r="G208" i="17"/>
  <c r="S208" i="17"/>
  <c r="O208" i="17"/>
  <c r="P208" i="17" s="1"/>
  <c r="F208" i="17"/>
  <c r="B592" i="18" l="1"/>
  <c r="D592" i="18" s="1"/>
  <c r="B209" i="17"/>
  <c r="C209" i="17" s="1"/>
  <c r="M592" i="18" l="1"/>
  <c r="N592" i="18" s="1"/>
  <c r="K592" i="18"/>
  <c r="L592" i="18" s="1"/>
  <c r="I592" i="18"/>
  <c r="E592" i="18"/>
  <c r="Q592" i="18"/>
  <c r="R592" i="18" s="1"/>
  <c r="G592" i="18"/>
  <c r="F592" i="18"/>
  <c r="S592" i="18"/>
  <c r="C592" i="18"/>
  <c r="O592" i="18"/>
  <c r="P592" i="18" s="1"/>
  <c r="B593" i="18" s="1"/>
  <c r="H592" i="18"/>
  <c r="J593" i="18" s="1"/>
  <c r="E209" i="17"/>
  <c r="Q209" i="17"/>
  <c r="R209" i="17" s="1"/>
  <c r="M209" i="17"/>
  <c r="N209" i="17" s="1"/>
  <c r="F209" i="17"/>
  <c r="I209" i="17"/>
  <c r="S209" i="17"/>
  <c r="H209" i="17"/>
  <c r="J210" i="17" s="1"/>
  <c r="O209" i="17"/>
  <c r="P209" i="17" s="1"/>
  <c r="G209" i="17"/>
  <c r="D209" i="17"/>
  <c r="K209" i="17"/>
  <c r="L209" i="17" s="1"/>
  <c r="D593" i="18" l="1"/>
  <c r="M593" i="18"/>
  <c r="N593" i="18" s="1"/>
  <c r="I593" i="18"/>
  <c r="O593" i="18"/>
  <c r="P593" i="18" s="1"/>
  <c r="H593" i="18"/>
  <c r="J594" i="18" s="1"/>
  <c r="K593" i="18"/>
  <c r="L593" i="18" s="1"/>
  <c r="Q593" i="18"/>
  <c r="R593" i="18" s="1"/>
  <c r="F593" i="18"/>
  <c r="G593" i="18"/>
  <c r="E593" i="18"/>
  <c r="C593" i="18"/>
  <c r="S593" i="18"/>
  <c r="B210" i="17"/>
  <c r="I210" i="17" s="1"/>
  <c r="B594" i="18" l="1"/>
  <c r="D594" i="18" s="1"/>
  <c r="C594" i="18"/>
  <c r="F594" i="18"/>
  <c r="Q594" i="18"/>
  <c r="R594" i="18" s="1"/>
  <c r="O594" i="18"/>
  <c r="P594" i="18" s="1"/>
  <c r="H594" i="18"/>
  <c r="J595" i="18" s="1"/>
  <c r="G594" i="18"/>
  <c r="K594" i="18"/>
  <c r="L594" i="18" s="1"/>
  <c r="E210" i="17"/>
  <c r="G210" i="17"/>
  <c r="Q210" i="17"/>
  <c r="R210" i="17" s="1"/>
  <c r="D210" i="17"/>
  <c r="S210" i="17"/>
  <c r="C210" i="17"/>
  <c r="K210" i="17"/>
  <c r="L210" i="17" s="1"/>
  <c r="F210" i="17"/>
  <c r="O210" i="17"/>
  <c r="P210" i="17" s="1"/>
  <c r="M210" i="17"/>
  <c r="N210" i="17" s="1"/>
  <c r="H210" i="17"/>
  <c r="J211" i="17" s="1"/>
  <c r="I594" i="18" l="1"/>
  <c r="E594" i="18"/>
  <c r="S594" i="18"/>
  <c r="M594" i="18"/>
  <c r="N594" i="18" s="1"/>
  <c r="B595" i="18"/>
  <c r="S595" i="18" s="1"/>
  <c r="D595" i="18"/>
  <c r="E595" i="18"/>
  <c r="K595" i="18"/>
  <c r="L595" i="18" s="1"/>
  <c r="F595" i="18"/>
  <c r="H595" i="18"/>
  <c r="J596" i="18" s="1"/>
  <c r="B211" i="17"/>
  <c r="C595" i="18" l="1"/>
  <c r="O595" i="18"/>
  <c r="P595" i="18" s="1"/>
  <c r="Q595" i="18"/>
  <c r="R595" i="18" s="1"/>
  <c r="M595" i="18"/>
  <c r="N595" i="18" s="1"/>
  <c r="G595" i="18"/>
  <c r="I595" i="18"/>
  <c r="D211" i="17"/>
  <c r="C211" i="17"/>
  <c r="H211" i="17"/>
  <c r="J212" i="17" s="1"/>
  <c r="I211" i="17"/>
  <c r="M211" i="17"/>
  <c r="N211" i="17" s="1"/>
  <c r="K211" i="17"/>
  <c r="L211" i="17" s="1"/>
  <c r="O211" i="17"/>
  <c r="P211" i="17" s="1"/>
  <c r="G211" i="17"/>
  <c r="S211" i="17"/>
  <c r="E211" i="17"/>
  <c r="Q211" i="17"/>
  <c r="R211" i="17" s="1"/>
  <c r="F211" i="17"/>
  <c r="B596" i="18" l="1"/>
  <c r="I596" i="18" s="1"/>
  <c r="M596" i="18"/>
  <c r="N596" i="18" s="1"/>
  <c r="B212" i="17"/>
  <c r="D212" i="17" s="1"/>
  <c r="Q596" i="18" l="1"/>
  <c r="R596" i="18" s="1"/>
  <c r="S596" i="18"/>
  <c r="O596" i="18"/>
  <c r="P596" i="18" s="1"/>
  <c r="B597" i="18" s="1"/>
  <c r="H596" i="18"/>
  <c r="J597" i="18" s="1"/>
  <c r="K596" i="18"/>
  <c r="L596" i="18" s="1"/>
  <c r="E596" i="18"/>
  <c r="C596" i="18"/>
  <c r="D596" i="18"/>
  <c r="F596" i="18"/>
  <c r="G596" i="18"/>
  <c r="G212" i="17"/>
  <c r="Q212" i="17"/>
  <c r="R212" i="17" s="1"/>
  <c r="F212" i="17"/>
  <c r="E212" i="17"/>
  <c r="H212" i="17"/>
  <c r="J213" i="17" s="1"/>
  <c r="C212" i="17"/>
  <c r="M212" i="17"/>
  <c r="N212" i="17" s="1"/>
  <c r="S212" i="17"/>
  <c r="I212" i="17"/>
  <c r="K212" i="17"/>
  <c r="L212" i="17" s="1"/>
  <c r="O212" i="17"/>
  <c r="P212" i="17" s="1"/>
  <c r="D597" i="18" l="1"/>
  <c r="O597" i="18"/>
  <c r="P597" i="18" s="1"/>
  <c r="E597" i="18"/>
  <c r="Q597" i="18"/>
  <c r="R597" i="18" s="1"/>
  <c r="I597" i="18"/>
  <c r="F597" i="18"/>
  <c r="K597" i="18"/>
  <c r="L597" i="18" s="1"/>
  <c r="H597" i="18"/>
  <c r="J598" i="18" s="1"/>
  <c r="G597" i="18"/>
  <c r="M597" i="18"/>
  <c r="N597" i="18" s="1"/>
  <c r="C597" i="18"/>
  <c r="S597" i="18"/>
  <c r="B213" i="17"/>
  <c r="B598" i="18" l="1"/>
  <c r="D598" i="18"/>
  <c r="G598" i="18"/>
  <c r="E598" i="18"/>
  <c r="F598" i="18"/>
  <c r="I598" i="18"/>
  <c r="M598" i="18"/>
  <c r="N598" i="18" s="1"/>
  <c r="Q598" i="18"/>
  <c r="R598" i="18" s="1"/>
  <c r="H598" i="18"/>
  <c r="J599" i="18" s="1"/>
  <c r="K598" i="18"/>
  <c r="L598" i="18" s="1"/>
  <c r="O598" i="18"/>
  <c r="P598" i="18" s="1"/>
  <c r="S598" i="18"/>
  <c r="C598" i="18"/>
  <c r="H213" i="17"/>
  <c r="J214" i="17" s="1"/>
  <c r="I213" i="17"/>
  <c r="G213" i="17"/>
  <c r="S213" i="17"/>
  <c r="M213" i="17"/>
  <c r="N213" i="17" s="1"/>
  <c r="C213" i="17"/>
  <c r="O213" i="17"/>
  <c r="P213" i="17" s="1"/>
  <c r="K213" i="17"/>
  <c r="L213" i="17" s="1"/>
  <c r="F213" i="17"/>
  <c r="E213" i="17"/>
  <c r="Q213" i="17"/>
  <c r="R213" i="17" s="1"/>
  <c r="D213" i="17"/>
  <c r="B599" i="18" l="1"/>
  <c r="H599" i="18" s="1"/>
  <c r="J600" i="18" s="1"/>
  <c r="D599" i="18"/>
  <c r="M599" i="18"/>
  <c r="N599" i="18" s="1"/>
  <c r="Q599" i="18"/>
  <c r="R599" i="18" s="1"/>
  <c r="K599" i="18"/>
  <c r="L599" i="18" s="1"/>
  <c r="C599" i="18"/>
  <c r="E599" i="18"/>
  <c r="O599" i="18"/>
  <c r="P599" i="18" s="1"/>
  <c r="F599" i="18"/>
  <c r="G599" i="18"/>
  <c r="I599" i="18"/>
  <c r="S599" i="18"/>
  <c r="B214" i="17"/>
  <c r="B600" i="18" l="1"/>
  <c r="F600" i="18"/>
  <c r="C600" i="18"/>
  <c r="D600" i="18"/>
  <c r="H600" i="18"/>
  <c r="J601" i="18" s="1"/>
  <c r="K600" i="18"/>
  <c r="L600" i="18" s="1"/>
  <c r="E600" i="18"/>
  <c r="M600" i="18"/>
  <c r="N600" i="18" s="1"/>
  <c r="S600" i="18"/>
  <c r="Q600" i="18"/>
  <c r="R600" i="18" s="1"/>
  <c r="I600" i="18"/>
  <c r="O600" i="18"/>
  <c r="P600" i="18" s="1"/>
  <c r="G600" i="18"/>
  <c r="Q214" i="17"/>
  <c r="R214" i="17" s="1"/>
  <c r="M214" i="17"/>
  <c r="N214" i="17" s="1"/>
  <c r="D214" i="17"/>
  <c r="K214" i="17"/>
  <c r="L214" i="17" s="1"/>
  <c r="O214" i="17"/>
  <c r="P214" i="17" s="1"/>
  <c r="G214" i="17"/>
  <c r="S214" i="17"/>
  <c r="C214" i="17"/>
  <c r="I214" i="17"/>
  <c r="E214" i="17"/>
  <c r="H214" i="17"/>
  <c r="J215" i="17" s="1"/>
  <c r="F214" i="17"/>
  <c r="B601" i="18" l="1"/>
  <c r="K601" i="18"/>
  <c r="L601" i="18" s="1"/>
  <c r="E601" i="18"/>
  <c r="C601" i="18"/>
  <c r="M601" i="18"/>
  <c r="N601" i="18" s="1"/>
  <c r="O601" i="18"/>
  <c r="P601" i="18" s="1"/>
  <c r="F601" i="18"/>
  <c r="Q601" i="18"/>
  <c r="R601" i="18" s="1"/>
  <c r="I601" i="18"/>
  <c r="D601" i="18"/>
  <c r="H601" i="18"/>
  <c r="J602" i="18" s="1"/>
  <c r="G601" i="18"/>
  <c r="S601" i="18"/>
  <c r="B215" i="17"/>
  <c r="B602" i="18" l="1"/>
  <c r="G602" i="18" s="1"/>
  <c r="D602" i="18"/>
  <c r="E602" i="18"/>
  <c r="H602" i="18"/>
  <c r="J603" i="18" s="1"/>
  <c r="K602" i="18"/>
  <c r="L602" i="18" s="1"/>
  <c r="C602" i="18"/>
  <c r="I602" i="18"/>
  <c r="S602" i="18"/>
  <c r="F602" i="18"/>
  <c r="Q602" i="18"/>
  <c r="R602" i="18" s="1"/>
  <c r="M602" i="18"/>
  <c r="N602" i="18" s="1"/>
  <c r="O602" i="18"/>
  <c r="P602" i="18" s="1"/>
  <c r="M215" i="17"/>
  <c r="N215" i="17" s="1"/>
  <c r="F215" i="17"/>
  <c r="O215" i="17"/>
  <c r="P215" i="17" s="1"/>
  <c r="G215" i="17"/>
  <c r="I215" i="17"/>
  <c r="S215" i="17"/>
  <c r="K215" i="17"/>
  <c r="L215" i="17" s="1"/>
  <c r="H215" i="17"/>
  <c r="J216" i="17" s="1"/>
  <c r="E215" i="17"/>
  <c r="Q215" i="17"/>
  <c r="R215" i="17" s="1"/>
  <c r="C215" i="17"/>
  <c r="D215" i="17"/>
  <c r="B603" i="18" l="1"/>
  <c r="B216" i="17"/>
  <c r="S603" i="18" l="1"/>
  <c r="G603" i="18"/>
  <c r="M603" i="18"/>
  <c r="N603" i="18" s="1"/>
  <c r="E603" i="18"/>
  <c r="Q603" i="18"/>
  <c r="R603" i="18" s="1"/>
  <c r="I603" i="18"/>
  <c r="F603" i="18"/>
  <c r="C603" i="18"/>
  <c r="O603" i="18"/>
  <c r="P603" i="18" s="1"/>
  <c r="B604" i="18" s="1"/>
  <c r="O604" i="18" s="1"/>
  <c r="P604" i="18" s="1"/>
  <c r="D603" i="18"/>
  <c r="H603" i="18"/>
  <c r="J604" i="18" s="1"/>
  <c r="K603" i="18"/>
  <c r="L603" i="18" s="1"/>
  <c r="F216" i="17"/>
  <c r="Q216" i="17"/>
  <c r="R216" i="17" s="1"/>
  <c r="O216" i="17"/>
  <c r="P216" i="17" s="1"/>
  <c r="H216" i="17"/>
  <c r="J217" i="17" s="1"/>
  <c r="C216" i="17"/>
  <c r="S216" i="17"/>
  <c r="I216" i="17"/>
  <c r="K216" i="17"/>
  <c r="L216" i="17" s="1"/>
  <c r="G216" i="17"/>
  <c r="D216" i="17"/>
  <c r="E216" i="17"/>
  <c r="M216" i="17"/>
  <c r="N216" i="17" s="1"/>
  <c r="S604" i="18" l="1"/>
  <c r="Q604" i="18"/>
  <c r="R604" i="18" s="1"/>
  <c r="I604" i="18"/>
  <c r="H604" i="18"/>
  <c r="J605" i="18" s="1"/>
  <c r="E604" i="18"/>
  <c r="F604" i="18"/>
  <c r="M604" i="18"/>
  <c r="N604" i="18" s="1"/>
  <c r="D604" i="18"/>
  <c r="G604" i="18"/>
  <c r="C604" i="18"/>
  <c r="K604" i="18"/>
  <c r="L604" i="18" s="1"/>
  <c r="B605" i="18"/>
  <c r="B217" i="17"/>
  <c r="D605" i="18" l="1"/>
  <c r="S605" i="18"/>
  <c r="C605" i="18"/>
  <c r="G605" i="18"/>
  <c r="Q605" i="18"/>
  <c r="R605" i="18" s="1"/>
  <c r="E605" i="18"/>
  <c r="M605" i="18"/>
  <c r="N605" i="18" s="1"/>
  <c r="F605" i="18"/>
  <c r="O605" i="18"/>
  <c r="P605" i="18" s="1"/>
  <c r="K605" i="18"/>
  <c r="L605" i="18" s="1"/>
  <c r="I605" i="18"/>
  <c r="H605" i="18"/>
  <c r="J606" i="18" s="1"/>
  <c r="G217" i="17"/>
  <c r="H217" i="17"/>
  <c r="J218" i="17" s="1"/>
  <c r="E217" i="17"/>
  <c r="K217" i="17"/>
  <c r="L217" i="17" s="1"/>
  <c r="S217" i="17"/>
  <c r="O217" i="17"/>
  <c r="P217" i="17" s="1"/>
  <c r="C217" i="17"/>
  <c r="Q217" i="17"/>
  <c r="R217" i="17" s="1"/>
  <c r="I217" i="17"/>
  <c r="M217" i="17"/>
  <c r="N217" i="17" s="1"/>
  <c r="D217" i="17"/>
  <c r="F217" i="17"/>
  <c r="B606" i="18" l="1"/>
  <c r="M606" i="18" s="1"/>
  <c r="N606" i="18" s="1"/>
  <c r="B218" i="17"/>
  <c r="K606" i="18" l="1"/>
  <c r="L606" i="18" s="1"/>
  <c r="C606" i="18"/>
  <c r="F606" i="18"/>
  <c r="Q606" i="18"/>
  <c r="R606" i="18" s="1"/>
  <c r="I606" i="18"/>
  <c r="O606" i="18"/>
  <c r="P606" i="18" s="1"/>
  <c r="E606" i="18"/>
  <c r="D606" i="18"/>
  <c r="H606" i="18"/>
  <c r="J607" i="18" s="1"/>
  <c r="S606" i="18"/>
  <c r="G606" i="18"/>
  <c r="G218" i="17"/>
  <c r="H218" i="17"/>
  <c r="J219" i="17" s="1"/>
  <c r="E218" i="17"/>
  <c r="Q218" i="17"/>
  <c r="R218" i="17" s="1"/>
  <c r="C218" i="17"/>
  <c r="F218" i="17"/>
  <c r="I218" i="17"/>
  <c r="O218" i="17"/>
  <c r="P218" i="17" s="1"/>
  <c r="M218" i="17"/>
  <c r="N218" i="17" s="1"/>
  <c r="S218" i="17"/>
  <c r="K218" i="17"/>
  <c r="L218" i="17" s="1"/>
  <c r="D218" i="17"/>
  <c r="B607" i="18" l="1"/>
  <c r="M607" i="18" s="1"/>
  <c r="N607" i="18" s="1"/>
  <c r="B219" i="17"/>
  <c r="S607" i="18" l="1"/>
  <c r="K607" i="18"/>
  <c r="L607" i="18" s="1"/>
  <c r="O607" i="18"/>
  <c r="P607" i="18" s="1"/>
  <c r="Q607" i="18"/>
  <c r="R607" i="18" s="1"/>
  <c r="I607" i="18"/>
  <c r="F607" i="18"/>
  <c r="E607" i="18"/>
  <c r="G607" i="18"/>
  <c r="H607" i="18"/>
  <c r="J608" i="18" s="1"/>
  <c r="C607" i="18"/>
  <c r="D607" i="18"/>
  <c r="C219" i="17"/>
  <c r="H219" i="17"/>
  <c r="J220" i="17" s="1"/>
  <c r="Q219" i="17"/>
  <c r="R219" i="17" s="1"/>
  <c r="G219" i="17"/>
  <c r="S219" i="17"/>
  <c r="E219" i="17"/>
  <c r="O219" i="17"/>
  <c r="P219" i="17" s="1"/>
  <c r="K219" i="17"/>
  <c r="L219" i="17" s="1"/>
  <c r="F219" i="17"/>
  <c r="D219" i="17"/>
  <c r="M219" i="17"/>
  <c r="N219" i="17" s="1"/>
  <c r="I219" i="17"/>
  <c r="B608" i="18" l="1"/>
  <c r="G608" i="18" s="1"/>
  <c r="B220" i="17"/>
  <c r="G220" i="17" s="1"/>
  <c r="D608" i="18" l="1"/>
  <c r="I608" i="18"/>
  <c r="E608" i="18"/>
  <c r="S608" i="18"/>
  <c r="O608" i="18"/>
  <c r="P608" i="18" s="1"/>
  <c r="M608" i="18"/>
  <c r="N608" i="18" s="1"/>
  <c r="C608" i="18"/>
  <c r="F608" i="18"/>
  <c r="K608" i="18"/>
  <c r="L608" i="18" s="1"/>
  <c r="H608" i="18"/>
  <c r="J609" i="18" s="1"/>
  <c r="Q608" i="18"/>
  <c r="R608" i="18" s="1"/>
  <c r="H220" i="17"/>
  <c r="J221" i="17" s="1"/>
  <c r="C220" i="17"/>
  <c r="E220" i="17"/>
  <c r="O220" i="17"/>
  <c r="P220" i="17" s="1"/>
  <c r="M220" i="17"/>
  <c r="N220" i="17" s="1"/>
  <c r="K220" i="17"/>
  <c r="L220" i="17" s="1"/>
  <c r="I220" i="17"/>
  <c r="Q220" i="17"/>
  <c r="R220" i="17" s="1"/>
  <c r="D220" i="17"/>
  <c r="S220" i="17"/>
  <c r="F220" i="17"/>
  <c r="B609" i="18" l="1"/>
  <c r="Q609" i="18" s="1"/>
  <c r="R609" i="18" s="1"/>
  <c r="B221" i="17"/>
  <c r="F221" i="17" s="1"/>
  <c r="M609" i="18" l="1"/>
  <c r="N609" i="18" s="1"/>
  <c r="K609" i="18"/>
  <c r="L609" i="18" s="1"/>
  <c r="G609" i="18"/>
  <c r="H609" i="18"/>
  <c r="J610" i="18" s="1"/>
  <c r="F609" i="18"/>
  <c r="E609" i="18"/>
  <c r="I609" i="18"/>
  <c r="C609" i="18"/>
  <c r="S609" i="18"/>
  <c r="O609" i="18"/>
  <c r="P609" i="18" s="1"/>
  <c r="B610" i="18" s="1"/>
  <c r="K610" i="18" s="1"/>
  <c r="L610" i="18" s="1"/>
  <c r="D609" i="18"/>
  <c r="O221" i="17"/>
  <c r="P221" i="17" s="1"/>
  <c r="E221" i="17"/>
  <c r="I221" i="17"/>
  <c r="G221" i="17"/>
  <c r="D221" i="17"/>
  <c r="S221" i="17"/>
  <c r="Q221" i="17"/>
  <c r="R221" i="17" s="1"/>
  <c r="M221" i="17"/>
  <c r="N221" i="17" s="1"/>
  <c r="C221" i="17"/>
  <c r="H221" i="17"/>
  <c r="J222" i="17" s="1"/>
  <c r="K221" i="17"/>
  <c r="L221" i="17" s="1"/>
  <c r="S610" i="18" l="1"/>
  <c r="M610" i="18"/>
  <c r="N610" i="18" s="1"/>
  <c r="H610" i="18"/>
  <c r="J611" i="18" s="1"/>
  <c r="F610" i="18"/>
  <c r="Q610" i="18"/>
  <c r="R610" i="18" s="1"/>
  <c r="D610" i="18"/>
  <c r="C610" i="18"/>
  <c r="G610" i="18"/>
  <c r="O610" i="18"/>
  <c r="P610" i="18" s="1"/>
  <c r="I610" i="18"/>
  <c r="E610" i="18"/>
  <c r="B222" i="17"/>
  <c r="B611" i="18" l="1"/>
  <c r="O611" i="18" s="1"/>
  <c r="P611" i="18" s="1"/>
  <c r="S611" i="18"/>
  <c r="D611" i="18"/>
  <c r="E611" i="18"/>
  <c r="H611" i="18"/>
  <c r="J612" i="18" s="1"/>
  <c r="F611" i="18"/>
  <c r="C611" i="18"/>
  <c r="I611" i="18"/>
  <c r="Q611" i="18"/>
  <c r="R611" i="18" s="1"/>
  <c r="B612" i="18" s="1"/>
  <c r="K611" i="18"/>
  <c r="L611" i="18" s="1"/>
  <c r="G611" i="18"/>
  <c r="M611" i="18"/>
  <c r="N611" i="18" s="1"/>
  <c r="O222" i="17"/>
  <c r="P222" i="17" s="1"/>
  <c r="Q222" i="17"/>
  <c r="R222" i="17" s="1"/>
  <c r="F222" i="17"/>
  <c r="S222" i="17"/>
  <c r="H222" i="17"/>
  <c r="J223" i="17" s="1"/>
  <c r="D222" i="17"/>
  <c r="I222" i="17"/>
  <c r="G222" i="17"/>
  <c r="K222" i="17"/>
  <c r="L222" i="17" s="1"/>
  <c r="C222" i="17"/>
  <c r="M222" i="17"/>
  <c r="N222" i="17" s="1"/>
  <c r="E222" i="17"/>
  <c r="G612" i="18" l="1"/>
  <c r="I612" i="18"/>
  <c r="K612" i="18"/>
  <c r="L612" i="18" s="1"/>
  <c r="E612" i="18"/>
  <c r="Q612" i="18"/>
  <c r="R612" i="18" s="1"/>
  <c r="S612" i="18"/>
  <c r="C612" i="18"/>
  <c r="M612" i="18"/>
  <c r="N612" i="18" s="1"/>
  <c r="O612" i="18"/>
  <c r="P612" i="18" s="1"/>
  <c r="F612" i="18"/>
  <c r="H612" i="18"/>
  <c r="J613" i="18" s="1"/>
  <c r="D612" i="18"/>
  <c r="B223" i="17"/>
  <c r="D223" i="17" s="1"/>
  <c r="B613" i="18" l="1"/>
  <c r="D613" i="18"/>
  <c r="F613" i="18"/>
  <c r="S613" i="18"/>
  <c r="H613" i="18"/>
  <c r="J614" i="18" s="1"/>
  <c r="E613" i="18"/>
  <c r="O613" i="18"/>
  <c r="P613" i="18" s="1"/>
  <c r="I613" i="18"/>
  <c r="G613" i="18"/>
  <c r="Q613" i="18"/>
  <c r="R613" i="18" s="1"/>
  <c r="M613" i="18"/>
  <c r="N613" i="18" s="1"/>
  <c r="C613" i="18"/>
  <c r="K613" i="18"/>
  <c r="L613" i="18" s="1"/>
  <c r="F223" i="17"/>
  <c r="H223" i="17"/>
  <c r="J224" i="17" s="1"/>
  <c r="O223" i="17"/>
  <c r="P223" i="17" s="1"/>
  <c r="G223" i="17"/>
  <c r="M223" i="17"/>
  <c r="N223" i="17" s="1"/>
  <c r="E223" i="17"/>
  <c r="I223" i="17"/>
  <c r="Q223" i="17"/>
  <c r="R223" i="17" s="1"/>
  <c r="K223" i="17"/>
  <c r="L223" i="17" s="1"/>
  <c r="S223" i="17"/>
  <c r="C223" i="17"/>
  <c r="B614" i="18" l="1"/>
  <c r="B224" i="17"/>
  <c r="E224" i="17" s="1"/>
  <c r="D614" i="18" l="1"/>
  <c r="O614" i="18"/>
  <c r="P614" i="18" s="1"/>
  <c r="C614" i="18"/>
  <c r="E614" i="18"/>
  <c r="K614" i="18"/>
  <c r="L614" i="18" s="1"/>
  <c r="Q614" i="18"/>
  <c r="R614" i="18" s="1"/>
  <c r="H614" i="18"/>
  <c r="J615" i="18" s="1"/>
  <c r="G614" i="18"/>
  <c r="F614" i="18"/>
  <c r="I614" i="18"/>
  <c r="M614" i="18"/>
  <c r="N614" i="18" s="1"/>
  <c r="S614" i="18"/>
  <c r="I224" i="17"/>
  <c r="G224" i="17"/>
  <c r="M224" i="17"/>
  <c r="N224" i="17" s="1"/>
  <c r="O224" i="17"/>
  <c r="P224" i="17" s="1"/>
  <c r="S224" i="17"/>
  <c r="K224" i="17"/>
  <c r="L224" i="17" s="1"/>
  <c r="D224" i="17"/>
  <c r="Q224" i="17"/>
  <c r="R224" i="17" s="1"/>
  <c r="H224" i="17"/>
  <c r="J225" i="17" s="1"/>
  <c r="C224" i="17"/>
  <c r="F224" i="17"/>
  <c r="B615" i="18" l="1"/>
  <c r="B225" i="17"/>
  <c r="M225" i="17" s="1"/>
  <c r="N225" i="17" s="1"/>
  <c r="D615" i="18" l="1"/>
  <c r="I615" i="18"/>
  <c r="C615" i="18"/>
  <c r="H615" i="18"/>
  <c r="J616" i="18" s="1"/>
  <c r="K615" i="18"/>
  <c r="L615" i="18" s="1"/>
  <c r="M615" i="18"/>
  <c r="N615" i="18" s="1"/>
  <c r="F615" i="18"/>
  <c r="O615" i="18"/>
  <c r="P615" i="18" s="1"/>
  <c r="S615" i="18"/>
  <c r="Q615" i="18"/>
  <c r="R615" i="18" s="1"/>
  <c r="E615" i="18"/>
  <c r="G615" i="18"/>
  <c r="D225" i="17"/>
  <c r="H225" i="17"/>
  <c r="J226" i="17" s="1"/>
  <c r="F225" i="17"/>
  <c r="C225" i="17"/>
  <c r="O225" i="17"/>
  <c r="P225" i="17" s="1"/>
  <c r="K225" i="17"/>
  <c r="L225" i="17" s="1"/>
  <c r="G225" i="17"/>
  <c r="I225" i="17"/>
  <c r="S225" i="17"/>
  <c r="E225" i="17"/>
  <c r="Q225" i="17"/>
  <c r="R225" i="17" s="1"/>
  <c r="B616" i="18" l="1"/>
  <c r="F616" i="18" s="1"/>
  <c r="B226" i="17"/>
  <c r="S226" i="17" s="1"/>
  <c r="K616" i="18" l="1"/>
  <c r="L616" i="18" s="1"/>
  <c r="I616" i="18"/>
  <c r="S616" i="18"/>
  <c r="C616" i="18"/>
  <c r="D616" i="18"/>
  <c r="E616" i="18"/>
  <c r="O616" i="18"/>
  <c r="P616" i="18" s="1"/>
  <c r="G616" i="18"/>
  <c r="Q616" i="18"/>
  <c r="R616" i="18" s="1"/>
  <c r="H616" i="18"/>
  <c r="J617" i="18" s="1"/>
  <c r="M616" i="18"/>
  <c r="N616" i="18" s="1"/>
  <c r="E226" i="17"/>
  <c r="K226" i="17"/>
  <c r="L226" i="17" s="1"/>
  <c r="H226" i="17"/>
  <c r="J227" i="17" s="1"/>
  <c r="F226" i="17"/>
  <c r="M226" i="17"/>
  <c r="N226" i="17" s="1"/>
  <c r="Q226" i="17"/>
  <c r="R226" i="17" s="1"/>
  <c r="I226" i="17"/>
  <c r="C226" i="17"/>
  <c r="O226" i="17"/>
  <c r="P226" i="17" s="1"/>
  <c r="G226" i="17"/>
  <c r="D226" i="17"/>
  <c r="B617" i="18" l="1"/>
  <c r="D617" i="18" s="1"/>
  <c r="B227" i="17"/>
  <c r="I227" i="17" s="1"/>
  <c r="H617" i="18" l="1"/>
  <c r="J618" i="18" s="1"/>
  <c r="K617" i="18"/>
  <c r="L617" i="18" s="1"/>
  <c r="C617" i="18"/>
  <c r="E617" i="18"/>
  <c r="M617" i="18"/>
  <c r="N617" i="18" s="1"/>
  <c r="I617" i="18"/>
  <c r="S617" i="18"/>
  <c r="Q617" i="18"/>
  <c r="R617" i="18" s="1"/>
  <c r="F617" i="18"/>
  <c r="O617" i="18"/>
  <c r="P617" i="18" s="1"/>
  <c r="G617" i="18"/>
  <c r="E227" i="17"/>
  <c r="K227" i="17"/>
  <c r="L227" i="17" s="1"/>
  <c r="O227" i="17"/>
  <c r="P227" i="17" s="1"/>
  <c r="H227" i="17"/>
  <c r="J228" i="17" s="1"/>
  <c r="G227" i="17"/>
  <c r="S227" i="17"/>
  <c r="Q227" i="17"/>
  <c r="R227" i="17" s="1"/>
  <c r="F227" i="17"/>
  <c r="M227" i="17"/>
  <c r="N227" i="17" s="1"/>
  <c r="D227" i="17"/>
  <c r="C227" i="17"/>
  <c r="X2" i="18"/>
  <c r="AD16" i="18" s="1"/>
  <c r="CB31" i="11" s="1"/>
  <c r="B618" i="18" l="1"/>
  <c r="I618" i="18" s="1"/>
  <c r="B228" i="17"/>
  <c r="F228" i="17" s="1"/>
  <c r="C228" i="17" l="1"/>
  <c r="C618" i="18"/>
  <c r="Q618" i="18"/>
  <c r="R618" i="18" s="1"/>
  <c r="D618" i="18"/>
  <c r="H618" i="18"/>
  <c r="J619" i="18" s="1"/>
  <c r="F618" i="18"/>
  <c r="E618" i="18"/>
  <c r="K618" i="18"/>
  <c r="L618" i="18" s="1"/>
  <c r="G618" i="18"/>
  <c r="S228" i="17"/>
  <c r="D228" i="17"/>
  <c r="G228" i="17"/>
  <c r="M618" i="18"/>
  <c r="N618" i="18" s="1"/>
  <c r="O618" i="18"/>
  <c r="P618" i="18" s="1"/>
  <c r="S618" i="18"/>
  <c r="E228" i="17"/>
  <c r="Q228" i="17"/>
  <c r="R228" i="17" s="1"/>
  <c r="O228" i="17"/>
  <c r="P228" i="17" s="1"/>
  <c r="M228" i="17"/>
  <c r="N228" i="17" s="1"/>
  <c r="I228" i="17"/>
  <c r="H228" i="17"/>
  <c r="J229" i="17" s="1"/>
  <c r="K228" i="17"/>
  <c r="L228" i="17" s="1"/>
  <c r="B619" i="18" l="1"/>
  <c r="F619" i="18" s="1"/>
  <c r="B229" i="17"/>
  <c r="E229" i="17" s="1"/>
  <c r="K229" i="17" l="1"/>
  <c r="L229" i="17" s="1"/>
  <c r="S229" i="17"/>
  <c r="G229" i="17"/>
  <c r="M229" i="17"/>
  <c r="N229" i="17" s="1"/>
  <c r="D229" i="17"/>
  <c r="C619" i="18"/>
  <c r="D619" i="18"/>
  <c r="G619" i="18"/>
  <c r="Q619" i="18"/>
  <c r="R619" i="18" s="1"/>
  <c r="K619" i="18"/>
  <c r="L619" i="18" s="1"/>
  <c r="O619" i="18"/>
  <c r="P619" i="18" s="1"/>
  <c r="H619" i="18"/>
  <c r="J620" i="18" s="1"/>
  <c r="S619" i="18"/>
  <c r="M619" i="18"/>
  <c r="N619" i="18" s="1"/>
  <c r="I619" i="18"/>
  <c r="E619" i="18"/>
  <c r="F229" i="17"/>
  <c r="Q229" i="17"/>
  <c r="R229" i="17" s="1"/>
  <c r="H229" i="17"/>
  <c r="J230" i="17" s="1"/>
  <c r="I229" i="17"/>
  <c r="O229" i="17"/>
  <c r="P229" i="17" s="1"/>
  <c r="C229" i="17"/>
  <c r="B620" i="18" l="1"/>
  <c r="Q620" i="18" s="1"/>
  <c r="R620" i="18" s="1"/>
  <c r="B230" i="17"/>
  <c r="S230" i="17" s="1"/>
  <c r="D230" i="17" l="1"/>
  <c r="F230" i="17"/>
  <c r="O230" i="17"/>
  <c r="P230" i="17" s="1"/>
  <c r="H230" i="17"/>
  <c r="J231" i="17" s="1"/>
  <c r="D620" i="18"/>
  <c r="C620" i="18"/>
  <c r="I620" i="18"/>
  <c r="O620" i="18"/>
  <c r="P620" i="18" s="1"/>
  <c r="B621" i="18" s="1"/>
  <c r="E620" i="18"/>
  <c r="H620" i="18"/>
  <c r="J621" i="18" s="1"/>
  <c r="S620" i="18"/>
  <c r="F620" i="18"/>
  <c r="E230" i="17"/>
  <c r="K620" i="18"/>
  <c r="L620" i="18" s="1"/>
  <c r="M620" i="18"/>
  <c r="N620" i="18" s="1"/>
  <c r="G620" i="18"/>
  <c r="C230" i="17"/>
  <c r="K230" i="17"/>
  <c r="L230" i="17" s="1"/>
  <c r="G230" i="17"/>
  <c r="Q230" i="17"/>
  <c r="R230" i="17" s="1"/>
  <c r="I230" i="17"/>
  <c r="M230" i="17"/>
  <c r="N230" i="17" s="1"/>
  <c r="B231" i="17" l="1"/>
  <c r="S231" i="17" s="1"/>
  <c r="D621" i="18"/>
  <c r="F621" i="18"/>
  <c r="Q621" i="18"/>
  <c r="R621" i="18" s="1"/>
  <c r="S621" i="18"/>
  <c r="C621" i="18"/>
  <c r="O621" i="18"/>
  <c r="P621" i="18" s="1"/>
  <c r="K621" i="18"/>
  <c r="L621" i="18" s="1"/>
  <c r="G621" i="18"/>
  <c r="I621" i="18"/>
  <c r="E621" i="18"/>
  <c r="H621" i="18"/>
  <c r="J622" i="18" s="1"/>
  <c r="M621" i="18"/>
  <c r="N621" i="18" s="1"/>
  <c r="D231" i="17"/>
  <c r="C231" i="17"/>
  <c r="Q231" i="17"/>
  <c r="R231" i="17" s="1"/>
  <c r="M231" i="17" l="1"/>
  <c r="N231" i="17" s="1"/>
  <c r="H231" i="17"/>
  <c r="J232" i="17" s="1"/>
  <c r="O231" i="17"/>
  <c r="P231" i="17" s="1"/>
  <c r="B232" i="17" s="1"/>
  <c r="G231" i="17"/>
  <c r="K231" i="17"/>
  <c r="L231" i="17" s="1"/>
  <c r="E231" i="17"/>
  <c r="F231" i="17"/>
  <c r="I231" i="17"/>
  <c r="B622" i="18"/>
  <c r="D622" i="18" s="1"/>
  <c r="E232" i="17" l="1"/>
  <c r="I622" i="18"/>
  <c r="F622" i="18"/>
  <c r="H622" i="18"/>
  <c r="J623" i="18" s="1"/>
  <c r="C622" i="18"/>
  <c r="E622" i="18"/>
  <c r="M622" i="18"/>
  <c r="N622" i="18" s="1"/>
  <c r="S622" i="18"/>
  <c r="O622" i="18"/>
  <c r="P622" i="18" s="1"/>
  <c r="Q622" i="18"/>
  <c r="R622" i="18" s="1"/>
  <c r="G622" i="18"/>
  <c r="K622" i="18"/>
  <c r="L622" i="18" s="1"/>
  <c r="M232" i="17"/>
  <c r="N232" i="17" s="1"/>
  <c r="Q232" i="17"/>
  <c r="R232" i="17" s="1"/>
  <c r="D232" i="17"/>
  <c r="O232" i="17"/>
  <c r="P232" i="17" s="1"/>
  <c r="G232" i="17"/>
  <c r="S232" i="17"/>
  <c r="C232" i="17"/>
  <c r="F232" i="17"/>
  <c r="K232" i="17"/>
  <c r="L232" i="17" s="1"/>
  <c r="H232" i="17"/>
  <c r="J233" i="17" s="1"/>
  <c r="I232" i="17"/>
  <c r="B623" i="18" l="1"/>
  <c r="D623" i="18" s="1"/>
  <c r="B233" i="17"/>
  <c r="M233" i="17" s="1"/>
  <c r="N233" i="17" s="1"/>
  <c r="O623" i="18" l="1"/>
  <c r="P623" i="18" s="1"/>
  <c r="C623" i="18"/>
  <c r="F623" i="18"/>
  <c r="H623" i="18"/>
  <c r="J624" i="18" s="1"/>
  <c r="Q623" i="18"/>
  <c r="R623" i="18" s="1"/>
  <c r="I623" i="18"/>
  <c r="G623" i="18"/>
  <c r="E623" i="18"/>
  <c r="K623" i="18"/>
  <c r="L623" i="18" s="1"/>
  <c r="M623" i="18"/>
  <c r="N623" i="18" s="1"/>
  <c r="S623" i="18"/>
  <c r="E233" i="17"/>
  <c r="O233" i="17"/>
  <c r="P233" i="17" s="1"/>
  <c r="S233" i="17"/>
  <c r="D233" i="17"/>
  <c r="G233" i="17"/>
  <c r="F233" i="17"/>
  <c r="H233" i="17"/>
  <c r="J234" i="17" s="1"/>
  <c r="Q233" i="17"/>
  <c r="R233" i="17" s="1"/>
  <c r="I233" i="17"/>
  <c r="K233" i="17"/>
  <c r="L233" i="17" s="1"/>
  <c r="C233" i="17"/>
  <c r="B624" i="18" l="1"/>
  <c r="D624" i="18"/>
  <c r="H624" i="18"/>
  <c r="J625" i="18" s="1"/>
  <c r="C624" i="18"/>
  <c r="F624" i="18"/>
  <c r="S624" i="18"/>
  <c r="G624" i="18"/>
  <c r="O624" i="18"/>
  <c r="P624" i="18" s="1"/>
  <c r="E624" i="18"/>
  <c r="Q624" i="18"/>
  <c r="R624" i="18" s="1"/>
  <c r="M624" i="18"/>
  <c r="N624" i="18" s="1"/>
  <c r="I624" i="18"/>
  <c r="K624" i="18"/>
  <c r="L624" i="18" s="1"/>
  <c r="B234" i="17"/>
  <c r="E234" i="17" s="1"/>
  <c r="B625" i="18" l="1"/>
  <c r="D625" i="18" s="1"/>
  <c r="D234" i="17"/>
  <c r="I234" i="17"/>
  <c r="M234" i="17"/>
  <c r="N234" i="17" s="1"/>
  <c r="O234" i="17"/>
  <c r="P234" i="17" s="1"/>
  <c r="H234" i="17"/>
  <c r="J235" i="17" s="1"/>
  <c r="Q234" i="17"/>
  <c r="R234" i="17" s="1"/>
  <c r="F234" i="17"/>
  <c r="S234" i="17"/>
  <c r="G234" i="17"/>
  <c r="C234" i="17"/>
  <c r="K234" i="17"/>
  <c r="L234" i="17" s="1"/>
  <c r="M625" i="18" l="1"/>
  <c r="N625" i="18" s="1"/>
  <c r="G625" i="18"/>
  <c r="H625" i="18"/>
  <c r="J626" i="18" s="1"/>
  <c r="K625" i="18"/>
  <c r="L625" i="18" s="1"/>
  <c r="I625" i="18"/>
  <c r="S625" i="18"/>
  <c r="Q625" i="18"/>
  <c r="R625" i="18" s="1"/>
  <c r="F625" i="18"/>
  <c r="E625" i="18"/>
  <c r="O625" i="18"/>
  <c r="P625" i="18" s="1"/>
  <c r="C625" i="18"/>
  <c r="B235" i="17"/>
  <c r="F235" i="17" s="1"/>
  <c r="B626" i="18" l="1"/>
  <c r="K626" i="18" s="1"/>
  <c r="L626" i="18" s="1"/>
  <c r="H235" i="17"/>
  <c r="J236" i="17" s="1"/>
  <c r="I235" i="17"/>
  <c r="Q235" i="17"/>
  <c r="R235" i="17" s="1"/>
  <c r="O235" i="17"/>
  <c r="P235" i="17" s="1"/>
  <c r="C235" i="17"/>
  <c r="G235" i="17"/>
  <c r="M235" i="17"/>
  <c r="N235" i="17" s="1"/>
  <c r="K235" i="17"/>
  <c r="L235" i="17" s="1"/>
  <c r="D235" i="17"/>
  <c r="S235" i="17"/>
  <c r="E235" i="17"/>
  <c r="G626" i="18"/>
  <c r="Q626" i="18" l="1"/>
  <c r="R626" i="18" s="1"/>
  <c r="E626" i="18"/>
  <c r="S626" i="18"/>
  <c r="I626" i="18"/>
  <c r="H626" i="18"/>
  <c r="J627" i="18" s="1"/>
  <c r="O626" i="18"/>
  <c r="P626" i="18" s="1"/>
  <c r="M626" i="18"/>
  <c r="N626" i="18" s="1"/>
  <c r="D626" i="18"/>
  <c r="C626" i="18"/>
  <c r="F626" i="18"/>
  <c r="B236" i="17"/>
  <c r="S236" i="17" s="1"/>
  <c r="B627" i="18" l="1"/>
  <c r="S627" i="18" s="1"/>
  <c r="I236" i="17"/>
  <c r="Q236" i="17"/>
  <c r="R236" i="17" s="1"/>
  <c r="G236" i="17"/>
  <c r="K236" i="17"/>
  <c r="L236" i="17" s="1"/>
  <c r="C236" i="17"/>
  <c r="E236" i="17"/>
  <c r="M236" i="17"/>
  <c r="N236" i="17" s="1"/>
  <c r="F236" i="17"/>
  <c r="O236" i="17"/>
  <c r="P236" i="17" s="1"/>
  <c r="H236" i="17"/>
  <c r="J237" i="17" s="1"/>
  <c r="D236" i="17"/>
  <c r="M627" i="18"/>
  <c r="N627" i="18" s="1"/>
  <c r="D627" i="18" l="1"/>
  <c r="O627" i="18"/>
  <c r="P627" i="18" s="1"/>
  <c r="F627" i="18"/>
  <c r="K627" i="18"/>
  <c r="L627" i="18" s="1"/>
  <c r="G627" i="18"/>
  <c r="H627" i="18"/>
  <c r="J628" i="18" s="1"/>
  <c r="I627" i="18"/>
  <c r="Q627" i="18"/>
  <c r="R627" i="18" s="1"/>
  <c r="B628" i="18" s="1"/>
  <c r="C627" i="18"/>
  <c r="E627" i="18"/>
  <c r="B237" i="17"/>
  <c r="F237" i="17" s="1"/>
  <c r="D628" i="18" l="1"/>
  <c r="O237" i="17"/>
  <c r="P237" i="17" s="1"/>
  <c r="Q237" i="17"/>
  <c r="R237" i="17" s="1"/>
  <c r="E237" i="17"/>
  <c r="G237" i="17"/>
  <c r="C237" i="17"/>
  <c r="K237" i="17"/>
  <c r="L237" i="17" s="1"/>
  <c r="D237" i="17"/>
  <c r="M237" i="17"/>
  <c r="N237" i="17" s="1"/>
  <c r="H237" i="17"/>
  <c r="J238" i="17" s="1"/>
  <c r="S237" i="17"/>
  <c r="I237" i="17"/>
  <c r="S628" i="18"/>
  <c r="F628" i="18"/>
  <c r="G628" i="18"/>
  <c r="E628" i="18"/>
  <c r="K628" i="18"/>
  <c r="L628" i="18" s="1"/>
  <c r="O628" i="18"/>
  <c r="P628" i="18" s="1"/>
  <c r="M628" i="18"/>
  <c r="N628" i="18" s="1"/>
  <c r="C628" i="18"/>
  <c r="I628" i="18"/>
  <c r="Q628" i="18"/>
  <c r="R628" i="18" s="1"/>
  <c r="H628" i="18"/>
  <c r="J629" i="18" s="1"/>
  <c r="B238" i="17" l="1"/>
  <c r="D238" i="17" s="1"/>
  <c r="B629" i="18"/>
  <c r="Q629" i="18" s="1"/>
  <c r="R629" i="18" s="1"/>
  <c r="S238" i="17" l="1"/>
  <c r="H238" i="17"/>
  <c r="J239" i="17" s="1"/>
  <c r="E238" i="17"/>
  <c r="C238" i="17"/>
  <c r="G238" i="17"/>
  <c r="F238" i="17"/>
  <c r="M238" i="17"/>
  <c r="N238" i="17" s="1"/>
  <c r="Q238" i="17"/>
  <c r="R238" i="17" s="1"/>
  <c r="O238" i="17"/>
  <c r="P238" i="17" s="1"/>
  <c r="I238" i="17"/>
  <c r="K238" i="17"/>
  <c r="L238" i="17" s="1"/>
  <c r="C629" i="18"/>
  <c r="O629" i="18"/>
  <c r="P629" i="18" s="1"/>
  <c r="B630" i="18" s="1"/>
  <c r="K629" i="18"/>
  <c r="L629" i="18" s="1"/>
  <c r="D629" i="18"/>
  <c r="H629" i="18"/>
  <c r="J630" i="18" s="1"/>
  <c r="I629" i="18"/>
  <c r="F629" i="18"/>
  <c r="G629" i="18"/>
  <c r="S629" i="18"/>
  <c r="E629" i="18"/>
  <c r="M629" i="18"/>
  <c r="N629" i="18" s="1"/>
  <c r="B239" i="17" l="1"/>
  <c r="E239" i="17" s="1"/>
  <c r="E630" i="18"/>
  <c r="F630" i="18"/>
  <c r="D630" i="18"/>
  <c r="C630" i="18"/>
  <c r="G630" i="18"/>
  <c r="K630" i="18"/>
  <c r="L630" i="18" s="1"/>
  <c r="H630" i="18"/>
  <c r="J631" i="18" s="1"/>
  <c r="M630" i="18"/>
  <c r="N630" i="18" s="1"/>
  <c r="I630" i="18"/>
  <c r="S630" i="18"/>
  <c r="Q630" i="18"/>
  <c r="R630" i="18" s="1"/>
  <c r="O630" i="18"/>
  <c r="P630" i="18" s="1"/>
  <c r="C239" i="17"/>
  <c r="H239" i="17" l="1"/>
  <c r="J240" i="17" s="1"/>
  <c r="Q239" i="17"/>
  <c r="R239" i="17" s="1"/>
  <c r="M239" i="17"/>
  <c r="N239" i="17" s="1"/>
  <c r="I239" i="17"/>
  <c r="G239" i="17"/>
  <c r="O239" i="17"/>
  <c r="P239" i="17" s="1"/>
  <c r="B240" i="17" s="1"/>
  <c r="F239" i="17"/>
  <c r="S239" i="17"/>
  <c r="K239" i="17"/>
  <c r="L239" i="17" s="1"/>
  <c r="D239" i="17"/>
  <c r="B631" i="18"/>
  <c r="S631" i="18" s="1"/>
  <c r="F631" i="18" l="1"/>
  <c r="M631" i="18"/>
  <c r="N631" i="18" s="1"/>
  <c r="K631" i="18"/>
  <c r="L631" i="18" s="1"/>
  <c r="E631" i="18"/>
  <c r="C631" i="18"/>
  <c r="I631" i="18"/>
  <c r="O631" i="18"/>
  <c r="P631" i="18" s="1"/>
  <c r="H631" i="18"/>
  <c r="J632" i="18" s="1"/>
  <c r="G631" i="18"/>
  <c r="Q631" i="18"/>
  <c r="R631" i="18" s="1"/>
  <c r="D631" i="18"/>
  <c r="D240" i="17"/>
  <c r="O240" i="17"/>
  <c r="P240" i="17" s="1"/>
  <c r="G240" i="17"/>
  <c r="I240" i="17"/>
  <c r="Q240" i="17"/>
  <c r="R240" i="17" s="1"/>
  <c r="H240" i="17"/>
  <c r="J241" i="17" s="1"/>
  <c r="S240" i="17"/>
  <c r="M240" i="17"/>
  <c r="N240" i="17" s="1"/>
  <c r="F240" i="17"/>
  <c r="K240" i="17"/>
  <c r="L240" i="17" s="1"/>
  <c r="C240" i="17"/>
  <c r="E240" i="17"/>
  <c r="B632" i="18" l="1"/>
  <c r="D632" i="18" s="1"/>
  <c r="B241" i="17"/>
  <c r="D241" i="17" s="1"/>
  <c r="M632" i="18" l="1"/>
  <c r="N632" i="18" s="1"/>
  <c r="I632" i="18"/>
  <c r="G632" i="18"/>
  <c r="O632" i="18"/>
  <c r="P632" i="18" s="1"/>
  <c r="F632" i="18"/>
  <c r="E632" i="18"/>
  <c r="K632" i="18"/>
  <c r="L632" i="18" s="1"/>
  <c r="Q632" i="18"/>
  <c r="R632" i="18" s="1"/>
  <c r="S632" i="18"/>
  <c r="C632" i="18"/>
  <c r="H632" i="18"/>
  <c r="J633" i="18" s="1"/>
  <c r="I241" i="17"/>
  <c r="C241" i="17"/>
  <c r="M241" i="17"/>
  <c r="N241" i="17" s="1"/>
  <c r="O241" i="17"/>
  <c r="P241" i="17" s="1"/>
  <c r="Q241" i="17"/>
  <c r="R241" i="17" s="1"/>
  <c r="S241" i="17"/>
  <c r="F241" i="17"/>
  <c r="H241" i="17"/>
  <c r="J242" i="17" s="1"/>
  <c r="E241" i="17"/>
  <c r="G241" i="17"/>
  <c r="K241" i="17"/>
  <c r="L241" i="17" s="1"/>
  <c r="B633" i="18" l="1"/>
  <c r="D633" i="18" s="1"/>
  <c r="B242" i="17"/>
  <c r="G242" i="17" s="1"/>
  <c r="E633" i="18" l="1"/>
  <c r="O633" i="18"/>
  <c r="P633" i="18" s="1"/>
  <c r="C633" i="18"/>
  <c r="M633" i="18"/>
  <c r="N633" i="18" s="1"/>
  <c r="F633" i="18"/>
  <c r="S633" i="18"/>
  <c r="H633" i="18"/>
  <c r="J634" i="18" s="1"/>
  <c r="Q633" i="18"/>
  <c r="R633" i="18" s="1"/>
  <c r="G633" i="18"/>
  <c r="K633" i="18"/>
  <c r="L633" i="18" s="1"/>
  <c r="I633" i="18"/>
  <c r="F242" i="17"/>
  <c r="H242" i="17"/>
  <c r="J243" i="17" s="1"/>
  <c r="M242" i="17"/>
  <c r="N242" i="17" s="1"/>
  <c r="O242" i="17"/>
  <c r="P242" i="17" s="1"/>
  <c r="C242" i="17"/>
  <c r="E242" i="17"/>
  <c r="S242" i="17"/>
  <c r="Q242" i="17"/>
  <c r="R242" i="17" s="1"/>
  <c r="D242" i="17"/>
  <c r="I242" i="17"/>
  <c r="K242" i="17"/>
  <c r="L242" i="17" s="1"/>
  <c r="B634" i="18" l="1"/>
  <c r="E634" i="18" s="1"/>
  <c r="B243" i="17"/>
  <c r="Q634" i="18" l="1"/>
  <c r="R634" i="18" s="1"/>
  <c r="S634" i="18"/>
  <c r="D634" i="18"/>
  <c r="F634" i="18"/>
  <c r="O634" i="18"/>
  <c r="P634" i="18" s="1"/>
  <c r="C634" i="18"/>
  <c r="H634" i="18"/>
  <c r="J635" i="18" s="1"/>
  <c r="M634" i="18"/>
  <c r="N634" i="18" s="1"/>
  <c r="K634" i="18"/>
  <c r="L634" i="18" s="1"/>
  <c r="I634" i="18"/>
  <c r="G634" i="18"/>
  <c r="D243" i="17"/>
  <c r="S243" i="17"/>
  <c r="C243" i="17"/>
  <c r="Q243" i="17"/>
  <c r="R243" i="17" s="1"/>
  <c r="M243" i="17"/>
  <c r="N243" i="17" s="1"/>
  <c r="E243" i="17"/>
  <c r="G243" i="17"/>
  <c r="H243" i="17"/>
  <c r="J244" i="17" s="1"/>
  <c r="I243" i="17"/>
  <c r="O243" i="17"/>
  <c r="P243" i="17" s="1"/>
  <c r="F243" i="17"/>
  <c r="K243" i="17"/>
  <c r="L243" i="17" s="1"/>
  <c r="B635" i="18" l="1"/>
  <c r="H635" i="18" s="1"/>
  <c r="V14" i="18"/>
  <c r="AP7" i="11" s="1"/>
  <c r="AP8" i="11" s="1"/>
  <c r="X17" i="18"/>
  <c r="V15" i="18"/>
  <c r="AB20" i="18" s="1"/>
  <c r="C635" i="18"/>
  <c r="AA23" i="18"/>
  <c r="D635" i="18"/>
  <c r="O635" i="18"/>
  <c r="P635" i="18" s="1"/>
  <c r="M635" i="18"/>
  <c r="N635" i="18" s="1"/>
  <c r="B244" i="17"/>
  <c r="O244" i="17" s="1"/>
  <c r="P244" i="17" s="1"/>
  <c r="K635" i="18" l="1"/>
  <c r="L635" i="18" s="1"/>
  <c r="F635" i="18"/>
  <c r="Q635" i="18"/>
  <c r="R635" i="18" s="1"/>
  <c r="G635" i="18"/>
  <c r="E635" i="18"/>
  <c r="I635" i="18"/>
  <c r="Y12" i="18"/>
  <c r="S635" i="18"/>
  <c r="Y11" i="18"/>
  <c r="AB26" i="18"/>
  <c r="AB24" i="18"/>
  <c r="AB25" i="18"/>
  <c r="AB21" i="18"/>
  <c r="AA19" i="18"/>
  <c r="AB19" i="18" s="1"/>
  <c r="AC20" i="18" s="1"/>
  <c r="AB22" i="18"/>
  <c r="AB23" i="18"/>
  <c r="AC26" i="18" s="1"/>
  <c r="M244" i="17"/>
  <c r="N244" i="17" s="1"/>
  <c r="E244" i="17"/>
  <c r="I244" i="17"/>
  <c r="C244" i="17"/>
  <c r="D244" i="17"/>
  <c r="G244" i="17"/>
  <c r="Q244" i="17"/>
  <c r="R244" i="17" s="1"/>
  <c r="B245" i="17" s="1"/>
  <c r="S244" i="17"/>
  <c r="F244" i="17"/>
  <c r="K244" i="17"/>
  <c r="L244" i="17" s="1"/>
  <c r="H244" i="17"/>
  <c r="J245" i="17" s="1"/>
  <c r="K245" i="17" l="1"/>
  <c r="L245" i="17" s="1"/>
  <c r="E245" i="17"/>
  <c r="S245" i="17"/>
  <c r="C245" i="17"/>
  <c r="M245" i="17"/>
  <c r="N245" i="17" s="1"/>
  <c r="O245" i="17"/>
  <c r="P245" i="17" s="1"/>
  <c r="G245" i="17"/>
  <c r="H245" i="17"/>
  <c r="J246" i="17" s="1"/>
  <c r="F245" i="17"/>
  <c r="I245" i="17"/>
  <c r="Q245" i="17"/>
  <c r="R245" i="17" s="1"/>
  <c r="D245" i="17"/>
  <c r="B246" i="17" l="1"/>
  <c r="D246" i="17" s="1"/>
  <c r="S246" i="17" l="1"/>
  <c r="M246" i="17"/>
  <c r="N246" i="17" s="1"/>
  <c r="C246" i="17"/>
  <c r="Q246" i="17"/>
  <c r="R246" i="17" s="1"/>
  <c r="E246" i="17"/>
  <c r="H246" i="17"/>
  <c r="J247" i="17" s="1"/>
  <c r="G246" i="17"/>
  <c r="O246" i="17"/>
  <c r="P246" i="17" s="1"/>
  <c r="I246" i="17"/>
  <c r="F246" i="17"/>
  <c r="K246" i="17"/>
  <c r="L246" i="17" s="1"/>
  <c r="B247" i="17" l="1"/>
  <c r="C247" i="17" s="1"/>
  <c r="H247" i="17" l="1"/>
  <c r="J248" i="17" s="1"/>
  <c r="G247" i="17"/>
  <c r="E247" i="17"/>
  <c r="Q247" i="17"/>
  <c r="R247" i="17" s="1"/>
  <c r="D247" i="17"/>
  <c r="I247" i="17"/>
  <c r="S247" i="17"/>
  <c r="O247" i="17"/>
  <c r="P247" i="17" s="1"/>
  <c r="K247" i="17"/>
  <c r="L247" i="17" s="1"/>
  <c r="F247" i="17"/>
  <c r="M247" i="17"/>
  <c r="N247" i="17" s="1"/>
  <c r="B248" i="17" l="1"/>
  <c r="C248" i="17" s="1"/>
  <c r="M248" i="17" l="1"/>
  <c r="N248" i="17" s="1"/>
  <c r="K248" i="17"/>
  <c r="L248" i="17" s="1"/>
  <c r="O248" i="17"/>
  <c r="P248" i="17" s="1"/>
  <c r="E248" i="17"/>
  <c r="H248" i="17"/>
  <c r="J249" i="17" s="1"/>
  <c r="G248" i="17"/>
  <c r="D248" i="17"/>
  <c r="Q248" i="17"/>
  <c r="R248" i="17" s="1"/>
  <c r="I248" i="17"/>
  <c r="S248" i="17"/>
  <c r="F248" i="17"/>
  <c r="B249" i="17" l="1"/>
  <c r="F249" i="17" s="1"/>
  <c r="H249" i="17" l="1"/>
  <c r="J250" i="17" s="1"/>
  <c r="M249" i="17"/>
  <c r="N249" i="17" s="1"/>
  <c r="O249" i="17"/>
  <c r="P249" i="17" s="1"/>
  <c r="D249" i="17"/>
  <c r="K249" i="17"/>
  <c r="L249" i="17" s="1"/>
  <c r="G249" i="17"/>
  <c r="I249" i="17"/>
  <c r="S249" i="17"/>
  <c r="C249" i="17"/>
  <c r="Q249" i="17"/>
  <c r="R249" i="17" s="1"/>
  <c r="E249" i="17"/>
  <c r="B250" i="17" l="1"/>
  <c r="M250" i="17" s="1"/>
  <c r="N250" i="17" s="1"/>
  <c r="E250" i="17" l="1"/>
  <c r="Q250" i="17"/>
  <c r="R250" i="17" s="1"/>
  <c r="K250" i="17"/>
  <c r="L250" i="17" s="1"/>
  <c r="D250" i="17"/>
  <c r="H250" i="17"/>
  <c r="J251" i="17" s="1"/>
  <c r="I250" i="17"/>
  <c r="G250" i="17"/>
  <c r="F250" i="17"/>
  <c r="C250" i="17"/>
  <c r="S250" i="17"/>
  <c r="O250" i="17"/>
  <c r="P250" i="17" s="1"/>
  <c r="B251" i="17" l="1"/>
  <c r="H251" i="17" s="1"/>
  <c r="J252" i="17" s="1"/>
  <c r="O251" i="17" l="1"/>
  <c r="P251" i="17" s="1"/>
  <c r="F251" i="17"/>
  <c r="E251" i="17"/>
  <c r="K251" i="17"/>
  <c r="L251" i="17" s="1"/>
  <c r="G251" i="17"/>
  <c r="M251" i="17"/>
  <c r="N251" i="17" s="1"/>
  <c r="D251" i="17"/>
  <c r="I251" i="17"/>
  <c r="Q251" i="17"/>
  <c r="R251" i="17" s="1"/>
  <c r="B252" i="17" s="1"/>
  <c r="S251" i="17"/>
  <c r="C251" i="17"/>
  <c r="E252" i="17" l="1"/>
  <c r="M252" i="17"/>
  <c r="N252" i="17" s="1"/>
  <c r="G252" i="17"/>
  <c r="H252" i="17"/>
  <c r="J253" i="17" s="1"/>
  <c r="F252" i="17"/>
  <c r="K252" i="17"/>
  <c r="L252" i="17" s="1"/>
  <c r="I252" i="17"/>
  <c r="O252" i="17"/>
  <c r="P252" i="17" s="1"/>
  <c r="Q252" i="17"/>
  <c r="R252" i="17" s="1"/>
  <c r="D252" i="17"/>
  <c r="C252" i="17"/>
  <c r="S252" i="17"/>
  <c r="B253" i="17" l="1"/>
  <c r="Q253" i="17" s="1"/>
  <c r="R253" i="17" s="1"/>
  <c r="C253" i="17" l="1"/>
  <c r="D253" i="17"/>
  <c r="S253" i="17"/>
  <c r="M253" i="17"/>
  <c r="N253" i="17" s="1"/>
  <c r="E253" i="17"/>
  <c r="K253" i="17"/>
  <c r="L253" i="17" s="1"/>
  <c r="H253" i="17"/>
  <c r="J254" i="17" s="1"/>
  <c r="F253" i="17"/>
  <c r="I253" i="17"/>
  <c r="O253" i="17"/>
  <c r="P253" i="17" s="1"/>
  <c r="B254" i="17" s="1"/>
  <c r="G253" i="17"/>
  <c r="D254" i="17" l="1"/>
  <c r="K254" i="17"/>
  <c r="L254" i="17" s="1"/>
  <c r="H254" i="17"/>
  <c r="J255" i="17" s="1"/>
  <c r="O254" i="17"/>
  <c r="P254" i="17" s="1"/>
  <c r="C254" i="17"/>
  <c r="I254" i="17"/>
  <c r="S254" i="17"/>
  <c r="Q254" i="17"/>
  <c r="R254" i="17" s="1"/>
  <c r="M254" i="17"/>
  <c r="N254" i="17" s="1"/>
  <c r="E254" i="17"/>
  <c r="G254" i="17"/>
  <c r="F254" i="17"/>
  <c r="B255" i="17" l="1"/>
  <c r="D255" i="17" s="1"/>
  <c r="Q255" i="17" l="1"/>
  <c r="R255" i="17" s="1"/>
  <c r="I255" i="17"/>
  <c r="C255" i="17"/>
  <c r="G255" i="17"/>
  <c r="E255" i="17"/>
  <c r="F255" i="17"/>
  <c r="S255" i="17"/>
  <c r="H255" i="17"/>
  <c r="J256" i="17" s="1"/>
  <c r="K255" i="17"/>
  <c r="L255" i="17" s="1"/>
  <c r="O255" i="17"/>
  <c r="P255" i="17" s="1"/>
  <c r="M255" i="17"/>
  <c r="N255" i="17" s="1"/>
  <c r="B256" i="17" l="1"/>
  <c r="Q256" i="17" s="1"/>
  <c r="R256" i="17" s="1"/>
  <c r="K256" i="17" l="1"/>
  <c r="L256" i="17" s="1"/>
  <c r="E256" i="17"/>
  <c r="F256" i="17"/>
  <c r="I256" i="17"/>
  <c r="O256" i="17"/>
  <c r="P256" i="17" s="1"/>
  <c r="B257" i="17" s="1"/>
  <c r="H256" i="17"/>
  <c r="J257" i="17" s="1"/>
  <c r="M256" i="17"/>
  <c r="N256" i="17" s="1"/>
  <c r="S256" i="17"/>
  <c r="C256" i="17"/>
  <c r="G256" i="17"/>
  <c r="D256" i="17"/>
  <c r="G257" i="17" l="1"/>
  <c r="K257" i="17"/>
  <c r="L257" i="17" s="1"/>
  <c r="H257" i="17"/>
  <c r="J258" i="17" s="1"/>
  <c r="Q257" i="17"/>
  <c r="R257" i="17" s="1"/>
  <c r="I257" i="17"/>
  <c r="D257" i="17"/>
  <c r="C257" i="17"/>
  <c r="O257" i="17"/>
  <c r="P257" i="17" s="1"/>
  <c r="M257" i="17"/>
  <c r="N257" i="17" s="1"/>
  <c r="E257" i="17"/>
  <c r="S257" i="17"/>
  <c r="F257" i="17"/>
  <c r="B258" i="17" l="1"/>
  <c r="C258" i="17" s="1"/>
  <c r="S258" i="17" l="1"/>
  <c r="K258" i="17"/>
  <c r="L258" i="17" s="1"/>
  <c r="M258" i="17"/>
  <c r="N258" i="17" s="1"/>
  <c r="Q258" i="17"/>
  <c r="R258" i="17" s="1"/>
  <c r="I258" i="17"/>
  <c r="E258" i="17"/>
  <c r="G258" i="17"/>
  <c r="O258" i="17"/>
  <c r="P258" i="17" s="1"/>
  <c r="H258" i="17"/>
  <c r="J259" i="17" s="1"/>
  <c r="D258" i="17"/>
  <c r="F258" i="17"/>
  <c r="B259" i="17" l="1"/>
  <c r="K259" i="17" s="1"/>
  <c r="L259" i="17" s="1"/>
  <c r="F259" i="17" l="1"/>
  <c r="C259" i="17"/>
  <c r="H259" i="17"/>
  <c r="J260" i="17" s="1"/>
  <c r="E259" i="17"/>
  <c r="M259" i="17"/>
  <c r="N259" i="17" s="1"/>
  <c r="I259" i="17"/>
  <c r="Q259" i="17"/>
  <c r="R259" i="17" s="1"/>
  <c r="G259" i="17"/>
  <c r="S259" i="17"/>
  <c r="D259" i="17"/>
  <c r="O259" i="17"/>
  <c r="P259" i="17" s="1"/>
  <c r="B260" i="17" l="1"/>
  <c r="Q260" i="17" s="1"/>
  <c r="R260" i="17" s="1"/>
  <c r="D260" i="17" l="1"/>
  <c r="E260" i="17"/>
  <c r="S260" i="17"/>
  <c r="G260" i="17"/>
  <c r="F260" i="17"/>
  <c r="K260" i="17"/>
  <c r="L260" i="17" s="1"/>
  <c r="I260" i="17"/>
  <c r="H260" i="17"/>
  <c r="J261" i="17" s="1"/>
  <c r="O260" i="17"/>
  <c r="P260" i="17" s="1"/>
  <c r="B261" i="17" s="1"/>
  <c r="C260" i="17"/>
  <c r="M260" i="17"/>
  <c r="N260" i="17" s="1"/>
  <c r="D261" i="17" l="1"/>
  <c r="I261" i="17"/>
  <c r="K261" i="17"/>
  <c r="L261" i="17" s="1"/>
  <c r="O261" i="17"/>
  <c r="P261" i="17" s="1"/>
  <c r="G261" i="17"/>
  <c r="M261" i="17"/>
  <c r="N261" i="17" s="1"/>
  <c r="H261" i="17"/>
  <c r="J262" i="17" s="1"/>
  <c r="E261" i="17"/>
  <c r="F261" i="17"/>
  <c r="C261" i="17"/>
  <c r="S261" i="17"/>
  <c r="Q261" i="17"/>
  <c r="R261" i="17" s="1"/>
  <c r="B262" i="17" l="1"/>
  <c r="G262" i="17" s="1"/>
  <c r="Q262" i="17" l="1"/>
  <c r="R262" i="17" s="1"/>
  <c r="F262" i="17"/>
  <c r="H262" i="17"/>
  <c r="J263" i="17" s="1"/>
  <c r="I262" i="17"/>
  <c r="C262" i="17"/>
  <c r="E262" i="17"/>
  <c r="S262" i="17"/>
  <c r="M262" i="17"/>
  <c r="N262" i="17" s="1"/>
  <c r="O262" i="17"/>
  <c r="P262" i="17" s="1"/>
  <c r="B263" i="17" s="1"/>
  <c r="K262" i="17"/>
  <c r="L262" i="17" s="1"/>
  <c r="D262" i="17"/>
  <c r="E263" i="17" l="1"/>
  <c r="I263" i="17"/>
  <c r="G263" i="17"/>
  <c r="K263" i="17"/>
  <c r="L263" i="17" s="1"/>
  <c r="H263" i="17"/>
  <c r="J264" i="17" s="1"/>
  <c r="C263" i="17"/>
  <c r="M263" i="17"/>
  <c r="N263" i="17" s="1"/>
  <c r="S263" i="17"/>
  <c r="D263" i="17"/>
  <c r="O263" i="17"/>
  <c r="P263" i="17" s="1"/>
  <c r="Q263" i="17"/>
  <c r="R263" i="17" s="1"/>
  <c r="F263" i="17"/>
  <c r="B264" i="17" l="1"/>
  <c r="C264" i="17" s="1"/>
  <c r="M264" i="17" l="1"/>
  <c r="N264" i="17" s="1"/>
  <c r="H264" i="17"/>
  <c r="J265" i="17" s="1"/>
  <c r="O264" i="17"/>
  <c r="P264" i="17" s="1"/>
  <c r="Q264" i="17"/>
  <c r="R264" i="17" s="1"/>
  <c r="K264" i="17"/>
  <c r="L264" i="17" s="1"/>
  <c r="G264" i="17"/>
  <c r="S264" i="17"/>
  <c r="D264" i="17"/>
  <c r="I264" i="17"/>
  <c r="E264" i="17"/>
  <c r="F264" i="17"/>
  <c r="B265" i="17" l="1"/>
  <c r="F265" i="17" s="1"/>
  <c r="D265" i="17" l="1"/>
  <c r="H265" i="17"/>
  <c r="J266" i="17" s="1"/>
  <c r="O265" i="17"/>
  <c r="P265" i="17" s="1"/>
  <c r="C265" i="17"/>
  <c r="G265" i="17"/>
  <c r="K265" i="17"/>
  <c r="L265" i="17" s="1"/>
  <c r="M265" i="17"/>
  <c r="N265" i="17" s="1"/>
  <c r="S265" i="17"/>
  <c r="Q265" i="17"/>
  <c r="R265" i="17" s="1"/>
  <c r="I265" i="17"/>
  <c r="E265" i="17"/>
  <c r="B266" i="17" l="1"/>
  <c r="F266" i="17" s="1"/>
  <c r="E266" i="17" l="1"/>
  <c r="D266" i="17"/>
  <c r="G266" i="17"/>
  <c r="K266" i="17"/>
  <c r="L266" i="17" s="1"/>
  <c r="H266" i="17"/>
  <c r="J267" i="17" s="1"/>
  <c r="M266" i="17"/>
  <c r="N266" i="17" s="1"/>
  <c r="O266" i="17"/>
  <c r="P266" i="17" s="1"/>
  <c r="C266" i="17"/>
  <c r="S266" i="17"/>
  <c r="I266" i="17"/>
  <c r="Q266" i="17"/>
  <c r="R266" i="17" s="1"/>
  <c r="B267" i="17" l="1"/>
  <c r="D267" i="17" s="1"/>
  <c r="C267" i="17" l="1"/>
  <c r="S267" i="17"/>
  <c r="H267" i="17"/>
  <c r="J268" i="17" s="1"/>
  <c r="K267" i="17"/>
  <c r="L267" i="17" s="1"/>
  <c r="Q267" i="17"/>
  <c r="R267" i="17" s="1"/>
  <c r="I267" i="17"/>
  <c r="G267" i="17"/>
  <c r="O267" i="17"/>
  <c r="P267" i="17" s="1"/>
  <c r="M267" i="17"/>
  <c r="N267" i="17" s="1"/>
  <c r="F267" i="17"/>
  <c r="E267" i="17"/>
  <c r="B268" i="17" l="1"/>
  <c r="G268" i="17" s="1"/>
  <c r="C268" i="17"/>
  <c r="M268" i="17" l="1"/>
  <c r="N268" i="17" s="1"/>
  <c r="H268" i="17"/>
  <c r="J269" i="17" s="1"/>
  <c r="Q268" i="17"/>
  <c r="R268" i="17" s="1"/>
  <c r="F268" i="17"/>
  <c r="O268" i="17"/>
  <c r="P268" i="17" s="1"/>
  <c r="D268" i="17"/>
  <c r="E268" i="17"/>
  <c r="S268" i="17"/>
  <c r="I268" i="17"/>
  <c r="K268" i="17"/>
  <c r="L268" i="17" s="1"/>
  <c r="B269" i="17" l="1"/>
  <c r="H269" i="17" s="1"/>
  <c r="J270" i="17" s="1"/>
  <c r="O269" i="17" l="1"/>
  <c r="P269" i="17" s="1"/>
  <c r="S269" i="17"/>
  <c r="D269" i="17"/>
  <c r="F269" i="17"/>
  <c r="G269" i="17"/>
  <c r="M269" i="17"/>
  <c r="N269" i="17" s="1"/>
  <c r="K269" i="17"/>
  <c r="L269" i="17" s="1"/>
  <c r="E269" i="17"/>
  <c r="I269" i="17"/>
  <c r="C269" i="17"/>
  <c r="Q269" i="17"/>
  <c r="R269" i="17" s="1"/>
  <c r="B270" i="17" l="1"/>
  <c r="H270" i="17" s="1"/>
  <c r="J271" i="17" s="1"/>
  <c r="E270" i="17"/>
  <c r="G270" i="17"/>
  <c r="O270" i="17"/>
  <c r="P270" i="17" s="1"/>
  <c r="F270" i="17" l="1"/>
  <c r="S270" i="17"/>
  <c r="D270" i="17"/>
  <c r="Q270" i="17"/>
  <c r="R270" i="17" s="1"/>
  <c r="B271" i="17" s="1"/>
  <c r="I270" i="17"/>
  <c r="C270" i="17"/>
  <c r="M270" i="17"/>
  <c r="N270" i="17" s="1"/>
  <c r="K270" i="17"/>
  <c r="L270" i="17" s="1"/>
  <c r="M271" i="17" l="1"/>
  <c r="N271" i="17" s="1"/>
  <c r="K271" i="17"/>
  <c r="L271" i="17" s="1"/>
  <c r="S271" i="17"/>
  <c r="F271" i="17"/>
  <c r="E271" i="17"/>
  <c r="H271" i="17"/>
  <c r="J272" i="17" s="1"/>
  <c r="I271" i="17"/>
  <c r="D271" i="17"/>
  <c r="O271" i="17"/>
  <c r="P271" i="17" s="1"/>
  <c r="G271" i="17"/>
  <c r="Q271" i="17"/>
  <c r="R271" i="17" s="1"/>
  <c r="C271" i="17"/>
  <c r="B272" i="17" l="1"/>
  <c r="M272" i="17" s="1"/>
  <c r="N272" i="17" s="1"/>
  <c r="C272" i="17" l="1"/>
  <c r="I272" i="17"/>
  <c r="D272" i="17"/>
  <c r="F272" i="17"/>
  <c r="H272" i="17"/>
  <c r="J273" i="17" s="1"/>
  <c r="K272" i="17"/>
  <c r="L272" i="17" s="1"/>
  <c r="E272" i="17"/>
  <c r="S272" i="17"/>
  <c r="G272" i="17"/>
  <c r="O272" i="17"/>
  <c r="P272" i="17" s="1"/>
  <c r="Q272" i="17"/>
  <c r="R272" i="17" s="1"/>
  <c r="B273" i="17" l="1"/>
  <c r="D273" i="17" s="1"/>
  <c r="O273" i="17" l="1"/>
  <c r="P273" i="17" s="1"/>
  <c r="S273" i="17"/>
  <c r="C273" i="17"/>
  <c r="I273" i="17"/>
  <c r="G273" i="17"/>
  <c r="M273" i="17"/>
  <c r="N273" i="17" s="1"/>
  <c r="E273" i="17"/>
  <c r="K273" i="17"/>
  <c r="L273" i="17" s="1"/>
  <c r="F273" i="17"/>
  <c r="H273" i="17"/>
  <c r="J274" i="17" s="1"/>
  <c r="Q273" i="17"/>
  <c r="R273" i="17" s="1"/>
  <c r="B274" i="17" l="1"/>
  <c r="K274" i="17" s="1"/>
  <c r="L274" i="17" s="1"/>
  <c r="S274" i="17"/>
  <c r="O274" i="17"/>
  <c r="P274" i="17" s="1"/>
  <c r="G274" i="17"/>
  <c r="Q274" i="17"/>
  <c r="R274" i="17" s="1"/>
  <c r="D274" i="17"/>
  <c r="H274" i="17"/>
  <c r="J275" i="17" s="1"/>
  <c r="F274" i="17" l="1"/>
  <c r="E274" i="17"/>
  <c r="I274" i="17"/>
  <c r="C274" i="17"/>
  <c r="M274" i="17"/>
  <c r="N274" i="17" s="1"/>
  <c r="B275" i="17"/>
  <c r="G275" i="17" s="1"/>
  <c r="M275" i="17" l="1"/>
  <c r="N275" i="17" s="1"/>
  <c r="O275" i="17"/>
  <c r="P275" i="17" s="1"/>
  <c r="C275" i="17"/>
  <c r="I275" i="17"/>
  <c r="K275" i="17"/>
  <c r="L275" i="17" s="1"/>
  <c r="E275" i="17"/>
  <c r="D275" i="17"/>
  <c r="F275" i="17"/>
  <c r="Q275" i="17"/>
  <c r="R275" i="17" s="1"/>
  <c r="H275" i="17"/>
  <c r="J276" i="17" s="1"/>
  <c r="S275" i="17"/>
  <c r="B276" i="17" l="1"/>
  <c r="I276" i="17" s="1"/>
  <c r="E276" i="17" l="1"/>
  <c r="Q276" i="17"/>
  <c r="R276" i="17" s="1"/>
  <c r="H276" i="17"/>
  <c r="J277" i="17" s="1"/>
  <c r="F276" i="17"/>
  <c r="C276" i="17"/>
  <c r="O276" i="17"/>
  <c r="P276" i="17" s="1"/>
  <c r="K276" i="17"/>
  <c r="L276" i="17" s="1"/>
  <c r="M276" i="17"/>
  <c r="N276" i="17" s="1"/>
  <c r="G276" i="17"/>
  <c r="S276" i="17"/>
  <c r="D276" i="17"/>
  <c r="B277" i="17" l="1"/>
  <c r="I277" i="17" s="1"/>
  <c r="O277" i="17"/>
  <c r="P277" i="17" s="1"/>
  <c r="D277" i="17"/>
  <c r="C277" i="17"/>
  <c r="G277" i="17"/>
  <c r="F277" i="17"/>
  <c r="S277" i="17"/>
  <c r="M277" i="17"/>
  <c r="N277" i="17" s="1"/>
  <c r="K277" i="17"/>
  <c r="L277" i="17" s="1"/>
  <c r="H277" i="17"/>
  <c r="J278" i="17" s="1"/>
  <c r="Q277" i="17"/>
  <c r="R277" i="17" s="1"/>
  <c r="E277" i="17"/>
  <c r="B278" i="17" l="1"/>
  <c r="O278" i="17" s="1"/>
  <c r="P278" i="17" s="1"/>
  <c r="S278" i="17" l="1"/>
  <c r="F278" i="17"/>
  <c r="I278" i="17"/>
  <c r="H278" i="17"/>
  <c r="J279" i="17" s="1"/>
  <c r="Q278" i="17"/>
  <c r="R278" i="17" s="1"/>
  <c r="B279" i="17" s="1"/>
  <c r="E278" i="17"/>
  <c r="M278" i="17"/>
  <c r="N278" i="17" s="1"/>
  <c r="G278" i="17"/>
  <c r="C278" i="17"/>
  <c r="K278" i="17"/>
  <c r="L278" i="17" s="1"/>
  <c r="D278" i="17"/>
  <c r="E279" i="17" l="1"/>
  <c r="M279" i="17"/>
  <c r="N279" i="17" s="1"/>
  <c r="I279" i="17"/>
  <c r="H279" i="17"/>
  <c r="J280" i="17" s="1"/>
  <c r="Q279" i="17"/>
  <c r="R279" i="17" s="1"/>
  <c r="O279" i="17"/>
  <c r="P279" i="17" s="1"/>
  <c r="S279" i="17"/>
  <c r="K279" i="17"/>
  <c r="L279" i="17" s="1"/>
  <c r="D279" i="17"/>
  <c r="C279" i="17"/>
  <c r="G279" i="17"/>
  <c r="F279" i="17"/>
  <c r="B280" i="17" l="1"/>
  <c r="S280" i="17" s="1"/>
  <c r="C280" i="17" l="1"/>
  <c r="Q280" i="17"/>
  <c r="R280" i="17" s="1"/>
  <c r="G280" i="17"/>
  <c r="F280" i="17"/>
  <c r="E280" i="17"/>
  <c r="K280" i="17"/>
  <c r="L280" i="17" s="1"/>
  <c r="M280" i="17"/>
  <c r="N280" i="17" s="1"/>
  <c r="O280" i="17"/>
  <c r="P280" i="17" s="1"/>
  <c r="I280" i="17"/>
  <c r="D280" i="17"/>
  <c r="H280" i="17"/>
  <c r="J281" i="17" s="1"/>
  <c r="B281" i="17" l="1"/>
  <c r="Q281" i="17" s="1"/>
  <c r="R281" i="17" s="1"/>
  <c r="E281" i="17" l="1"/>
  <c r="K281" i="17"/>
  <c r="L281" i="17" s="1"/>
  <c r="D281" i="17"/>
  <c r="O281" i="17"/>
  <c r="P281" i="17" s="1"/>
  <c r="B282" i="17" s="1"/>
  <c r="Q282" i="17" s="1"/>
  <c r="R282" i="17" s="1"/>
  <c r="I281" i="17"/>
  <c r="G281" i="17"/>
  <c r="C281" i="17"/>
  <c r="S281" i="17"/>
  <c r="H281" i="17"/>
  <c r="J282" i="17" s="1"/>
  <c r="M281" i="17"/>
  <c r="N281" i="17" s="1"/>
  <c r="F281" i="17"/>
  <c r="F282" i="17" l="1"/>
  <c r="O282" i="17"/>
  <c r="P282" i="17" s="1"/>
  <c r="B283" i="17" s="1"/>
  <c r="E282" i="17"/>
  <c r="G282" i="17"/>
  <c r="D282" i="17"/>
  <c r="I282" i="17"/>
  <c r="C282" i="17"/>
  <c r="M282" i="17"/>
  <c r="N282" i="17" s="1"/>
  <c r="K282" i="17"/>
  <c r="L282" i="17" s="1"/>
  <c r="H282" i="17"/>
  <c r="J283" i="17" s="1"/>
  <c r="S282" i="17"/>
  <c r="C283" i="17" l="1"/>
  <c r="Q283" i="17"/>
  <c r="R283" i="17" s="1"/>
  <c r="E283" i="17"/>
  <c r="M283" i="17"/>
  <c r="N283" i="17" s="1"/>
  <c r="S283" i="17"/>
  <c r="I283" i="17"/>
  <c r="F283" i="17"/>
  <c r="K283" i="17"/>
  <c r="L283" i="17" s="1"/>
  <c r="H283" i="17"/>
  <c r="J284" i="17" s="1"/>
  <c r="O283" i="17"/>
  <c r="P283" i="17" s="1"/>
  <c r="G283" i="17"/>
  <c r="D283" i="17"/>
  <c r="B284" i="17" l="1"/>
  <c r="I284" i="17" l="1"/>
  <c r="K284" i="17"/>
  <c r="L284" i="17" s="1"/>
  <c r="O284" i="17"/>
  <c r="P284" i="17" s="1"/>
  <c r="H284" i="17"/>
  <c r="J285" i="17" s="1"/>
  <c r="Q284" i="17"/>
  <c r="R284" i="17" s="1"/>
  <c r="M284" i="17"/>
  <c r="N284" i="17" s="1"/>
  <c r="G284" i="17"/>
  <c r="E284" i="17"/>
  <c r="S284" i="17"/>
  <c r="C284" i="17"/>
  <c r="F284" i="17"/>
  <c r="D284" i="17"/>
  <c r="B285" i="17" l="1"/>
  <c r="O285" i="17" s="1"/>
  <c r="P285" i="17" s="1"/>
  <c r="D285" i="17" l="1"/>
  <c r="F285" i="17"/>
  <c r="G285" i="17"/>
  <c r="S285" i="17"/>
  <c r="E285" i="17"/>
  <c r="H285" i="17"/>
  <c r="J286" i="17" s="1"/>
  <c r="Q285" i="17"/>
  <c r="R285" i="17" s="1"/>
  <c r="M285" i="17"/>
  <c r="N285" i="17" s="1"/>
  <c r="K285" i="17"/>
  <c r="L285" i="17" s="1"/>
  <c r="I285" i="17"/>
  <c r="C285" i="17"/>
  <c r="B286" i="17" l="1"/>
  <c r="G286" i="17" s="1"/>
  <c r="D286" i="17" l="1"/>
  <c r="S286" i="17"/>
  <c r="E286" i="17"/>
  <c r="Q286" i="17"/>
  <c r="R286" i="17" s="1"/>
  <c r="I286" i="17"/>
  <c r="C286" i="17"/>
  <c r="M286" i="17"/>
  <c r="N286" i="17" s="1"/>
  <c r="O286" i="17"/>
  <c r="P286" i="17" s="1"/>
  <c r="K286" i="17"/>
  <c r="L286" i="17" s="1"/>
  <c r="F286" i="17"/>
  <c r="H286" i="17"/>
  <c r="J287" i="17" s="1"/>
  <c r="B287" i="17" l="1"/>
  <c r="I287" i="17" s="1"/>
  <c r="D287" i="17" l="1"/>
  <c r="F287" i="17"/>
  <c r="E287" i="17"/>
  <c r="H287" i="17"/>
  <c r="J288" i="17" s="1"/>
  <c r="M287" i="17"/>
  <c r="N287" i="17" s="1"/>
  <c r="Q287" i="17"/>
  <c r="R287" i="17" s="1"/>
  <c r="O287" i="17"/>
  <c r="P287" i="17" s="1"/>
  <c r="G287" i="17"/>
  <c r="K287" i="17"/>
  <c r="L287" i="17" s="1"/>
  <c r="S287" i="17"/>
  <c r="C287" i="17"/>
  <c r="B288" i="17" l="1"/>
  <c r="H288" i="17" s="1"/>
  <c r="J289" i="17" s="1"/>
  <c r="E288" i="17" l="1"/>
  <c r="K288" i="17"/>
  <c r="L288" i="17" s="1"/>
  <c r="D288" i="17"/>
  <c r="O288" i="17"/>
  <c r="P288" i="17" s="1"/>
  <c r="C288" i="17"/>
  <c r="S288" i="17"/>
  <c r="F288" i="17"/>
  <c r="G288" i="17"/>
  <c r="Q288" i="17"/>
  <c r="R288" i="17" s="1"/>
  <c r="M288" i="17"/>
  <c r="N288" i="17" s="1"/>
  <c r="I288" i="17"/>
  <c r="B289" i="17" l="1"/>
  <c r="F289" i="17" s="1"/>
  <c r="Q289" i="17" l="1"/>
  <c r="R289" i="17" s="1"/>
  <c r="D289" i="17"/>
  <c r="K289" i="17"/>
  <c r="L289" i="17" s="1"/>
  <c r="I289" i="17"/>
  <c r="G289" i="17"/>
  <c r="C289" i="17"/>
  <c r="S289" i="17"/>
  <c r="H289" i="17"/>
  <c r="J290" i="17" s="1"/>
  <c r="O289" i="17"/>
  <c r="P289" i="17" s="1"/>
  <c r="E289" i="17"/>
  <c r="M289" i="17"/>
  <c r="N289" i="17" s="1"/>
  <c r="B290" i="17" l="1"/>
  <c r="K290" i="17" s="1"/>
  <c r="L290" i="17" s="1"/>
  <c r="H290" i="17" l="1"/>
  <c r="J291" i="17" s="1"/>
  <c r="O290" i="17"/>
  <c r="P290" i="17" s="1"/>
  <c r="C290" i="17"/>
  <c r="M290" i="17"/>
  <c r="N290" i="17" s="1"/>
  <c r="G290" i="17"/>
  <c r="F290" i="17"/>
  <c r="Q290" i="17"/>
  <c r="R290" i="17" s="1"/>
  <c r="S290" i="17"/>
  <c r="E290" i="17"/>
  <c r="I290" i="17"/>
  <c r="D290" i="17"/>
  <c r="B291" i="17" l="1"/>
  <c r="D291" i="17" s="1"/>
  <c r="C291" i="17" l="1"/>
  <c r="E291" i="17"/>
  <c r="H291" i="17"/>
  <c r="J292" i="17" s="1"/>
  <c r="K291" i="17"/>
  <c r="L291" i="17" s="1"/>
  <c r="I291" i="17"/>
  <c r="F291" i="17"/>
  <c r="S291" i="17"/>
  <c r="G291" i="17"/>
  <c r="Q291" i="17"/>
  <c r="R291" i="17" s="1"/>
  <c r="M291" i="17"/>
  <c r="N291" i="17" s="1"/>
  <c r="O291" i="17"/>
  <c r="P291" i="17" s="1"/>
  <c r="B292" i="17" l="1"/>
  <c r="M292" i="17" s="1"/>
  <c r="N292" i="17" s="1"/>
  <c r="D292" i="17" l="1"/>
  <c r="F292" i="17"/>
  <c r="S292" i="17"/>
  <c r="K292" i="17"/>
  <c r="L292" i="17" s="1"/>
  <c r="E292" i="17"/>
  <c r="Q292" i="17"/>
  <c r="R292" i="17" s="1"/>
  <c r="H292" i="17"/>
  <c r="J293" i="17" s="1"/>
  <c r="C292" i="17"/>
  <c r="I292" i="17"/>
  <c r="O292" i="17"/>
  <c r="P292" i="17" s="1"/>
  <c r="G292" i="17"/>
  <c r="B293" i="17" l="1"/>
  <c r="K293" i="17" s="1"/>
  <c r="L293" i="17" s="1"/>
  <c r="C293" i="17" l="1"/>
  <c r="H293" i="17"/>
  <c r="J294" i="17" s="1"/>
  <c r="O293" i="17"/>
  <c r="P293" i="17" s="1"/>
  <c r="M293" i="17"/>
  <c r="N293" i="17" s="1"/>
  <c r="Q293" i="17"/>
  <c r="R293" i="17" s="1"/>
  <c r="S293" i="17"/>
  <c r="E293" i="17"/>
  <c r="D293" i="17"/>
  <c r="G293" i="17"/>
  <c r="F293" i="17"/>
  <c r="I293" i="17"/>
  <c r="B294" i="17" l="1"/>
  <c r="Q294" i="17" s="1"/>
  <c r="R294" i="17" s="1"/>
  <c r="D294" i="17" l="1"/>
  <c r="S294" i="17"/>
  <c r="H294" i="17"/>
  <c r="J295" i="17" s="1"/>
  <c r="G294" i="17"/>
  <c r="I294" i="17"/>
  <c r="M294" i="17"/>
  <c r="N294" i="17" s="1"/>
  <c r="C294" i="17"/>
  <c r="K294" i="17"/>
  <c r="L294" i="17" s="1"/>
  <c r="E294" i="17"/>
  <c r="O294" i="17"/>
  <c r="P294" i="17" s="1"/>
  <c r="B295" i="17" s="1"/>
  <c r="F294" i="17"/>
  <c r="D295" i="17" l="1"/>
  <c r="Q295" i="17"/>
  <c r="R295" i="17" s="1"/>
  <c r="E295" i="17"/>
  <c r="H295" i="17"/>
  <c r="J296" i="17" s="1"/>
  <c r="M295" i="17"/>
  <c r="N295" i="17" s="1"/>
  <c r="I295" i="17"/>
  <c r="K295" i="17"/>
  <c r="L295" i="17" s="1"/>
  <c r="C295" i="17"/>
  <c r="G295" i="17"/>
  <c r="S295" i="17"/>
  <c r="O295" i="17"/>
  <c r="P295" i="17" s="1"/>
  <c r="F295" i="17"/>
  <c r="B296" i="17" l="1"/>
  <c r="D296" i="17" s="1"/>
  <c r="C296" i="17" l="1"/>
  <c r="O296" i="17"/>
  <c r="P296" i="17" s="1"/>
  <c r="G296" i="17"/>
  <c r="E296" i="17"/>
  <c r="H296" i="17"/>
  <c r="J297" i="17" s="1"/>
  <c r="Q296" i="17"/>
  <c r="R296" i="17" s="1"/>
  <c r="S296" i="17"/>
  <c r="F296" i="17"/>
  <c r="I296" i="17"/>
  <c r="K296" i="17"/>
  <c r="L296" i="17" s="1"/>
  <c r="M296" i="17"/>
  <c r="N296" i="17" s="1"/>
  <c r="B297" i="17" l="1"/>
  <c r="D297" i="17" s="1"/>
  <c r="O297" i="17" l="1"/>
  <c r="P297" i="17" s="1"/>
  <c r="E297" i="17"/>
  <c r="S297" i="17"/>
  <c r="F297" i="17"/>
  <c r="M297" i="17"/>
  <c r="N297" i="17" s="1"/>
  <c r="C297" i="17"/>
  <c r="G297" i="17"/>
  <c r="Q297" i="17"/>
  <c r="R297" i="17" s="1"/>
  <c r="I297" i="17"/>
  <c r="K297" i="17"/>
  <c r="L297" i="17" s="1"/>
  <c r="H297" i="17"/>
  <c r="J298" i="17" s="1"/>
  <c r="B298" i="17" l="1"/>
  <c r="D298" i="17" s="1"/>
  <c r="O298" i="17" l="1"/>
  <c r="P298" i="17" s="1"/>
  <c r="S298" i="17"/>
  <c r="G298" i="17"/>
  <c r="Q298" i="17"/>
  <c r="R298" i="17" s="1"/>
  <c r="K298" i="17"/>
  <c r="L298" i="17" s="1"/>
  <c r="C298" i="17"/>
  <c r="M298" i="17"/>
  <c r="N298" i="17" s="1"/>
  <c r="I298" i="17"/>
  <c r="E298" i="17"/>
  <c r="H298" i="17"/>
  <c r="J299" i="17" s="1"/>
  <c r="F298" i="17"/>
  <c r="B299" i="17" l="1"/>
  <c r="S299" i="17" s="1"/>
  <c r="Q299" i="17" l="1"/>
  <c r="R299" i="17" s="1"/>
  <c r="H299" i="17"/>
  <c r="J300" i="17" s="1"/>
  <c r="D299" i="17"/>
  <c r="F299" i="17"/>
  <c r="K299" i="17"/>
  <c r="L299" i="17" s="1"/>
  <c r="I299" i="17"/>
  <c r="C299" i="17"/>
  <c r="M299" i="17"/>
  <c r="N299" i="17" s="1"/>
  <c r="O299" i="17"/>
  <c r="P299" i="17" s="1"/>
  <c r="E299" i="17"/>
  <c r="G299" i="17"/>
  <c r="B300" i="17" l="1"/>
  <c r="S300" i="17" s="1"/>
  <c r="D300" i="17" l="1"/>
  <c r="E300" i="17"/>
  <c r="I300" i="17"/>
  <c r="Q300" i="17"/>
  <c r="R300" i="17" s="1"/>
  <c r="C300" i="17"/>
  <c r="G300" i="17"/>
  <c r="O300" i="17"/>
  <c r="P300" i="17" s="1"/>
  <c r="F300" i="17"/>
  <c r="H300" i="17"/>
  <c r="J301" i="17" s="1"/>
  <c r="K300" i="17"/>
  <c r="L300" i="17" s="1"/>
  <c r="M300" i="17"/>
  <c r="N300" i="17" s="1"/>
  <c r="B301" i="17" l="1"/>
  <c r="O301" i="17" s="1"/>
  <c r="P301" i="17" s="1"/>
  <c r="F301" i="17" l="1"/>
  <c r="D301" i="17"/>
  <c r="S301" i="17"/>
  <c r="C301" i="17"/>
  <c r="Q301" i="17"/>
  <c r="R301" i="17" s="1"/>
  <c r="K301" i="17"/>
  <c r="L301" i="17" s="1"/>
  <c r="H301" i="17"/>
  <c r="J302" i="17" s="1"/>
  <c r="M301" i="17"/>
  <c r="N301" i="17" s="1"/>
  <c r="I301" i="17"/>
  <c r="E301" i="17"/>
  <c r="G301" i="17"/>
  <c r="B302" i="17" l="1"/>
  <c r="F302" i="17" s="1"/>
  <c r="H302" i="17" l="1"/>
  <c r="J303" i="17" s="1"/>
  <c r="D302" i="17"/>
  <c r="E302" i="17"/>
  <c r="S302" i="17"/>
  <c r="K302" i="17"/>
  <c r="L302" i="17" s="1"/>
  <c r="C302" i="17"/>
  <c r="O302" i="17"/>
  <c r="P302" i="17" s="1"/>
  <c r="I302" i="17"/>
  <c r="M302" i="17"/>
  <c r="N302" i="17" s="1"/>
  <c r="G302" i="17"/>
  <c r="Q302" i="17"/>
  <c r="R302" i="17" s="1"/>
  <c r="B303" i="17" l="1"/>
  <c r="F303" i="17" s="1"/>
  <c r="D303" i="17" l="1"/>
  <c r="C303" i="17"/>
  <c r="H303" i="17"/>
  <c r="J304" i="17" s="1"/>
  <c r="I303" i="17"/>
  <c r="Q303" i="17"/>
  <c r="R303" i="17" s="1"/>
  <c r="S303" i="17"/>
  <c r="M303" i="17"/>
  <c r="N303" i="17" s="1"/>
  <c r="E303" i="17"/>
  <c r="O303" i="17"/>
  <c r="P303" i="17" s="1"/>
  <c r="G303" i="17"/>
  <c r="K303" i="17"/>
  <c r="L303" i="17" s="1"/>
  <c r="B304" i="17" l="1"/>
  <c r="K304" i="17" s="1"/>
  <c r="L304" i="17" s="1"/>
  <c r="H304" i="17" l="1"/>
  <c r="J305" i="17" s="1"/>
  <c r="C304" i="17"/>
  <c r="D304" i="17"/>
  <c r="O304" i="17"/>
  <c r="P304" i="17" s="1"/>
  <c r="I304" i="17"/>
  <c r="S304" i="17"/>
  <c r="M304" i="17"/>
  <c r="N304" i="17" s="1"/>
  <c r="E304" i="17"/>
  <c r="G304" i="17"/>
  <c r="F304" i="17"/>
  <c r="Q304" i="17"/>
  <c r="R304" i="17" s="1"/>
  <c r="B305" i="17" l="1"/>
  <c r="G305" i="17" s="1"/>
  <c r="Q305" i="17" l="1"/>
  <c r="R305" i="17" s="1"/>
  <c r="D305" i="17"/>
  <c r="H305" i="17"/>
  <c r="J306" i="17" s="1"/>
  <c r="M305" i="17"/>
  <c r="N305" i="17" s="1"/>
  <c r="K305" i="17"/>
  <c r="L305" i="17" s="1"/>
  <c r="O305" i="17"/>
  <c r="P305" i="17" s="1"/>
  <c r="C305" i="17"/>
  <c r="I305" i="17"/>
  <c r="F305" i="17"/>
  <c r="S305" i="17"/>
  <c r="E305" i="17"/>
  <c r="B306" i="17" l="1"/>
  <c r="K306" i="17" s="1"/>
  <c r="L306" i="17" s="1"/>
  <c r="Q306" i="17" l="1"/>
  <c r="R306" i="17" s="1"/>
  <c r="D306" i="17"/>
  <c r="H306" i="17"/>
  <c r="J307" i="17" s="1"/>
  <c r="M306" i="17"/>
  <c r="N306" i="17" s="1"/>
  <c r="E306" i="17"/>
  <c r="S306" i="17"/>
  <c r="G306" i="17"/>
  <c r="C306" i="17"/>
  <c r="I306" i="17"/>
  <c r="O306" i="17"/>
  <c r="P306" i="17" s="1"/>
  <c r="F306" i="17"/>
  <c r="B307" i="17" l="1"/>
  <c r="F307" i="17" s="1"/>
  <c r="E307" i="17" l="1"/>
  <c r="M307" i="17"/>
  <c r="N307" i="17" s="1"/>
  <c r="G307" i="17"/>
  <c r="I307" i="17"/>
  <c r="O307" i="17"/>
  <c r="P307" i="17" s="1"/>
  <c r="K307" i="17"/>
  <c r="L307" i="17" s="1"/>
  <c r="Q307" i="17"/>
  <c r="R307" i="17" s="1"/>
  <c r="D307" i="17"/>
  <c r="S307" i="17"/>
  <c r="H307" i="17"/>
  <c r="J308" i="17" s="1"/>
  <c r="C307" i="17"/>
  <c r="B308" i="17" l="1"/>
  <c r="E308" i="17" s="1"/>
  <c r="Q308" i="17" l="1"/>
  <c r="R308" i="17" s="1"/>
  <c r="M308" i="17"/>
  <c r="N308" i="17" s="1"/>
  <c r="O308" i="17"/>
  <c r="P308" i="17" s="1"/>
  <c r="D308" i="17"/>
  <c r="H308" i="17"/>
  <c r="J309" i="17" s="1"/>
  <c r="I308" i="17"/>
  <c r="K308" i="17"/>
  <c r="L308" i="17" s="1"/>
  <c r="F308" i="17"/>
  <c r="G308" i="17"/>
  <c r="S308" i="17"/>
  <c r="C308" i="17"/>
  <c r="B309" i="17" l="1"/>
  <c r="C309" i="17" s="1"/>
  <c r="M309" i="17" l="1"/>
  <c r="N309" i="17" s="1"/>
  <c r="K309" i="17"/>
  <c r="L309" i="17" s="1"/>
  <c r="H309" i="17"/>
  <c r="J310" i="17" s="1"/>
  <c r="I309" i="17"/>
  <c r="E309" i="17"/>
  <c r="D309" i="17"/>
  <c r="Q309" i="17"/>
  <c r="R309" i="17" s="1"/>
  <c r="G309" i="17"/>
  <c r="F309" i="17"/>
  <c r="O309" i="17"/>
  <c r="P309" i="17" s="1"/>
  <c r="S309" i="17"/>
  <c r="B310" i="17" l="1"/>
  <c r="D310" i="17" s="1"/>
  <c r="M310" i="17" l="1"/>
  <c r="N310" i="17" s="1"/>
  <c r="E310" i="17"/>
  <c r="O310" i="17"/>
  <c r="P310" i="17" s="1"/>
  <c r="Q310" i="17"/>
  <c r="R310" i="17" s="1"/>
  <c r="G310" i="17"/>
  <c r="I310" i="17"/>
  <c r="S310" i="17"/>
  <c r="H310" i="17"/>
  <c r="J311" i="17" s="1"/>
  <c r="C310" i="17"/>
  <c r="K310" i="17"/>
  <c r="L310" i="17" s="1"/>
  <c r="F310" i="17"/>
  <c r="B311" i="17" l="1"/>
  <c r="G311" i="17" s="1"/>
  <c r="D311" i="17" l="1"/>
  <c r="E311" i="17"/>
  <c r="I311" i="17"/>
  <c r="K311" i="17"/>
  <c r="L311" i="17" s="1"/>
  <c r="F311" i="17"/>
  <c r="C311" i="17"/>
  <c r="O311" i="17"/>
  <c r="P311" i="17" s="1"/>
  <c r="H311" i="17"/>
  <c r="J312" i="17" s="1"/>
  <c r="M311" i="17"/>
  <c r="N311" i="17" s="1"/>
  <c r="Q311" i="17"/>
  <c r="R311" i="17" s="1"/>
  <c r="S311" i="17"/>
  <c r="B312" i="17" l="1"/>
  <c r="F312" i="17" s="1"/>
  <c r="M312" i="17" l="1"/>
  <c r="N312" i="17" s="1"/>
  <c r="H312" i="17"/>
  <c r="J313" i="17" s="1"/>
  <c r="O312" i="17"/>
  <c r="P312" i="17" s="1"/>
  <c r="C312" i="17"/>
  <c r="K312" i="17"/>
  <c r="L312" i="17" s="1"/>
  <c r="I312" i="17"/>
  <c r="E312" i="17"/>
  <c r="G312" i="17"/>
  <c r="S312" i="17"/>
  <c r="Q312" i="17"/>
  <c r="R312" i="17" s="1"/>
  <c r="D312" i="17"/>
  <c r="B313" i="17" l="1"/>
  <c r="E313" i="17" s="1"/>
  <c r="I313" i="17" l="1"/>
  <c r="C313" i="17"/>
  <c r="O313" i="17"/>
  <c r="P313" i="17" s="1"/>
  <c r="S313" i="17"/>
  <c r="H313" i="17"/>
  <c r="J314" i="17" s="1"/>
  <c r="Q313" i="17"/>
  <c r="R313" i="17" s="1"/>
  <c r="D313" i="17"/>
  <c r="F313" i="17"/>
  <c r="M313" i="17"/>
  <c r="N313" i="17" s="1"/>
  <c r="K313" i="17"/>
  <c r="L313" i="17" s="1"/>
  <c r="G313" i="17"/>
  <c r="B314" i="17" l="1"/>
  <c r="G314" i="17" s="1"/>
  <c r="E314" i="17" l="1"/>
  <c r="S314" i="17"/>
  <c r="I314" i="17"/>
  <c r="K314" i="17"/>
  <c r="L314" i="17" s="1"/>
  <c r="H314" i="17"/>
  <c r="J315" i="17" s="1"/>
  <c r="D314" i="17"/>
  <c r="M314" i="17"/>
  <c r="N314" i="17" s="1"/>
  <c r="C314" i="17"/>
  <c r="F314" i="17"/>
  <c r="Q314" i="17"/>
  <c r="R314" i="17" s="1"/>
  <c r="O314" i="17"/>
  <c r="P314" i="17" s="1"/>
  <c r="B315" i="17" l="1"/>
  <c r="K315" i="17" s="1"/>
  <c r="L315" i="17" s="1"/>
  <c r="Q315" i="17" l="1"/>
  <c r="R315" i="17" s="1"/>
  <c r="H315" i="17"/>
  <c r="J316" i="17" s="1"/>
  <c r="F315" i="17"/>
  <c r="E315" i="17"/>
  <c r="I315" i="17"/>
  <c r="C315" i="17"/>
  <c r="S315" i="17"/>
  <c r="O315" i="17"/>
  <c r="P315" i="17" s="1"/>
  <c r="G315" i="17"/>
  <c r="D315" i="17"/>
  <c r="M315" i="17"/>
  <c r="N315" i="17" s="1"/>
  <c r="B316" i="17" l="1"/>
  <c r="D316" i="17" s="1"/>
  <c r="C316" i="17" l="1"/>
  <c r="O316" i="17"/>
  <c r="P316" i="17" s="1"/>
  <c r="H316" i="17"/>
  <c r="J317" i="17" s="1"/>
  <c r="I316" i="17"/>
  <c r="E316" i="17"/>
  <c r="S316" i="17"/>
  <c r="K316" i="17"/>
  <c r="L316" i="17" s="1"/>
  <c r="G316" i="17"/>
  <c r="M316" i="17"/>
  <c r="N316" i="17" s="1"/>
  <c r="F316" i="17"/>
  <c r="Q316" i="17"/>
  <c r="R316" i="17" s="1"/>
  <c r="B317" i="17" l="1"/>
  <c r="C317" i="17" s="1"/>
  <c r="E317" i="17" l="1"/>
  <c r="H317" i="17"/>
  <c r="J318" i="17" s="1"/>
  <c r="D317" i="17"/>
  <c r="K317" i="17"/>
  <c r="L317" i="17" s="1"/>
  <c r="I317" i="17"/>
  <c r="G317" i="17"/>
  <c r="S317" i="17"/>
  <c r="O317" i="17"/>
  <c r="P317" i="17" s="1"/>
  <c r="F317" i="17"/>
  <c r="Q317" i="17"/>
  <c r="R317" i="17" s="1"/>
  <c r="M317" i="17"/>
  <c r="N317" i="17" s="1"/>
  <c r="B318" i="17" l="1"/>
  <c r="Q318" i="17" s="1"/>
  <c r="R318" i="17" s="1"/>
  <c r="I318" i="17" l="1"/>
  <c r="S318" i="17"/>
  <c r="H318" i="17"/>
  <c r="J319" i="17" s="1"/>
  <c r="E318" i="17"/>
  <c r="M318" i="17"/>
  <c r="N318" i="17" s="1"/>
  <c r="G318" i="17"/>
  <c r="K318" i="17"/>
  <c r="L318" i="17" s="1"/>
  <c r="O318" i="17"/>
  <c r="P318" i="17" s="1"/>
  <c r="B319" i="17" s="1"/>
  <c r="F318" i="17"/>
  <c r="D318" i="17"/>
  <c r="C318" i="17"/>
  <c r="Q319" i="17" l="1"/>
  <c r="R319" i="17" s="1"/>
  <c r="M319" i="17"/>
  <c r="N319" i="17" s="1"/>
  <c r="F319" i="17"/>
  <c r="H319" i="17"/>
  <c r="J320" i="17" s="1"/>
  <c r="I319" i="17"/>
  <c r="O319" i="17"/>
  <c r="P319" i="17" s="1"/>
  <c r="D319" i="17"/>
  <c r="C319" i="17"/>
  <c r="E319" i="17"/>
  <c r="G319" i="17"/>
  <c r="K319" i="17"/>
  <c r="L319" i="17" s="1"/>
  <c r="S319" i="17"/>
  <c r="B320" i="17" l="1"/>
  <c r="M320" i="17" s="1"/>
  <c r="N320" i="17" s="1"/>
  <c r="G320" i="17" l="1"/>
  <c r="C320" i="17"/>
  <c r="O320" i="17"/>
  <c r="P320" i="17" s="1"/>
  <c r="H320" i="17"/>
  <c r="J321" i="17" s="1"/>
  <c r="K320" i="17"/>
  <c r="L320" i="17" s="1"/>
  <c r="F320" i="17"/>
  <c r="Q320" i="17"/>
  <c r="R320" i="17" s="1"/>
  <c r="I320" i="17"/>
  <c r="E320" i="17"/>
  <c r="D320" i="17"/>
  <c r="S320" i="17"/>
  <c r="B321" i="17" l="1"/>
  <c r="G321" i="17" s="1"/>
  <c r="E321" i="17" l="1"/>
  <c r="S321" i="17"/>
  <c r="D321" i="17"/>
  <c r="M321" i="17"/>
  <c r="N321" i="17" s="1"/>
  <c r="H321" i="17"/>
  <c r="J322" i="17" s="1"/>
  <c r="C321" i="17"/>
  <c r="Q321" i="17"/>
  <c r="R321" i="17" s="1"/>
  <c r="F321" i="17"/>
  <c r="O321" i="17"/>
  <c r="P321" i="17" s="1"/>
  <c r="K321" i="17"/>
  <c r="L321" i="17" s="1"/>
  <c r="I321" i="17"/>
  <c r="B322" i="17" l="1"/>
  <c r="Q322" i="17" s="1"/>
  <c r="R322" i="17" s="1"/>
  <c r="K322" i="17" l="1"/>
  <c r="L322" i="17" s="1"/>
  <c r="I322" i="17"/>
  <c r="F322" i="17"/>
  <c r="H322" i="17"/>
  <c r="J323" i="17" s="1"/>
  <c r="D322" i="17"/>
  <c r="O322" i="17"/>
  <c r="P322" i="17" s="1"/>
  <c r="B323" i="17" s="1"/>
  <c r="I323" i="17" s="1"/>
  <c r="E322" i="17"/>
  <c r="C322" i="17"/>
  <c r="G322" i="17"/>
  <c r="S322" i="17"/>
  <c r="M322" i="17"/>
  <c r="N322" i="17" s="1"/>
  <c r="G323" i="17" l="1"/>
  <c r="S323" i="17"/>
  <c r="F323" i="17"/>
  <c r="H323" i="17"/>
  <c r="J324" i="17" s="1"/>
  <c r="D323" i="17"/>
  <c r="Q323" i="17"/>
  <c r="R323" i="17" s="1"/>
  <c r="O323" i="17"/>
  <c r="P323" i="17" s="1"/>
  <c r="E323" i="17"/>
  <c r="C323" i="17"/>
  <c r="K323" i="17"/>
  <c r="L323" i="17" s="1"/>
  <c r="M323" i="17"/>
  <c r="N323" i="17" s="1"/>
  <c r="B324" i="17" l="1"/>
  <c r="I324" i="17" s="1"/>
  <c r="C324" i="17"/>
  <c r="D324" i="17" l="1"/>
  <c r="H324" i="17"/>
  <c r="J325" i="17" s="1"/>
  <c r="M324" i="17"/>
  <c r="N324" i="17" s="1"/>
  <c r="S324" i="17"/>
  <c r="Q324" i="17"/>
  <c r="R324" i="17" s="1"/>
  <c r="O324" i="17"/>
  <c r="P324" i="17" s="1"/>
  <c r="E324" i="17"/>
  <c r="F324" i="17"/>
  <c r="G324" i="17"/>
  <c r="K324" i="17"/>
  <c r="L324" i="17" s="1"/>
  <c r="B325" i="17" l="1"/>
  <c r="Q325" i="17" s="1"/>
  <c r="R325" i="17" s="1"/>
  <c r="E325" i="17" l="1"/>
  <c r="D325" i="17"/>
  <c r="I325" i="17"/>
  <c r="M325" i="17"/>
  <c r="N325" i="17" s="1"/>
  <c r="S325" i="17"/>
  <c r="C325" i="17"/>
  <c r="K325" i="17"/>
  <c r="L325" i="17" s="1"/>
  <c r="O325" i="17"/>
  <c r="P325" i="17" s="1"/>
  <c r="B326" i="17" s="1"/>
  <c r="F325" i="17"/>
  <c r="G325" i="17"/>
  <c r="H325" i="17"/>
  <c r="J326" i="17" s="1"/>
  <c r="D326" i="17" l="1"/>
  <c r="K326" i="17"/>
  <c r="L326" i="17" s="1"/>
  <c r="I326" i="17"/>
  <c r="M326" i="17"/>
  <c r="N326" i="17" s="1"/>
  <c r="H326" i="17"/>
  <c r="J327" i="17" s="1"/>
  <c r="S326" i="17"/>
  <c r="Q326" i="17"/>
  <c r="R326" i="17" s="1"/>
  <c r="O326" i="17"/>
  <c r="P326" i="17" s="1"/>
  <c r="G326" i="17"/>
  <c r="F326" i="17"/>
  <c r="E326" i="17"/>
  <c r="C326" i="17"/>
  <c r="B327" i="17" l="1"/>
  <c r="D327" i="17" s="1"/>
  <c r="E327" i="17" l="1"/>
  <c r="H327" i="17"/>
  <c r="J328" i="17" s="1"/>
  <c r="I327" i="17"/>
  <c r="S327" i="17"/>
  <c r="Q327" i="17"/>
  <c r="R327" i="17" s="1"/>
  <c r="M327" i="17"/>
  <c r="N327" i="17" s="1"/>
  <c r="O327" i="17"/>
  <c r="P327" i="17" s="1"/>
  <c r="C327" i="17"/>
  <c r="F327" i="17"/>
  <c r="G327" i="17"/>
  <c r="K327" i="17"/>
  <c r="L327" i="17" s="1"/>
  <c r="B328" i="17" l="1"/>
  <c r="D328" i="17" s="1"/>
  <c r="H328" i="17" l="1"/>
  <c r="J329" i="17" s="1"/>
  <c r="E328" i="17"/>
  <c r="G328" i="17"/>
  <c r="C328" i="17"/>
  <c r="S328" i="17"/>
  <c r="O328" i="17"/>
  <c r="P328" i="17" s="1"/>
  <c r="M328" i="17"/>
  <c r="N328" i="17" s="1"/>
  <c r="F328" i="17"/>
  <c r="K328" i="17"/>
  <c r="L328" i="17" s="1"/>
  <c r="I328" i="17"/>
  <c r="Q328" i="17"/>
  <c r="R328" i="17" s="1"/>
  <c r="B329" i="17" l="1"/>
  <c r="O329" i="17" l="1"/>
  <c r="P329" i="17" s="1"/>
  <c r="G329" i="17"/>
  <c r="E329" i="17"/>
  <c r="Q329" i="17"/>
  <c r="R329" i="17" s="1"/>
  <c r="F329" i="17"/>
  <c r="H329" i="17"/>
  <c r="J330" i="17" s="1"/>
  <c r="K329" i="17"/>
  <c r="L329" i="17" s="1"/>
  <c r="S329" i="17"/>
  <c r="I329" i="17"/>
  <c r="M329" i="17"/>
  <c r="N329" i="17" s="1"/>
  <c r="C329" i="17"/>
  <c r="D329" i="17"/>
  <c r="B330" i="17" l="1"/>
  <c r="D330" i="17" s="1"/>
  <c r="M330" i="17" l="1"/>
  <c r="N330" i="17" s="1"/>
  <c r="H330" i="17"/>
  <c r="J331" i="17" s="1"/>
  <c r="E330" i="17"/>
  <c r="S330" i="17"/>
  <c r="C330" i="17"/>
  <c r="Q330" i="17"/>
  <c r="R330" i="17" s="1"/>
  <c r="F330" i="17"/>
  <c r="I330" i="17"/>
  <c r="G330" i="17"/>
  <c r="O330" i="17"/>
  <c r="P330" i="17" s="1"/>
  <c r="K330" i="17"/>
  <c r="L330" i="17" s="1"/>
  <c r="B331" i="17" l="1"/>
  <c r="I331" i="17" l="1"/>
  <c r="Q331" i="17"/>
  <c r="R331" i="17" s="1"/>
  <c r="O331" i="17"/>
  <c r="P331" i="17" s="1"/>
  <c r="H331" i="17"/>
  <c r="J332" i="17" s="1"/>
  <c r="C331" i="17"/>
  <c r="M331" i="17"/>
  <c r="N331" i="17" s="1"/>
  <c r="K331" i="17"/>
  <c r="L331" i="17" s="1"/>
  <c r="G331" i="17"/>
  <c r="F331" i="17"/>
  <c r="E331" i="17"/>
  <c r="S331" i="17"/>
  <c r="D331" i="17"/>
  <c r="B332" i="17" l="1"/>
  <c r="D332" i="17" s="1"/>
  <c r="H332" i="17" l="1"/>
  <c r="J333" i="17" s="1"/>
  <c r="E332" i="17"/>
  <c r="G332" i="17"/>
  <c r="S332" i="17"/>
  <c r="F332" i="17"/>
  <c r="Q332" i="17"/>
  <c r="R332" i="17" s="1"/>
  <c r="C332" i="17"/>
  <c r="I332" i="17"/>
  <c r="K332" i="17"/>
  <c r="L332" i="17" s="1"/>
  <c r="O332" i="17"/>
  <c r="P332" i="17" s="1"/>
  <c r="M332" i="17"/>
  <c r="N332" i="17" s="1"/>
  <c r="B333" i="17" l="1"/>
  <c r="D333" i="17" s="1"/>
  <c r="S333" i="17" l="1"/>
  <c r="I333" i="17"/>
  <c r="G333" i="17"/>
  <c r="C333" i="17"/>
  <c r="O333" i="17"/>
  <c r="P333" i="17" s="1"/>
  <c r="Q333" i="17"/>
  <c r="R333" i="17" s="1"/>
  <c r="K333" i="17"/>
  <c r="L333" i="17" s="1"/>
  <c r="M333" i="17"/>
  <c r="N333" i="17" s="1"/>
  <c r="H333" i="17"/>
  <c r="J334" i="17" s="1"/>
  <c r="F333" i="17"/>
  <c r="E333" i="17"/>
  <c r="B334" i="17" l="1"/>
  <c r="E334" i="17" l="1"/>
  <c r="G334" i="17"/>
  <c r="Q334" i="17"/>
  <c r="R334" i="17" s="1"/>
  <c r="S334" i="17"/>
  <c r="I334" i="17"/>
  <c r="M334" i="17"/>
  <c r="N334" i="17" s="1"/>
  <c r="H334" i="17"/>
  <c r="J335" i="17" s="1"/>
  <c r="O334" i="17"/>
  <c r="P334" i="17" s="1"/>
  <c r="K334" i="17"/>
  <c r="L334" i="17" s="1"/>
  <c r="C334" i="17"/>
  <c r="F334" i="17"/>
  <c r="D334" i="17"/>
  <c r="B335" i="17" l="1"/>
  <c r="D335" i="17" s="1"/>
  <c r="E335" i="17" l="1"/>
  <c r="I335" i="17"/>
  <c r="Q335" i="17"/>
  <c r="R335" i="17" s="1"/>
  <c r="S335" i="17"/>
  <c r="O335" i="17"/>
  <c r="P335" i="17" s="1"/>
  <c r="F335" i="17"/>
  <c r="K335" i="17"/>
  <c r="L335" i="17" s="1"/>
  <c r="G335" i="17"/>
  <c r="C335" i="17"/>
  <c r="M335" i="17"/>
  <c r="N335" i="17" s="1"/>
  <c r="H335" i="17"/>
  <c r="J336" i="17" s="1"/>
  <c r="B336" i="17" l="1"/>
  <c r="I336" i="17" s="1"/>
  <c r="Q336" i="17" l="1"/>
  <c r="R336" i="17" s="1"/>
  <c r="G336" i="17"/>
  <c r="H336" i="17"/>
  <c r="J337" i="17" s="1"/>
  <c r="S336" i="17"/>
  <c r="C336" i="17"/>
  <c r="E336" i="17"/>
  <c r="F336" i="17"/>
  <c r="O336" i="17"/>
  <c r="P336" i="17" s="1"/>
  <c r="K336" i="17"/>
  <c r="L336" i="17" s="1"/>
  <c r="D336" i="17"/>
  <c r="M336" i="17"/>
  <c r="N336" i="17" s="1"/>
  <c r="B337" i="17" l="1"/>
  <c r="D337" i="17" s="1"/>
  <c r="F337" i="17" l="1"/>
  <c r="K337" i="17"/>
  <c r="L337" i="17" s="1"/>
  <c r="E337" i="17"/>
  <c r="C337" i="17"/>
  <c r="O337" i="17"/>
  <c r="P337" i="17" s="1"/>
  <c r="S337" i="17"/>
  <c r="I337" i="17"/>
  <c r="M337" i="17"/>
  <c r="N337" i="17" s="1"/>
  <c r="G337" i="17"/>
  <c r="H337" i="17"/>
  <c r="J338" i="17" s="1"/>
  <c r="Q337" i="17"/>
  <c r="R337" i="17" s="1"/>
  <c r="B338" i="17" l="1"/>
  <c r="I338" i="17" s="1"/>
  <c r="E338" i="17" l="1"/>
  <c r="D338" i="17"/>
  <c r="O338" i="17"/>
  <c r="P338" i="17" s="1"/>
  <c r="K338" i="17"/>
  <c r="L338" i="17" s="1"/>
  <c r="F338" i="17"/>
  <c r="Q338" i="17"/>
  <c r="R338" i="17" s="1"/>
  <c r="H338" i="17"/>
  <c r="J339" i="17" s="1"/>
  <c r="G338" i="17"/>
  <c r="S338" i="17"/>
  <c r="C338" i="17"/>
  <c r="M338" i="17"/>
  <c r="N338" i="17" s="1"/>
  <c r="B339" i="17" l="1"/>
  <c r="O339" i="17" s="1"/>
  <c r="P339" i="17" s="1"/>
  <c r="E339" i="17" l="1"/>
  <c r="H339" i="17"/>
  <c r="J340" i="17" s="1"/>
  <c r="M339" i="17"/>
  <c r="N339" i="17" s="1"/>
  <c r="Q339" i="17"/>
  <c r="R339" i="17" s="1"/>
  <c r="I339" i="17"/>
  <c r="F339" i="17"/>
  <c r="C339" i="17"/>
  <c r="G339" i="17"/>
  <c r="K339" i="17"/>
  <c r="L339" i="17" s="1"/>
  <c r="D339" i="17"/>
  <c r="S339" i="17"/>
  <c r="B340" i="17" l="1"/>
  <c r="Q340" i="17" s="1"/>
  <c r="R340" i="17" s="1"/>
  <c r="D340" i="17" l="1"/>
  <c r="G340" i="17"/>
  <c r="E340" i="17"/>
  <c r="I340" i="17"/>
  <c r="S340" i="17"/>
  <c r="H340" i="17"/>
  <c r="J341" i="17" s="1"/>
  <c r="M340" i="17"/>
  <c r="N340" i="17" s="1"/>
  <c r="O340" i="17"/>
  <c r="P340" i="17" s="1"/>
  <c r="B341" i="17" s="1"/>
  <c r="K340" i="17"/>
  <c r="L340" i="17" s="1"/>
  <c r="F340" i="17"/>
  <c r="C340" i="17"/>
  <c r="D341" i="17" l="1"/>
  <c r="O341" i="17"/>
  <c r="P341" i="17" s="1"/>
  <c r="H341" i="17"/>
  <c r="J342" i="17" s="1"/>
  <c r="K341" i="17"/>
  <c r="L341" i="17" s="1"/>
  <c r="C341" i="17"/>
  <c r="M341" i="17"/>
  <c r="N341" i="17" s="1"/>
  <c r="S341" i="17"/>
  <c r="G341" i="17"/>
  <c r="E341" i="17"/>
  <c r="F341" i="17"/>
  <c r="I341" i="17"/>
  <c r="Q341" i="17"/>
  <c r="R341" i="17" s="1"/>
  <c r="B342" i="17" l="1"/>
  <c r="D342" i="17" s="1"/>
  <c r="G342" i="17" l="1"/>
  <c r="S342" i="17"/>
  <c r="F342" i="17"/>
  <c r="Q342" i="17"/>
  <c r="R342" i="17" s="1"/>
  <c r="O342" i="17"/>
  <c r="P342" i="17" s="1"/>
  <c r="I342" i="17"/>
  <c r="H342" i="17"/>
  <c r="J343" i="17" s="1"/>
  <c r="C342" i="17"/>
  <c r="M342" i="17"/>
  <c r="N342" i="17" s="1"/>
  <c r="K342" i="17"/>
  <c r="L342" i="17" s="1"/>
  <c r="E342" i="17"/>
  <c r="B343" i="17" l="1"/>
  <c r="E343" i="17" s="1"/>
  <c r="C343" i="17" l="1"/>
  <c r="H343" i="17"/>
  <c r="J344" i="17" s="1"/>
  <c r="D343" i="17"/>
  <c r="Q343" i="17"/>
  <c r="R343" i="17" s="1"/>
  <c r="S343" i="17"/>
  <c r="I343" i="17"/>
  <c r="K343" i="17"/>
  <c r="L343" i="17" s="1"/>
  <c r="M343" i="17"/>
  <c r="N343" i="17" s="1"/>
  <c r="G343" i="17"/>
  <c r="F343" i="17"/>
  <c r="O343" i="17"/>
  <c r="P343" i="17" s="1"/>
  <c r="B344" i="17" l="1"/>
  <c r="D344" i="17" s="1"/>
  <c r="I344" i="17" l="1"/>
  <c r="E344" i="17"/>
  <c r="G344" i="17"/>
  <c r="F344" i="17"/>
  <c r="O344" i="17"/>
  <c r="P344" i="17" s="1"/>
  <c r="M344" i="17"/>
  <c r="N344" i="17" s="1"/>
  <c r="C344" i="17"/>
  <c r="S344" i="17"/>
  <c r="H344" i="17"/>
  <c r="J345" i="17" s="1"/>
  <c r="Q344" i="17"/>
  <c r="R344" i="17" s="1"/>
  <c r="K344" i="17"/>
  <c r="L344" i="17" s="1"/>
  <c r="B345" i="17" l="1"/>
  <c r="E345" i="17" s="1"/>
  <c r="H345" i="17" l="1"/>
  <c r="J346" i="17" s="1"/>
  <c r="F345" i="17"/>
  <c r="I345" i="17"/>
  <c r="M345" i="17"/>
  <c r="N345" i="17" s="1"/>
  <c r="O345" i="17"/>
  <c r="P345" i="17" s="1"/>
  <c r="D345" i="17"/>
  <c r="G345" i="17"/>
  <c r="K345" i="17"/>
  <c r="L345" i="17" s="1"/>
  <c r="Q345" i="17"/>
  <c r="R345" i="17" s="1"/>
  <c r="S345" i="17"/>
  <c r="C345" i="17"/>
  <c r="B346" i="17" l="1"/>
  <c r="F346" i="17" s="1"/>
  <c r="M346" i="17" l="1"/>
  <c r="N346" i="17" s="1"/>
  <c r="H346" i="17"/>
  <c r="J347" i="17" s="1"/>
  <c r="S346" i="17"/>
  <c r="K346" i="17"/>
  <c r="L346" i="17" s="1"/>
  <c r="O346" i="17"/>
  <c r="P346" i="17" s="1"/>
  <c r="G346" i="17"/>
  <c r="D346" i="17"/>
  <c r="Q346" i="17"/>
  <c r="R346" i="17" s="1"/>
  <c r="E346" i="17"/>
  <c r="I346" i="17"/>
  <c r="C346" i="17"/>
  <c r="B347" i="17" l="1"/>
  <c r="C347" i="17" s="1"/>
  <c r="O347" i="17" l="1"/>
  <c r="P347" i="17" s="1"/>
  <c r="D347" i="17"/>
  <c r="F347" i="17"/>
  <c r="H347" i="17"/>
  <c r="J348" i="17" s="1"/>
  <c r="I347" i="17"/>
  <c r="Q347" i="17"/>
  <c r="R347" i="17" s="1"/>
  <c r="E347" i="17"/>
  <c r="S347" i="17"/>
  <c r="M347" i="17"/>
  <c r="N347" i="17" s="1"/>
  <c r="K347" i="17"/>
  <c r="L347" i="17" s="1"/>
  <c r="G347" i="17"/>
  <c r="B348" i="17" l="1"/>
  <c r="I348" i="17" s="1"/>
  <c r="O348" i="17" l="1"/>
  <c r="P348" i="17" s="1"/>
  <c r="C348" i="17"/>
  <c r="K348" i="17"/>
  <c r="L348" i="17" s="1"/>
  <c r="S348" i="17"/>
  <c r="E348" i="17"/>
  <c r="Q348" i="17"/>
  <c r="R348" i="17" s="1"/>
  <c r="H348" i="17"/>
  <c r="J349" i="17" s="1"/>
  <c r="G348" i="17"/>
  <c r="D348" i="17"/>
  <c r="M348" i="17"/>
  <c r="N348" i="17" s="1"/>
  <c r="F348" i="17"/>
  <c r="B349" i="17" l="1"/>
  <c r="O349" i="17" s="1"/>
  <c r="P349" i="17" s="1"/>
  <c r="M349" i="17" l="1"/>
  <c r="N349" i="17" s="1"/>
  <c r="D349" i="17"/>
  <c r="F349" i="17"/>
  <c r="I349" i="17"/>
  <c r="S349" i="17"/>
  <c r="H349" i="17"/>
  <c r="J350" i="17" s="1"/>
  <c r="C349" i="17"/>
  <c r="E349" i="17"/>
  <c r="Q349" i="17"/>
  <c r="R349" i="17" s="1"/>
  <c r="B350" i="17" s="1"/>
  <c r="K349" i="17"/>
  <c r="L349" i="17" s="1"/>
  <c r="G349" i="17"/>
  <c r="D350" i="17" l="1"/>
  <c r="H350" i="17"/>
  <c r="J351" i="17" s="1"/>
  <c r="K350" i="17"/>
  <c r="L350" i="17" s="1"/>
  <c r="Q350" i="17"/>
  <c r="R350" i="17" s="1"/>
  <c r="C350" i="17"/>
  <c r="E350" i="17"/>
  <c r="S350" i="17"/>
  <c r="F350" i="17"/>
  <c r="M350" i="17"/>
  <c r="N350" i="17" s="1"/>
  <c r="I350" i="17"/>
  <c r="G350" i="17"/>
  <c r="O350" i="17"/>
  <c r="P350" i="17" s="1"/>
  <c r="B351" i="17" l="1"/>
  <c r="I351" i="17" s="1"/>
  <c r="D351" i="17" l="1"/>
  <c r="E351" i="17"/>
  <c r="O351" i="17"/>
  <c r="P351" i="17" s="1"/>
  <c r="C351" i="17"/>
  <c r="G351" i="17"/>
  <c r="S351" i="17"/>
  <c r="H351" i="17"/>
  <c r="J352" i="17" s="1"/>
  <c r="Q351" i="17"/>
  <c r="R351" i="17" s="1"/>
  <c r="M351" i="17"/>
  <c r="N351" i="17" s="1"/>
  <c r="K351" i="17"/>
  <c r="L351" i="17" s="1"/>
  <c r="F351" i="17"/>
  <c r="B352" i="17" l="1"/>
  <c r="D352" i="17" s="1"/>
  <c r="G352" i="17" l="1"/>
  <c r="F352" i="17"/>
  <c r="Q352" i="17"/>
  <c r="R352" i="17" s="1"/>
  <c r="M352" i="17"/>
  <c r="N352" i="17" s="1"/>
  <c r="E352" i="17"/>
  <c r="I352" i="17"/>
  <c r="H352" i="17"/>
  <c r="J353" i="17" s="1"/>
  <c r="C352" i="17"/>
  <c r="S352" i="17"/>
  <c r="K352" i="17"/>
  <c r="L352" i="17" s="1"/>
  <c r="O352" i="17"/>
  <c r="P352" i="17" s="1"/>
  <c r="B353" i="17" l="1"/>
  <c r="D353" i="17" s="1"/>
  <c r="M353" i="17" l="1"/>
  <c r="N353" i="17" s="1"/>
  <c r="C353" i="17"/>
  <c r="I353" i="17"/>
  <c r="G353" i="17"/>
  <c r="S353" i="17"/>
  <c r="Q353" i="17"/>
  <c r="R353" i="17" s="1"/>
  <c r="F353" i="17"/>
  <c r="H353" i="17"/>
  <c r="J354" i="17" s="1"/>
  <c r="O353" i="17"/>
  <c r="P353" i="17" s="1"/>
  <c r="K353" i="17"/>
  <c r="L353" i="17" s="1"/>
  <c r="E353" i="17"/>
  <c r="B354" i="17" l="1"/>
  <c r="D354" i="17" s="1"/>
  <c r="K354" i="17" l="1"/>
  <c r="L354" i="17" s="1"/>
  <c r="O354" i="17"/>
  <c r="P354" i="17" s="1"/>
  <c r="S354" i="17"/>
  <c r="I354" i="17"/>
  <c r="Q354" i="17"/>
  <c r="R354" i="17" s="1"/>
  <c r="H354" i="17"/>
  <c r="J355" i="17" s="1"/>
  <c r="C354" i="17"/>
  <c r="G354" i="17"/>
  <c r="E354" i="17"/>
  <c r="F354" i="17"/>
  <c r="M354" i="17"/>
  <c r="N354" i="17" s="1"/>
  <c r="B355" i="17" l="1"/>
  <c r="G355" i="17" s="1"/>
  <c r="S355" i="17" l="1"/>
  <c r="C355" i="17"/>
  <c r="D355" i="17"/>
  <c r="H355" i="17"/>
  <c r="J356" i="17" s="1"/>
  <c r="Q355" i="17"/>
  <c r="R355" i="17" s="1"/>
  <c r="K355" i="17"/>
  <c r="L355" i="17" s="1"/>
  <c r="E355" i="17"/>
  <c r="O355" i="17"/>
  <c r="P355" i="17" s="1"/>
  <c r="I355" i="17"/>
  <c r="M355" i="17"/>
  <c r="N355" i="17" s="1"/>
  <c r="F355" i="17"/>
  <c r="B356" i="17" l="1"/>
  <c r="D356" i="17" s="1"/>
  <c r="E356" i="17" l="1"/>
  <c r="K356" i="17"/>
  <c r="L356" i="17" s="1"/>
  <c r="I356" i="17"/>
  <c r="S356" i="17"/>
  <c r="C356" i="17"/>
  <c r="O356" i="17"/>
  <c r="P356" i="17" s="1"/>
  <c r="G356" i="17"/>
  <c r="F356" i="17"/>
  <c r="Q356" i="17"/>
  <c r="R356" i="17" s="1"/>
  <c r="M356" i="17"/>
  <c r="N356" i="17" s="1"/>
  <c r="H356" i="17"/>
  <c r="J357" i="17" s="1"/>
  <c r="B357" i="17" l="1"/>
  <c r="D357" i="17" s="1"/>
  <c r="Q357" i="17" l="1"/>
  <c r="R357" i="17" s="1"/>
  <c r="I357" i="17"/>
  <c r="K357" i="17"/>
  <c r="L357" i="17" s="1"/>
  <c r="H357" i="17"/>
  <c r="J358" i="17" s="1"/>
  <c r="E357" i="17"/>
  <c r="C357" i="17"/>
  <c r="M357" i="17"/>
  <c r="N357" i="17" s="1"/>
  <c r="S357" i="17"/>
  <c r="F357" i="17"/>
  <c r="G357" i="17"/>
  <c r="O357" i="17"/>
  <c r="P357" i="17" s="1"/>
  <c r="B358" i="17" l="1"/>
  <c r="O358" i="17" s="1"/>
  <c r="P358" i="17" s="1"/>
  <c r="F358" i="17" l="1"/>
  <c r="I358" i="17"/>
  <c r="H358" i="17"/>
  <c r="J359" i="17" s="1"/>
  <c r="M358" i="17"/>
  <c r="N358" i="17" s="1"/>
  <c r="C358" i="17"/>
  <c r="E358" i="17"/>
  <c r="D358" i="17"/>
  <c r="S358" i="17"/>
  <c r="K358" i="17"/>
  <c r="L358" i="17" s="1"/>
  <c r="Q358" i="17"/>
  <c r="R358" i="17" s="1"/>
  <c r="B359" i="17" s="1"/>
  <c r="G358" i="17"/>
  <c r="D359" i="17" l="1"/>
  <c r="C359" i="17"/>
  <c r="K359" i="17"/>
  <c r="L359" i="17" s="1"/>
  <c r="M359" i="17"/>
  <c r="N359" i="17" s="1"/>
  <c r="I359" i="17"/>
  <c r="H359" i="17"/>
  <c r="J360" i="17" s="1"/>
  <c r="O359" i="17"/>
  <c r="P359" i="17" s="1"/>
  <c r="Q359" i="17"/>
  <c r="R359" i="17" s="1"/>
  <c r="E359" i="17"/>
  <c r="F359" i="17"/>
  <c r="S359" i="17"/>
  <c r="G359" i="17"/>
  <c r="B360" i="17" l="1"/>
  <c r="D360" i="17" s="1"/>
  <c r="G360" i="17" l="1"/>
  <c r="I360" i="17"/>
  <c r="E360" i="17"/>
  <c r="M360" i="17"/>
  <c r="N360" i="17" s="1"/>
  <c r="Q360" i="17"/>
  <c r="R360" i="17" s="1"/>
  <c r="S360" i="17"/>
  <c r="C360" i="17"/>
  <c r="K360" i="17"/>
  <c r="L360" i="17" s="1"/>
  <c r="H360" i="17"/>
  <c r="J361" i="17" s="1"/>
  <c r="O360" i="17"/>
  <c r="P360" i="17" s="1"/>
  <c r="F360" i="17"/>
  <c r="B361" i="17" l="1"/>
  <c r="Q361" i="17" l="1"/>
  <c r="R361" i="17" s="1"/>
  <c r="F361" i="17"/>
  <c r="K361" i="17"/>
  <c r="L361" i="17" s="1"/>
  <c r="C361" i="17"/>
  <c r="H361" i="17"/>
  <c r="J362" i="17" s="1"/>
  <c r="O361" i="17"/>
  <c r="P361" i="17" s="1"/>
  <c r="M361" i="17"/>
  <c r="N361" i="17" s="1"/>
  <c r="S361" i="17"/>
  <c r="I361" i="17"/>
  <c r="G361" i="17"/>
  <c r="E361" i="17"/>
  <c r="D361" i="17"/>
  <c r="B362" i="17" l="1"/>
  <c r="D362" i="17" s="1"/>
  <c r="O362" i="17" l="1"/>
  <c r="P362" i="17" s="1"/>
  <c r="M362" i="17"/>
  <c r="N362" i="17" s="1"/>
  <c r="E362" i="17"/>
  <c r="S362" i="17"/>
  <c r="F362" i="17"/>
  <c r="K362" i="17"/>
  <c r="L362" i="17" s="1"/>
  <c r="H362" i="17"/>
  <c r="J363" i="17" s="1"/>
  <c r="Q362" i="17"/>
  <c r="R362" i="17" s="1"/>
  <c r="G362" i="17"/>
  <c r="I362" i="17"/>
  <c r="C362" i="17"/>
  <c r="B363" i="17" l="1"/>
  <c r="D363" i="17" s="1"/>
  <c r="I363" i="17" l="1"/>
  <c r="C363" i="17"/>
  <c r="O363" i="17"/>
  <c r="P363" i="17" s="1"/>
  <c r="F363" i="17"/>
  <c r="M363" i="17"/>
  <c r="N363" i="17" s="1"/>
  <c r="S363" i="17"/>
  <c r="Q363" i="17"/>
  <c r="R363" i="17" s="1"/>
  <c r="H363" i="17"/>
  <c r="J364" i="17" s="1"/>
  <c r="G363" i="17"/>
  <c r="E363" i="17"/>
  <c r="K363" i="17"/>
  <c r="L363" i="17" s="1"/>
  <c r="B364" i="17" l="1"/>
  <c r="D364" i="17" s="1"/>
  <c r="S364" i="17" l="1"/>
  <c r="G364" i="17"/>
  <c r="H364" i="17"/>
  <c r="J365" i="17" s="1"/>
  <c r="Q364" i="17"/>
  <c r="R364" i="17" s="1"/>
  <c r="F364" i="17"/>
  <c r="C364" i="17"/>
  <c r="K364" i="17"/>
  <c r="L364" i="17" s="1"/>
  <c r="O364" i="17"/>
  <c r="P364" i="17" s="1"/>
  <c r="M364" i="17"/>
  <c r="N364" i="17" s="1"/>
  <c r="E364" i="17"/>
  <c r="I364" i="17"/>
  <c r="B365" i="17" l="1"/>
  <c r="D365" i="17" s="1"/>
  <c r="F365" i="17" l="1"/>
  <c r="O365" i="17"/>
  <c r="P365" i="17" s="1"/>
  <c r="M365" i="17"/>
  <c r="N365" i="17" s="1"/>
  <c r="E365" i="17"/>
  <c r="G365" i="17"/>
  <c r="H365" i="17"/>
  <c r="J366" i="17" s="1"/>
  <c r="C365" i="17"/>
  <c r="Q365" i="17"/>
  <c r="R365" i="17" s="1"/>
  <c r="K365" i="17"/>
  <c r="L365" i="17" s="1"/>
  <c r="S365" i="17"/>
  <c r="I365" i="17"/>
  <c r="B366" i="17" l="1"/>
  <c r="F366" i="17" l="1"/>
  <c r="O366" i="17"/>
  <c r="P366" i="17" s="1"/>
  <c r="G366" i="17"/>
  <c r="S366" i="17"/>
  <c r="C366" i="17"/>
  <c r="E366" i="17"/>
  <c r="H366" i="17"/>
  <c r="J367" i="17" s="1"/>
  <c r="K366" i="17"/>
  <c r="L366" i="17" s="1"/>
  <c r="M366" i="17"/>
  <c r="N366" i="17" s="1"/>
  <c r="Q366" i="17"/>
  <c r="R366" i="17" s="1"/>
  <c r="I366" i="17"/>
  <c r="D366" i="17"/>
  <c r="B367" i="17" l="1"/>
  <c r="D367" i="17" s="1"/>
  <c r="F367" i="17" l="1"/>
  <c r="I367" i="17"/>
  <c r="O367" i="17"/>
  <c r="P367" i="17" s="1"/>
  <c r="H367" i="17"/>
  <c r="J368" i="17" s="1"/>
  <c r="C367" i="17"/>
  <c r="M367" i="17"/>
  <c r="N367" i="17" s="1"/>
  <c r="E367" i="17"/>
  <c r="S367" i="17"/>
  <c r="Q367" i="17"/>
  <c r="R367" i="17" s="1"/>
  <c r="G367" i="17"/>
  <c r="K367" i="17"/>
  <c r="L367" i="17" s="1"/>
  <c r="B368" i="17" l="1"/>
  <c r="D368" i="17" l="1"/>
  <c r="S368" i="17"/>
  <c r="I368" i="17"/>
  <c r="Q368" i="17"/>
  <c r="R368" i="17" s="1"/>
  <c r="F368" i="17"/>
  <c r="C368" i="17"/>
  <c r="E368" i="17"/>
  <c r="K368" i="17"/>
  <c r="L368" i="17" s="1"/>
  <c r="H368" i="17"/>
  <c r="J369" i="17" s="1"/>
  <c r="M368" i="17"/>
  <c r="N368" i="17" s="1"/>
  <c r="O368" i="17"/>
  <c r="P368" i="17" s="1"/>
  <c r="G368" i="17"/>
  <c r="B369" i="17" l="1"/>
  <c r="D369" i="17" s="1"/>
  <c r="S369" i="17" l="1"/>
  <c r="O369" i="17"/>
  <c r="P369" i="17" s="1"/>
  <c r="F369" i="17"/>
  <c r="G369" i="17"/>
  <c r="C369" i="17"/>
  <c r="H369" i="17"/>
  <c r="J370" i="17" s="1"/>
  <c r="Q369" i="17"/>
  <c r="R369" i="17" s="1"/>
  <c r="E369" i="17"/>
  <c r="I369" i="17"/>
  <c r="K369" i="17"/>
  <c r="L369" i="17" s="1"/>
  <c r="M369" i="17"/>
  <c r="N369" i="17" s="1"/>
  <c r="B370" i="17" l="1"/>
  <c r="D370" i="17" s="1"/>
  <c r="E370" i="17" l="1"/>
  <c r="K370" i="17"/>
  <c r="L370" i="17" s="1"/>
  <c r="I370" i="17"/>
  <c r="G370" i="17"/>
  <c r="M370" i="17"/>
  <c r="N370" i="17" s="1"/>
  <c r="S370" i="17"/>
  <c r="C370" i="17"/>
  <c r="O370" i="17"/>
  <c r="P370" i="17" s="1"/>
  <c r="H370" i="17"/>
  <c r="J371" i="17" s="1"/>
  <c r="Q370" i="17"/>
  <c r="R370" i="17" s="1"/>
  <c r="F370" i="17"/>
  <c r="B371" i="17" l="1"/>
  <c r="I371" i="17" s="1"/>
  <c r="M371" i="17" l="1"/>
  <c r="N371" i="17" s="1"/>
  <c r="O371" i="17"/>
  <c r="P371" i="17" s="1"/>
  <c r="F371" i="17"/>
  <c r="H371" i="17"/>
  <c r="J372" i="17" s="1"/>
  <c r="C371" i="17"/>
  <c r="D371" i="17"/>
  <c r="K371" i="17"/>
  <c r="L371" i="17" s="1"/>
  <c r="E371" i="17"/>
  <c r="G371" i="17"/>
  <c r="Q371" i="17"/>
  <c r="R371" i="17" s="1"/>
  <c r="S371" i="17"/>
  <c r="B372" i="17" l="1"/>
  <c r="G372" i="17" s="1"/>
  <c r="I372" i="17" l="1"/>
  <c r="O372" i="17"/>
  <c r="P372" i="17" s="1"/>
  <c r="S372" i="17"/>
  <c r="K372" i="17"/>
  <c r="L372" i="17" s="1"/>
  <c r="F372" i="17"/>
  <c r="M372" i="17"/>
  <c r="N372" i="17" s="1"/>
  <c r="H372" i="17"/>
  <c r="J373" i="17" s="1"/>
  <c r="C372" i="17"/>
  <c r="D372" i="17"/>
  <c r="Q372" i="17"/>
  <c r="R372" i="17" s="1"/>
  <c r="E372" i="17"/>
  <c r="B373" i="17" l="1"/>
  <c r="D373" i="17" s="1"/>
  <c r="C373" i="17" l="1"/>
  <c r="O373" i="17"/>
  <c r="P373" i="17" s="1"/>
  <c r="S373" i="17"/>
  <c r="E373" i="17"/>
  <c r="Q373" i="17"/>
  <c r="R373" i="17" s="1"/>
  <c r="I373" i="17"/>
  <c r="G373" i="17"/>
  <c r="H373" i="17"/>
  <c r="J374" i="17" s="1"/>
  <c r="K373" i="17"/>
  <c r="L373" i="17" s="1"/>
  <c r="F373" i="17"/>
  <c r="M373" i="17"/>
  <c r="N373" i="17" s="1"/>
  <c r="B374" i="17" l="1"/>
  <c r="F374" i="17" s="1"/>
  <c r="O374" i="17" l="1"/>
  <c r="P374" i="17" s="1"/>
  <c r="M374" i="17"/>
  <c r="N374" i="17" s="1"/>
  <c r="D374" i="17"/>
  <c r="G374" i="17"/>
  <c r="K374" i="17"/>
  <c r="L374" i="17" s="1"/>
  <c r="I374" i="17"/>
  <c r="H374" i="17"/>
  <c r="J375" i="17" s="1"/>
  <c r="S374" i="17"/>
  <c r="C374" i="17"/>
  <c r="Q374" i="17"/>
  <c r="R374" i="17" s="1"/>
  <c r="E374" i="17"/>
  <c r="B375" i="17" l="1"/>
  <c r="G375" i="17" s="1"/>
  <c r="S375" i="17" l="1"/>
  <c r="H375" i="17"/>
  <c r="J376" i="17" s="1"/>
  <c r="D375" i="17"/>
  <c r="F375" i="17"/>
  <c r="Q375" i="17"/>
  <c r="R375" i="17" s="1"/>
  <c r="O375" i="17"/>
  <c r="P375" i="17" s="1"/>
  <c r="M375" i="17"/>
  <c r="N375" i="17" s="1"/>
  <c r="I375" i="17"/>
  <c r="K375" i="17"/>
  <c r="L375" i="17" s="1"/>
  <c r="E375" i="17"/>
  <c r="C375" i="17"/>
  <c r="B376" i="17" l="1"/>
  <c r="K376" i="17" s="1"/>
  <c r="L376" i="17" s="1"/>
  <c r="F376" i="17" l="1"/>
  <c r="S376" i="17"/>
  <c r="C376" i="17"/>
  <c r="D376" i="17"/>
  <c r="O376" i="17"/>
  <c r="P376" i="17" s="1"/>
  <c r="H376" i="17"/>
  <c r="J377" i="17" s="1"/>
  <c r="Q376" i="17"/>
  <c r="R376" i="17" s="1"/>
  <c r="G376" i="17"/>
  <c r="E376" i="17"/>
  <c r="M376" i="17"/>
  <c r="N376" i="17" s="1"/>
  <c r="I376" i="17"/>
  <c r="B377" i="17" l="1"/>
  <c r="G377" i="17" s="1"/>
  <c r="C377" i="17" l="1"/>
  <c r="E377" i="17"/>
  <c r="K377" i="17"/>
  <c r="L377" i="17" s="1"/>
  <c r="Q377" i="17"/>
  <c r="R377" i="17" s="1"/>
  <c r="H377" i="17"/>
  <c r="J378" i="17" s="1"/>
  <c r="F377" i="17"/>
  <c r="S377" i="17"/>
  <c r="M377" i="17"/>
  <c r="N377" i="17" s="1"/>
  <c r="I377" i="17"/>
  <c r="O377" i="17"/>
  <c r="P377" i="17" s="1"/>
  <c r="D377" i="17"/>
  <c r="B378" i="17" l="1"/>
  <c r="I378" i="17" s="1"/>
  <c r="D378" i="17" l="1"/>
  <c r="O378" i="17"/>
  <c r="P378" i="17" s="1"/>
  <c r="S378" i="17"/>
  <c r="C378" i="17"/>
  <c r="F378" i="17"/>
  <c r="H378" i="17"/>
  <c r="J379" i="17" s="1"/>
  <c r="K378" i="17"/>
  <c r="L378" i="17" s="1"/>
  <c r="Q378" i="17"/>
  <c r="R378" i="17" s="1"/>
  <c r="M378" i="17"/>
  <c r="N378" i="17" s="1"/>
  <c r="G378" i="17"/>
  <c r="E378" i="17"/>
  <c r="B379" i="17" l="1"/>
  <c r="Q379" i="17" s="1"/>
  <c r="R379" i="17" s="1"/>
  <c r="H379" i="17" l="1"/>
  <c r="J380" i="17" s="1"/>
  <c r="C379" i="17"/>
  <c r="S379" i="17"/>
  <c r="I379" i="17"/>
  <c r="O379" i="17"/>
  <c r="P379" i="17" s="1"/>
  <c r="B380" i="17" s="1"/>
  <c r="E379" i="17"/>
  <c r="K379" i="17"/>
  <c r="L379" i="17" s="1"/>
  <c r="F379" i="17"/>
  <c r="D379" i="17"/>
  <c r="G379" i="17"/>
  <c r="M379" i="17"/>
  <c r="N379" i="17" s="1"/>
  <c r="M380" i="17" l="1"/>
  <c r="N380" i="17" s="1"/>
  <c r="E380" i="17"/>
  <c r="Q380" i="17"/>
  <c r="R380" i="17" s="1"/>
  <c r="C380" i="17"/>
  <c r="F380" i="17"/>
  <c r="I380" i="17"/>
  <c r="H380" i="17"/>
  <c r="J381" i="17" s="1"/>
  <c r="K380" i="17"/>
  <c r="L380" i="17" s="1"/>
  <c r="O380" i="17"/>
  <c r="P380" i="17" s="1"/>
  <c r="S380" i="17"/>
  <c r="G380" i="17"/>
  <c r="D380" i="17"/>
  <c r="B381" i="17" l="1"/>
  <c r="D381" i="17" l="1"/>
  <c r="C381" i="17"/>
  <c r="I381" i="17"/>
  <c r="E381" i="17"/>
  <c r="Q381" i="17"/>
  <c r="R381" i="17" s="1"/>
  <c r="F381" i="17"/>
  <c r="S381" i="17"/>
  <c r="G381" i="17"/>
  <c r="O381" i="17"/>
  <c r="P381" i="17" s="1"/>
  <c r="K381" i="17"/>
  <c r="L381" i="17" s="1"/>
  <c r="M381" i="17"/>
  <c r="N381" i="17" s="1"/>
  <c r="H381" i="17"/>
  <c r="J382" i="17" s="1"/>
  <c r="B382" i="17" l="1"/>
  <c r="D382" i="17" s="1"/>
  <c r="S382" i="17" l="1"/>
  <c r="F382" i="17"/>
  <c r="M382" i="17"/>
  <c r="N382" i="17" s="1"/>
  <c r="C382" i="17"/>
  <c r="I382" i="17"/>
  <c r="H382" i="17"/>
  <c r="J383" i="17" s="1"/>
  <c r="O382" i="17"/>
  <c r="P382" i="17" s="1"/>
  <c r="G382" i="17"/>
  <c r="Q382" i="17"/>
  <c r="R382" i="17" s="1"/>
  <c r="K382" i="17"/>
  <c r="L382" i="17" s="1"/>
  <c r="E382" i="17"/>
  <c r="B383" i="17" l="1"/>
  <c r="D383" i="17" s="1"/>
  <c r="F383" i="17" l="1"/>
  <c r="H383" i="17"/>
  <c r="J384" i="17" s="1"/>
  <c r="E383" i="17"/>
  <c r="G383" i="17"/>
  <c r="M383" i="17"/>
  <c r="N383" i="17" s="1"/>
  <c r="S383" i="17"/>
  <c r="I383" i="17"/>
  <c r="O383" i="17"/>
  <c r="P383" i="17" s="1"/>
  <c r="C383" i="17"/>
  <c r="K383" i="17"/>
  <c r="L383" i="17" s="1"/>
  <c r="Q383" i="17"/>
  <c r="R383" i="17" s="1"/>
  <c r="B384" i="17" l="1"/>
  <c r="G384" i="17" s="1"/>
  <c r="M384" i="17" l="1"/>
  <c r="N384" i="17" s="1"/>
  <c r="H384" i="17"/>
  <c r="J385" i="17" s="1"/>
  <c r="D384" i="17"/>
  <c r="F384" i="17"/>
  <c r="C384" i="17"/>
  <c r="E384" i="17"/>
  <c r="O384" i="17"/>
  <c r="P384" i="17" s="1"/>
  <c r="I384" i="17"/>
  <c r="S384" i="17"/>
  <c r="K384" i="17"/>
  <c r="L384" i="17" s="1"/>
  <c r="Q384" i="17"/>
  <c r="R384" i="17" s="1"/>
  <c r="B385" i="17" l="1"/>
  <c r="D385" i="17" s="1"/>
  <c r="C385" i="17" l="1"/>
  <c r="G385" i="17"/>
  <c r="M385" i="17"/>
  <c r="N385" i="17" s="1"/>
  <c r="S385" i="17"/>
  <c r="Q385" i="17"/>
  <c r="R385" i="17" s="1"/>
  <c r="I385" i="17"/>
  <c r="F385" i="17"/>
  <c r="O385" i="17"/>
  <c r="P385" i="17" s="1"/>
  <c r="E385" i="17"/>
  <c r="H385" i="17"/>
  <c r="J386" i="17" s="1"/>
  <c r="K385" i="17"/>
  <c r="L385" i="17" s="1"/>
  <c r="B386" i="17" l="1"/>
  <c r="D386" i="17" s="1"/>
  <c r="Q386" i="17" l="1"/>
  <c r="R386" i="17" s="1"/>
  <c r="O386" i="17"/>
  <c r="P386" i="17" s="1"/>
  <c r="K386" i="17"/>
  <c r="L386" i="17" s="1"/>
  <c r="S386" i="17"/>
  <c r="F386" i="17"/>
  <c r="M386" i="17"/>
  <c r="N386" i="17" s="1"/>
  <c r="E386" i="17"/>
  <c r="C386" i="17"/>
  <c r="G386" i="17"/>
  <c r="I386" i="17"/>
  <c r="H386" i="17"/>
  <c r="J387" i="17" s="1"/>
  <c r="B387" i="17" l="1"/>
  <c r="D387" i="17" s="1"/>
  <c r="I387" i="17" l="1"/>
  <c r="Q387" i="17"/>
  <c r="R387" i="17" s="1"/>
  <c r="H387" i="17"/>
  <c r="J388" i="17" s="1"/>
  <c r="M387" i="17"/>
  <c r="N387" i="17" s="1"/>
  <c r="G387" i="17"/>
  <c r="E387" i="17"/>
  <c r="O387" i="17"/>
  <c r="P387" i="17" s="1"/>
  <c r="K387" i="17"/>
  <c r="L387" i="17" s="1"/>
  <c r="S387" i="17"/>
  <c r="C387" i="17"/>
  <c r="F387" i="17"/>
  <c r="B388" i="17" l="1"/>
  <c r="D388" i="17" s="1"/>
  <c r="H388" i="17" l="1"/>
  <c r="J389" i="17" s="1"/>
  <c r="C388" i="17"/>
  <c r="K388" i="17"/>
  <c r="L388" i="17" s="1"/>
  <c r="O388" i="17"/>
  <c r="P388" i="17" s="1"/>
  <c r="F388" i="17"/>
  <c r="Q388" i="17"/>
  <c r="R388" i="17" s="1"/>
  <c r="M388" i="17"/>
  <c r="N388" i="17" s="1"/>
  <c r="E388" i="17"/>
  <c r="I388" i="17"/>
  <c r="S388" i="17"/>
  <c r="G388" i="17"/>
  <c r="B389" i="17" l="1"/>
  <c r="D389" i="17" l="1"/>
  <c r="K389" i="17"/>
  <c r="L389" i="17" s="1"/>
  <c r="C389" i="17"/>
  <c r="E389" i="17"/>
  <c r="H389" i="17"/>
  <c r="J390" i="17" s="1"/>
  <c r="O389" i="17"/>
  <c r="P389" i="17" s="1"/>
  <c r="F389" i="17"/>
  <c r="Q389" i="17"/>
  <c r="R389" i="17" s="1"/>
  <c r="I389" i="17"/>
  <c r="S389" i="17"/>
  <c r="G389" i="17"/>
  <c r="M389" i="17"/>
  <c r="N389" i="17" s="1"/>
  <c r="B390" i="17" l="1"/>
  <c r="I390" i="17" l="1"/>
  <c r="E390" i="17"/>
  <c r="Q390" i="17"/>
  <c r="R390" i="17" s="1"/>
  <c r="D390" i="17"/>
  <c r="M390" i="17"/>
  <c r="N390" i="17" s="1"/>
  <c r="F390" i="17"/>
  <c r="G390" i="17"/>
  <c r="H390" i="17"/>
  <c r="J391" i="17" s="1"/>
  <c r="K390" i="17"/>
  <c r="L390" i="17" s="1"/>
  <c r="C390" i="17"/>
  <c r="O390" i="17"/>
  <c r="P390" i="17" s="1"/>
  <c r="S390" i="17"/>
  <c r="B391" i="17" l="1"/>
  <c r="H391" i="17" l="1"/>
  <c r="J392" i="17" s="1"/>
  <c r="S391" i="17"/>
  <c r="E391" i="17"/>
  <c r="F391" i="17"/>
  <c r="C391" i="17"/>
  <c r="M391" i="17"/>
  <c r="N391" i="17" s="1"/>
  <c r="D391" i="17"/>
  <c r="K391" i="17"/>
  <c r="L391" i="17" s="1"/>
  <c r="Q391" i="17"/>
  <c r="R391" i="17" s="1"/>
  <c r="I391" i="17"/>
  <c r="O391" i="17"/>
  <c r="P391" i="17" s="1"/>
  <c r="G391" i="17"/>
  <c r="B392" i="17" l="1"/>
  <c r="D392" i="17" s="1"/>
  <c r="E392" i="17" l="1"/>
  <c r="Q392" i="17"/>
  <c r="R392" i="17" s="1"/>
  <c r="K392" i="17"/>
  <c r="L392" i="17" s="1"/>
  <c r="M392" i="17"/>
  <c r="N392" i="17" s="1"/>
  <c r="H392" i="17"/>
  <c r="J393" i="17" s="1"/>
  <c r="S392" i="17"/>
  <c r="F392" i="17"/>
  <c r="O392" i="17"/>
  <c r="P392" i="17" s="1"/>
  <c r="I392" i="17"/>
  <c r="C392" i="17"/>
  <c r="G392" i="17"/>
  <c r="B393" i="17" l="1"/>
  <c r="Q393" i="17" s="1"/>
  <c r="R393" i="17" s="1"/>
  <c r="O393" i="17" l="1"/>
  <c r="P393" i="17" s="1"/>
  <c r="K393" i="17"/>
  <c r="L393" i="17" s="1"/>
  <c r="F393" i="17"/>
  <c r="H393" i="17"/>
  <c r="J394" i="17" s="1"/>
  <c r="C393" i="17"/>
  <c r="I393" i="17"/>
  <c r="M393" i="17"/>
  <c r="N393" i="17" s="1"/>
  <c r="E393" i="17"/>
  <c r="S393" i="17"/>
  <c r="G393" i="17"/>
  <c r="D393" i="17"/>
  <c r="B394" i="17" l="1"/>
  <c r="F394" i="17" s="1"/>
  <c r="C394" i="17" l="1"/>
  <c r="S394" i="17"/>
  <c r="G394" i="17"/>
  <c r="H394" i="17"/>
  <c r="J395" i="17" s="1"/>
  <c r="I394" i="17"/>
  <c r="Q394" i="17"/>
  <c r="R394" i="17" s="1"/>
  <c r="D394" i="17"/>
  <c r="M394" i="17"/>
  <c r="N394" i="17" s="1"/>
  <c r="K394" i="17"/>
  <c r="L394" i="17" s="1"/>
  <c r="O394" i="17"/>
  <c r="P394" i="17" s="1"/>
  <c r="E394" i="17"/>
  <c r="B395" i="17" l="1"/>
  <c r="F395" i="17" s="1"/>
  <c r="I395" i="17" l="1"/>
  <c r="D395" i="17"/>
  <c r="H395" i="17"/>
  <c r="J396" i="17" s="1"/>
  <c r="O395" i="17"/>
  <c r="P395" i="17" s="1"/>
  <c r="C395" i="17"/>
  <c r="M395" i="17"/>
  <c r="N395" i="17" s="1"/>
  <c r="S395" i="17"/>
  <c r="G395" i="17"/>
  <c r="K395" i="17"/>
  <c r="L395" i="17" s="1"/>
  <c r="Q395" i="17"/>
  <c r="R395" i="17" s="1"/>
  <c r="E395" i="17"/>
  <c r="B396" i="17" l="1"/>
  <c r="Q396" i="17" s="1"/>
  <c r="R396" i="17" s="1"/>
  <c r="I396" i="17" l="1"/>
  <c r="G396" i="17"/>
  <c r="K396" i="17"/>
  <c r="L396" i="17" s="1"/>
  <c r="S396" i="17"/>
  <c r="F396" i="17"/>
  <c r="D396" i="17"/>
  <c r="O396" i="17"/>
  <c r="P396" i="17" s="1"/>
  <c r="B397" i="17" s="1"/>
  <c r="H396" i="17"/>
  <c r="J397" i="17" s="1"/>
  <c r="E396" i="17"/>
  <c r="C396" i="17"/>
  <c r="M396" i="17"/>
  <c r="N396" i="17" s="1"/>
  <c r="S397" i="17" l="1"/>
  <c r="Q397" i="17"/>
  <c r="R397" i="17" s="1"/>
  <c r="E397" i="17"/>
  <c r="D397" i="17"/>
  <c r="C397" i="17"/>
  <c r="G397" i="17"/>
  <c r="F397" i="17"/>
  <c r="I397" i="17"/>
  <c r="M397" i="17"/>
  <c r="N397" i="17" s="1"/>
  <c r="H397" i="17"/>
  <c r="J398" i="17" s="1"/>
  <c r="K397" i="17"/>
  <c r="L397" i="17" s="1"/>
  <c r="O397" i="17"/>
  <c r="P397" i="17" s="1"/>
  <c r="B398" i="17" l="1"/>
  <c r="Q398" i="17" s="1"/>
  <c r="R398" i="17" s="1"/>
  <c r="F398" i="17" l="1"/>
  <c r="H398" i="17"/>
  <c r="J399" i="17" s="1"/>
  <c r="M398" i="17"/>
  <c r="N398" i="17" s="1"/>
  <c r="S398" i="17"/>
  <c r="O398" i="17"/>
  <c r="P398" i="17" s="1"/>
  <c r="B399" i="17" s="1"/>
  <c r="K398" i="17"/>
  <c r="L398" i="17" s="1"/>
  <c r="I398" i="17"/>
  <c r="E398" i="17"/>
  <c r="C398" i="17"/>
  <c r="G398" i="17"/>
  <c r="D398" i="17"/>
  <c r="F399" i="17" l="1"/>
  <c r="O399" i="17"/>
  <c r="P399" i="17" s="1"/>
  <c r="H399" i="17"/>
  <c r="J400" i="17" s="1"/>
  <c r="K399" i="17"/>
  <c r="L399" i="17" s="1"/>
  <c r="Q399" i="17"/>
  <c r="R399" i="17" s="1"/>
  <c r="S399" i="17"/>
  <c r="M399" i="17"/>
  <c r="N399" i="17" s="1"/>
  <c r="E399" i="17"/>
  <c r="I399" i="17"/>
  <c r="C399" i="17"/>
  <c r="G399" i="17"/>
  <c r="D399" i="17"/>
  <c r="B400" i="17" l="1"/>
  <c r="S400" i="17" s="1"/>
  <c r="D400" i="17" l="1"/>
  <c r="K400" i="17"/>
  <c r="L400" i="17" s="1"/>
  <c r="F400" i="17"/>
  <c r="C400" i="17"/>
  <c r="G400" i="17"/>
  <c r="M400" i="17"/>
  <c r="N400" i="17" s="1"/>
  <c r="I400" i="17"/>
  <c r="H400" i="17"/>
  <c r="J401" i="17" s="1"/>
  <c r="Q400" i="17"/>
  <c r="R400" i="17" s="1"/>
  <c r="O400" i="17"/>
  <c r="P400" i="17" s="1"/>
  <c r="E400" i="17"/>
  <c r="B401" i="17" l="1"/>
  <c r="Q401" i="17" s="1"/>
  <c r="R401" i="17" s="1"/>
  <c r="D401" i="17" l="1"/>
  <c r="F401" i="17"/>
  <c r="O401" i="17"/>
  <c r="P401" i="17" s="1"/>
  <c r="B402" i="17" s="1"/>
  <c r="I401" i="17"/>
  <c r="K401" i="17"/>
  <c r="L401" i="17" s="1"/>
  <c r="S401" i="17"/>
  <c r="G401" i="17"/>
  <c r="H401" i="17"/>
  <c r="J402" i="17" s="1"/>
  <c r="E401" i="17"/>
  <c r="M401" i="17"/>
  <c r="N401" i="17" s="1"/>
  <c r="C401" i="17"/>
  <c r="D402" i="17" l="1"/>
  <c r="Q402" i="17"/>
  <c r="R402" i="17" s="1"/>
  <c r="K402" i="17"/>
  <c r="L402" i="17" s="1"/>
  <c r="O402" i="17"/>
  <c r="P402" i="17" s="1"/>
  <c r="C402" i="17"/>
  <c r="I402" i="17"/>
  <c r="S402" i="17"/>
  <c r="F402" i="17"/>
  <c r="E402" i="17"/>
  <c r="H402" i="17"/>
  <c r="J403" i="17" s="1"/>
  <c r="G402" i="17"/>
  <c r="M402" i="17"/>
  <c r="N402" i="17" s="1"/>
  <c r="B403" i="17" l="1"/>
  <c r="H403" i="17" s="1"/>
  <c r="J404" i="17" s="1"/>
  <c r="S403" i="17" l="1"/>
  <c r="Q403" i="17"/>
  <c r="R403" i="17" s="1"/>
  <c r="D403" i="17"/>
  <c r="F403" i="17"/>
  <c r="M403" i="17"/>
  <c r="N403" i="17" s="1"/>
  <c r="K403" i="17"/>
  <c r="L403" i="17" s="1"/>
  <c r="O403" i="17"/>
  <c r="P403" i="17" s="1"/>
  <c r="G403" i="17"/>
  <c r="C403" i="17"/>
  <c r="E403" i="17"/>
  <c r="I403" i="17"/>
  <c r="B404" i="17" l="1"/>
  <c r="I404" i="17" s="1"/>
  <c r="D404" i="17" l="1"/>
  <c r="Q404" i="17"/>
  <c r="R404" i="17" s="1"/>
  <c r="H404" i="17"/>
  <c r="J405" i="17" s="1"/>
  <c r="O404" i="17"/>
  <c r="P404" i="17" s="1"/>
  <c r="F404" i="17"/>
  <c r="G404" i="17"/>
  <c r="C404" i="17"/>
  <c r="K404" i="17"/>
  <c r="L404" i="17" s="1"/>
  <c r="E404" i="17"/>
  <c r="S404" i="17"/>
  <c r="M404" i="17"/>
  <c r="N404" i="17" s="1"/>
  <c r="B405" i="17" l="1"/>
  <c r="S405" i="17" s="1"/>
  <c r="Q405" i="17" l="1"/>
  <c r="R405" i="17" s="1"/>
  <c r="K405" i="17"/>
  <c r="L405" i="17" s="1"/>
  <c r="M405" i="17"/>
  <c r="N405" i="17" s="1"/>
  <c r="D405" i="17"/>
  <c r="F405" i="17"/>
  <c r="G405" i="17"/>
  <c r="C405" i="17"/>
  <c r="H405" i="17"/>
  <c r="J406" i="17" s="1"/>
  <c r="O405" i="17"/>
  <c r="P405" i="17" s="1"/>
  <c r="I405" i="17"/>
  <c r="E405" i="17"/>
  <c r="B406" i="17" l="1"/>
  <c r="E406" i="17" s="1"/>
  <c r="Q406" i="17" l="1"/>
  <c r="R406" i="17" s="1"/>
  <c r="S406" i="17"/>
  <c r="O406" i="17"/>
  <c r="P406" i="17" s="1"/>
  <c r="M406" i="17"/>
  <c r="N406" i="17" s="1"/>
  <c r="K406" i="17"/>
  <c r="L406" i="17" s="1"/>
  <c r="G406" i="17"/>
  <c r="D406" i="17"/>
  <c r="C406" i="17"/>
  <c r="F406" i="17"/>
  <c r="H406" i="17"/>
  <c r="J407" i="17" s="1"/>
  <c r="I406" i="17"/>
  <c r="B407" i="17" l="1"/>
  <c r="D407" i="17" s="1"/>
  <c r="O407" i="17" l="1"/>
  <c r="P407" i="17" s="1"/>
  <c r="C407" i="17"/>
  <c r="H407" i="17"/>
  <c r="J408" i="17" s="1"/>
  <c r="I407" i="17"/>
  <c r="S407" i="17"/>
  <c r="M407" i="17"/>
  <c r="N407" i="17" s="1"/>
  <c r="Q407" i="17"/>
  <c r="R407" i="17" s="1"/>
  <c r="F407" i="17"/>
  <c r="E407" i="17"/>
  <c r="K407" i="17"/>
  <c r="L407" i="17" s="1"/>
  <c r="G407" i="17"/>
  <c r="B408" i="17" l="1"/>
  <c r="D408" i="17" s="1"/>
  <c r="K408" i="17" l="1"/>
  <c r="L408" i="17" s="1"/>
  <c r="H408" i="17"/>
  <c r="J409" i="17" s="1"/>
  <c r="O408" i="17"/>
  <c r="P408" i="17" s="1"/>
  <c r="M408" i="17"/>
  <c r="N408" i="17" s="1"/>
  <c r="I408" i="17"/>
  <c r="S408" i="17"/>
  <c r="G408" i="17"/>
  <c r="Q408" i="17"/>
  <c r="R408" i="17" s="1"/>
  <c r="E408" i="17"/>
  <c r="F408" i="17"/>
  <c r="C408" i="17"/>
  <c r="B409" i="17" l="1"/>
  <c r="H409" i="17" s="1"/>
  <c r="J410" i="17" s="1"/>
  <c r="M409" i="17" l="1"/>
  <c r="N409" i="17" s="1"/>
  <c r="O409" i="17"/>
  <c r="P409" i="17" s="1"/>
  <c r="D409" i="17"/>
  <c r="Q409" i="17"/>
  <c r="R409" i="17" s="1"/>
  <c r="S409" i="17"/>
  <c r="I409" i="17"/>
  <c r="K409" i="17"/>
  <c r="L409" i="17" s="1"/>
  <c r="F409" i="17"/>
  <c r="C409" i="17"/>
  <c r="G409" i="17"/>
  <c r="E409" i="17"/>
  <c r="B410" i="17" l="1"/>
  <c r="O410" i="17" s="1"/>
  <c r="P410" i="17" s="1"/>
  <c r="E410" i="17" l="1"/>
  <c r="M410" i="17"/>
  <c r="N410" i="17" s="1"/>
  <c r="S410" i="17"/>
  <c r="F410" i="17"/>
  <c r="K410" i="17"/>
  <c r="L410" i="17" s="1"/>
  <c r="G410" i="17"/>
  <c r="D410" i="17"/>
  <c r="I410" i="17"/>
  <c r="Q410" i="17"/>
  <c r="R410" i="17" s="1"/>
  <c r="B411" i="17" s="1"/>
  <c r="C410" i="17"/>
  <c r="H410" i="17"/>
  <c r="J411" i="17" s="1"/>
  <c r="H411" i="17" l="1"/>
  <c r="J412" i="17" s="1"/>
  <c r="G411" i="17"/>
  <c r="I411" i="17"/>
  <c r="D411" i="17"/>
  <c r="E411" i="17"/>
  <c r="K411" i="17"/>
  <c r="L411" i="17" s="1"/>
  <c r="F411" i="17"/>
  <c r="S411" i="17"/>
  <c r="O411" i="17"/>
  <c r="P411" i="17" s="1"/>
  <c r="Q411" i="17"/>
  <c r="R411" i="17" s="1"/>
  <c r="C411" i="17"/>
  <c r="M411" i="17"/>
  <c r="N411" i="17" s="1"/>
  <c r="B412" i="17" l="1"/>
  <c r="D412" i="17" s="1"/>
  <c r="O412" i="17" l="1"/>
  <c r="P412" i="17" s="1"/>
  <c r="S412" i="17"/>
  <c r="H412" i="17"/>
  <c r="J413" i="17" s="1"/>
  <c r="K412" i="17"/>
  <c r="L412" i="17" s="1"/>
  <c r="E412" i="17"/>
  <c r="I412" i="17"/>
  <c r="F412" i="17"/>
  <c r="G412" i="17"/>
  <c r="C412" i="17"/>
  <c r="Q412" i="17"/>
  <c r="R412" i="17" s="1"/>
  <c r="M412" i="17"/>
  <c r="N412" i="17" s="1"/>
  <c r="B413" i="17" l="1"/>
  <c r="G413" i="17" s="1"/>
  <c r="D413" i="17" l="1"/>
  <c r="E413" i="17"/>
  <c r="Q413" i="17"/>
  <c r="R413" i="17" s="1"/>
  <c r="H413" i="17"/>
  <c r="J414" i="17" s="1"/>
  <c r="C413" i="17"/>
  <c r="S413" i="17"/>
  <c r="M413" i="17"/>
  <c r="N413" i="17" s="1"/>
  <c r="K413" i="17"/>
  <c r="L413" i="17" s="1"/>
  <c r="F413" i="17"/>
  <c r="O413" i="17"/>
  <c r="P413" i="17" s="1"/>
  <c r="I413" i="17"/>
  <c r="B414" i="17" l="1"/>
  <c r="D414" i="17" s="1"/>
  <c r="Q414" i="17" l="1"/>
  <c r="R414" i="17" s="1"/>
  <c r="M414" i="17"/>
  <c r="N414" i="17" s="1"/>
  <c r="S414" i="17"/>
  <c r="O414" i="17"/>
  <c r="P414" i="17" s="1"/>
  <c r="F414" i="17"/>
  <c r="H414" i="17"/>
  <c r="J415" i="17" s="1"/>
  <c r="G414" i="17"/>
  <c r="K414" i="17"/>
  <c r="L414" i="17" s="1"/>
  <c r="E414" i="17"/>
  <c r="C414" i="17"/>
  <c r="I414" i="17"/>
  <c r="B415" i="17" l="1"/>
  <c r="D415" i="17" s="1"/>
  <c r="S415" i="17" l="1"/>
  <c r="H415" i="17"/>
  <c r="J416" i="17" s="1"/>
  <c r="F415" i="17"/>
  <c r="O415" i="17"/>
  <c r="P415" i="17" s="1"/>
  <c r="M415" i="17"/>
  <c r="N415" i="17" s="1"/>
  <c r="E415" i="17"/>
  <c r="Q415" i="17"/>
  <c r="R415" i="17" s="1"/>
  <c r="C415" i="17"/>
  <c r="K415" i="17"/>
  <c r="L415" i="17" s="1"/>
  <c r="G415" i="17"/>
  <c r="I415" i="17"/>
  <c r="B416" i="17" l="1"/>
  <c r="E416" i="17" l="1"/>
  <c r="D416" i="17"/>
  <c r="O416" i="17"/>
  <c r="P416" i="17" s="1"/>
  <c r="K416" i="17"/>
  <c r="L416" i="17" s="1"/>
  <c r="M416" i="17"/>
  <c r="N416" i="17" s="1"/>
  <c r="H416" i="17"/>
  <c r="J417" i="17" s="1"/>
  <c r="Q416" i="17"/>
  <c r="R416" i="17" s="1"/>
  <c r="F416" i="17"/>
  <c r="C416" i="17"/>
  <c r="I416" i="17"/>
  <c r="G416" i="17"/>
  <c r="S416" i="17"/>
  <c r="B417" i="17" l="1"/>
  <c r="D417" i="17" s="1"/>
  <c r="K417" i="17" l="1"/>
  <c r="L417" i="17" s="1"/>
  <c r="O417" i="17"/>
  <c r="P417" i="17" s="1"/>
  <c r="C417" i="17"/>
  <c r="H417" i="17"/>
  <c r="J418" i="17" s="1"/>
  <c r="S417" i="17"/>
  <c r="F417" i="17"/>
  <c r="G417" i="17"/>
  <c r="Q417" i="17"/>
  <c r="R417" i="17" s="1"/>
  <c r="I417" i="17"/>
  <c r="E417" i="17"/>
  <c r="M417" i="17"/>
  <c r="N417" i="17" s="1"/>
  <c r="B418" i="17" l="1"/>
  <c r="S418" i="17" s="1"/>
  <c r="O418" i="17" l="1"/>
  <c r="P418" i="17" s="1"/>
  <c r="G418" i="17"/>
  <c r="E418" i="17"/>
  <c r="C418" i="17"/>
  <c r="M418" i="17"/>
  <c r="N418" i="17" s="1"/>
  <c r="H418" i="17"/>
  <c r="J419" i="17" s="1"/>
  <c r="K418" i="17"/>
  <c r="L418" i="17" s="1"/>
  <c r="F418" i="17"/>
  <c r="Q418" i="17"/>
  <c r="R418" i="17" s="1"/>
  <c r="D418" i="17"/>
  <c r="I418" i="17"/>
  <c r="B419" i="17" l="1"/>
  <c r="G419" i="17" s="1"/>
  <c r="F419" i="17" l="1"/>
  <c r="O419" i="17"/>
  <c r="P419" i="17" s="1"/>
  <c r="D419" i="17"/>
  <c r="E419" i="17"/>
  <c r="M419" i="17"/>
  <c r="N419" i="17" s="1"/>
  <c r="I419" i="17"/>
  <c r="Q419" i="17"/>
  <c r="R419" i="17" s="1"/>
  <c r="K419" i="17"/>
  <c r="L419" i="17" s="1"/>
  <c r="H419" i="17"/>
  <c r="J420" i="17" s="1"/>
  <c r="C419" i="17"/>
  <c r="S419" i="17"/>
  <c r="B420" i="17" l="1"/>
  <c r="E420" i="17" s="1"/>
  <c r="K420" i="17" l="1"/>
  <c r="L420" i="17" s="1"/>
  <c r="I420" i="17"/>
  <c r="G420" i="17"/>
  <c r="O420" i="17"/>
  <c r="P420" i="17" s="1"/>
  <c r="M420" i="17"/>
  <c r="N420" i="17" s="1"/>
  <c r="H420" i="17"/>
  <c r="J421" i="17" s="1"/>
  <c r="S420" i="17"/>
  <c r="C420" i="17"/>
  <c r="D420" i="17"/>
  <c r="Q420" i="17"/>
  <c r="R420" i="17" s="1"/>
  <c r="F420" i="17"/>
  <c r="B421" i="17" l="1"/>
  <c r="C421" i="17" s="1"/>
  <c r="D421" i="17" l="1"/>
  <c r="E421" i="17"/>
  <c r="M421" i="17"/>
  <c r="N421" i="17" s="1"/>
  <c r="G421" i="17"/>
  <c r="F421" i="17"/>
  <c r="H421" i="17"/>
  <c r="J422" i="17" s="1"/>
  <c r="O421" i="17"/>
  <c r="P421" i="17" s="1"/>
  <c r="S421" i="17"/>
  <c r="Q421" i="17"/>
  <c r="R421" i="17" s="1"/>
  <c r="I421" i="17"/>
  <c r="K421" i="17"/>
  <c r="L421" i="17" s="1"/>
  <c r="B422" i="17" l="1"/>
  <c r="G422" i="17" s="1"/>
  <c r="I422" i="17" l="1"/>
  <c r="M422" i="17"/>
  <c r="N422" i="17" s="1"/>
  <c r="K422" i="17"/>
  <c r="L422" i="17" s="1"/>
  <c r="C422" i="17"/>
  <c r="H422" i="17"/>
  <c r="J423" i="17" s="1"/>
  <c r="S422" i="17"/>
  <c r="F422" i="17"/>
  <c r="Q422" i="17"/>
  <c r="R422" i="17" s="1"/>
  <c r="E422" i="17"/>
  <c r="O422" i="17"/>
  <c r="P422" i="17" s="1"/>
  <c r="D422" i="17"/>
  <c r="B423" i="17" l="1"/>
  <c r="D423" i="17" s="1"/>
  <c r="I423" i="17" l="1"/>
  <c r="M423" i="17"/>
  <c r="N423" i="17" s="1"/>
  <c r="C423" i="17"/>
  <c r="H423" i="17"/>
  <c r="J424" i="17" s="1"/>
  <c r="S423" i="17"/>
  <c r="F423" i="17"/>
  <c r="K423" i="17"/>
  <c r="L423" i="17" s="1"/>
  <c r="E423" i="17"/>
  <c r="Q423" i="17"/>
  <c r="R423" i="17" s="1"/>
  <c r="O423" i="17"/>
  <c r="P423" i="17" s="1"/>
  <c r="G423" i="17"/>
  <c r="B424" i="17" l="1"/>
  <c r="C424" i="17" s="1"/>
  <c r="H424" i="17" l="1"/>
  <c r="J425" i="17" s="1"/>
  <c r="S424" i="17"/>
  <c r="M424" i="17"/>
  <c r="N424" i="17" s="1"/>
  <c r="F424" i="17"/>
  <c r="O424" i="17"/>
  <c r="P424" i="17" s="1"/>
  <c r="D424" i="17"/>
  <c r="E424" i="17"/>
  <c r="I424" i="17"/>
  <c r="Q424" i="17"/>
  <c r="R424" i="17" s="1"/>
  <c r="K424" i="17"/>
  <c r="L424" i="17" s="1"/>
  <c r="G424" i="17"/>
  <c r="B425" i="17" l="1"/>
  <c r="D425" i="17" s="1"/>
  <c r="H425" i="17" l="1"/>
  <c r="J426" i="17" s="1"/>
  <c r="S425" i="17"/>
  <c r="Q425" i="17"/>
  <c r="R425" i="17" s="1"/>
  <c r="K425" i="17"/>
  <c r="L425" i="17" s="1"/>
  <c r="I425" i="17"/>
  <c r="E425" i="17"/>
  <c r="F425" i="17"/>
  <c r="G425" i="17"/>
  <c r="M425" i="17"/>
  <c r="N425" i="17" s="1"/>
  <c r="O425" i="17"/>
  <c r="P425" i="17" s="1"/>
  <c r="C425" i="17"/>
  <c r="B426" i="17" l="1"/>
  <c r="H426" i="17" s="1"/>
  <c r="J427" i="17" s="1"/>
  <c r="Q426" i="17" l="1"/>
  <c r="R426" i="17" s="1"/>
  <c r="D426" i="17"/>
  <c r="E426" i="17"/>
  <c r="M426" i="17"/>
  <c r="N426" i="17" s="1"/>
  <c r="C426" i="17"/>
  <c r="K426" i="17"/>
  <c r="L426" i="17" s="1"/>
  <c r="F426" i="17"/>
  <c r="I426" i="17"/>
  <c r="G426" i="17"/>
  <c r="O426" i="17"/>
  <c r="P426" i="17" s="1"/>
  <c r="S426" i="17"/>
  <c r="B427" i="17" l="1"/>
  <c r="M427" i="17" s="1"/>
  <c r="N427" i="17" s="1"/>
  <c r="Q427" i="17"/>
  <c r="R427" i="17" s="1"/>
  <c r="K427" i="17"/>
  <c r="L427" i="17" s="1"/>
  <c r="F427" i="17"/>
  <c r="D427" i="17" l="1"/>
  <c r="G427" i="17"/>
  <c r="I427" i="17"/>
  <c r="O427" i="17"/>
  <c r="P427" i="17" s="1"/>
  <c r="B428" i="17" s="1"/>
  <c r="H427" i="17"/>
  <c r="J428" i="17" s="1"/>
  <c r="E427" i="17"/>
  <c r="S427" i="17"/>
  <c r="C427" i="17"/>
  <c r="G428" i="17" l="1"/>
  <c r="C428" i="17"/>
  <c r="O428" i="17"/>
  <c r="P428" i="17" s="1"/>
  <c r="F428" i="17"/>
  <c r="I428" i="17"/>
  <c r="M428" i="17"/>
  <c r="N428" i="17" s="1"/>
  <c r="S428" i="17"/>
  <c r="K428" i="17"/>
  <c r="L428" i="17" s="1"/>
  <c r="Q428" i="17"/>
  <c r="R428" i="17" s="1"/>
  <c r="D428" i="17"/>
  <c r="E428" i="17"/>
  <c r="H428" i="17"/>
  <c r="J429" i="17" s="1"/>
  <c r="B429" i="17" l="1"/>
  <c r="G429" i="17" s="1"/>
  <c r="S429" i="17" l="1"/>
  <c r="O429" i="17"/>
  <c r="P429" i="17" s="1"/>
  <c r="Q429" i="17"/>
  <c r="R429" i="17" s="1"/>
  <c r="D429" i="17"/>
  <c r="I429" i="17"/>
  <c r="F429" i="17"/>
  <c r="C429" i="17"/>
  <c r="H429" i="17"/>
  <c r="J430" i="17" s="1"/>
  <c r="K429" i="17"/>
  <c r="E429" i="17"/>
  <c r="M429" i="17"/>
  <c r="N429" i="17" s="1"/>
  <c r="B430" i="17" l="1"/>
  <c r="I430" i="17" s="1"/>
  <c r="L429" i="17"/>
  <c r="F430" i="17" l="1"/>
  <c r="H430" i="17"/>
  <c r="J431" i="17" s="1"/>
  <c r="M430" i="17"/>
  <c r="N430" i="17" s="1"/>
  <c r="D430" i="17"/>
  <c r="G430" i="17"/>
  <c r="C430" i="17"/>
  <c r="K430" i="17"/>
  <c r="L430" i="17" s="1"/>
  <c r="S430" i="17"/>
  <c r="O430" i="17"/>
  <c r="P430" i="17" s="1"/>
  <c r="E430" i="17"/>
  <c r="Q430" i="17"/>
  <c r="R430" i="17" s="1"/>
  <c r="B431" i="17" l="1"/>
  <c r="K431" i="17" s="1"/>
  <c r="L431" i="17" s="1"/>
  <c r="O431" i="17" l="1"/>
  <c r="P431" i="17" s="1"/>
  <c r="S431" i="17"/>
  <c r="F431" i="17"/>
  <c r="I431" i="17"/>
  <c r="E431" i="17"/>
  <c r="G431" i="17"/>
  <c r="C431" i="17"/>
  <c r="D431" i="17"/>
  <c r="H431" i="17"/>
  <c r="J432" i="17" s="1"/>
  <c r="M431" i="17"/>
  <c r="N431" i="17" s="1"/>
  <c r="Q431" i="17"/>
  <c r="R431" i="17" s="1"/>
  <c r="B432" i="17" l="1"/>
  <c r="AD25" i="17" s="1"/>
  <c r="AD24" i="17" s="1"/>
  <c r="H432" i="17" l="1"/>
  <c r="J433" i="17" s="1"/>
  <c r="AD22" i="17"/>
  <c r="AD21" i="17" s="1"/>
  <c r="D432" i="17"/>
  <c r="C432" i="17"/>
  <c r="M432" i="17"/>
  <c r="N432" i="17" s="1"/>
  <c r="X25" i="17" s="1"/>
  <c r="S432" i="17"/>
  <c r="E432" i="17"/>
  <c r="O432" i="17"/>
  <c r="P432" i="17" s="1"/>
  <c r="G432" i="17"/>
  <c r="AD17" i="17" s="1"/>
  <c r="F432" i="17"/>
  <c r="K432" i="17"/>
  <c r="L432" i="17" s="1"/>
  <c r="I432" i="17"/>
  <c r="Q432" i="17"/>
  <c r="R432" i="17" s="1"/>
  <c r="AD26" i="17"/>
  <c r="AD23" i="17" s="1"/>
  <c r="B433" i="17" l="1"/>
  <c r="X22" i="17"/>
  <c r="X26" i="17"/>
  <c r="X24" i="17"/>
  <c r="E433" i="17"/>
  <c r="K433" i="17"/>
  <c r="L433" i="17" s="1"/>
  <c r="F433" i="17"/>
  <c r="M433" i="17"/>
  <c r="N433" i="17" s="1"/>
  <c r="Q433" i="17"/>
  <c r="R433" i="17" s="1"/>
  <c r="S433" i="17"/>
  <c r="I433" i="17"/>
  <c r="AD20" i="17"/>
  <c r="AD19" i="17" s="1"/>
  <c r="AC12" i="17" s="1"/>
  <c r="C433" i="17"/>
  <c r="O433" i="17"/>
  <c r="P433" i="17" s="1"/>
  <c r="D433" i="17"/>
  <c r="H433" i="17"/>
  <c r="J434" i="17" s="1"/>
  <c r="G433" i="17"/>
  <c r="X21" i="17" l="1"/>
  <c r="X23" i="17"/>
  <c r="B434" i="17"/>
  <c r="I434" i="17" s="1"/>
  <c r="X20" i="17"/>
  <c r="X19" i="17" l="1"/>
  <c r="Y25" i="17" s="1"/>
  <c r="AY24" i="10" s="1"/>
  <c r="H434" i="17"/>
  <c r="J435" i="17" s="1"/>
  <c r="Q434" i="17"/>
  <c r="R434" i="17" s="1"/>
  <c r="O434" i="17"/>
  <c r="P434" i="17" s="1"/>
  <c r="C434" i="17"/>
  <c r="F434" i="17"/>
  <c r="G434" i="17"/>
  <c r="E434" i="17"/>
  <c r="D434" i="17"/>
  <c r="K434" i="17"/>
  <c r="L434" i="17" s="1"/>
  <c r="S434" i="17"/>
  <c r="M434" i="17"/>
  <c r="N434" i="17" s="1"/>
  <c r="Y19" i="17" l="1"/>
  <c r="AY18" i="12" s="1"/>
  <c r="AY24" i="9"/>
  <c r="AY24" i="4"/>
  <c r="AY24" i="6"/>
  <c r="Y22" i="17"/>
  <c r="AY21" i="7" s="1"/>
  <c r="Y20" i="17"/>
  <c r="AY19" i="10" s="1"/>
  <c r="AY24" i="5"/>
  <c r="AY24" i="7"/>
  <c r="Y24" i="17"/>
  <c r="AY23" i="5" s="1"/>
  <c r="AY24" i="8"/>
  <c r="Y21" i="17"/>
  <c r="AY20" i="4" s="1"/>
  <c r="Y23" i="17"/>
  <c r="AY22" i="8" s="1"/>
  <c r="AY24" i="15"/>
  <c r="Y26" i="17"/>
  <c r="AY25" i="6" s="1"/>
  <c r="AY24" i="12"/>
  <c r="AY24" i="11"/>
  <c r="B435" i="17"/>
  <c r="I435" i="17" s="1"/>
  <c r="S435" i="17" l="1"/>
  <c r="AY21" i="5"/>
  <c r="AY23" i="8"/>
  <c r="AY19" i="11"/>
  <c r="AY25" i="10"/>
  <c r="AY23" i="11"/>
  <c r="AY21" i="4"/>
  <c r="AY22" i="4"/>
  <c r="AY23" i="12"/>
  <c r="AY18" i="11"/>
  <c r="G435" i="17"/>
  <c r="AY23" i="9"/>
  <c r="AY23" i="7"/>
  <c r="AY18" i="7"/>
  <c r="AY18" i="9"/>
  <c r="M435" i="17"/>
  <c r="N435" i="17" s="1"/>
  <c r="AY23" i="10"/>
  <c r="AY21" i="15"/>
  <c r="AY21" i="6"/>
  <c r="AY21" i="11"/>
  <c r="AY23" i="6"/>
  <c r="AY18" i="4"/>
  <c r="AY18" i="10"/>
  <c r="F435" i="17"/>
  <c r="AY23" i="15"/>
  <c r="AY23" i="4"/>
  <c r="AY21" i="9"/>
  <c r="K435" i="17"/>
  <c r="L435" i="17" s="1"/>
  <c r="AY18" i="8"/>
  <c r="AY18" i="6"/>
  <c r="AY21" i="8"/>
  <c r="AY18" i="5"/>
  <c r="AY25" i="8"/>
  <c r="AY19" i="7"/>
  <c r="AY25" i="5"/>
  <c r="AY22" i="5"/>
  <c r="AY22" i="15"/>
  <c r="AY21" i="10"/>
  <c r="AY18" i="15"/>
  <c r="AY21" i="12"/>
  <c r="AY22" i="12"/>
  <c r="AY20" i="6"/>
  <c r="AY20" i="8"/>
  <c r="AY20" i="9"/>
  <c r="AY20" i="11"/>
  <c r="AY25" i="12"/>
  <c r="AY25" i="4"/>
  <c r="AY22" i="10"/>
  <c r="AY22" i="7"/>
  <c r="AY22" i="6"/>
  <c r="AY22" i="9"/>
  <c r="AY19" i="12"/>
  <c r="AY22" i="11"/>
  <c r="AY20" i="10"/>
  <c r="AY20" i="12"/>
  <c r="AY19" i="8"/>
  <c r="AY20" i="5"/>
  <c r="AY25" i="9"/>
  <c r="AY25" i="15"/>
  <c r="AY25" i="7"/>
  <c r="AY19" i="6"/>
  <c r="AY20" i="15"/>
  <c r="AY20" i="7"/>
  <c r="AY25" i="11"/>
  <c r="AY19" i="15"/>
  <c r="AY19" i="5"/>
  <c r="AY19" i="4"/>
  <c r="AY19" i="9"/>
  <c r="H435" i="17"/>
  <c r="J436" i="17" s="1"/>
  <c r="C435" i="17"/>
  <c r="O435" i="17"/>
  <c r="P435" i="17" s="1"/>
  <c r="D435" i="17"/>
  <c r="Q435" i="17"/>
  <c r="R435" i="17" s="1"/>
  <c r="E435" i="17"/>
  <c r="B436" i="17" l="1"/>
  <c r="K436" i="17" s="1"/>
  <c r="L436" i="17" s="1"/>
  <c r="E436" i="17" l="1"/>
  <c r="I436" i="17"/>
  <c r="M436" i="17"/>
  <c r="N436" i="17" s="1"/>
  <c r="H436" i="17"/>
  <c r="J437" i="17" s="1"/>
  <c r="C436" i="17"/>
  <c r="D436" i="17"/>
  <c r="O436" i="17"/>
  <c r="P436" i="17" s="1"/>
  <c r="G436" i="17"/>
  <c r="F436" i="17"/>
  <c r="S436" i="17"/>
  <c r="Q436" i="17"/>
  <c r="R436" i="17" s="1"/>
  <c r="B437" i="17" l="1"/>
  <c r="K437" i="17" s="1"/>
  <c r="L437" i="17" s="1"/>
  <c r="O437" i="17" l="1"/>
  <c r="P437" i="17" s="1"/>
  <c r="G437" i="17"/>
  <c r="M437" i="17"/>
  <c r="N437" i="17" s="1"/>
  <c r="D437" i="17"/>
  <c r="S437" i="17"/>
  <c r="H437" i="17"/>
  <c r="J438" i="17" s="1"/>
  <c r="E437" i="17"/>
  <c r="Q437" i="17"/>
  <c r="R437" i="17" s="1"/>
  <c r="F437" i="17"/>
  <c r="I437" i="17"/>
  <c r="C437" i="17"/>
  <c r="B438" i="17" l="1"/>
  <c r="F438" i="17" s="1"/>
  <c r="D438" i="17" l="1"/>
  <c r="S438" i="17"/>
  <c r="Q438" i="17"/>
  <c r="R438" i="17" s="1"/>
  <c r="K438" i="17"/>
  <c r="L438" i="17" s="1"/>
  <c r="E438" i="17"/>
  <c r="G438" i="17"/>
  <c r="H438" i="17"/>
  <c r="J439" i="17" s="1"/>
  <c r="M438" i="17"/>
  <c r="N438" i="17" s="1"/>
  <c r="O438" i="17"/>
  <c r="P438" i="17" s="1"/>
  <c r="I438" i="17"/>
  <c r="C438" i="17"/>
  <c r="B439" i="17" l="1"/>
  <c r="Q439" i="17" s="1"/>
  <c r="R439" i="17" s="1"/>
  <c r="O439" i="17" l="1"/>
  <c r="P439" i="17" s="1"/>
  <c r="B440" i="17" s="1"/>
  <c r="F439" i="17"/>
  <c r="E439" i="17"/>
  <c r="M439" i="17"/>
  <c r="N439" i="17" s="1"/>
  <c r="D439" i="17"/>
  <c r="C439" i="17"/>
  <c r="G439" i="17"/>
  <c r="H439" i="17"/>
  <c r="J440" i="17" s="1"/>
  <c r="S439" i="17"/>
  <c r="K439" i="17"/>
  <c r="L439" i="17" s="1"/>
  <c r="I439" i="17"/>
  <c r="Q440" i="17" l="1"/>
  <c r="R440" i="17" s="1"/>
  <c r="O440" i="17"/>
  <c r="P440" i="17" s="1"/>
  <c r="E440" i="17"/>
  <c r="I440" i="17"/>
  <c r="S440" i="17"/>
  <c r="C440" i="17"/>
  <c r="F440" i="17"/>
  <c r="D440" i="17"/>
  <c r="K440" i="17"/>
  <c r="L440" i="17" s="1"/>
  <c r="M440" i="17"/>
  <c r="N440" i="17" s="1"/>
  <c r="H440" i="17"/>
  <c r="J441" i="17" s="1"/>
  <c r="G440" i="17"/>
  <c r="B441" i="17" l="1"/>
  <c r="O441" i="17" s="1"/>
  <c r="P441" i="17" s="1"/>
  <c r="K441" i="17" l="1"/>
  <c r="L441" i="17" s="1"/>
  <c r="Q441" i="17"/>
  <c r="R441" i="17" s="1"/>
  <c r="B442" i="17" s="1"/>
  <c r="S441" i="17"/>
  <c r="G441" i="17"/>
  <c r="I441" i="17"/>
  <c r="M441" i="17"/>
  <c r="N441" i="17" s="1"/>
  <c r="E441" i="17"/>
  <c r="C441" i="17"/>
  <c r="F441" i="17"/>
  <c r="H441" i="17"/>
  <c r="J442" i="17" s="1"/>
  <c r="D441" i="17"/>
  <c r="O442" i="17" l="1"/>
  <c r="P442" i="17" s="1"/>
  <c r="F442" i="17"/>
  <c r="Q442" i="17"/>
  <c r="R442" i="17" s="1"/>
  <c r="D442" i="17"/>
  <c r="E442" i="17"/>
  <c r="H442" i="17"/>
  <c r="J443" i="17" s="1"/>
  <c r="G442" i="17"/>
  <c r="S442" i="17"/>
  <c r="C442" i="17"/>
  <c r="M442" i="17"/>
  <c r="N442" i="17" s="1"/>
  <c r="I442" i="17"/>
  <c r="K442" i="17"/>
  <c r="L442" i="17" s="1"/>
  <c r="B443" i="17" l="1"/>
  <c r="D443" i="17"/>
  <c r="O443" i="17"/>
  <c r="P443" i="17" s="1"/>
  <c r="M443" i="17"/>
  <c r="N443" i="17" s="1"/>
  <c r="E443" i="17"/>
  <c r="G443" i="17"/>
  <c r="F443" i="17"/>
  <c r="C443" i="17"/>
  <c r="S443" i="17"/>
  <c r="I443" i="17"/>
  <c r="H443" i="17"/>
  <c r="J444" i="17" s="1"/>
  <c r="K443" i="17"/>
  <c r="L443" i="17" s="1"/>
  <c r="Q443" i="17"/>
  <c r="R443" i="17" s="1"/>
  <c r="B444" i="17" l="1"/>
  <c r="K444" i="17" s="1"/>
  <c r="L444" i="17" s="1"/>
  <c r="O444" i="17" l="1"/>
  <c r="P444" i="17" s="1"/>
  <c r="C444" i="17"/>
  <c r="H444" i="17"/>
  <c r="J445" i="17" s="1"/>
  <c r="I444" i="17"/>
  <c r="D444" i="17"/>
  <c r="E444" i="17"/>
  <c r="M444" i="17"/>
  <c r="N444" i="17" s="1"/>
  <c r="S444" i="17"/>
  <c r="G444" i="17"/>
  <c r="Q444" i="17"/>
  <c r="R444" i="17" s="1"/>
  <c r="F444" i="17"/>
  <c r="B445" i="17" l="1"/>
  <c r="S445" i="17" s="1"/>
  <c r="I445" i="17" l="1"/>
  <c r="Q445" i="17"/>
  <c r="R445" i="17" s="1"/>
  <c r="C445" i="17"/>
  <c r="O445" i="17"/>
  <c r="P445" i="17" s="1"/>
  <c r="F445" i="17"/>
  <c r="E445" i="17"/>
  <c r="K445" i="17"/>
  <c r="L445" i="17" s="1"/>
  <c r="D445" i="17"/>
  <c r="G445" i="17"/>
  <c r="M445" i="17"/>
  <c r="N445" i="17" s="1"/>
  <c r="H445" i="17"/>
  <c r="J446" i="17" s="1"/>
  <c r="B446" i="17" l="1"/>
  <c r="G446" i="17" s="1"/>
  <c r="E446" i="17" l="1"/>
  <c r="Q446" i="17"/>
  <c r="R446" i="17" s="1"/>
  <c r="K446" i="17"/>
  <c r="L446" i="17" s="1"/>
  <c r="O446" i="17"/>
  <c r="P446" i="17" s="1"/>
  <c r="H446" i="17"/>
  <c r="J447" i="17" s="1"/>
  <c r="D446" i="17"/>
  <c r="S446" i="17"/>
  <c r="I446" i="17"/>
  <c r="F446" i="17"/>
  <c r="M446" i="17"/>
  <c r="N446" i="17" s="1"/>
  <c r="C446" i="17"/>
  <c r="B447" i="17" l="1"/>
  <c r="H447" i="17" s="1"/>
  <c r="J448" i="17" s="1"/>
  <c r="S447" i="17" l="1"/>
  <c r="I447" i="17"/>
  <c r="F447" i="17"/>
  <c r="C447" i="17"/>
  <c r="O447" i="17"/>
  <c r="P447" i="17" s="1"/>
  <c r="D447" i="17"/>
  <c r="G447" i="17"/>
  <c r="M447" i="17"/>
  <c r="N447" i="17" s="1"/>
  <c r="Q447" i="17"/>
  <c r="R447" i="17" s="1"/>
  <c r="K447" i="17"/>
  <c r="L447" i="17" s="1"/>
  <c r="E447" i="17"/>
  <c r="B448" i="17" l="1"/>
  <c r="S448" i="17" s="1"/>
  <c r="D448" i="17"/>
  <c r="E448" i="17"/>
  <c r="K448" i="17"/>
  <c r="L448" i="17" s="1"/>
  <c r="G448" i="17"/>
  <c r="F448" i="17"/>
  <c r="I448" i="17"/>
  <c r="O448" i="17"/>
  <c r="P448" i="17" s="1"/>
  <c r="H448" i="17"/>
  <c r="J449" i="17" s="1"/>
  <c r="C448" i="17"/>
  <c r="Q448" i="17"/>
  <c r="R448" i="17" s="1"/>
  <c r="M448" i="17"/>
  <c r="N448" i="17" s="1"/>
  <c r="B449" i="17" l="1"/>
  <c r="C449" i="17" s="1"/>
  <c r="I449" i="17" l="1"/>
  <c r="G449" i="17"/>
  <c r="H449" i="17"/>
  <c r="J450" i="17" s="1"/>
  <c r="M449" i="17"/>
  <c r="N449" i="17" s="1"/>
  <c r="D449" i="17"/>
  <c r="F449" i="17"/>
  <c r="Q449" i="17"/>
  <c r="R449" i="17" s="1"/>
  <c r="O449" i="17"/>
  <c r="P449" i="17" s="1"/>
  <c r="E449" i="17"/>
  <c r="S449" i="17"/>
  <c r="K449" i="17"/>
  <c r="L449" i="17" s="1"/>
  <c r="B450" i="17" l="1"/>
  <c r="F450" i="17" s="1"/>
  <c r="E450" i="17" l="1"/>
  <c r="O450" i="17"/>
  <c r="P450" i="17" s="1"/>
  <c r="C450" i="17"/>
  <c r="Q450" i="17"/>
  <c r="R450" i="17" s="1"/>
  <c r="G450" i="17"/>
  <c r="K450" i="17"/>
  <c r="L450" i="17" s="1"/>
  <c r="M450" i="17"/>
  <c r="N450" i="17" s="1"/>
  <c r="S450" i="17"/>
  <c r="I450" i="17"/>
  <c r="D450" i="17"/>
  <c r="H450" i="17"/>
  <c r="J451" i="17" s="1"/>
  <c r="B451" i="17" l="1"/>
  <c r="O451" i="17" s="1"/>
  <c r="P451" i="17" s="1"/>
  <c r="Q451" i="17" l="1"/>
  <c r="R451" i="17" s="1"/>
  <c r="B452" i="17" s="1"/>
  <c r="O452" i="17" s="1"/>
  <c r="P452" i="17" s="1"/>
  <c r="C451" i="17"/>
  <c r="M451" i="17"/>
  <c r="N451" i="17" s="1"/>
  <c r="G451" i="17"/>
  <c r="S451" i="17"/>
  <c r="K451" i="17"/>
  <c r="L451" i="17" s="1"/>
  <c r="I451" i="17"/>
  <c r="H451" i="17"/>
  <c r="J452" i="17" s="1"/>
  <c r="D451" i="17"/>
  <c r="E451" i="17"/>
  <c r="F451" i="17"/>
  <c r="F452" i="17" l="1"/>
  <c r="Q452" i="17"/>
  <c r="R452" i="17" s="1"/>
  <c r="B453" i="17" s="1"/>
  <c r="O453" i="17" s="1"/>
  <c r="P453" i="17" s="1"/>
  <c r="M452" i="17"/>
  <c r="N452" i="17" s="1"/>
  <c r="D452" i="17"/>
  <c r="E452" i="17"/>
  <c r="G452" i="17"/>
  <c r="S452" i="17"/>
  <c r="I452" i="17"/>
  <c r="C452" i="17"/>
  <c r="H452" i="17"/>
  <c r="J453" i="17" s="1"/>
  <c r="K452" i="17"/>
  <c r="L452" i="17" s="1"/>
  <c r="S453" i="17" l="1"/>
  <c r="M453" i="17"/>
  <c r="N453" i="17" s="1"/>
  <c r="I453" i="17"/>
  <c r="H453" i="17"/>
  <c r="J454" i="17" s="1"/>
  <c r="D453" i="17"/>
  <c r="K453" i="17"/>
  <c r="L453" i="17" s="1"/>
  <c r="C453" i="17"/>
  <c r="Q453" i="17"/>
  <c r="R453" i="17" s="1"/>
  <c r="B454" i="17" s="1"/>
  <c r="Q454" i="17" s="1"/>
  <c r="R454" i="17" s="1"/>
  <c r="E453" i="17"/>
  <c r="G453" i="17"/>
  <c r="F453" i="17"/>
  <c r="K454" i="17" l="1"/>
  <c r="L454" i="17" s="1"/>
  <c r="C454" i="17"/>
  <c r="F454" i="17"/>
  <c r="S454" i="17"/>
  <c r="H454" i="17"/>
  <c r="J455" i="17" s="1"/>
  <c r="G454" i="17"/>
  <c r="M454" i="17"/>
  <c r="N454" i="17" s="1"/>
  <c r="I454" i="17"/>
  <c r="D454" i="17"/>
  <c r="E454" i="17"/>
  <c r="O454" i="17"/>
  <c r="P454" i="17" s="1"/>
  <c r="B455" i="17" s="1"/>
  <c r="O455" i="17" s="1"/>
  <c r="P455" i="17" s="1"/>
  <c r="Q455" i="17" l="1"/>
  <c r="R455" i="17" s="1"/>
  <c r="B456" i="17" s="1"/>
  <c r="K455" i="17"/>
  <c r="L455" i="17" s="1"/>
  <c r="M455" i="17"/>
  <c r="N455" i="17" s="1"/>
  <c r="I455" i="17"/>
  <c r="G455" i="17"/>
  <c r="S455" i="17"/>
  <c r="C455" i="17"/>
  <c r="F455" i="17"/>
  <c r="E455" i="17"/>
  <c r="H455" i="17"/>
  <c r="J456" i="17" s="1"/>
  <c r="D455" i="17"/>
  <c r="M456" i="17" l="1"/>
  <c r="N456" i="17" s="1"/>
  <c r="H456" i="17"/>
  <c r="J457" i="17" s="1"/>
  <c r="F456" i="17"/>
  <c r="E456" i="17"/>
  <c r="O456" i="17"/>
  <c r="P456" i="17" s="1"/>
  <c r="Q456" i="17"/>
  <c r="R456" i="17" s="1"/>
  <c r="K456" i="17"/>
  <c r="L456" i="17" s="1"/>
  <c r="S456" i="17"/>
  <c r="C456" i="17"/>
  <c r="G456" i="17"/>
  <c r="D456" i="17"/>
  <c r="I456" i="17"/>
  <c r="B457" i="17" l="1"/>
  <c r="Q457" i="17" s="1"/>
  <c r="R457" i="17" s="1"/>
  <c r="I457" i="17" l="1"/>
  <c r="C457" i="17"/>
  <c r="D457" i="17"/>
  <c r="K457" i="17"/>
  <c r="L457" i="17" s="1"/>
  <c r="E457" i="17"/>
  <c r="F457" i="17"/>
  <c r="H457" i="17"/>
  <c r="J458" i="17" s="1"/>
  <c r="M457" i="17"/>
  <c r="N457" i="17" s="1"/>
  <c r="G457" i="17"/>
  <c r="O457" i="17"/>
  <c r="P457" i="17" s="1"/>
  <c r="B458" i="17" s="1"/>
  <c r="F458" i="17" s="1"/>
  <c r="S457" i="17"/>
  <c r="D458" i="17" l="1"/>
  <c r="Q458" i="17"/>
  <c r="R458" i="17" s="1"/>
  <c r="C458" i="17"/>
  <c r="H458" i="17"/>
  <c r="J459" i="17" s="1"/>
  <c r="G458" i="17"/>
  <c r="O458" i="17"/>
  <c r="P458" i="17" s="1"/>
  <c r="E458" i="17"/>
  <c r="M458" i="17"/>
  <c r="N458" i="17" s="1"/>
  <c r="K458" i="17"/>
  <c r="L458" i="17" s="1"/>
  <c r="I458" i="17"/>
  <c r="S458" i="17"/>
  <c r="B459" i="17" l="1"/>
  <c r="O459" i="17" s="1"/>
  <c r="P459" i="17" s="1"/>
  <c r="M459" i="17" l="1"/>
  <c r="N459" i="17" s="1"/>
  <c r="H459" i="17"/>
  <c r="J460" i="17" s="1"/>
  <c r="Q459" i="17"/>
  <c r="R459" i="17" s="1"/>
  <c r="B460" i="17" s="1"/>
  <c r="S459" i="17"/>
  <c r="I459" i="17"/>
  <c r="E459" i="17"/>
  <c r="G459" i="17"/>
  <c r="C459" i="17"/>
  <c r="K459" i="17"/>
  <c r="L459" i="17" s="1"/>
  <c r="D459" i="17"/>
  <c r="F459" i="17"/>
  <c r="E460" i="17" l="1"/>
  <c r="H460" i="17"/>
  <c r="J461" i="17" s="1"/>
  <c r="K460" i="17"/>
  <c r="L460" i="17" s="1"/>
  <c r="F460" i="17"/>
  <c r="C460" i="17"/>
  <c r="S460" i="17"/>
  <c r="D460" i="17"/>
  <c r="O460" i="17"/>
  <c r="P460" i="17" s="1"/>
  <c r="I460" i="17"/>
  <c r="M460" i="17"/>
  <c r="N460" i="17" s="1"/>
  <c r="G460" i="17"/>
  <c r="Q460" i="17"/>
  <c r="R460" i="17" s="1"/>
  <c r="B461" i="17" l="1"/>
  <c r="O461" i="17" s="1"/>
  <c r="P461" i="17" s="1"/>
  <c r="Q461" i="17" l="1"/>
  <c r="R461" i="17" s="1"/>
  <c r="B462" i="17" s="1"/>
  <c r="E461" i="17"/>
  <c r="S461" i="17"/>
  <c r="I461" i="17"/>
  <c r="K461" i="17"/>
  <c r="L461" i="17" s="1"/>
  <c r="H461" i="17"/>
  <c r="J462" i="17" s="1"/>
  <c r="C461" i="17"/>
  <c r="M461" i="17"/>
  <c r="N461" i="17" s="1"/>
  <c r="D461" i="17"/>
  <c r="G461" i="17"/>
  <c r="F461" i="17"/>
  <c r="M462" i="17" l="1"/>
  <c r="N462" i="17" s="1"/>
  <c r="G462" i="17"/>
  <c r="F462" i="17"/>
  <c r="H462" i="17"/>
  <c r="J463" i="17" s="1"/>
  <c r="O462" i="17"/>
  <c r="P462" i="17" s="1"/>
  <c r="C462" i="17"/>
  <c r="I462" i="17"/>
  <c r="E462" i="17"/>
  <c r="S462" i="17"/>
  <c r="K462" i="17"/>
  <c r="L462" i="17" s="1"/>
  <c r="Q462" i="17"/>
  <c r="R462" i="17" s="1"/>
  <c r="D462" i="17"/>
  <c r="B463" i="17" l="1"/>
  <c r="D463" i="17" s="1"/>
  <c r="K463" i="17" l="1"/>
  <c r="L463" i="17" s="1"/>
  <c r="S463" i="17"/>
  <c r="H463" i="17"/>
  <c r="J464" i="17" s="1"/>
  <c r="O463" i="17"/>
  <c r="P463" i="17" s="1"/>
  <c r="G463" i="17"/>
  <c r="I463" i="17"/>
  <c r="C463" i="17"/>
  <c r="F463" i="17"/>
  <c r="M463" i="17"/>
  <c r="N463" i="17" s="1"/>
  <c r="Q463" i="17"/>
  <c r="R463" i="17" s="1"/>
  <c r="E463" i="17"/>
  <c r="B464" i="17" l="1"/>
  <c r="D464" i="17" s="1"/>
  <c r="I464" i="17" l="1"/>
  <c r="G464" i="17"/>
  <c r="E464" i="17"/>
  <c r="F464" i="17"/>
  <c r="M464" i="17"/>
  <c r="N464" i="17" s="1"/>
  <c r="C464" i="17"/>
  <c r="Q464" i="17"/>
  <c r="R464" i="17" s="1"/>
  <c r="K464" i="17"/>
  <c r="L464" i="17" s="1"/>
  <c r="O464" i="17"/>
  <c r="P464" i="17" s="1"/>
  <c r="S464" i="17"/>
  <c r="H464" i="17"/>
  <c r="J465" i="17" s="1"/>
  <c r="B465" i="17" l="1"/>
  <c r="D465" i="17" s="1"/>
  <c r="Q465" i="17" l="1"/>
  <c r="R465" i="17" s="1"/>
  <c r="O465" i="17"/>
  <c r="P465" i="17" s="1"/>
  <c r="G465" i="17"/>
  <c r="C465" i="17"/>
  <c r="F465" i="17"/>
  <c r="S465" i="17"/>
  <c r="K465" i="17"/>
  <c r="L465" i="17" s="1"/>
  <c r="I465" i="17"/>
  <c r="E465" i="17"/>
  <c r="M465" i="17"/>
  <c r="N465" i="17" s="1"/>
  <c r="H465" i="17"/>
  <c r="J466" i="17" s="1"/>
  <c r="B466" i="17" l="1"/>
  <c r="C466" i="17" s="1"/>
  <c r="I466" i="17" l="1"/>
  <c r="O466" i="17"/>
  <c r="P466" i="17" s="1"/>
  <c r="H466" i="17"/>
  <c r="J467" i="17" s="1"/>
  <c r="E466" i="17"/>
  <c r="F466" i="17"/>
  <c r="G466" i="17"/>
  <c r="Q466" i="17"/>
  <c r="R466" i="17" s="1"/>
  <c r="D466" i="17"/>
  <c r="S466" i="17"/>
  <c r="M466" i="17"/>
  <c r="N466" i="17" s="1"/>
  <c r="K466" i="17"/>
  <c r="L466" i="17" s="1"/>
  <c r="B467" i="17" l="1"/>
  <c r="S467" i="17" s="1"/>
  <c r="H467" i="17" l="1"/>
  <c r="J468" i="17" s="1"/>
  <c r="F467" i="17"/>
  <c r="I467" i="17"/>
  <c r="K467" i="17"/>
  <c r="L467" i="17" s="1"/>
  <c r="E467" i="17"/>
  <c r="G467" i="17"/>
  <c r="Q467" i="17"/>
  <c r="R467" i="17" s="1"/>
  <c r="C467" i="17"/>
  <c r="D467" i="17"/>
  <c r="M467" i="17"/>
  <c r="N467" i="17" s="1"/>
  <c r="O467" i="17"/>
  <c r="P467" i="17" s="1"/>
  <c r="B468" i="17" l="1"/>
  <c r="E468" i="17" s="1"/>
  <c r="F468" i="17" l="1"/>
  <c r="O468" i="17"/>
  <c r="P468" i="17" s="1"/>
  <c r="M468" i="17"/>
  <c r="N468" i="17" s="1"/>
  <c r="K468" i="17"/>
  <c r="L468" i="17" s="1"/>
  <c r="D468" i="17"/>
  <c r="I468" i="17"/>
  <c r="S468" i="17"/>
  <c r="H468" i="17"/>
  <c r="J469" i="17" s="1"/>
  <c r="Q468" i="17"/>
  <c r="R468" i="17" s="1"/>
  <c r="G468" i="17"/>
  <c r="C468" i="17"/>
  <c r="B469" i="17" l="1"/>
  <c r="H469" i="17" s="1"/>
  <c r="J470" i="17" s="1"/>
  <c r="F469" i="17" l="1"/>
  <c r="D469" i="17"/>
  <c r="O469" i="17"/>
  <c r="P469" i="17" s="1"/>
  <c r="M469" i="17"/>
  <c r="N469" i="17" s="1"/>
  <c r="I469" i="17"/>
  <c r="Q469" i="17"/>
  <c r="R469" i="17" s="1"/>
  <c r="G469" i="17"/>
  <c r="C469" i="17"/>
  <c r="K469" i="17"/>
  <c r="L469" i="17" s="1"/>
  <c r="S469" i="17"/>
  <c r="E469" i="17"/>
  <c r="B470" i="17" l="1"/>
  <c r="H470" i="17" s="1"/>
  <c r="J471" i="17" s="1"/>
  <c r="I470" i="17" l="1"/>
  <c r="G470" i="17"/>
  <c r="M470" i="17"/>
  <c r="N470" i="17" s="1"/>
  <c r="S470" i="17"/>
  <c r="E470" i="17"/>
  <c r="C470" i="17"/>
  <c r="D470" i="17"/>
  <c r="O470" i="17"/>
  <c r="P470" i="17" s="1"/>
  <c r="Q470" i="17"/>
  <c r="R470" i="17" s="1"/>
  <c r="F470" i="17"/>
  <c r="K470" i="17"/>
  <c r="L470" i="17" s="1"/>
  <c r="B471" i="17" l="1"/>
  <c r="O471" i="17" s="1"/>
  <c r="P471" i="17" s="1"/>
  <c r="E471" i="17" l="1"/>
  <c r="S471" i="17"/>
  <c r="C471" i="17"/>
  <c r="Q471" i="17"/>
  <c r="R471" i="17" s="1"/>
  <c r="B472" i="17" s="1"/>
  <c r="K471" i="17"/>
  <c r="L471" i="17" s="1"/>
  <c r="M471" i="17"/>
  <c r="N471" i="17" s="1"/>
  <c r="G471" i="17"/>
  <c r="D471" i="17"/>
  <c r="I471" i="17"/>
  <c r="F471" i="17"/>
  <c r="H471" i="17"/>
  <c r="J472" i="17" s="1"/>
  <c r="Q472" i="17" l="1"/>
  <c r="R472" i="17" s="1"/>
  <c r="K472" i="17"/>
  <c r="L472" i="17" s="1"/>
  <c r="H472" i="17"/>
  <c r="J473" i="17" s="1"/>
  <c r="G472" i="17"/>
  <c r="I472" i="17"/>
  <c r="O472" i="17"/>
  <c r="P472" i="17" s="1"/>
  <c r="C472" i="17"/>
  <c r="E472" i="17"/>
  <c r="S472" i="17"/>
  <c r="M472" i="17"/>
  <c r="N472" i="17" s="1"/>
  <c r="F472" i="17"/>
  <c r="D472" i="17"/>
  <c r="B473" i="17" l="1"/>
  <c r="S473" i="17" s="1"/>
  <c r="E473" i="17" l="1"/>
  <c r="D473" i="17"/>
  <c r="I473" i="17"/>
  <c r="M473" i="17"/>
  <c r="N473" i="17" s="1"/>
  <c r="C473" i="17"/>
  <c r="O473" i="17"/>
  <c r="P473" i="17" s="1"/>
  <c r="F473" i="17"/>
  <c r="G473" i="17"/>
  <c r="H473" i="17"/>
  <c r="J474" i="17" s="1"/>
  <c r="K473" i="17"/>
  <c r="L473" i="17" s="1"/>
  <c r="Q473" i="17"/>
  <c r="R473" i="17" s="1"/>
  <c r="B474" i="17" l="1"/>
  <c r="M474" i="17" s="1"/>
  <c r="N474" i="17" s="1"/>
  <c r="O474" i="17" l="1"/>
  <c r="P474" i="17" s="1"/>
  <c r="D474" i="17"/>
  <c r="S474" i="17"/>
  <c r="H474" i="17"/>
  <c r="J475" i="17" s="1"/>
  <c r="K474" i="17"/>
  <c r="L474" i="17" s="1"/>
  <c r="E474" i="17"/>
  <c r="I474" i="17"/>
  <c r="G474" i="17"/>
  <c r="C474" i="17"/>
  <c r="F474" i="17"/>
  <c r="Q474" i="17"/>
  <c r="R474" i="17" s="1"/>
  <c r="B475" i="17" l="1"/>
  <c r="Q475" i="17" s="1"/>
  <c r="R475" i="17" s="1"/>
  <c r="D475" i="17" l="1"/>
  <c r="H475" i="17"/>
  <c r="J476" i="17" s="1"/>
  <c r="E475" i="17"/>
  <c r="I475" i="17"/>
  <c r="S475" i="17"/>
  <c r="F475" i="17"/>
  <c r="C475" i="17"/>
  <c r="G475" i="17"/>
  <c r="O475" i="17"/>
  <c r="P475" i="17" s="1"/>
  <c r="B476" i="17" s="1"/>
  <c r="M475" i="17"/>
  <c r="N475" i="17" s="1"/>
  <c r="K475" i="17"/>
  <c r="L475" i="17" s="1"/>
  <c r="H476" i="17" l="1"/>
  <c r="J477" i="17" s="1"/>
  <c r="S476" i="17"/>
  <c r="C476" i="17"/>
  <c r="M476" i="17"/>
  <c r="N476" i="17" s="1"/>
  <c r="Q476" i="17"/>
  <c r="R476" i="17" s="1"/>
  <c r="G476" i="17"/>
  <c r="I476" i="17"/>
  <c r="O476" i="17"/>
  <c r="P476" i="17" s="1"/>
  <c r="K476" i="17"/>
  <c r="L476" i="17" s="1"/>
  <c r="D476" i="17"/>
  <c r="F476" i="17"/>
  <c r="E476" i="17"/>
  <c r="B477" i="17" l="1"/>
  <c r="Q477" i="17" s="1"/>
  <c r="R477" i="17" s="1"/>
  <c r="F477" i="17" l="1"/>
  <c r="C477" i="17"/>
  <c r="S477" i="17"/>
  <c r="M477" i="17"/>
  <c r="N477" i="17" s="1"/>
  <c r="O477" i="17"/>
  <c r="P477" i="17" s="1"/>
  <c r="B478" i="17" s="1"/>
  <c r="H477" i="17"/>
  <c r="J478" i="17" s="1"/>
  <c r="K477" i="17"/>
  <c r="L477" i="17" s="1"/>
  <c r="I477" i="17"/>
  <c r="E477" i="17"/>
  <c r="D477" i="17"/>
  <c r="G477" i="17"/>
  <c r="G478" i="17" l="1"/>
  <c r="O478" i="17"/>
  <c r="P478" i="17" s="1"/>
  <c r="S478" i="17"/>
  <c r="E478" i="17"/>
  <c r="H478" i="17"/>
  <c r="J479" i="17" s="1"/>
  <c r="M478" i="17"/>
  <c r="N478" i="17" s="1"/>
  <c r="F478" i="17"/>
  <c r="Q478" i="17"/>
  <c r="R478" i="17" s="1"/>
  <c r="C478" i="17"/>
  <c r="I478" i="17"/>
  <c r="D478" i="17"/>
  <c r="K478" i="17"/>
  <c r="L478" i="17" s="1"/>
  <c r="B479" i="17" l="1"/>
  <c r="H479" i="17" s="1"/>
  <c r="J480" i="17" s="1"/>
  <c r="K479" i="17" l="1"/>
  <c r="L479" i="17" s="1"/>
  <c r="G479" i="17"/>
  <c r="D479" i="17"/>
  <c r="M479" i="17"/>
  <c r="N479" i="17" s="1"/>
  <c r="O479" i="17"/>
  <c r="P479" i="17" s="1"/>
  <c r="E479" i="17"/>
  <c r="F479" i="17"/>
  <c r="Q479" i="17"/>
  <c r="R479" i="17" s="1"/>
  <c r="C479" i="17"/>
  <c r="I479" i="17"/>
  <c r="S479" i="17"/>
  <c r="B480" i="17" l="1"/>
  <c r="F480" i="17" s="1"/>
  <c r="D480" i="17" l="1"/>
  <c r="C480" i="17"/>
  <c r="E480" i="17"/>
  <c r="H480" i="17"/>
  <c r="J481" i="17" s="1"/>
  <c r="G480" i="17"/>
  <c r="M480" i="17"/>
  <c r="N480" i="17" s="1"/>
  <c r="O480" i="17"/>
  <c r="P480" i="17" s="1"/>
  <c r="I480" i="17"/>
  <c r="Q480" i="17"/>
  <c r="R480" i="17" s="1"/>
  <c r="K480" i="17"/>
  <c r="L480" i="17" s="1"/>
  <c r="S480" i="17"/>
  <c r="B481" i="17" l="1"/>
  <c r="O481" i="17" s="1"/>
  <c r="P481" i="17" s="1"/>
  <c r="I481" i="17" l="1"/>
  <c r="D481" i="17"/>
  <c r="H481" i="17"/>
  <c r="J482" i="17" s="1"/>
  <c r="K481" i="17"/>
  <c r="L481" i="17" s="1"/>
  <c r="F481" i="17"/>
  <c r="G481" i="17"/>
  <c r="E481" i="17"/>
  <c r="M481" i="17"/>
  <c r="N481" i="17" s="1"/>
  <c r="C481" i="17"/>
  <c r="S481" i="17"/>
  <c r="Q481" i="17"/>
  <c r="R481" i="17" s="1"/>
  <c r="B482" i="17" s="1"/>
  <c r="O482" i="17" l="1"/>
  <c r="P482" i="17" s="1"/>
  <c r="M482" i="17"/>
  <c r="N482" i="17" s="1"/>
  <c r="C482" i="17"/>
  <c r="S482" i="17"/>
  <c r="G482" i="17"/>
  <c r="D482" i="17"/>
  <c r="H482" i="17"/>
  <c r="J483" i="17" s="1"/>
  <c r="Q482" i="17"/>
  <c r="R482" i="17" s="1"/>
  <c r="E482" i="17"/>
  <c r="I482" i="17"/>
  <c r="F482" i="17"/>
  <c r="K482" i="17"/>
  <c r="L482" i="17" s="1"/>
  <c r="B483" i="17" l="1"/>
  <c r="D483" i="17" s="1"/>
  <c r="Q483" i="17" l="1"/>
  <c r="R483" i="17" s="1"/>
  <c r="E483" i="17"/>
  <c r="K483" i="17"/>
  <c r="L483" i="17" s="1"/>
  <c r="F483" i="17"/>
  <c r="M483" i="17"/>
  <c r="N483" i="17" s="1"/>
  <c r="O483" i="17"/>
  <c r="P483" i="17" s="1"/>
  <c r="C483" i="17"/>
  <c r="H483" i="17"/>
  <c r="J484" i="17" s="1"/>
  <c r="I483" i="17"/>
  <c r="G483" i="17"/>
  <c r="S483" i="17"/>
  <c r="B484" i="17" l="1"/>
  <c r="D484" i="17" s="1"/>
  <c r="Q484" i="17" l="1"/>
  <c r="R484" i="17" s="1"/>
  <c r="M484" i="17"/>
  <c r="N484" i="17" s="1"/>
  <c r="O484" i="17"/>
  <c r="P484" i="17" s="1"/>
  <c r="C484" i="17"/>
  <c r="E484" i="17"/>
  <c r="I484" i="17"/>
  <c r="F484" i="17"/>
  <c r="K484" i="17"/>
  <c r="L484" i="17" s="1"/>
  <c r="S484" i="17"/>
  <c r="H484" i="17"/>
  <c r="J485" i="17" s="1"/>
  <c r="G484" i="17"/>
  <c r="B485" i="17" l="1"/>
  <c r="D485" i="17" s="1"/>
  <c r="K485" i="17" l="1"/>
  <c r="L485" i="17" s="1"/>
  <c r="M485" i="17"/>
  <c r="N485" i="17" s="1"/>
  <c r="Q485" i="17"/>
  <c r="R485" i="17" s="1"/>
  <c r="I485" i="17"/>
  <c r="O485" i="17"/>
  <c r="P485" i="17" s="1"/>
  <c r="F485" i="17"/>
  <c r="G485" i="17"/>
  <c r="H485" i="17"/>
  <c r="J486" i="17" s="1"/>
  <c r="E485" i="17"/>
  <c r="S485" i="17"/>
  <c r="C485" i="17"/>
  <c r="B486" i="17" l="1"/>
  <c r="H486" i="17" s="1"/>
  <c r="J487" i="17" s="1"/>
  <c r="O486" i="17" l="1"/>
  <c r="P486" i="17" s="1"/>
  <c r="F486" i="17"/>
  <c r="C486" i="17"/>
  <c r="E486" i="17"/>
  <c r="I486" i="17"/>
  <c r="M486" i="17"/>
  <c r="N486" i="17" s="1"/>
  <c r="G486" i="17"/>
  <c r="Q486" i="17"/>
  <c r="R486" i="17" s="1"/>
  <c r="K486" i="17"/>
  <c r="L486" i="17" s="1"/>
  <c r="S486" i="17"/>
  <c r="D486" i="17"/>
  <c r="B487" i="17" l="1"/>
  <c r="S487" i="17" s="1"/>
  <c r="Q487" i="17" l="1"/>
  <c r="R487" i="17" s="1"/>
  <c r="G487" i="17"/>
  <c r="K487" i="17"/>
  <c r="L487" i="17" s="1"/>
  <c r="C487" i="17"/>
  <c r="H487" i="17"/>
  <c r="J488" i="17" s="1"/>
  <c r="E487" i="17"/>
  <c r="F487" i="17"/>
  <c r="I487" i="17"/>
  <c r="D487" i="17"/>
  <c r="O487" i="17"/>
  <c r="P487" i="17" s="1"/>
  <c r="M487" i="17"/>
  <c r="N487" i="17" s="1"/>
  <c r="B488" i="17" l="1"/>
  <c r="D488" i="17" s="1"/>
  <c r="Q488" i="17" l="1"/>
  <c r="R488" i="17" s="1"/>
  <c r="E488" i="17"/>
  <c r="I488" i="17"/>
  <c r="K488" i="17"/>
  <c r="L488" i="17" s="1"/>
  <c r="F488" i="17"/>
  <c r="M488" i="17"/>
  <c r="N488" i="17" s="1"/>
  <c r="S488" i="17"/>
  <c r="O488" i="17"/>
  <c r="P488" i="17" s="1"/>
  <c r="G488" i="17"/>
  <c r="C488" i="17"/>
  <c r="H488" i="17"/>
  <c r="J489" i="17" s="1"/>
  <c r="B489" i="17" l="1"/>
  <c r="D489" i="17" s="1"/>
  <c r="E489" i="17" l="1"/>
  <c r="H489" i="17"/>
  <c r="J490" i="17" s="1"/>
  <c r="C489" i="17"/>
  <c r="Q489" i="17"/>
  <c r="R489" i="17" s="1"/>
  <c r="O489" i="17"/>
  <c r="P489" i="17" s="1"/>
  <c r="F489" i="17"/>
  <c r="G489" i="17"/>
  <c r="S489" i="17"/>
  <c r="K489" i="17"/>
  <c r="L489" i="17" s="1"/>
  <c r="M489" i="17"/>
  <c r="N489" i="17" s="1"/>
  <c r="I489" i="17"/>
  <c r="B490" i="17" l="1"/>
  <c r="G490" i="17" s="1"/>
  <c r="K490" i="17" l="1"/>
  <c r="L490" i="17" s="1"/>
  <c r="Q490" i="17"/>
  <c r="R490" i="17" s="1"/>
  <c r="F490" i="17"/>
  <c r="H490" i="17"/>
  <c r="J491" i="17" s="1"/>
  <c r="E490" i="17"/>
  <c r="S490" i="17"/>
  <c r="I490" i="17"/>
  <c r="M490" i="17"/>
  <c r="N490" i="17" s="1"/>
  <c r="C490" i="17"/>
  <c r="D490" i="17"/>
  <c r="O490" i="17"/>
  <c r="P490" i="17" s="1"/>
  <c r="B491" i="17" s="1"/>
  <c r="E491" i="17" l="1"/>
  <c r="Q491" i="17"/>
  <c r="R491" i="17" s="1"/>
  <c r="S491" i="17"/>
  <c r="F491" i="17"/>
  <c r="H491" i="17"/>
  <c r="J492" i="17" s="1"/>
  <c r="D491" i="17"/>
  <c r="C491" i="17"/>
  <c r="I491" i="17"/>
  <c r="G491" i="17"/>
  <c r="M491" i="17"/>
  <c r="N491" i="17" s="1"/>
  <c r="O491" i="17"/>
  <c r="P491" i="17" s="1"/>
  <c r="K491" i="17"/>
  <c r="L491" i="17" s="1"/>
  <c r="B492" i="17" l="1"/>
  <c r="Q492" i="17" s="1"/>
  <c r="R492" i="17" s="1"/>
  <c r="M492" i="17" l="1"/>
  <c r="N492" i="17" s="1"/>
  <c r="O492" i="17"/>
  <c r="P492" i="17" s="1"/>
  <c r="B493" i="17" s="1"/>
  <c r="Q493" i="17" s="1"/>
  <c r="R493" i="17" s="1"/>
  <c r="D492" i="17"/>
  <c r="H492" i="17"/>
  <c r="J493" i="17" s="1"/>
  <c r="C492" i="17"/>
  <c r="I492" i="17"/>
  <c r="F492" i="17"/>
  <c r="G492" i="17"/>
  <c r="E492" i="17"/>
  <c r="K492" i="17"/>
  <c r="L492" i="17" s="1"/>
  <c r="S492" i="17"/>
  <c r="I493" i="17" l="1"/>
  <c r="F493" i="17"/>
  <c r="D493" i="17"/>
  <c r="M493" i="17"/>
  <c r="N493" i="17" s="1"/>
  <c r="S493" i="17"/>
  <c r="E493" i="17"/>
  <c r="K493" i="17"/>
  <c r="L493" i="17" s="1"/>
  <c r="H493" i="17"/>
  <c r="J494" i="17" s="1"/>
  <c r="O493" i="17"/>
  <c r="P493" i="17" s="1"/>
  <c r="B494" i="17" s="1"/>
  <c r="C493" i="17"/>
  <c r="G493" i="17"/>
  <c r="C494" i="17" l="1"/>
  <c r="E494" i="17"/>
  <c r="I494" i="17"/>
  <c r="G494" i="17"/>
  <c r="H494" i="17"/>
  <c r="J495" i="17" s="1"/>
  <c r="K494" i="17"/>
  <c r="L494" i="17" s="1"/>
  <c r="D494" i="17"/>
  <c r="O494" i="17"/>
  <c r="P494" i="17" s="1"/>
  <c r="S494" i="17"/>
  <c r="M494" i="17"/>
  <c r="N494" i="17" s="1"/>
  <c r="F494" i="17"/>
  <c r="Q494" i="17"/>
  <c r="R494" i="17" s="1"/>
  <c r="B495" i="17" l="1"/>
  <c r="O495" i="17" s="1"/>
  <c r="P495" i="17" s="1"/>
  <c r="I495" i="17" l="1"/>
  <c r="D495" i="17"/>
  <c r="K495" i="17"/>
  <c r="L495" i="17" s="1"/>
  <c r="E495" i="17"/>
  <c r="G495" i="17"/>
  <c r="C495" i="17"/>
  <c r="S495" i="17"/>
  <c r="F495" i="17"/>
  <c r="H495" i="17"/>
  <c r="J496" i="17" s="1"/>
  <c r="M495" i="17"/>
  <c r="N495" i="17" s="1"/>
  <c r="Q495" i="17"/>
  <c r="R495" i="17" s="1"/>
  <c r="B496" i="17" s="1"/>
  <c r="Q496" i="17" s="1"/>
  <c r="R496" i="17" s="1"/>
  <c r="O496" i="17" l="1"/>
  <c r="P496" i="17" s="1"/>
  <c r="B497" i="17" s="1"/>
  <c r="O497" i="17" s="1"/>
  <c r="P497" i="17" s="1"/>
  <c r="E496" i="17"/>
  <c r="H496" i="17"/>
  <c r="J497" i="17" s="1"/>
  <c r="G496" i="17"/>
  <c r="D496" i="17"/>
  <c r="M496" i="17"/>
  <c r="N496" i="17" s="1"/>
  <c r="C496" i="17"/>
  <c r="K496" i="17"/>
  <c r="L496" i="17" s="1"/>
  <c r="S496" i="17"/>
  <c r="I496" i="17"/>
  <c r="F496" i="17"/>
  <c r="D497" i="17" l="1"/>
  <c r="E497" i="17"/>
  <c r="C497" i="17"/>
  <c r="H497" i="17"/>
  <c r="J498" i="17" s="1"/>
  <c r="M497" i="17"/>
  <c r="N497" i="17" s="1"/>
  <c r="K497" i="17"/>
  <c r="L497" i="17" s="1"/>
  <c r="F497" i="17"/>
  <c r="Q497" i="17"/>
  <c r="R497" i="17" s="1"/>
  <c r="B498" i="17" s="1"/>
  <c r="G497" i="17"/>
  <c r="I497" i="17"/>
  <c r="S497" i="17"/>
  <c r="H498" i="17" l="1"/>
  <c r="J499" i="17" s="1"/>
  <c r="C498" i="17"/>
  <c r="D498" i="17"/>
  <c r="Q498" i="17"/>
  <c r="R498" i="17" s="1"/>
  <c r="S498" i="17"/>
  <c r="F498" i="17"/>
  <c r="K498" i="17"/>
  <c r="L498" i="17" s="1"/>
  <c r="M498" i="17"/>
  <c r="N498" i="17" s="1"/>
  <c r="O498" i="17"/>
  <c r="P498" i="17" s="1"/>
  <c r="E498" i="17"/>
  <c r="G498" i="17"/>
  <c r="I498" i="17"/>
  <c r="B499" i="17" l="1"/>
  <c r="S499" i="17" s="1"/>
  <c r="C499" i="17" l="1"/>
  <c r="O499" i="17"/>
  <c r="P499" i="17" s="1"/>
  <c r="M499" i="17"/>
  <c r="N499" i="17" s="1"/>
  <c r="G499" i="17"/>
  <c r="K499" i="17"/>
  <c r="L499" i="17" s="1"/>
  <c r="I499" i="17"/>
  <c r="F499" i="17"/>
  <c r="D499" i="17"/>
  <c r="Q499" i="17"/>
  <c r="R499" i="17" s="1"/>
  <c r="E499" i="17"/>
  <c r="H499" i="17"/>
  <c r="J500" i="17" s="1"/>
  <c r="B500" i="17" l="1"/>
  <c r="S500" i="17" s="1"/>
  <c r="M500" i="17" l="1"/>
  <c r="N500" i="17" s="1"/>
  <c r="D500" i="17"/>
  <c r="O500" i="17"/>
  <c r="P500" i="17" s="1"/>
  <c r="E500" i="17"/>
  <c r="I500" i="17"/>
  <c r="G500" i="17"/>
  <c r="Q500" i="17"/>
  <c r="R500" i="17" s="1"/>
  <c r="K500" i="17"/>
  <c r="L500" i="17" s="1"/>
  <c r="C500" i="17"/>
  <c r="H500" i="17"/>
  <c r="J501" i="17" s="1"/>
  <c r="F500" i="17"/>
  <c r="B501" i="17" l="1"/>
  <c r="I501" i="17" s="1"/>
  <c r="E501" i="17" l="1"/>
  <c r="Q501" i="17"/>
  <c r="R501" i="17" s="1"/>
  <c r="F501" i="17"/>
  <c r="M501" i="17"/>
  <c r="N501" i="17" s="1"/>
  <c r="G501" i="17"/>
  <c r="H501" i="17"/>
  <c r="J502" i="17" s="1"/>
  <c r="O501" i="17"/>
  <c r="P501" i="17" s="1"/>
  <c r="K501" i="17"/>
  <c r="L501" i="17" s="1"/>
  <c r="D501" i="17"/>
  <c r="S501" i="17"/>
  <c r="C501" i="17"/>
  <c r="B502" i="17" l="1"/>
  <c r="M502" i="17" s="1"/>
  <c r="N502" i="17" s="1"/>
  <c r="F502" i="17" l="1"/>
  <c r="D502" i="17"/>
  <c r="O502" i="17"/>
  <c r="P502" i="17" s="1"/>
  <c r="E502" i="17"/>
  <c r="I502" i="17"/>
  <c r="S502" i="17"/>
  <c r="Q502" i="17"/>
  <c r="R502" i="17" s="1"/>
  <c r="G502" i="17"/>
  <c r="C502" i="17"/>
  <c r="H502" i="17"/>
  <c r="J503" i="17" s="1"/>
  <c r="K502" i="17"/>
  <c r="L502" i="17" s="1"/>
  <c r="B503" i="17" l="1"/>
  <c r="Q503" i="17" s="1"/>
  <c r="R503" i="17" s="1"/>
  <c r="D503" i="17" l="1"/>
  <c r="K503" i="17"/>
  <c r="L503" i="17" s="1"/>
  <c r="M503" i="17"/>
  <c r="N503" i="17" s="1"/>
  <c r="F503" i="17"/>
  <c r="O503" i="17"/>
  <c r="P503" i="17" s="1"/>
  <c r="B504" i="17" s="1"/>
  <c r="Q504" i="17" s="1"/>
  <c r="R504" i="17" s="1"/>
  <c r="C503" i="17"/>
  <c r="G503" i="17"/>
  <c r="I503" i="17"/>
  <c r="E503" i="17"/>
  <c r="H503" i="17"/>
  <c r="J504" i="17" s="1"/>
  <c r="S503" i="17"/>
  <c r="E504" i="17" l="1"/>
  <c r="D504" i="17"/>
  <c r="M504" i="17"/>
  <c r="N504" i="17" s="1"/>
  <c r="S504" i="17"/>
  <c r="H504" i="17"/>
  <c r="J505" i="17" s="1"/>
  <c r="I504" i="17"/>
  <c r="O504" i="17"/>
  <c r="P504" i="17" s="1"/>
  <c r="B505" i="17" s="1"/>
  <c r="O505" i="17" s="1"/>
  <c r="P505" i="17" s="1"/>
  <c r="G504" i="17"/>
  <c r="F504" i="17"/>
  <c r="K504" i="17"/>
  <c r="L504" i="17" s="1"/>
  <c r="C504" i="17"/>
  <c r="D505" i="17" l="1"/>
  <c r="S505" i="17"/>
  <c r="E505" i="17"/>
  <c r="C505" i="17"/>
  <c r="H505" i="17"/>
  <c r="J506" i="17" s="1"/>
  <c r="K505" i="17"/>
  <c r="L505" i="17" s="1"/>
  <c r="M505" i="17"/>
  <c r="N505" i="17" s="1"/>
  <c r="Q505" i="17"/>
  <c r="R505" i="17" s="1"/>
  <c r="B506" i="17" s="1"/>
  <c r="I505" i="17"/>
  <c r="F505" i="17"/>
  <c r="G505" i="17"/>
  <c r="I506" i="17" l="1"/>
  <c r="Q506" i="17"/>
  <c r="R506" i="17" s="1"/>
  <c r="M506" i="17"/>
  <c r="N506" i="17" s="1"/>
  <c r="O506" i="17"/>
  <c r="P506" i="17" s="1"/>
  <c r="E506" i="17"/>
  <c r="H506" i="17"/>
  <c r="J507" i="17" s="1"/>
  <c r="D506" i="17"/>
  <c r="G506" i="17"/>
  <c r="S506" i="17"/>
  <c r="K506" i="17"/>
  <c r="L506" i="17" s="1"/>
  <c r="F506" i="17"/>
  <c r="C506" i="17"/>
  <c r="B507" i="17" l="1"/>
  <c r="Q507" i="17" s="1"/>
  <c r="R507" i="17" s="1"/>
  <c r="K507" i="17" l="1"/>
  <c r="L507" i="17" s="1"/>
  <c r="D507" i="17"/>
  <c r="H507" i="17"/>
  <c r="J508" i="17" s="1"/>
  <c r="F507" i="17"/>
  <c r="G507" i="17"/>
  <c r="C507" i="17"/>
  <c r="M507" i="17"/>
  <c r="N507" i="17" s="1"/>
  <c r="E507" i="17"/>
  <c r="S507" i="17"/>
  <c r="O507" i="17"/>
  <c r="P507" i="17" s="1"/>
  <c r="B508" i="17" s="1"/>
  <c r="I507" i="17"/>
  <c r="C508" i="17" l="1"/>
  <c r="O508" i="17"/>
  <c r="P508" i="17" s="1"/>
  <c r="Q508" i="17"/>
  <c r="R508" i="17" s="1"/>
  <c r="I508" i="17"/>
  <c r="M508" i="17"/>
  <c r="N508" i="17" s="1"/>
  <c r="F508" i="17"/>
  <c r="G508" i="17"/>
  <c r="K508" i="17"/>
  <c r="L508" i="17" s="1"/>
  <c r="H508" i="17"/>
  <c r="J509" i="17" s="1"/>
  <c r="S508" i="17"/>
  <c r="D508" i="17"/>
  <c r="E508" i="17"/>
  <c r="B509" i="17" l="1"/>
  <c r="D509" i="17" s="1"/>
  <c r="H509" i="17"/>
  <c r="J510" i="17" s="1"/>
  <c r="O509" i="17" l="1"/>
  <c r="P509" i="17" s="1"/>
  <c r="S509" i="17"/>
  <c r="Q509" i="17"/>
  <c r="R509" i="17" s="1"/>
  <c r="K509" i="17"/>
  <c r="L509" i="17" s="1"/>
  <c r="G509" i="17"/>
  <c r="E509" i="17"/>
  <c r="F509" i="17"/>
  <c r="M509" i="17"/>
  <c r="N509" i="17" s="1"/>
  <c r="I509" i="17"/>
  <c r="C509" i="17"/>
  <c r="B510" i="17" l="1"/>
  <c r="S510" i="17" s="1"/>
  <c r="C510" i="17" l="1"/>
  <c r="Q510" i="17"/>
  <c r="R510" i="17" s="1"/>
  <c r="O510" i="17"/>
  <c r="P510" i="17" s="1"/>
  <c r="D510" i="17"/>
  <c r="E510" i="17"/>
  <c r="F510" i="17"/>
  <c r="G510" i="17"/>
  <c r="H510" i="17"/>
  <c r="J511" i="17" s="1"/>
  <c r="I510" i="17"/>
  <c r="K510" i="17"/>
  <c r="L510" i="17" s="1"/>
  <c r="M510" i="17"/>
  <c r="N510" i="17" s="1"/>
  <c r="B511" i="17" l="1"/>
  <c r="S511" i="17" s="1"/>
  <c r="K511" i="17" l="1"/>
  <c r="L511" i="17" s="1"/>
  <c r="D511" i="17"/>
  <c r="O511" i="17"/>
  <c r="P511" i="17" s="1"/>
  <c r="G511" i="17"/>
  <c r="H511" i="17"/>
  <c r="J512" i="17" s="1"/>
  <c r="Q511" i="17"/>
  <c r="R511" i="17" s="1"/>
  <c r="I511" i="17"/>
  <c r="M511" i="17"/>
  <c r="N511" i="17" s="1"/>
  <c r="F511" i="17"/>
  <c r="C511" i="17"/>
  <c r="E511" i="17"/>
  <c r="B512" i="17" l="1"/>
  <c r="H512" i="17" s="1"/>
  <c r="J513" i="17" s="1"/>
  <c r="Q512" i="17" l="1"/>
  <c r="R512" i="17" s="1"/>
  <c r="D512" i="17"/>
  <c r="F512" i="17"/>
  <c r="C512" i="17"/>
  <c r="G512" i="17"/>
  <c r="K512" i="17"/>
  <c r="L512" i="17" s="1"/>
  <c r="I512" i="17"/>
  <c r="E512" i="17"/>
  <c r="M512" i="17"/>
  <c r="N512" i="17" s="1"/>
  <c r="S512" i="17"/>
  <c r="O512" i="17"/>
  <c r="P512" i="17" s="1"/>
  <c r="B513" i="17" l="1"/>
  <c r="Q513" i="17" s="1"/>
  <c r="R513" i="17" s="1"/>
  <c r="I513" i="17" l="1"/>
  <c r="D513" i="17"/>
  <c r="S513" i="17"/>
  <c r="G513" i="17"/>
  <c r="E513" i="17"/>
  <c r="C513" i="17"/>
  <c r="F513" i="17"/>
  <c r="K513" i="17"/>
  <c r="L513" i="17" s="1"/>
  <c r="H513" i="17"/>
  <c r="J514" i="17" s="1"/>
  <c r="O513" i="17"/>
  <c r="P513" i="17" s="1"/>
  <c r="B514" i="17" s="1"/>
  <c r="M513" i="17"/>
  <c r="N513" i="17" s="1"/>
  <c r="H514" i="17" l="1"/>
  <c r="J515" i="17" s="1"/>
  <c r="I514" i="17"/>
  <c r="F514" i="17"/>
  <c r="D514" i="17"/>
  <c r="O514" i="17"/>
  <c r="P514" i="17" s="1"/>
  <c r="E514" i="17"/>
  <c r="M514" i="17"/>
  <c r="N514" i="17" s="1"/>
  <c r="S514" i="17"/>
  <c r="K514" i="17"/>
  <c r="L514" i="17" s="1"/>
  <c r="Q514" i="17"/>
  <c r="R514" i="17" s="1"/>
  <c r="G514" i="17"/>
  <c r="C514" i="17"/>
  <c r="B515" i="17" l="1"/>
  <c r="D515" i="17" s="1"/>
  <c r="O515" i="17" l="1"/>
  <c r="P515" i="17" s="1"/>
  <c r="H515" i="17"/>
  <c r="J516" i="17" s="1"/>
  <c r="Q515" i="17"/>
  <c r="R515" i="17" s="1"/>
  <c r="E515" i="17"/>
  <c r="K515" i="17"/>
  <c r="L515" i="17" s="1"/>
  <c r="M515" i="17"/>
  <c r="N515" i="17" s="1"/>
  <c r="C515" i="17"/>
  <c r="F515" i="17"/>
  <c r="S515" i="17"/>
  <c r="G515" i="17"/>
  <c r="I515" i="17"/>
  <c r="B516" i="17" l="1"/>
  <c r="E516" i="17" s="1"/>
  <c r="F516" i="17" l="1"/>
  <c r="S516" i="17"/>
  <c r="G516" i="17"/>
  <c r="D516" i="17"/>
  <c r="C516" i="17"/>
  <c r="H516" i="17"/>
  <c r="J517" i="17" s="1"/>
  <c r="K516" i="17"/>
  <c r="L516" i="17" s="1"/>
  <c r="M516" i="17"/>
  <c r="N516" i="17" s="1"/>
  <c r="O516" i="17"/>
  <c r="P516" i="17" s="1"/>
  <c r="I516" i="17"/>
  <c r="Q516" i="17"/>
  <c r="R516" i="17" s="1"/>
  <c r="B517" i="17" l="1"/>
  <c r="O517" i="17" s="1"/>
  <c r="P517" i="17" s="1"/>
  <c r="K517" i="17"/>
  <c r="L517" i="17" s="1"/>
  <c r="F517" i="17"/>
  <c r="S517" i="17"/>
  <c r="M517" i="17"/>
  <c r="N517" i="17" s="1"/>
  <c r="H517" i="17"/>
  <c r="J518" i="17" s="1"/>
  <c r="Q517" i="17"/>
  <c r="R517" i="17" s="1"/>
  <c r="B518" i="17" s="1"/>
  <c r="O518" i="17" s="1"/>
  <c r="P518" i="17" s="1"/>
  <c r="E517" i="17"/>
  <c r="C517" i="17" l="1"/>
  <c r="I517" i="17"/>
  <c r="I518" i="17" s="1"/>
  <c r="G517" i="17"/>
  <c r="D517" i="17"/>
  <c r="C518" i="17" s="1"/>
  <c r="E518" i="17"/>
  <c r="S518" i="17"/>
  <c r="G518" i="17"/>
  <c r="M518" i="17"/>
  <c r="N518" i="17" s="1"/>
  <c r="Q518" i="17"/>
  <c r="R518" i="17" s="1"/>
  <c r="B519" i="17" s="1"/>
  <c r="Q519" i="17" s="1"/>
  <c r="R519" i="17" s="1"/>
  <c r="F518" i="17"/>
  <c r="K518" i="17"/>
  <c r="L518" i="17" s="1"/>
  <c r="H518" i="17"/>
  <c r="J519" i="17" s="1"/>
  <c r="D518" i="17" l="1"/>
  <c r="D519" i="17" s="1"/>
  <c r="E519" i="17"/>
  <c r="S519" i="17"/>
  <c r="G519" i="17"/>
  <c r="I519" i="17"/>
  <c r="O519" i="17"/>
  <c r="P519" i="17" s="1"/>
  <c r="B520" i="17" s="1"/>
  <c r="H519" i="17"/>
  <c r="J520" i="17" s="1"/>
  <c r="F519" i="17"/>
  <c r="M519" i="17"/>
  <c r="N519" i="17" s="1"/>
  <c r="K519" i="17"/>
  <c r="L519" i="17" s="1"/>
  <c r="C519" i="17" l="1"/>
  <c r="H520" i="17"/>
  <c r="J521" i="17" s="1"/>
  <c r="Q520" i="17"/>
  <c r="R520" i="17" s="1"/>
  <c r="M520" i="17"/>
  <c r="N520" i="17" s="1"/>
  <c r="S520" i="17"/>
  <c r="G520" i="17"/>
  <c r="F520" i="17"/>
  <c r="C520" i="17"/>
  <c r="D520" i="17"/>
  <c r="I520" i="17"/>
  <c r="O520" i="17"/>
  <c r="P520" i="17" s="1"/>
  <c r="E520" i="17"/>
  <c r="K520" i="17"/>
  <c r="L520" i="17" s="1"/>
  <c r="B521" i="17" l="1"/>
  <c r="G521" i="17" s="1"/>
  <c r="D521" i="17"/>
  <c r="Q521" i="17" l="1"/>
  <c r="R521" i="17" s="1"/>
  <c r="E521" i="17"/>
  <c r="O521" i="17"/>
  <c r="P521" i="17" s="1"/>
  <c r="F521" i="17"/>
  <c r="M521" i="17"/>
  <c r="N521" i="17" s="1"/>
  <c r="S521" i="17"/>
  <c r="K521" i="17"/>
  <c r="L521" i="17" s="1"/>
  <c r="C521" i="17"/>
  <c r="H521" i="17"/>
  <c r="J522" i="17" s="1"/>
  <c r="I521" i="17"/>
  <c r="B522" i="17" l="1"/>
  <c r="C522" i="17" s="1"/>
  <c r="D522" i="17" l="1"/>
  <c r="I522" i="17"/>
  <c r="Q522" i="17"/>
  <c r="R522" i="17" s="1"/>
  <c r="E522" i="17"/>
  <c r="M522" i="17"/>
  <c r="N522" i="17" s="1"/>
  <c r="S522" i="17"/>
  <c r="K522" i="17"/>
  <c r="L522" i="17" s="1"/>
  <c r="O522" i="17"/>
  <c r="P522" i="17" s="1"/>
  <c r="F522" i="17"/>
  <c r="G522" i="17"/>
  <c r="H522" i="17"/>
  <c r="J523" i="17" s="1"/>
  <c r="B523" i="17" l="1"/>
  <c r="G523" i="17" s="1"/>
  <c r="M523" i="17"/>
  <c r="N523" i="17" s="1"/>
  <c r="O523" i="17"/>
  <c r="P523" i="17" s="1"/>
  <c r="C523" i="17" l="1"/>
  <c r="K523" i="17"/>
  <c r="L523" i="17" s="1"/>
  <c r="D523" i="17"/>
  <c r="S523" i="17"/>
  <c r="I523" i="17"/>
  <c r="E523" i="17"/>
  <c r="Q523" i="17"/>
  <c r="R523" i="17" s="1"/>
  <c r="B524" i="17" s="1"/>
  <c r="H523" i="17"/>
  <c r="J524" i="17" s="1"/>
  <c r="F523" i="17"/>
  <c r="H524" i="17" l="1"/>
  <c r="J525" i="17" s="1"/>
  <c r="K524" i="17"/>
  <c r="L524" i="17" s="1"/>
  <c r="M524" i="17"/>
  <c r="N524" i="17" s="1"/>
  <c r="Q524" i="17"/>
  <c r="R524" i="17" s="1"/>
  <c r="D524" i="17"/>
  <c r="G524" i="17"/>
  <c r="F524" i="17"/>
  <c r="C524" i="17"/>
  <c r="S524" i="17"/>
  <c r="O524" i="17"/>
  <c r="P524" i="17" s="1"/>
  <c r="E524" i="17"/>
  <c r="I524" i="17"/>
  <c r="B525" i="17" l="1"/>
  <c r="M525" i="17" s="1"/>
  <c r="N525" i="17" s="1"/>
  <c r="I525" i="17" l="1"/>
  <c r="E525" i="17"/>
  <c r="Q525" i="17"/>
  <c r="R525" i="17" s="1"/>
  <c r="F525" i="17"/>
  <c r="D525" i="17"/>
  <c r="K525" i="17"/>
  <c r="L525" i="17" s="1"/>
  <c r="G525" i="17"/>
  <c r="O525" i="17"/>
  <c r="P525" i="17" s="1"/>
  <c r="S525" i="17"/>
  <c r="C525" i="17"/>
  <c r="H525" i="17"/>
  <c r="J526" i="17" s="1"/>
  <c r="B526" i="17" l="1"/>
  <c r="C526" i="17" s="1"/>
  <c r="Q526" i="17" l="1"/>
  <c r="R526" i="17" s="1"/>
  <c r="K526" i="17"/>
  <c r="L526" i="17" s="1"/>
  <c r="H526" i="17"/>
  <c r="J527" i="17" s="1"/>
  <c r="O526" i="17"/>
  <c r="P526" i="17" s="1"/>
  <c r="I526" i="17"/>
  <c r="F526" i="17"/>
  <c r="M526" i="17"/>
  <c r="N526" i="17" s="1"/>
  <c r="G526" i="17"/>
  <c r="S526" i="17"/>
  <c r="D526" i="17"/>
  <c r="E526" i="17"/>
  <c r="B527" i="17" l="1"/>
  <c r="O527" i="17" s="1"/>
  <c r="P527" i="17" s="1"/>
  <c r="I527" i="17"/>
  <c r="Q527" i="17"/>
  <c r="R527" i="17" s="1"/>
  <c r="B528" i="17" s="1"/>
  <c r="Q528" i="17" s="1"/>
  <c r="R528" i="17" s="1"/>
  <c r="K527" i="17" l="1"/>
  <c r="L527" i="17" s="1"/>
  <c r="F527" i="17"/>
  <c r="F528" i="17" s="1"/>
  <c r="G527" i="17"/>
  <c r="E527" i="17"/>
  <c r="H527" i="17"/>
  <c r="J528" i="17" s="1"/>
  <c r="S527" i="17"/>
  <c r="S528" i="17" s="1"/>
  <c r="D527" i="17"/>
  <c r="C527" i="17"/>
  <c r="M527" i="17"/>
  <c r="N527" i="17" s="1"/>
  <c r="E528" i="17"/>
  <c r="O528" i="17"/>
  <c r="P528" i="17" s="1"/>
  <c r="B529" i="17" s="1"/>
  <c r="I528" i="17"/>
  <c r="C528" i="17" l="1"/>
  <c r="M528" i="17"/>
  <c r="N528" i="17" s="1"/>
  <c r="D528" i="17"/>
  <c r="D529" i="17" s="1"/>
  <c r="K528" i="17"/>
  <c r="L528" i="17" s="1"/>
  <c r="H528" i="17"/>
  <c r="J529" i="17" s="1"/>
  <c r="G528" i="17"/>
  <c r="Q529" i="17"/>
  <c r="R529" i="17" s="1"/>
  <c r="O529" i="17"/>
  <c r="P529" i="17" s="1"/>
  <c r="F529" i="17"/>
  <c r="I529" i="17"/>
  <c r="C529" i="17"/>
  <c r="E529" i="17"/>
  <c r="M529" i="17"/>
  <c r="N529" i="17" s="1"/>
  <c r="S529" i="17"/>
  <c r="H529" i="17" l="1"/>
  <c r="J530" i="17" s="1"/>
  <c r="K529" i="17"/>
  <c r="L529" i="17" s="1"/>
  <c r="G529" i="17"/>
  <c r="B530" i="17"/>
  <c r="F530" i="17" s="1"/>
  <c r="H530" i="17" l="1"/>
  <c r="J531" i="17" s="1"/>
  <c r="M530" i="17"/>
  <c r="N530" i="17" s="1"/>
  <c r="O530" i="17"/>
  <c r="P530" i="17" s="1"/>
  <c r="E530" i="17"/>
  <c r="I530" i="17"/>
  <c r="D530" i="17"/>
  <c r="Q530" i="17"/>
  <c r="R530" i="17" s="1"/>
  <c r="S530" i="17"/>
  <c r="C530" i="17"/>
  <c r="K530" i="17"/>
  <c r="L530" i="17" s="1"/>
  <c r="G530" i="17"/>
  <c r="B531" i="17" l="1"/>
  <c r="K531" i="17" s="1"/>
  <c r="L531" i="17" s="1"/>
  <c r="M531" i="17" l="1"/>
  <c r="N531" i="17" s="1"/>
  <c r="D531" i="17"/>
  <c r="C531" i="17"/>
  <c r="I531" i="17"/>
  <c r="E531" i="17"/>
  <c r="S531" i="17"/>
  <c r="O531" i="17"/>
  <c r="P531" i="17" s="1"/>
  <c r="F531" i="17"/>
  <c r="G531" i="17"/>
  <c r="H531" i="17"/>
  <c r="J532" i="17" s="1"/>
  <c r="Q531" i="17"/>
  <c r="R531" i="17" s="1"/>
  <c r="B532" i="17" l="1"/>
  <c r="G532" i="17" s="1"/>
  <c r="D532" i="17" l="1"/>
  <c r="K532" i="17"/>
  <c r="L532" i="17" s="1"/>
  <c r="O532" i="17"/>
  <c r="P532" i="17" s="1"/>
  <c r="H532" i="17"/>
  <c r="J533" i="17" s="1"/>
  <c r="C532" i="17"/>
  <c r="M532" i="17"/>
  <c r="N532" i="17" s="1"/>
  <c r="S532" i="17"/>
  <c r="I532" i="17"/>
  <c r="Q532" i="17"/>
  <c r="R532" i="17" s="1"/>
  <c r="E532" i="17"/>
  <c r="F532" i="17"/>
  <c r="B533" i="17" l="1"/>
  <c r="F533" i="17" s="1"/>
  <c r="D533" i="17" l="1"/>
  <c r="S533" i="17"/>
  <c r="I533" i="17"/>
  <c r="O533" i="17"/>
  <c r="P533" i="17" s="1"/>
  <c r="M533" i="17"/>
  <c r="N533" i="17" s="1"/>
  <c r="Q533" i="17"/>
  <c r="R533" i="17" s="1"/>
  <c r="G533" i="17"/>
  <c r="H533" i="17"/>
  <c r="J534" i="17" s="1"/>
  <c r="C533" i="17"/>
  <c r="E533" i="17"/>
  <c r="K533" i="17"/>
  <c r="L533" i="17" s="1"/>
  <c r="B534" i="17" l="1"/>
  <c r="Q534" i="17" s="1"/>
  <c r="R534" i="17" s="1"/>
  <c r="K534" i="17" l="1"/>
  <c r="L534" i="17" s="1"/>
  <c r="I534" i="17"/>
  <c r="C534" i="17"/>
  <c r="F534" i="17"/>
  <c r="G534" i="17"/>
  <c r="M534" i="17"/>
  <c r="N534" i="17" s="1"/>
  <c r="S534" i="17"/>
  <c r="E534" i="17"/>
  <c r="O534" i="17"/>
  <c r="P534" i="17" s="1"/>
  <c r="B535" i="17" s="1"/>
  <c r="H534" i="17"/>
  <c r="J535" i="17" s="1"/>
  <c r="D534" i="17"/>
  <c r="K535" i="17" l="1"/>
  <c r="L535" i="17" s="1"/>
  <c r="I535" i="17"/>
  <c r="F535" i="17"/>
  <c r="O535" i="17"/>
  <c r="P535" i="17" s="1"/>
  <c r="E535" i="17"/>
  <c r="S535" i="17"/>
  <c r="Q535" i="17"/>
  <c r="R535" i="17" s="1"/>
  <c r="C535" i="17"/>
  <c r="M535" i="17"/>
  <c r="N535" i="17" s="1"/>
  <c r="H535" i="17"/>
  <c r="J536" i="17" s="1"/>
  <c r="D535" i="17"/>
  <c r="G535" i="17"/>
  <c r="B536" i="17" l="1"/>
  <c r="C536" i="17" s="1"/>
  <c r="E536" i="17"/>
  <c r="O536" i="17"/>
  <c r="P536" i="17" s="1"/>
  <c r="M536" i="17" l="1"/>
  <c r="N536" i="17" s="1"/>
  <c r="I536" i="17"/>
  <c r="K536" i="17"/>
  <c r="L536" i="17" s="1"/>
  <c r="F536" i="17"/>
  <c r="Q536" i="17"/>
  <c r="R536" i="17" s="1"/>
  <c r="B537" i="17" s="1"/>
  <c r="G536" i="17"/>
  <c r="S536" i="17"/>
  <c r="D536" i="17"/>
  <c r="H536" i="17"/>
  <c r="J537" i="17" s="1"/>
  <c r="C537" i="17" l="1"/>
  <c r="S537" i="17"/>
  <c r="Q537" i="17"/>
  <c r="R537" i="17" s="1"/>
  <c r="O537" i="17"/>
  <c r="P537" i="17" s="1"/>
  <c r="E537" i="17"/>
  <c r="G537" i="17"/>
  <c r="F537" i="17"/>
  <c r="M537" i="17"/>
  <c r="N537" i="17" s="1"/>
  <c r="I537" i="17"/>
  <c r="H537" i="17"/>
  <c r="J538" i="17" s="1"/>
  <c r="D537" i="17"/>
  <c r="K537" i="17"/>
  <c r="L537" i="17" s="1"/>
  <c r="B538" i="17" l="1"/>
  <c r="S538" i="17" s="1"/>
  <c r="I538" i="17" l="1"/>
  <c r="Q538" i="17"/>
  <c r="R538" i="17" s="1"/>
  <c r="K538" i="17"/>
  <c r="L538" i="17" s="1"/>
  <c r="M538" i="17"/>
  <c r="N538" i="17" s="1"/>
  <c r="F538" i="17"/>
  <c r="D538" i="17"/>
  <c r="O538" i="17"/>
  <c r="P538" i="17" s="1"/>
  <c r="E538" i="17"/>
  <c r="G538" i="17"/>
  <c r="H538" i="17"/>
  <c r="J539" i="17" s="1"/>
  <c r="C538" i="17"/>
  <c r="B539" i="17" l="1"/>
  <c r="D539" i="17" s="1"/>
  <c r="C539" i="17"/>
  <c r="O539" i="17"/>
  <c r="P539" i="17" s="1"/>
  <c r="M539" i="17" l="1"/>
  <c r="N539" i="17" s="1"/>
  <c r="K539" i="17"/>
  <c r="L539" i="17" s="1"/>
  <c r="F539" i="17"/>
  <c r="E539" i="17"/>
  <c r="S539" i="17"/>
  <c r="I539" i="17"/>
  <c r="H539" i="17"/>
  <c r="J540" i="17" s="1"/>
  <c r="Q539" i="17"/>
  <c r="R539" i="17" s="1"/>
  <c r="B540" i="17" s="1"/>
  <c r="G539" i="17"/>
  <c r="C540" i="17" l="1"/>
  <c r="D540" i="17"/>
  <c r="K540" i="17"/>
  <c r="L540" i="17" s="1"/>
  <c r="G540" i="17"/>
  <c r="M540" i="17"/>
  <c r="N540" i="17" s="1"/>
  <c r="O540" i="17"/>
  <c r="P540" i="17" s="1"/>
  <c r="F540" i="17"/>
  <c r="S540" i="17"/>
  <c r="E540" i="17"/>
  <c r="Q540" i="17"/>
  <c r="R540" i="17" s="1"/>
  <c r="I540" i="17"/>
  <c r="H540" i="17"/>
  <c r="J541" i="17" s="1"/>
  <c r="B541" i="17" l="1"/>
  <c r="F541" i="17" s="1"/>
  <c r="E541" i="17"/>
  <c r="I541" i="17" l="1"/>
  <c r="S541" i="17"/>
  <c r="K541" i="17"/>
  <c r="L541" i="17" s="1"/>
  <c r="M541" i="17"/>
  <c r="N541" i="17" s="1"/>
  <c r="C541" i="17"/>
  <c r="H541" i="17"/>
  <c r="J542" i="17" s="1"/>
  <c r="Q541" i="17"/>
  <c r="R541" i="17" s="1"/>
  <c r="D541" i="17"/>
  <c r="G541" i="17"/>
  <c r="O541" i="17"/>
  <c r="P541" i="17" s="1"/>
  <c r="B542" i="17" l="1"/>
  <c r="O542" i="17" s="1"/>
  <c r="P542" i="17" s="1"/>
  <c r="I542" i="17"/>
  <c r="E542" i="17"/>
  <c r="G542" i="17" l="1"/>
  <c r="K542" i="17"/>
  <c r="L542" i="17" s="1"/>
  <c r="C542" i="17"/>
  <c r="F542" i="17"/>
  <c r="S542" i="17"/>
  <c r="M542" i="17"/>
  <c r="N542" i="17" s="1"/>
  <c r="D542" i="17"/>
  <c r="Q542" i="17"/>
  <c r="R542" i="17" s="1"/>
  <c r="B543" i="17" s="1"/>
  <c r="Q543" i="17" s="1"/>
  <c r="R543" i="17" s="1"/>
  <c r="H542" i="17"/>
  <c r="J543" i="17" s="1"/>
  <c r="E543" i="17" l="1"/>
  <c r="I543" i="17"/>
  <c r="D543" i="17"/>
  <c r="M543" i="17"/>
  <c r="N543" i="17" s="1"/>
  <c r="O543" i="17"/>
  <c r="P543" i="17" s="1"/>
  <c r="B544" i="17" s="1"/>
  <c r="E544" i="17" s="1"/>
  <c r="F543" i="17"/>
  <c r="K543" i="17"/>
  <c r="L543" i="17" s="1"/>
  <c r="H543" i="17"/>
  <c r="J544" i="17" s="1"/>
  <c r="S543" i="17"/>
  <c r="G543" i="17"/>
  <c r="C543" i="17"/>
  <c r="D544" i="17" s="1"/>
  <c r="I544" i="17"/>
  <c r="H544" i="17" l="1"/>
  <c r="J545" i="17" s="1"/>
  <c r="O544" i="17"/>
  <c r="P544" i="17" s="1"/>
  <c r="M544" i="17"/>
  <c r="N544" i="17" s="1"/>
  <c r="F544" i="17"/>
  <c r="G544" i="17"/>
  <c r="K544" i="17"/>
  <c r="L544" i="17" s="1"/>
  <c r="Q544" i="17"/>
  <c r="R544" i="17" s="1"/>
  <c r="S544" i="17"/>
  <c r="C544" i="17"/>
  <c r="B545" i="17" l="1"/>
  <c r="M545" i="17" s="1"/>
  <c r="N545" i="17" s="1"/>
  <c r="H545" i="17"/>
  <c r="J546" i="17" s="1"/>
  <c r="G545" i="17"/>
  <c r="I545" i="17"/>
  <c r="D545" i="17"/>
  <c r="Q545" i="17"/>
  <c r="R545" i="17" s="1"/>
  <c r="S545" i="17"/>
  <c r="E545" i="17"/>
  <c r="C545" i="17"/>
  <c r="F545" i="17"/>
  <c r="O545" i="17"/>
  <c r="P545" i="17" s="1"/>
  <c r="K545" i="17"/>
  <c r="L545" i="17" s="1"/>
  <c r="B546" i="17" l="1"/>
  <c r="O546" i="17" s="1"/>
  <c r="P546" i="17" s="1"/>
  <c r="S546" i="17" l="1"/>
  <c r="D546" i="17"/>
  <c r="F546" i="17"/>
  <c r="E546" i="17"/>
  <c r="H546" i="17"/>
  <c r="J547" i="17" s="1"/>
  <c r="K546" i="17"/>
  <c r="L546" i="17" s="1"/>
  <c r="M546" i="17"/>
  <c r="N546" i="17" s="1"/>
  <c r="Q546" i="17"/>
  <c r="R546" i="17" s="1"/>
  <c r="B547" i="17" s="1"/>
  <c r="G546" i="17"/>
  <c r="C546" i="17"/>
  <c r="I546" i="17"/>
  <c r="F547" i="17" l="1"/>
  <c r="I547" i="17"/>
  <c r="K547" i="17"/>
  <c r="L547" i="17" s="1"/>
  <c r="H547" i="17"/>
  <c r="J548" i="17" s="1"/>
  <c r="E547" i="17"/>
  <c r="S547" i="17"/>
  <c r="Q547" i="17"/>
  <c r="R547" i="17" s="1"/>
  <c r="D547" i="17"/>
  <c r="G547" i="17"/>
  <c r="O547" i="17"/>
  <c r="P547" i="17" s="1"/>
  <c r="M547" i="17"/>
  <c r="N547" i="17" s="1"/>
  <c r="C547" i="17"/>
  <c r="B548" i="17" l="1"/>
  <c r="Q548" i="17" s="1"/>
  <c r="R548" i="17" s="1"/>
  <c r="H548" i="17" l="1"/>
  <c r="J549" i="17" s="1"/>
  <c r="O548" i="17"/>
  <c r="P548" i="17" s="1"/>
  <c r="B549" i="17" s="1"/>
  <c r="K548" i="17"/>
  <c r="L548" i="17" s="1"/>
  <c r="C548" i="17"/>
  <c r="E548" i="17"/>
  <c r="F548" i="17"/>
  <c r="G548" i="17"/>
  <c r="M548" i="17"/>
  <c r="N548" i="17" s="1"/>
  <c r="I548" i="17"/>
  <c r="S548" i="17"/>
  <c r="D548" i="17"/>
  <c r="Q549" i="17" l="1"/>
  <c r="R549" i="17" s="1"/>
  <c r="O549" i="17"/>
  <c r="P549" i="17" s="1"/>
  <c r="H549" i="17"/>
  <c r="J550" i="17" s="1"/>
  <c r="G549" i="17"/>
  <c r="I549" i="17"/>
  <c r="E549" i="17"/>
  <c r="K549" i="17"/>
  <c r="L549" i="17" s="1"/>
  <c r="C549" i="17"/>
  <c r="S549" i="17"/>
  <c r="F549" i="17"/>
  <c r="M549" i="17"/>
  <c r="N549" i="17" s="1"/>
  <c r="D549" i="17"/>
  <c r="B550" i="17" l="1"/>
  <c r="E550" i="17" s="1"/>
  <c r="D550" i="17" l="1"/>
  <c r="I550" i="17"/>
  <c r="K550" i="17"/>
  <c r="L550" i="17" s="1"/>
  <c r="O550" i="17"/>
  <c r="P550" i="17" s="1"/>
  <c r="S550" i="17"/>
  <c r="F550" i="17"/>
  <c r="M550" i="17"/>
  <c r="N550" i="17" s="1"/>
  <c r="H550" i="17"/>
  <c r="J551" i="17" s="1"/>
  <c r="Q550" i="17"/>
  <c r="R550" i="17" s="1"/>
  <c r="G550" i="17"/>
  <c r="C550" i="17"/>
  <c r="B551" i="17" l="1"/>
  <c r="Q551" i="17" s="1"/>
  <c r="R551" i="17" s="1"/>
  <c r="C551" i="17" l="1"/>
  <c r="S551" i="17"/>
  <c r="I551" i="17"/>
  <c r="K551" i="17"/>
  <c r="L551" i="17" s="1"/>
  <c r="G551" i="17"/>
  <c r="F551" i="17"/>
  <c r="M551" i="17"/>
  <c r="N551" i="17" s="1"/>
  <c r="O551" i="17"/>
  <c r="P551" i="17" s="1"/>
  <c r="B552" i="17" s="1"/>
  <c r="D551" i="17"/>
  <c r="H551" i="17"/>
  <c r="J552" i="17" s="1"/>
  <c r="E551" i="17"/>
  <c r="D552" i="17" l="1"/>
  <c r="S552" i="17"/>
  <c r="O552" i="17"/>
  <c r="P552" i="17" s="1"/>
  <c r="K552" i="17"/>
  <c r="L552" i="17" s="1"/>
  <c r="I552" i="17"/>
  <c r="H552" i="17"/>
  <c r="J553" i="17" s="1"/>
  <c r="F552" i="17"/>
  <c r="E552" i="17"/>
  <c r="C552" i="17"/>
  <c r="G552" i="17"/>
  <c r="Q552" i="17"/>
  <c r="R552" i="17" s="1"/>
  <c r="M552" i="17"/>
  <c r="N552" i="17" s="1"/>
  <c r="B553" i="17" l="1"/>
  <c r="F553" i="17" s="1"/>
  <c r="C553" i="17" l="1"/>
  <c r="I553" i="17"/>
  <c r="E553" i="17"/>
  <c r="M553" i="17"/>
  <c r="N553" i="17" s="1"/>
  <c r="O553" i="17"/>
  <c r="P553" i="17" s="1"/>
  <c r="H553" i="17"/>
  <c r="J554" i="17" s="1"/>
  <c r="Q553" i="17"/>
  <c r="R553" i="17" s="1"/>
  <c r="G553" i="17"/>
  <c r="K553" i="17"/>
  <c r="L553" i="17" s="1"/>
  <c r="D553" i="17"/>
  <c r="S553" i="17"/>
  <c r="B554" i="17" l="1"/>
  <c r="G554" i="17" s="1"/>
  <c r="E554" i="17" l="1"/>
  <c r="H554" i="17"/>
  <c r="J555" i="17" s="1"/>
  <c r="K554" i="17"/>
  <c r="L554" i="17" s="1"/>
  <c r="Q554" i="17"/>
  <c r="R554" i="17" s="1"/>
  <c r="I554" i="17"/>
  <c r="F554" i="17"/>
  <c r="C554" i="17"/>
  <c r="M554" i="17"/>
  <c r="N554" i="17" s="1"/>
  <c r="D554" i="17"/>
  <c r="O554" i="17"/>
  <c r="P554" i="17" s="1"/>
  <c r="S554" i="17"/>
  <c r="B555" i="17" l="1"/>
  <c r="I555" i="17" s="1"/>
  <c r="Q555" i="17" l="1"/>
  <c r="R555" i="17" s="1"/>
  <c r="O555" i="17"/>
  <c r="P555" i="17" s="1"/>
  <c r="H555" i="17"/>
  <c r="J556" i="17" s="1"/>
  <c r="E555" i="17"/>
  <c r="M555" i="17"/>
  <c r="N555" i="17" s="1"/>
  <c r="D555" i="17"/>
  <c r="C555" i="17"/>
  <c r="G555" i="17"/>
  <c r="K555" i="17"/>
  <c r="L555" i="17" s="1"/>
  <c r="S555" i="17"/>
  <c r="F555" i="17"/>
  <c r="B556" i="17" l="1"/>
  <c r="G556" i="17" s="1"/>
  <c r="C556" i="17" l="1"/>
  <c r="K556" i="17"/>
  <c r="L556" i="17" s="1"/>
  <c r="F556" i="17"/>
  <c r="O556" i="17"/>
  <c r="P556" i="17" s="1"/>
  <c r="I556" i="17"/>
  <c r="D556" i="17"/>
  <c r="M556" i="17"/>
  <c r="N556" i="17" s="1"/>
  <c r="S556" i="17"/>
  <c r="E556" i="17"/>
  <c r="Q556" i="17"/>
  <c r="R556" i="17" s="1"/>
  <c r="H556" i="17"/>
  <c r="J557" i="17" s="1"/>
  <c r="B557" i="17" l="1"/>
  <c r="O557" i="17" s="1"/>
  <c r="P557" i="17" s="1"/>
  <c r="K557" i="17"/>
  <c r="L557" i="17" s="1"/>
  <c r="D557" i="17" l="1"/>
  <c r="E557" i="17"/>
  <c r="I557" i="17"/>
  <c r="S557" i="17"/>
  <c r="M557" i="17"/>
  <c r="N557" i="17" s="1"/>
  <c r="G557" i="17"/>
  <c r="H557" i="17"/>
  <c r="J558" i="17" s="1"/>
  <c r="F557" i="17"/>
  <c r="Q557" i="17"/>
  <c r="R557" i="17" s="1"/>
  <c r="B558" i="17" s="1"/>
  <c r="Q558" i="17" s="1"/>
  <c r="R558" i="17" s="1"/>
  <c r="C557" i="17"/>
  <c r="I558" i="17" l="1"/>
  <c r="E558" i="17"/>
  <c r="D558" i="17"/>
  <c r="M558" i="17"/>
  <c r="N558" i="17" s="1"/>
  <c r="C558" i="17"/>
  <c r="K558" i="17"/>
  <c r="L558" i="17" s="1"/>
  <c r="H558" i="17"/>
  <c r="J559" i="17" s="1"/>
  <c r="G558" i="17"/>
  <c r="F558" i="17"/>
  <c r="S558" i="17"/>
  <c r="O558" i="17"/>
  <c r="P558" i="17" s="1"/>
  <c r="B559" i="17" s="1"/>
  <c r="S559" i="17" l="1"/>
  <c r="D559" i="17"/>
  <c r="G559" i="17"/>
  <c r="I559" i="17"/>
  <c r="O559" i="17"/>
  <c r="P559" i="17" s="1"/>
  <c r="F559" i="17"/>
  <c r="K559" i="17"/>
  <c r="L559" i="17" s="1"/>
  <c r="E559" i="17"/>
  <c r="H559" i="17"/>
  <c r="J560" i="17" s="1"/>
  <c r="M559" i="17"/>
  <c r="N559" i="17" s="1"/>
  <c r="Q559" i="17"/>
  <c r="R559" i="17" s="1"/>
  <c r="C559" i="17"/>
  <c r="B560" i="17" l="1"/>
  <c r="Q560" i="17" s="1"/>
  <c r="R560" i="17" s="1"/>
  <c r="O560" i="17" l="1"/>
  <c r="P560" i="17" s="1"/>
  <c r="B561" i="17" s="1"/>
  <c r="O561" i="17" s="1"/>
  <c r="P561" i="17" s="1"/>
  <c r="D560" i="17"/>
  <c r="H560" i="17"/>
  <c r="J561" i="17" s="1"/>
  <c r="F560" i="17"/>
  <c r="C560" i="17"/>
  <c r="G560" i="17"/>
  <c r="E560" i="17"/>
  <c r="M560" i="17"/>
  <c r="N560" i="17" s="1"/>
  <c r="S560" i="17"/>
  <c r="I560" i="17"/>
  <c r="K560" i="17"/>
  <c r="L560" i="17" s="1"/>
  <c r="H561" i="17" l="1"/>
  <c r="J562" i="17" s="1"/>
  <c r="I561" i="17"/>
  <c r="M561" i="17"/>
  <c r="N561" i="17" s="1"/>
  <c r="Q561" i="17"/>
  <c r="R561" i="17" s="1"/>
  <c r="B562" i="17" s="1"/>
  <c r="S561" i="17"/>
  <c r="C561" i="17"/>
  <c r="D561" i="17"/>
  <c r="E561" i="17"/>
  <c r="F561" i="17"/>
  <c r="G561" i="17"/>
  <c r="K561" i="17"/>
  <c r="L561" i="17" s="1"/>
  <c r="F562" i="17" l="1"/>
  <c r="K562" i="17"/>
  <c r="L562" i="17" s="1"/>
  <c r="I562" i="17"/>
  <c r="C562" i="17"/>
  <c r="O562" i="17"/>
  <c r="P562" i="17" s="1"/>
  <c r="E562" i="17"/>
  <c r="G562" i="17"/>
  <c r="Q562" i="17"/>
  <c r="R562" i="17" s="1"/>
  <c r="H562" i="17"/>
  <c r="J563" i="17" s="1"/>
  <c r="M562" i="17"/>
  <c r="N562" i="17" s="1"/>
  <c r="D562" i="17"/>
  <c r="S562" i="17"/>
  <c r="B563" i="17" l="1"/>
  <c r="K563" i="17" s="1"/>
  <c r="L563" i="17" s="1"/>
  <c r="E563" i="17" l="1"/>
  <c r="Q563" i="17"/>
  <c r="R563" i="17" s="1"/>
  <c r="S563" i="17"/>
  <c r="O563" i="17"/>
  <c r="P563" i="17" s="1"/>
  <c r="H563" i="17"/>
  <c r="J564" i="17" s="1"/>
  <c r="G563" i="17"/>
  <c r="F563" i="17"/>
  <c r="C563" i="17"/>
  <c r="D563" i="17"/>
  <c r="I563" i="17"/>
  <c r="M563" i="17"/>
  <c r="N563" i="17" s="1"/>
  <c r="B564" i="17" l="1"/>
  <c r="H564" i="17" s="1"/>
  <c r="J565" i="17" s="1"/>
  <c r="I564" i="17" l="1"/>
  <c r="Q564" i="17"/>
  <c r="R564" i="17" s="1"/>
  <c r="C564" i="17"/>
  <c r="G564" i="17"/>
  <c r="O564" i="17"/>
  <c r="P564" i="17" s="1"/>
  <c r="K564" i="17"/>
  <c r="L564" i="17" s="1"/>
  <c r="M564" i="17"/>
  <c r="N564" i="17" s="1"/>
  <c r="E564" i="17"/>
  <c r="S564" i="17"/>
  <c r="F564" i="17"/>
  <c r="D564" i="17"/>
  <c r="B565" i="17" l="1"/>
  <c r="I565" i="17" s="1"/>
  <c r="E565" i="17" l="1"/>
  <c r="D565" i="17"/>
  <c r="H565" i="17"/>
  <c r="J566" i="17" s="1"/>
  <c r="K565" i="17"/>
  <c r="L565" i="17" s="1"/>
  <c r="S565" i="17"/>
  <c r="C565" i="17"/>
  <c r="F565" i="17"/>
  <c r="G565" i="17"/>
  <c r="Q565" i="17"/>
  <c r="R565" i="17" s="1"/>
  <c r="O565" i="17"/>
  <c r="P565" i="17" s="1"/>
  <c r="M565" i="17"/>
  <c r="N565" i="17" s="1"/>
  <c r="B566" i="17" l="1"/>
  <c r="I566" i="17" s="1"/>
  <c r="K566" i="17" l="1"/>
  <c r="L566" i="17" s="1"/>
  <c r="Q566" i="17"/>
  <c r="R566" i="17" s="1"/>
  <c r="S566" i="17"/>
  <c r="O566" i="17"/>
  <c r="P566" i="17" s="1"/>
  <c r="E566" i="17"/>
  <c r="M566" i="17"/>
  <c r="N566" i="17" s="1"/>
  <c r="C566" i="17"/>
  <c r="D566" i="17"/>
  <c r="F566" i="17"/>
  <c r="H566" i="17"/>
  <c r="J567" i="17" s="1"/>
  <c r="G566" i="17"/>
  <c r="B567" i="17" l="1"/>
  <c r="Q567" i="17" s="1"/>
  <c r="R567" i="17" s="1"/>
  <c r="I567" i="17" l="1"/>
  <c r="D567" i="17"/>
  <c r="S567" i="17"/>
  <c r="G567" i="17"/>
  <c r="H567" i="17"/>
  <c r="J568" i="17" s="1"/>
  <c r="C567" i="17"/>
  <c r="K567" i="17"/>
  <c r="L567" i="17" s="1"/>
  <c r="M567" i="17"/>
  <c r="N567" i="17" s="1"/>
  <c r="F567" i="17"/>
  <c r="O567" i="17"/>
  <c r="P567" i="17" s="1"/>
  <c r="B568" i="17" s="1"/>
  <c r="E567" i="17"/>
  <c r="I568" i="17" l="1"/>
  <c r="D568" i="17"/>
  <c r="G568" i="17"/>
  <c r="O568" i="17"/>
  <c r="P568" i="17" s="1"/>
  <c r="Q568" i="17"/>
  <c r="R568" i="17" s="1"/>
  <c r="S568" i="17"/>
  <c r="M568" i="17"/>
  <c r="N568" i="17" s="1"/>
  <c r="F568" i="17"/>
  <c r="E568" i="17"/>
  <c r="K568" i="17"/>
  <c r="L568" i="17" s="1"/>
  <c r="C568" i="17"/>
  <c r="H568" i="17"/>
  <c r="J569" i="17" s="1"/>
  <c r="CP19" i="6"/>
  <c r="CP19" i="15"/>
  <c r="CP19" i="9"/>
  <c r="CP19" i="10"/>
  <c r="CP19" i="8"/>
  <c r="CP19" i="11"/>
  <c r="CP19" i="5"/>
  <c r="CP19" i="12"/>
  <c r="CP19" i="7"/>
  <c r="CP19" i="4"/>
  <c r="B569" i="17" l="1"/>
  <c r="O569" i="17" s="1"/>
  <c r="P569" i="17" s="1"/>
  <c r="S569" i="17" l="1"/>
  <c r="C569" i="17"/>
  <c r="E569" i="17"/>
  <c r="I569" i="17"/>
  <c r="D569" i="17"/>
  <c r="Q569" i="17"/>
  <c r="R569" i="17" s="1"/>
  <c r="B570" i="17" s="1"/>
  <c r="O570" i="17" s="1"/>
  <c r="P570" i="17" s="1"/>
  <c r="K569" i="17"/>
  <c r="L569" i="17" s="1"/>
  <c r="M569" i="17"/>
  <c r="N569" i="17" s="1"/>
  <c r="H569" i="17"/>
  <c r="J570" i="17" s="1"/>
  <c r="G569" i="17"/>
  <c r="F569" i="17"/>
  <c r="E570" i="17" l="1"/>
  <c r="S570" i="17"/>
  <c r="G570" i="17"/>
  <c r="I570" i="17"/>
  <c r="F570" i="17"/>
  <c r="Q570" i="17"/>
  <c r="R570" i="17" s="1"/>
  <c r="B571" i="17" s="1"/>
  <c r="S571" i="17" s="1"/>
  <c r="D570" i="17"/>
  <c r="K570" i="17"/>
  <c r="L570" i="17" s="1"/>
  <c r="M570" i="17"/>
  <c r="N570" i="17" s="1"/>
  <c r="C570" i="17"/>
  <c r="H570" i="17"/>
  <c r="J571" i="17" s="1"/>
  <c r="Q571" i="17" l="1"/>
  <c r="R571" i="17" s="1"/>
  <c r="O571" i="17"/>
  <c r="P571" i="17" s="1"/>
  <c r="D571" i="17"/>
  <c r="F571" i="17"/>
  <c r="E571" i="17"/>
  <c r="C571" i="17"/>
  <c r="I571" i="17"/>
  <c r="K571" i="17"/>
  <c r="L571" i="17" s="1"/>
  <c r="G571" i="17"/>
  <c r="H571" i="17"/>
  <c r="J572" i="17" s="1"/>
  <c r="M571" i="17"/>
  <c r="N571" i="17" s="1"/>
  <c r="B572" i="17" l="1"/>
  <c r="H572" i="17" s="1"/>
  <c r="J573" i="17" s="1"/>
  <c r="I572" i="17" l="1"/>
  <c r="K572" i="17"/>
  <c r="L572" i="17" s="1"/>
  <c r="O572" i="17"/>
  <c r="P572" i="17" s="1"/>
  <c r="Q572" i="17"/>
  <c r="R572" i="17" s="1"/>
  <c r="D572" i="17"/>
  <c r="C572" i="17"/>
  <c r="M572" i="17"/>
  <c r="N572" i="17" s="1"/>
  <c r="S572" i="17"/>
  <c r="E572" i="17"/>
  <c r="F572" i="17"/>
  <c r="G572" i="17"/>
  <c r="B573" i="17" l="1"/>
  <c r="K573" i="17" s="1"/>
  <c r="L573" i="17" s="1"/>
  <c r="H573" i="17"/>
  <c r="J574" i="17" s="1"/>
  <c r="E573" i="17" l="1"/>
  <c r="I573" i="17"/>
  <c r="M573" i="17"/>
  <c r="N573" i="17" s="1"/>
  <c r="C573" i="17"/>
  <c r="D573" i="17"/>
  <c r="Q573" i="17"/>
  <c r="R573" i="17" s="1"/>
  <c r="F573" i="17"/>
  <c r="G573" i="17"/>
  <c r="O573" i="17"/>
  <c r="P573" i="17" s="1"/>
  <c r="S573" i="17"/>
  <c r="B574" i="17" l="1"/>
  <c r="E574" i="17" s="1"/>
  <c r="I574" i="17" l="1"/>
  <c r="D574" i="17"/>
  <c r="M574" i="17"/>
  <c r="N574" i="17" s="1"/>
  <c r="G574" i="17"/>
  <c r="F574" i="17"/>
  <c r="S574" i="17"/>
  <c r="O574" i="17"/>
  <c r="P574" i="17" s="1"/>
  <c r="Q574" i="17"/>
  <c r="R574" i="17" s="1"/>
  <c r="K574" i="17"/>
  <c r="L574" i="17" s="1"/>
  <c r="C574" i="17"/>
  <c r="H574" i="17"/>
  <c r="J575" i="17" s="1"/>
  <c r="B575" i="17" l="1"/>
  <c r="O575" i="17" s="1"/>
  <c r="P575" i="17" s="1"/>
  <c r="H575" i="17"/>
  <c r="J576" i="17" s="1"/>
  <c r="Q575" i="17"/>
  <c r="R575" i="17" s="1"/>
  <c r="D575" i="17" l="1"/>
  <c r="C575" i="17"/>
  <c r="K575" i="17"/>
  <c r="L575" i="17" s="1"/>
  <c r="E575" i="17"/>
  <c r="I575" i="17"/>
  <c r="M575" i="17"/>
  <c r="N575" i="17" s="1"/>
  <c r="S575" i="17"/>
  <c r="G575" i="17"/>
  <c r="F575" i="17"/>
  <c r="B576" i="17"/>
  <c r="I576" i="17" l="1"/>
  <c r="F576" i="17"/>
  <c r="O576" i="17"/>
  <c r="P576" i="17" s="1"/>
  <c r="S576" i="17"/>
  <c r="E576" i="17"/>
  <c r="D576" i="17"/>
  <c r="K576" i="17"/>
  <c r="L576" i="17" s="1"/>
  <c r="H576" i="17"/>
  <c r="J577" i="17" s="1"/>
  <c r="C576" i="17"/>
  <c r="Q576" i="17"/>
  <c r="R576" i="17" s="1"/>
  <c r="M576" i="17"/>
  <c r="N576" i="17" s="1"/>
  <c r="G576" i="17"/>
  <c r="B577" i="17" l="1"/>
  <c r="G577" i="17" s="1"/>
  <c r="O577" i="17" l="1"/>
  <c r="P577" i="17" s="1"/>
  <c r="M577" i="17"/>
  <c r="N577" i="17" s="1"/>
  <c r="D577" i="17"/>
  <c r="I577" i="17"/>
  <c r="K577" i="17"/>
  <c r="L577" i="17" s="1"/>
  <c r="F577" i="17"/>
  <c r="Q577" i="17"/>
  <c r="R577" i="17" s="1"/>
  <c r="H577" i="17"/>
  <c r="J578" i="17" s="1"/>
  <c r="C577" i="17"/>
  <c r="S577" i="17"/>
  <c r="E577" i="17"/>
  <c r="B578" i="17" l="1"/>
  <c r="M578" i="17" s="1"/>
  <c r="N578" i="17" s="1"/>
  <c r="C578" i="17" l="1"/>
  <c r="S578" i="17"/>
  <c r="F578" i="17"/>
  <c r="E578" i="17"/>
  <c r="D578" i="17"/>
  <c r="I578" i="17"/>
  <c r="Q578" i="17"/>
  <c r="R578" i="17" s="1"/>
  <c r="H578" i="17"/>
  <c r="J579" i="17" s="1"/>
  <c r="O578" i="17"/>
  <c r="P578" i="17" s="1"/>
  <c r="G578" i="17"/>
  <c r="K578" i="17"/>
  <c r="L578" i="17" s="1"/>
  <c r="B579" i="17" l="1"/>
  <c r="C579" i="17" s="1"/>
  <c r="I579" i="17" l="1"/>
  <c r="O579" i="17"/>
  <c r="P579" i="17" s="1"/>
  <c r="K579" i="17"/>
  <c r="L579" i="17" s="1"/>
  <c r="D579" i="17"/>
  <c r="E579" i="17"/>
  <c r="S579" i="17"/>
  <c r="H579" i="17"/>
  <c r="J580" i="17" s="1"/>
  <c r="F579" i="17"/>
  <c r="G579" i="17"/>
  <c r="Q579" i="17"/>
  <c r="R579" i="17" s="1"/>
  <c r="B580" i="17" s="1"/>
  <c r="M579" i="17"/>
  <c r="N579" i="17" s="1"/>
  <c r="D580" i="17" l="1"/>
  <c r="F580" i="17"/>
  <c r="C580" i="17"/>
  <c r="K580" i="17"/>
  <c r="L580" i="17" s="1"/>
  <c r="O580" i="17"/>
  <c r="P580" i="17" s="1"/>
  <c r="S580" i="17"/>
  <c r="G580" i="17"/>
  <c r="H580" i="17"/>
  <c r="J581" i="17" s="1"/>
  <c r="Q580" i="17"/>
  <c r="R580" i="17" s="1"/>
  <c r="I580" i="17"/>
  <c r="E580" i="17"/>
  <c r="M580" i="17"/>
  <c r="N580" i="17" s="1"/>
  <c r="B581" i="17" l="1"/>
  <c r="M581" i="17" s="1"/>
  <c r="N581" i="17" s="1"/>
  <c r="H581" i="17" l="1"/>
  <c r="J582" i="17" s="1"/>
  <c r="E581" i="17"/>
  <c r="F581" i="17"/>
  <c r="C581" i="17"/>
  <c r="S581" i="17"/>
  <c r="Q581" i="17"/>
  <c r="R581" i="17" s="1"/>
  <c r="K581" i="17"/>
  <c r="L581" i="17" s="1"/>
  <c r="G581" i="17"/>
  <c r="D581" i="17"/>
  <c r="I581" i="17"/>
  <c r="O581" i="17"/>
  <c r="P581" i="17" s="1"/>
  <c r="B582" i="17" l="1"/>
  <c r="G582" i="17" s="1"/>
  <c r="C582" i="17"/>
  <c r="K582" i="17"/>
  <c r="L582" i="17" s="1"/>
  <c r="Q582" i="17" l="1"/>
  <c r="R582" i="17" s="1"/>
  <c r="H582" i="17"/>
  <c r="J583" i="17" s="1"/>
  <c r="O582" i="17"/>
  <c r="P582" i="17" s="1"/>
  <c r="I582" i="17"/>
  <c r="D582" i="17"/>
  <c r="M582" i="17"/>
  <c r="N582" i="17" s="1"/>
  <c r="S582" i="17"/>
  <c r="F582" i="17"/>
  <c r="E582" i="17"/>
  <c r="B583" i="17" l="1"/>
  <c r="E583" i="17" s="1"/>
  <c r="C583" i="17"/>
  <c r="D583" i="17" l="1"/>
  <c r="M583" i="17"/>
  <c r="N583" i="17" s="1"/>
  <c r="G583" i="17"/>
  <c r="Q583" i="17"/>
  <c r="R583" i="17" s="1"/>
  <c r="F583" i="17"/>
  <c r="O583" i="17"/>
  <c r="P583" i="17" s="1"/>
  <c r="K583" i="17"/>
  <c r="L583" i="17" s="1"/>
  <c r="S583" i="17"/>
  <c r="I583" i="17"/>
  <c r="H583" i="17"/>
  <c r="J584" i="17" s="1"/>
  <c r="B584" i="17" l="1"/>
  <c r="K584" i="17" l="1"/>
  <c r="L584" i="17" s="1"/>
  <c r="O584" i="17"/>
  <c r="P584" i="17" s="1"/>
  <c r="M584" i="17"/>
  <c r="N584" i="17" s="1"/>
  <c r="I584" i="17"/>
  <c r="C584" i="17"/>
  <c r="S584" i="17"/>
  <c r="G584" i="17"/>
  <c r="Q584" i="17"/>
  <c r="R584" i="17" s="1"/>
  <c r="H584" i="17"/>
  <c r="J585" i="17" s="1"/>
  <c r="E584" i="17"/>
  <c r="D584" i="17"/>
  <c r="F584" i="17"/>
  <c r="B585" i="17" l="1"/>
  <c r="D585" i="17" s="1"/>
  <c r="C585" i="17" l="1"/>
  <c r="E585" i="17"/>
  <c r="O585" i="17"/>
  <c r="P585" i="17" s="1"/>
  <c r="F585" i="17"/>
  <c r="M585" i="17"/>
  <c r="N585" i="17" s="1"/>
  <c r="I585" i="17"/>
  <c r="Q585" i="17"/>
  <c r="R585" i="17" s="1"/>
  <c r="G585" i="17"/>
  <c r="K585" i="17"/>
  <c r="L585" i="17" s="1"/>
  <c r="S585" i="17"/>
  <c r="H585" i="17"/>
  <c r="J586" i="17" s="1"/>
  <c r="B586" i="17" l="1"/>
  <c r="E586" i="17" l="1"/>
  <c r="M586" i="17"/>
  <c r="N586" i="17" s="1"/>
  <c r="Q586" i="17"/>
  <c r="R586" i="17" s="1"/>
  <c r="F586" i="17"/>
  <c r="S586" i="17"/>
  <c r="K586" i="17"/>
  <c r="L586" i="17" s="1"/>
  <c r="C586" i="17"/>
  <c r="I586" i="17"/>
  <c r="O586" i="17"/>
  <c r="P586" i="17" s="1"/>
  <c r="D586" i="17"/>
  <c r="G586" i="17"/>
  <c r="H586" i="17"/>
  <c r="J587" i="17" s="1"/>
  <c r="B587" i="17" l="1"/>
  <c r="D587" i="17" s="1"/>
  <c r="C587" i="17"/>
  <c r="H587" i="17"/>
  <c r="J588" i="17" s="1"/>
  <c r="G587" i="17" l="1"/>
  <c r="Q587" i="17"/>
  <c r="R587" i="17" s="1"/>
  <c r="M587" i="17"/>
  <c r="N587" i="17" s="1"/>
  <c r="O587" i="17"/>
  <c r="P587" i="17" s="1"/>
  <c r="B588" i="17" s="1"/>
  <c r="I587" i="17"/>
  <c r="K587" i="17"/>
  <c r="L587" i="17" s="1"/>
  <c r="F587" i="17"/>
  <c r="E587" i="17"/>
  <c r="S587" i="17"/>
  <c r="D588" i="17" l="1"/>
  <c r="I588" i="17"/>
  <c r="C588" i="17"/>
  <c r="E588" i="17"/>
  <c r="H588" i="17"/>
  <c r="J589" i="17" s="1"/>
  <c r="M588" i="17"/>
  <c r="N588" i="17" s="1"/>
  <c r="F588" i="17"/>
  <c r="O588" i="17"/>
  <c r="P588" i="17" s="1"/>
  <c r="Q588" i="17"/>
  <c r="R588" i="17" s="1"/>
  <c r="G588" i="17"/>
  <c r="K588" i="17"/>
  <c r="L588" i="17" s="1"/>
  <c r="S588" i="17"/>
  <c r="B589" i="17" l="1"/>
  <c r="H589" i="17" s="1"/>
  <c r="J590" i="17" s="1"/>
  <c r="F589" i="17"/>
  <c r="I589" i="17" l="1"/>
  <c r="S589" i="17"/>
  <c r="M589" i="17"/>
  <c r="N589" i="17" s="1"/>
  <c r="K589" i="17"/>
  <c r="L589" i="17" s="1"/>
  <c r="Q589" i="17"/>
  <c r="R589" i="17" s="1"/>
  <c r="D589" i="17"/>
  <c r="E589" i="17"/>
  <c r="O589" i="17"/>
  <c r="P589" i="17" s="1"/>
  <c r="C589" i="17"/>
  <c r="G589" i="17"/>
  <c r="B590" i="17" l="1"/>
  <c r="I590" i="17" s="1"/>
  <c r="D590" i="17"/>
  <c r="O590" i="17"/>
  <c r="P590" i="17" s="1"/>
  <c r="E590" i="17"/>
  <c r="M590" i="17"/>
  <c r="N590" i="17" s="1"/>
  <c r="H590" i="17" l="1"/>
  <c r="J591" i="17" s="1"/>
  <c r="S590" i="17"/>
  <c r="G590" i="17"/>
  <c r="K590" i="17"/>
  <c r="L590" i="17" s="1"/>
  <c r="F590" i="17"/>
  <c r="Q590" i="17"/>
  <c r="R590" i="17" s="1"/>
  <c r="B591" i="17" s="1"/>
  <c r="E591" i="17" s="1"/>
  <c r="C590" i="17"/>
  <c r="M591" i="17" l="1"/>
  <c r="N591" i="17" s="1"/>
  <c r="C591" i="17"/>
  <c r="I591" i="17"/>
  <c r="Q591" i="17"/>
  <c r="R591" i="17" s="1"/>
  <c r="S591" i="17"/>
  <c r="H591" i="17"/>
  <c r="J592" i="17" s="1"/>
  <c r="K591" i="17"/>
  <c r="L591" i="17" s="1"/>
  <c r="D591" i="17"/>
  <c r="G591" i="17"/>
  <c r="F591" i="17"/>
  <c r="O591" i="17"/>
  <c r="P591" i="17" s="1"/>
  <c r="B592" i="17" l="1"/>
  <c r="I592" i="17" s="1"/>
  <c r="C592" i="17"/>
  <c r="G592" i="17" l="1"/>
  <c r="O592" i="17"/>
  <c r="P592" i="17" s="1"/>
  <c r="H592" i="17"/>
  <c r="J593" i="17" s="1"/>
  <c r="K592" i="17"/>
  <c r="L592" i="17" s="1"/>
  <c r="S592" i="17"/>
  <c r="Q592" i="17"/>
  <c r="R592" i="17" s="1"/>
  <c r="B593" i="17" s="1"/>
  <c r="I593" i="17" s="1"/>
  <c r="D592" i="17"/>
  <c r="F592" i="17"/>
  <c r="M592" i="17"/>
  <c r="N592" i="17" s="1"/>
  <c r="E592" i="17"/>
  <c r="Q593" i="17" l="1"/>
  <c r="R593" i="17" s="1"/>
  <c r="G593" i="17"/>
  <c r="M593" i="17"/>
  <c r="N593" i="17" s="1"/>
  <c r="O593" i="17"/>
  <c r="P593" i="17" s="1"/>
  <c r="K593" i="17"/>
  <c r="L593" i="17" s="1"/>
  <c r="F593" i="17"/>
  <c r="H593" i="17"/>
  <c r="J594" i="17" s="1"/>
  <c r="E593" i="17"/>
  <c r="S593" i="17"/>
  <c r="C593" i="17"/>
  <c r="D593" i="17"/>
  <c r="B594" i="17" l="1"/>
  <c r="E594" i="17"/>
  <c r="M594" i="17"/>
  <c r="N594" i="17" s="1"/>
  <c r="F594" i="17"/>
  <c r="H594" i="17"/>
  <c r="J595" i="17" s="1"/>
  <c r="C594" i="17"/>
  <c r="S594" i="17"/>
  <c r="O594" i="17"/>
  <c r="P594" i="17" s="1"/>
  <c r="K594" i="17"/>
  <c r="L594" i="17" s="1"/>
  <c r="Q594" i="17"/>
  <c r="R594" i="17" s="1"/>
  <c r="D594" i="17"/>
  <c r="G594" i="17"/>
  <c r="I594" i="17"/>
  <c r="B595" i="17" l="1"/>
  <c r="Q595" i="17" s="1"/>
  <c r="R595" i="17" s="1"/>
  <c r="F595" i="17"/>
  <c r="G595" i="17" l="1"/>
  <c r="C595" i="17"/>
  <c r="I595" i="17"/>
  <c r="D595" i="17"/>
  <c r="K595" i="17"/>
  <c r="L595" i="17" s="1"/>
  <c r="H595" i="17"/>
  <c r="J596" i="17" s="1"/>
  <c r="S595" i="17"/>
  <c r="O595" i="17"/>
  <c r="P595" i="17" s="1"/>
  <c r="B596" i="17" s="1"/>
  <c r="O596" i="17" s="1"/>
  <c r="P596" i="17" s="1"/>
  <c r="M595" i="17"/>
  <c r="N595" i="17" s="1"/>
  <c r="E595" i="17"/>
  <c r="C596" i="17" l="1"/>
  <c r="D596" i="17"/>
  <c r="Q596" i="17"/>
  <c r="R596" i="17" s="1"/>
  <c r="B597" i="17" s="1"/>
  <c r="O597" i="17" s="1"/>
  <c r="P597" i="17" s="1"/>
  <c r="E596" i="17"/>
  <c r="F596" i="17"/>
  <c r="G596" i="17"/>
  <c r="K596" i="17"/>
  <c r="L596" i="17" s="1"/>
  <c r="M596" i="17"/>
  <c r="N596" i="17" s="1"/>
  <c r="I596" i="17"/>
  <c r="S596" i="17"/>
  <c r="H596" i="17"/>
  <c r="J597" i="17" s="1"/>
  <c r="C597" i="17" l="1"/>
  <c r="S597" i="17"/>
  <c r="E597" i="17"/>
  <c r="H597" i="17"/>
  <c r="J598" i="17" s="1"/>
  <c r="K597" i="17"/>
  <c r="L597" i="17" s="1"/>
  <c r="M597" i="17"/>
  <c r="N597" i="17" s="1"/>
  <c r="Q597" i="17"/>
  <c r="R597" i="17" s="1"/>
  <c r="B598" i="17" s="1"/>
  <c r="G597" i="17"/>
  <c r="D597" i="17"/>
  <c r="I597" i="17"/>
  <c r="F597" i="17"/>
  <c r="F598" i="17" l="1"/>
  <c r="O598" i="17"/>
  <c r="P598" i="17" s="1"/>
  <c r="I598" i="17"/>
  <c r="M598" i="17"/>
  <c r="N598" i="17" s="1"/>
  <c r="Q598" i="17"/>
  <c r="R598" i="17" s="1"/>
  <c r="S598" i="17"/>
  <c r="K598" i="17"/>
  <c r="L598" i="17" s="1"/>
  <c r="C598" i="17"/>
  <c r="H598" i="17"/>
  <c r="J599" i="17" s="1"/>
  <c r="E598" i="17"/>
  <c r="D598" i="17"/>
  <c r="G598" i="17"/>
  <c r="B599" i="17" l="1"/>
  <c r="M599" i="17" s="1"/>
  <c r="N599" i="17" s="1"/>
  <c r="C599" i="17"/>
  <c r="G599" i="17" l="1"/>
  <c r="F599" i="17"/>
  <c r="D599" i="17"/>
  <c r="S599" i="17"/>
  <c r="H599" i="17"/>
  <c r="J600" i="17" s="1"/>
  <c r="E599" i="17"/>
  <c r="Q599" i="17"/>
  <c r="R599" i="17" s="1"/>
  <c r="O599" i="17"/>
  <c r="P599" i="17" s="1"/>
  <c r="K599" i="17"/>
  <c r="L599" i="17" s="1"/>
  <c r="I599" i="17"/>
  <c r="B600" i="17" l="1"/>
  <c r="M600" i="17"/>
  <c r="N600" i="17" s="1"/>
  <c r="K600" i="17"/>
  <c r="L600" i="17" s="1"/>
  <c r="O600" i="17"/>
  <c r="P600" i="17" s="1"/>
  <c r="I600" i="17"/>
  <c r="Q600" i="17"/>
  <c r="R600" i="17" s="1"/>
  <c r="C600" i="17"/>
  <c r="D600" i="17"/>
  <c r="F600" i="17"/>
  <c r="S600" i="17"/>
  <c r="H600" i="17"/>
  <c r="J601" i="17" s="1"/>
  <c r="G600" i="17"/>
  <c r="E600" i="17"/>
  <c r="B601" i="17" l="1"/>
  <c r="H601" i="17"/>
  <c r="J602" i="17" s="1"/>
  <c r="O601" i="17"/>
  <c r="P601" i="17" s="1"/>
  <c r="E601" i="17"/>
  <c r="F601" i="17"/>
  <c r="M601" i="17"/>
  <c r="N601" i="17" s="1"/>
  <c r="G601" i="17"/>
  <c r="Q601" i="17"/>
  <c r="R601" i="17" s="1"/>
  <c r="D601" i="17"/>
  <c r="C601" i="17"/>
  <c r="S601" i="17"/>
  <c r="I601" i="17"/>
  <c r="K601" i="17"/>
  <c r="L601" i="17" s="1"/>
  <c r="B602" i="17" l="1"/>
  <c r="Q602" i="17" s="1"/>
  <c r="R602" i="17" s="1"/>
  <c r="K602" i="17" l="1"/>
  <c r="L602" i="17" s="1"/>
  <c r="G602" i="17"/>
  <c r="M602" i="17"/>
  <c r="N602" i="17" s="1"/>
  <c r="D602" i="17"/>
  <c r="O602" i="17"/>
  <c r="P602" i="17" s="1"/>
  <c r="B603" i="17" s="1"/>
  <c r="Q603" i="17" s="1"/>
  <c r="R603" i="17" s="1"/>
  <c r="C602" i="17"/>
  <c r="F602" i="17"/>
  <c r="H602" i="17"/>
  <c r="J603" i="17" s="1"/>
  <c r="S602" i="17"/>
  <c r="I602" i="17"/>
  <c r="E602" i="17"/>
  <c r="K603" i="17" l="1"/>
  <c r="L603" i="17" s="1"/>
  <c r="S603" i="17"/>
  <c r="O603" i="17"/>
  <c r="P603" i="17" s="1"/>
  <c r="B604" i="17" s="1"/>
  <c r="D603" i="17"/>
  <c r="H603" i="17"/>
  <c r="J604" i="17" s="1"/>
  <c r="F603" i="17"/>
  <c r="I603" i="17"/>
  <c r="C603" i="17"/>
  <c r="G603" i="17"/>
  <c r="M603" i="17"/>
  <c r="N603" i="17" s="1"/>
  <c r="E603" i="17"/>
  <c r="D604" i="17" l="1"/>
  <c r="M604" i="17"/>
  <c r="N604" i="17" s="1"/>
  <c r="Q604" i="17"/>
  <c r="R604" i="17" s="1"/>
  <c r="O604" i="17"/>
  <c r="P604" i="17" s="1"/>
  <c r="E604" i="17"/>
  <c r="K604" i="17"/>
  <c r="L604" i="17" s="1"/>
  <c r="C604" i="17"/>
  <c r="G604" i="17"/>
  <c r="S604" i="17"/>
  <c r="I604" i="17"/>
  <c r="F604" i="17"/>
  <c r="H604" i="17"/>
  <c r="J605" i="17" s="1"/>
  <c r="B605" i="17" l="1"/>
  <c r="Q605" i="17" s="1"/>
  <c r="R605" i="17" s="1"/>
  <c r="G605" i="17" l="1"/>
  <c r="E605" i="17"/>
  <c r="K605" i="17"/>
  <c r="L605" i="17" s="1"/>
  <c r="S605" i="17"/>
  <c r="O605" i="17"/>
  <c r="P605" i="17" s="1"/>
  <c r="B606" i="17" s="1"/>
  <c r="Q606" i="17" s="1"/>
  <c r="R606" i="17" s="1"/>
  <c r="D605" i="17"/>
  <c r="M605" i="17"/>
  <c r="N605" i="17" s="1"/>
  <c r="C605" i="17"/>
  <c r="I605" i="17"/>
  <c r="H605" i="17"/>
  <c r="J606" i="17" s="1"/>
  <c r="F605" i="17"/>
  <c r="F606" i="17" s="1"/>
  <c r="O606" i="17"/>
  <c r="P606" i="17" s="1"/>
  <c r="I606" i="17" l="1"/>
  <c r="E606" i="17"/>
  <c r="H606" i="17"/>
  <c r="J607" i="17" s="1"/>
  <c r="B607" i="17"/>
  <c r="S606" i="17"/>
  <c r="K606" i="17"/>
  <c r="L606" i="17" s="1"/>
  <c r="D606" i="17"/>
  <c r="C606" i="17"/>
  <c r="M606" i="17"/>
  <c r="N606" i="17" s="1"/>
  <c r="G606" i="17"/>
  <c r="H607" i="17"/>
  <c r="J608" i="17" s="1"/>
  <c r="F607" i="17"/>
  <c r="O607" i="17"/>
  <c r="P607" i="17" s="1"/>
  <c r="S607" i="17"/>
  <c r="Q607" i="17"/>
  <c r="R607" i="17" s="1"/>
  <c r="I607" i="17"/>
  <c r="K607" i="17" l="1"/>
  <c r="L607" i="17" s="1"/>
  <c r="E607" i="17"/>
  <c r="M607" i="17"/>
  <c r="N607" i="17" s="1"/>
  <c r="D607" i="17"/>
  <c r="G607" i="17"/>
  <c r="C607" i="17"/>
  <c r="B608" i="17"/>
  <c r="D608" i="17" l="1"/>
  <c r="O608" i="17"/>
  <c r="P608" i="17" s="1"/>
  <c r="C608" i="17"/>
  <c r="K608" i="17"/>
  <c r="L608" i="17" s="1"/>
  <c r="F608" i="17"/>
  <c r="G608" i="17"/>
  <c r="M608" i="17"/>
  <c r="N608" i="17" s="1"/>
  <c r="Q608" i="17"/>
  <c r="R608" i="17" s="1"/>
  <c r="I608" i="17"/>
  <c r="H608" i="17"/>
  <c r="J609" i="17" s="1"/>
  <c r="E608" i="17"/>
  <c r="S608" i="17"/>
  <c r="B609" i="17" l="1"/>
  <c r="F609" i="17" s="1"/>
  <c r="S609" i="17" l="1"/>
  <c r="K609" i="17"/>
  <c r="L609" i="17" s="1"/>
  <c r="I609" i="17"/>
  <c r="G609" i="17"/>
  <c r="M609" i="17"/>
  <c r="N609" i="17" s="1"/>
  <c r="C609" i="17"/>
  <c r="H609" i="17"/>
  <c r="J610" i="17" s="1"/>
  <c r="Q609" i="17"/>
  <c r="R609" i="17" s="1"/>
  <c r="O609" i="17"/>
  <c r="P609" i="17" s="1"/>
  <c r="D609" i="17"/>
  <c r="E609" i="17"/>
  <c r="B610" i="17" l="1"/>
  <c r="Q610" i="17" s="1"/>
  <c r="R610" i="17" s="1"/>
  <c r="I610" i="17" l="1"/>
  <c r="G610" i="17"/>
  <c r="E610" i="17"/>
  <c r="C610" i="17"/>
  <c r="D610" i="17"/>
  <c r="F610" i="17"/>
  <c r="K610" i="17"/>
  <c r="L610" i="17" s="1"/>
  <c r="M610" i="17"/>
  <c r="N610" i="17" s="1"/>
  <c r="H610" i="17"/>
  <c r="J611" i="17" s="1"/>
  <c r="S610" i="17"/>
  <c r="O610" i="17"/>
  <c r="P610" i="17" s="1"/>
  <c r="B611" i="17" s="1"/>
  <c r="I611" i="17" l="1"/>
  <c r="K611" i="17"/>
  <c r="L611" i="17" s="1"/>
  <c r="H611" i="17"/>
  <c r="J612" i="17" s="1"/>
  <c r="O611" i="17"/>
  <c r="P611" i="17" s="1"/>
  <c r="C611" i="17"/>
  <c r="M611" i="17"/>
  <c r="N611" i="17" s="1"/>
  <c r="Q611" i="17"/>
  <c r="R611" i="17" s="1"/>
  <c r="S611" i="17"/>
  <c r="F611" i="17"/>
  <c r="E611" i="17"/>
  <c r="G611" i="17"/>
  <c r="D611" i="17"/>
  <c r="B612" i="17" l="1"/>
  <c r="H612" i="17" s="1"/>
  <c r="J613" i="17" s="1"/>
  <c r="I612" i="17" l="1"/>
  <c r="F612" i="17"/>
  <c r="E612" i="17"/>
  <c r="S612" i="17"/>
  <c r="K612" i="17"/>
  <c r="L612" i="17" s="1"/>
  <c r="Q612" i="17"/>
  <c r="R612" i="17" s="1"/>
  <c r="G612" i="17"/>
  <c r="M612" i="17"/>
  <c r="N612" i="17" s="1"/>
  <c r="O612" i="17"/>
  <c r="P612" i="17" s="1"/>
  <c r="C612" i="17"/>
  <c r="D612" i="17"/>
  <c r="B613" i="17" l="1"/>
  <c r="D613" i="17" s="1"/>
  <c r="E613" i="17" l="1"/>
  <c r="Q613" i="17"/>
  <c r="R613" i="17" s="1"/>
  <c r="S613" i="17"/>
  <c r="C613" i="17"/>
  <c r="H613" i="17"/>
  <c r="J614" i="17" s="1"/>
  <c r="F613" i="17"/>
  <c r="M613" i="17"/>
  <c r="N613" i="17" s="1"/>
  <c r="K613" i="17"/>
  <c r="L613" i="17" s="1"/>
  <c r="I613" i="17"/>
  <c r="O613" i="17"/>
  <c r="P613" i="17" s="1"/>
  <c r="B614" i="17" s="1"/>
  <c r="G613" i="17"/>
  <c r="S614" i="17" l="1"/>
  <c r="H614" i="17"/>
  <c r="J615" i="17" s="1"/>
  <c r="D614" i="17"/>
  <c r="G614" i="17"/>
  <c r="F614" i="17"/>
  <c r="K614" i="17"/>
  <c r="L614" i="17" s="1"/>
  <c r="O614" i="17"/>
  <c r="P614" i="17" s="1"/>
  <c r="M614" i="17"/>
  <c r="N614" i="17" s="1"/>
  <c r="E614" i="17"/>
  <c r="C614" i="17"/>
  <c r="I614" i="17"/>
  <c r="Q614" i="17"/>
  <c r="R614" i="17" s="1"/>
  <c r="B615" i="17" l="1"/>
  <c r="Q615" i="17" s="1"/>
  <c r="R615" i="17" s="1"/>
  <c r="K615" i="17"/>
  <c r="L615" i="17" s="1"/>
  <c r="M615" i="17"/>
  <c r="N615" i="17" s="1"/>
  <c r="I615" i="17" l="1"/>
  <c r="C615" i="17"/>
  <c r="O615" i="17"/>
  <c r="P615" i="17" s="1"/>
  <c r="B616" i="17" s="1"/>
  <c r="E615" i="17"/>
  <c r="G615" i="17"/>
  <c r="H615" i="17"/>
  <c r="J616" i="17" s="1"/>
  <c r="D615" i="17"/>
  <c r="S615" i="17"/>
  <c r="F615" i="17"/>
  <c r="H616" i="17" l="1"/>
  <c r="J617" i="17" s="1"/>
  <c r="D616" i="17"/>
  <c r="C616" i="17"/>
  <c r="M616" i="17"/>
  <c r="N616" i="17" s="1"/>
  <c r="O616" i="17"/>
  <c r="P616" i="17" s="1"/>
  <c r="I616" i="17"/>
  <c r="K616" i="17"/>
  <c r="L616" i="17" s="1"/>
  <c r="E616" i="17"/>
  <c r="S616" i="17"/>
  <c r="F616" i="17"/>
  <c r="G616" i="17"/>
  <c r="Q616" i="17"/>
  <c r="R616" i="17" s="1"/>
  <c r="B617" i="17" l="1"/>
  <c r="O617" i="17" s="1"/>
  <c r="P617" i="17" s="1"/>
  <c r="K617" i="17" l="1"/>
  <c r="L617" i="17" s="1"/>
  <c r="H617" i="17"/>
  <c r="J618" i="17" s="1"/>
  <c r="Q617" i="17"/>
  <c r="R617" i="17" s="1"/>
  <c r="B618" i="17" s="1"/>
  <c r="O618" i="17" s="1"/>
  <c r="P618" i="17" s="1"/>
  <c r="C617" i="17"/>
  <c r="I617" i="17"/>
  <c r="S617" i="17"/>
  <c r="E617" i="17"/>
  <c r="G617" i="17"/>
  <c r="D617" i="17"/>
  <c r="M617" i="17"/>
  <c r="N617" i="17" s="1"/>
  <c r="F617" i="17"/>
  <c r="F618" i="17" l="1"/>
  <c r="E618" i="17"/>
  <c r="H618" i="17"/>
  <c r="J619" i="17" s="1"/>
  <c r="D618" i="17"/>
  <c r="S618" i="17"/>
  <c r="M618" i="17"/>
  <c r="N618" i="17" s="1"/>
  <c r="K618" i="17"/>
  <c r="L618" i="17" s="1"/>
  <c r="Q618" i="17"/>
  <c r="R618" i="17" s="1"/>
  <c r="B619" i="17" s="1"/>
  <c r="G618" i="17"/>
  <c r="I618" i="17"/>
  <c r="C618" i="17"/>
  <c r="E619" i="17" l="1"/>
  <c r="D619" i="17"/>
  <c r="Q619" i="17"/>
  <c r="R619" i="17" s="1"/>
  <c r="M619" i="17"/>
  <c r="N619" i="17" s="1"/>
  <c r="C619" i="17"/>
  <c r="H619" i="17"/>
  <c r="J620" i="17" s="1"/>
  <c r="I619" i="17"/>
  <c r="K619" i="17"/>
  <c r="L619" i="17" s="1"/>
  <c r="F619" i="17"/>
  <c r="S619" i="17"/>
  <c r="O619" i="17"/>
  <c r="P619" i="17" s="1"/>
  <c r="G619" i="17"/>
  <c r="B620" i="17" l="1"/>
  <c r="Q620" i="17" s="1"/>
  <c r="R620" i="17" s="1"/>
  <c r="K620" i="17" l="1"/>
  <c r="L620" i="17" s="1"/>
  <c r="D620" i="17"/>
  <c r="O620" i="17"/>
  <c r="P620" i="17" s="1"/>
  <c r="B621" i="17" s="1"/>
  <c r="F620" i="17"/>
  <c r="M620" i="17"/>
  <c r="N620" i="17" s="1"/>
  <c r="I620" i="17"/>
  <c r="E620" i="17"/>
  <c r="H620" i="17"/>
  <c r="J621" i="17" s="1"/>
  <c r="G620" i="17"/>
  <c r="S620" i="17"/>
  <c r="C620" i="17"/>
  <c r="I621" i="17" l="1"/>
  <c r="D621" i="17"/>
  <c r="F621" i="17"/>
  <c r="S621" i="17"/>
  <c r="K621" i="17"/>
  <c r="L621" i="17" s="1"/>
  <c r="Q621" i="17"/>
  <c r="R621" i="17" s="1"/>
  <c r="E621" i="17"/>
  <c r="O621" i="17"/>
  <c r="P621" i="17" s="1"/>
  <c r="M621" i="17"/>
  <c r="N621" i="17" s="1"/>
  <c r="H621" i="17"/>
  <c r="J622" i="17" s="1"/>
  <c r="G621" i="17"/>
  <c r="C621" i="17"/>
  <c r="B622" i="17" l="1"/>
  <c r="K622" i="17" s="1"/>
  <c r="L622" i="17" s="1"/>
  <c r="O622" i="17" l="1"/>
  <c r="P622" i="17" s="1"/>
  <c r="M622" i="17"/>
  <c r="N622" i="17" s="1"/>
  <c r="F622" i="17"/>
  <c r="I622" i="17"/>
  <c r="G622" i="17"/>
  <c r="D622" i="17"/>
  <c r="S622" i="17"/>
  <c r="Q622" i="17"/>
  <c r="R622" i="17" s="1"/>
  <c r="E622" i="17"/>
  <c r="H622" i="17"/>
  <c r="J623" i="17" s="1"/>
  <c r="C622" i="17"/>
  <c r="B623" i="17" l="1"/>
  <c r="Q623" i="17" s="1"/>
  <c r="R623" i="17" s="1"/>
  <c r="H623" i="17" l="1"/>
  <c r="J624" i="17" s="1"/>
  <c r="I623" i="17"/>
  <c r="C623" i="17"/>
  <c r="E623" i="17"/>
  <c r="D623" i="17"/>
  <c r="F623" i="17"/>
  <c r="O623" i="17"/>
  <c r="P623" i="17" s="1"/>
  <c r="B624" i="17" s="1"/>
  <c r="S623" i="17"/>
  <c r="M623" i="17"/>
  <c r="N623" i="17" s="1"/>
  <c r="G623" i="17"/>
  <c r="K623" i="17"/>
  <c r="L623" i="17" s="1"/>
  <c r="C624" i="17" l="1"/>
  <c r="H624" i="17"/>
  <c r="J625" i="17" s="1"/>
  <c r="E624" i="17"/>
  <c r="I624" i="17"/>
  <c r="S624" i="17"/>
  <c r="F624" i="17"/>
  <c r="D624" i="17"/>
  <c r="K624" i="17"/>
  <c r="L624" i="17" s="1"/>
  <c r="G624" i="17"/>
  <c r="Q624" i="17"/>
  <c r="R624" i="17" s="1"/>
  <c r="O624" i="17"/>
  <c r="P624" i="17" s="1"/>
  <c r="M624" i="17"/>
  <c r="N624" i="17" s="1"/>
  <c r="B625" i="17" l="1"/>
  <c r="C625" i="17" s="1"/>
  <c r="D625" i="17" l="1"/>
  <c r="E625" i="17"/>
  <c r="I625" i="17"/>
  <c r="K625" i="17"/>
  <c r="L625" i="17" s="1"/>
  <c r="Q625" i="17"/>
  <c r="R625" i="17" s="1"/>
  <c r="H625" i="17"/>
  <c r="J626" i="17" s="1"/>
  <c r="O625" i="17"/>
  <c r="P625" i="17" s="1"/>
  <c r="G625" i="17"/>
  <c r="S625" i="17"/>
  <c r="M625" i="17"/>
  <c r="N625" i="17" s="1"/>
  <c r="F625" i="17"/>
  <c r="B626" i="17" l="1"/>
  <c r="Q626" i="17" s="1"/>
  <c r="R626" i="17" s="1"/>
  <c r="M626" i="17" l="1"/>
  <c r="N626" i="17" s="1"/>
  <c r="E626" i="17"/>
  <c r="K626" i="17"/>
  <c r="L626" i="17" s="1"/>
  <c r="F626" i="17"/>
  <c r="O626" i="17"/>
  <c r="P626" i="17" s="1"/>
  <c r="B627" i="17" s="1"/>
  <c r="S626" i="17"/>
  <c r="I626" i="17"/>
  <c r="D626" i="17"/>
  <c r="C626" i="17"/>
  <c r="G626" i="17"/>
  <c r="H626" i="17"/>
  <c r="J627" i="17" s="1"/>
  <c r="I627" i="17" l="1"/>
  <c r="Q627" i="17"/>
  <c r="R627" i="17" s="1"/>
  <c r="H627" i="17"/>
  <c r="J628" i="17" s="1"/>
  <c r="G627" i="17"/>
  <c r="F627" i="17"/>
  <c r="E627" i="17"/>
  <c r="K627" i="17"/>
  <c r="L627" i="17" s="1"/>
  <c r="O627" i="17"/>
  <c r="P627" i="17" s="1"/>
  <c r="S627" i="17"/>
  <c r="D627" i="17"/>
  <c r="C627" i="17"/>
  <c r="M627" i="17"/>
  <c r="N627" i="17" s="1"/>
  <c r="B628" i="17" l="1"/>
  <c r="Q628" i="17" s="1"/>
  <c r="R628" i="17" s="1"/>
  <c r="M628" i="17" l="1"/>
  <c r="N628" i="17" s="1"/>
  <c r="H628" i="17"/>
  <c r="J629" i="17" s="1"/>
  <c r="D628" i="17"/>
  <c r="E628" i="17"/>
  <c r="O628" i="17"/>
  <c r="P628" i="17" s="1"/>
  <c r="B629" i="17" s="1"/>
  <c r="K628" i="17"/>
  <c r="L628" i="17" s="1"/>
  <c r="S628" i="17"/>
  <c r="F628" i="17"/>
  <c r="G628" i="17"/>
  <c r="C628" i="17"/>
  <c r="I628" i="17"/>
  <c r="O629" i="17" l="1"/>
  <c r="P629" i="17" s="1"/>
  <c r="S629" i="17"/>
  <c r="Q629" i="17"/>
  <c r="R629" i="17" s="1"/>
  <c r="K629" i="17"/>
  <c r="L629" i="17" s="1"/>
  <c r="E629" i="17"/>
  <c r="G629" i="17"/>
  <c r="H629" i="17"/>
  <c r="J630" i="17" s="1"/>
  <c r="M629" i="17"/>
  <c r="N629" i="17" s="1"/>
  <c r="I629" i="17"/>
  <c r="F629" i="17"/>
  <c r="C629" i="17"/>
  <c r="D629" i="17"/>
  <c r="B630" i="17" l="1"/>
  <c r="E630" i="17" s="1"/>
  <c r="M630" i="17" l="1"/>
  <c r="N630" i="17" s="1"/>
  <c r="I630" i="17"/>
  <c r="Q630" i="17"/>
  <c r="R630" i="17" s="1"/>
  <c r="C630" i="17"/>
  <c r="H630" i="17"/>
  <c r="J631" i="17" s="1"/>
  <c r="S630" i="17"/>
  <c r="G630" i="17"/>
  <c r="F630" i="17"/>
  <c r="D630" i="17"/>
  <c r="K630" i="17"/>
  <c r="L630" i="17" s="1"/>
  <c r="O630" i="17"/>
  <c r="P630" i="17" s="1"/>
  <c r="B631" i="17" s="1"/>
  <c r="F631" i="17" l="1"/>
  <c r="D631" i="17"/>
  <c r="E631" i="17"/>
  <c r="H631" i="17"/>
  <c r="J632" i="17" s="1"/>
  <c r="Q631" i="17"/>
  <c r="R631" i="17" s="1"/>
  <c r="G631" i="17"/>
  <c r="S631" i="17"/>
  <c r="C631" i="17"/>
  <c r="I631" i="17"/>
  <c r="O631" i="17"/>
  <c r="P631" i="17" s="1"/>
  <c r="K631" i="17"/>
  <c r="L631" i="17" s="1"/>
  <c r="M631" i="17"/>
  <c r="N631" i="17" s="1"/>
  <c r="B632" i="17" l="1"/>
  <c r="F632" i="17" s="1"/>
  <c r="M632" i="17" l="1"/>
  <c r="N632" i="17" s="1"/>
  <c r="O632" i="17"/>
  <c r="P632" i="17" s="1"/>
  <c r="C632" i="17"/>
  <c r="H632" i="17"/>
  <c r="J633" i="17" s="1"/>
  <c r="S632" i="17"/>
  <c r="D632" i="17"/>
  <c r="G632" i="17"/>
  <c r="I632" i="17"/>
  <c r="E632" i="17"/>
  <c r="K632" i="17"/>
  <c r="L632" i="17" s="1"/>
  <c r="Q632" i="17"/>
  <c r="R632" i="17" s="1"/>
  <c r="B633" i="17" l="1"/>
  <c r="C633" i="17" s="1"/>
  <c r="Q633" i="17" l="1"/>
  <c r="R633" i="17" s="1"/>
  <c r="H633" i="17"/>
  <c r="J634" i="17" s="1"/>
  <c r="I633" i="17"/>
  <c r="K633" i="17"/>
  <c r="L633" i="17" s="1"/>
  <c r="D633" i="17"/>
  <c r="S633" i="17"/>
  <c r="E633" i="17"/>
  <c r="M633" i="17"/>
  <c r="N633" i="17" s="1"/>
  <c r="O633" i="17"/>
  <c r="P633" i="17" s="1"/>
  <c r="B634" i="17" s="1"/>
  <c r="G633" i="17"/>
  <c r="F633" i="17"/>
  <c r="O634" i="17" l="1"/>
  <c r="P634" i="17" s="1"/>
  <c r="E634" i="17"/>
  <c r="C634" i="17"/>
  <c r="F634" i="17"/>
  <c r="S634" i="17"/>
  <c r="H634" i="17"/>
  <c r="J635" i="17" s="1"/>
  <c r="I634" i="17"/>
  <c r="D634" i="17"/>
  <c r="M634" i="17"/>
  <c r="N634" i="17" s="1"/>
  <c r="K634" i="17"/>
  <c r="L634" i="17" s="1"/>
  <c r="Q634" i="17"/>
  <c r="R634" i="17" s="1"/>
  <c r="X2" i="17" s="1"/>
  <c r="CO3" i="4" s="1"/>
  <c r="CO19" i="4" s="1"/>
  <c r="G634" i="17"/>
  <c r="B635" i="17" l="1"/>
  <c r="CN3" i="4"/>
  <c r="CN19" i="4" s="1"/>
  <c r="CN2" i="7"/>
  <c r="CQ3" i="5"/>
  <c r="CQ19" i="5" s="1"/>
  <c r="CQ3" i="10"/>
  <c r="CQ19" i="10" s="1"/>
  <c r="CN2" i="9"/>
  <c r="CN3" i="15"/>
  <c r="CN19" i="15" s="1"/>
  <c r="CO3" i="5"/>
  <c r="CO19" i="5" s="1"/>
  <c r="CN3" i="9"/>
  <c r="CN19" i="9" s="1"/>
  <c r="CN2" i="4"/>
  <c r="CQ3" i="11"/>
  <c r="CQ19" i="11" s="1"/>
  <c r="CN3" i="6"/>
  <c r="CN19" i="6" s="1"/>
  <c r="CO3" i="12"/>
  <c r="CO19" i="12" s="1"/>
  <c r="CO3" i="10"/>
  <c r="CO19" i="10" s="1"/>
  <c r="CN2" i="10"/>
  <c r="CO3" i="8"/>
  <c r="CO19" i="8" s="1"/>
  <c r="CQ3" i="15"/>
  <c r="CQ19" i="15" s="1"/>
  <c r="CN3" i="11"/>
  <c r="CN19" i="11" s="1"/>
  <c r="CQ3" i="7"/>
  <c r="CQ19" i="7" s="1"/>
  <c r="CN3" i="8"/>
  <c r="CN19" i="8" s="1"/>
  <c r="CO3" i="9"/>
  <c r="CO19" i="9" s="1"/>
  <c r="CN2" i="11"/>
  <c r="CN3" i="7"/>
  <c r="CN19" i="7" s="1"/>
  <c r="CO3" i="11"/>
  <c r="CO19" i="11" s="1"/>
  <c r="CN2" i="5"/>
  <c r="CQ3" i="12"/>
  <c r="CQ19" i="12" s="1"/>
  <c r="CN3" i="5"/>
  <c r="CN19" i="5" s="1"/>
  <c r="CN2" i="6"/>
  <c r="CQ3" i="4"/>
  <c r="CQ19" i="4" s="1"/>
  <c r="CO3" i="15"/>
  <c r="CO19" i="15" s="1"/>
  <c r="CO3" i="7"/>
  <c r="CO19" i="7" s="1"/>
  <c r="CN3" i="12"/>
  <c r="CN19" i="12" s="1"/>
  <c r="AD16" i="17"/>
  <c r="CB31" i="15" s="1"/>
  <c r="CQ3" i="8"/>
  <c r="CQ19" i="8" s="1"/>
  <c r="CN2" i="15"/>
  <c r="CO3" i="6"/>
  <c r="CO19" i="6" s="1"/>
  <c r="CN2" i="8"/>
  <c r="CN2" i="12"/>
  <c r="CN3" i="10"/>
  <c r="CN19" i="10" s="1"/>
  <c r="CQ3" i="6"/>
  <c r="CQ19" i="6" s="1"/>
  <c r="CQ3" i="9"/>
  <c r="CQ19" i="9" s="1"/>
  <c r="Q635" i="17"/>
  <c r="R635" i="17" s="1"/>
  <c r="V28" i="17" s="1"/>
  <c r="O635" i="17"/>
  <c r="P635" i="17" s="1"/>
  <c r="V29" i="17" s="1"/>
  <c r="H635" i="17"/>
  <c r="M635" i="17"/>
  <c r="N635" i="17" s="1"/>
  <c r="K635" i="17"/>
  <c r="L635" i="17" s="1"/>
  <c r="E635" i="17"/>
  <c r="F635" i="17"/>
  <c r="S635" i="17"/>
  <c r="C635" i="17"/>
  <c r="D635" i="17"/>
  <c r="AA23" i="17"/>
  <c r="V15" i="17"/>
  <c r="Y12" i="17"/>
  <c r="I635" i="17"/>
  <c r="G635" i="17" l="1"/>
  <c r="X17" i="17"/>
  <c r="V14" i="17"/>
  <c r="CB31" i="12"/>
  <c r="CB31" i="8"/>
  <c r="CB31" i="10"/>
  <c r="CB31" i="6"/>
  <c r="CB31" i="5"/>
  <c r="CB31" i="7"/>
  <c r="CB31" i="4"/>
  <c r="CB31" i="9"/>
  <c r="AB23" i="17"/>
  <c r="AC26" i="17" s="1"/>
  <c r="AB20" i="17"/>
  <c r="AB26" i="17"/>
  <c r="AA19" i="17"/>
  <c r="AB19" i="17" s="1"/>
  <c r="AC20" i="17" s="1"/>
  <c r="AB24" i="17"/>
  <c r="AB22" i="17"/>
  <c r="AB21" i="17"/>
  <c r="AB25" i="17"/>
  <c r="AP7" i="5" l="1"/>
  <c r="AP8" i="5" s="1"/>
  <c r="AP7" i="15"/>
  <c r="AP8" i="15" s="1"/>
  <c r="AP9" i="15" s="1"/>
  <c r="V27" i="17"/>
  <c r="AP7" i="4"/>
  <c r="AP8" i="4" s="1"/>
  <c r="AP7" i="9"/>
  <c r="AP8" i="9" s="1"/>
  <c r="AP7" i="8"/>
  <c r="AP8" i="8" s="1"/>
  <c r="AP7" i="6"/>
  <c r="AP8" i="6" s="1"/>
  <c r="AP7" i="12"/>
  <c r="AP8" i="12" s="1"/>
  <c r="AP7" i="7"/>
  <c r="AP8" i="7" s="1"/>
  <c r="AP7" i="10"/>
  <c r="AP8" i="10" s="1"/>
  <c r="V25" i="17" l="1"/>
  <c r="V17" i="17"/>
  <c r="AE23" i="17" l="1"/>
  <c r="AE20" i="17"/>
  <c r="E42" i="5"/>
  <c r="E42" i="10"/>
  <c r="E42" i="7"/>
  <c r="AE19" i="17"/>
  <c r="E42" i="11"/>
  <c r="AE24" i="17"/>
  <c r="E42" i="12"/>
  <c r="E42" i="9"/>
  <c r="AF17" i="17"/>
  <c r="AE22" i="17"/>
  <c r="AE26" i="17"/>
  <c r="E42" i="6"/>
  <c r="E42" i="15"/>
  <c r="E42" i="4"/>
  <c r="E42" i="8"/>
  <c r="AE21" i="17"/>
  <c r="AE25" i="17"/>
  <c r="AF25" i="17"/>
  <c r="AG25" i="17" s="1"/>
  <c r="Z25" i="17"/>
  <c r="W25" i="17"/>
  <c r="V22" i="17"/>
  <c r="V26" i="17"/>
  <c r="V24" i="17"/>
  <c r="Z22" i="17" l="1"/>
  <c r="AF22" i="17"/>
  <c r="AG22" i="17" s="1"/>
  <c r="V21" i="17"/>
  <c r="V20" i="17"/>
  <c r="W22" i="17"/>
  <c r="CL24" i="15"/>
  <c r="CL24" i="7"/>
  <c r="CL24" i="12"/>
  <c r="CL24" i="8"/>
  <c r="CL24" i="5"/>
  <c r="CL24" i="10"/>
  <c r="CL24" i="4"/>
  <c r="CL24" i="6"/>
  <c r="CL24" i="9"/>
  <c r="CL20" i="4"/>
  <c r="CL20" i="10"/>
  <c r="CL20" i="15"/>
  <c r="CL20" i="8"/>
  <c r="CL20" i="5"/>
  <c r="CL20" i="7"/>
  <c r="CL20" i="9"/>
  <c r="CL20" i="6"/>
  <c r="CL20" i="12"/>
  <c r="CL18" i="4"/>
  <c r="CL18" i="5"/>
  <c r="CL18" i="9"/>
  <c r="CL18" i="12"/>
  <c r="CL18" i="7"/>
  <c r="CL18" i="8"/>
  <c r="CL18" i="6"/>
  <c r="CL18" i="15"/>
  <c r="CL18" i="10"/>
  <c r="CL19" i="5"/>
  <c r="CL19" i="4"/>
  <c r="CL19" i="10"/>
  <c r="CL19" i="8"/>
  <c r="CL19" i="6"/>
  <c r="CL19" i="9"/>
  <c r="CL19" i="7"/>
  <c r="CL19" i="12"/>
  <c r="CL19" i="15"/>
  <c r="Z26" i="17"/>
  <c r="W26" i="17"/>
  <c r="AF26" i="17"/>
  <c r="AG26" i="17" s="1"/>
  <c r="CL21" i="4"/>
  <c r="CL21" i="12"/>
  <c r="CL21" i="5"/>
  <c r="CL21" i="7"/>
  <c r="CL21" i="10"/>
  <c r="CL21" i="15"/>
  <c r="CL21" i="6"/>
  <c r="CL21" i="9"/>
  <c r="CL21" i="8"/>
  <c r="CL23" i="5"/>
  <c r="CL23" i="4"/>
  <c r="CL23" i="12"/>
  <c r="CL23" i="10"/>
  <c r="CL23" i="7"/>
  <c r="CL23" i="15"/>
  <c r="CL23" i="6"/>
  <c r="CL23" i="8"/>
  <c r="CL23" i="9"/>
  <c r="AF24" i="17"/>
  <c r="AG24" i="17" s="1"/>
  <c r="Z24" i="17"/>
  <c r="V23" i="17"/>
  <c r="W24" i="17"/>
  <c r="AX38" i="12"/>
  <c r="AY38" i="12" s="1"/>
  <c r="AQ33" i="12" s="1"/>
  <c r="T33" i="12" s="1"/>
  <c r="S44" i="12" s="1"/>
  <c r="AX38" i="7"/>
  <c r="AY38" i="7" s="1"/>
  <c r="AQ33" i="7" s="1"/>
  <c r="T33" i="7" s="1"/>
  <c r="S44" i="7" s="1"/>
  <c r="AX38" i="11"/>
  <c r="AY38" i="11" s="1"/>
  <c r="AQ33" i="11" s="1"/>
  <c r="T33" i="11" s="1"/>
  <c r="S44" i="11" s="1"/>
  <c r="AX38" i="15"/>
  <c r="AY38" i="15" s="1"/>
  <c r="AQ33" i="15" s="1"/>
  <c r="T33" i="15" s="1"/>
  <c r="AX38" i="5"/>
  <c r="AY38" i="5" s="1"/>
  <c r="AQ33" i="5" s="1"/>
  <c r="T33" i="5" s="1"/>
  <c r="S44" i="5" s="1"/>
  <c r="AX38" i="10"/>
  <c r="AY38" i="10" s="1"/>
  <c r="AQ33" i="10" s="1"/>
  <c r="T33" i="10" s="1"/>
  <c r="S44" i="10" s="1"/>
  <c r="AX38" i="9"/>
  <c r="AY38" i="9" s="1"/>
  <c r="AQ33" i="9" s="1"/>
  <c r="T33" i="9" s="1"/>
  <c r="S44" i="9" s="1"/>
  <c r="AX38" i="8"/>
  <c r="AY38" i="8" s="1"/>
  <c r="AQ33" i="8" s="1"/>
  <c r="T33" i="8" s="1"/>
  <c r="S44" i="8" s="1"/>
  <c r="AX38" i="4"/>
  <c r="AY38" i="4" s="1"/>
  <c r="AQ33" i="4" s="1"/>
  <c r="T33" i="4" s="1"/>
  <c r="S44" i="4" s="1"/>
  <c r="AX38" i="6"/>
  <c r="AY38" i="6" s="1"/>
  <c r="AQ33" i="6" s="1"/>
  <c r="T33" i="6" s="1"/>
  <c r="S44" i="6" s="1"/>
  <c r="CL25" i="4"/>
  <c r="CL25" i="9"/>
  <c r="CL25" i="6"/>
  <c r="CL25" i="7"/>
  <c r="CL25" i="5"/>
  <c r="CL25" i="8"/>
  <c r="CL25" i="12"/>
  <c r="CL25" i="15"/>
  <c r="CL25" i="10"/>
  <c r="CL22" i="10"/>
  <c r="CL22" i="5"/>
  <c r="CL22" i="6"/>
  <c r="CL22" i="4"/>
  <c r="CL22" i="9"/>
  <c r="CL22" i="7"/>
  <c r="CL22" i="12"/>
  <c r="CL22" i="15"/>
  <c r="CL22" i="8"/>
  <c r="W20" i="17" l="1"/>
  <c r="Z20" i="17"/>
  <c r="V19" i="17"/>
  <c r="AF20" i="17"/>
  <c r="AG20" i="17" s="1"/>
  <c r="AF21" i="17"/>
  <c r="AG21" i="17" s="1"/>
  <c r="W21" i="17"/>
  <c r="Z21" i="17"/>
  <c r="AX37" i="9"/>
  <c r="AY37" i="9" s="1"/>
  <c r="AQ32" i="9" s="1"/>
  <c r="T32" i="9" s="1"/>
  <c r="S43" i="9" s="1"/>
  <c r="AX37" i="12"/>
  <c r="AY37" i="12" s="1"/>
  <c r="AQ32" i="12" s="1"/>
  <c r="T32" i="12" s="1"/>
  <c r="S43" i="12" s="1"/>
  <c r="AX37" i="4"/>
  <c r="AY37" i="4" s="1"/>
  <c r="AQ32" i="4" s="1"/>
  <c r="T32" i="4" s="1"/>
  <c r="S43" i="4" s="1"/>
  <c r="AX37" i="8"/>
  <c r="AY37" i="8" s="1"/>
  <c r="AQ32" i="8" s="1"/>
  <c r="T32" i="8" s="1"/>
  <c r="S43" i="8" s="1"/>
  <c r="AX37" i="5"/>
  <c r="AY37" i="5" s="1"/>
  <c r="AQ32" i="5" s="1"/>
  <c r="T32" i="5" s="1"/>
  <c r="S43" i="5" s="1"/>
  <c r="AX37" i="6"/>
  <c r="AY37" i="6" s="1"/>
  <c r="AQ32" i="6" s="1"/>
  <c r="T32" i="6" s="1"/>
  <c r="S43" i="6" s="1"/>
  <c r="AX37" i="11"/>
  <c r="AY37" i="11" s="1"/>
  <c r="AQ32" i="11" s="1"/>
  <c r="T32" i="11" s="1"/>
  <c r="S43" i="11" s="1"/>
  <c r="AX37" i="7"/>
  <c r="AY37" i="7" s="1"/>
  <c r="AQ32" i="7" s="1"/>
  <c r="T32" i="7" s="1"/>
  <c r="S43" i="7" s="1"/>
  <c r="AX37" i="15"/>
  <c r="AY37" i="15" s="1"/>
  <c r="AQ32" i="15" s="1"/>
  <c r="T32" i="15" s="1"/>
  <c r="AX37" i="10"/>
  <c r="AY37" i="10" s="1"/>
  <c r="AQ32" i="10" s="1"/>
  <c r="T32" i="10" s="1"/>
  <c r="S43" i="10" s="1"/>
  <c r="T57" i="15"/>
  <c r="S44" i="15"/>
  <c r="S69" i="15"/>
  <c r="AX39" i="12"/>
  <c r="AY39" i="12" s="1"/>
  <c r="AQ34" i="12" s="1"/>
  <c r="T48" i="12" s="1"/>
  <c r="S46" i="12" s="1"/>
  <c r="AX39" i="10"/>
  <c r="AY39" i="10" s="1"/>
  <c r="AQ34" i="10" s="1"/>
  <c r="T48" i="10" s="1"/>
  <c r="S46" i="10" s="1"/>
  <c r="AX39" i="11"/>
  <c r="AY39" i="11" s="1"/>
  <c r="AQ34" i="11" s="1"/>
  <c r="T48" i="11" s="1"/>
  <c r="S46" i="11" s="1"/>
  <c r="AX39" i="4"/>
  <c r="AY39" i="4" s="1"/>
  <c r="AQ34" i="4" s="1"/>
  <c r="T48" i="4" s="1"/>
  <c r="S46" i="4" s="1"/>
  <c r="AX39" i="8"/>
  <c r="AY39" i="8" s="1"/>
  <c r="AQ34" i="8" s="1"/>
  <c r="T48" i="8" s="1"/>
  <c r="S46" i="8" s="1"/>
  <c r="AX39" i="6"/>
  <c r="AY39" i="6" s="1"/>
  <c r="AQ34" i="6" s="1"/>
  <c r="T48" i="6" s="1"/>
  <c r="S46" i="6" s="1"/>
  <c r="AX39" i="5"/>
  <c r="AY39" i="5" s="1"/>
  <c r="AQ34" i="5" s="1"/>
  <c r="T48" i="5" s="1"/>
  <c r="S46" i="5" s="1"/>
  <c r="AX39" i="15"/>
  <c r="AY39" i="15" s="1"/>
  <c r="AQ34" i="15" s="1"/>
  <c r="T48" i="15" s="1"/>
  <c r="AX39" i="7"/>
  <c r="AY39" i="7" s="1"/>
  <c r="AQ34" i="7" s="1"/>
  <c r="T48" i="7" s="1"/>
  <c r="S46" i="7" s="1"/>
  <c r="AX39" i="9"/>
  <c r="AY39" i="9" s="1"/>
  <c r="AQ34" i="9" s="1"/>
  <c r="T48" i="9" s="1"/>
  <c r="S46" i="9" s="1"/>
  <c r="Z23" i="17"/>
  <c r="W23" i="17"/>
  <c r="AF23" i="17"/>
  <c r="AG23" i="17" s="1"/>
  <c r="AX35" i="10"/>
  <c r="AY35" i="10" s="1"/>
  <c r="AQ30" i="10" s="1"/>
  <c r="T30" i="10" s="1"/>
  <c r="S41" i="10" s="1"/>
  <c r="AX35" i="15"/>
  <c r="AY35" i="15" s="1"/>
  <c r="AQ30" i="15" s="1"/>
  <c r="T30" i="15" s="1"/>
  <c r="AX35" i="11"/>
  <c r="AY35" i="11" s="1"/>
  <c r="AQ30" i="11" s="1"/>
  <c r="T30" i="11" s="1"/>
  <c r="S41" i="11" s="1"/>
  <c r="AX35" i="12"/>
  <c r="AY35" i="12" s="1"/>
  <c r="AQ30" i="12" s="1"/>
  <c r="T30" i="12" s="1"/>
  <c r="S41" i="12" s="1"/>
  <c r="AX35" i="5"/>
  <c r="AY35" i="5" s="1"/>
  <c r="AQ30" i="5" s="1"/>
  <c r="T30" i="5" s="1"/>
  <c r="S41" i="5" s="1"/>
  <c r="AX35" i="9"/>
  <c r="AY35" i="9" s="1"/>
  <c r="AQ30" i="9" s="1"/>
  <c r="T30" i="9" s="1"/>
  <c r="S41" i="9" s="1"/>
  <c r="AX35" i="6"/>
  <c r="AY35" i="6" s="1"/>
  <c r="AQ30" i="6" s="1"/>
  <c r="T30" i="6" s="1"/>
  <c r="S41" i="6" s="1"/>
  <c r="AX35" i="7"/>
  <c r="AY35" i="7" s="1"/>
  <c r="AQ30" i="7" s="1"/>
  <c r="T30" i="7" s="1"/>
  <c r="S41" i="7" s="1"/>
  <c r="AX35" i="8"/>
  <c r="AY35" i="8" s="1"/>
  <c r="AQ30" i="8" s="1"/>
  <c r="T30" i="8" s="1"/>
  <c r="S41" i="8" s="1"/>
  <c r="AX35" i="4"/>
  <c r="AY35" i="4" s="1"/>
  <c r="AQ30" i="4" s="1"/>
  <c r="T30" i="4" s="1"/>
  <c r="S41" i="4" s="1"/>
  <c r="S41" i="15" l="1"/>
  <c r="T54" i="15"/>
  <c r="S66" i="15"/>
  <c r="AX36" i="5"/>
  <c r="AY36" i="5" s="1"/>
  <c r="AQ31" i="5" s="1"/>
  <c r="T31" i="5" s="1"/>
  <c r="S42" i="5" s="1"/>
  <c r="AX36" i="15"/>
  <c r="AY36" i="15" s="1"/>
  <c r="AQ31" i="15" s="1"/>
  <c r="T31" i="15" s="1"/>
  <c r="AX36" i="12"/>
  <c r="AY36" i="12" s="1"/>
  <c r="AQ31" i="12" s="1"/>
  <c r="T31" i="12" s="1"/>
  <c r="S42" i="12" s="1"/>
  <c r="AX36" i="4"/>
  <c r="AY36" i="4" s="1"/>
  <c r="AQ31" i="4" s="1"/>
  <c r="T31" i="4" s="1"/>
  <c r="S42" i="4" s="1"/>
  <c r="AX36" i="10"/>
  <c r="AY36" i="10" s="1"/>
  <c r="AQ31" i="10" s="1"/>
  <c r="T31" i="10" s="1"/>
  <c r="S42" i="10" s="1"/>
  <c r="AX36" i="8"/>
  <c r="AY36" i="8" s="1"/>
  <c r="AQ31" i="8" s="1"/>
  <c r="T31" i="8" s="1"/>
  <c r="S42" i="8" s="1"/>
  <c r="AX36" i="9"/>
  <c r="AY36" i="9" s="1"/>
  <c r="AQ31" i="9" s="1"/>
  <c r="T31" i="9" s="1"/>
  <c r="S42" i="9" s="1"/>
  <c r="AX36" i="7"/>
  <c r="AY36" i="7" s="1"/>
  <c r="AQ31" i="7" s="1"/>
  <c r="T31" i="7" s="1"/>
  <c r="S42" i="7" s="1"/>
  <c r="AX36" i="11"/>
  <c r="AY36" i="11" s="1"/>
  <c r="AQ31" i="11" s="1"/>
  <c r="T31" i="11" s="1"/>
  <c r="S42" i="11" s="1"/>
  <c r="AX36" i="6"/>
  <c r="AY36" i="6" s="1"/>
  <c r="AQ31" i="6" s="1"/>
  <c r="T31" i="6" s="1"/>
  <c r="S42" i="6" s="1"/>
  <c r="AX34" i="8"/>
  <c r="AY34" i="8" s="1"/>
  <c r="AQ29" i="8" s="1"/>
  <c r="T29" i="8" s="1"/>
  <c r="S40" i="8" s="1"/>
  <c r="AX34" i="12"/>
  <c r="AY34" i="12" s="1"/>
  <c r="AQ29" i="12" s="1"/>
  <c r="T29" i="12" s="1"/>
  <c r="S40" i="12" s="1"/>
  <c r="AX34" i="5"/>
  <c r="AY34" i="5" s="1"/>
  <c r="AQ29" i="5" s="1"/>
  <c r="T29" i="5" s="1"/>
  <c r="S40" i="5" s="1"/>
  <c r="AX34" i="6"/>
  <c r="AY34" i="6" s="1"/>
  <c r="AQ29" i="6" s="1"/>
  <c r="T29" i="6" s="1"/>
  <c r="S40" i="6" s="1"/>
  <c r="AX34" i="4"/>
  <c r="AY34" i="4" s="1"/>
  <c r="AQ29" i="4" s="1"/>
  <c r="T29" i="4" s="1"/>
  <c r="S40" i="4" s="1"/>
  <c r="AX34" i="11"/>
  <c r="AY34" i="11" s="1"/>
  <c r="AQ29" i="11" s="1"/>
  <c r="T29" i="11" s="1"/>
  <c r="S40" i="11" s="1"/>
  <c r="AX34" i="15"/>
  <c r="AY34" i="15" s="1"/>
  <c r="AQ29" i="15" s="1"/>
  <c r="T29" i="15" s="1"/>
  <c r="AX34" i="7"/>
  <c r="AY34" i="7" s="1"/>
  <c r="AQ29" i="7" s="1"/>
  <c r="T29" i="7" s="1"/>
  <c r="S40" i="7" s="1"/>
  <c r="AX34" i="9"/>
  <c r="AY34" i="9" s="1"/>
  <c r="AQ29" i="9" s="1"/>
  <c r="T29" i="9" s="1"/>
  <c r="S40" i="9" s="1"/>
  <c r="AX34" i="10"/>
  <c r="AY34" i="10" s="1"/>
  <c r="AQ29" i="10" s="1"/>
  <c r="T29" i="10" s="1"/>
  <c r="S40" i="10" s="1"/>
  <c r="W19" i="17"/>
  <c r="Z19" i="17"/>
  <c r="Y11" i="17"/>
  <c r="N31" i="2" s="1"/>
  <c r="AF19" i="17"/>
  <c r="AB12" i="17"/>
  <c r="W17" i="17"/>
  <c r="AX33" i="11"/>
  <c r="AY33" i="11" s="1"/>
  <c r="AQ28" i="11" s="1"/>
  <c r="AX33" i="12"/>
  <c r="AY33" i="12" s="1"/>
  <c r="AQ28" i="12" s="1"/>
  <c r="AX33" i="10"/>
  <c r="AY33" i="10" s="1"/>
  <c r="AQ28" i="10" s="1"/>
  <c r="AX33" i="6"/>
  <c r="AY33" i="6" s="1"/>
  <c r="AQ28" i="6" s="1"/>
  <c r="AX33" i="7"/>
  <c r="AY33" i="7" s="1"/>
  <c r="AQ28" i="7" s="1"/>
  <c r="AX33" i="5"/>
  <c r="AY33" i="5" s="1"/>
  <c r="AQ28" i="5" s="1"/>
  <c r="AX33" i="9"/>
  <c r="AY33" i="9" s="1"/>
  <c r="AQ28" i="9" s="1"/>
  <c r="AX33" i="8"/>
  <c r="AY33" i="8" s="1"/>
  <c r="AQ28" i="8" s="1"/>
  <c r="AX33" i="4"/>
  <c r="AY33" i="4" s="1"/>
  <c r="AQ28" i="4" s="1"/>
  <c r="AX33" i="15"/>
  <c r="AY33" i="15" s="1"/>
  <c r="AQ28" i="15" s="1"/>
  <c r="S46" i="15"/>
  <c r="T58" i="15"/>
  <c r="S71" i="15"/>
  <c r="T56" i="15"/>
  <c r="S68" i="15"/>
  <c r="S43" i="15"/>
  <c r="S65" i="15" l="1"/>
  <c r="T53" i="15"/>
  <c r="S40" i="15"/>
  <c r="AW28" i="10"/>
  <c r="AW27" i="10"/>
  <c r="T28" i="10"/>
  <c r="S39" i="10" s="1"/>
  <c r="AW28" i="9"/>
  <c r="T28" i="9"/>
  <c r="S39" i="9" s="1"/>
  <c r="AW27" i="9"/>
  <c r="T28" i="4"/>
  <c r="S39" i="4" s="1"/>
  <c r="AW27" i="4"/>
  <c r="AW28" i="4"/>
  <c r="T28" i="7"/>
  <c r="S39" i="7" s="1"/>
  <c r="AW28" i="7"/>
  <c r="AW27" i="7"/>
  <c r="T28" i="11"/>
  <c r="S39" i="11" s="1"/>
  <c r="AW27" i="11"/>
  <c r="AW28" i="11"/>
  <c r="G14" i="12"/>
  <c r="H14" i="8"/>
  <c r="P14" i="10"/>
  <c r="N14" i="12"/>
  <c r="L14" i="4"/>
  <c r="G14" i="10"/>
  <c r="CH14" i="7"/>
  <c r="H14" i="10"/>
  <c r="J14" i="4"/>
  <c r="O14" i="7"/>
  <c r="L14" i="9"/>
  <c r="H14" i="6"/>
  <c r="N14" i="8"/>
  <c r="P14" i="4"/>
  <c r="I14" i="6"/>
  <c r="N14" i="7"/>
  <c r="N14" i="6"/>
  <c r="R14" i="8"/>
  <c r="J14" i="7"/>
  <c r="G14" i="15"/>
  <c r="CH14" i="15"/>
  <c r="J14" i="12"/>
  <c r="CP14" i="8"/>
  <c r="CP18" i="8" s="1"/>
  <c r="O14" i="12"/>
  <c r="K14" i="10"/>
  <c r="L14" i="6"/>
  <c r="J14" i="10"/>
  <c r="O14" i="15"/>
  <c r="CP14" i="15"/>
  <c r="CP18" i="15" s="1"/>
  <c r="CP26" i="15" s="1"/>
  <c r="L14" i="7"/>
  <c r="I14" i="15"/>
  <c r="CN14" i="4"/>
  <c r="CN18" i="4" s="1"/>
  <c r="J14" i="8"/>
  <c r="H14" i="4"/>
  <c r="O14" i="9"/>
  <c r="CP14" i="6"/>
  <c r="CP18" i="6" s="1"/>
  <c r="CO14" i="9"/>
  <c r="CO18" i="9" s="1"/>
  <c r="R14" i="6"/>
  <c r="K14" i="12"/>
  <c r="P14" i="6"/>
  <c r="CQ14" i="9"/>
  <c r="CQ18" i="9" s="1"/>
  <c r="CQ20" i="9" s="1"/>
  <c r="G14" i="5"/>
  <c r="CP14" i="7"/>
  <c r="CP18" i="7" s="1"/>
  <c r="R14" i="9"/>
  <c r="H14" i="7"/>
  <c r="P14" i="12"/>
  <c r="CQ14" i="7"/>
  <c r="CQ18" i="7" s="1"/>
  <c r="CQ20" i="7" s="1"/>
  <c r="CO14" i="8"/>
  <c r="CO18" i="8" s="1"/>
  <c r="J14" i="11"/>
  <c r="R14" i="5"/>
  <c r="P14" i="11"/>
  <c r="CP14" i="12"/>
  <c r="CP18" i="12" s="1"/>
  <c r="N14" i="9"/>
  <c r="CN14" i="5"/>
  <c r="CN18" i="5" s="1"/>
  <c r="CH14" i="8"/>
  <c r="CH14" i="9"/>
  <c r="I14" i="11"/>
  <c r="O14" i="8"/>
  <c r="O14" i="5"/>
  <c r="O14" i="4"/>
  <c r="P14" i="5"/>
  <c r="O14" i="6"/>
  <c r="N14" i="10"/>
  <c r="L14" i="8"/>
  <c r="CH14" i="6"/>
  <c r="K14" i="9"/>
  <c r="L14" i="5"/>
  <c r="CQ14" i="11"/>
  <c r="CQ18" i="11" s="1"/>
  <c r="CQ20" i="11" s="1"/>
  <c r="CH14" i="5"/>
  <c r="CQ14" i="10"/>
  <c r="CQ18" i="10" s="1"/>
  <c r="CQ20" i="10" s="1"/>
  <c r="CN14" i="15"/>
  <c r="CN18" i="15" s="1"/>
  <c r="H14" i="11"/>
  <c r="K14" i="15"/>
  <c r="P14" i="8"/>
  <c r="N14" i="4"/>
  <c r="J14" i="6"/>
  <c r="CO14" i="15"/>
  <c r="CO18" i="15" s="1"/>
  <c r="CO26" i="15" s="1"/>
  <c r="P14" i="15"/>
  <c r="CN14" i="12"/>
  <c r="CN18" i="12" s="1"/>
  <c r="R14" i="15"/>
  <c r="CH14" i="12"/>
  <c r="K14" i="11"/>
  <c r="I14" i="12"/>
  <c r="CQ14" i="12"/>
  <c r="CQ18" i="12" s="1"/>
  <c r="CQ20" i="12" s="1"/>
  <c r="K14" i="5"/>
  <c r="R14" i="12"/>
  <c r="G14" i="4"/>
  <c r="CH14" i="4"/>
  <c r="O14" i="11"/>
  <c r="I14" i="7"/>
  <c r="J14" i="15"/>
  <c r="I14" i="5"/>
  <c r="CN14" i="9"/>
  <c r="CN18" i="9" s="1"/>
  <c r="CN14" i="8"/>
  <c r="CN18" i="8" s="1"/>
  <c r="CP14" i="11"/>
  <c r="CP18" i="11" s="1"/>
  <c r="L14" i="15"/>
  <c r="CO14" i="11"/>
  <c r="CO18" i="11" s="1"/>
  <c r="CO14" i="7"/>
  <c r="CO18" i="7" s="1"/>
  <c r="CN14" i="6"/>
  <c r="CN18" i="6" s="1"/>
  <c r="CQ14" i="8"/>
  <c r="CQ18" i="8" s="1"/>
  <c r="CQ20" i="8" s="1"/>
  <c r="P14" i="7"/>
  <c r="CP14" i="5"/>
  <c r="CP18" i="5" s="1"/>
  <c r="H14" i="15"/>
  <c r="I14" i="4"/>
  <c r="CN14" i="7"/>
  <c r="CN18" i="7" s="1"/>
  <c r="CQ14" i="5"/>
  <c r="CQ18" i="5" s="1"/>
  <c r="CQ20" i="5" s="1"/>
  <c r="G14" i="7"/>
  <c r="CQ14" i="6"/>
  <c r="CQ18" i="6" s="1"/>
  <c r="CQ20" i="6" s="1"/>
  <c r="CO14" i="6"/>
  <c r="CO18" i="6" s="1"/>
  <c r="CP14" i="4"/>
  <c r="CP18" i="4" s="1"/>
  <c r="N14" i="11"/>
  <c r="I14" i="8"/>
  <c r="I14" i="10"/>
  <c r="CO14" i="10"/>
  <c r="CO18" i="10" s="1"/>
  <c r="K14" i="7"/>
  <c r="CO14" i="4"/>
  <c r="CO18" i="4" s="1"/>
  <c r="CQ14" i="15"/>
  <c r="CQ18" i="15" s="1"/>
  <c r="CP14" i="9"/>
  <c r="CP18" i="9" s="1"/>
  <c r="CH14" i="10"/>
  <c r="K14" i="4"/>
  <c r="L14" i="11"/>
  <c r="H14" i="5"/>
  <c r="G14" i="6"/>
  <c r="P14" i="9"/>
  <c r="H14" i="12"/>
  <c r="J14" i="5"/>
  <c r="G14" i="8"/>
  <c r="L14" i="12"/>
  <c r="CO14" i="12"/>
  <c r="CO18" i="12" s="1"/>
  <c r="L14" i="10"/>
  <c r="CP14" i="10"/>
  <c r="CP18" i="10" s="1"/>
  <c r="CN14" i="11"/>
  <c r="CN18" i="11" s="1"/>
  <c r="J14" i="9"/>
  <c r="R14" i="7"/>
  <c r="CQ14" i="4"/>
  <c r="CQ18" i="4" s="1"/>
  <c r="CQ20" i="4" s="1"/>
  <c r="K14" i="6"/>
  <c r="K14" i="8"/>
  <c r="O14" i="10"/>
  <c r="H14" i="9"/>
  <c r="CH14" i="11"/>
  <c r="CN14" i="10"/>
  <c r="CN18" i="10" s="1"/>
  <c r="G14" i="9"/>
  <c r="R14" i="10"/>
  <c r="N14" i="5"/>
  <c r="N14" i="15"/>
  <c r="I14" i="9"/>
  <c r="G14" i="11"/>
  <c r="R14" i="11"/>
  <c r="CO14" i="5"/>
  <c r="CO18" i="5" s="1"/>
  <c r="R14" i="4"/>
  <c r="AW27" i="8"/>
  <c r="T28" i="8"/>
  <c r="S39" i="8" s="1"/>
  <c r="AW28" i="8"/>
  <c r="AW28" i="6"/>
  <c r="AW27" i="6"/>
  <c r="T28" i="6"/>
  <c r="S39" i="6" s="1"/>
  <c r="T28" i="15"/>
  <c r="AW27" i="15"/>
  <c r="AW28" i="15"/>
  <c r="AW27" i="5"/>
  <c r="AW28" i="5"/>
  <c r="T28" i="5"/>
  <c r="S39" i="5" s="1"/>
  <c r="AW28" i="12"/>
  <c r="T28" i="12"/>
  <c r="S39" i="12" s="1"/>
  <c r="AW27" i="12"/>
  <c r="AC14" i="17"/>
  <c r="AG19" i="17"/>
  <c r="AC15" i="17" s="1"/>
  <c r="AC13" i="17"/>
  <c r="AX32" i="9"/>
  <c r="AY32" i="9" s="1"/>
  <c r="AQ27" i="9" s="1"/>
  <c r="T27" i="9" s="1"/>
  <c r="S38" i="9" s="1"/>
  <c r="AX32" i="7"/>
  <c r="AY32" i="7" s="1"/>
  <c r="AQ27" i="7" s="1"/>
  <c r="T27" i="7" s="1"/>
  <c r="S38" i="7" s="1"/>
  <c r="AX32" i="4"/>
  <c r="AY32" i="4" s="1"/>
  <c r="AQ27" i="4" s="1"/>
  <c r="T27" i="4" s="1"/>
  <c r="S38" i="4" s="1"/>
  <c r="AX32" i="15"/>
  <c r="AY32" i="15" s="1"/>
  <c r="AQ27" i="15" s="1"/>
  <c r="AX32" i="11"/>
  <c r="AY32" i="11" s="1"/>
  <c r="AQ27" i="11" s="1"/>
  <c r="T27" i="11" s="1"/>
  <c r="S38" i="11" s="1"/>
  <c r="AX32" i="6"/>
  <c r="AY32" i="6" s="1"/>
  <c r="AQ27" i="6" s="1"/>
  <c r="T27" i="6" s="1"/>
  <c r="S38" i="6" s="1"/>
  <c r="AX32" i="8"/>
  <c r="AY32" i="8" s="1"/>
  <c r="AQ27" i="8" s="1"/>
  <c r="T27" i="8" s="1"/>
  <c r="S38" i="8" s="1"/>
  <c r="AX32" i="10"/>
  <c r="AY32" i="10" s="1"/>
  <c r="AQ27" i="10" s="1"/>
  <c r="T27" i="10" s="1"/>
  <c r="S38" i="10" s="1"/>
  <c r="AX32" i="5"/>
  <c r="AY32" i="5" s="1"/>
  <c r="AQ27" i="5" s="1"/>
  <c r="T27" i="5" s="1"/>
  <c r="S38" i="5" s="1"/>
  <c r="AX32" i="12"/>
  <c r="AY32" i="12" s="1"/>
  <c r="AQ27" i="12" s="1"/>
  <c r="T27" i="12" s="1"/>
  <c r="S38" i="12" s="1"/>
  <c r="S42" i="15"/>
  <c r="T55" i="15"/>
  <c r="S67" i="15"/>
  <c r="H64" i="9"/>
  <c r="H67" i="6"/>
  <c r="H70" i="10"/>
  <c r="H66" i="15"/>
  <c r="H66" i="9"/>
  <c r="H63" i="4"/>
  <c r="H69" i="10"/>
  <c r="H65" i="15"/>
  <c r="H69" i="7"/>
  <c r="H69" i="8"/>
  <c r="H71" i="9"/>
  <c r="G71" i="15"/>
  <c r="H70" i="9"/>
  <c r="H66" i="4"/>
  <c r="I63" i="15"/>
  <c r="H69" i="4"/>
  <c r="H65" i="9"/>
  <c r="I65" i="15"/>
  <c r="I70" i="15"/>
  <c r="H71" i="10"/>
  <c r="H63" i="7"/>
  <c r="H69" i="9"/>
  <c r="H66" i="6"/>
  <c r="H67" i="11"/>
  <c r="G70" i="15"/>
  <c r="I67" i="15"/>
  <c r="H63" i="10"/>
  <c r="I68" i="15"/>
  <c r="H64" i="6"/>
  <c r="H69" i="11"/>
  <c r="H67" i="15"/>
  <c r="H69" i="15"/>
  <c r="I71" i="15"/>
  <c r="H68" i="15"/>
  <c r="H68" i="11"/>
  <c r="H71" i="7"/>
  <c r="H63" i="15"/>
  <c r="I64" i="15"/>
  <c r="H71" i="15"/>
  <c r="H68" i="9"/>
  <c r="G64" i="15"/>
  <c r="H64" i="5"/>
  <c r="H70" i="12"/>
  <c r="H67" i="8"/>
  <c r="H67" i="9"/>
  <c r="H63" i="9"/>
  <c r="I66" i="15"/>
  <c r="H70" i="15"/>
  <c r="H64" i="15"/>
  <c r="I69" i="15"/>
  <c r="H70" i="5"/>
  <c r="H64" i="12"/>
  <c r="CQ22" i="11" l="1"/>
  <c r="CQ23" i="11" s="1"/>
  <c r="CQ24" i="11" s="1"/>
  <c r="CQ22" i="8"/>
  <c r="CQ23" i="8" s="1"/>
  <c r="CQ24" i="8" s="1"/>
  <c r="CQ22" i="5"/>
  <c r="CQ23" i="5" s="1"/>
  <c r="CQ24" i="5" s="1"/>
  <c r="R18" i="5"/>
  <c r="R27" i="5" s="1"/>
  <c r="R22" i="5"/>
  <c r="R31" i="5" s="1"/>
  <c r="R20" i="5"/>
  <c r="R29" i="5" s="1"/>
  <c r="R24" i="5"/>
  <c r="R47" i="5"/>
  <c r="R48" i="5" s="1"/>
  <c r="R19" i="5"/>
  <c r="R28" i="5" s="1"/>
  <c r="R25" i="5"/>
  <c r="R36" i="5" s="1"/>
  <c r="R21" i="5"/>
  <c r="R30" i="5" s="1"/>
  <c r="R23" i="5"/>
  <c r="R32" i="5" s="1"/>
  <c r="P20" i="12"/>
  <c r="P29" i="12" s="1"/>
  <c r="P40" i="12" s="1"/>
  <c r="P21" i="12"/>
  <c r="P30" i="12" s="1"/>
  <c r="P41" i="12" s="1"/>
  <c r="P18" i="12"/>
  <c r="P27" i="12" s="1"/>
  <c r="P47" i="12"/>
  <c r="P48" i="12" s="1"/>
  <c r="P46" i="12" s="1"/>
  <c r="P25" i="12"/>
  <c r="P36" i="12" s="1"/>
  <c r="P22" i="12"/>
  <c r="P31" i="12" s="1"/>
  <c r="P42" i="12" s="1"/>
  <c r="Q14" i="12"/>
  <c r="P23" i="12"/>
  <c r="P32" i="12" s="1"/>
  <c r="P43" i="12" s="1"/>
  <c r="P24" i="12"/>
  <c r="P33" i="12" s="1"/>
  <c r="P44" i="12" s="1"/>
  <c r="P19" i="12"/>
  <c r="P28" i="12" s="1"/>
  <c r="P39" i="12" s="1"/>
  <c r="AV14" i="12"/>
  <c r="G18" i="5"/>
  <c r="G23" i="5"/>
  <c r="G22" i="5"/>
  <c r="G43" i="5"/>
  <c r="G19" i="5"/>
  <c r="G20" i="5"/>
  <c r="G21" i="5"/>
  <c r="AC74" i="5"/>
  <c r="G47" i="5"/>
  <c r="AC58" i="5"/>
  <c r="AC77" i="5"/>
  <c r="AC61" i="5"/>
  <c r="G39" i="5"/>
  <c r="G24" i="5"/>
  <c r="G40" i="5"/>
  <c r="T7" i="5"/>
  <c r="G42" i="5"/>
  <c r="G25" i="5"/>
  <c r="G36" i="5" s="1"/>
  <c r="G45" i="5"/>
  <c r="G38" i="5"/>
  <c r="AC59" i="5"/>
  <c r="AC60" i="5"/>
  <c r="G41" i="5"/>
  <c r="AC75" i="5"/>
  <c r="G44" i="5"/>
  <c r="G46" i="5"/>
  <c r="AC76" i="5"/>
  <c r="R20" i="6"/>
  <c r="R29" i="6" s="1"/>
  <c r="R47" i="6"/>
  <c r="R48" i="6" s="1"/>
  <c r="R22" i="6"/>
  <c r="R31" i="6" s="1"/>
  <c r="R18" i="6"/>
  <c r="R27" i="6" s="1"/>
  <c r="R25" i="6"/>
  <c r="R36" i="6" s="1"/>
  <c r="R19" i="6"/>
  <c r="R28" i="6" s="1"/>
  <c r="R23" i="6"/>
  <c r="R32" i="6" s="1"/>
  <c r="R24" i="6"/>
  <c r="R21" i="6"/>
  <c r="R30" i="6" s="1"/>
  <c r="H39" i="4"/>
  <c r="H47" i="4"/>
  <c r="H46" i="4"/>
  <c r="H20" i="4"/>
  <c r="H23" i="4"/>
  <c r="H43" i="4"/>
  <c r="H19" i="4"/>
  <c r="H21" i="4"/>
  <c r="H24" i="4"/>
  <c r="H38" i="4"/>
  <c r="H22" i="4"/>
  <c r="H41" i="4"/>
  <c r="H45" i="4"/>
  <c r="H25" i="4"/>
  <c r="H36" i="4" s="1"/>
  <c r="H44" i="4"/>
  <c r="H40" i="4"/>
  <c r="H42" i="4"/>
  <c r="H18" i="4"/>
  <c r="L25" i="7"/>
  <c r="L36" i="7" s="1"/>
  <c r="L23" i="7"/>
  <c r="AC78" i="7"/>
  <c r="AC64" i="7"/>
  <c r="L22" i="7"/>
  <c r="L19" i="7"/>
  <c r="AC62" i="7"/>
  <c r="AC63" i="7"/>
  <c r="CC14" i="7"/>
  <c r="AC80" i="7"/>
  <c r="AC79" i="7"/>
  <c r="L47" i="7"/>
  <c r="L21" i="7"/>
  <c r="L24" i="7"/>
  <c r="M14" i="7"/>
  <c r="L20" i="7"/>
  <c r="L18" i="7"/>
  <c r="L24" i="6"/>
  <c r="L21" i="6"/>
  <c r="L47" i="6"/>
  <c r="AC80" i="6"/>
  <c r="AC64" i="6"/>
  <c r="L19" i="6"/>
  <c r="AC79" i="6"/>
  <c r="L20" i="6"/>
  <c r="AC62" i="6"/>
  <c r="L18" i="6"/>
  <c r="L23" i="6"/>
  <c r="AC78" i="6"/>
  <c r="AC63" i="6"/>
  <c r="L22" i="6"/>
  <c r="M14" i="6"/>
  <c r="CC14" i="6"/>
  <c r="L25" i="6"/>
  <c r="L36" i="6" s="1"/>
  <c r="J22" i="12"/>
  <c r="J42" i="12" s="1"/>
  <c r="CE14" i="12"/>
  <c r="J24" i="12"/>
  <c r="J44" i="12" s="1"/>
  <c r="J19" i="12"/>
  <c r="J39" i="12" s="1"/>
  <c r="J20" i="12"/>
  <c r="J40" i="12" s="1"/>
  <c r="J21" i="12"/>
  <c r="J41" i="12" s="1"/>
  <c r="AC81" i="12"/>
  <c r="AC86" i="12" s="1"/>
  <c r="AE43" i="12" s="1"/>
  <c r="J25" i="12"/>
  <c r="J18" i="12"/>
  <c r="J38" i="12" s="1"/>
  <c r="V7" i="12"/>
  <c r="J23" i="12"/>
  <c r="J43" i="12" s="1"/>
  <c r="AC65" i="12"/>
  <c r="AC70" i="12" s="1"/>
  <c r="AC39" i="12" s="1"/>
  <c r="J47" i="12"/>
  <c r="J46" i="12" s="1"/>
  <c r="R20" i="8"/>
  <c r="R29" i="8" s="1"/>
  <c r="R24" i="8"/>
  <c r="R21" i="8"/>
  <c r="R30" i="8" s="1"/>
  <c r="R23" i="8"/>
  <c r="R32" i="8" s="1"/>
  <c r="R22" i="8"/>
  <c r="R31" i="8" s="1"/>
  <c r="R18" i="8"/>
  <c r="R27" i="8" s="1"/>
  <c r="R19" i="8"/>
  <c r="R28" i="8" s="1"/>
  <c r="R25" i="8"/>
  <c r="R36" i="8" s="1"/>
  <c r="R47" i="8"/>
  <c r="R48" i="8" s="1"/>
  <c r="P25" i="4"/>
  <c r="P36" i="4" s="1"/>
  <c r="P47" i="4"/>
  <c r="P48" i="4" s="1"/>
  <c r="P46" i="4" s="1"/>
  <c r="P20" i="4"/>
  <c r="P29" i="4" s="1"/>
  <c r="P40" i="4" s="1"/>
  <c r="P21" i="4"/>
  <c r="P30" i="4" s="1"/>
  <c r="P41" i="4" s="1"/>
  <c r="P22" i="4"/>
  <c r="P31" i="4" s="1"/>
  <c r="P42" i="4" s="1"/>
  <c r="P24" i="4"/>
  <c r="P33" i="4" s="1"/>
  <c r="P44" i="4" s="1"/>
  <c r="P23" i="4"/>
  <c r="P32" i="4" s="1"/>
  <c r="P43" i="4" s="1"/>
  <c r="Q14" i="4"/>
  <c r="AV14" i="4"/>
  <c r="P19" i="4"/>
  <c r="P28" i="4" s="1"/>
  <c r="P39" i="4" s="1"/>
  <c r="P18" i="4"/>
  <c r="P27" i="4" s="1"/>
  <c r="O23" i="7"/>
  <c r="O32" i="7" s="1"/>
  <c r="O43" i="7" s="1"/>
  <c r="O20" i="7"/>
  <c r="O29" i="7" s="1"/>
  <c r="O40" i="7" s="1"/>
  <c r="O25" i="7"/>
  <c r="O36" i="7" s="1"/>
  <c r="O24" i="7"/>
  <c r="O33" i="7" s="1"/>
  <c r="O44" i="7" s="1"/>
  <c r="O47" i="7"/>
  <c r="O48" i="7" s="1"/>
  <c r="O46" i="7" s="1"/>
  <c r="CG14" i="7"/>
  <c r="O19" i="7"/>
  <c r="O28" i="7" s="1"/>
  <c r="O39" i="7" s="1"/>
  <c r="O18" i="7"/>
  <c r="O27" i="7" s="1"/>
  <c r="O21" i="7"/>
  <c r="O30" i="7" s="1"/>
  <c r="O41" i="7" s="1"/>
  <c r="O22" i="7"/>
  <c r="O31" i="7" s="1"/>
  <c r="O42" i="7" s="1"/>
  <c r="G18" i="10"/>
  <c r="G44" i="10"/>
  <c r="G45" i="10"/>
  <c r="G43" i="10"/>
  <c r="G24" i="10"/>
  <c r="G39" i="10"/>
  <c r="AC77" i="10"/>
  <c r="G25" i="10"/>
  <c r="G36" i="10" s="1"/>
  <c r="G46" i="10"/>
  <c r="G42" i="10"/>
  <c r="AC59" i="10"/>
  <c r="G38" i="10"/>
  <c r="G41" i="10"/>
  <c r="G23" i="10"/>
  <c r="AC60" i="10"/>
  <c r="G21" i="10"/>
  <c r="G20" i="10"/>
  <c r="G19" i="10"/>
  <c r="T7" i="10"/>
  <c r="G47" i="10"/>
  <c r="AC76" i="10"/>
  <c r="AC74" i="10"/>
  <c r="G40" i="10"/>
  <c r="AC75" i="10"/>
  <c r="G22" i="10"/>
  <c r="AC58" i="10"/>
  <c r="AC61" i="10"/>
  <c r="H39" i="8"/>
  <c r="H38" i="8"/>
  <c r="H18" i="8"/>
  <c r="H25" i="8"/>
  <c r="H36" i="8" s="1"/>
  <c r="H40" i="8"/>
  <c r="H24" i="8"/>
  <c r="H45" i="8"/>
  <c r="H44" i="8"/>
  <c r="H19" i="8"/>
  <c r="H21" i="8"/>
  <c r="H42" i="8"/>
  <c r="H41" i="8"/>
  <c r="H23" i="8"/>
  <c r="H20" i="8"/>
  <c r="H43" i="8"/>
  <c r="H47" i="8"/>
  <c r="H22" i="8"/>
  <c r="H46" i="8"/>
  <c r="I45" i="9"/>
  <c r="I19" i="9"/>
  <c r="I46" i="9"/>
  <c r="I38" i="9"/>
  <c r="I23" i="9"/>
  <c r="I20" i="9"/>
  <c r="I42" i="9"/>
  <c r="I21" i="9"/>
  <c r="I41" i="9"/>
  <c r="I44" i="9"/>
  <c r="I24" i="9"/>
  <c r="I39" i="9"/>
  <c r="I22" i="9"/>
  <c r="I18" i="9"/>
  <c r="U7" i="9"/>
  <c r="I47" i="9"/>
  <c r="I40" i="9"/>
  <c r="I25" i="9"/>
  <c r="I36" i="9" s="1"/>
  <c r="I43" i="9"/>
  <c r="O19" i="10"/>
  <c r="O28" i="10" s="1"/>
  <c r="O39" i="10" s="1"/>
  <c r="O21" i="10"/>
  <c r="O30" i="10" s="1"/>
  <c r="O41" i="10" s="1"/>
  <c r="O18" i="10"/>
  <c r="O27" i="10" s="1"/>
  <c r="O24" i="10"/>
  <c r="O33" i="10" s="1"/>
  <c r="O44" i="10" s="1"/>
  <c r="O47" i="10"/>
  <c r="O48" i="10" s="1"/>
  <c r="O46" i="10" s="1"/>
  <c r="O23" i="10"/>
  <c r="O32" i="10" s="1"/>
  <c r="O43" i="10" s="1"/>
  <c r="O20" i="10"/>
  <c r="O29" i="10" s="1"/>
  <c r="O40" i="10" s="1"/>
  <c r="CG14" i="10"/>
  <c r="O22" i="10"/>
  <c r="O31" i="10" s="1"/>
  <c r="O42" i="10" s="1"/>
  <c r="O25" i="10"/>
  <c r="O36" i="10" s="1"/>
  <c r="R47" i="7"/>
  <c r="R48" i="7" s="1"/>
  <c r="R23" i="7"/>
  <c r="R32" i="7" s="1"/>
  <c r="R25" i="7"/>
  <c r="R36" i="7" s="1"/>
  <c r="R20" i="7"/>
  <c r="R29" i="7" s="1"/>
  <c r="R19" i="7"/>
  <c r="R28" i="7" s="1"/>
  <c r="R24" i="7"/>
  <c r="R22" i="7"/>
  <c r="R31" i="7" s="1"/>
  <c r="R18" i="7"/>
  <c r="R27" i="7" s="1"/>
  <c r="R21" i="7"/>
  <c r="R30" i="7" s="1"/>
  <c r="J23" i="5"/>
  <c r="J43" i="5" s="1"/>
  <c r="J20" i="5"/>
  <c r="J40" i="5" s="1"/>
  <c r="J22" i="5"/>
  <c r="J42" i="5" s="1"/>
  <c r="AC81" i="5"/>
  <c r="AC86" i="5" s="1"/>
  <c r="AE43" i="5" s="1"/>
  <c r="J21" i="5"/>
  <c r="J41" i="5" s="1"/>
  <c r="AC65" i="5"/>
  <c r="AC70" i="5" s="1"/>
  <c r="AC39" i="5" s="1"/>
  <c r="J24" i="5"/>
  <c r="J44" i="5" s="1"/>
  <c r="J19" i="5"/>
  <c r="J39" i="5" s="1"/>
  <c r="CE14" i="5"/>
  <c r="V7" i="5"/>
  <c r="J47" i="5"/>
  <c r="J46" i="5" s="1"/>
  <c r="J25" i="5"/>
  <c r="J18" i="5"/>
  <c r="J38" i="5" s="1"/>
  <c r="H43" i="5"/>
  <c r="H45" i="5"/>
  <c r="H18" i="5"/>
  <c r="H22" i="5"/>
  <c r="H39" i="5"/>
  <c r="H20" i="5"/>
  <c r="H40" i="5"/>
  <c r="H44" i="5"/>
  <c r="H24" i="5"/>
  <c r="H42" i="5"/>
  <c r="H41" i="5"/>
  <c r="H25" i="5"/>
  <c r="H36" i="5" s="1"/>
  <c r="H21" i="5"/>
  <c r="H19" i="5"/>
  <c r="H38" i="5"/>
  <c r="H23" i="5"/>
  <c r="H46" i="5"/>
  <c r="H47" i="5"/>
  <c r="I23" i="7"/>
  <c r="I45" i="7"/>
  <c r="I43" i="7"/>
  <c r="I18" i="7"/>
  <c r="I44" i="7"/>
  <c r="I21" i="7"/>
  <c r="I24" i="7"/>
  <c r="U7" i="7"/>
  <c r="I40" i="7"/>
  <c r="I46" i="7"/>
  <c r="I42" i="7"/>
  <c r="I20" i="7"/>
  <c r="I25" i="7"/>
  <c r="I36" i="7" s="1"/>
  <c r="I22" i="7"/>
  <c r="I39" i="7"/>
  <c r="I41" i="7"/>
  <c r="I47" i="7"/>
  <c r="I19" i="7"/>
  <c r="I38" i="7"/>
  <c r="R47" i="12"/>
  <c r="R48" i="12" s="1"/>
  <c r="R25" i="12"/>
  <c r="R36" i="12" s="1"/>
  <c r="R19" i="12"/>
  <c r="R28" i="12" s="1"/>
  <c r="R23" i="12"/>
  <c r="R32" i="12" s="1"/>
  <c r="R21" i="12"/>
  <c r="R30" i="12" s="1"/>
  <c r="R22" i="12"/>
  <c r="R31" i="12" s="1"/>
  <c r="R20" i="12"/>
  <c r="R29" i="12" s="1"/>
  <c r="R24" i="12"/>
  <c r="R18" i="12"/>
  <c r="R27" i="12" s="1"/>
  <c r="K34" i="11"/>
  <c r="K22" i="11"/>
  <c r="K24" i="11"/>
  <c r="K35" i="11"/>
  <c r="K19" i="11"/>
  <c r="K25" i="11"/>
  <c r="K36" i="11" s="1"/>
  <c r="CF14" i="11"/>
  <c r="K20" i="11"/>
  <c r="U22" i="11" s="1"/>
  <c r="K23" i="11"/>
  <c r="K21" i="11"/>
  <c r="T24" i="11" s="1"/>
  <c r="W7" i="11"/>
  <c r="K18" i="11"/>
  <c r="AC66" i="11"/>
  <c r="AC71" i="11" s="1"/>
  <c r="AC40" i="11" s="1"/>
  <c r="AC82" i="11"/>
  <c r="AC87" i="11" s="1"/>
  <c r="K47" i="11"/>
  <c r="P20" i="15"/>
  <c r="P29" i="15" s="1"/>
  <c r="Q14" i="15"/>
  <c r="P22" i="15"/>
  <c r="P31" i="15" s="1"/>
  <c r="P18" i="15"/>
  <c r="P27" i="15" s="1"/>
  <c r="AV14" i="15"/>
  <c r="P23" i="15"/>
  <c r="P32" i="15" s="1"/>
  <c r="P19" i="15"/>
  <c r="P28" i="15" s="1"/>
  <c r="P25" i="15"/>
  <c r="P36" i="15" s="1"/>
  <c r="P47" i="15"/>
  <c r="P48" i="15" s="1"/>
  <c r="P21" i="15"/>
  <c r="P30" i="15" s="1"/>
  <c r="P24" i="15"/>
  <c r="P33" i="15" s="1"/>
  <c r="P18" i="8"/>
  <c r="P27" i="8" s="1"/>
  <c r="P21" i="8"/>
  <c r="P30" i="8" s="1"/>
  <c r="P41" i="8" s="1"/>
  <c r="AV14" i="8"/>
  <c r="P20" i="8"/>
  <c r="P29" i="8" s="1"/>
  <c r="P40" i="8" s="1"/>
  <c r="Q14" i="8"/>
  <c r="P22" i="8"/>
  <c r="P31" i="8" s="1"/>
  <c r="P42" i="8" s="1"/>
  <c r="P24" i="8"/>
  <c r="P33" i="8" s="1"/>
  <c r="P44" i="8" s="1"/>
  <c r="P25" i="8"/>
  <c r="P36" i="8" s="1"/>
  <c r="P19" i="8"/>
  <c r="P28" i="8" s="1"/>
  <c r="P39" i="8" s="1"/>
  <c r="P23" i="8"/>
  <c r="P32" i="8" s="1"/>
  <c r="P43" i="8" s="1"/>
  <c r="P47" i="8"/>
  <c r="P48" i="8" s="1"/>
  <c r="P46" i="8" s="1"/>
  <c r="AC66" i="9"/>
  <c r="AC71" i="9" s="1"/>
  <c r="AC40" i="9" s="1"/>
  <c r="K35" i="9"/>
  <c r="K21" i="9"/>
  <c r="T24" i="9" s="1"/>
  <c r="K18" i="9"/>
  <c r="K34" i="9"/>
  <c r="K47" i="9"/>
  <c r="K24" i="9"/>
  <c r="CF14" i="9"/>
  <c r="K22" i="9"/>
  <c r="K19" i="9"/>
  <c r="K20" i="9"/>
  <c r="U22" i="9" s="1"/>
  <c r="W7" i="9"/>
  <c r="AC82" i="9"/>
  <c r="AC87" i="9" s="1"/>
  <c r="K23" i="9"/>
  <c r="K25" i="9"/>
  <c r="K36" i="9" s="1"/>
  <c r="O20" i="8"/>
  <c r="O29" i="8" s="1"/>
  <c r="O40" i="8" s="1"/>
  <c r="O23" i="8"/>
  <c r="O32" i="8" s="1"/>
  <c r="O43" i="8" s="1"/>
  <c r="O24" i="8"/>
  <c r="O33" i="8" s="1"/>
  <c r="O44" i="8" s="1"/>
  <c r="O21" i="8"/>
  <c r="O30" i="8" s="1"/>
  <c r="O41" i="8" s="1"/>
  <c r="CG14" i="8"/>
  <c r="O47" i="8"/>
  <c r="O48" i="8" s="1"/>
  <c r="O46" i="8" s="1"/>
  <c r="O19" i="8"/>
  <c r="O28" i="8" s="1"/>
  <c r="O39" i="8" s="1"/>
  <c r="O18" i="8"/>
  <c r="O27" i="8" s="1"/>
  <c r="O25" i="8"/>
  <c r="O36" i="8" s="1"/>
  <c r="O22" i="8"/>
  <c r="O31" i="8" s="1"/>
  <c r="O42" i="8" s="1"/>
  <c r="R24" i="4"/>
  <c r="R47" i="4"/>
  <c r="R48" i="4" s="1"/>
  <c r="R19" i="4"/>
  <c r="R28" i="4" s="1"/>
  <c r="R23" i="4"/>
  <c r="R32" i="4" s="1"/>
  <c r="R21" i="4"/>
  <c r="R30" i="4" s="1"/>
  <c r="R25" i="4"/>
  <c r="R36" i="4" s="1"/>
  <c r="R20" i="4"/>
  <c r="R29" i="4" s="1"/>
  <c r="R22" i="4"/>
  <c r="R31" i="4" s="1"/>
  <c r="R18" i="4"/>
  <c r="R27" i="4" s="1"/>
  <c r="G45" i="9"/>
  <c r="G47" i="9"/>
  <c r="AC60" i="9"/>
  <c r="G22" i="9"/>
  <c r="G21" i="9"/>
  <c r="T7" i="9"/>
  <c r="G46" i="9"/>
  <c r="G24" i="9"/>
  <c r="AC74" i="9"/>
  <c r="G41" i="9"/>
  <c r="AC59" i="9"/>
  <c r="G44" i="9"/>
  <c r="G25" i="9"/>
  <c r="G36" i="9" s="1"/>
  <c r="G38" i="9"/>
  <c r="G18" i="9"/>
  <c r="G39" i="9"/>
  <c r="G23" i="9"/>
  <c r="AC61" i="9"/>
  <c r="G42" i="9"/>
  <c r="AC58" i="9"/>
  <c r="G43" i="9"/>
  <c r="G19" i="9"/>
  <c r="AC75" i="9"/>
  <c r="G20" i="9"/>
  <c r="AC76" i="9"/>
  <c r="AC77" i="9"/>
  <c r="G40" i="9"/>
  <c r="L25" i="10"/>
  <c r="L36" i="10" s="1"/>
  <c r="AC63" i="10"/>
  <c r="AC62" i="10"/>
  <c r="AC64" i="10"/>
  <c r="L23" i="10"/>
  <c r="AC80" i="10"/>
  <c r="L47" i="10"/>
  <c r="L19" i="10"/>
  <c r="M14" i="10"/>
  <c r="L22" i="10"/>
  <c r="L24" i="10"/>
  <c r="L20" i="10"/>
  <c r="L18" i="10"/>
  <c r="AC78" i="10"/>
  <c r="L21" i="10"/>
  <c r="CC14" i="10"/>
  <c r="AC79" i="10"/>
  <c r="O25" i="6"/>
  <c r="O36" i="6" s="1"/>
  <c r="O23" i="6"/>
  <c r="O32" i="6" s="1"/>
  <c r="O43" i="6" s="1"/>
  <c r="O22" i="6"/>
  <c r="O31" i="6" s="1"/>
  <c r="O42" i="6" s="1"/>
  <c r="O21" i="6"/>
  <c r="O30" i="6" s="1"/>
  <c r="O41" i="6" s="1"/>
  <c r="CG14" i="6"/>
  <c r="O20" i="6"/>
  <c r="O29" i="6" s="1"/>
  <c r="O40" i="6" s="1"/>
  <c r="O24" i="6"/>
  <c r="O33" i="6" s="1"/>
  <c r="O44" i="6" s="1"/>
  <c r="O18" i="6"/>
  <c r="O27" i="6" s="1"/>
  <c r="O19" i="6"/>
  <c r="O28" i="6" s="1"/>
  <c r="O39" i="6" s="1"/>
  <c r="O47" i="6"/>
  <c r="O48" i="6" s="1"/>
  <c r="O46" i="6" s="1"/>
  <c r="S39" i="15"/>
  <c r="S64" i="15"/>
  <c r="T52" i="15"/>
  <c r="N24" i="15"/>
  <c r="N33" i="15" s="1"/>
  <c r="N21" i="15"/>
  <c r="N30" i="15" s="1"/>
  <c r="N23" i="15"/>
  <c r="N32" i="15" s="1"/>
  <c r="N22" i="15"/>
  <c r="N31" i="15" s="1"/>
  <c r="N47" i="15"/>
  <c r="N48" i="15" s="1"/>
  <c r="N18" i="15"/>
  <c r="N27" i="15" s="1"/>
  <c r="N20" i="15"/>
  <c r="N29" i="15" s="1"/>
  <c r="N19" i="15"/>
  <c r="N28" i="15" s="1"/>
  <c r="N25" i="15"/>
  <c r="N36" i="15" s="1"/>
  <c r="CQ22" i="10"/>
  <c r="CQ23" i="10" s="1"/>
  <c r="CQ24" i="10" s="1"/>
  <c r="AC82" i="8"/>
  <c r="AC87" i="8" s="1"/>
  <c r="K34" i="8"/>
  <c r="K47" i="8"/>
  <c r="K21" i="8"/>
  <c r="T24" i="8" s="1"/>
  <c r="K35" i="8"/>
  <c r="K23" i="8"/>
  <c r="K20" i="8"/>
  <c r="U22" i="8" s="1"/>
  <c r="K19" i="8"/>
  <c r="AC66" i="8"/>
  <c r="AC71" i="8" s="1"/>
  <c r="AC40" i="8" s="1"/>
  <c r="K18" i="8"/>
  <c r="CF14" i="8"/>
  <c r="K24" i="8"/>
  <c r="K25" i="8"/>
  <c r="K36" i="8" s="1"/>
  <c r="W7" i="8"/>
  <c r="K22" i="8"/>
  <c r="V7" i="9"/>
  <c r="J25" i="9"/>
  <c r="J20" i="9"/>
  <c r="J40" i="9" s="1"/>
  <c r="J22" i="9"/>
  <c r="J42" i="9" s="1"/>
  <c r="J24" i="9"/>
  <c r="J44" i="9" s="1"/>
  <c r="J23" i="9"/>
  <c r="J43" i="9" s="1"/>
  <c r="AC65" i="9"/>
  <c r="AC70" i="9" s="1"/>
  <c r="AC39" i="9" s="1"/>
  <c r="J18" i="9"/>
  <c r="J38" i="9" s="1"/>
  <c r="CE14" i="9"/>
  <c r="J47" i="9"/>
  <c r="J46" i="9" s="1"/>
  <c r="J19" i="9"/>
  <c r="J39" i="9" s="1"/>
  <c r="AC81" i="9"/>
  <c r="AC86" i="9" s="1"/>
  <c r="AE43" i="9" s="1"/>
  <c r="J21" i="9"/>
  <c r="J41" i="9" s="1"/>
  <c r="H42" i="12"/>
  <c r="H46" i="12"/>
  <c r="H38" i="12"/>
  <c r="H43" i="12"/>
  <c r="H24" i="12"/>
  <c r="H41" i="12"/>
  <c r="H44" i="12"/>
  <c r="H39" i="12"/>
  <c r="H20" i="12"/>
  <c r="H25" i="12"/>
  <c r="H36" i="12" s="1"/>
  <c r="H40" i="12"/>
  <c r="H19" i="12"/>
  <c r="H18" i="12"/>
  <c r="H47" i="12"/>
  <c r="H23" i="12"/>
  <c r="H22" i="12"/>
  <c r="H45" i="12"/>
  <c r="H21" i="12"/>
  <c r="L23" i="11"/>
  <c r="AC80" i="11"/>
  <c r="L19" i="11"/>
  <c r="L24" i="11"/>
  <c r="AC63" i="11"/>
  <c r="L22" i="11"/>
  <c r="AC79" i="11"/>
  <c r="M14" i="11"/>
  <c r="AC64" i="11"/>
  <c r="L18" i="11"/>
  <c r="L25" i="11"/>
  <c r="L36" i="11" s="1"/>
  <c r="CC14" i="11"/>
  <c r="AC78" i="11"/>
  <c r="AC62" i="11"/>
  <c r="L21" i="11"/>
  <c r="L20" i="11"/>
  <c r="L47" i="11"/>
  <c r="CQ20" i="15"/>
  <c r="CQ26" i="15"/>
  <c r="I23" i="10"/>
  <c r="I25" i="10"/>
  <c r="I36" i="10" s="1"/>
  <c r="I39" i="10"/>
  <c r="I47" i="10"/>
  <c r="I20" i="10"/>
  <c r="I45" i="10"/>
  <c r="I43" i="10"/>
  <c r="I22" i="10"/>
  <c r="I41" i="10"/>
  <c r="I46" i="10"/>
  <c r="I40" i="10"/>
  <c r="I42" i="10"/>
  <c r="I21" i="10"/>
  <c r="I19" i="10"/>
  <c r="I44" i="10"/>
  <c r="I24" i="10"/>
  <c r="I38" i="10"/>
  <c r="I18" i="10"/>
  <c r="U7" i="10"/>
  <c r="CQ22" i="7"/>
  <c r="CQ23" i="7" s="1"/>
  <c r="CQ24" i="7" s="1"/>
  <c r="P23" i="7"/>
  <c r="P32" i="7" s="1"/>
  <c r="P43" i="7" s="1"/>
  <c r="P19" i="7"/>
  <c r="P28" i="7" s="1"/>
  <c r="P39" i="7" s="1"/>
  <c r="AV14" i="7"/>
  <c r="P18" i="7"/>
  <c r="P27" i="7" s="1"/>
  <c r="P47" i="7"/>
  <c r="P48" i="7" s="1"/>
  <c r="P46" i="7" s="1"/>
  <c r="P24" i="7"/>
  <c r="P33" i="7" s="1"/>
  <c r="P44" i="7" s="1"/>
  <c r="P21" i="7"/>
  <c r="P30" i="7" s="1"/>
  <c r="P41" i="7" s="1"/>
  <c r="P25" i="7"/>
  <c r="P36" i="7" s="1"/>
  <c r="P22" i="7"/>
  <c r="P31" i="7" s="1"/>
  <c r="P42" i="7" s="1"/>
  <c r="Q14" i="7"/>
  <c r="P20" i="7"/>
  <c r="P29" i="7" s="1"/>
  <c r="P40" i="7" s="1"/>
  <c r="CQ22" i="9"/>
  <c r="CQ23" i="9" s="1"/>
  <c r="CQ24" i="9" s="1"/>
  <c r="O25" i="11"/>
  <c r="O36" i="11" s="1"/>
  <c r="O18" i="11"/>
  <c r="O27" i="11" s="1"/>
  <c r="O20" i="11"/>
  <c r="O29" i="11" s="1"/>
  <c r="O40" i="11" s="1"/>
  <c r="O47" i="11"/>
  <c r="O48" i="11" s="1"/>
  <c r="O46" i="11" s="1"/>
  <c r="O23" i="11"/>
  <c r="O32" i="11" s="1"/>
  <c r="O43" i="11" s="1"/>
  <c r="O21" i="11"/>
  <c r="O30" i="11" s="1"/>
  <c r="O41" i="11" s="1"/>
  <c r="O24" i="11"/>
  <c r="O33" i="11" s="1"/>
  <c r="O44" i="11" s="1"/>
  <c r="O19" i="11"/>
  <c r="O28" i="11" s="1"/>
  <c r="O39" i="11" s="1"/>
  <c r="CG14" i="11"/>
  <c r="O22" i="11"/>
  <c r="O31" i="11" s="1"/>
  <c r="O42" i="11" s="1"/>
  <c r="K25" i="5"/>
  <c r="K36" i="5" s="1"/>
  <c r="CF14" i="5"/>
  <c r="K34" i="5"/>
  <c r="K23" i="5"/>
  <c r="K20" i="5"/>
  <c r="U22" i="5" s="1"/>
  <c r="K18" i="5"/>
  <c r="AC66" i="5"/>
  <c r="AC71" i="5" s="1"/>
  <c r="AC40" i="5" s="1"/>
  <c r="K19" i="5"/>
  <c r="K22" i="5"/>
  <c r="K35" i="5"/>
  <c r="AC82" i="5"/>
  <c r="AC87" i="5" s="1"/>
  <c r="K21" i="5"/>
  <c r="T24" i="5" s="1"/>
  <c r="K47" i="5"/>
  <c r="W7" i="5"/>
  <c r="K24" i="5"/>
  <c r="CH22" i="12"/>
  <c r="CH21" i="12"/>
  <c r="CH25" i="12"/>
  <c r="CH24" i="12"/>
  <c r="CH19" i="12"/>
  <c r="CH20" i="12"/>
  <c r="CH18" i="12"/>
  <c r="CH23" i="12"/>
  <c r="K24" i="15"/>
  <c r="K22" i="15"/>
  <c r="AC66" i="15"/>
  <c r="AC71" i="15" s="1"/>
  <c r="AC40" i="15" s="1"/>
  <c r="K18" i="15"/>
  <c r="CF14" i="15"/>
  <c r="K19" i="15"/>
  <c r="K47" i="15"/>
  <c r="K34" i="15"/>
  <c r="K20" i="15"/>
  <c r="U22" i="15" s="1"/>
  <c r="K25" i="15"/>
  <c r="K36" i="15" s="1"/>
  <c r="K35" i="15"/>
  <c r="K23" i="15"/>
  <c r="W7" i="15"/>
  <c r="K21" i="15"/>
  <c r="T24" i="15" s="1"/>
  <c r="AC82" i="15"/>
  <c r="AC87" i="15" s="1"/>
  <c r="CH24" i="5"/>
  <c r="CH25" i="5"/>
  <c r="CH18" i="5"/>
  <c r="CH23" i="5"/>
  <c r="CH22" i="5"/>
  <c r="CH19" i="5"/>
  <c r="CH21" i="5"/>
  <c r="CH20" i="5"/>
  <c r="CH19" i="6"/>
  <c r="CH18" i="6"/>
  <c r="CH25" i="6"/>
  <c r="CH20" i="6"/>
  <c r="CH22" i="6"/>
  <c r="CH21" i="6"/>
  <c r="CH23" i="6"/>
  <c r="CH24" i="6"/>
  <c r="P23" i="5"/>
  <c r="P32" i="5" s="1"/>
  <c r="P43" i="5" s="1"/>
  <c r="P24" i="5"/>
  <c r="P33" i="5" s="1"/>
  <c r="P44" i="5" s="1"/>
  <c r="P25" i="5"/>
  <c r="P36" i="5" s="1"/>
  <c r="P21" i="5"/>
  <c r="P30" i="5" s="1"/>
  <c r="P41" i="5" s="1"/>
  <c r="Q14" i="5"/>
  <c r="P20" i="5"/>
  <c r="P29" i="5" s="1"/>
  <c r="P40" i="5" s="1"/>
  <c r="AV14" i="5"/>
  <c r="P47" i="5"/>
  <c r="P48" i="5" s="1"/>
  <c r="P46" i="5" s="1"/>
  <c r="P19" i="5"/>
  <c r="P28" i="5" s="1"/>
  <c r="P39" i="5" s="1"/>
  <c r="P18" i="5"/>
  <c r="P27" i="5" s="1"/>
  <c r="P22" i="5"/>
  <c r="P31" i="5" s="1"/>
  <c r="P42" i="5" s="1"/>
  <c r="I39" i="11"/>
  <c r="I25" i="11"/>
  <c r="I36" i="11" s="1"/>
  <c r="I20" i="11"/>
  <c r="I18" i="11"/>
  <c r="I46" i="11"/>
  <c r="I38" i="11"/>
  <c r="I44" i="11"/>
  <c r="I42" i="11"/>
  <c r="I45" i="11"/>
  <c r="I22" i="11"/>
  <c r="I19" i="11"/>
  <c r="I47" i="11"/>
  <c r="I43" i="11"/>
  <c r="I23" i="11"/>
  <c r="U7" i="11"/>
  <c r="I24" i="11"/>
  <c r="I40" i="11"/>
  <c r="I41" i="11"/>
  <c r="I21" i="11"/>
  <c r="N24" i="9"/>
  <c r="N33" i="9" s="1"/>
  <c r="N44" i="9" s="1"/>
  <c r="N18" i="9"/>
  <c r="N27" i="9" s="1"/>
  <c r="N20" i="9"/>
  <c r="N29" i="9" s="1"/>
  <c r="N40" i="9" s="1"/>
  <c r="N47" i="9"/>
  <c r="N48" i="9" s="1"/>
  <c r="N46" i="9" s="1"/>
  <c r="N22" i="9"/>
  <c r="N31" i="9" s="1"/>
  <c r="N42" i="9" s="1"/>
  <c r="N21" i="9"/>
  <c r="N30" i="9" s="1"/>
  <c r="N41" i="9" s="1"/>
  <c r="N23" i="9"/>
  <c r="N32" i="9" s="1"/>
  <c r="N43" i="9" s="1"/>
  <c r="N25" i="9"/>
  <c r="N36" i="9" s="1"/>
  <c r="N19" i="9"/>
  <c r="N28" i="9" s="1"/>
  <c r="N39" i="9" s="1"/>
  <c r="J20" i="11"/>
  <c r="J40" i="11" s="1"/>
  <c r="J47" i="11"/>
  <c r="J46" i="11" s="1"/>
  <c r="CE14" i="11"/>
  <c r="J25" i="11"/>
  <c r="J21" i="11"/>
  <c r="J41" i="11" s="1"/>
  <c r="V7" i="11"/>
  <c r="AC65" i="11"/>
  <c r="AC70" i="11" s="1"/>
  <c r="AC39" i="11" s="1"/>
  <c r="J23" i="11"/>
  <c r="J43" i="11" s="1"/>
  <c r="J18" i="11"/>
  <c r="J38" i="11" s="1"/>
  <c r="J22" i="11"/>
  <c r="J42" i="11" s="1"/>
  <c r="AC81" i="11"/>
  <c r="AC86" i="11" s="1"/>
  <c r="AE43" i="11" s="1"/>
  <c r="J24" i="11"/>
  <c r="J44" i="11" s="1"/>
  <c r="J19" i="11"/>
  <c r="J39" i="11" s="1"/>
  <c r="H24" i="7"/>
  <c r="H44" i="7"/>
  <c r="H21" i="7"/>
  <c r="H47" i="7"/>
  <c r="H18" i="7"/>
  <c r="H43" i="7"/>
  <c r="H38" i="7"/>
  <c r="H41" i="7"/>
  <c r="H23" i="7"/>
  <c r="H39" i="7"/>
  <c r="H46" i="7"/>
  <c r="H45" i="7"/>
  <c r="H20" i="7"/>
  <c r="H40" i="7"/>
  <c r="H19" i="7"/>
  <c r="H22" i="7"/>
  <c r="H25" i="7"/>
  <c r="H36" i="7" s="1"/>
  <c r="H42" i="7"/>
  <c r="V7" i="8"/>
  <c r="CE14" i="8"/>
  <c r="J23" i="8"/>
  <c r="J43" i="8" s="1"/>
  <c r="J25" i="8"/>
  <c r="J19" i="8"/>
  <c r="J39" i="8" s="1"/>
  <c r="J18" i="8"/>
  <c r="J38" i="8" s="1"/>
  <c r="J21" i="8"/>
  <c r="J41" i="8" s="1"/>
  <c r="AC65" i="8"/>
  <c r="AC70" i="8" s="1"/>
  <c r="AC39" i="8" s="1"/>
  <c r="J47" i="8"/>
  <c r="J46" i="8" s="1"/>
  <c r="AC81" i="8"/>
  <c r="AC86" i="8" s="1"/>
  <c r="AE43" i="8" s="1"/>
  <c r="J22" i="8"/>
  <c r="J42" i="8" s="1"/>
  <c r="J24" i="8"/>
  <c r="J44" i="8" s="1"/>
  <c r="J20" i="8"/>
  <c r="J40" i="8" s="1"/>
  <c r="K35" i="10"/>
  <c r="CF14" i="10"/>
  <c r="K22" i="10"/>
  <c r="K24" i="10"/>
  <c r="AC66" i="10"/>
  <c r="AC71" i="10" s="1"/>
  <c r="AC40" i="10" s="1"/>
  <c r="K23" i="10"/>
  <c r="K18" i="10"/>
  <c r="K20" i="10"/>
  <c r="U22" i="10" s="1"/>
  <c r="K47" i="10"/>
  <c r="K34" i="10"/>
  <c r="K25" i="10"/>
  <c r="K36" i="10" s="1"/>
  <c r="K19" i="10"/>
  <c r="K21" i="10"/>
  <c r="T24" i="10" s="1"/>
  <c r="W7" i="10"/>
  <c r="AC82" i="10"/>
  <c r="AC87" i="10" s="1"/>
  <c r="CH21" i="15"/>
  <c r="CH25" i="15"/>
  <c r="CH24" i="15"/>
  <c r="CH19" i="15"/>
  <c r="CH23" i="15"/>
  <c r="CH20" i="15"/>
  <c r="CH22" i="15"/>
  <c r="CH18" i="15"/>
  <c r="N47" i="6"/>
  <c r="N48" i="6" s="1"/>
  <c r="N46" i="6" s="1"/>
  <c r="N25" i="6"/>
  <c r="N36" i="6" s="1"/>
  <c r="N22" i="6"/>
  <c r="N31" i="6" s="1"/>
  <c r="N42" i="6" s="1"/>
  <c r="N20" i="6"/>
  <c r="N29" i="6" s="1"/>
  <c r="N40" i="6" s="1"/>
  <c r="N18" i="6"/>
  <c r="N27" i="6" s="1"/>
  <c r="N23" i="6"/>
  <c r="N32" i="6" s="1"/>
  <c r="N43" i="6" s="1"/>
  <c r="N19" i="6"/>
  <c r="N28" i="6" s="1"/>
  <c r="N39" i="6" s="1"/>
  <c r="N24" i="6"/>
  <c r="N33" i="6" s="1"/>
  <c r="N44" i="6" s="1"/>
  <c r="N21" i="6"/>
  <c r="N30" i="6" s="1"/>
  <c r="N41" i="6" s="1"/>
  <c r="N22" i="8"/>
  <c r="N31" i="8" s="1"/>
  <c r="N42" i="8" s="1"/>
  <c r="N47" i="8"/>
  <c r="N48" i="8" s="1"/>
  <c r="N46" i="8" s="1"/>
  <c r="N24" i="8"/>
  <c r="N33" i="8" s="1"/>
  <c r="N44" i="8" s="1"/>
  <c r="N19" i="8"/>
  <c r="N28" i="8" s="1"/>
  <c r="N39" i="8" s="1"/>
  <c r="N20" i="8"/>
  <c r="N29" i="8" s="1"/>
  <c r="N40" i="8" s="1"/>
  <c r="N18" i="8"/>
  <c r="N27" i="8" s="1"/>
  <c r="N25" i="8"/>
  <c r="N36" i="8" s="1"/>
  <c r="N21" i="8"/>
  <c r="N30" i="8" s="1"/>
  <c r="N41" i="8" s="1"/>
  <c r="N23" i="8"/>
  <c r="N32" i="8" s="1"/>
  <c r="N43" i="8" s="1"/>
  <c r="J20" i="4"/>
  <c r="J40" i="4" s="1"/>
  <c r="J19" i="4"/>
  <c r="J39" i="4" s="1"/>
  <c r="J21" i="4"/>
  <c r="J41" i="4" s="1"/>
  <c r="J22" i="4"/>
  <c r="J42" i="4" s="1"/>
  <c r="AC65" i="4"/>
  <c r="AC70" i="4" s="1"/>
  <c r="AC39" i="4" s="1"/>
  <c r="J18" i="4"/>
  <c r="J38" i="4" s="1"/>
  <c r="J25" i="4"/>
  <c r="V7" i="4"/>
  <c r="AC81" i="4"/>
  <c r="AC86" i="4" s="1"/>
  <c r="AE43" i="4" s="1"/>
  <c r="CE14" i="4"/>
  <c r="J24" i="4"/>
  <c r="J44" i="4" s="1"/>
  <c r="J47" i="4"/>
  <c r="J46" i="4" s="1"/>
  <c r="J23" i="4"/>
  <c r="J43" i="4" s="1"/>
  <c r="AC79" i="4"/>
  <c r="L19" i="4"/>
  <c r="L18" i="4"/>
  <c r="AC80" i="4"/>
  <c r="L47" i="4"/>
  <c r="AC62" i="4"/>
  <c r="M14" i="4"/>
  <c r="CC14" i="4"/>
  <c r="L22" i="4"/>
  <c r="L25" i="4"/>
  <c r="L36" i="4" s="1"/>
  <c r="L23" i="4"/>
  <c r="L24" i="4"/>
  <c r="AC78" i="4"/>
  <c r="L21" i="4"/>
  <c r="AC64" i="4"/>
  <c r="AC63" i="4"/>
  <c r="L20" i="4"/>
  <c r="G40" i="12"/>
  <c r="T7" i="12"/>
  <c r="G41" i="12"/>
  <c r="AC60" i="12"/>
  <c r="G25" i="12"/>
  <c r="G36" i="12" s="1"/>
  <c r="G38" i="12"/>
  <c r="AC74" i="12"/>
  <c r="G20" i="12"/>
  <c r="G46" i="12"/>
  <c r="G44" i="12"/>
  <c r="G42" i="12"/>
  <c r="AC61" i="12"/>
  <c r="G24" i="12"/>
  <c r="AC75" i="12"/>
  <c r="G23" i="12"/>
  <c r="G47" i="12"/>
  <c r="G39" i="12"/>
  <c r="G21" i="12"/>
  <c r="G43" i="12"/>
  <c r="AC59" i="12"/>
  <c r="G18" i="12"/>
  <c r="AC76" i="12"/>
  <c r="AC77" i="12"/>
  <c r="AC58" i="12"/>
  <c r="G22" i="12"/>
  <c r="G19" i="12"/>
  <c r="G45" i="12"/>
  <c r="AQ36" i="15"/>
  <c r="T27" i="15"/>
  <c r="R20" i="11"/>
  <c r="R29" i="11" s="1"/>
  <c r="R25" i="11"/>
  <c r="R36" i="11" s="1"/>
  <c r="R23" i="11"/>
  <c r="R32" i="11" s="1"/>
  <c r="R18" i="11"/>
  <c r="R27" i="11" s="1"/>
  <c r="R24" i="11"/>
  <c r="R19" i="11"/>
  <c r="R28" i="11" s="1"/>
  <c r="R22" i="11"/>
  <c r="R31" i="11" s="1"/>
  <c r="R47" i="11"/>
  <c r="R48" i="11" s="1"/>
  <c r="R21" i="11"/>
  <c r="R30" i="11" s="1"/>
  <c r="N47" i="5"/>
  <c r="N48" i="5" s="1"/>
  <c r="N46" i="5" s="1"/>
  <c r="N23" i="5"/>
  <c r="N32" i="5" s="1"/>
  <c r="N43" i="5" s="1"/>
  <c r="N22" i="5"/>
  <c r="N31" i="5" s="1"/>
  <c r="N42" i="5" s="1"/>
  <c r="N25" i="5"/>
  <c r="N36" i="5" s="1"/>
  <c r="N24" i="5"/>
  <c r="N33" i="5" s="1"/>
  <c r="N44" i="5" s="1"/>
  <c r="N19" i="5"/>
  <c r="N28" i="5" s="1"/>
  <c r="N39" i="5" s="1"/>
  <c r="N18" i="5"/>
  <c r="N27" i="5" s="1"/>
  <c r="N20" i="5"/>
  <c r="N29" i="5" s="1"/>
  <c r="N40" i="5" s="1"/>
  <c r="N21" i="5"/>
  <c r="N30" i="5" s="1"/>
  <c r="N41" i="5" s="1"/>
  <c r="CH18" i="11"/>
  <c r="CH19" i="11"/>
  <c r="CH25" i="11"/>
  <c r="CH24" i="11"/>
  <c r="CH22" i="11"/>
  <c r="CH20" i="11"/>
  <c r="CH21" i="11"/>
  <c r="CH23" i="11"/>
  <c r="K25" i="6"/>
  <c r="K36" i="6" s="1"/>
  <c r="K19" i="6"/>
  <c r="K47" i="6"/>
  <c r="K23" i="6"/>
  <c r="K22" i="6"/>
  <c r="K18" i="6"/>
  <c r="K20" i="6"/>
  <c r="U22" i="6" s="1"/>
  <c r="W7" i="6"/>
  <c r="K21" i="6"/>
  <c r="T24" i="6" s="1"/>
  <c r="CF14" i="6"/>
  <c r="K34" i="6"/>
  <c r="AC66" i="6"/>
  <c r="AC71" i="6" s="1"/>
  <c r="AC40" i="6" s="1"/>
  <c r="K24" i="6"/>
  <c r="K35" i="6"/>
  <c r="AC82" i="6"/>
  <c r="AC87" i="6" s="1"/>
  <c r="M14" i="12"/>
  <c r="AC62" i="12"/>
  <c r="L19" i="12"/>
  <c r="L21" i="12"/>
  <c r="AC80" i="12"/>
  <c r="L24" i="12"/>
  <c r="CC14" i="12"/>
  <c r="L22" i="12"/>
  <c r="L47" i="12"/>
  <c r="AC63" i="12"/>
  <c r="L25" i="12"/>
  <c r="L36" i="12" s="1"/>
  <c r="AC78" i="12"/>
  <c r="L20" i="12"/>
  <c r="AC64" i="12"/>
  <c r="L23" i="12"/>
  <c r="AC79" i="12"/>
  <c r="L18" i="12"/>
  <c r="P20" i="9"/>
  <c r="P29" i="9" s="1"/>
  <c r="P40" i="9" s="1"/>
  <c r="P21" i="9"/>
  <c r="P30" i="9" s="1"/>
  <c r="P41" i="9" s="1"/>
  <c r="P24" i="9"/>
  <c r="P33" i="9" s="1"/>
  <c r="P44" i="9" s="1"/>
  <c r="P25" i="9"/>
  <c r="P36" i="9" s="1"/>
  <c r="P19" i="9"/>
  <c r="P28" i="9" s="1"/>
  <c r="P39" i="9" s="1"/>
  <c r="Q14" i="9"/>
  <c r="AV14" i="9"/>
  <c r="P47" i="9"/>
  <c r="P48" i="9" s="1"/>
  <c r="P46" i="9" s="1"/>
  <c r="P23" i="9"/>
  <c r="P32" i="9" s="1"/>
  <c r="P43" i="9" s="1"/>
  <c r="P18" i="9"/>
  <c r="P27" i="9" s="1"/>
  <c r="P22" i="9"/>
  <c r="P31" i="9" s="1"/>
  <c r="P42" i="9" s="1"/>
  <c r="K20" i="4"/>
  <c r="U22" i="4" s="1"/>
  <c r="K22" i="4"/>
  <c r="K18" i="4"/>
  <c r="K21" i="4"/>
  <c r="T24" i="4" s="1"/>
  <c r="K47" i="4"/>
  <c r="CF14" i="4"/>
  <c r="K25" i="4"/>
  <c r="K36" i="4" s="1"/>
  <c r="K34" i="4"/>
  <c r="AC82" i="4"/>
  <c r="AC87" i="4" s="1"/>
  <c r="K19" i="4"/>
  <c r="K24" i="4"/>
  <c r="AC66" i="4"/>
  <c r="AC71" i="4" s="1"/>
  <c r="AC40" i="4" s="1"/>
  <c r="K23" i="4"/>
  <c r="W7" i="4"/>
  <c r="K35" i="4"/>
  <c r="I40" i="8"/>
  <c r="I20" i="8"/>
  <c r="I25" i="8"/>
  <c r="I36" i="8" s="1"/>
  <c r="I42" i="8"/>
  <c r="I46" i="8"/>
  <c r="I41" i="8"/>
  <c r="I22" i="8"/>
  <c r="I21" i="8"/>
  <c r="I45" i="8"/>
  <c r="I38" i="8"/>
  <c r="I19" i="8"/>
  <c r="I23" i="8"/>
  <c r="I18" i="8"/>
  <c r="I39" i="8"/>
  <c r="I24" i="8"/>
  <c r="U7" i="8"/>
  <c r="I44" i="8"/>
  <c r="I43" i="8"/>
  <c r="I47" i="8"/>
  <c r="I46" i="4"/>
  <c r="I43" i="4"/>
  <c r="I41" i="4"/>
  <c r="I38" i="4"/>
  <c r="I47" i="4"/>
  <c r="I42" i="4"/>
  <c r="I39" i="4"/>
  <c r="I18" i="4"/>
  <c r="I22" i="4"/>
  <c r="I23" i="4"/>
  <c r="I40" i="4"/>
  <c r="I25" i="4"/>
  <c r="I36" i="4" s="1"/>
  <c r="I20" i="4"/>
  <c r="U7" i="4"/>
  <c r="I44" i="4"/>
  <c r="I24" i="4"/>
  <c r="I19" i="4"/>
  <c r="I21" i="4"/>
  <c r="I45" i="4"/>
  <c r="AC80" i="15"/>
  <c r="L25" i="15"/>
  <c r="L36" i="15" s="1"/>
  <c r="AC62" i="15"/>
  <c r="L23" i="15"/>
  <c r="M14" i="15"/>
  <c r="L19" i="15"/>
  <c r="AC78" i="15"/>
  <c r="L18" i="15"/>
  <c r="CC14" i="15"/>
  <c r="AC63" i="15"/>
  <c r="AC79" i="15"/>
  <c r="L21" i="15"/>
  <c r="L22" i="15"/>
  <c r="L24" i="15"/>
  <c r="AC64" i="15"/>
  <c r="L47" i="15"/>
  <c r="L20" i="15"/>
  <c r="I24" i="5"/>
  <c r="I19" i="5"/>
  <c r="I41" i="5"/>
  <c r="I46" i="5"/>
  <c r="I39" i="5"/>
  <c r="I21" i="5"/>
  <c r="U7" i="5"/>
  <c r="I22" i="5"/>
  <c r="I23" i="5"/>
  <c r="I20" i="5"/>
  <c r="I42" i="5"/>
  <c r="I18" i="5"/>
  <c r="I25" i="5"/>
  <c r="I36" i="5" s="1"/>
  <c r="I44" i="5"/>
  <c r="I45" i="5"/>
  <c r="I43" i="5"/>
  <c r="I38" i="5"/>
  <c r="I40" i="5"/>
  <c r="I47" i="5"/>
  <c r="CH23" i="4"/>
  <c r="CH25" i="4"/>
  <c r="CH24" i="4"/>
  <c r="CH19" i="4"/>
  <c r="CH20" i="4"/>
  <c r="CH18" i="4"/>
  <c r="CH21" i="4"/>
  <c r="CH22" i="4"/>
  <c r="R23" i="15"/>
  <c r="R32" i="15" s="1"/>
  <c r="R56" i="15" s="1"/>
  <c r="R47" i="15"/>
  <c r="R48" i="15" s="1"/>
  <c r="R58" i="15" s="1"/>
  <c r="R22" i="15"/>
  <c r="R31" i="15" s="1"/>
  <c r="R55" i="15" s="1"/>
  <c r="R21" i="15"/>
  <c r="R30" i="15" s="1"/>
  <c r="R54" i="15" s="1"/>
  <c r="R18" i="15"/>
  <c r="R27" i="15" s="1"/>
  <c r="R20" i="15"/>
  <c r="R29" i="15" s="1"/>
  <c r="R53" i="15" s="1"/>
  <c r="R19" i="15"/>
  <c r="R28" i="15" s="1"/>
  <c r="R52" i="15" s="1"/>
  <c r="R24" i="15"/>
  <c r="R25" i="15"/>
  <c r="R36" i="15" s="1"/>
  <c r="J21" i="6"/>
  <c r="J41" i="6" s="1"/>
  <c r="J24" i="6"/>
  <c r="J44" i="6" s="1"/>
  <c r="J19" i="6"/>
  <c r="J39" i="6" s="1"/>
  <c r="J22" i="6"/>
  <c r="J42" i="6" s="1"/>
  <c r="J20" i="6"/>
  <c r="J40" i="6" s="1"/>
  <c r="CE14" i="6"/>
  <c r="J47" i="6"/>
  <c r="J46" i="6" s="1"/>
  <c r="AC65" i="6"/>
  <c r="AC70" i="6" s="1"/>
  <c r="AC39" i="6" s="1"/>
  <c r="AC81" i="6"/>
  <c r="AC86" i="6" s="1"/>
  <c r="AE43" i="6" s="1"/>
  <c r="V7" i="6"/>
  <c r="J23" i="6"/>
  <c r="J43" i="6" s="1"/>
  <c r="J25" i="6"/>
  <c r="J18" i="6"/>
  <c r="J38" i="6" s="1"/>
  <c r="H41" i="11"/>
  <c r="H46" i="11"/>
  <c r="H21" i="11"/>
  <c r="H44" i="11"/>
  <c r="H40" i="11"/>
  <c r="H24" i="11"/>
  <c r="H22" i="11"/>
  <c r="H23" i="11"/>
  <c r="H25" i="11"/>
  <c r="H36" i="11" s="1"/>
  <c r="H47" i="11"/>
  <c r="H45" i="11"/>
  <c r="H20" i="11"/>
  <c r="H39" i="11"/>
  <c r="H42" i="11"/>
  <c r="H43" i="11"/>
  <c r="H18" i="11"/>
  <c r="H19" i="11"/>
  <c r="H38" i="11"/>
  <c r="L22" i="8"/>
  <c r="L24" i="8"/>
  <c r="AC79" i="8"/>
  <c r="L47" i="8"/>
  <c r="L21" i="8"/>
  <c r="L19" i="8"/>
  <c r="L18" i="8"/>
  <c r="AC80" i="8"/>
  <c r="CC14" i="8"/>
  <c r="AC63" i="8"/>
  <c r="L25" i="8"/>
  <c r="L36" i="8" s="1"/>
  <c r="AC62" i="8"/>
  <c r="AC78" i="8"/>
  <c r="AC64" i="8"/>
  <c r="L20" i="8"/>
  <c r="M14" i="8"/>
  <c r="L23" i="8"/>
  <c r="O47" i="4"/>
  <c r="O48" i="4" s="1"/>
  <c r="O46" i="4" s="1"/>
  <c r="O21" i="4"/>
  <c r="O30" i="4" s="1"/>
  <c r="O41" i="4" s="1"/>
  <c r="CG14" i="4"/>
  <c r="O22" i="4"/>
  <c r="O31" i="4" s="1"/>
  <c r="O42" i="4" s="1"/>
  <c r="O25" i="4"/>
  <c r="O36" i="4" s="1"/>
  <c r="O18" i="4"/>
  <c r="O27" i="4" s="1"/>
  <c r="O23" i="4"/>
  <c r="O32" i="4" s="1"/>
  <c r="O43" i="4" s="1"/>
  <c r="O24" i="4"/>
  <c r="O33" i="4" s="1"/>
  <c r="O44" i="4" s="1"/>
  <c r="O19" i="4"/>
  <c r="O28" i="4" s="1"/>
  <c r="O39" i="4" s="1"/>
  <c r="O20" i="4"/>
  <c r="O29" i="4" s="1"/>
  <c r="O40" i="4" s="1"/>
  <c r="CH25" i="9"/>
  <c r="CH20" i="9"/>
  <c r="CH22" i="9"/>
  <c r="CH18" i="9"/>
  <c r="CH24" i="9"/>
  <c r="CH21" i="9"/>
  <c r="CH19" i="9"/>
  <c r="CH23" i="9"/>
  <c r="R20" i="9"/>
  <c r="R29" i="9" s="1"/>
  <c r="R24" i="9"/>
  <c r="R19" i="9"/>
  <c r="R28" i="9" s="1"/>
  <c r="R21" i="9"/>
  <c r="R30" i="9" s="1"/>
  <c r="R22" i="9"/>
  <c r="R31" i="9" s="1"/>
  <c r="R18" i="9"/>
  <c r="R27" i="9" s="1"/>
  <c r="R23" i="9"/>
  <c r="R32" i="9" s="1"/>
  <c r="R47" i="9"/>
  <c r="R48" i="9" s="1"/>
  <c r="R25" i="9"/>
  <c r="R36" i="9" s="1"/>
  <c r="P19" i="6"/>
  <c r="P28" i="6" s="1"/>
  <c r="P39" i="6" s="1"/>
  <c r="P21" i="6"/>
  <c r="P30" i="6" s="1"/>
  <c r="P41" i="6" s="1"/>
  <c r="P18" i="6"/>
  <c r="P27" i="6" s="1"/>
  <c r="Q14" i="6"/>
  <c r="P24" i="6"/>
  <c r="P33" i="6" s="1"/>
  <c r="P44" i="6" s="1"/>
  <c r="P23" i="6"/>
  <c r="P32" i="6" s="1"/>
  <c r="P43" i="6" s="1"/>
  <c r="P22" i="6"/>
  <c r="P31" i="6" s="1"/>
  <c r="P42" i="6" s="1"/>
  <c r="AV14" i="6"/>
  <c r="P25" i="6"/>
  <c r="P36" i="6" s="1"/>
  <c r="P47" i="6"/>
  <c r="P48" i="6" s="1"/>
  <c r="P46" i="6" s="1"/>
  <c r="P20" i="6"/>
  <c r="P29" i="6" s="1"/>
  <c r="P40" i="6" s="1"/>
  <c r="CQ22" i="4"/>
  <c r="CQ23" i="4" s="1"/>
  <c r="CQ24" i="4" s="1"/>
  <c r="O47" i="15"/>
  <c r="O48" i="15" s="1"/>
  <c r="O25" i="15"/>
  <c r="O36" i="15" s="1"/>
  <c r="CG14" i="15"/>
  <c r="O19" i="15"/>
  <c r="O28" i="15" s="1"/>
  <c r="O18" i="15"/>
  <c r="O27" i="15" s="1"/>
  <c r="O21" i="15"/>
  <c r="O30" i="15" s="1"/>
  <c r="O24" i="15"/>
  <c r="O33" i="15" s="1"/>
  <c r="O22" i="15"/>
  <c r="O31" i="15" s="1"/>
  <c r="O20" i="15"/>
  <c r="O29" i="15" s="1"/>
  <c r="O23" i="15"/>
  <c r="O32" i="15" s="1"/>
  <c r="O24" i="12"/>
  <c r="O33" i="12" s="1"/>
  <c r="O44" i="12" s="1"/>
  <c r="O19" i="12"/>
  <c r="O28" i="12" s="1"/>
  <c r="O39" i="12" s="1"/>
  <c r="O22" i="12"/>
  <c r="O31" i="12" s="1"/>
  <c r="O42" i="12" s="1"/>
  <c r="O21" i="12"/>
  <c r="O30" i="12" s="1"/>
  <c r="O41" i="12" s="1"/>
  <c r="O47" i="12"/>
  <c r="O48" i="12" s="1"/>
  <c r="O46" i="12" s="1"/>
  <c r="O18" i="12"/>
  <c r="O27" i="12" s="1"/>
  <c r="O23" i="12"/>
  <c r="O32" i="12" s="1"/>
  <c r="O43" i="12" s="1"/>
  <c r="O25" i="12"/>
  <c r="O36" i="12" s="1"/>
  <c r="O20" i="12"/>
  <c r="O29" i="12" s="1"/>
  <c r="O40" i="12" s="1"/>
  <c r="CG14" i="12"/>
  <c r="G41" i="15"/>
  <c r="G42" i="15"/>
  <c r="AC74" i="15"/>
  <c r="T7" i="15"/>
  <c r="G22" i="15"/>
  <c r="AC61" i="15"/>
  <c r="G20" i="15"/>
  <c r="G38" i="15"/>
  <c r="G46" i="15"/>
  <c r="G18" i="15"/>
  <c r="AC76" i="15"/>
  <c r="G40" i="15"/>
  <c r="G44" i="15"/>
  <c r="AC59" i="15"/>
  <c r="G23" i="15"/>
  <c r="G19" i="15"/>
  <c r="AC75" i="15"/>
  <c r="G25" i="15"/>
  <c r="G36" i="15" s="1"/>
  <c r="AC60" i="15"/>
  <c r="G45" i="15"/>
  <c r="AC77" i="15"/>
  <c r="G24" i="15"/>
  <c r="G47" i="15"/>
  <c r="G21" i="15"/>
  <c r="G43" i="15"/>
  <c r="AC58" i="15"/>
  <c r="G39" i="15"/>
  <c r="N21" i="7"/>
  <c r="N30" i="7" s="1"/>
  <c r="N41" i="7" s="1"/>
  <c r="N23" i="7"/>
  <c r="N32" i="7" s="1"/>
  <c r="N43" i="7" s="1"/>
  <c r="N25" i="7"/>
  <c r="N36" i="7" s="1"/>
  <c r="N22" i="7"/>
  <c r="N31" i="7" s="1"/>
  <c r="N42" i="7" s="1"/>
  <c r="N47" i="7"/>
  <c r="N48" i="7" s="1"/>
  <c r="N46" i="7" s="1"/>
  <c r="N18" i="7"/>
  <c r="N27" i="7" s="1"/>
  <c r="N20" i="7"/>
  <c r="N29" i="7" s="1"/>
  <c r="N40" i="7" s="1"/>
  <c r="N19" i="7"/>
  <c r="N28" i="7" s="1"/>
  <c r="N39" i="7" s="1"/>
  <c r="N24" i="7"/>
  <c r="N33" i="7" s="1"/>
  <c r="N44" i="7" s="1"/>
  <c r="H47" i="6"/>
  <c r="H20" i="6"/>
  <c r="H40" i="6"/>
  <c r="H46" i="6"/>
  <c r="H38" i="6"/>
  <c r="H43" i="6"/>
  <c r="H45" i="6"/>
  <c r="H18" i="6"/>
  <c r="H19" i="6"/>
  <c r="H41" i="6"/>
  <c r="H21" i="6"/>
  <c r="H23" i="6"/>
  <c r="H42" i="6"/>
  <c r="H44" i="6"/>
  <c r="H22" i="6"/>
  <c r="H25" i="6"/>
  <c r="H36" i="6" s="1"/>
  <c r="H24" i="6"/>
  <c r="H39" i="6"/>
  <c r="H41" i="10"/>
  <c r="H18" i="10"/>
  <c r="H22" i="10"/>
  <c r="H44" i="10"/>
  <c r="H42" i="10"/>
  <c r="H43" i="10"/>
  <c r="H39" i="10"/>
  <c r="H24" i="10"/>
  <c r="H19" i="10"/>
  <c r="H25" i="10"/>
  <c r="H36" i="10" s="1"/>
  <c r="H45" i="10"/>
  <c r="H38" i="10"/>
  <c r="H47" i="10"/>
  <c r="H21" i="10"/>
  <c r="H20" i="10"/>
  <c r="H46" i="10"/>
  <c r="H23" i="10"/>
  <c r="H40" i="10"/>
  <c r="N47" i="12"/>
  <c r="N48" i="12" s="1"/>
  <c r="N46" i="12" s="1"/>
  <c r="N25" i="12"/>
  <c r="N36" i="12" s="1"/>
  <c r="N18" i="12"/>
  <c r="N27" i="12" s="1"/>
  <c r="N20" i="12"/>
  <c r="N29" i="12" s="1"/>
  <c r="N40" i="12" s="1"/>
  <c r="N22" i="12"/>
  <c r="N31" i="12" s="1"/>
  <c r="N42" i="12" s="1"/>
  <c r="N19" i="12"/>
  <c r="N28" i="12" s="1"/>
  <c r="N39" i="12" s="1"/>
  <c r="N23" i="12"/>
  <c r="N32" i="12" s="1"/>
  <c r="N43" i="12" s="1"/>
  <c r="N24" i="12"/>
  <c r="N33" i="12" s="1"/>
  <c r="N44" i="12" s="1"/>
  <c r="N21" i="12"/>
  <c r="N30" i="12" s="1"/>
  <c r="N41" i="12" s="1"/>
  <c r="G20" i="11"/>
  <c r="G46" i="11"/>
  <c r="G40" i="11"/>
  <c r="AC58" i="11"/>
  <c r="G39" i="11"/>
  <c r="AC75" i="11"/>
  <c r="G45" i="11"/>
  <c r="G44" i="11"/>
  <c r="G41" i="11"/>
  <c r="G22" i="11"/>
  <c r="AC59" i="11"/>
  <c r="G38" i="11"/>
  <c r="AC74" i="11"/>
  <c r="AC61" i="11"/>
  <c r="G23" i="11"/>
  <c r="AC60" i="11"/>
  <c r="G24" i="11"/>
  <c r="T7" i="11"/>
  <c r="G43" i="11"/>
  <c r="AC77" i="11"/>
  <c r="G18" i="11"/>
  <c r="G19" i="11"/>
  <c r="G25" i="11"/>
  <c r="G36" i="11" s="1"/>
  <c r="G21" i="11"/>
  <c r="T22" i="11" s="1"/>
  <c r="G47" i="11"/>
  <c r="G42" i="11"/>
  <c r="AC76" i="11"/>
  <c r="R25" i="10"/>
  <c r="R36" i="10" s="1"/>
  <c r="R20" i="10"/>
  <c r="R29" i="10" s="1"/>
  <c r="R18" i="10"/>
  <c r="R27" i="10" s="1"/>
  <c r="R21" i="10"/>
  <c r="R30" i="10" s="1"/>
  <c r="R24" i="10"/>
  <c r="R19" i="10"/>
  <c r="R28" i="10" s="1"/>
  <c r="R22" i="10"/>
  <c r="R31" i="10" s="1"/>
  <c r="R23" i="10"/>
  <c r="R32" i="10" s="1"/>
  <c r="R47" i="10"/>
  <c r="R48" i="10" s="1"/>
  <c r="H20" i="9"/>
  <c r="H24" i="9"/>
  <c r="H23" i="9"/>
  <c r="H40" i="9"/>
  <c r="H38" i="9"/>
  <c r="H41" i="9"/>
  <c r="H44" i="9"/>
  <c r="H19" i="9"/>
  <c r="H47" i="9"/>
  <c r="H21" i="9"/>
  <c r="H45" i="9"/>
  <c r="H39" i="9"/>
  <c r="H18" i="9"/>
  <c r="H46" i="9"/>
  <c r="H25" i="9"/>
  <c r="H36" i="9" s="1"/>
  <c r="H42" i="9"/>
  <c r="H43" i="9"/>
  <c r="H22" i="9"/>
  <c r="G42" i="8"/>
  <c r="G40" i="8"/>
  <c r="G23" i="8"/>
  <c r="G47" i="8"/>
  <c r="AC58" i="8"/>
  <c r="G25" i="8"/>
  <c r="G36" i="8" s="1"/>
  <c r="AC61" i="8"/>
  <c r="G19" i="8"/>
  <c r="AC77" i="8"/>
  <c r="G22" i="8"/>
  <c r="G45" i="8"/>
  <c r="G44" i="8"/>
  <c r="G21" i="8"/>
  <c r="AC75" i="8"/>
  <c r="G24" i="8"/>
  <c r="G38" i="8"/>
  <c r="G18" i="8"/>
  <c r="G43" i="8"/>
  <c r="G20" i="8"/>
  <c r="AC59" i="8"/>
  <c r="G41" i="8"/>
  <c r="G39" i="8"/>
  <c r="AC60" i="8"/>
  <c r="AC74" i="8"/>
  <c r="T7" i="8"/>
  <c r="AC76" i="8"/>
  <c r="G46" i="8"/>
  <c r="G18" i="6"/>
  <c r="G38" i="6"/>
  <c r="AC76" i="6"/>
  <c r="AC74" i="6"/>
  <c r="G22" i="6"/>
  <c r="AC77" i="6"/>
  <c r="AC61" i="6"/>
  <c r="G46" i="6"/>
  <c r="AC59" i="6"/>
  <c r="G21" i="6"/>
  <c r="G20" i="6"/>
  <c r="AC60" i="6"/>
  <c r="T7" i="6"/>
  <c r="G43" i="6"/>
  <c r="AC58" i="6"/>
  <c r="G24" i="6"/>
  <c r="G40" i="6"/>
  <c r="G45" i="6"/>
  <c r="G44" i="6"/>
  <c r="G42" i="6"/>
  <c r="G47" i="6"/>
  <c r="G39" i="6"/>
  <c r="G19" i="6"/>
  <c r="G23" i="6"/>
  <c r="G41" i="6"/>
  <c r="G25" i="6"/>
  <c r="G36" i="6" s="1"/>
  <c r="AC75" i="6"/>
  <c r="CH24" i="10"/>
  <c r="CH25" i="10"/>
  <c r="CH23" i="10"/>
  <c r="CH21" i="10"/>
  <c r="CH18" i="10"/>
  <c r="CH19" i="10"/>
  <c r="CH22" i="10"/>
  <c r="CH20" i="10"/>
  <c r="K25" i="7"/>
  <c r="K36" i="7" s="1"/>
  <c r="K35" i="7"/>
  <c r="CF14" i="7"/>
  <c r="K24" i="7"/>
  <c r="AC66" i="7"/>
  <c r="AC71" i="7" s="1"/>
  <c r="AC40" i="7" s="1"/>
  <c r="K47" i="7"/>
  <c r="K22" i="7"/>
  <c r="K20" i="7"/>
  <c r="U22" i="7" s="1"/>
  <c r="AC82" i="7"/>
  <c r="AC87" i="7" s="1"/>
  <c r="K18" i="7"/>
  <c r="K23" i="7"/>
  <c r="K34" i="7"/>
  <c r="K21" i="7"/>
  <c r="T24" i="7" s="1"/>
  <c r="K19" i="7"/>
  <c r="W7" i="7"/>
  <c r="N23" i="11"/>
  <c r="N32" i="11" s="1"/>
  <c r="N43" i="11" s="1"/>
  <c r="N22" i="11"/>
  <c r="N31" i="11" s="1"/>
  <c r="N42" i="11" s="1"/>
  <c r="N25" i="11"/>
  <c r="N36" i="11" s="1"/>
  <c r="N19" i="11"/>
  <c r="N28" i="11" s="1"/>
  <c r="N39" i="11" s="1"/>
  <c r="N18" i="11"/>
  <c r="N27" i="11" s="1"/>
  <c r="N21" i="11"/>
  <c r="N30" i="11" s="1"/>
  <c r="N41" i="11" s="1"/>
  <c r="N20" i="11"/>
  <c r="N29" i="11" s="1"/>
  <c r="N40" i="11" s="1"/>
  <c r="N47" i="11"/>
  <c r="N48" i="11" s="1"/>
  <c r="N46" i="11" s="1"/>
  <c r="N24" i="11"/>
  <c r="N33" i="11" s="1"/>
  <c r="N44" i="11" s="1"/>
  <c r="G20" i="7"/>
  <c r="G41" i="7"/>
  <c r="G47" i="7"/>
  <c r="G25" i="7"/>
  <c r="G36" i="7" s="1"/>
  <c r="AC77" i="7"/>
  <c r="G24" i="7"/>
  <c r="AC60" i="7"/>
  <c r="AC58" i="7"/>
  <c r="T7" i="7"/>
  <c r="AC75" i="7"/>
  <c r="G40" i="7"/>
  <c r="G45" i="7"/>
  <c r="G22" i="7"/>
  <c r="AC61" i="7"/>
  <c r="G38" i="7"/>
  <c r="AC76" i="7"/>
  <c r="G43" i="7"/>
  <c r="AC59" i="7"/>
  <c r="G44" i="7"/>
  <c r="G21" i="7"/>
  <c r="AC74" i="7"/>
  <c r="G23" i="7"/>
  <c r="G42" i="7"/>
  <c r="G46" i="7"/>
  <c r="G18" i="7"/>
  <c r="G39" i="7"/>
  <c r="G19" i="7"/>
  <c r="H25" i="15"/>
  <c r="H36" i="15" s="1"/>
  <c r="H42" i="15"/>
  <c r="H41" i="15"/>
  <c r="H38" i="15"/>
  <c r="H46" i="15"/>
  <c r="H20" i="15"/>
  <c r="H43" i="15"/>
  <c r="H23" i="15"/>
  <c r="H47" i="15"/>
  <c r="H18" i="15"/>
  <c r="H21" i="15"/>
  <c r="H24" i="15"/>
  <c r="H45" i="15"/>
  <c r="H40" i="15"/>
  <c r="H44" i="15"/>
  <c r="H19" i="15"/>
  <c r="H39" i="15"/>
  <c r="H22" i="15"/>
  <c r="CQ22" i="6"/>
  <c r="CQ23" i="6" s="1"/>
  <c r="CQ24" i="6" s="1"/>
  <c r="V7" i="15"/>
  <c r="J47" i="15"/>
  <c r="J25" i="15"/>
  <c r="J21" i="15"/>
  <c r="J24" i="15"/>
  <c r="CE14" i="15"/>
  <c r="J19" i="15"/>
  <c r="J23" i="15"/>
  <c r="J22" i="15"/>
  <c r="AC65" i="15"/>
  <c r="AC70" i="15" s="1"/>
  <c r="AC39" i="15" s="1"/>
  <c r="J18" i="15"/>
  <c r="AC81" i="15"/>
  <c r="AC86" i="15" s="1"/>
  <c r="AE43" i="15" s="1"/>
  <c r="AE44" i="15" s="1"/>
  <c r="J20" i="15"/>
  <c r="G21" i="4"/>
  <c r="G42" i="4"/>
  <c r="G45" i="4"/>
  <c r="G46" i="4"/>
  <c r="G19" i="4"/>
  <c r="G41" i="4"/>
  <c r="G23" i="4"/>
  <c r="AC59" i="4"/>
  <c r="G44" i="4"/>
  <c r="T7" i="4"/>
  <c r="AC60" i="4"/>
  <c r="G39" i="4"/>
  <c r="AC75" i="4"/>
  <c r="G18" i="4"/>
  <c r="G40" i="4"/>
  <c r="AC58" i="4"/>
  <c r="AC61" i="4"/>
  <c r="AC77" i="4"/>
  <c r="G43" i="4"/>
  <c r="G24" i="4"/>
  <c r="G22" i="4"/>
  <c r="G25" i="4"/>
  <c r="G36" i="4" s="1"/>
  <c r="G47" i="4"/>
  <c r="AC74" i="4"/>
  <c r="G20" i="4"/>
  <c r="AC76" i="4"/>
  <c r="G38" i="4"/>
  <c r="I41" i="12"/>
  <c r="I18" i="12"/>
  <c r="I43" i="12"/>
  <c r="I20" i="12"/>
  <c r="I44" i="12"/>
  <c r="I21" i="12"/>
  <c r="I45" i="12"/>
  <c r="I38" i="12"/>
  <c r="I39" i="12"/>
  <c r="I22" i="12"/>
  <c r="I42" i="12"/>
  <c r="U7" i="12"/>
  <c r="I25" i="12"/>
  <c r="I36" i="12" s="1"/>
  <c r="I23" i="12"/>
  <c r="I40" i="12"/>
  <c r="I46" i="12"/>
  <c r="I47" i="12"/>
  <c r="I19" i="12"/>
  <c r="I24" i="12"/>
  <c r="CQ22" i="12"/>
  <c r="CQ23" i="12" s="1"/>
  <c r="CQ24" i="12" s="1"/>
  <c r="N47" i="4"/>
  <c r="N48" i="4" s="1"/>
  <c r="N46" i="4" s="1"/>
  <c r="N23" i="4"/>
  <c r="N32" i="4" s="1"/>
  <c r="N43" i="4" s="1"/>
  <c r="N25" i="4"/>
  <c r="N36" i="4" s="1"/>
  <c r="N22" i="4"/>
  <c r="N31" i="4" s="1"/>
  <c r="N42" i="4" s="1"/>
  <c r="N24" i="4"/>
  <c r="N33" i="4" s="1"/>
  <c r="N44" i="4" s="1"/>
  <c r="N19" i="4"/>
  <c r="N28" i="4" s="1"/>
  <c r="N39" i="4" s="1"/>
  <c r="N21" i="4"/>
  <c r="N30" i="4" s="1"/>
  <c r="N41" i="4" s="1"/>
  <c r="N18" i="4"/>
  <c r="N27" i="4" s="1"/>
  <c r="N20" i="4"/>
  <c r="N29" i="4" s="1"/>
  <c r="N40" i="4" s="1"/>
  <c r="CQ22" i="15"/>
  <c r="CQ23" i="15" s="1"/>
  <c r="CN26" i="15"/>
  <c r="L20" i="5"/>
  <c r="L24" i="5"/>
  <c r="AC62" i="5"/>
  <c r="AC79" i="5"/>
  <c r="AC64" i="5"/>
  <c r="L22" i="5"/>
  <c r="L47" i="5"/>
  <c r="AC78" i="5"/>
  <c r="L21" i="5"/>
  <c r="L25" i="5"/>
  <c r="L36" i="5" s="1"/>
  <c r="CC14" i="5"/>
  <c r="AC80" i="5"/>
  <c r="L19" i="5"/>
  <c r="L18" i="5"/>
  <c r="M14" i="5"/>
  <c r="AC63" i="5"/>
  <c r="L23" i="5"/>
  <c r="N25" i="10"/>
  <c r="N36" i="10" s="1"/>
  <c r="N21" i="10"/>
  <c r="N30" i="10" s="1"/>
  <c r="N41" i="10" s="1"/>
  <c r="N23" i="10"/>
  <c r="N32" i="10" s="1"/>
  <c r="N43" i="10" s="1"/>
  <c r="N47" i="10"/>
  <c r="N48" i="10" s="1"/>
  <c r="N46" i="10" s="1"/>
  <c r="N24" i="10"/>
  <c r="N33" i="10" s="1"/>
  <c r="N44" i="10" s="1"/>
  <c r="N22" i="10"/>
  <c r="N31" i="10" s="1"/>
  <c r="N42" i="10" s="1"/>
  <c r="N19" i="10"/>
  <c r="N28" i="10" s="1"/>
  <c r="N39" i="10" s="1"/>
  <c r="N20" i="10"/>
  <c r="N29" i="10" s="1"/>
  <c r="N40" i="10" s="1"/>
  <c r="N18" i="10"/>
  <c r="N27" i="10" s="1"/>
  <c r="O20" i="5"/>
  <c r="O29" i="5" s="1"/>
  <c r="O40" i="5" s="1"/>
  <c r="O22" i="5"/>
  <c r="O31" i="5" s="1"/>
  <c r="O42" i="5" s="1"/>
  <c r="O23" i="5"/>
  <c r="O32" i="5" s="1"/>
  <c r="O43" i="5" s="1"/>
  <c r="O21" i="5"/>
  <c r="O30" i="5" s="1"/>
  <c r="O41" i="5" s="1"/>
  <c r="CG14" i="5"/>
  <c r="O19" i="5"/>
  <c r="O28" i="5" s="1"/>
  <c r="O39" i="5" s="1"/>
  <c r="O47" i="5"/>
  <c r="O48" i="5" s="1"/>
  <c r="O46" i="5" s="1"/>
  <c r="O18" i="5"/>
  <c r="O27" i="5" s="1"/>
  <c r="O24" i="5"/>
  <c r="O33" i="5" s="1"/>
  <c r="O44" i="5" s="1"/>
  <c r="O25" i="5"/>
  <c r="O36" i="5" s="1"/>
  <c r="CH22" i="8"/>
  <c r="CH25" i="8"/>
  <c r="CH21" i="8"/>
  <c r="CH23" i="8"/>
  <c r="CH20" i="8"/>
  <c r="CH18" i="8"/>
  <c r="CH24" i="8"/>
  <c r="CH19" i="8"/>
  <c r="AV14" i="11"/>
  <c r="P20" i="11"/>
  <c r="P29" i="11" s="1"/>
  <c r="P40" i="11" s="1"/>
  <c r="P18" i="11"/>
  <c r="P27" i="11" s="1"/>
  <c r="P23" i="11"/>
  <c r="P32" i="11" s="1"/>
  <c r="P43" i="11" s="1"/>
  <c r="P24" i="11"/>
  <c r="P33" i="11" s="1"/>
  <c r="P44" i="11" s="1"/>
  <c r="P47" i="11"/>
  <c r="P48" i="11" s="1"/>
  <c r="P46" i="11" s="1"/>
  <c r="P19" i="11"/>
  <c r="P28" i="11" s="1"/>
  <c r="P39" i="11" s="1"/>
  <c r="P25" i="11"/>
  <c r="P36" i="11" s="1"/>
  <c r="Q14" i="11"/>
  <c r="P22" i="11"/>
  <c r="P31" i="11" s="1"/>
  <c r="P42" i="11" s="1"/>
  <c r="P21" i="11"/>
  <c r="P30" i="11" s="1"/>
  <c r="P41" i="11" s="1"/>
  <c r="K35" i="12"/>
  <c r="K25" i="12"/>
  <c r="K36" i="12" s="1"/>
  <c r="K19" i="12"/>
  <c r="K47" i="12"/>
  <c r="K21" i="12"/>
  <c r="T24" i="12" s="1"/>
  <c r="K24" i="12"/>
  <c r="K23" i="12"/>
  <c r="W7" i="12"/>
  <c r="CF14" i="12"/>
  <c r="K22" i="12"/>
  <c r="K18" i="12"/>
  <c r="AC66" i="12"/>
  <c r="AC71" i="12" s="1"/>
  <c r="AC40" i="12" s="1"/>
  <c r="AC82" i="12"/>
  <c r="AC87" i="12" s="1"/>
  <c r="K20" i="12"/>
  <c r="U22" i="12" s="1"/>
  <c r="K34" i="12"/>
  <c r="O18" i="9"/>
  <c r="O27" i="9" s="1"/>
  <c r="O47" i="9"/>
  <c r="O48" i="9" s="1"/>
  <c r="O46" i="9" s="1"/>
  <c r="O24" i="9"/>
  <c r="O33" i="9" s="1"/>
  <c r="O44" i="9" s="1"/>
  <c r="O22" i="9"/>
  <c r="O31" i="9" s="1"/>
  <c r="O42" i="9" s="1"/>
  <c r="O21" i="9"/>
  <c r="O30" i="9" s="1"/>
  <c r="O41" i="9" s="1"/>
  <c r="O19" i="9"/>
  <c r="O28" i="9" s="1"/>
  <c r="O39" i="9" s="1"/>
  <c r="CG14" i="9"/>
  <c r="O25" i="9"/>
  <c r="O36" i="9" s="1"/>
  <c r="O20" i="9"/>
  <c r="O29" i="9" s="1"/>
  <c r="O40" i="9" s="1"/>
  <c r="O23" i="9"/>
  <c r="O32" i="9" s="1"/>
  <c r="O43" i="9" s="1"/>
  <c r="I38" i="15"/>
  <c r="I43" i="15"/>
  <c r="I39" i="15"/>
  <c r="I42" i="15"/>
  <c r="I44" i="15"/>
  <c r="I24" i="15"/>
  <c r="I21" i="15"/>
  <c r="I18" i="15"/>
  <c r="I40" i="15"/>
  <c r="I47" i="15"/>
  <c r="I22" i="15"/>
  <c r="I20" i="15"/>
  <c r="I19" i="15"/>
  <c r="I45" i="15"/>
  <c r="I23" i="15"/>
  <c r="I41" i="15"/>
  <c r="I25" i="15"/>
  <c r="I36" i="15" s="1"/>
  <c r="I46" i="15"/>
  <c r="U7" i="15"/>
  <c r="J24" i="10"/>
  <c r="J44" i="10" s="1"/>
  <c r="J22" i="10"/>
  <c r="J42" i="10" s="1"/>
  <c r="J47" i="10"/>
  <c r="J46" i="10" s="1"/>
  <c r="J18" i="10"/>
  <c r="J38" i="10" s="1"/>
  <c r="J23" i="10"/>
  <c r="J43" i="10" s="1"/>
  <c r="AC65" i="10"/>
  <c r="AC70" i="10" s="1"/>
  <c r="AC39" i="10" s="1"/>
  <c r="J25" i="10"/>
  <c r="J21" i="10"/>
  <c r="J41" i="10" s="1"/>
  <c r="J19" i="10"/>
  <c r="J39" i="10" s="1"/>
  <c r="AC81" i="10"/>
  <c r="AC86" i="10" s="1"/>
  <c r="AE43" i="10" s="1"/>
  <c r="CE14" i="10"/>
  <c r="J20" i="10"/>
  <c r="J40" i="10" s="1"/>
  <c r="V7" i="10"/>
  <c r="J25" i="7"/>
  <c r="J18" i="7"/>
  <c r="J38" i="7" s="1"/>
  <c r="V7" i="7"/>
  <c r="AC65" i="7"/>
  <c r="AC70" i="7" s="1"/>
  <c r="AC39" i="7" s="1"/>
  <c r="J24" i="7"/>
  <c r="J44" i="7" s="1"/>
  <c r="J22" i="7"/>
  <c r="J42" i="7" s="1"/>
  <c r="AC81" i="7"/>
  <c r="AC86" i="7" s="1"/>
  <c r="AE43" i="7" s="1"/>
  <c r="J20" i="7"/>
  <c r="J40" i="7" s="1"/>
  <c r="J21" i="7"/>
  <c r="J41" i="7" s="1"/>
  <c r="CE14" i="7"/>
  <c r="J47" i="7"/>
  <c r="J46" i="7" s="1"/>
  <c r="J23" i="7"/>
  <c r="J43" i="7" s="1"/>
  <c r="J19" i="7"/>
  <c r="J39" i="7" s="1"/>
  <c r="I38" i="6"/>
  <c r="I39" i="6"/>
  <c r="I21" i="6"/>
  <c r="I43" i="6"/>
  <c r="I46" i="6"/>
  <c r="I41" i="6"/>
  <c r="I24" i="6"/>
  <c r="I45" i="6"/>
  <c r="I47" i="6"/>
  <c r="I20" i="6"/>
  <c r="I18" i="6"/>
  <c r="I19" i="6"/>
  <c r="I22" i="6"/>
  <c r="I42" i="6"/>
  <c r="I25" i="6"/>
  <c r="I36" i="6" s="1"/>
  <c r="I23" i="6"/>
  <c r="I44" i="6"/>
  <c r="I40" i="6"/>
  <c r="U7" i="6"/>
  <c r="AC63" i="9"/>
  <c r="L21" i="9"/>
  <c r="L47" i="9"/>
  <c r="L22" i="9"/>
  <c r="L19" i="9"/>
  <c r="AC80" i="9"/>
  <c r="AC79" i="9"/>
  <c r="CC14" i="9"/>
  <c r="M14" i="9"/>
  <c r="L20" i="9"/>
  <c r="L25" i="9"/>
  <c r="L36" i="9" s="1"/>
  <c r="L24" i="9"/>
  <c r="L18" i="9"/>
  <c r="AC62" i="9"/>
  <c r="AC78" i="9"/>
  <c r="L23" i="9"/>
  <c r="AC64" i="9"/>
  <c r="CH24" i="7"/>
  <c r="CH22" i="7"/>
  <c r="CH18" i="7"/>
  <c r="CH23" i="7"/>
  <c r="CH19" i="7"/>
  <c r="CH21" i="7"/>
  <c r="CH20" i="7"/>
  <c r="CH25" i="7"/>
  <c r="P19" i="10"/>
  <c r="P28" i="10" s="1"/>
  <c r="P39" i="10" s="1"/>
  <c r="P20" i="10"/>
  <c r="P29" i="10" s="1"/>
  <c r="P40" i="10" s="1"/>
  <c r="Q14" i="10"/>
  <c r="P23" i="10"/>
  <c r="P32" i="10" s="1"/>
  <c r="P43" i="10" s="1"/>
  <c r="P22" i="10"/>
  <c r="P31" i="10" s="1"/>
  <c r="P42" i="10" s="1"/>
  <c r="P47" i="10"/>
  <c r="P48" i="10" s="1"/>
  <c r="P46" i="10" s="1"/>
  <c r="AV14" i="10"/>
  <c r="P24" i="10"/>
  <c r="P33" i="10" s="1"/>
  <c r="P44" i="10" s="1"/>
  <c r="P18" i="10"/>
  <c r="P27" i="10" s="1"/>
  <c r="P25" i="10"/>
  <c r="P36" i="10" s="1"/>
  <c r="P21" i="10"/>
  <c r="P30" i="10" s="1"/>
  <c r="P41" i="10" s="1"/>
  <c r="H71" i="12"/>
  <c r="H65" i="11"/>
  <c r="H69" i="12"/>
  <c r="H66" i="12"/>
  <c r="H67" i="5"/>
  <c r="H68" i="12"/>
  <c r="H68" i="6"/>
  <c r="H65" i="5"/>
  <c r="H69" i="5"/>
  <c r="H67" i="12"/>
  <c r="H69" i="6"/>
  <c r="G66" i="15"/>
  <c r="H64" i="10"/>
  <c r="H64" i="11"/>
  <c r="H71" i="5"/>
  <c r="H65" i="12"/>
  <c r="H63" i="6"/>
  <c r="H71" i="11"/>
  <c r="P68" i="15"/>
  <c r="H71" i="8"/>
  <c r="H67" i="4"/>
  <c r="H68" i="10"/>
  <c r="G69" i="15"/>
  <c r="H64" i="8"/>
  <c r="O71" i="15"/>
  <c r="N68" i="15"/>
  <c r="H67" i="10"/>
  <c r="H64" i="4"/>
  <c r="H65" i="7"/>
  <c r="H65" i="6"/>
  <c r="H66" i="10"/>
  <c r="G67" i="15"/>
  <c r="H68" i="7"/>
  <c r="H68" i="4"/>
  <c r="H64" i="7"/>
  <c r="H66" i="7"/>
  <c r="O68" i="15"/>
  <c r="G65" i="15"/>
  <c r="O69" i="15"/>
  <c r="H70" i="7"/>
  <c r="H65" i="8"/>
  <c r="P69" i="15"/>
  <c r="H66" i="5"/>
  <c r="H66" i="11"/>
  <c r="N69" i="15"/>
  <c r="P71" i="15"/>
  <c r="H63" i="8"/>
  <c r="H68" i="8"/>
  <c r="H71" i="4"/>
  <c r="H71" i="6"/>
  <c r="H63" i="11"/>
  <c r="G68" i="15"/>
  <c r="H63" i="5"/>
  <c r="H63" i="12"/>
  <c r="H66" i="8"/>
  <c r="H70" i="4"/>
  <c r="H70" i="8"/>
  <c r="N71" i="15"/>
  <c r="J71" i="15"/>
  <c r="H67" i="7"/>
  <c r="H65" i="10"/>
  <c r="G63" i="15"/>
  <c r="H68" i="5"/>
  <c r="H70" i="11"/>
  <c r="H70" i="6"/>
  <c r="H65" i="4"/>
  <c r="AC69" i="12" l="1"/>
  <c r="AD38" i="12" s="1"/>
  <c r="T22" i="9"/>
  <c r="V22" i="9" s="1"/>
  <c r="CQ24" i="15"/>
  <c r="V22" i="11"/>
  <c r="U24" i="7"/>
  <c r="V24" i="7" s="1"/>
  <c r="U24" i="8"/>
  <c r="V24" i="8" s="1"/>
  <c r="AC69" i="15"/>
  <c r="AD38" i="15" s="1"/>
  <c r="AE44" i="6"/>
  <c r="AC68" i="4"/>
  <c r="AC37" i="4" s="1"/>
  <c r="AD37" i="4" s="1"/>
  <c r="AC84" i="5"/>
  <c r="AE41" i="5" s="1"/>
  <c r="AC85" i="7"/>
  <c r="AE42" i="7" s="1"/>
  <c r="AC85" i="6"/>
  <c r="AE42" i="6" s="1"/>
  <c r="AC85" i="11"/>
  <c r="AE42" i="11" s="1"/>
  <c r="U24" i="11"/>
  <c r="V24" i="11" s="1"/>
  <c r="CH26" i="4"/>
  <c r="CH28" i="4" s="1"/>
  <c r="AC68" i="11"/>
  <c r="AC37" i="11" s="1"/>
  <c r="T22" i="10"/>
  <c r="V22" i="10" s="1"/>
  <c r="AC84" i="6"/>
  <c r="AE41" i="6" s="1"/>
  <c r="T22" i="5"/>
  <c r="V22" i="5" s="1"/>
  <c r="AE44" i="10"/>
  <c r="U24" i="9"/>
  <c r="V24" i="9" s="1"/>
  <c r="AC68" i="9"/>
  <c r="AC37" i="9" s="1"/>
  <c r="AR1" i="9" s="1"/>
  <c r="AC69" i="4"/>
  <c r="AD38" i="4" s="1"/>
  <c r="T22" i="15"/>
  <c r="V22" i="15" s="1"/>
  <c r="AA66" i="15"/>
  <c r="AC69" i="10"/>
  <c r="AD38" i="10" s="1"/>
  <c r="AC68" i="7"/>
  <c r="AC37" i="7" s="1"/>
  <c r="AD37" i="7" s="1"/>
  <c r="E50" i="7" s="1"/>
  <c r="CH26" i="7"/>
  <c r="CH28" i="7" s="1"/>
  <c r="G34" i="4"/>
  <c r="G35" i="4"/>
  <c r="AA65" i="15"/>
  <c r="J38" i="15"/>
  <c r="J63" i="15"/>
  <c r="J70" i="15"/>
  <c r="J36" i="15"/>
  <c r="J45" i="15"/>
  <c r="H34" i="15"/>
  <c r="H35" i="15"/>
  <c r="G34" i="7"/>
  <c r="G35" i="7"/>
  <c r="H34" i="9"/>
  <c r="H35" i="9"/>
  <c r="G34" i="11"/>
  <c r="G35" i="11"/>
  <c r="AA58" i="15"/>
  <c r="AA61" i="15"/>
  <c r="AA60" i="15"/>
  <c r="G35" i="15"/>
  <c r="G34" i="15"/>
  <c r="AA59" i="15"/>
  <c r="O56" i="15"/>
  <c r="O43" i="15"/>
  <c r="O66" i="15"/>
  <c r="O54" i="15"/>
  <c r="O41" i="15"/>
  <c r="H35" i="11"/>
  <c r="H34" i="11"/>
  <c r="P34" i="9"/>
  <c r="P45" i="9" s="1"/>
  <c r="P38" i="9"/>
  <c r="P35" i="9"/>
  <c r="Q19" i="9"/>
  <c r="Q28" i="9" s="1"/>
  <c r="Q39" i="9" s="1"/>
  <c r="Q22" i="9"/>
  <c r="Q31" i="9" s="1"/>
  <c r="Q42" i="9" s="1"/>
  <c r="Q18" i="9"/>
  <c r="Q27" i="9" s="1"/>
  <c r="Q20" i="9"/>
  <c r="Q29" i="9" s="1"/>
  <c r="Q40" i="9" s="1"/>
  <c r="Q24" i="9"/>
  <c r="Q33" i="9" s="1"/>
  <c r="Q44" i="9" s="1"/>
  <c r="CI14" i="9"/>
  <c r="Q23" i="9"/>
  <c r="Q32" i="9" s="1"/>
  <c r="Q43" i="9" s="1"/>
  <c r="Q21" i="9"/>
  <c r="Q30" i="9" s="1"/>
  <c r="Q41" i="9" s="1"/>
  <c r="Q47" i="9"/>
  <c r="Q48" i="9" s="1"/>
  <c r="Q46" i="9" s="1"/>
  <c r="Q25" i="9"/>
  <c r="Q36" i="9" s="1"/>
  <c r="CC21" i="12"/>
  <c r="CC24" i="12"/>
  <c r="CC22" i="12"/>
  <c r="CC19" i="12"/>
  <c r="CC18" i="12"/>
  <c r="CC20" i="12"/>
  <c r="CC25" i="12"/>
  <c r="CC23" i="12"/>
  <c r="CF20" i="6"/>
  <c r="CF21" i="6"/>
  <c r="CF25" i="6"/>
  <c r="CF18" i="6"/>
  <c r="CF22" i="6"/>
  <c r="CF19" i="6"/>
  <c r="CF23" i="6"/>
  <c r="CF24" i="6"/>
  <c r="N34" i="5"/>
  <c r="N45" i="5" s="1"/>
  <c r="N38" i="5"/>
  <c r="N35" i="5"/>
  <c r="R34" i="11"/>
  <c r="R35" i="11"/>
  <c r="G3" i="15"/>
  <c r="S63" i="15"/>
  <c r="S38" i="15"/>
  <c r="T51" i="15"/>
  <c r="G35" i="12"/>
  <c r="G34" i="12"/>
  <c r="J36" i="4"/>
  <c r="J45" i="4"/>
  <c r="N35" i="6"/>
  <c r="N38" i="6"/>
  <c r="N34" i="6"/>
  <c r="N45" i="6" s="1"/>
  <c r="J36" i="11"/>
  <c r="J45" i="11"/>
  <c r="I35" i="11"/>
  <c r="I34" i="11"/>
  <c r="AV24" i="5"/>
  <c r="AV22" i="5"/>
  <c r="AV18" i="5"/>
  <c r="AV27" i="5" s="1"/>
  <c r="BG14" i="5"/>
  <c r="AV25" i="5"/>
  <c r="AV20" i="5"/>
  <c r="AT14" i="5"/>
  <c r="AV21" i="5"/>
  <c r="BC14" i="5"/>
  <c r="BB14" i="5"/>
  <c r="AV23" i="5"/>
  <c r="AX14" i="5"/>
  <c r="AV19" i="5"/>
  <c r="AV28" i="5" s="1"/>
  <c r="AU14" i="5"/>
  <c r="AS14" i="5"/>
  <c r="CH26" i="5"/>
  <c r="CH28" i="5" s="1"/>
  <c r="AS14" i="7"/>
  <c r="AV23" i="7"/>
  <c r="AV22" i="7"/>
  <c r="AT14" i="7"/>
  <c r="AV24" i="7"/>
  <c r="BG14" i="7"/>
  <c r="AV21" i="7"/>
  <c r="BB14" i="7"/>
  <c r="AU14" i="7"/>
  <c r="AV18" i="7"/>
  <c r="AV27" i="7" s="1"/>
  <c r="BC14" i="7"/>
  <c r="AV19" i="7"/>
  <c r="AV28" i="7" s="1"/>
  <c r="AX14" i="7"/>
  <c r="AV20" i="7"/>
  <c r="AV25" i="7"/>
  <c r="L34" i="11"/>
  <c r="L35" i="11"/>
  <c r="CE25" i="9"/>
  <c r="CE20" i="9"/>
  <c r="CE21" i="9"/>
  <c r="CE22" i="9"/>
  <c r="CE19" i="9"/>
  <c r="CE23" i="9"/>
  <c r="CE24" i="9"/>
  <c r="CE18" i="9"/>
  <c r="N51" i="15"/>
  <c r="N38" i="15"/>
  <c r="N63" i="15"/>
  <c r="N35" i="15"/>
  <c r="N34" i="15"/>
  <c r="N41" i="15"/>
  <c r="N54" i="15"/>
  <c r="N66" i="15"/>
  <c r="CC24" i="10"/>
  <c r="CC19" i="10"/>
  <c r="CC22" i="10"/>
  <c r="CC25" i="10"/>
  <c r="CC18" i="10"/>
  <c r="CC23" i="10"/>
  <c r="CC20" i="10"/>
  <c r="CC21" i="10"/>
  <c r="G34" i="9"/>
  <c r="G35" i="9"/>
  <c r="P57" i="15"/>
  <c r="P44" i="15"/>
  <c r="P64" i="15"/>
  <c r="P39" i="15"/>
  <c r="P52" i="15"/>
  <c r="P42" i="15"/>
  <c r="P67" i="15"/>
  <c r="P55" i="15"/>
  <c r="CE24" i="5"/>
  <c r="CE21" i="5"/>
  <c r="CE22" i="5"/>
  <c r="CE20" i="5"/>
  <c r="CE23" i="5"/>
  <c r="CE19" i="5"/>
  <c r="CE25" i="5"/>
  <c r="CE18" i="5"/>
  <c r="AL8" i="7"/>
  <c r="AL9" i="7" s="1"/>
  <c r="R33" i="7"/>
  <c r="CG18" i="10"/>
  <c r="CG20" i="10"/>
  <c r="CG23" i="10"/>
  <c r="CG19" i="10"/>
  <c r="CG24" i="10"/>
  <c r="CG25" i="10"/>
  <c r="CG21" i="10"/>
  <c r="CG22" i="10"/>
  <c r="CG19" i="7"/>
  <c r="CG20" i="7"/>
  <c r="CG25" i="7"/>
  <c r="CG24" i="7"/>
  <c r="CG21" i="7"/>
  <c r="CG22" i="7"/>
  <c r="CG23" i="7"/>
  <c r="CG18" i="7"/>
  <c r="AV23" i="4"/>
  <c r="AV20" i="4"/>
  <c r="AV18" i="4"/>
  <c r="AV27" i="4" s="1"/>
  <c r="AV19" i="4"/>
  <c r="AV28" i="4" s="1"/>
  <c r="AV22" i="4"/>
  <c r="BG14" i="4"/>
  <c r="AS14" i="4"/>
  <c r="BB14" i="4"/>
  <c r="AX14" i="4"/>
  <c r="BC14" i="4"/>
  <c r="AT14" i="4"/>
  <c r="AU14" i="4"/>
  <c r="AV25" i="4"/>
  <c r="AV21" i="4"/>
  <c r="AV24" i="4"/>
  <c r="R34" i="8"/>
  <c r="R35" i="8"/>
  <c r="AL8" i="8"/>
  <c r="AL9" i="8" s="1"/>
  <c r="R33" i="8"/>
  <c r="AE44" i="12"/>
  <c r="CC23" i="6"/>
  <c r="CC19" i="6"/>
  <c r="CC18" i="6"/>
  <c r="CC24" i="6"/>
  <c r="CC20" i="6"/>
  <c r="CC21" i="6"/>
  <c r="CC22" i="6"/>
  <c r="CC25" i="6"/>
  <c r="L35" i="7"/>
  <c r="L34" i="7"/>
  <c r="CC18" i="7"/>
  <c r="CC21" i="7"/>
  <c r="CC23" i="7"/>
  <c r="CC19" i="7"/>
  <c r="CC20" i="7"/>
  <c r="CC22" i="7"/>
  <c r="CC25" i="7"/>
  <c r="CC24" i="7"/>
  <c r="AL8" i="6"/>
  <c r="AL9" i="6" s="1"/>
  <c r="R33" i="6"/>
  <c r="R34" i="6"/>
  <c r="R35" i="6"/>
  <c r="AC84" i="9"/>
  <c r="AE41" i="9" s="1"/>
  <c r="AE44" i="7"/>
  <c r="O35" i="9"/>
  <c r="O34" i="9"/>
  <c r="O45" i="9" s="1"/>
  <c r="O38" i="9"/>
  <c r="P35" i="11"/>
  <c r="P38" i="11"/>
  <c r="P34" i="11"/>
  <c r="P45" i="11" s="1"/>
  <c r="CG18" i="5"/>
  <c r="CG24" i="5"/>
  <c r="CG19" i="5"/>
  <c r="CG21" i="5"/>
  <c r="CG22" i="5"/>
  <c r="CG23" i="5"/>
  <c r="CG20" i="5"/>
  <c r="CG25" i="5"/>
  <c r="M24" i="5"/>
  <c r="M19" i="5"/>
  <c r="M47" i="5"/>
  <c r="M21" i="5"/>
  <c r="M22" i="5"/>
  <c r="M18" i="5"/>
  <c r="M25" i="5"/>
  <c r="CD14" i="5"/>
  <c r="M20" i="5"/>
  <c r="M23" i="5"/>
  <c r="CC23" i="5"/>
  <c r="CC25" i="5"/>
  <c r="CC24" i="5"/>
  <c r="CC18" i="5"/>
  <c r="CC19" i="5"/>
  <c r="CC20" i="5"/>
  <c r="CC22" i="5"/>
  <c r="CC21" i="5"/>
  <c r="AC68" i="5"/>
  <c r="I35" i="12"/>
  <c r="I34" i="12"/>
  <c r="U24" i="4"/>
  <c r="V24" i="4" s="1"/>
  <c r="T22" i="4"/>
  <c r="V22" i="4" s="1"/>
  <c r="CE19" i="15"/>
  <c r="CE20" i="15"/>
  <c r="CE21" i="15"/>
  <c r="CE23" i="15"/>
  <c r="CE25" i="15"/>
  <c r="CE22" i="15"/>
  <c r="CE24" i="15"/>
  <c r="CE18" i="15"/>
  <c r="J46" i="15"/>
  <c r="T22" i="7"/>
  <c r="V22" i="7" s="1"/>
  <c r="AC69" i="7"/>
  <c r="N35" i="11"/>
  <c r="N34" i="11"/>
  <c r="N45" i="11" s="1"/>
  <c r="N38" i="11"/>
  <c r="AC69" i="6"/>
  <c r="AD38" i="6" s="1"/>
  <c r="U24" i="6"/>
  <c r="V24" i="6" s="1"/>
  <c r="AL8" i="10"/>
  <c r="AL9" i="10" s="1"/>
  <c r="R33" i="10"/>
  <c r="AC69" i="11"/>
  <c r="N34" i="7"/>
  <c r="N45" i="7" s="1"/>
  <c r="N35" i="7"/>
  <c r="N38" i="7"/>
  <c r="O40" i="15"/>
  <c r="O65" i="15"/>
  <c r="O53" i="15"/>
  <c r="O38" i="15"/>
  <c r="O51" i="15"/>
  <c r="O34" i="15"/>
  <c r="O63" i="15"/>
  <c r="O35" i="15"/>
  <c r="O58" i="15"/>
  <c r="O46" i="15"/>
  <c r="R34" i="9"/>
  <c r="R35" i="9"/>
  <c r="R33" i="9"/>
  <c r="AL8" i="9"/>
  <c r="AL9" i="9" s="1"/>
  <c r="AC84" i="8"/>
  <c r="AE41" i="8" s="1"/>
  <c r="CC21" i="8"/>
  <c r="CC22" i="8"/>
  <c r="CC18" i="8"/>
  <c r="CC24" i="8"/>
  <c r="CC20" i="8"/>
  <c r="CC25" i="8"/>
  <c r="CC19" i="8"/>
  <c r="CC23" i="8"/>
  <c r="J36" i="6"/>
  <c r="J45" i="6"/>
  <c r="R34" i="15"/>
  <c r="R35" i="15"/>
  <c r="R51" i="15"/>
  <c r="I35" i="5"/>
  <c r="I34" i="5"/>
  <c r="CC24" i="15"/>
  <c r="CC20" i="15"/>
  <c r="CC22" i="15"/>
  <c r="CC23" i="15"/>
  <c r="CC21" i="15"/>
  <c r="CC18" i="15"/>
  <c r="CC19" i="15"/>
  <c r="CC25" i="15"/>
  <c r="M24" i="15"/>
  <c r="M21" i="15"/>
  <c r="M25" i="15"/>
  <c r="M20" i="15"/>
  <c r="M23" i="15"/>
  <c r="CD14" i="15"/>
  <c r="M22" i="15"/>
  <c r="M18" i="15"/>
  <c r="M19" i="15"/>
  <c r="M47" i="15"/>
  <c r="I35" i="4"/>
  <c r="I34" i="4"/>
  <c r="CF20" i="4"/>
  <c r="CF18" i="4"/>
  <c r="CF24" i="4"/>
  <c r="CF21" i="4"/>
  <c r="CF19" i="4"/>
  <c r="CF22" i="4"/>
  <c r="CF25" i="4"/>
  <c r="CF23" i="4"/>
  <c r="AC68" i="12"/>
  <c r="CH26" i="11"/>
  <c r="CH28" i="11" s="1"/>
  <c r="U24" i="12"/>
  <c r="V24" i="12" s="1"/>
  <c r="AC84" i="4"/>
  <c r="AE41" i="4" s="1"/>
  <c r="CE21" i="4"/>
  <c r="CE25" i="4"/>
  <c r="CE24" i="4"/>
  <c r="CE20" i="4"/>
  <c r="CE19" i="4"/>
  <c r="CE18" i="4"/>
  <c r="CE23" i="4"/>
  <c r="CE22" i="4"/>
  <c r="CH26" i="15"/>
  <c r="J36" i="8"/>
  <c r="J45" i="8"/>
  <c r="AE44" i="11"/>
  <c r="CE18" i="11"/>
  <c r="CE20" i="11"/>
  <c r="CE22" i="11"/>
  <c r="CE21" i="11"/>
  <c r="CE24" i="11"/>
  <c r="CE25" i="11"/>
  <c r="CE23" i="11"/>
  <c r="CE19" i="11"/>
  <c r="P34" i="5"/>
  <c r="P45" i="5" s="1"/>
  <c r="P35" i="5"/>
  <c r="P38" i="5"/>
  <c r="CH26" i="6"/>
  <c r="CH28" i="6" s="1"/>
  <c r="CF25" i="15"/>
  <c r="CF21" i="15"/>
  <c r="CF24" i="15"/>
  <c r="CF22" i="15"/>
  <c r="CF20" i="15"/>
  <c r="CF19" i="15"/>
  <c r="CF18" i="15"/>
  <c r="CF23" i="15"/>
  <c r="O34" i="11"/>
  <c r="O45" i="11" s="1"/>
  <c r="O38" i="11"/>
  <c r="O35" i="11"/>
  <c r="Q20" i="7"/>
  <c r="Q29" i="7" s="1"/>
  <c r="Q40" i="7" s="1"/>
  <c r="Q23" i="7"/>
  <c r="Q32" i="7" s="1"/>
  <c r="Q43" i="7" s="1"/>
  <c r="Q21" i="7"/>
  <c r="Q30" i="7" s="1"/>
  <c r="Q41" i="7" s="1"/>
  <c r="Q19" i="7"/>
  <c r="Q28" i="7" s="1"/>
  <c r="Q39" i="7" s="1"/>
  <c r="Q25" i="7"/>
  <c r="Q36" i="7" s="1"/>
  <c r="Q24" i="7"/>
  <c r="Q33" i="7" s="1"/>
  <c r="Q44" i="7" s="1"/>
  <c r="Q18" i="7"/>
  <c r="Q27" i="7" s="1"/>
  <c r="CI14" i="7"/>
  <c r="Q47" i="7"/>
  <c r="Q48" i="7" s="1"/>
  <c r="Q46" i="7" s="1"/>
  <c r="Q22" i="7"/>
  <c r="Q31" i="7" s="1"/>
  <c r="Q42" i="7" s="1"/>
  <c r="I34" i="10"/>
  <c r="I35" i="10"/>
  <c r="AC84" i="11"/>
  <c r="AE41" i="11" s="1"/>
  <c r="AE44" i="9"/>
  <c r="CF25" i="8"/>
  <c r="CF23" i="8"/>
  <c r="CF18" i="8"/>
  <c r="CF21" i="8"/>
  <c r="CF24" i="8"/>
  <c r="CF19" i="8"/>
  <c r="CF22" i="8"/>
  <c r="CF20" i="8"/>
  <c r="N58" i="15"/>
  <c r="N46" i="15"/>
  <c r="N44" i="15"/>
  <c r="N57" i="15"/>
  <c r="AC68" i="10"/>
  <c r="CG21" i="8"/>
  <c r="CG20" i="8"/>
  <c r="CG25" i="8"/>
  <c r="CG19" i="8"/>
  <c r="CG23" i="8"/>
  <c r="CG24" i="8"/>
  <c r="CG18" i="8"/>
  <c r="CG22" i="8"/>
  <c r="CF22" i="9"/>
  <c r="CF20" i="9"/>
  <c r="CF19" i="9"/>
  <c r="CF21" i="9"/>
  <c r="CF25" i="9"/>
  <c r="CF24" i="9"/>
  <c r="CF23" i="9"/>
  <c r="CF18" i="9"/>
  <c r="AV21" i="8"/>
  <c r="BB14" i="8"/>
  <c r="AV25" i="8"/>
  <c r="BG14" i="8"/>
  <c r="AV24" i="8"/>
  <c r="AV18" i="8"/>
  <c r="AV27" i="8" s="1"/>
  <c r="AT14" i="8"/>
  <c r="AV19" i="8"/>
  <c r="AV28" i="8" s="1"/>
  <c r="AV23" i="8"/>
  <c r="AV20" i="8"/>
  <c r="AU14" i="8"/>
  <c r="AS14" i="8"/>
  <c r="AX14" i="8"/>
  <c r="BC14" i="8"/>
  <c r="AV22" i="8"/>
  <c r="P66" i="15"/>
  <c r="P41" i="15"/>
  <c r="P54" i="15"/>
  <c r="P56" i="15"/>
  <c r="P43" i="15"/>
  <c r="CI14" i="15"/>
  <c r="Q20" i="15"/>
  <c r="Q29" i="15" s="1"/>
  <c r="Q22" i="15"/>
  <c r="Q31" i="15" s="1"/>
  <c r="Q19" i="15"/>
  <c r="Q28" i="15" s="1"/>
  <c r="Q47" i="15"/>
  <c r="Q48" i="15" s="1"/>
  <c r="Q23" i="15"/>
  <c r="Q32" i="15" s="1"/>
  <c r="Q25" i="15"/>
  <c r="Q36" i="15" s="1"/>
  <c r="Q21" i="15"/>
  <c r="Q30" i="15" s="1"/>
  <c r="Q24" i="15"/>
  <c r="Q33" i="15" s="1"/>
  <c r="Q18" i="15"/>
  <c r="Q27" i="15" s="1"/>
  <c r="H35" i="5"/>
  <c r="H34" i="5"/>
  <c r="J45" i="5"/>
  <c r="J36" i="5"/>
  <c r="AE44" i="5"/>
  <c r="O35" i="10"/>
  <c r="O38" i="10"/>
  <c r="O34" i="10"/>
  <c r="O45" i="10" s="1"/>
  <c r="I35" i="9"/>
  <c r="I34" i="9"/>
  <c r="Q22" i="4"/>
  <c r="Q31" i="4" s="1"/>
  <c r="Q42" i="4" s="1"/>
  <c r="Q23" i="4"/>
  <c r="Q32" i="4" s="1"/>
  <c r="Q43" i="4" s="1"/>
  <c r="Q21" i="4"/>
  <c r="Q30" i="4" s="1"/>
  <c r="Q41" i="4" s="1"/>
  <c r="Q24" i="4"/>
  <c r="Q33" i="4" s="1"/>
  <c r="Q44" i="4" s="1"/>
  <c r="Q25" i="4"/>
  <c r="Q36" i="4" s="1"/>
  <c r="Q20" i="4"/>
  <c r="Q29" i="4" s="1"/>
  <c r="Q40" i="4" s="1"/>
  <c r="CI14" i="4"/>
  <c r="Q19" i="4"/>
  <c r="Q28" i="4" s="1"/>
  <c r="Q39" i="4" s="1"/>
  <c r="Q18" i="4"/>
  <c r="Q27" i="4" s="1"/>
  <c r="Q47" i="4"/>
  <c r="Q48" i="4" s="1"/>
  <c r="Q46" i="4" s="1"/>
  <c r="CE21" i="12"/>
  <c r="CE18" i="12"/>
  <c r="CE25" i="12"/>
  <c r="CE20" i="12"/>
  <c r="CE23" i="12"/>
  <c r="CE24" i="12"/>
  <c r="CE22" i="12"/>
  <c r="CE19" i="12"/>
  <c r="M22" i="6"/>
  <c r="M25" i="6"/>
  <c r="M23" i="6"/>
  <c r="M24" i="6"/>
  <c r="M47" i="6"/>
  <c r="M20" i="6"/>
  <c r="M18" i="6"/>
  <c r="M19" i="6"/>
  <c r="CD14" i="6"/>
  <c r="M21" i="6"/>
  <c r="H35" i="4"/>
  <c r="H34" i="4"/>
  <c r="AC69" i="5"/>
  <c r="AD38" i="5" s="1"/>
  <c r="U24" i="5"/>
  <c r="V24" i="5" s="1"/>
  <c r="CC23" i="9"/>
  <c r="CC24" i="9"/>
  <c r="CC25" i="9"/>
  <c r="CC22" i="9"/>
  <c r="CC18" i="9"/>
  <c r="CC20" i="9"/>
  <c r="CC21" i="9"/>
  <c r="CC19" i="9"/>
  <c r="I34" i="6"/>
  <c r="I35" i="6"/>
  <c r="J39" i="15"/>
  <c r="J64" i="15"/>
  <c r="P35" i="10"/>
  <c r="P34" i="10"/>
  <c r="P45" i="10" s="1"/>
  <c r="P38" i="10"/>
  <c r="CE22" i="7"/>
  <c r="CE24" i="7"/>
  <c r="CE25" i="7"/>
  <c r="CE19" i="7"/>
  <c r="CE23" i="7"/>
  <c r="CE20" i="7"/>
  <c r="CE21" i="7"/>
  <c r="CE18" i="7"/>
  <c r="CE24" i="10"/>
  <c r="CE18" i="10"/>
  <c r="CE25" i="10"/>
  <c r="CE21" i="10"/>
  <c r="CE22" i="10"/>
  <c r="CE20" i="10"/>
  <c r="CE19" i="10"/>
  <c r="CE23" i="10"/>
  <c r="J36" i="10"/>
  <c r="J45" i="10"/>
  <c r="CH26" i="8"/>
  <c r="CH28" i="8" s="1"/>
  <c r="O35" i="5"/>
  <c r="O34" i="5"/>
  <c r="O45" i="5" s="1"/>
  <c r="O38" i="5"/>
  <c r="N35" i="10"/>
  <c r="N34" i="10"/>
  <c r="N45" i="10" s="1"/>
  <c r="N38" i="10"/>
  <c r="L34" i="5"/>
  <c r="L35" i="5"/>
  <c r="AC85" i="4"/>
  <c r="AE42" i="4" s="1"/>
  <c r="J40" i="15"/>
  <c r="J65" i="15"/>
  <c r="J42" i="15"/>
  <c r="J67" i="15"/>
  <c r="J44" i="15"/>
  <c r="J69" i="15"/>
  <c r="CF22" i="7"/>
  <c r="CF25" i="7"/>
  <c r="CF24" i="7"/>
  <c r="CF20" i="7"/>
  <c r="CF21" i="7"/>
  <c r="CF18" i="7"/>
  <c r="CF19" i="7"/>
  <c r="CF23" i="7"/>
  <c r="T22" i="6"/>
  <c r="V22" i="6" s="1"/>
  <c r="G35" i="8"/>
  <c r="G34" i="8"/>
  <c r="T22" i="8"/>
  <c r="V22" i="8" s="1"/>
  <c r="AC69" i="8"/>
  <c r="AD38" i="8" s="1"/>
  <c r="H35" i="10"/>
  <c r="H34" i="10"/>
  <c r="H35" i="6"/>
  <c r="H34" i="6"/>
  <c r="CG24" i="12"/>
  <c r="CG19" i="12"/>
  <c r="CG25" i="12"/>
  <c r="CG18" i="12"/>
  <c r="CG20" i="12"/>
  <c r="CG23" i="12"/>
  <c r="CG22" i="12"/>
  <c r="CG21" i="12"/>
  <c r="O38" i="12"/>
  <c r="O35" i="12"/>
  <c r="O34" i="12"/>
  <c r="O45" i="12" s="1"/>
  <c r="O55" i="15"/>
  <c r="O42" i="15"/>
  <c r="O67" i="15"/>
  <c r="O39" i="15"/>
  <c r="O64" i="15"/>
  <c r="O52" i="15"/>
  <c r="AV23" i="6"/>
  <c r="AV22" i="6"/>
  <c r="AV25" i="6"/>
  <c r="BC14" i="6"/>
  <c r="AV20" i="6"/>
  <c r="AS14" i="6"/>
  <c r="AT14" i="6"/>
  <c r="BG14" i="6"/>
  <c r="AU14" i="6"/>
  <c r="AV21" i="6"/>
  <c r="AV24" i="6"/>
  <c r="BB14" i="6"/>
  <c r="AV18" i="6"/>
  <c r="AV27" i="6" s="1"/>
  <c r="AV19" i="6"/>
  <c r="AV28" i="6" s="1"/>
  <c r="AX14" i="6"/>
  <c r="Q18" i="6"/>
  <c r="Q27" i="6" s="1"/>
  <c r="Q21" i="6"/>
  <c r="Q30" i="6" s="1"/>
  <c r="Q41" i="6" s="1"/>
  <c r="CI14" i="6"/>
  <c r="Q19" i="6"/>
  <c r="Q28" i="6" s="1"/>
  <c r="Q39" i="6" s="1"/>
  <c r="Q24" i="6"/>
  <c r="Q33" i="6" s="1"/>
  <c r="Q44" i="6" s="1"/>
  <c r="Q23" i="6"/>
  <c r="Q32" i="6" s="1"/>
  <c r="Q43" i="6" s="1"/>
  <c r="Q20" i="6"/>
  <c r="Q29" i="6" s="1"/>
  <c r="Q40" i="6" s="1"/>
  <c r="Q47" i="6"/>
  <c r="Q48" i="6" s="1"/>
  <c r="Q46" i="6" s="1"/>
  <c r="Q22" i="6"/>
  <c r="Q31" i="6" s="1"/>
  <c r="Q42" i="6" s="1"/>
  <c r="Q25" i="6"/>
  <c r="Q36" i="6" s="1"/>
  <c r="CG19" i="4"/>
  <c r="CG23" i="4"/>
  <c r="CG24" i="4"/>
  <c r="CG20" i="4"/>
  <c r="CG21" i="4"/>
  <c r="CG22" i="4"/>
  <c r="CG25" i="4"/>
  <c r="CG18" i="4"/>
  <c r="M18" i="8"/>
  <c r="M22" i="8"/>
  <c r="M19" i="8"/>
  <c r="M21" i="8"/>
  <c r="M25" i="8"/>
  <c r="M24" i="8"/>
  <c r="M47" i="8"/>
  <c r="M20" i="8"/>
  <c r="CD14" i="8"/>
  <c r="M23" i="8"/>
  <c r="AC68" i="8"/>
  <c r="R33" i="15"/>
  <c r="R57" i="15" s="1"/>
  <c r="AL8" i="15"/>
  <c r="L34" i="15"/>
  <c r="AA64" i="15"/>
  <c r="L35" i="15"/>
  <c r="AA63" i="15"/>
  <c r="AA62" i="15"/>
  <c r="L34" i="12"/>
  <c r="L35" i="12"/>
  <c r="M19" i="12"/>
  <c r="M20" i="12"/>
  <c r="M25" i="12"/>
  <c r="M23" i="12"/>
  <c r="M24" i="12"/>
  <c r="M22" i="12"/>
  <c r="M18" i="12"/>
  <c r="CD14" i="12"/>
  <c r="M21" i="12"/>
  <c r="M47" i="12"/>
  <c r="AC85" i="12"/>
  <c r="AE42" i="12" s="1"/>
  <c r="CC18" i="4"/>
  <c r="CC20" i="4"/>
  <c r="CC19" i="4"/>
  <c r="CC21" i="4"/>
  <c r="CC23" i="4"/>
  <c r="CC25" i="4"/>
  <c r="CC24" i="4"/>
  <c r="CC22" i="4"/>
  <c r="AE44" i="4"/>
  <c r="N38" i="8"/>
  <c r="N35" i="8"/>
  <c r="N34" i="8"/>
  <c r="N45" i="8" s="1"/>
  <c r="CF18" i="10"/>
  <c r="CF21" i="10"/>
  <c r="CF25" i="10"/>
  <c r="CF24" i="10"/>
  <c r="CF20" i="10"/>
  <c r="CF23" i="10"/>
  <c r="CF22" i="10"/>
  <c r="CF19" i="10"/>
  <c r="H35" i="7"/>
  <c r="H34" i="7"/>
  <c r="Q20" i="5"/>
  <c r="Q29" i="5" s="1"/>
  <c r="Q40" i="5" s="1"/>
  <c r="Q21" i="5"/>
  <c r="Q30" i="5" s="1"/>
  <c r="Q41" i="5" s="1"/>
  <c r="Q18" i="5"/>
  <c r="Q27" i="5" s="1"/>
  <c r="Q25" i="5"/>
  <c r="Q36" i="5" s="1"/>
  <c r="Q23" i="5"/>
  <c r="Q32" i="5" s="1"/>
  <c r="Q43" i="5" s="1"/>
  <c r="Q22" i="5"/>
  <c r="Q31" i="5" s="1"/>
  <c r="Q42" i="5" s="1"/>
  <c r="Q24" i="5"/>
  <c r="Q33" i="5" s="1"/>
  <c r="Q44" i="5" s="1"/>
  <c r="Q47" i="5"/>
  <c r="Q48" i="5" s="1"/>
  <c r="Q46" i="5" s="1"/>
  <c r="Q19" i="5"/>
  <c r="Q28" i="5" s="1"/>
  <c r="Q39" i="5" s="1"/>
  <c r="CI14" i="5"/>
  <c r="CG25" i="11"/>
  <c r="CG20" i="11"/>
  <c r="CG18" i="11"/>
  <c r="CG23" i="11"/>
  <c r="CG24" i="11"/>
  <c r="CG22" i="11"/>
  <c r="CG19" i="11"/>
  <c r="CG21" i="11"/>
  <c r="CC25" i="11"/>
  <c r="CC19" i="11"/>
  <c r="CC22" i="11"/>
  <c r="CC23" i="11"/>
  <c r="CC18" i="11"/>
  <c r="CC21" i="11"/>
  <c r="CC20" i="11"/>
  <c r="CC24" i="11"/>
  <c r="M24" i="11"/>
  <c r="M19" i="11"/>
  <c r="M22" i="11"/>
  <c r="M21" i="11"/>
  <c r="CD14" i="11"/>
  <c r="M23" i="11"/>
  <c r="M25" i="11"/>
  <c r="M20" i="11"/>
  <c r="M18" i="11"/>
  <c r="M47" i="11"/>
  <c r="N64" i="15"/>
  <c r="N39" i="15"/>
  <c r="N52" i="15"/>
  <c r="N67" i="15"/>
  <c r="N42" i="15"/>
  <c r="N55" i="15"/>
  <c r="CG18" i="6"/>
  <c r="CG19" i="6"/>
  <c r="CG21" i="6"/>
  <c r="CG22" i="6"/>
  <c r="CG23" i="6"/>
  <c r="CG20" i="6"/>
  <c r="CG24" i="6"/>
  <c r="CG25" i="6"/>
  <c r="AC84" i="10"/>
  <c r="AE41" i="10" s="1"/>
  <c r="AC85" i="9"/>
  <c r="AE42" i="9" s="1"/>
  <c r="O38" i="8"/>
  <c r="O35" i="8"/>
  <c r="O34" i="8"/>
  <c r="O45" i="8" s="1"/>
  <c r="P58" i="15"/>
  <c r="P46" i="15"/>
  <c r="AV24" i="15"/>
  <c r="BB14" i="15"/>
  <c r="AV23" i="15"/>
  <c r="AX14" i="15"/>
  <c r="AV19" i="15"/>
  <c r="AV28" i="15" s="1"/>
  <c r="AS14" i="15"/>
  <c r="AV20" i="15"/>
  <c r="AV25" i="15"/>
  <c r="AV22" i="15"/>
  <c r="BG14" i="15"/>
  <c r="AV21" i="15"/>
  <c r="AU14" i="15"/>
  <c r="AT14" i="15"/>
  <c r="AV18" i="15"/>
  <c r="AV27" i="15" s="1"/>
  <c r="BC14" i="15"/>
  <c r="P40" i="15"/>
  <c r="P53" i="15"/>
  <c r="P65" i="15"/>
  <c r="R34" i="12"/>
  <c r="R35" i="12"/>
  <c r="I35" i="7"/>
  <c r="I34" i="7"/>
  <c r="R35" i="7"/>
  <c r="R34" i="7"/>
  <c r="H35" i="8"/>
  <c r="H34" i="8"/>
  <c r="AC85" i="10"/>
  <c r="AE42" i="10" s="1"/>
  <c r="O38" i="7"/>
  <c r="O34" i="7"/>
  <c r="O45" i="7" s="1"/>
  <c r="O35" i="7"/>
  <c r="P38" i="4"/>
  <c r="P35" i="4"/>
  <c r="P34" i="4"/>
  <c r="P45" i="4" s="1"/>
  <c r="L35" i="6"/>
  <c r="L34" i="6"/>
  <c r="M20" i="7"/>
  <c r="M19" i="7"/>
  <c r="M18" i="7"/>
  <c r="M21" i="7"/>
  <c r="CD14" i="7"/>
  <c r="M23" i="7"/>
  <c r="M25" i="7"/>
  <c r="M47" i="7"/>
  <c r="M24" i="7"/>
  <c r="M22" i="7"/>
  <c r="AC84" i="7"/>
  <c r="AE41" i="7" s="1"/>
  <c r="G34" i="5"/>
  <c r="G35" i="5"/>
  <c r="R35" i="5"/>
  <c r="R34" i="5"/>
  <c r="AV22" i="10"/>
  <c r="AU14" i="10"/>
  <c r="AV23" i="10"/>
  <c r="BG14" i="10"/>
  <c r="AT14" i="10"/>
  <c r="AV19" i="10"/>
  <c r="AV28" i="10" s="1"/>
  <c r="AV24" i="10"/>
  <c r="AV21" i="10"/>
  <c r="AV25" i="10"/>
  <c r="AS14" i="10"/>
  <c r="AV18" i="10"/>
  <c r="AV27" i="10" s="1"/>
  <c r="BB14" i="10"/>
  <c r="AV20" i="10"/>
  <c r="BC14" i="10"/>
  <c r="AX14" i="10"/>
  <c r="Q47" i="10"/>
  <c r="Q48" i="10" s="1"/>
  <c r="Q46" i="10" s="1"/>
  <c r="Q21" i="10"/>
  <c r="Q30" i="10" s="1"/>
  <c r="Q41" i="10" s="1"/>
  <c r="Q23" i="10"/>
  <c r="Q32" i="10" s="1"/>
  <c r="Q43" i="10" s="1"/>
  <c r="CI14" i="10"/>
  <c r="Q25" i="10"/>
  <c r="Q36" i="10" s="1"/>
  <c r="Q20" i="10"/>
  <c r="Q29" i="10" s="1"/>
  <c r="Q40" i="10" s="1"/>
  <c r="Q19" i="10"/>
  <c r="Q28" i="10" s="1"/>
  <c r="Q39" i="10" s="1"/>
  <c r="Q24" i="10"/>
  <c r="Q33" i="10" s="1"/>
  <c r="Q44" i="10" s="1"/>
  <c r="Q22" i="10"/>
  <c r="Q31" i="10" s="1"/>
  <c r="Q42" i="10" s="1"/>
  <c r="Q18" i="10"/>
  <c r="Q27" i="10" s="1"/>
  <c r="I34" i="15"/>
  <c r="I35" i="15"/>
  <c r="CF18" i="12"/>
  <c r="CF21" i="12"/>
  <c r="CF23" i="12"/>
  <c r="CF19" i="12"/>
  <c r="CF22" i="12"/>
  <c r="CF25" i="12"/>
  <c r="CF20" i="12"/>
  <c r="CF24" i="12"/>
  <c r="CH26" i="10"/>
  <c r="CH28" i="10" s="1"/>
  <c r="L34" i="9"/>
  <c r="L35" i="9"/>
  <c r="M22" i="9"/>
  <c r="M25" i="9"/>
  <c r="M47" i="9"/>
  <c r="M23" i="9"/>
  <c r="M18" i="9"/>
  <c r="M20" i="9"/>
  <c r="M24" i="9"/>
  <c r="M21" i="9"/>
  <c r="M19" i="9"/>
  <c r="CD14" i="9"/>
  <c r="J45" i="7"/>
  <c r="J36" i="7"/>
  <c r="CG21" i="9"/>
  <c r="CG25" i="9"/>
  <c r="CG18" i="9"/>
  <c r="CG22" i="9"/>
  <c r="CG19" i="9"/>
  <c r="CG24" i="9"/>
  <c r="CG20" i="9"/>
  <c r="CG23" i="9"/>
  <c r="Q19" i="11"/>
  <c r="Q28" i="11" s="1"/>
  <c r="Q39" i="11" s="1"/>
  <c r="Q18" i="11"/>
  <c r="Q27" i="11" s="1"/>
  <c r="Q20" i="11"/>
  <c r="Q29" i="11" s="1"/>
  <c r="Q40" i="11" s="1"/>
  <c r="Q24" i="11"/>
  <c r="Q33" i="11" s="1"/>
  <c r="Q44" i="11" s="1"/>
  <c r="Q22" i="11"/>
  <c r="Q31" i="11" s="1"/>
  <c r="Q42" i="11" s="1"/>
  <c r="CI14" i="11"/>
  <c r="Q25" i="11"/>
  <c r="Q36" i="11" s="1"/>
  <c r="Q47" i="11"/>
  <c r="Q48" i="11" s="1"/>
  <c r="Q46" i="11" s="1"/>
  <c r="Q23" i="11"/>
  <c r="Q32" i="11" s="1"/>
  <c r="Q43" i="11" s="1"/>
  <c r="Q21" i="11"/>
  <c r="Q30" i="11" s="1"/>
  <c r="Q41" i="11" s="1"/>
  <c r="AX14" i="11"/>
  <c r="BC14" i="11"/>
  <c r="AV23" i="11"/>
  <c r="AV25" i="11"/>
  <c r="AV20" i="11"/>
  <c r="AV19" i="11"/>
  <c r="AV28" i="11" s="1"/>
  <c r="AV22" i="11"/>
  <c r="AV21" i="11"/>
  <c r="AV18" i="11"/>
  <c r="AV27" i="11" s="1"/>
  <c r="AU14" i="11"/>
  <c r="BB14" i="11"/>
  <c r="BG14" i="11"/>
  <c r="AV24" i="11"/>
  <c r="AT14" i="11"/>
  <c r="AS14" i="11"/>
  <c r="N34" i="4"/>
  <c r="N45" i="4" s="1"/>
  <c r="N35" i="4"/>
  <c r="N38" i="4"/>
  <c r="J68" i="15"/>
  <c r="J43" i="15"/>
  <c r="J41" i="15"/>
  <c r="J66" i="15"/>
  <c r="G34" i="6"/>
  <c r="G35" i="6"/>
  <c r="AC85" i="8"/>
  <c r="AE42" i="8" s="1"/>
  <c r="R34" i="10"/>
  <c r="R35" i="10"/>
  <c r="N34" i="12"/>
  <c r="N45" i="12" s="1"/>
  <c r="N38" i="12"/>
  <c r="N35" i="12"/>
  <c r="U24" i="15"/>
  <c r="V24" i="15" s="1"/>
  <c r="AC85" i="15"/>
  <c r="AE42" i="15" s="1"/>
  <c r="O57" i="15"/>
  <c r="O44" i="15"/>
  <c r="CG23" i="15"/>
  <c r="CG22" i="15"/>
  <c r="CG20" i="15"/>
  <c r="CG18" i="15"/>
  <c r="CG21" i="15"/>
  <c r="CG19" i="15"/>
  <c r="CG25" i="15"/>
  <c r="CG24" i="15"/>
  <c r="P35" i="6"/>
  <c r="P34" i="6"/>
  <c r="P45" i="6" s="1"/>
  <c r="P38" i="6"/>
  <c r="CH26" i="9"/>
  <c r="CH28" i="9" s="1"/>
  <c r="O38" i="4"/>
  <c r="O35" i="4"/>
  <c r="O34" i="4"/>
  <c r="O45" i="4" s="1"/>
  <c r="L34" i="8"/>
  <c r="L35" i="8"/>
  <c r="CE22" i="6"/>
  <c r="CE18" i="6"/>
  <c r="CE21" i="6"/>
  <c r="CE24" i="6"/>
  <c r="CE25" i="6"/>
  <c r="CE23" i="6"/>
  <c r="CE19" i="6"/>
  <c r="CE20" i="6"/>
  <c r="AC84" i="15"/>
  <c r="AE41" i="15" s="1"/>
  <c r="AC68" i="15"/>
  <c r="I34" i="8"/>
  <c r="I35" i="8"/>
  <c r="AV22" i="9"/>
  <c r="AU14" i="9"/>
  <c r="AS14" i="9"/>
  <c r="AV24" i="9"/>
  <c r="AT14" i="9"/>
  <c r="BB14" i="9"/>
  <c r="AV20" i="9"/>
  <c r="BG14" i="9"/>
  <c r="BC14" i="9"/>
  <c r="AV18" i="9"/>
  <c r="AV27" i="9" s="1"/>
  <c r="AV23" i="9"/>
  <c r="AX14" i="9"/>
  <c r="AV19" i="9"/>
  <c r="AV28" i="9" s="1"/>
  <c r="AV21" i="9"/>
  <c r="AV25" i="9"/>
  <c r="AC84" i="12"/>
  <c r="AE41" i="12" s="1"/>
  <c r="R33" i="11"/>
  <c r="AL8" i="11"/>
  <c r="AL9" i="11" s="1"/>
  <c r="T22" i="12"/>
  <c r="V22" i="12" s="1"/>
  <c r="M20" i="4"/>
  <c r="M23" i="4"/>
  <c r="CD14" i="4"/>
  <c r="M25" i="4"/>
  <c r="M24" i="4"/>
  <c r="M19" i="4"/>
  <c r="M22" i="4"/>
  <c r="M18" i="4"/>
  <c r="M47" i="4"/>
  <c r="M21" i="4"/>
  <c r="L35" i="4"/>
  <c r="L34" i="4"/>
  <c r="AE44" i="8"/>
  <c r="CE20" i="8"/>
  <c r="CE25" i="8"/>
  <c r="CE22" i="8"/>
  <c r="CE21" i="8"/>
  <c r="CE19" i="8"/>
  <c r="CE18" i="8"/>
  <c r="CE24" i="8"/>
  <c r="CE23" i="8"/>
  <c r="N34" i="9"/>
  <c r="N45" i="9" s="1"/>
  <c r="N35" i="9"/>
  <c r="N38" i="9"/>
  <c r="CH26" i="12"/>
  <c r="CH28" i="12" s="1"/>
  <c r="CF20" i="5"/>
  <c r="CF23" i="5"/>
  <c r="CF18" i="5"/>
  <c r="CF22" i="5"/>
  <c r="CF19" i="5"/>
  <c r="CF25" i="5"/>
  <c r="CF21" i="5"/>
  <c r="CF24" i="5"/>
  <c r="P34" i="7"/>
  <c r="P45" i="7" s="1"/>
  <c r="P35" i="7"/>
  <c r="P38" i="7"/>
  <c r="H34" i="12"/>
  <c r="H35" i="12"/>
  <c r="J45" i="9"/>
  <c r="J36" i="9"/>
  <c r="N65" i="15"/>
  <c r="N40" i="15"/>
  <c r="N53" i="15"/>
  <c r="N56" i="15"/>
  <c r="N43" i="15"/>
  <c r="O38" i="6"/>
  <c r="O35" i="6"/>
  <c r="O34" i="6"/>
  <c r="O45" i="6" s="1"/>
  <c r="L34" i="10"/>
  <c r="L35" i="10"/>
  <c r="CD14" i="10"/>
  <c r="M23" i="10"/>
  <c r="M47" i="10"/>
  <c r="M19" i="10"/>
  <c r="M24" i="10"/>
  <c r="M21" i="10"/>
  <c r="M20" i="10"/>
  <c r="M25" i="10"/>
  <c r="M22" i="10"/>
  <c r="M18" i="10"/>
  <c r="AC69" i="9"/>
  <c r="R35" i="4"/>
  <c r="R34" i="4"/>
  <c r="AL8" i="4"/>
  <c r="AL9" i="4" s="1"/>
  <c r="R33" i="4"/>
  <c r="Q18" i="8"/>
  <c r="Q27" i="8" s="1"/>
  <c r="Q20" i="8"/>
  <c r="Q29" i="8" s="1"/>
  <c r="Q40" i="8" s="1"/>
  <c r="CI14" i="8"/>
  <c r="Q23" i="8"/>
  <c r="Q32" i="8" s="1"/>
  <c r="Q43" i="8" s="1"/>
  <c r="Q21" i="8"/>
  <c r="Q30" i="8" s="1"/>
  <c r="Q41" i="8" s="1"/>
  <c r="Q47" i="8"/>
  <c r="Q48" i="8" s="1"/>
  <c r="Q46" i="8" s="1"/>
  <c r="Q22" i="8"/>
  <c r="Q31" i="8" s="1"/>
  <c r="Q42" i="8" s="1"/>
  <c r="Q25" i="8"/>
  <c r="Q36" i="8" s="1"/>
  <c r="Q19" i="8"/>
  <c r="Q28" i="8" s="1"/>
  <c r="Q39" i="8" s="1"/>
  <c r="Q24" i="8"/>
  <c r="Q33" i="8" s="1"/>
  <c r="Q44" i="8" s="1"/>
  <c r="P35" i="8"/>
  <c r="P34" i="8"/>
  <c r="P45" i="8" s="1"/>
  <c r="P38" i="8"/>
  <c r="P35" i="15"/>
  <c r="P38" i="15"/>
  <c r="P63" i="15"/>
  <c r="P51" i="15"/>
  <c r="P34" i="15"/>
  <c r="CF23" i="11"/>
  <c r="CF25" i="11"/>
  <c r="CF20" i="11"/>
  <c r="CF24" i="11"/>
  <c r="CF19" i="11"/>
  <c r="CF21" i="11"/>
  <c r="CF22" i="11"/>
  <c r="CF18" i="11"/>
  <c r="AL8" i="12"/>
  <c r="AL9" i="12" s="1"/>
  <c r="R33" i="12"/>
  <c r="U24" i="10"/>
  <c r="V24" i="10" s="1"/>
  <c r="G34" i="10"/>
  <c r="G35" i="10"/>
  <c r="J45" i="12"/>
  <c r="J36" i="12"/>
  <c r="AC68" i="6"/>
  <c r="AC85" i="5"/>
  <c r="AE42" i="5" s="1"/>
  <c r="AV22" i="12"/>
  <c r="AV19" i="12"/>
  <c r="AV28" i="12" s="1"/>
  <c r="BC14" i="12"/>
  <c r="AV21" i="12"/>
  <c r="AX14" i="12"/>
  <c r="AV23" i="12"/>
  <c r="AT14" i="12"/>
  <c r="AS14" i="12"/>
  <c r="AV18" i="12"/>
  <c r="AV27" i="12" s="1"/>
  <c r="BB14" i="12"/>
  <c r="BG14" i="12"/>
  <c r="AU14" i="12"/>
  <c r="AV24" i="12"/>
  <c r="AV20" i="12"/>
  <c r="AV25" i="12"/>
  <c r="Q25" i="12"/>
  <c r="Q36" i="12" s="1"/>
  <c r="Q22" i="12"/>
  <c r="Q31" i="12" s="1"/>
  <c r="Q42" i="12" s="1"/>
  <c r="Q18" i="12"/>
  <c r="Q27" i="12" s="1"/>
  <c r="Q24" i="12"/>
  <c r="Q33" i="12" s="1"/>
  <c r="Q44" i="12" s="1"/>
  <c r="CI14" i="12"/>
  <c r="Q20" i="12"/>
  <c r="Q29" i="12" s="1"/>
  <c r="Q40" i="12" s="1"/>
  <c r="Q19" i="12"/>
  <c r="Q28" i="12" s="1"/>
  <c r="Q39" i="12" s="1"/>
  <c r="Q23" i="12"/>
  <c r="Q32" i="12" s="1"/>
  <c r="Q43" i="12" s="1"/>
  <c r="Q47" i="12"/>
  <c r="Q48" i="12" s="1"/>
  <c r="Q46" i="12" s="1"/>
  <c r="Q21" i="12"/>
  <c r="Q30" i="12" s="1"/>
  <c r="Q41" i="12" s="1"/>
  <c r="P35" i="12"/>
  <c r="P38" i="12"/>
  <c r="P34" i="12"/>
  <c r="P45" i="12" s="1"/>
  <c r="R33" i="5"/>
  <c r="AL8" i="5"/>
  <c r="AL9" i="5" s="1"/>
  <c r="O70" i="15"/>
  <c r="Q69" i="15"/>
  <c r="N70" i="15"/>
  <c r="Q71" i="15"/>
  <c r="Q68" i="15"/>
  <c r="P70" i="15"/>
  <c r="AR1" i="4" l="1"/>
  <c r="AE39" i="7"/>
  <c r="AE38" i="7"/>
  <c r="AR1" i="7"/>
  <c r="E51" i="7"/>
  <c r="AE37" i="7"/>
  <c r="AE40" i="7"/>
  <c r="E52" i="7"/>
  <c r="AF41" i="5"/>
  <c r="M30" i="5" s="1"/>
  <c r="AR2" i="5"/>
  <c r="AD68" i="4"/>
  <c r="AD37" i="9"/>
  <c r="AE37" i="9" s="1"/>
  <c r="AR2" i="6"/>
  <c r="CE27" i="9"/>
  <c r="CE28" i="9" s="1"/>
  <c r="CC27" i="12"/>
  <c r="CC28" i="12" s="1"/>
  <c r="AF41" i="6"/>
  <c r="M31" i="6" s="1"/>
  <c r="AD37" i="11"/>
  <c r="AR1" i="11"/>
  <c r="CF27" i="7"/>
  <c r="CF28" i="7" s="1"/>
  <c r="AQ7" i="4"/>
  <c r="AQ8" i="4" s="1"/>
  <c r="AQ9" i="4" s="1"/>
  <c r="CE27" i="7"/>
  <c r="CE28" i="7" s="1"/>
  <c r="CG26" i="8"/>
  <c r="CG28" i="8" s="1"/>
  <c r="CE27" i="4"/>
  <c r="CE28" i="4" s="1"/>
  <c r="CC27" i="15"/>
  <c r="AW29" i="12"/>
  <c r="AW31" i="12"/>
  <c r="AZ14" i="12"/>
  <c r="AX23" i="12"/>
  <c r="AX19" i="12"/>
  <c r="AX25" i="12"/>
  <c r="AX18" i="12"/>
  <c r="AX24" i="12"/>
  <c r="AX21" i="12"/>
  <c r="AX20" i="12"/>
  <c r="AX22" i="12"/>
  <c r="CE27" i="6"/>
  <c r="CE28" i="6" s="1"/>
  <c r="AW31" i="11"/>
  <c r="AW29" i="11"/>
  <c r="CG26" i="9"/>
  <c r="CG28" i="9" s="1"/>
  <c r="BC25" i="10"/>
  <c r="BC19" i="10"/>
  <c r="BC22" i="10"/>
  <c r="BC18" i="10"/>
  <c r="BC21" i="10"/>
  <c r="BC23" i="10"/>
  <c r="BC20" i="10"/>
  <c r="BC24" i="10"/>
  <c r="AU24" i="10"/>
  <c r="AU21" i="10"/>
  <c r="AU23" i="10"/>
  <c r="AU25" i="10"/>
  <c r="AU20" i="10"/>
  <c r="AU19" i="10"/>
  <c r="AU22" i="10"/>
  <c r="AU18" i="10"/>
  <c r="AR14" i="15"/>
  <c r="AT23" i="15"/>
  <c r="AT21" i="15"/>
  <c r="AT22" i="15"/>
  <c r="AT19" i="15"/>
  <c r="AT20" i="15"/>
  <c r="AT25" i="15"/>
  <c r="AT18" i="15"/>
  <c r="AT24" i="15"/>
  <c r="AD68" i="8"/>
  <c r="AC37" i="8"/>
  <c r="Q38" i="6"/>
  <c r="Q35" i="6"/>
  <c r="Q34" i="6"/>
  <c r="Q45" i="6" s="1"/>
  <c r="BB20" i="6"/>
  <c r="BB22" i="6"/>
  <c r="BB21" i="6"/>
  <c r="BB23" i="6"/>
  <c r="BB19" i="6"/>
  <c r="BB18" i="6"/>
  <c r="BB25" i="6"/>
  <c r="BB24" i="6"/>
  <c r="BG22" i="6"/>
  <c r="BG19" i="6"/>
  <c r="BG23" i="6"/>
  <c r="BG20" i="6"/>
  <c r="BG21" i="6"/>
  <c r="BH14" i="6"/>
  <c r="BG25" i="6"/>
  <c r="BG24" i="6"/>
  <c r="BG18" i="6"/>
  <c r="BC23" i="6"/>
  <c r="BC21" i="6"/>
  <c r="BC18" i="6"/>
  <c r="BC20" i="6"/>
  <c r="BC25" i="6"/>
  <c r="BC24" i="6"/>
  <c r="BC22" i="6"/>
  <c r="BC19" i="6"/>
  <c r="CD21" i="6"/>
  <c r="CD20" i="6"/>
  <c r="CD23" i="6"/>
  <c r="CD19" i="6"/>
  <c r="CD22" i="6"/>
  <c r="CD25" i="6"/>
  <c r="CD18" i="6"/>
  <c r="CD24" i="6"/>
  <c r="CI19" i="4"/>
  <c r="CI18" i="4"/>
  <c r="CI22" i="4"/>
  <c r="CI25" i="4"/>
  <c r="CI24" i="4"/>
  <c r="CI21" i="4"/>
  <c r="CI20" i="4"/>
  <c r="CI23" i="4"/>
  <c r="Q55" i="15"/>
  <c r="Q67" i="15"/>
  <c r="Q42" i="15"/>
  <c r="AU24" i="8"/>
  <c r="AU22" i="8"/>
  <c r="AU18" i="8"/>
  <c r="AU20" i="8"/>
  <c r="AU23" i="8"/>
  <c r="AU21" i="8"/>
  <c r="AU19" i="8"/>
  <c r="AU25" i="8"/>
  <c r="AT19" i="8"/>
  <c r="AT25" i="8"/>
  <c r="AT18" i="8"/>
  <c r="AT20" i="8"/>
  <c r="AT24" i="8"/>
  <c r="AT23" i="8"/>
  <c r="AT22" i="8"/>
  <c r="AR14" i="8"/>
  <c r="AT21" i="8"/>
  <c r="CF27" i="4"/>
  <c r="CF28" i="4" s="1"/>
  <c r="CD18" i="15"/>
  <c r="CD24" i="15"/>
  <c r="CD22" i="15"/>
  <c r="CD19" i="15"/>
  <c r="CD23" i="15"/>
  <c r="CD21" i="15"/>
  <c r="CD20" i="15"/>
  <c r="CD25" i="15"/>
  <c r="CG26" i="5"/>
  <c r="CG28" i="5" s="1"/>
  <c r="AR2" i="9"/>
  <c r="AR3" i="9" s="1"/>
  <c r="AF41" i="9"/>
  <c r="AQ7" i="9"/>
  <c r="AQ8" i="9" s="1"/>
  <c r="AQ9" i="9" s="1"/>
  <c r="CD22" i="4"/>
  <c r="CD23" i="4"/>
  <c r="CD25" i="4"/>
  <c r="CD20" i="4"/>
  <c r="CD19" i="4"/>
  <c r="CD24" i="4"/>
  <c r="CD21" i="4"/>
  <c r="CD18" i="4"/>
  <c r="AD68" i="15"/>
  <c r="AC37" i="15"/>
  <c r="AX25" i="11"/>
  <c r="AX22" i="11"/>
  <c r="AX18" i="11"/>
  <c r="AX21" i="11"/>
  <c r="AX23" i="11"/>
  <c r="AZ14" i="11"/>
  <c r="AX20" i="11"/>
  <c r="AX19" i="11"/>
  <c r="AX24" i="11"/>
  <c r="AS21" i="10"/>
  <c r="AS41" i="10" s="1"/>
  <c r="AS47" i="10"/>
  <c r="AS46" i="10" s="1"/>
  <c r="AS19" i="10"/>
  <c r="AS39" i="10" s="1"/>
  <c r="AS23" i="10"/>
  <c r="AS43" i="10" s="1"/>
  <c r="AS24" i="10"/>
  <c r="AS44" i="10" s="1"/>
  <c r="AS22" i="10"/>
  <c r="AS42" i="10" s="1"/>
  <c r="AS18" i="10"/>
  <c r="AS20" i="10"/>
  <c r="AS40" i="10" s="1"/>
  <c r="AS25" i="10"/>
  <c r="CD23" i="7"/>
  <c r="CD22" i="7"/>
  <c r="CD18" i="7"/>
  <c r="CD21" i="7"/>
  <c r="CD24" i="7"/>
  <c r="CD20" i="7"/>
  <c r="CD25" i="7"/>
  <c r="CD19" i="7"/>
  <c r="CI21" i="5"/>
  <c r="CI22" i="5"/>
  <c r="CI19" i="5"/>
  <c r="CI24" i="5"/>
  <c r="CI18" i="5"/>
  <c r="CI23" i="5"/>
  <c r="CI25" i="5"/>
  <c r="CI20" i="5"/>
  <c r="CI25" i="12"/>
  <c r="CI20" i="12"/>
  <c r="CI24" i="12"/>
  <c r="CI18" i="12"/>
  <c r="CI23" i="12"/>
  <c r="CI21" i="12"/>
  <c r="CI19" i="12"/>
  <c r="CI22" i="12"/>
  <c r="AU20" i="12"/>
  <c r="AU23" i="12"/>
  <c r="AU21" i="12"/>
  <c r="AU22" i="12"/>
  <c r="AU19" i="12"/>
  <c r="AU24" i="12"/>
  <c r="AU25" i="12"/>
  <c r="AU18" i="12"/>
  <c r="AS24" i="12"/>
  <c r="AS22" i="12"/>
  <c r="AS47" i="12"/>
  <c r="AS25" i="12"/>
  <c r="AS18" i="12"/>
  <c r="AS21" i="12"/>
  <c r="AS19" i="12"/>
  <c r="AS20" i="12"/>
  <c r="AS23" i="12"/>
  <c r="CI19" i="8"/>
  <c r="CI20" i="8"/>
  <c r="CI22" i="8"/>
  <c r="CI24" i="8"/>
  <c r="CI25" i="8"/>
  <c r="CI18" i="8"/>
  <c r="CI21" i="8"/>
  <c r="CI23" i="8"/>
  <c r="CF27" i="5"/>
  <c r="CF28" i="5" s="1"/>
  <c r="BC23" i="9"/>
  <c r="BC25" i="9"/>
  <c r="BC18" i="9"/>
  <c r="BC24" i="9"/>
  <c r="BC21" i="9"/>
  <c r="BC20" i="9"/>
  <c r="BC19" i="9"/>
  <c r="BC22" i="9"/>
  <c r="AT21" i="9"/>
  <c r="AT24" i="9"/>
  <c r="AT22" i="9"/>
  <c r="AR14" i="9"/>
  <c r="AT23" i="9"/>
  <c r="AT18" i="9"/>
  <c r="AT19" i="9"/>
  <c r="AT20" i="9"/>
  <c r="AT25" i="9"/>
  <c r="AR2" i="15"/>
  <c r="AF41" i="15"/>
  <c r="M31" i="15" s="1"/>
  <c r="M55" i="15" s="1"/>
  <c r="AD38" i="9"/>
  <c r="AD68" i="9"/>
  <c r="AW29" i="9"/>
  <c r="AW31" i="9"/>
  <c r="BB21" i="9"/>
  <c r="BB19" i="9"/>
  <c r="BB23" i="9"/>
  <c r="BB18" i="9"/>
  <c r="BB24" i="9"/>
  <c r="BB20" i="9"/>
  <c r="BB22" i="9"/>
  <c r="BB25" i="9"/>
  <c r="AU24" i="9"/>
  <c r="AU19" i="9"/>
  <c r="AU22" i="9"/>
  <c r="AU18" i="9"/>
  <c r="AU21" i="9"/>
  <c r="AU23" i="9"/>
  <c r="AU25" i="9"/>
  <c r="AU20" i="9"/>
  <c r="CC27" i="7"/>
  <c r="CC28" i="7" s="1"/>
  <c r="CC27" i="6"/>
  <c r="CC28" i="6" s="1"/>
  <c r="AT18" i="4"/>
  <c r="AT24" i="4"/>
  <c r="AT19" i="4"/>
  <c r="AT22" i="4"/>
  <c r="AR14" i="4"/>
  <c r="AT20" i="4"/>
  <c r="AT25" i="4"/>
  <c r="AT21" i="4"/>
  <c r="AT23" i="4"/>
  <c r="AS19" i="4"/>
  <c r="AS39" i="4" s="1"/>
  <c r="AS22" i="4"/>
  <c r="AS42" i="4" s="1"/>
  <c r="AS20" i="4"/>
  <c r="AS40" i="4" s="1"/>
  <c r="AS25" i="4"/>
  <c r="AS23" i="4"/>
  <c r="AS43" i="4" s="1"/>
  <c r="AS24" i="4"/>
  <c r="AS44" i="4" s="1"/>
  <c r="AS47" i="4"/>
  <c r="AS46" i="4" s="1"/>
  <c r="AS18" i="4"/>
  <c r="AS21" i="4"/>
  <c r="AS41" i="4" s="1"/>
  <c r="AW29" i="4"/>
  <c r="AW31" i="4"/>
  <c r="AX25" i="7"/>
  <c r="AZ14" i="7"/>
  <c r="AX22" i="7"/>
  <c r="AX19" i="7"/>
  <c r="AX24" i="7"/>
  <c r="AX20" i="7"/>
  <c r="AX18" i="7"/>
  <c r="AX21" i="7"/>
  <c r="AX23" i="7"/>
  <c r="AU20" i="7"/>
  <c r="AU24" i="7"/>
  <c r="AU22" i="7"/>
  <c r="AU23" i="7"/>
  <c r="AU25" i="7"/>
  <c r="AU21" i="7"/>
  <c r="AU18" i="7"/>
  <c r="AU19" i="7"/>
  <c r="AS20" i="7"/>
  <c r="AS18" i="7"/>
  <c r="AS25" i="7"/>
  <c r="AS23" i="7"/>
  <c r="AS19" i="7"/>
  <c r="AS24" i="7"/>
  <c r="AS47" i="7"/>
  <c r="AS21" i="7"/>
  <c r="AS22" i="7"/>
  <c r="BC22" i="5"/>
  <c r="BC23" i="5"/>
  <c r="BC18" i="5"/>
  <c r="BC21" i="5"/>
  <c r="BC25" i="5"/>
  <c r="BC24" i="5"/>
  <c r="BC20" i="5"/>
  <c r="BC19" i="5"/>
  <c r="Q38" i="9"/>
  <c r="Q35" i="9"/>
  <c r="Q34" i="9"/>
  <c r="Q45" i="9" s="1"/>
  <c r="BG24" i="11"/>
  <c r="BG21" i="11"/>
  <c r="BG20" i="11"/>
  <c r="BG19" i="11"/>
  <c r="BG25" i="11"/>
  <c r="BH14" i="11"/>
  <c r="BG22" i="11"/>
  <c r="BG18" i="11"/>
  <c r="BG23" i="11"/>
  <c r="CI19" i="11"/>
  <c r="CI23" i="11"/>
  <c r="CI25" i="11"/>
  <c r="CI20" i="11"/>
  <c r="CI24" i="11"/>
  <c r="CI18" i="11"/>
  <c r="CI21" i="11"/>
  <c r="CI22" i="11"/>
  <c r="Q38" i="11"/>
  <c r="Q34" i="11"/>
  <c r="Q45" i="11" s="1"/>
  <c r="Q35" i="11"/>
  <c r="CD22" i="9"/>
  <c r="CD21" i="9"/>
  <c r="CD23" i="9"/>
  <c r="CD19" i="9"/>
  <c r="CD25" i="9"/>
  <c r="CD24" i="9"/>
  <c r="CD20" i="9"/>
  <c r="CD18" i="9"/>
  <c r="AE39" i="9"/>
  <c r="Q34" i="10"/>
  <c r="Q45" i="10" s="1"/>
  <c r="Q38" i="10"/>
  <c r="Q35" i="10"/>
  <c r="AT24" i="10"/>
  <c r="AT23" i="10"/>
  <c r="AT22" i="10"/>
  <c r="AT25" i="10"/>
  <c r="AT19" i="10"/>
  <c r="AT21" i="10"/>
  <c r="AT18" i="10"/>
  <c r="AT20" i="10"/>
  <c r="AR14" i="10"/>
  <c r="AU22" i="15"/>
  <c r="AU18" i="15"/>
  <c r="AU24" i="15"/>
  <c r="AU23" i="15"/>
  <c r="AU19" i="15"/>
  <c r="AU20" i="15"/>
  <c r="AU21" i="15"/>
  <c r="AU25" i="15"/>
  <c r="AX22" i="15"/>
  <c r="AX19" i="15"/>
  <c r="AZ14" i="15"/>
  <c r="AX18" i="15"/>
  <c r="AX21" i="15"/>
  <c r="AX25" i="15"/>
  <c r="AX20" i="15"/>
  <c r="AX24" i="15"/>
  <c r="AX23" i="15"/>
  <c r="CG26" i="11"/>
  <c r="CG28" i="11" s="1"/>
  <c r="AX25" i="6"/>
  <c r="AX18" i="6"/>
  <c r="AX22" i="6"/>
  <c r="AX19" i="6"/>
  <c r="AX24" i="6"/>
  <c r="AX21" i="6"/>
  <c r="AX20" i="6"/>
  <c r="AX23" i="6"/>
  <c r="AZ14" i="6"/>
  <c r="AT18" i="6"/>
  <c r="AT20" i="6"/>
  <c r="AT24" i="6"/>
  <c r="AT25" i="6"/>
  <c r="AR14" i="6"/>
  <c r="AT22" i="6"/>
  <c r="AT19" i="6"/>
  <c r="AT23" i="6"/>
  <c r="AT21" i="6"/>
  <c r="CG26" i="12"/>
  <c r="CG28" i="12" s="1"/>
  <c r="Q51" i="15"/>
  <c r="Q34" i="15"/>
  <c r="Q38" i="15"/>
  <c r="Q63" i="15"/>
  <c r="Q35" i="15"/>
  <c r="Q43" i="15"/>
  <c r="Q56" i="15"/>
  <c r="Q40" i="15"/>
  <c r="Q53" i="15"/>
  <c r="Q65" i="15"/>
  <c r="BC22" i="8"/>
  <c r="BC25" i="8"/>
  <c r="BC20" i="8"/>
  <c r="BC18" i="8"/>
  <c r="BC21" i="8"/>
  <c r="BC19" i="8"/>
  <c r="BC24" i="8"/>
  <c r="BC23" i="8"/>
  <c r="AW29" i="8"/>
  <c r="AW31" i="8"/>
  <c r="BB23" i="8"/>
  <c r="BB19" i="8"/>
  <c r="BB20" i="8"/>
  <c r="BB18" i="8"/>
  <c r="BB21" i="8"/>
  <c r="BB24" i="8"/>
  <c r="BB22" i="8"/>
  <c r="BB25" i="8"/>
  <c r="CF27" i="8"/>
  <c r="CF28" i="8" s="1"/>
  <c r="AQ7" i="11"/>
  <c r="AQ8" i="11" s="1"/>
  <c r="AQ9" i="11" s="1"/>
  <c r="AF41" i="11"/>
  <c r="M30" i="11" s="1"/>
  <c r="AR2" i="11"/>
  <c r="CE27" i="11"/>
  <c r="CE28" i="11" s="1"/>
  <c r="AC37" i="12"/>
  <c r="AD68" i="12"/>
  <c r="AF41" i="8"/>
  <c r="M48" i="8" s="1"/>
  <c r="AR2" i="8"/>
  <c r="CD21" i="5"/>
  <c r="CD22" i="5"/>
  <c r="CD19" i="5"/>
  <c r="CD18" i="5"/>
  <c r="CD24" i="5"/>
  <c r="CD20" i="5"/>
  <c r="CD25" i="5"/>
  <c r="CD23" i="5"/>
  <c r="BC19" i="4"/>
  <c r="BC25" i="4"/>
  <c r="BC18" i="4"/>
  <c r="BC21" i="4"/>
  <c r="BC24" i="4"/>
  <c r="BC20" i="4"/>
  <c r="BC22" i="4"/>
  <c r="BC23" i="4"/>
  <c r="BG18" i="4"/>
  <c r="BG21" i="4"/>
  <c r="BG22" i="4"/>
  <c r="BG25" i="4"/>
  <c r="BH14" i="4"/>
  <c r="BG23" i="4"/>
  <c r="BG24" i="4"/>
  <c r="BG19" i="4"/>
  <c r="BG20" i="4"/>
  <c r="BB23" i="7"/>
  <c r="BB20" i="7"/>
  <c r="BB24" i="7"/>
  <c r="BB18" i="7"/>
  <c r="BB19" i="7"/>
  <c r="BB22" i="7"/>
  <c r="BB21" i="7"/>
  <c r="BB25" i="7"/>
  <c r="AR14" i="7"/>
  <c r="AT21" i="7"/>
  <c r="AT18" i="7"/>
  <c r="AT24" i="7"/>
  <c r="AT20" i="7"/>
  <c r="AT25" i="7"/>
  <c r="AT23" i="7"/>
  <c r="AT19" i="7"/>
  <c r="AT22" i="7"/>
  <c r="AX23" i="5"/>
  <c r="AX22" i="5"/>
  <c r="AX18" i="5"/>
  <c r="AX24" i="5"/>
  <c r="AZ14" i="5"/>
  <c r="AX25" i="5"/>
  <c r="AX21" i="5"/>
  <c r="AX20" i="5"/>
  <c r="AX19" i="5"/>
  <c r="BG23" i="5"/>
  <c r="BG20" i="5"/>
  <c r="BG24" i="5"/>
  <c r="BG21" i="5"/>
  <c r="BG25" i="5"/>
  <c r="BG18" i="5"/>
  <c r="BG22" i="5"/>
  <c r="BG19" i="5"/>
  <c r="BH14" i="5"/>
  <c r="CF27" i="6"/>
  <c r="CF28" i="6" s="1"/>
  <c r="CI25" i="9"/>
  <c r="CI23" i="9"/>
  <c r="CI18" i="9"/>
  <c r="CI20" i="9"/>
  <c r="CI24" i="9"/>
  <c r="CI19" i="9"/>
  <c r="CI22" i="9"/>
  <c r="CI21" i="9"/>
  <c r="AE40" i="9"/>
  <c r="CF27" i="11"/>
  <c r="CF28" i="11" s="1"/>
  <c r="CE27" i="8"/>
  <c r="CE28" i="8" s="1"/>
  <c r="AS22" i="11"/>
  <c r="AS19" i="11"/>
  <c r="AS24" i="11"/>
  <c r="AS18" i="11"/>
  <c r="AS23" i="11"/>
  <c r="AS47" i="11"/>
  <c r="AS21" i="11"/>
  <c r="AS20" i="11"/>
  <c r="AS25" i="11"/>
  <c r="BB20" i="11"/>
  <c r="BB24" i="11"/>
  <c r="BB19" i="11"/>
  <c r="BB23" i="11"/>
  <c r="BB22" i="11"/>
  <c r="BB21" i="11"/>
  <c r="BB25" i="11"/>
  <c r="BB18" i="11"/>
  <c r="CF27" i="12"/>
  <c r="CF28" i="12" s="1"/>
  <c r="BB23" i="10"/>
  <c r="BB22" i="10"/>
  <c r="BB19" i="10"/>
  <c r="BB24" i="10"/>
  <c r="BB18" i="10"/>
  <c r="BB21" i="10"/>
  <c r="BB20" i="10"/>
  <c r="BB25" i="10"/>
  <c r="AF41" i="7"/>
  <c r="M29" i="7" s="1"/>
  <c r="AR2" i="7"/>
  <c r="BC25" i="15"/>
  <c r="BC20" i="15"/>
  <c r="BC23" i="15"/>
  <c r="BC22" i="15"/>
  <c r="BC21" i="15"/>
  <c r="BC24" i="15"/>
  <c r="BC19" i="15"/>
  <c r="BC18" i="15"/>
  <c r="CD20" i="8"/>
  <c r="CD25" i="8"/>
  <c r="CD18" i="8"/>
  <c r="CD19" i="8"/>
  <c r="CD23" i="8"/>
  <c r="CD21" i="8"/>
  <c r="CD22" i="8"/>
  <c r="CD24" i="8"/>
  <c r="CI20" i="6"/>
  <c r="CI19" i="6"/>
  <c r="CI18" i="6"/>
  <c r="CI21" i="6"/>
  <c r="CI25" i="6"/>
  <c r="CI22" i="6"/>
  <c r="CI24" i="6"/>
  <c r="CI23" i="6"/>
  <c r="AS21" i="6"/>
  <c r="AS18" i="6"/>
  <c r="AS20" i="6"/>
  <c r="AS23" i="6"/>
  <c r="AS47" i="6"/>
  <c r="AS22" i="6"/>
  <c r="AS19" i="6"/>
  <c r="AS24" i="6"/>
  <c r="AS25" i="6"/>
  <c r="CE27" i="10"/>
  <c r="CE28" i="10" s="1"/>
  <c r="CC27" i="9"/>
  <c r="CC28" i="9" s="1"/>
  <c r="Q35" i="4"/>
  <c r="Q38" i="4"/>
  <c r="Q34" i="4"/>
  <c r="Q45" i="4" s="1"/>
  <c r="Q57" i="15"/>
  <c r="Q44" i="15"/>
  <c r="Q46" i="15"/>
  <c r="Q58" i="15"/>
  <c r="CI21" i="15"/>
  <c r="CI24" i="15"/>
  <c r="CI23" i="15"/>
  <c r="CI22" i="15"/>
  <c r="CI25" i="15"/>
  <c r="CI19" i="15"/>
  <c r="CI20" i="15"/>
  <c r="CI18" i="15"/>
  <c r="AX22" i="8"/>
  <c r="AX24" i="8"/>
  <c r="AX25" i="8"/>
  <c r="AX19" i="8"/>
  <c r="AX20" i="8"/>
  <c r="AX23" i="8"/>
  <c r="AX18" i="8"/>
  <c r="AX21" i="8"/>
  <c r="AZ14" i="8"/>
  <c r="CI22" i="7"/>
  <c r="CI25" i="7"/>
  <c r="CI21" i="7"/>
  <c r="CI23" i="7"/>
  <c r="CI18" i="7"/>
  <c r="CI20" i="7"/>
  <c r="CI19" i="7"/>
  <c r="CI24" i="7"/>
  <c r="AR2" i="4"/>
  <c r="AR3" i="4" s="1"/>
  <c r="AF41" i="4"/>
  <c r="I31" i="4" s="1"/>
  <c r="CC27" i="8"/>
  <c r="CC28" i="8" s="1"/>
  <c r="O45" i="15"/>
  <c r="CE27" i="15"/>
  <c r="AD68" i="5"/>
  <c r="AC37" i="5"/>
  <c r="AX19" i="4"/>
  <c r="AX23" i="4"/>
  <c r="AX18" i="4"/>
  <c r="AZ14" i="4"/>
  <c r="AX25" i="4"/>
  <c r="AX24" i="4"/>
  <c r="AX21" i="4"/>
  <c r="AX22" i="4"/>
  <c r="AX20" i="4"/>
  <c r="CE27" i="5"/>
  <c r="CE28" i="5" s="1"/>
  <c r="BC24" i="7"/>
  <c r="BC22" i="7"/>
  <c r="BC21" i="7"/>
  <c r="BC23" i="7"/>
  <c r="BC19" i="7"/>
  <c r="BC20" i="7"/>
  <c r="BC18" i="7"/>
  <c r="BC25" i="7"/>
  <c r="AS22" i="5"/>
  <c r="AS42" i="5" s="1"/>
  <c r="AS47" i="5"/>
  <c r="AS46" i="5" s="1"/>
  <c r="AS24" i="5"/>
  <c r="AS44" i="5" s="1"/>
  <c r="AS23" i="5"/>
  <c r="AS43" i="5" s="1"/>
  <c r="AS21" i="5"/>
  <c r="AS41" i="5" s="1"/>
  <c r="AS25" i="5"/>
  <c r="AS20" i="5"/>
  <c r="AS40" i="5" s="1"/>
  <c r="AS19" i="5"/>
  <c r="AS39" i="5" s="1"/>
  <c r="AS18" i="5"/>
  <c r="AT21" i="5"/>
  <c r="AT24" i="5"/>
  <c r="AR14" i="5"/>
  <c r="AT25" i="5"/>
  <c r="AT22" i="5"/>
  <c r="AT23" i="5"/>
  <c r="AT18" i="5"/>
  <c r="AT20" i="5"/>
  <c r="AT19" i="5"/>
  <c r="AW31" i="5"/>
  <c r="AW29" i="5"/>
  <c r="BG21" i="12"/>
  <c r="BG20" i="12"/>
  <c r="BG24" i="12"/>
  <c r="BH14" i="12"/>
  <c r="BG25" i="12"/>
  <c r="BG22" i="12"/>
  <c r="BG18" i="12"/>
  <c r="BG19" i="12"/>
  <c r="BG23" i="12"/>
  <c r="AT23" i="12"/>
  <c r="AT19" i="12"/>
  <c r="AR14" i="12"/>
  <c r="AT21" i="12"/>
  <c r="AT24" i="12"/>
  <c r="AT20" i="12"/>
  <c r="AT18" i="12"/>
  <c r="AT22" i="12"/>
  <c r="AT25" i="12"/>
  <c r="BC22" i="12"/>
  <c r="BC18" i="12"/>
  <c r="BC23" i="12"/>
  <c r="BC20" i="12"/>
  <c r="BC24" i="12"/>
  <c r="BC25" i="12"/>
  <c r="BC21" i="12"/>
  <c r="BC19" i="12"/>
  <c r="AC37" i="6"/>
  <c r="AD68" i="6"/>
  <c r="P45" i="15"/>
  <c r="CD19" i="10"/>
  <c r="CD20" i="10"/>
  <c r="CD22" i="10"/>
  <c r="CD25" i="10"/>
  <c r="CD24" i="10"/>
  <c r="CD21" i="10"/>
  <c r="CD18" i="10"/>
  <c r="CD23" i="10"/>
  <c r="AR2" i="12"/>
  <c r="AF41" i="12"/>
  <c r="M30" i="12" s="1"/>
  <c r="AZ14" i="9"/>
  <c r="AX24" i="9"/>
  <c r="AX22" i="9"/>
  <c r="AX23" i="9"/>
  <c r="AX20" i="9"/>
  <c r="AX25" i="9"/>
  <c r="AX18" i="9"/>
  <c r="AX19" i="9"/>
  <c r="AX21" i="9"/>
  <c r="BG20" i="9"/>
  <c r="BG25" i="9"/>
  <c r="BG19" i="9"/>
  <c r="BG23" i="9"/>
  <c r="BH14" i="9"/>
  <c r="BG22" i="9"/>
  <c r="BG24" i="9"/>
  <c r="BG18" i="9"/>
  <c r="BG21" i="9"/>
  <c r="BG24" i="10"/>
  <c r="BH14" i="10"/>
  <c r="BG18" i="10"/>
  <c r="BG20" i="10"/>
  <c r="BG23" i="10"/>
  <c r="BG21" i="10"/>
  <c r="BG25" i="10"/>
  <c r="BG19" i="10"/>
  <c r="BG22" i="10"/>
  <c r="Q38" i="12"/>
  <c r="Q35" i="12"/>
  <c r="Q34" i="12"/>
  <c r="Q45" i="12" s="1"/>
  <c r="BB22" i="12"/>
  <c r="BB20" i="12"/>
  <c r="BB19" i="12"/>
  <c r="BB23" i="12"/>
  <c r="BB21" i="12"/>
  <c r="BB18" i="12"/>
  <c r="BB24" i="12"/>
  <c r="BB25" i="12"/>
  <c r="Q35" i="8"/>
  <c r="Q34" i="8"/>
  <c r="Q45" i="8" s="1"/>
  <c r="Q38" i="8"/>
  <c r="AS20" i="9"/>
  <c r="AS19" i="9"/>
  <c r="AS24" i="9"/>
  <c r="AS47" i="9"/>
  <c r="AS23" i="9"/>
  <c r="AS22" i="9"/>
  <c r="AS25" i="9"/>
  <c r="AS21" i="9"/>
  <c r="AS18" i="9"/>
  <c r="CG26" i="15"/>
  <c r="AT24" i="11"/>
  <c r="AT22" i="11"/>
  <c r="AT21" i="11"/>
  <c r="AT25" i="11"/>
  <c r="AT20" i="11"/>
  <c r="AR14" i="11"/>
  <c r="AT18" i="11"/>
  <c r="AT23" i="11"/>
  <c r="AT19" i="11"/>
  <c r="AU18" i="11"/>
  <c r="AU19" i="11"/>
  <c r="AU21" i="11"/>
  <c r="AU24" i="11"/>
  <c r="AU20" i="11"/>
  <c r="AU22" i="11"/>
  <c r="AU25" i="11"/>
  <c r="AU23" i="11"/>
  <c r="BC21" i="11"/>
  <c r="BC19" i="11"/>
  <c r="BC18" i="11"/>
  <c r="BC25" i="11"/>
  <c r="BC24" i="11"/>
  <c r="BC22" i="11"/>
  <c r="BC20" i="11"/>
  <c r="BC23" i="11"/>
  <c r="CI24" i="10"/>
  <c r="CI22" i="10"/>
  <c r="CI23" i="10"/>
  <c r="CI25" i="10"/>
  <c r="CI21" i="10"/>
  <c r="CI20" i="10"/>
  <c r="CI18" i="10"/>
  <c r="CI19" i="10"/>
  <c r="AX24" i="10"/>
  <c r="AZ14" i="10"/>
  <c r="AX21" i="10"/>
  <c r="AX19" i="10"/>
  <c r="AX22" i="10"/>
  <c r="AX23" i="10"/>
  <c r="AX18" i="10"/>
  <c r="AX20" i="10"/>
  <c r="AX25" i="10"/>
  <c r="AW29" i="10"/>
  <c r="AW31" i="10"/>
  <c r="AW29" i="15"/>
  <c r="BG24" i="15"/>
  <c r="BH14" i="15"/>
  <c r="BG18" i="15"/>
  <c r="BG21" i="15"/>
  <c r="BG25" i="15"/>
  <c r="BG19" i="15"/>
  <c r="BG20" i="15"/>
  <c r="BG22" i="15"/>
  <c r="BG23" i="15"/>
  <c r="AS21" i="15"/>
  <c r="AS41" i="15" s="1"/>
  <c r="AS20" i="15"/>
  <c r="AS40" i="15" s="1"/>
  <c r="AS19" i="15"/>
  <c r="AS39" i="15" s="1"/>
  <c r="AS25" i="15"/>
  <c r="AS22" i="15"/>
  <c r="AS42" i="15" s="1"/>
  <c r="AS18" i="15"/>
  <c r="AS24" i="15"/>
  <c r="AS44" i="15" s="1"/>
  <c r="AS23" i="15"/>
  <c r="AS43" i="15" s="1"/>
  <c r="AS47" i="15"/>
  <c r="AS46" i="15" s="1"/>
  <c r="BB25" i="15"/>
  <c r="BB19" i="15"/>
  <c r="BB24" i="15"/>
  <c r="BB23" i="15"/>
  <c r="BB22" i="15"/>
  <c r="BB18" i="15"/>
  <c r="BB20" i="15"/>
  <c r="BB21" i="15"/>
  <c r="AR2" i="10"/>
  <c r="AF41" i="10"/>
  <c r="M27" i="10" s="1"/>
  <c r="CG26" i="6"/>
  <c r="CG28" i="6" s="1"/>
  <c r="CD23" i="11"/>
  <c r="CD19" i="11"/>
  <c r="CD24" i="11"/>
  <c r="CD20" i="11"/>
  <c r="CD25" i="11"/>
  <c r="CD18" i="11"/>
  <c r="CD22" i="11"/>
  <c r="CD21" i="11"/>
  <c r="CC27" i="11"/>
  <c r="CC28" i="11" s="1"/>
  <c r="Q38" i="5"/>
  <c r="Q35" i="5"/>
  <c r="Q34" i="5"/>
  <c r="Q45" i="5" s="1"/>
  <c r="CF27" i="10"/>
  <c r="CF28" i="10" s="1"/>
  <c r="CC27" i="4"/>
  <c r="CC28" i="4" s="1"/>
  <c r="CD25" i="12"/>
  <c r="CD22" i="12"/>
  <c r="CD19" i="12"/>
  <c r="CD23" i="12"/>
  <c r="CD24" i="12"/>
  <c r="CD18" i="12"/>
  <c r="CD20" i="12"/>
  <c r="CD21" i="12"/>
  <c r="CG26" i="4"/>
  <c r="CG28" i="4" s="1"/>
  <c r="AW29" i="6"/>
  <c r="AW31" i="6"/>
  <c r="AU23" i="6"/>
  <c r="AU24" i="6"/>
  <c r="AU19" i="6"/>
  <c r="AU25" i="6"/>
  <c r="AU22" i="6"/>
  <c r="AU20" i="6"/>
  <c r="AU21" i="6"/>
  <c r="AU18" i="6"/>
  <c r="CE27" i="12"/>
  <c r="CE28" i="12" s="1"/>
  <c r="Q66" i="15"/>
  <c r="Q54" i="15"/>
  <c r="Q41" i="15"/>
  <c r="Q64" i="15"/>
  <c r="Q52" i="15"/>
  <c r="Q39" i="15"/>
  <c r="AS19" i="8"/>
  <c r="AS39" i="8" s="1"/>
  <c r="AS20" i="8"/>
  <c r="AS40" i="8" s="1"/>
  <c r="AS47" i="8"/>
  <c r="AS46" i="8" s="1"/>
  <c r="AS23" i="8"/>
  <c r="AS43" i="8" s="1"/>
  <c r="AS25" i="8"/>
  <c r="AS18" i="8"/>
  <c r="AS21" i="8"/>
  <c r="AS41" i="8" s="1"/>
  <c r="AS22" i="8"/>
  <c r="AS42" i="8" s="1"/>
  <c r="AS24" i="8"/>
  <c r="AS44" i="8" s="1"/>
  <c r="BG19" i="8"/>
  <c r="BG24" i="8"/>
  <c r="BG21" i="8"/>
  <c r="BG22" i="8"/>
  <c r="BG23" i="8"/>
  <c r="BG25" i="8"/>
  <c r="BG20" i="8"/>
  <c r="BH14" i="8"/>
  <c r="BG18" i="8"/>
  <c r="CF27" i="9"/>
  <c r="CF28" i="9" s="1"/>
  <c r="AC37" i="10"/>
  <c r="AD68" i="10"/>
  <c r="Q38" i="7"/>
  <c r="Q34" i="7"/>
  <c r="Q45" i="7" s="1"/>
  <c r="Q35" i="7"/>
  <c r="CF27" i="15"/>
  <c r="AD38" i="11"/>
  <c r="AD68" i="11"/>
  <c r="AD38" i="7"/>
  <c r="AD68" i="7"/>
  <c r="CC27" i="5"/>
  <c r="CC28" i="5" s="1"/>
  <c r="AU18" i="4"/>
  <c r="AU20" i="4"/>
  <c r="AU24" i="4"/>
  <c r="AU21" i="4"/>
  <c r="AU19" i="4"/>
  <c r="AU22" i="4"/>
  <c r="AU25" i="4"/>
  <c r="AU23" i="4"/>
  <c r="BB21" i="4"/>
  <c r="BB18" i="4"/>
  <c r="BB24" i="4"/>
  <c r="BB25" i="4"/>
  <c r="BB19" i="4"/>
  <c r="BB23" i="4"/>
  <c r="BB20" i="4"/>
  <c r="BB22" i="4"/>
  <c r="CG26" i="7"/>
  <c r="CG28" i="7" s="1"/>
  <c r="CG26" i="10"/>
  <c r="CG28" i="10" s="1"/>
  <c r="CC27" i="10"/>
  <c r="CC28" i="10" s="1"/>
  <c r="N45" i="15"/>
  <c r="AW31" i="7"/>
  <c r="AW29" i="7"/>
  <c r="BH14" i="7"/>
  <c r="BG23" i="7"/>
  <c r="BG20" i="7"/>
  <c r="BG22" i="7"/>
  <c r="BG24" i="7"/>
  <c r="BG21" i="7"/>
  <c r="BG25" i="7"/>
  <c r="BG19" i="7"/>
  <c r="BG18" i="7"/>
  <c r="AU25" i="5"/>
  <c r="AU19" i="5"/>
  <c r="AU23" i="5"/>
  <c r="AU24" i="5"/>
  <c r="AU21" i="5"/>
  <c r="AU20" i="5"/>
  <c r="AU22" i="5"/>
  <c r="AU18" i="5"/>
  <c r="BB24" i="5"/>
  <c r="BB19" i="5"/>
  <c r="BB21" i="5"/>
  <c r="BB18" i="5"/>
  <c r="BB22" i="5"/>
  <c r="BB20" i="5"/>
  <c r="BB23" i="5"/>
  <c r="BB25" i="5"/>
  <c r="AQ7" i="7"/>
  <c r="AQ8" i="7" s="1"/>
  <c r="AQ9" i="7" s="1"/>
  <c r="AE37" i="4"/>
  <c r="E52" i="4"/>
  <c r="AE38" i="4"/>
  <c r="AE40" i="4"/>
  <c r="AE39" i="4"/>
  <c r="E50" i="4"/>
  <c r="E51" i="4"/>
  <c r="V65" i="15"/>
  <c r="AM6" i="10"/>
  <c r="V66" i="15"/>
  <c r="Q70" i="15"/>
  <c r="AM6" i="4"/>
  <c r="AT59" i="15"/>
  <c r="V70" i="15"/>
  <c r="AT52" i="15"/>
  <c r="V71" i="15"/>
  <c r="AT56" i="15"/>
  <c r="AM6" i="8"/>
  <c r="AT54" i="15"/>
  <c r="V67" i="15"/>
  <c r="R67" i="15" s="1"/>
  <c r="V68" i="15"/>
  <c r="V64" i="15"/>
  <c r="AT57" i="15"/>
  <c r="AM6" i="5"/>
  <c r="V69" i="15"/>
  <c r="V63" i="15"/>
  <c r="M48" i="12" l="1"/>
  <c r="L48" i="4"/>
  <c r="E53" i="7"/>
  <c r="AA21" i="7" s="1"/>
  <c r="M30" i="8"/>
  <c r="M29" i="8"/>
  <c r="E51" i="9"/>
  <c r="L32" i="9"/>
  <c r="K29" i="9"/>
  <c r="AR3" i="7"/>
  <c r="L28" i="9"/>
  <c r="M48" i="5"/>
  <c r="K33" i="4"/>
  <c r="E50" i="9"/>
  <c r="H28" i="4"/>
  <c r="H52" i="4" s="1"/>
  <c r="H48" i="4"/>
  <c r="H58" i="4" s="1"/>
  <c r="I32" i="4"/>
  <c r="H30" i="4"/>
  <c r="H54" i="4" s="1"/>
  <c r="J28" i="9"/>
  <c r="L48" i="9"/>
  <c r="K27" i="9"/>
  <c r="H33" i="9"/>
  <c r="H57" i="9" s="1"/>
  <c r="M33" i="9"/>
  <c r="AS31" i="4"/>
  <c r="K31" i="9"/>
  <c r="L33" i="9"/>
  <c r="J32" i="9"/>
  <c r="K30" i="9"/>
  <c r="E52" i="9"/>
  <c r="M29" i="9"/>
  <c r="AE38" i="9"/>
  <c r="G31" i="4"/>
  <c r="J28" i="4"/>
  <c r="I30" i="4"/>
  <c r="H27" i="4"/>
  <c r="H51" i="4" s="1"/>
  <c r="R46" i="4"/>
  <c r="M31" i="5"/>
  <c r="M27" i="5"/>
  <c r="M33" i="5"/>
  <c r="M29" i="5"/>
  <c r="M28" i="5"/>
  <c r="M32" i="5"/>
  <c r="AS27" i="4"/>
  <c r="L27" i="4"/>
  <c r="L33" i="4"/>
  <c r="K30" i="4"/>
  <c r="AR3" i="11"/>
  <c r="G30" i="4"/>
  <c r="I48" i="4"/>
  <c r="J27" i="4"/>
  <c r="H31" i="4"/>
  <c r="H55" i="4" s="1"/>
  <c r="J31" i="4"/>
  <c r="J32" i="4"/>
  <c r="I28" i="4"/>
  <c r="J30" i="4"/>
  <c r="L32" i="4"/>
  <c r="AS32" i="4"/>
  <c r="AS33" i="4"/>
  <c r="I27" i="4"/>
  <c r="G32" i="4"/>
  <c r="K27" i="4"/>
  <c r="K28" i="4"/>
  <c r="J48" i="4"/>
  <c r="G29" i="4"/>
  <c r="G27" i="4"/>
  <c r="I33" i="4"/>
  <c r="J33" i="4"/>
  <c r="H29" i="4"/>
  <c r="H53" i="4" s="1"/>
  <c r="K48" i="4"/>
  <c r="K32" i="4"/>
  <c r="L29" i="4"/>
  <c r="R42" i="5"/>
  <c r="R43" i="5"/>
  <c r="E50" i="11"/>
  <c r="AE38" i="11"/>
  <c r="AE39" i="11"/>
  <c r="AE40" i="11"/>
  <c r="AE37" i="11"/>
  <c r="E52" i="11"/>
  <c r="AS48" i="4"/>
  <c r="R40" i="4"/>
  <c r="M33" i="15"/>
  <c r="M57" i="15" s="1"/>
  <c r="M30" i="6"/>
  <c r="M29" i="6"/>
  <c r="M27" i="6"/>
  <c r="M32" i="6"/>
  <c r="M33" i="6"/>
  <c r="R40" i="5"/>
  <c r="M29" i="4"/>
  <c r="E51" i="11"/>
  <c r="M28" i="6"/>
  <c r="L30" i="4"/>
  <c r="K29" i="4"/>
  <c r="J29" i="4"/>
  <c r="H32" i="4"/>
  <c r="H56" i="4" s="1"/>
  <c r="G28" i="4"/>
  <c r="I29" i="4"/>
  <c r="K31" i="4"/>
  <c r="H33" i="4"/>
  <c r="H57" i="4" s="1"/>
  <c r="AS29" i="4"/>
  <c r="G48" i="4"/>
  <c r="G33" i="4"/>
  <c r="R41" i="5"/>
  <c r="R46" i="5"/>
  <c r="M27" i="8"/>
  <c r="M30" i="9"/>
  <c r="M48" i="6"/>
  <c r="AT32" i="7"/>
  <c r="M31" i="8"/>
  <c r="AY26" i="12"/>
  <c r="AS28" i="4"/>
  <c r="CI26" i="15"/>
  <c r="CD27" i="8"/>
  <c r="M28" i="8"/>
  <c r="R43" i="10"/>
  <c r="M29" i="10"/>
  <c r="R39" i="4"/>
  <c r="R43" i="4"/>
  <c r="R41" i="4"/>
  <c r="AT32" i="11"/>
  <c r="AS30" i="4"/>
  <c r="R44" i="5"/>
  <c r="R42" i="8"/>
  <c r="CD27" i="6"/>
  <c r="AZ19" i="10"/>
  <c r="AZ23" i="10"/>
  <c r="AZ21" i="10"/>
  <c r="AZ20" i="10"/>
  <c r="AZ22" i="10"/>
  <c r="AZ25" i="10"/>
  <c r="CA14" i="10"/>
  <c r="AZ18" i="10"/>
  <c r="BD14" i="10"/>
  <c r="CB14" i="10"/>
  <c r="AZ24" i="10"/>
  <c r="AS27" i="9"/>
  <c r="AS35" i="9"/>
  <c r="S35" i="9" s="1"/>
  <c r="AS34" i="9"/>
  <c r="S34" i="9" s="1"/>
  <c r="AS38" i="9"/>
  <c r="R38" i="9" s="1"/>
  <c r="AS40" i="9"/>
  <c r="R40" i="9" s="1"/>
  <c r="AS29" i="9"/>
  <c r="AS36" i="5"/>
  <c r="S36" i="5" s="1"/>
  <c r="AS45" i="5"/>
  <c r="R45" i="5" s="1"/>
  <c r="AS34" i="6"/>
  <c r="S34" i="6" s="1"/>
  <c r="AS35" i="6"/>
  <c r="S35" i="6" s="1"/>
  <c r="AS38" i="6"/>
  <c r="R38" i="6" s="1"/>
  <c r="AS41" i="11"/>
  <c r="R41" i="11" s="1"/>
  <c r="AS30" i="11"/>
  <c r="BH19" i="11"/>
  <c r="BH20" i="11"/>
  <c r="BH24" i="11"/>
  <c r="BH22" i="11"/>
  <c r="BH21" i="11"/>
  <c r="BH18" i="11"/>
  <c r="BH25" i="11"/>
  <c r="BH23" i="11"/>
  <c r="AS33" i="7"/>
  <c r="AS44" i="7"/>
  <c r="AS40" i="12"/>
  <c r="R40" i="12" s="1"/>
  <c r="BG26" i="8"/>
  <c r="AS34" i="8"/>
  <c r="S34" i="8" s="1"/>
  <c r="AS35" i="8"/>
  <c r="S35" i="8" s="1"/>
  <c r="AS38" i="8"/>
  <c r="R38" i="8" s="1"/>
  <c r="CD27" i="12"/>
  <c r="AS36" i="15"/>
  <c r="S36" i="15" s="1"/>
  <c r="AS45" i="15"/>
  <c r="AR24" i="11"/>
  <c r="AR18" i="11"/>
  <c r="AR21" i="11"/>
  <c r="AR19" i="11"/>
  <c r="AR25" i="11"/>
  <c r="AR20" i="11"/>
  <c r="AR23" i="11"/>
  <c r="AR22" i="11"/>
  <c r="AS41" i="9"/>
  <c r="R41" i="9" s="1"/>
  <c r="AS30" i="9"/>
  <c r="AS46" i="9"/>
  <c r="R46" i="9" s="1"/>
  <c r="AS48" i="9"/>
  <c r="L33" i="7"/>
  <c r="BG26" i="10"/>
  <c r="BG26" i="9"/>
  <c r="AZ18" i="9"/>
  <c r="AZ24" i="9"/>
  <c r="CB14" i="9"/>
  <c r="AZ21" i="9"/>
  <c r="CA14" i="9"/>
  <c r="BD14" i="9"/>
  <c r="AZ22" i="9"/>
  <c r="AZ19" i="9"/>
  <c r="AZ25" i="9"/>
  <c r="AZ23" i="9"/>
  <c r="AZ20" i="9"/>
  <c r="CD27" i="10"/>
  <c r="BC26" i="12"/>
  <c r="BC3" i="12" s="1"/>
  <c r="AT32" i="12"/>
  <c r="AR18" i="12"/>
  <c r="AR22" i="12"/>
  <c r="AR21" i="12"/>
  <c r="AR24" i="12"/>
  <c r="AR19" i="12"/>
  <c r="AR25" i="12"/>
  <c r="AR23" i="12"/>
  <c r="AR20" i="12"/>
  <c r="BH22" i="12"/>
  <c r="BH20" i="12"/>
  <c r="BH21" i="12"/>
  <c r="BH25" i="12"/>
  <c r="BH18" i="12"/>
  <c r="BH19" i="12"/>
  <c r="BH24" i="12"/>
  <c r="BH23" i="12"/>
  <c r="AS34" i="5"/>
  <c r="S34" i="5" s="1"/>
  <c r="AS35" i="5"/>
  <c r="S35" i="5" s="1"/>
  <c r="AS38" i="5"/>
  <c r="R38" i="5" s="1"/>
  <c r="AY26" i="4"/>
  <c r="M32" i="4"/>
  <c r="M48" i="4"/>
  <c r="M27" i="4"/>
  <c r="M30" i="4"/>
  <c r="M28" i="4"/>
  <c r="AY26" i="8"/>
  <c r="AS45" i="6"/>
  <c r="R45" i="6" s="1"/>
  <c r="AS36" i="6"/>
  <c r="S36" i="6" s="1"/>
  <c r="AS46" i="6"/>
  <c r="R46" i="6" s="1"/>
  <c r="AS41" i="6"/>
  <c r="R41" i="6" s="1"/>
  <c r="AS46" i="11"/>
  <c r="R46" i="11" s="1"/>
  <c r="AS48" i="11"/>
  <c r="AS39" i="11"/>
  <c r="R39" i="11" s="1"/>
  <c r="AS28" i="11"/>
  <c r="BD14" i="5"/>
  <c r="CB14" i="5"/>
  <c r="AZ22" i="5"/>
  <c r="AZ21" i="5"/>
  <c r="AZ24" i="5"/>
  <c r="AZ18" i="5"/>
  <c r="AZ20" i="5"/>
  <c r="AZ23" i="5"/>
  <c r="AZ19" i="5"/>
  <c r="AZ25" i="5"/>
  <c r="CA14" i="5"/>
  <c r="BC26" i="4"/>
  <c r="BC3" i="4" s="1"/>
  <c r="BB26" i="8"/>
  <c r="BB3" i="8" s="1"/>
  <c r="M33" i="8"/>
  <c r="AY26" i="15"/>
  <c r="R46" i="15"/>
  <c r="R43" i="15"/>
  <c r="AR21" i="10"/>
  <c r="AR19" i="10"/>
  <c r="AR25" i="10"/>
  <c r="AR20" i="10"/>
  <c r="AR24" i="10"/>
  <c r="AR22" i="10"/>
  <c r="AR23" i="10"/>
  <c r="AR18" i="10"/>
  <c r="AS31" i="7"/>
  <c r="AS42" i="7"/>
  <c r="R42" i="7" s="1"/>
  <c r="AS39" i="7"/>
  <c r="R39" i="7" s="1"/>
  <c r="AS28" i="7"/>
  <c r="AS29" i="7"/>
  <c r="AS40" i="7"/>
  <c r="R40" i="7" s="1"/>
  <c r="AZ23" i="7"/>
  <c r="AZ18" i="7"/>
  <c r="AZ21" i="7"/>
  <c r="AZ22" i="7"/>
  <c r="AZ20" i="7"/>
  <c r="AZ24" i="7"/>
  <c r="AZ19" i="7"/>
  <c r="AZ25" i="7"/>
  <c r="BD14" i="7"/>
  <c r="CA14" i="7"/>
  <c r="CB14" i="7"/>
  <c r="M28" i="11"/>
  <c r="M33" i="10"/>
  <c r="AR18" i="9"/>
  <c r="AR20" i="9"/>
  <c r="AR23" i="9"/>
  <c r="AR22" i="9"/>
  <c r="AR24" i="9"/>
  <c r="AR21" i="9"/>
  <c r="AR25" i="9"/>
  <c r="AR19" i="9"/>
  <c r="CI26" i="8"/>
  <c r="CI28" i="8" s="1"/>
  <c r="AS39" i="12"/>
  <c r="R39" i="12" s="1"/>
  <c r="AS46" i="12"/>
  <c r="R46" i="12" s="1"/>
  <c r="AS45" i="10"/>
  <c r="R45" i="10" s="1"/>
  <c r="AS36" i="10"/>
  <c r="S36" i="10" s="1"/>
  <c r="AZ20" i="11"/>
  <c r="AZ23" i="11"/>
  <c r="CA14" i="11"/>
  <c r="BD14" i="11"/>
  <c r="AZ21" i="11"/>
  <c r="AZ18" i="11"/>
  <c r="AZ25" i="11"/>
  <c r="CB14" i="11"/>
  <c r="AZ22" i="11"/>
  <c r="AZ24" i="11"/>
  <c r="AZ19" i="11"/>
  <c r="CD27" i="4"/>
  <c r="L28" i="4"/>
  <c r="R43" i="8"/>
  <c r="R44" i="8"/>
  <c r="CI26" i="4"/>
  <c r="CI28" i="4" s="1"/>
  <c r="R39" i="10"/>
  <c r="R41" i="10"/>
  <c r="BH20" i="9"/>
  <c r="BH24" i="9"/>
  <c r="BH19" i="9"/>
  <c r="BH23" i="9"/>
  <c r="BH18" i="9"/>
  <c r="BH21" i="9"/>
  <c r="BH22" i="9"/>
  <c r="BH25" i="9"/>
  <c r="AS42" i="6"/>
  <c r="R42" i="6" s="1"/>
  <c r="AS44" i="11"/>
  <c r="R44" i="11" s="1"/>
  <c r="AS33" i="11"/>
  <c r="R39" i="15"/>
  <c r="AS35" i="7"/>
  <c r="S35" i="7" s="1"/>
  <c r="AS34" i="7"/>
  <c r="S34" i="7" s="1"/>
  <c r="AS38" i="7"/>
  <c r="R38" i="7" s="1"/>
  <c r="AS27" i="7"/>
  <c r="AS45" i="12"/>
  <c r="R45" i="12" s="1"/>
  <c r="AS36" i="12"/>
  <c r="S36" i="12" s="1"/>
  <c r="BC26" i="6"/>
  <c r="BC3" i="6" s="1"/>
  <c r="R42" i="4"/>
  <c r="BB26" i="12"/>
  <c r="BB3" i="12" s="1"/>
  <c r="M27" i="12"/>
  <c r="M33" i="12"/>
  <c r="M29" i="12"/>
  <c r="M32" i="12"/>
  <c r="M31" i="12"/>
  <c r="M28" i="12"/>
  <c r="AD37" i="6"/>
  <c r="AE37" i="6" s="1"/>
  <c r="AQ7" i="6"/>
  <c r="AQ8" i="6" s="1"/>
  <c r="AQ9" i="6" s="1"/>
  <c r="AR1" i="6"/>
  <c r="AR3" i="6" s="1"/>
  <c r="BG26" i="12"/>
  <c r="AT32" i="5"/>
  <c r="AR21" i="5"/>
  <c r="AR19" i="5"/>
  <c r="AR23" i="5"/>
  <c r="AR20" i="5"/>
  <c r="AR22" i="5"/>
  <c r="AR18" i="5"/>
  <c r="AR24" i="5"/>
  <c r="AR25" i="5"/>
  <c r="CI26" i="7"/>
  <c r="CI28" i="7" s="1"/>
  <c r="AS44" i="6"/>
  <c r="AS43" i="6"/>
  <c r="R43" i="6" s="1"/>
  <c r="BB26" i="11"/>
  <c r="BB3" i="11" s="1"/>
  <c r="AS45" i="11"/>
  <c r="R45" i="11" s="1"/>
  <c r="AS36" i="11"/>
  <c r="S36" i="11" s="1"/>
  <c r="AS43" i="11"/>
  <c r="R43" i="11" s="1"/>
  <c r="AS32" i="11"/>
  <c r="AS42" i="11"/>
  <c r="R42" i="11" s="1"/>
  <c r="AS31" i="11"/>
  <c r="AR23" i="7"/>
  <c r="AR22" i="7"/>
  <c r="AR20" i="7"/>
  <c r="AR21" i="7"/>
  <c r="AR19" i="7"/>
  <c r="AR25" i="7"/>
  <c r="AR24" i="7"/>
  <c r="AR18" i="7"/>
  <c r="K28" i="11"/>
  <c r="H29" i="11"/>
  <c r="H53" i="11" s="1"/>
  <c r="L27" i="11"/>
  <c r="F13" i="3" s="1"/>
  <c r="J33" i="11"/>
  <c r="L29" i="11"/>
  <c r="L30" i="11"/>
  <c r="H31" i="11"/>
  <c r="H55" i="11" s="1"/>
  <c r="K48" i="11"/>
  <c r="K31" i="11"/>
  <c r="J30" i="11"/>
  <c r="J32" i="11"/>
  <c r="M48" i="11"/>
  <c r="H32" i="11"/>
  <c r="H56" i="11" s="1"/>
  <c r="H27" i="11"/>
  <c r="H51" i="11" s="1"/>
  <c r="L32" i="11"/>
  <c r="K27" i="11"/>
  <c r="M27" i="11"/>
  <c r="M33" i="11"/>
  <c r="H28" i="11"/>
  <c r="H52" i="11" s="1"/>
  <c r="L33" i="11"/>
  <c r="J27" i="11"/>
  <c r="K30" i="11"/>
  <c r="J31" i="11"/>
  <c r="J28" i="11"/>
  <c r="H33" i="11"/>
  <c r="H57" i="11" s="1"/>
  <c r="M31" i="11"/>
  <c r="L48" i="11"/>
  <c r="L31" i="11"/>
  <c r="K29" i="11"/>
  <c r="M29" i="11"/>
  <c r="H30" i="11"/>
  <c r="H54" i="11" s="1"/>
  <c r="K32" i="11"/>
  <c r="L28" i="11"/>
  <c r="K33" i="11"/>
  <c r="J29" i="11"/>
  <c r="J48" i="11"/>
  <c r="AR18" i="6"/>
  <c r="AR23" i="6"/>
  <c r="AR25" i="6"/>
  <c r="AR19" i="6"/>
  <c r="AR24" i="6"/>
  <c r="AR21" i="6"/>
  <c r="AR20" i="6"/>
  <c r="AR22" i="6"/>
  <c r="AT32" i="6"/>
  <c r="AY26" i="6"/>
  <c r="M32" i="8"/>
  <c r="AZ24" i="15"/>
  <c r="AZ19" i="15"/>
  <c r="BD14" i="15"/>
  <c r="AZ22" i="15"/>
  <c r="AZ18" i="15"/>
  <c r="AZ21" i="15"/>
  <c r="AZ23" i="15"/>
  <c r="CB14" i="15"/>
  <c r="AZ25" i="15"/>
  <c r="CA14" i="15"/>
  <c r="AZ20" i="15"/>
  <c r="R41" i="15"/>
  <c r="R44" i="15"/>
  <c r="CD27" i="9"/>
  <c r="BG26" i="11"/>
  <c r="BC26" i="5"/>
  <c r="BC3" i="5" s="1"/>
  <c r="AS41" i="7"/>
  <c r="R41" i="7" s="1"/>
  <c r="AS30" i="7"/>
  <c r="AS43" i="7"/>
  <c r="R43" i="7" s="1"/>
  <c r="AS32" i="7"/>
  <c r="AS34" i="4"/>
  <c r="S34" i="4" s="1"/>
  <c r="AS35" i="4"/>
  <c r="S35" i="4" s="1"/>
  <c r="AS38" i="4"/>
  <c r="R38" i="4" s="1"/>
  <c r="AS36" i="4"/>
  <c r="S36" i="4" s="1"/>
  <c r="AS45" i="4"/>
  <c r="R45" i="4" s="1"/>
  <c r="AR23" i="4"/>
  <c r="AR20" i="4"/>
  <c r="AR21" i="4"/>
  <c r="AR22" i="4"/>
  <c r="AR18" i="4"/>
  <c r="AR25" i="4"/>
  <c r="AR19" i="4"/>
  <c r="AR24" i="4"/>
  <c r="AT32" i="4"/>
  <c r="M32" i="11"/>
  <c r="G33" i="9"/>
  <c r="I29" i="9"/>
  <c r="G28" i="9"/>
  <c r="G30" i="9"/>
  <c r="I33" i="9"/>
  <c r="I28" i="9"/>
  <c r="G29" i="9"/>
  <c r="I48" i="9"/>
  <c r="I27" i="9"/>
  <c r="G27" i="9"/>
  <c r="I30" i="9"/>
  <c r="I32" i="9"/>
  <c r="G32" i="9"/>
  <c r="H48" i="9"/>
  <c r="H58" i="9" s="1"/>
  <c r="G31" i="9"/>
  <c r="G48" i="9"/>
  <c r="I31" i="9"/>
  <c r="M29" i="15"/>
  <c r="M53" i="15" s="1"/>
  <c r="M27" i="15"/>
  <c r="M51" i="15" s="1"/>
  <c r="M28" i="15"/>
  <c r="M52" i="15" s="1"/>
  <c r="M32" i="15"/>
  <c r="M56" i="15" s="1"/>
  <c r="M30" i="15"/>
  <c r="M54" i="15" s="1"/>
  <c r="BC26" i="9"/>
  <c r="BC3" i="9" s="1"/>
  <c r="AS41" i="12"/>
  <c r="R41" i="12" s="1"/>
  <c r="AS42" i="12"/>
  <c r="R42" i="12" s="1"/>
  <c r="CD27" i="7"/>
  <c r="M28" i="9"/>
  <c r="H27" i="9"/>
  <c r="H51" i="9" s="1"/>
  <c r="J29" i="9"/>
  <c r="H32" i="9"/>
  <c r="H56" i="9" s="1"/>
  <c r="K32" i="9"/>
  <c r="H28" i="9"/>
  <c r="H52" i="9" s="1"/>
  <c r="J31" i="9"/>
  <c r="M27" i="9"/>
  <c r="L30" i="9"/>
  <c r="K33" i="9"/>
  <c r="H29" i="9"/>
  <c r="H53" i="9" s="1"/>
  <c r="J33" i="9"/>
  <c r="M32" i="9"/>
  <c r="M31" i="9"/>
  <c r="J30" i="9"/>
  <c r="H30" i="9"/>
  <c r="H54" i="9" s="1"/>
  <c r="K28" i="9"/>
  <c r="K48" i="9"/>
  <c r="L29" i="9"/>
  <c r="H31" i="9"/>
  <c r="H55" i="9" s="1"/>
  <c r="J27" i="9"/>
  <c r="L27" i="9"/>
  <c r="M48" i="9"/>
  <c r="J48" i="9"/>
  <c r="CD27" i="15"/>
  <c r="AR25" i="8"/>
  <c r="AR18" i="8"/>
  <c r="AR22" i="8"/>
  <c r="AR19" i="8"/>
  <c r="AR21" i="8"/>
  <c r="AR24" i="8"/>
  <c r="AR20" i="8"/>
  <c r="AR23" i="8"/>
  <c r="R46" i="8"/>
  <c r="R40" i="8"/>
  <c r="BH19" i="6"/>
  <c r="BH25" i="6"/>
  <c r="BH23" i="6"/>
  <c r="BH22" i="6"/>
  <c r="BH24" i="6"/>
  <c r="BH18" i="6"/>
  <c r="BH20" i="6"/>
  <c r="BH21" i="6"/>
  <c r="BB26" i="6"/>
  <c r="BB3" i="6" s="1"/>
  <c r="AR23" i="15"/>
  <c r="AR25" i="15"/>
  <c r="AR19" i="15"/>
  <c r="AR21" i="15"/>
  <c r="AR24" i="15"/>
  <c r="AR22" i="15"/>
  <c r="AR18" i="15"/>
  <c r="AR20" i="15"/>
  <c r="R40" i="10"/>
  <c r="R44" i="10"/>
  <c r="BH24" i="15"/>
  <c r="BH19" i="15"/>
  <c r="BH23" i="15"/>
  <c r="BH20" i="15"/>
  <c r="BH18" i="15"/>
  <c r="BH21" i="15"/>
  <c r="BH22" i="15"/>
  <c r="BH25" i="15"/>
  <c r="AS43" i="9"/>
  <c r="R43" i="9" s="1"/>
  <c r="AS32" i="9"/>
  <c r="AZ24" i="4"/>
  <c r="CB14" i="4"/>
  <c r="CA14" i="4"/>
  <c r="AZ20" i="4"/>
  <c r="BD14" i="4"/>
  <c r="AZ19" i="4"/>
  <c r="AZ23" i="4"/>
  <c r="AZ25" i="4"/>
  <c r="AZ21" i="4"/>
  <c r="AZ22" i="4"/>
  <c r="AZ18" i="4"/>
  <c r="AD37" i="5"/>
  <c r="L31" i="5" s="1"/>
  <c r="AR1" i="5"/>
  <c r="AR3" i="5" s="1"/>
  <c r="AQ7" i="5"/>
  <c r="AQ8" i="5" s="1"/>
  <c r="AQ9" i="5" s="1"/>
  <c r="M32" i="7"/>
  <c r="K48" i="7"/>
  <c r="J32" i="7"/>
  <c r="H29" i="7"/>
  <c r="H53" i="7" s="1"/>
  <c r="K30" i="7"/>
  <c r="H31" i="7"/>
  <c r="H55" i="7" s="1"/>
  <c r="L29" i="7"/>
  <c r="L31" i="7"/>
  <c r="J28" i="7"/>
  <c r="K28" i="7"/>
  <c r="H27" i="7"/>
  <c r="H51" i="7" s="1"/>
  <c r="M31" i="7"/>
  <c r="L32" i="7"/>
  <c r="K29" i="7"/>
  <c r="L27" i="7"/>
  <c r="H32" i="7"/>
  <c r="H56" i="7" s="1"/>
  <c r="H28" i="7"/>
  <c r="H52" i="7" s="1"/>
  <c r="K33" i="7"/>
  <c r="J27" i="7"/>
  <c r="L48" i="7"/>
  <c r="K31" i="7"/>
  <c r="J33" i="7"/>
  <c r="K27" i="7"/>
  <c r="J31" i="7"/>
  <c r="M30" i="7"/>
  <c r="K32" i="7"/>
  <c r="M48" i="7"/>
  <c r="J29" i="7"/>
  <c r="H33" i="7"/>
  <c r="H57" i="7" s="1"/>
  <c r="J30" i="7"/>
  <c r="J48" i="7"/>
  <c r="H30" i="7"/>
  <c r="H54" i="7" s="1"/>
  <c r="BB26" i="10"/>
  <c r="BB3" i="10" s="1"/>
  <c r="CI26" i="9"/>
  <c r="CI28" i="9" s="1"/>
  <c r="BH25" i="5"/>
  <c r="BH24" i="5"/>
  <c r="BH23" i="5"/>
  <c r="BH18" i="5"/>
  <c r="BH19" i="5"/>
  <c r="BH20" i="5"/>
  <c r="BH21" i="5"/>
  <c r="BH22" i="5"/>
  <c r="CD27" i="5"/>
  <c r="R42" i="15"/>
  <c r="AY26" i="7"/>
  <c r="CI26" i="12"/>
  <c r="CI28" i="12" s="1"/>
  <c r="CI26" i="5"/>
  <c r="CI28" i="5" s="1"/>
  <c r="AY26" i="11"/>
  <c r="R41" i="8"/>
  <c r="AQ7" i="8"/>
  <c r="AQ8" i="8" s="1"/>
  <c r="AQ9" i="8" s="1"/>
  <c r="AD37" i="8"/>
  <c r="L29" i="8" s="1"/>
  <c r="AR1" i="8"/>
  <c r="AR3" i="8" s="1"/>
  <c r="R42" i="10"/>
  <c r="AZ23" i="12"/>
  <c r="AZ25" i="12"/>
  <c r="CA14" i="12"/>
  <c r="AZ21" i="12"/>
  <c r="CB14" i="12"/>
  <c r="BD14" i="12"/>
  <c r="AZ19" i="12"/>
  <c r="AZ24" i="12"/>
  <c r="AZ20" i="12"/>
  <c r="AZ22" i="12"/>
  <c r="AZ18" i="12"/>
  <c r="BB26" i="5"/>
  <c r="BB3" i="5" s="1"/>
  <c r="BG26" i="7"/>
  <c r="BH24" i="7"/>
  <c r="BH25" i="7"/>
  <c r="BH18" i="7"/>
  <c r="BH22" i="7"/>
  <c r="BH19" i="7"/>
  <c r="BH23" i="7"/>
  <c r="BH21" i="7"/>
  <c r="BH20" i="7"/>
  <c r="R44" i="4"/>
  <c r="I28" i="11"/>
  <c r="G30" i="11"/>
  <c r="G28" i="11"/>
  <c r="I29" i="11"/>
  <c r="I48" i="11"/>
  <c r="G27" i="11"/>
  <c r="I27" i="11"/>
  <c r="G48" i="11"/>
  <c r="I32" i="11"/>
  <c r="G29" i="11"/>
  <c r="G33" i="11"/>
  <c r="I31" i="11"/>
  <c r="H48" i="11"/>
  <c r="H58" i="11" s="1"/>
  <c r="G32" i="11"/>
  <c r="G31" i="11"/>
  <c r="I33" i="11"/>
  <c r="I30" i="11"/>
  <c r="BB26" i="4"/>
  <c r="BB3" i="4" s="1"/>
  <c r="BH25" i="8"/>
  <c r="BH23" i="8"/>
  <c r="BH18" i="8"/>
  <c r="BH19" i="8"/>
  <c r="BH21" i="8"/>
  <c r="BH22" i="8"/>
  <c r="BH20" i="8"/>
  <c r="BH24" i="8"/>
  <c r="AS45" i="8"/>
  <c r="R45" i="8" s="1"/>
  <c r="AS36" i="8"/>
  <c r="S36" i="8" s="1"/>
  <c r="M30" i="10"/>
  <c r="M28" i="10"/>
  <c r="M32" i="10"/>
  <c r="M31" i="10"/>
  <c r="M48" i="10"/>
  <c r="BB26" i="15"/>
  <c r="BB3" i="15" s="1"/>
  <c r="AS36" i="9"/>
  <c r="S36" i="9" s="1"/>
  <c r="AS45" i="9"/>
  <c r="R45" i="9" s="1"/>
  <c r="AS44" i="9"/>
  <c r="R44" i="9" s="1"/>
  <c r="AS33" i="9"/>
  <c r="L28" i="7"/>
  <c r="M28" i="7"/>
  <c r="BH20" i="10"/>
  <c r="BH18" i="10"/>
  <c r="BH19" i="10"/>
  <c r="BH24" i="10"/>
  <c r="BH25" i="10"/>
  <c r="BH23" i="10"/>
  <c r="BH21" i="10"/>
  <c r="BH22" i="10"/>
  <c r="R39" i="5"/>
  <c r="I48" i="7"/>
  <c r="G29" i="7"/>
  <c r="I32" i="7"/>
  <c r="G28" i="7"/>
  <c r="I31" i="7"/>
  <c r="I30" i="7"/>
  <c r="I33" i="7"/>
  <c r="H48" i="7"/>
  <c r="H58" i="7" s="1"/>
  <c r="G30" i="7"/>
  <c r="I27" i="7"/>
  <c r="G48" i="7"/>
  <c r="I29" i="7"/>
  <c r="G33" i="7"/>
  <c r="G27" i="7"/>
  <c r="I28" i="7"/>
  <c r="G31" i="7"/>
  <c r="G32" i="7"/>
  <c r="AR1" i="10"/>
  <c r="AR3" i="10" s="1"/>
  <c r="AD37" i="10"/>
  <c r="AS31" i="10" s="1"/>
  <c r="AQ7" i="10"/>
  <c r="AQ8" i="10" s="1"/>
  <c r="AQ9" i="10" s="1"/>
  <c r="CD27" i="11"/>
  <c r="AS34" i="15"/>
  <c r="S34" i="15" s="1"/>
  <c r="AS35" i="15"/>
  <c r="S35" i="15" s="1"/>
  <c r="AS38" i="15"/>
  <c r="BG26" i="15"/>
  <c r="AY26" i="10"/>
  <c r="CI26" i="10"/>
  <c r="CI28" i="10" s="1"/>
  <c r="BC26" i="11"/>
  <c r="BC3" i="11" s="1"/>
  <c r="AS42" i="9"/>
  <c r="R42" i="9" s="1"/>
  <c r="AS31" i="9"/>
  <c r="AS39" i="9"/>
  <c r="R39" i="9" s="1"/>
  <c r="AS28" i="9"/>
  <c r="L30" i="7"/>
  <c r="AY26" i="9"/>
  <c r="BC26" i="7"/>
  <c r="BC3" i="7" s="1"/>
  <c r="CB14" i="8"/>
  <c r="AZ21" i="8"/>
  <c r="AZ25" i="8"/>
  <c r="AZ22" i="8"/>
  <c r="AZ23" i="8"/>
  <c r="AZ18" i="8"/>
  <c r="AZ20" i="8"/>
  <c r="AZ19" i="8"/>
  <c r="BD14" i="8"/>
  <c r="CA14" i="8"/>
  <c r="AZ24" i="8"/>
  <c r="AS39" i="6"/>
  <c r="R39" i="6" s="1"/>
  <c r="AS40" i="6"/>
  <c r="R40" i="6" s="1"/>
  <c r="CI26" i="6"/>
  <c r="CI28" i="6" s="1"/>
  <c r="BC26" i="15"/>
  <c r="BC3" i="15" s="1"/>
  <c r="AS40" i="11"/>
  <c r="R40" i="11" s="1"/>
  <c r="AS29" i="11"/>
  <c r="AS38" i="11"/>
  <c r="R38" i="11" s="1"/>
  <c r="AS34" i="11"/>
  <c r="S34" i="11" s="1"/>
  <c r="AS35" i="11"/>
  <c r="S35" i="11" s="1"/>
  <c r="AS27" i="11"/>
  <c r="M33" i="4"/>
  <c r="BG26" i="5"/>
  <c r="AY26" i="5"/>
  <c r="BB26" i="7"/>
  <c r="BB3" i="7" s="1"/>
  <c r="BH21" i="4"/>
  <c r="BH23" i="4"/>
  <c r="BH22" i="4"/>
  <c r="BH24" i="4"/>
  <c r="BH19" i="4"/>
  <c r="BH20" i="4"/>
  <c r="BH25" i="4"/>
  <c r="BH18" i="4"/>
  <c r="BG26" i="4"/>
  <c r="AR1" i="12"/>
  <c r="AR3" i="12" s="1"/>
  <c r="AD37" i="12"/>
  <c r="AS31" i="12" s="1"/>
  <c r="AQ7" i="12"/>
  <c r="AQ8" i="12" s="1"/>
  <c r="AQ9" i="12" s="1"/>
  <c r="BC26" i="8"/>
  <c r="BC3" i="8" s="1"/>
  <c r="Q45" i="15"/>
  <c r="AZ21" i="6"/>
  <c r="AZ24" i="6"/>
  <c r="AZ25" i="6"/>
  <c r="AZ19" i="6"/>
  <c r="BD14" i="6"/>
  <c r="CA14" i="6"/>
  <c r="AZ22" i="6"/>
  <c r="AZ18" i="6"/>
  <c r="AZ20" i="6"/>
  <c r="AZ23" i="6"/>
  <c r="CB14" i="6"/>
  <c r="R40" i="15"/>
  <c r="AT32" i="10"/>
  <c r="CI26" i="11"/>
  <c r="CI28" i="11" s="1"/>
  <c r="AS48" i="7"/>
  <c r="AS46" i="7"/>
  <c r="R46" i="7" s="1"/>
  <c r="AS36" i="7"/>
  <c r="S36" i="7" s="1"/>
  <c r="AS45" i="7"/>
  <c r="R45" i="7" s="1"/>
  <c r="M27" i="7"/>
  <c r="BB26" i="9"/>
  <c r="BB3" i="9" s="1"/>
  <c r="AT32" i="9"/>
  <c r="AS43" i="12"/>
  <c r="R43" i="12" s="1"/>
  <c r="AS34" i="12"/>
  <c r="S34" i="12" s="1"/>
  <c r="AS35" i="12"/>
  <c r="S35" i="12" s="1"/>
  <c r="AS38" i="12"/>
  <c r="R38" i="12" s="1"/>
  <c r="AS44" i="12"/>
  <c r="R44" i="12" s="1"/>
  <c r="AS38" i="10"/>
  <c r="R38" i="10" s="1"/>
  <c r="AS35" i="10"/>
  <c r="S35" i="10" s="1"/>
  <c r="AS34" i="10"/>
  <c r="S34" i="10" s="1"/>
  <c r="AR1" i="15"/>
  <c r="AR3" i="15" s="1"/>
  <c r="AQ7" i="15"/>
  <c r="AQ8" i="15" s="1"/>
  <c r="AD37" i="15"/>
  <c r="L31" i="9"/>
  <c r="M48" i="15"/>
  <c r="M58" i="15" s="1"/>
  <c r="AT32" i="8"/>
  <c r="R39" i="8"/>
  <c r="BG26" i="6"/>
  <c r="AT32" i="15"/>
  <c r="R46" i="10"/>
  <c r="BC26" i="10"/>
  <c r="BC3" i="10" s="1"/>
  <c r="M31" i="4"/>
  <c r="L31" i="4"/>
  <c r="M33" i="7"/>
  <c r="E53" i="4"/>
  <c r="AA21" i="4" s="1"/>
  <c r="AT55" i="15"/>
  <c r="AT53" i="15"/>
  <c r="R64" i="15"/>
  <c r="R70" i="15"/>
  <c r="R68" i="15"/>
  <c r="AM6" i="6"/>
  <c r="AT51" i="15"/>
  <c r="R69" i="15"/>
  <c r="AM6" i="7"/>
  <c r="R71" i="15"/>
  <c r="R63" i="15"/>
  <c r="R66" i="15"/>
  <c r="R65" i="15"/>
  <c r="AT58" i="15"/>
  <c r="H50" i="4" l="1"/>
  <c r="H59" i="4" s="1"/>
  <c r="E53" i="9"/>
  <c r="AA21" i="9" s="1"/>
  <c r="S48" i="4"/>
  <c r="S27" i="4"/>
  <c r="S37" i="12"/>
  <c r="AS32" i="12"/>
  <c r="L48" i="12"/>
  <c r="L29" i="6"/>
  <c r="L28" i="12"/>
  <c r="S28" i="4"/>
  <c r="AM10" i="4"/>
  <c r="AS27" i="12"/>
  <c r="S31" i="4"/>
  <c r="S32" i="4"/>
  <c r="S37" i="10"/>
  <c r="AS33" i="12"/>
  <c r="L30" i="12"/>
  <c r="L31" i="12"/>
  <c r="S33" i="4"/>
  <c r="AS27" i="8"/>
  <c r="AM11" i="4"/>
  <c r="L33" i="12"/>
  <c r="L48" i="5"/>
  <c r="S30" i="4"/>
  <c r="AM13" i="4"/>
  <c r="S29" i="4"/>
  <c r="AS28" i="6"/>
  <c r="AS48" i="8"/>
  <c r="L32" i="6"/>
  <c r="AM12" i="4"/>
  <c r="AS29" i="6"/>
  <c r="L27" i="6"/>
  <c r="E51" i="6"/>
  <c r="AR26" i="7"/>
  <c r="AR27" i="7" s="1"/>
  <c r="S31" i="7"/>
  <c r="S28" i="7"/>
  <c r="S37" i="15"/>
  <c r="L33" i="8"/>
  <c r="S37" i="4"/>
  <c r="AS32" i="6"/>
  <c r="L33" i="6"/>
  <c r="BH26" i="11"/>
  <c r="BI26" i="11" s="1"/>
  <c r="E53" i="11"/>
  <c r="AA21" i="11" s="1"/>
  <c r="BH26" i="10"/>
  <c r="BI26" i="10" s="1"/>
  <c r="S30" i="9"/>
  <c r="R45" i="15"/>
  <c r="L27" i="5"/>
  <c r="AS30" i="8"/>
  <c r="L29" i="5"/>
  <c r="L31" i="6"/>
  <c r="L28" i="6"/>
  <c r="AS48" i="6"/>
  <c r="S37" i="5"/>
  <c r="S27" i="7"/>
  <c r="S29" i="7"/>
  <c r="L33" i="5"/>
  <c r="S29" i="11"/>
  <c r="H50" i="7"/>
  <c r="H59" i="7" s="1"/>
  <c r="L30" i="8"/>
  <c r="AZ26" i="10"/>
  <c r="T63" i="15"/>
  <c r="AS29" i="15"/>
  <c r="L29" i="15"/>
  <c r="L53" i="15" s="1"/>
  <c r="H29" i="15"/>
  <c r="H53" i="15" s="1"/>
  <c r="G28" i="15"/>
  <c r="L33" i="15"/>
  <c r="L57" i="15" s="1"/>
  <c r="L32" i="15"/>
  <c r="L56" i="15" s="1"/>
  <c r="J32" i="15"/>
  <c r="J56" i="15" s="1"/>
  <c r="I28" i="15"/>
  <c r="I52" i="15" s="1"/>
  <c r="H33" i="15"/>
  <c r="H57" i="15" s="1"/>
  <c r="G48" i="15"/>
  <c r="J28" i="15"/>
  <c r="J52" i="15" s="1"/>
  <c r="J30" i="15"/>
  <c r="J54" i="15" s="1"/>
  <c r="K33" i="15"/>
  <c r="K57" i="15" s="1"/>
  <c r="G30" i="15"/>
  <c r="I32" i="15"/>
  <c r="I56" i="15" s="1"/>
  <c r="H28" i="15"/>
  <c r="H52" i="15" s="1"/>
  <c r="AE37" i="15"/>
  <c r="H32" i="15"/>
  <c r="H56" i="15" s="1"/>
  <c r="AS33" i="15"/>
  <c r="H27" i="15"/>
  <c r="H51" i="15" s="1"/>
  <c r="I48" i="15"/>
  <c r="I58" i="15" s="1"/>
  <c r="K29" i="15"/>
  <c r="K53" i="15" s="1"/>
  <c r="E50" i="15"/>
  <c r="K30" i="15"/>
  <c r="K54" i="15" s="1"/>
  <c r="G27" i="15"/>
  <c r="K27" i="15"/>
  <c r="K51" i="15" s="1"/>
  <c r="K48" i="15"/>
  <c r="K58" i="15" s="1"/>
  <c r="L48" i="15"/>
  <c r="L58" i="15" s="1"/>
  <c r="I27" i="15"/>
  <c r="I51" i="15" s="1"/>
  <c r="G29" i="15"/>
  <c r="L30" i="15"/>
  <c r="L54" i="15" s="1"/>
  <c r="J31" i="15"/>
  <c r="J55" i="15" s="1"/>
  <c r="H30" i="15"/>
  <c r="H54" i="15" s="1"/>
  <c r="I30" i="15"/>
  <c r="I54" i="15" s="1"/>
  <c r="K28" i="15"/>
  <c r="K52" i="15" s="1"/>
  <c r="L31" i="15"/>
  <c r="L55" i="15" s="1"/>
  <c r="AE40" i="15"/>
  <c r="G32" i="15"/>
  <c r="J33" i="15"/>
  <c r="J57" i="15" s="1"/>
  <c r="G31" i="15"/>
  <c r="J48" i="15"/>
  <c r="J58" i="15" s="1"/>
  <c r="AE38" i="15"/>
  <c r="J27" i="15"/>
  <c r="J51" i="15" s="1"/>
  <c r="I29" i="15"/>
  <c r="I53" i="15" s="1"/>
  <c r="J29" i="15"/>
  <c r="J53" i="15" s="1"/>
  <c r="H31" i="15"/>
  <c r="H55" i="15" s="1"/>
  <c r="AE39" i="15"/>
  <c r="I31" i="15"/>
  <c r="I55" i="15" s="1"/>
  <c r="G33" i="15"/>
  <c r="E52" i="15"/>
  <c r="AS27" i="15"/>
  <c r="K32" i="15"/>
  <c r="K56" i="15" s="1"/>
  <c r="L27" i="15"/>
  <c r="L51" i="15" s="1"/>
  <c r="I33" i="15"/>
  <c r="I57" i="15" s="1"/>
  <c r="L28" i="15"/>
  <c r="L52" i="15" s="1"/>
  <c r="K31" i="15"/>
  <c r="K55" i="15" s="1"/>
  <c r="AS48" i="15"/>
  <c r="AS28" i="15"/>
  <c r="H48" i="15"/>
  <c r="H58" i="15" s="1"/>
  <c r="E51" i="15"/>
  <c r="T38" i="11"/>
  <c r="BD21" i="4"/>
  <c r="BD24" i="4"/>
  <c r="BD20" i="4"/>
  <c r="BD19" i="4"/>
  <c r="BD23" i="4"/>
  <c r="BE14" i="4"/>
  <c r="BD18" i="4"/>
  <c r="BD22" i="4"/>
  <c r="BD25" i="4"/>
  <c r="H50" i="9"/>
  <c r="H59" i="9" s="1"/>
  <c r="AM12" i="9"/>
  <c r="AM13" i="9"/>
  <c r="S48" i="9"/>
  <c r="AZ26" i="15"/>
  <c r="AZ26" i="11"/>
  <c r="AS28" i="12"/>
  <c r="CA24" i="7"/>
  <c r="CA18" i="7"/>
  <c r="CA25" i="7"/>
  <c r="CA20" i="7"/>
  <c r="CA22" i="7"/>
  <c r="CA19" i="7"/>
  <c r="CA21" i="7"/>
  <c r="CA23" i="7"/>
  <c r="AZ26" i="7"/>
  <c r="AZ26" i="5"/>
  <c r="CB25" i="5"/>
  <c r="CB19" i="5"/>
  <c r="CB20" i="5"/>
  <c r="CB24" i="5"/>
  <c r="CB21" i="5"/>
  <c r="CB22" i="5"/>
  <c r="CB23" i="5"/>
  <c r="CB18" i="5"/>
  <c r="S37" i="8"/>
  <c r="L28" i="8"/>
  <c r="T38" i="9"/>
  <c r="R44" i="7"/>
  <c r="T38" i="7" s="1"/>
  <c r="AS37" i="7" s="1"/>
  <c r="AQ9" i="15"/>
  <c r="AQ10" i="15"/>
  <c r="T38" i="10"/>
  <c r="BD23" i="6"/>
  <c r="BD18" i="6"/>
  <c r="BD22" i="6"/>
  <c r="BE14" i="6"/>
  <c r="BD19" i="6"/>
  <c r="BD24" i="6"/>
  <c r="BD21" i="6"/>
  <c r="BD20" i="6"/>
  <c r="BD25" i="6"/>
  <c r="L32" i="12"/>
  <c r="L29" i="12"/>
  <c r="BH26" i="4"/>
  <c r="BI26" i="4" s="1"/>
  <c r="S32" i="7"/>
  <c r="AM10" i="7"/>
  <c r="AM11" i="7"/>
  <c r="S33" i="7"/>
  <c r="S30" i="7"/>
  <c r="AE37" i="8"/>
  <c r="E51" i="8"/>
  <c r="S48" i="11"/>
  <c r="AM13" i="11"/>
  <c r="AM12" i="11"/>
  <c r="BH26" i="5"/>
  <c r="BI26" i="5" s="1"/>
  <c r="L30" i="5"/>
  <c r="E50" i="5"/>
  <c r="J29" i="5"/>
  <c r="I32" i="5"/>
  <c r="J27" i="5"/>
  <c r="I28" i="5"/>
  <c r="J31" i="5"/>
  <c r="G32" i="5"/>
  <c r="J32" i="5"/>
  <c r="G29" i="5"/>
  <c r="G27" i="5"/>
  <c r="H33" i="5"/>
  <c r="H57" i="5" s="1"/>
  <c r="K29" i="5"/>
  <c r="G28" i="5"/>
  <c r="AS27" i="5"/>
  <c r="K28" i="5"/>
  <c r="H32" i="5"/>
  <c r="H56" i="5" s="1"/>
  <c r="H27" i="5"/>
  <c r="H51" i="5" s="1"/>
  <c r="H48" i="5"/>
  <c r="H58" i="5" s="1"/>
  <c r="J30" i="5"/>
  <c r="G48" i="5"/>
  <c r="H29" i="5"/>
  <c r="H53" i="5" s="1"/>
  <c r="H28" i="5"/>
  <c r="H52" i="5" s="1"/>
  <c r="I33" i="5"/>
  <c r="J48" i="5"/>
  <c r="G33" i="5"/>
  <c r="J33" i="5"/>
  <c r="E52" i="5"/>
  <c r="I29" i="5"/>
  <c r="AE40" i="5"/>
  <c r="I48" i="5"/>
  <c r="H30" i="5"/>
  <c r="H54" i="5" s="1"/>
  <c r="I27" i="5"/>
  <c r="I30" i="5"/>
  <c r="J28" i="5"/>
  <c r="I31" i="5"/>
  <c r="K33" i="5"/>
  <c r="K32" i="5"/>
  <c r="AS33" i="5"/>
  <c r="AS29" i="5"/>
  <c r="AS31" i="5"/>
  <c r="G30" i="5"/>
  <c r="K48" i="5"/>
  <c r="AS48" i="5"/>
  <c r="AE39" i="5"/>
  <c r="AE37" i="5"/>
  <c r="AS30" i="5"/>
  <c r="G31" i="5"/>
  <c r="K27" i="5"/>
  <c r="AE38" i="5"/>
  <c r="K30" i="5"/>
  <c r="K31" i="5"/>
  <c r="L32" i="5"/>
  <c r="AS32" i="5"/>
  <c r="AS28" i="5"/>
  <c r="H31" i="5"/>
  <c r="H55" i="5" s="1"/>
  <c r="BH26" i="6"/>
  <c r="BI26" i="6" s="1"/>
  <c r="S31" i="9"/>
  <c r="S29" i="9"/>
  <c r="S28" i="9"/>
  <c r="CB19" i="15"/>
  <c r="CB23" i="15"/>
  <c r="CB21" i="15"/>
  <c r="CB20" i="15"/>
  <c r="CB25" i="15"/>
  <c r="CB18" i="15"/>
  <c r="CB24" i="15"/>
  <c r="CB22" i="15"/>
  <c r="AS33" i="6"/>
  <c r="L48" i="6"/>
  <c r="L30" i="6"/>
  <c r="BD25" i="7"/>
  <c r="BD24" i="7"/>
  <c r="BE14" i="7"/>
  <c r="BD23" i="7"/>
  <c r="BD19" i="7"/>
  <c r="BD18" i="7"/>
  <c r="BD21" i="7"/>
  <c r="BD22" i="7"/>
  <c r="BD20" i="7"/>
  <c r="AR26" i="10"/>
  <c r="AR27" i="10" s="1"/>
  <c r="BD24" i="5"/>
  <c r="BD21" i="5"/>
  <c r="BD18" i="5"/>
  <c r="BD23" i="5"/>
  <c r="BD25" i="5"/>
  <c r="BD19" i="5"/>
  <c r="BE14" i="5"/>
  <c r="BD20" i="5"/>
  <c r="BD22" i="5"/>
  <c r="BH26" i="12"/>
  <c r="BI26" i="12" s="1"/>
  <c r="AR26" i="12"/>
  <c r="AR27" i="12" s="1"/>
  <c r="CB20" i="9"/>
  <c r="CB24" i="9"/>
  <c r="CB22" i="9"/>
  <c r="CB19" i="9"/>
  <c r="CB18" i="9"/>
  <c r="CB23" i="9"/>
  <c r="CB25" i="9"/>
  <c r="CB21" i="9"/>
  <c r="AR26" i="11"/>
  <c r="AR27" i="11" s="1"/>
  <c r="L27" i="8"/>
  <c r="S37" i="6"/>
  <c r="CA24" i="10"/>
  <c r="CA19" i="10"/>
  <c r="CA18" i="10"/>
  <c r="CA23" i="10"/>
  <c r="CA21" i="10"/>
  <c r="CA20" i="10"/>
  <c r="CA25" i="10"/>
  <c r="CA22" i="10"/>
  <c r="CA23" i="6"/>
  <c r="CA19" i="6"/>
  <c r="CA24" i="6"/>
  <c r="CA18" i="6"/>
  <c r="CA22" i="6"/>
  <c r="CA21" i="6"/>
  <c r="CA20" i="6"/>
  <c r="CA25" i="6"/>
  <c r="AS30" i="15"/>
  <c r="CB25" i="12"/>
  <c r="CB23" i="12"/>
  <c r="CB19" i="12"/>
  <c r="CB22" i="12"/>
  <c r="CB18" i="12"/>
  <c r="CB21" i="12"/>
  <c r="CB24" i="12"/>
  <c r="CB20" i="12"/>
  <c r="T38" i="12"/>
  <c r="AZ26" i="6"/>
  <c r="AE37" i="12"/>
  <c r="J29" i="12"/>
  <c r="AE39" i="12"/>
  <c r="E52" i="12"/>
  <c r="I33" i="12"/>
  <c r="G30" i="12"/>
  <c r="G31" i="12"/>
  <c r="I30" i="12"/>
  <c r="J31" i="12"/>
  <c r="G48" i="12"/>
  <c r="H31" i="12"/>
  <c r="H55" i="12" s="1"/>
  <c r="G28" i="12"/>
  <c r="J48" i="12"/>
  <c r="G33" i="12"/>
  <c r="K27" i="12"/>
  <c r="K30" i="12"/>
  <c r="K29" i="12"/>
  <c r="AE38" i="12"/>
  <c r="J28" i="12"/>
  <c r="H30" i="12"/>
  <c r="H54" i="12" s="1"/>
  <c r="I27" i="12"/>
  <c r="K31" i="12"/>
  <c r="H48" i="12"/>
  <c r="H58" i="12" s="1"/>
  <c r="G29" i="12"/>
  <c r="J27" i="12"/>
  <c r="I31" i="12"/>
  <c r="I29" i="12"/>
  <c r="G32" i="12"/>
  <c r="I48" i="12"/>
  <c r="H33" i="12"/>
  <c r="H57" i="12" s="1"/>
  <c r="K48" i="12"/>
  <c r="K32" i="12"/>
  <c r="E50" i="12"/>
  <c r="G27" i="12"/>
  <c r="I28" i="12"/>
  <c r="H28" i="12"/>
  <c r="H52" i="12" s="1"/>
  <c r="I32" i="12"/>
  <c r="J33" i="12"/>
  <c r="H27" i="12"/>
  <c r="H51" i="12" s="1"/>
  <c r="H32" i="12"/>
  <c r="H56" i="12" s="1"/>
  <c r="K28" i="12"/>
  <c r="K33" i="12"/>
  <c r="J30" i="12"/>
  <c r="AE40" i="12"/>
  <c r="H29" i="12"/>
  <c r="H53" i="12" s="1"/>
  <c r="J32" i="12"/>
  <c r="S37" i="11"/>
  <c r="CA25" i="8"/>
  <c r="CA21" i="8"/>
  <c r="CA20" i="8"/>
  <c r="CA19" i="8"/>
  <c r="CA22" i="8"/>
  <c r="CA24" i="8"/>
  <c r="CA18" i="8"/>
  <c r="CA23" i="8"/>
  <c r="AZ26" i="8"/>
  <c r="R38" i="15"/>
  <c r="AS31" i="15"/>
  <c r="BH26" i="8"/>
  <c r="BI26" i="8" s="1"/>
  <c r="S31" i="11"/>
  <c r="AM10" i="11"/>
  <c r="S33" i="11"/>
  <c r="AM11" i="11"/>
  <c r="S28" i="11"/>
  <c r="AZ26" i="12"/>
  <c r="CA18" i="12"/>
  <c r="CA22" i="12"/>
  <c r="CA21" i="12"/>
  <c r="CA23" i="12"/>
  <c r="CA19" i="12"/>
  <c r="CA24" i="12"/>
  <c r="CA20" i="12"/>
  <c r="CA25" i="12"/>
  <c r="AZ26" i="4"/>
  <c r="CA22" i="4"/>
  <c r="CA24" i="4"/>
  <c r="CA20" i="4"/>
  <c r="CA18" i="4"/>
  <c r="CA21" i="4"/>
  <c r="CA25" i="4"/>
  <c r="CA23" i="4"/>
  <c r="CA19" i="4"/>
  <c r="S27" i="9"/>
  <c r="T38" i="4"/>
  <c r="BD18" i="15"/>
  <c r="BD22" i="15"/>
  <c r="BD20" i="15"/>
  <c r="BD21" i="15"/>
  <c r="BD25" i="15"/>
  <c r="BD23" i="15"/>
  <c r="BD24" i="15"/>
  <c r="BE14" i="15"/>
  <c r="BD19" i="15"/>
  <c r="H50" i="11"/>
  <c r="H59" i="11" s="1"/>
  <c r="AR26" i="5"/>
  <c r="AR27" i="5" s="1"/>
  <c r="AE38" i="6"/>
  <c r="E52" i="6"/>
  <c r="AE40" i="6"/>
  <c r="E50" i="6"/>
  <c r="AE39" i="6"/>
  <c r="J32" i="6"/>
  <c r="K28" i="6"/>
  <c r="K48" i="6"/>
  <c r="J33" i="6"/>
  <c r="K33" i="6"/>
  <c r="H28" i="6"/>
  <c r="H52" i="6" s="1"/>
  <c r="H27" i="6"/>
  <c r="H51" i="6" s="1"/>
  <c r="J30" i="6"/>
  <c r="I27" i="6"/>
  <c r="I32" i="6"/>
  <c r="I33" i="6"/>
  <c r="G29" i="6"/>
  <c r="H33" i="6"/>
  <c r="H57" i="6" s="1"/>
  <c r="J27" i="6"/>
  <c r="K27" i="6"/>
  <c r="H30" i="6"/>
  <c r="H54" i="6" s="1"/>
  <c r="H31" i="6"/>
  <c r="H55" i="6" s="1"/>
  <c r="J28" i="6"/>
  <c r="K32" i="6"/>
  <c r="I30" i="6"/>
  <c r="G31" i="6"/>
  <c r="H48" i="6"/>
  <c r="H58" i="6" s="1"/>
  <c r="I31" i="6"/>
  <c r="K29" i="6"/>
  <c r="I48" i="6"/>
  <c r="K30" i="6"/>
  <c r="J31" i="6"/>
  <c r="H32" i="6"/>
  <c r="H56" i="6" s="1"/>
  <c r="G33" i="6"/>
  <c r="G28" i="6"/>
  <c r="G48" i="6"/>
  <c r="J29" i="6"/>
  <c r="G27" i="6"/>
  <c r="I28" i="6"/>
  <c r="K31" i="6"/>
  <c r="H29" i="6"/>
  <c r="H53" i="6" s="1"/>
  <c r="G30" i="6"/>
  <c r="G32" i="6"/>
  <c r="J48" i="6"/>
  <c r="I29" i="6"/>
  <c r="S37" i="7"/>
  <c r="CB23" i="11"/>
  <c r="CB21" i="11"/>
  <c r="CB18" i="11"/>
  <c r="CB19" i="11"/>
  <c r="CB24" i="11"/>
  <c r="CB22" i="11"/>
  <c r="CB25" i="11"/>
  <c r="CB20" i="11"/>
  <c r="BD20" i="11"/>
  <c r="BD25" i="11"/>
  <c r="BD19" i="11"/>
  <c r="BD22" i="11"/>
  <c r="BD18" i="11"/>
  <c r="BD21" i="11"/>
  <c r="BD24" i="11"/>
  <c r="BD23" i="11"/>
  <c r="BE14" i="11"/>
  <c r="AS48" i="12"/>
  <c r="AR26" i="9"/>
  <c r="AR27" i="9" s="1"/>
  <c r="AS30" i="6"/>
  <c r="BD20" i="9"/>
  <c r="BD25" i="9"/>
  <c r="BD22" i="9"/>
  <c r="BD19" i="9"/>
  <c r="BD23" i="9"/>
  <c r="BD18" i="9"/>
  <c r="BD24" i="9"/>
  <c r="BD21" i="9"/>
  <c r="BE14" i="9"/>
  <c r="AS29" i="12"/>
  <c r="S37" i="9"/>
  <c r="CB23" i="10"/>
  <c r="CB18" i="10"/>
  <c r="CB19" i="10"/>
  <c r="CB24" i="10"/>
  <c r="CB21" i="10"/>
  <c r="CB20" i="10"/>
  <c r="CB22" i="10"/>
  <c r="CB25" i="10"/>
  <c r="L28" i="5"/>
  <c r="CB22" i="6"/>
  <c r="CB20" i="6"/>
  <c r="CB18" i="6"/>
  <c r="CB23" i="6"/>
  <c r="CB25" i="6"/>
  <c r="CB24" i="6"/>
  <c r="CB19" i="6"/>
  <c r="CB21" i="6"/>
  <c r="E51" i="12"/>
  <c r="L27" i="12"/>
  <c r="BD18" i="8"/>
  <c r="BD20" i="8"/>
  <c r="BD25" i="8"/>
  <c r="BD23" i="8"/>
  <c r="BE14" i="8"/>
  <c r="BD19" i="8"/>
  <c r="BD24" i="8"/>
  <c r="BD22" i="8"/>
  <c r="BD21" i="8"/>
  <c r="CB21" i="8"/>
  <c r="CB22" i="8"/>
  <c r="CB20" i="8"/>
  <c r="CB19" i="8"/>
  <c r="CB18" i="8"/>
  <c r="CB24" i="8"/>
  <c r="CB25" i="8"/>
  <c r="CB23" i="8"/>
  <c r="AS32" i="10"/>
  <c r="L27" i="10"/>
  <c r="I48" i="10"/>
  <c r="H29" i="10"/>
  <c r="H53" i="10" s="1"/>
  <c r="J27" i="10"/>
  <c r="AS30" i="10"/>
  <c r="K30" i="10"/>
  <c r="L31" i="10"/>
  <c r="I33" i="10"/>
  <c r="AE38" i="10"/>
  <c r="I28" i="10"/>
  <c r="J28" i="10"/>
  <c r="I31" i="10"/>
  <c r="H28" i="10"/>
  <c r="H52" i="10" s="1"/>
  <c r="K48" i="10"/>
  <c r="J29" i="10"/>
  <c r="L33" i="10"/>
  <c r="J32" i="10"/>
  <c r="H33" i="10"/>
  <c r="H57" i="10" s="1"/>
  <c r="E51" i="10"/>
  <c r="G48" i="10"/>
  <c r="L28" i="10"/>
  <c r="G30" i="10"/>
  <c r="AE37" i="10"/>
  <c r="AE40" i="10"/>
  <c r="K27" i="10"/>
  <c r="J33" i="10"/>
  <c r="K32" i="10"/>
  <c r="AS28" i="10"/>
  <c r="G33" i="10"/>
  <c r="L48" i="10"/>
  <c r="J48" i="10"/>
  <c r="H27" i="10"/>
  <c r="H51" i="10" s="1"/>
  <c r="G28" i="10"/>
  <c r="I30" i="10"/>
  <c r="AS48" i="10"/>
  <c r="H30" i="10"/>
  <c r="H54" i="10" s="1"/>
  <c r="J31" i="10"/>
  <c r="AS33" i="10"/>
  <c r="H48" i="10"/>
  <c r="H58" i="10" s="1"/>
  <c r="I29" i="10"/>
  <c r="K31" i="10"/>
  <c r="L32" i="10"/>
  <c r="L29" i="10"/>
  <c r="G29" i="10"/>
  <c r="K28" i="10"/>
  <c r="E52" i="10"/>
  <c r="J30" i="10"/>
  <c r="H32" i="10"/>
  <c r="H56" i="10" s="1"/>
  <c r="I27" i="10"/>
  <c r="AS29" i="10"/>
  <c r="G27" i="10"/>
  <c r="K29" i="10"/>
  <c r="K33" i="10"/>
  <c r="AE39" i="10"/>
  <c r="G31" i="10"/>
  <c r="L30" i="10"/>
  <c r="E50" i="10"/>
  <c r="H31" i="10"/>
  <c r="H55" i="10" s="1"/>
  <c r="AS27" i="10"/>
  <c r="G32" i="10"/>
  <c r="I32" i="10"/>
  <c r="AM13" i="7"/>
  <c r="S48" i="7"/>
  <c r="AM12" i="7"/>
  <c r="AS32" i="15"/>
  <c r="S32" i="11"/>
  <c r="S27" i="11"/>
  <c r="S30" i="11"/>
  <c r="BH26" i="7"/>
  <c r="BI26" i="7" s="1"/>
  <c r="BD20" i="12"/>
  <c r="BD23" i="12"/>
  <c r="BD22" i="12"/>
  <c r="BD18" i="12"/>
  <c r="BD25" i="12"/>
  <c r="BD19" i="12"/>
  <c r="BD21" i="12"/>
  <c r="BE14" i="12"/>
  <c r="BD24" i="12"/>
  <c r="J29" i="8"/>
  <c r="K31" i="8"/>
  <c r="K28" i="8"/>
  <c r="K33" i="8"/>
  <c r="G28" i="8"/>
  <c r="I29" i="8"/>
  <c r="J32" i="8"/>
  <c r="H30" i="8"/>
  <c r="H54" i="8" s="1"/>
  <c r="I30" i="8"/>
  <c r="K32" i="8"/>
  <c r="K27" i="8"/>
  <c r="J27" i="8"/>
  <c r="AE40" i="8"/>
  <c r="H31" i="8"/>
  <c r="H55" i="8" s="1"/>
  <c r="G33" i="8"/>
  <c r="J33" i="8"/>
  <c r="G48" i="8"/>
  <c r="I31" i="8"/>
  <c r="G29" i="8"/>
  <c r="AS31" i="8"/>
  <c r="I32" i="8"/>
  <c r="I27" i="8"/>
  <c r="K29" i="8"/>
  <c r="AE38" i="8"/>
  <c r="J48" i="8"/>
  <c r="H29" i="8"/>
  <c r="H53" i="8" s="1"/>
  <c r="L31" i="8"/>
  <c r="AE39" i="8"/>
  <c r="J28" i="8"/>
  <c r="AS33" i="8"/>
  <c r="G30" i="8"/>
  <c r="H32" i="8"/>
  <c r="H56" i="8" s="1"/>
  <c r="I28" i="8"/>
  <c r="E50" i="8"/>
  <c r="H33" i="8"/>
  <c r="H57" i="8" s="1"/>
  <c r="J30" i="8"/>
  <c r="G32" i="8"/>
  <c r="AS29" i="8"/>
  <c r="K30" i="8"/>
  <c r="K48" i="8"/>
  <c r="H48" i="8"/>
  <c r="H58" i="8" s="1"/>
  <c r="I48" i="8"/>
  <c r="E52" i="8"/>
  <c r="G27" i="8"/>
  <c r="AS28" i="8"/>
  <c r="AS32" i="8"/>
  <c r="I33" i="8"/>
  <c r="H28" i="8"/>
  <c r="H52" i="8" s="1"/>
  <c r="G31" i="8"/>
  <c r="L32" i="8"/>
  <c r="H27" i="8"/>
  <c r="H51" i="8" s="1"/>
  <c r="J31" i="8"/>
  <c r="L48" i="8"/>
  <c r="CB18" i="4"/>
  <c r="CB25" i="4"/>
  <c r="CB23" i="4"/>
  <c r="CB22" i="4"/>
  <c r="CB20" i="4"/>
  <c r="CB21" i="4"/>
  <c r="CB19" i="4"/>
  <c r="CB24" i="4"/>
  <c r="BH26" i="15"/>
  <c r="BI26" i="15" s="1"/>
  <c r="AR26" i="15"/>
  <c r="AR26" i="8"/>
  <c r="AR27" i="8" s="1"/>
  <c r="AS30" i="12"/>
  <c r="S32" i="9"/>
  <c r="S33" i="9"/>
  <c r="AM11" i="9"/>
  <c r="AM10" i="9"/>
  <c r="AR26" i="4"/>
  <c r="AR27" i="4" s="1"/>
  <c r="CA23" i="15"/>
  <c r="CA19" i="15"/>
  <c r="CA18" i="15"/>
  <c r="CA25" i="15"/>
  <c r="CA22" i="15"/>
  <c r="CA21" i="15"/>
  <c r="CA20" i="15"/>
  <c r="CA24" i="15"/>
  <c r="AR26" i="6"/>
  <c r="AR27" i="6" s="1"/>
  <c r="AS31" i="6"/>
  <c r="BH26" i="9"/>
  <c r="BI26" i="9" s="1"/>
  <c r="CA24" i="11"/>
  <c r="CA19" i="11"/>
  <c r="CA22" i="11"/>
  <c r="CK22" i="11" s="1"/>
  <c r="CA20" i="11"/>
  <c r="CA23" i="11"/>
  <c r="CA25" i="11"/>
  <c r="CA18" i="11"/>
  <c r="CA21" i="11"/>
  <c r="CB18" i="7"/>
  <c r="CB22" i="7"/>
  <c r="CB23" i="7"/>
  <c r="CB21" i="7"/>
  <c r="CB25" i="7"/>
  <c r="CB20" i="7"/>
  <c r="CB24" i="7"/>
  <c r="CB19" i="7"/>
  <c r="CA18" i="5"/>
  <c r="CA25" i="5"/>
  <c r="CA20" i="5"/>
  <c r="CK20" i="5" s="1"/>
  <c r="CA21" i="5"/>
  <c r="CK21" i="5" s="1"/>
  <c r="CA24" i="5"/>
  <c r="CA22" i="5"/>
  <c r="CA23" i="5"/>
  <c r="CK23" i="5" s="1"/>
  <c r="CA19" i="5"/>
  <c r="T38" i="5"/>
  <c r="CA23" i="9"/>
  <c r="CA21" i="9"/>
  <c r="CA20" i="9"/>
  <c r="CA22" i="9"/>
  <c r="CA18" i="9"/>
  <c r="CA25" i="9"/>
  <c r="CA19" i="9"/>
  <c r="CA24" i="9"/>
  <c r="AZ26" i="9"/>
  <c r="T38" i="8"/>
  <c r="E51" i="5"/>
  <c r="AS27" i="6"/>
  <c r="BD23" i="10"/>
  <c r="BD20" i="10"/>
  <c r="BD22" i="10"/>
  <c r="BE14" i="10"/>
  <c r="BD25" i="10"/>
  <c r="BD19" i="10"/>
  <c r="BD21" i="10"/>
  <c r="BD24" i="10"/>
  <c r="BD18" i="10"/>
  <c r="R44" i="6"/>
  <c r="T38" i="6" s="1"/>
  <c r="AM6" i="12"/>
  <c r="AM6" i="11"/>
  <c r="AM6" i="9"/>
  <c r="T38" i="15" l="1"/>
  <c r="L37" i="15" s="1"/>
  <c r="CK23" i="9"/>
  <c r="CK23" i="15"/>
  <c r="CK24" i="9"/>
  <c r="CK21" i="11"/>
  <c r="CK21" i="12"/>
  <c r="AM8" i="4"/>
  <c r="AJ8" i="4" s="1"/>
  <c r="AJ9" i="4" s="1"/>
  <c r="CK21" i="15"/>
  <c r="CK25" i="5"/>
  <c r="CK25" i="9"/>
  <c r="CK22" i="9"/>
  <c r="CK24" i="15"/>
  <c r="U33" i="4"/>
  <c r="Q26" i="4" s="1"/>
  <c r="CK20" i="12"/>
  <c r="CK19" i="9"/>
  <c r="CK19" i="5"/>
  <c r="CK20" i="11"/>
  <c r="CK20" i="15"/>
  <c r="CK21" i="9"/>
  <c r="BD26" i="10"/>
  <c r="CK22" i="5"/>
  <c r="CK25" i="11"/>
  <c r="CK19" i="11"/>
  <c r="CK22" i="15"/>
  <c r="BD26" i="12"/>
  <c r="E53" i="10"/>
  <c r="AA21" i="10" s="1"/>
  <c r="BD26" i="11"/>
  <c r="S32" i="6"/>
  <c r="CK19" i="12"/>
  <c r="CK20" i="8"/>
  <c r="S27" i="12"/>
  <c r="CB27" i="12"/>
  <c r="CB28" i="12" s="1"/>
  <c r="CK21" i="6"/>
  <c r="CK19" i="6"/>
  <c r="CK19" i="10"/>
  <c r="CK19" i="4"/>
  <c r="S30" i="12"/>
  <c r="CK23" i="12"/>
  <c r="AM8" i="11"/>
  <c r="AM8" i="9"/>
  <c r="CB27" i="5"/>
  <c r="CB28" i="5" s="1"/>
  <c r="CK19" i="7"/>
  <c r="E53" i="15"/>
  <c r="AA21" i="15" s="1"/>
  <c r="S30" i="8"/>
  <c r="S29" i="8"/>
  <c r="BE22" i="12"/>
  <c r="BE24" i="12"/>
  <c r="BE23" i="12"/>
  <c r="BE20" i="12"/>
  <c r="BE19" i="12"/>
  <c r="BF14" i="12"/>
  <c r="BE18" i="12"/>
  <c r="BE21" i="12"/>
  <c r="BE25" i="12"/>
  <c r="AM10" i="10"/>
  <c r="S33" i="10"/>
  <c r="AM11" i="10"/>
  <c r="S55" i="15"/>
  <c r="AS55" i="15"/>
  <c r="S48" i="12"/>
  <c r="AM12" i="12"/>
  <c r="AM13" i="12"/>
  <c r="CK20" i="10"/>
  <c r="U33" i="11"/>
  <c r="CK24" i="5"/>
  <c r="CB27" i="7"/>
  <c r="CB28" i="7" s="1"/>
  <c r="CK24" i="11"/>
  <c r="CK25" i="15"/>
  <c r="CB27" i="4"/>
  <c r="CB28" i="4" s="1"/>
  <c r="E53" i="8"/>
  <c r="AA21" i="8" s="1"/>
  <c r="S32" i="10"/>
  <c r="S29" i="10"/>
  <c r="H50" i="10"/>
  <c r="H59" i="10" s="1"/>
  <c r="AM13" i="10"/>
  <c r="AM12" i="10"/>
  <c r="S48" i="10"/>
  <c r="CB27" i="8"/>
  <c r="CB28" i="8" s="1"/>
  <c r="S30" i="6"/>
  <c r="S27" i="6"/>
  <c r="AM10" i="6"/>
  <c r="AM11" i="6"/>
  <c r="S33" i="6"/>
  <c r="S31" i="6"/>
  <c r="BD26" i="15"/>
  <c r="CK23" i="4"/>
  <c r="CK20" i="4"/>
  <c r="CK25" i="12"/>
  <c r="CK24" i="8"/>
  <c r="CK21" i="8"/>
  <c r="E53" i="12"/>
  <c r="AA21" i="12" s="1"/>
  <c r="S54" i="15"/>
  <c r="AS54" i="15"/>
  <c r="CK22" i="6"/>
  <c r="CK23" i="6"/>
  <c r="CK21" i="10"/>
  <c r="CK24" i="10"/>
  <c r="BE22" i="5"/>
  <c r="BE25" i="5"/>
  <c r="BE20" i="5"/>
  <c r="BF14" i="5"/>
  <c r="BE23" i="5"/>
  <c r="BE24" i="5"/>
  <c r="BE18" i="5"/>
  <c r="BE21" i="5"/>
  <c r="BE19" i="5"/>
  <c r="BD26" i="5"/>
  <c r="S31" i="5"/>
  <c r="S32" i="5"/>
  <c r="J37" i="9"/>
  <c r="G37" i="9"/>
  <c r="M37" i="9"/>
  <c r="AS37" i="9"/>
  <c r="O37" i="9"/>
  <c r="P37" i="9"/>
  <c r="H37" i="9"/>
  <c r="Q37" i="9"/>
  <c r="L37" i="9"/>
  <c r="I37" i="9"/>
  <c r="K37" i="9"/>
  <c r="N37" i="9"/>
  <c r="CK22" i="7"/>
  <c r="CK24" i="7"/>
  <c r="U33" i="9"/>
  <c r="AS52" i="15"/>
  <c r="S52" i="15"/>
  <c r="G56" i="15"/>
  <c r="S32" i="15"/>
  <c r="S29" i="15"/>
  <c r="G53" i="15"/>
  <c r="S30" i="15"/>
  <c r="G54" i="15"/>
  <c r="S48" i="15"/>
  <c r="AM12" i="15"/>
  <c r="AM13" i="15"/>
  <c r="G58" i="15"/>
  <c r="AM11" i="8"/>
  <c r="AM10" i="8"/>
  <c r="S33" i="8"/>
  <c r="BF14" i="11"/>
  <c r="BE23" i="11"/>
  <c r="BE20" i="11"/>
  <c r="BE21" i="11"/>
  <c r="BE25" i="11"/>
  <c r="BE18" i="11"/>
  <c r="BE19" i="11"/>
  <c r="BE22" i="11"/>
  <c r="BE24" i="11"/>
  <c r="CA27" i="4"/>
  <c r="CK18" i="4"/>
  <c r="AM13" i="5"/>
  <c r="S48" i="5"/>
  <c r="AM12" i="5"/>
  <c r="J37" i="7"/>
  <c r="O37" i="7"/>
  <c r="I37" i="7"/>
  <c r="K37" i="7"/>
  <c r="L37" i="7"/>
  <c r="N37" i="7"/>
  <c r="H37" i="7"/>
  <c r="G37" i="7"/>
  <c r="M37" i="7"/>
  <c r="Q37" i="7"/>
  <c r="P37" i="7"/>
  <c r="S51" i="15"/>
  <c r="AS51" i="15"/>
  <c r="AS57" i="15"/>
  <c r="S57" i="15"/>
  <c r="L37" i="5"/>
  <c r="G37" i="5"/>
  <c r="I37" i="5"/>
  <c r="K37" i="5"/>
  <c r="M37" i="5"/>
  <c r="J37" i="5"/>
  <c r="O37" i="5"/>
  <c r="N37" i="5"/>
  <c r="Q37" i="5"/>
  <c r="P37" i="5"/>
  <c r="AS37" i="5"/>
  <c r="H37" i="5"/>
  <c r="CK20" i="9"/>
  <c r="U33" i="7"/>
  <c r="S31" i="10"/>
  <c r="S27" i="10"/>
  <c r="BE23" i="8"/>
  <c r="BE20" i="8"/>
  <c r="BE21" i="8"/>
  <c r="BE22" i="8"/>
  <c r="BE25" i="8"/>
  <c r="BE18" i="8"/>
  <c r="BE19" i="8"/>
  <c r="BE24" i="8"/>
  <c r="BF14" i="8"/>
  <c r="BD26" i="8"/>
  <c r="CB27" i="6"/>
  <c r="CB28" i="6" s="1"/>
  <c r="CB27" i="11"/>
  <c r="CB28" i="11" s="1"/>
  <c r="S29" i="6"/>
  <c r="BE23" i="15"/>
  <c r="BE24" i="15"/>
  <c r="BE21" i="15"/>
  <c r="BE25" i="15"/>
  <c r="BE20" i="15"/>
  <c r="BE22" i="15"/>
  <c r="BE18" i="15"/>
  <c r="BF14" i="15"/>
  <c r="BE19" i="15"/>
  <c r="AS37" i="4"/>
  <c r="I37" i="4"/>
  <c r="Q37" i="4"/>
  <c r="O37" i="4"/>
  <c r="L37" i="4"/>
  <c r="P37" i="4"/>
  <c r="M37" i="4"/>
  <c r="K37" i="4"/>
  <c r="J37" i="4"/>
  <c r="G37" i="4"/>
  <c r="H37" i="4"/>
  <c r="N37" i="4"/>
  <c r="CK25" i="4"/>
  <c r="CK24" i="4"/>
  <c r="CK22" i="8"/>
  <c r="CK25" i="8"/>
  <c r="S32" i="12"/>
  <c r="S29" i="12"/>
  <c r="S28" i="12"/>
  <c r="CK25" i="6"/>
  <c r="CA27" i="6"/>
  <c r="CK18" i="6"/>
  <c r="CK22" i="10"/>
  <c r="CK23" i="10"/>
  <c r="S27" i="5"/>
  <c r="AM8" i="7"/>
  <c r="AJ8" i="7" s="1"/>
  <c r="AJ9" i="7" s="1"/>
  <c r="BD26" i="6"/>
  <c r="CK23" i="7"/>
  <c r="CK20" i="7"/>
  <c r="AS37" i="11"/>
  <c r="J37" i="11"/>
  <c r="L37" i="11"/>
  <c r="N37" i="11"/>
  <c r="M37" i="11"/>
  <c r="H37" i="11"/>
  <c r="O37" i="11"/>
  <c r="G37" i="11"/>
  <c r="Q37" i="11"/>
  <c r="P37" i="11"/>
  <c r="K37" i="11"/>
  <c r="I37" i="11"/>
  <c r="AS58" i="15"/>
  <c r="S58" i="15"/>
  <c r="AM11" i="15"/>
  <c r="AM10" i="15"/>
  <c r="G57" i="15"/>
  <c r="U57" i="15" s="1"/>
  <c r="S33" i="15"/>
  <c r="G51" i="15"/>
  <c r="S27" i="15"/>
  <c r="S53" i="15"/>
  <c r="AS53" i="15"/>
  <c r="CK18" i="9"/>
  <c r="CA27" i="9"/>
  <c r="H50" i="8"/>
  <c r="H59" i="8" s="1"/>
  <c r="AS56" i="15"/>
  <c r="S56" i="15"/>
  <c r="S28" i="10"/>
  <c r="CB27" i="10"/>
  <c r="CB28" i="10" s="1"/>
  <c r="BE24" i="9"/>
  <c r="BE25" i="9"/>
  <c r="BE19" i="9"/>
  <c r="BE23" i="9"/>
  <c r="BE22" i="9"/>
  <c r="BE18" i="9"/>
  <c r="BE20" i="9"/>
  <c r="BE21" i="9"/>
  <c r="BF14" i="9"/>
  <c r="S28" i="6"/>
  <c r="CA27" i="12"/>
  <c r="CK18" i="12"/>
  <c r="CA27" i="8"/>
  <c r="CK18" i="8"/>
  <c r="S33" i="12"/>
  <c r="AM11" i="12"/>
  <c r="AM10" i="12"/>
  <c r="CB27" i="9"/>
  <c r="CB28" i="9" s="1"/>
  <c r="BD26" i="7"/>
  <c r="BE18" i="6"/>
  <c r="BE20" i="6"/>
  <c r="BE21" i="6"/>
  <c r="BE19" i="6"/>
  <c r="BE25" i="6"/>
  <c r="BE23" i="6"/>
  <c r="BE24" i="6"/>
  <c r="BF14" i="6"/>
  <c r="BE22" i="6"/>
  <c r="H37" i="10"/>
  <c r="N37" i="10"/>
  <c r="K37" i="10"/>
  <c r="P37" i="10"/>
  <c r="L37" i="10"/>
  <c r="AS37" i="10"/>
  <c r="Q37" i="10"/>
  <c r="O37" i="10"/>
  <c r="J37" i="10"/>
  <c r="G37" i="10"/>
  <c r="M37" i="10"/>
  <c r="I37" i="10"/>
  <c r="CA27" i="7"/>
  <c r="CK18" i="7"/>
  <c r="BE21" i="4"/>
  <c r="BE20" i="4"/>
  <c r="BE22" i="4"/>
  <c r="BE25" i="4"/>
  <c r="BE19" i="4"/>
  <c r="BE23" i="4"/>
  <c r="BF14" i="4"/>
  <c r="BE24" i="4"/>
  <c r="BE18" i="4"/>
  <c r="BE24" i="10"/>
  <c r="BE18" i="10"/>
  <c r="BE20" i="10"/>
  <c r="BE25" i="10"/>
  <c r="BE19" i="10"/>
  <c r="BE23" i="10"/>
  <c r="BE22" i="10"/>
  <c r="BE21" i="10"/>
  <c r="BF14" i="10"/>
  <c r="CK18" i="5"/>
  <c r="CA27" i="5"/>
  <c r="CK23" i="11"/>
  <c r="CK18" i="15"/>
  <c r="CA27" i="15"/>
  <c r="S31" i="8"/>
  <c r="S32" i="8"/>
  <c r="AM12" i="8"/>
  <c r="S48" i="8"/>
  <c r="AM13" i="8"/>
  <c r="S28" i="8"/>
  <c r="M37" i="6"/>
  <c r="G37" i="6"/>
  <c r="K37" i="6"/>
  <c r="J37" i="6"/>
  <c r="L37" i="6"/>
  <c r="I37" i="6"/>
  <c r="AS37" i="6"/>
  <c r="N37" i="6"/>
  <c r="O37" i="6"/>
  <c r="H37" i="6"/>
  <c r="P37" i="6"/>
  <c r="Q37" i="6"/>
  <c r="J37" i="8"/>
  <c r="N37" i="8"/>
  <c r="L37" i="8"/>
  <c r="K37" i="8"/>
  <c r="I37" i="8"/>
  <c r="P37" i="8"/>
  <c r="M37" i="8"/>
  <c r="O37" i="8"/>
  <c r="Q37" i="8"/>
  <c r="G37" i="8"/>
  <c r="H37" i="8"/>
  <c r="CA27" i="11"/>
  <c r="CK18" i="11"/>
  <c r="CK19" i="15"/>
  <c r="S27" i="8"/>
  <c r="S30" i="10"/>
  <c r="BD26" i="9"/>
  <c r="S48" i="6"/>
  <c r="AM13" i="6"/>
  <c r="AM12" i="6"/>
  <c r="H50" i="6"/>
  <c r="H59" i="6" s="1"/>
  <c r="E53" i="6"/>
  <c r="AA21" i="6" s="1"/>
  <c r="CK21" i="4"/>
  <c r="CK22" i="4"/>
  <c r="CK24" i="12"/>
  <c r="CK22" i="12"/>
  <c r="CK23" i="8"/>
  <c r="CK19" i="8"/>
  <c r="H50" i="12"/>
  <c r="H59" i="12" s="1"/>
  <c r="S31" i="12"/>
  <c r="L37" i="12"/>
  <c r="P37" i="12"/>
  <c r="J37" i="12"/>
  <c r="K37" i="12"/>
  <c r="Q37" i="12"/>
  <c r="AS37" i="12"/>
  <c r="H37" i="12"/>
  <c r="N37" i="12"/>
  <c r="M37" i="12"/>
  <c r="G37" i="12"/>
  <c r="I37" i="12"/>
  <c r="O37" i="12"/>
  <c r="CK20" i="6"/>
  <c r="CK24" i="6"/>
  <c r="CK25" i="10"/>
  <c r="CK18" i="10"/>
  <c r="CA27" i="10"/>
  <c r="BE24" i="7"/>
  <c r="BE18" i="7"/>
  <c r="BE22" i="7"/>
  <c r="BE20" i="7"/>
  <c r="BE25" i="7"/>
  <c r="BE19" i="7"/>
  <c r="BE23" i="7"/>
  <c r="BF14" i="7"/>
  <c r="BE21" i="7"/>
  <c r="CB27" i="15"/>
  <c r="S30" i="5"/>
  <c r="AM11" i="5"/>
  <c r="S33" i="5"/>
  <c r="AM10" i="5"/>
  <c r="H50" i="5"/>
  <c r="H59" i="5" s="1"/>
  <c r="S28" i="5"/>
  <c r="S29" i="5"/>
  <c r="E53" i="5"/>
  <c r="AA21" i="5" s="1"/>
  <c r="AS37" i="8"/>
  <c r="CK21" i="7"/>
  <c r="CK25" i="7"/>
  <c r="BD26" i="4"/>
  <c r="G55" i="15"/>
  <c r="S31" i="15"/>
  <c r="S28" i="15"/>
  <c r="G52" i="15"/>
  <c r="U54" i="15" l="1"/>
  <c r="U39" i="4"/>
  <c r="K37" i="15"/>
  <c r="AK8" i="4"/>
  <c r="AK9" i="4" s="1"/>
  <c r="M26" i="4"/>
  <c r="O26" i="4"/>
  <c r="G37" i="15"/>
  <c r="M37" i="15"/>
  <c r="H37" i="15"/>
  <c r="P37" i="15"/>
  <c r="R26" i="4"/>
  <c r="AV26" i="4"/>
  <c r="H26" i="4"/>
  <c r="L26" i="4"/>
  <c r="N37" i="15"/>
  <c r="I37" i="15"/>
  <c r="J37" i="15"/>
  <c r="AS37" i="15"/>
  <c r="Q37" i="15"/>
  <c r="O37" i="15"/>
  <c r="U55" i="15"/>
  <c r="N26" i="4"/>
  <c r="I26" i="4"/>
  <c r="K26" i="4"/>
  <c r="J26" i="4"/>
  <c r="AS26" i="4"/>
  <c r="P26" i="4"/>
  <c r="G26" i="4"/>
  <c r="U33" i="6"/>
  <c r="U39" i="6" s="1"/>
  <c r="CL26" i="5"/>
  <c r="U52" i="15"/>
  <c r="AM8" i="5"/>
  <c r="AJ8" i="5" s="1"/>
  <c r="AJ9" i="5" s="1"/>
  <c r="CL26" i="15"/>
  <c r="AM8" i="10"/>
  <c r="AJ8" i="10" s="1"/>
  <c r="AJ9" i="10" s="1"/>
  <c r="AJ8" i="11"/>
  <c r="AJ9" i="11" s="1"/>
  <c r="AK8" i="7"/>
  <c r="AK9" i="7" s="1"/>
  <c r="BE26" i="4"/>
  <c r="AM8" i="15"/>
  <c r="AJ8" i="15" s="1"/>
  <c r="AK8" i="15" s="1"/>
  <c r="U56" i="15"/>
  <c r="AM8" i="6"/>
  <c r="AJ8" i="6" s="1"/>
  <c r="AJ9" i="6" s="1"/>
  <c r="AJ8" i="9"/>
  <c r="AJ9" i="9" s="1"/>
  <c r="BF18" i="6"/>
  <c r="BF19" i="6"/>
  <c r="BF20" i="6"/>
  <c r="BF23" i="6"/>
  <c r="BF22" i="6"/>
  <c r="BF21" i="6"/>
  <c r="BF24" i="6"/>
  <c r="BF25" i="6"/>
  <c r="CA28" i="12"/>
  <c r="CL27" i="12"/>
  <c r="CA28" i="9"/>
  <c r="CL27" i="9"/>
  <c r="CA28" i="6"/>
  <c r="CL27" i="6"/>
  <c r="BF21" i="7"/>
  <c r="BF23" i="7"/>
  <c r="BF25" i="7"/>
  <c r="BF22" i="7"/>
  <c r="BF20" i="7"/>
  <c r="BF18" i="7"/>
  <c r="BF24" i="7"/>
  <c r="BF19" i="7"/>
  <c r="CA28" i="10"/>
  <c r="CL27" i="10"/>
  <c r="CA28" i="5"/>
  <c r="CL27" i="5"/>
  <c r="CL26" i="7"/>
  <c r="CL26" i="8"/>
  <c r="BE26" i="9"/>
  <c r="CL26" i="9"/>
  <c r="U51" i="15"/>
  <c r="BE26" i="8"/>
  <c r="U39" i="7"/>
  <c r="G26" i="7"/>
  <c r="M26" i="7"/>
  <c r="O26" i="7"/>
  <c r="P26" i="7"/>
  <c r="I26" i="7"/>
  <c r="K26" i="7"/>
  <c r="AS26" i="7"/>
  <c r="N26" i="7"/>
  <c r="J26" i="7"/>
  <c r="H26" i="7"/>
  <c r="AV26" i="7"/>
  <c r="L26" i="7"/>
  <c r="Q26" i="7"/>
  <c r="R26" i="7"/>
  <c r="CL26" i="4"/>
  <c r="AM8" i="8"/>
  <c r="AJ8" i="8" s="1"/>
  <c r="AJ9" i="8" s="1"/>
  <c r="U53" i="15"/>
  <c r="CA28" i="11"/>
  <c r="CL27" i="11"/>
  <c r="CL26" i="10"/>
  <c r="U33" i="8"/>
  <c r="CL27" i="15"/>
  <c r="BE26" i="10"/>
  <c r="BF18" i="4"/>
  <c r="BF20" i="4"/>
  <c r="BF22" i="4"/>
  <c r="BF21" i="4"/>
  <c r="BF19" i="4"/>
  <c r="BF25" i="4"/>
  <c r="BF24" i="4"/>
  <c r="BF23" i="4"/>
  <c r="CA28" i="7"/>
  <c r="CL27" i="7"/>
  <c r="AM8" i="12"/>
  <c r="CL27" i="8"/>
  <c r="CA28" i="8"/>
  <c r="BF21" i="9"/>
  <c r="BF18" i="9"/>
  <c r="BF3" i="9"/>
  <c r="BF22" i="9"/>
  <c r="BF23" i="9"/>
  <c r="BF24" i="9"/>
  <c r="BF19" i="9"/>
  <c r="BF20" i="9"/>
  <c r="BF25" i="9"/>
  <c r="BF20" i="15"/>
  <c r="BF23" i="15"/>
  <c r="BF19" i="15"/>
  <c r="BF25" i="15"/>
  <c r="BF18" i="15"/>
  <c r="BF22" i="15"/>
  <c r="BF2" i="15"/>
  <c r="BF24" i="15"/>
  <c r="BF21" i="15"/>
  <c r="BF20" i="8"/>
  <c r="BF18" i="8"/>
  <c r="BF22" i="8"/>
  <c r="BF19" i="8"/>
  <c r="BF21" i="8"/>
  <c r="BF23" i="8"/>
  <c r="BF24" i="8"/>
  <c r="BF25" i="8"/>
  <c r="CL27" i="4"/>
  <c r="CA28" i="4"/>
  <c r="BE26" i="11"/>
  <c r="U33" i="15"/>
  <c r="BF25" i="5"/>
  <c r="BF21" i="5"/>
  <c r="BF18" i="5"/>
  <c r="BF23" i="5"/>
  <c r="BF24" i="5"/>
  <c r="BF20" i="5"/>
  <c r="BF22" i="5"/>
  <c r="BF19" i="5"/>
  <c r="U33" i="10"/>
  <c r="I26" i="11"/>
  <c r="G26" i="11"/>
  <c r="H26" i="11"/>
  <c r="K26" i="11"/>
  <c r="U39" i="11"/>
  <c r="P26" i="11"/>
  <c r="J26" i="11"/>
  <c r="N26" i="11"/>
  <c r="AV26" i="11"/>
  <c r="R26" i="11"/>
  <c r="AS26" i="11"/>
  <c r="O26" i="11"/>
  <c r="Q26" i="11"/>
  <c r="M26" i="11"/>
  <c r="L26" i="11"/>
  <c r="U33" i="12"/>
  <c r="BE26" i="12"/>
  <c r="BE26" i="7"/>
  <c r="CL26" i="11"/>
  <c r="BF21" i="10"/>
  <c r="BF18" i="10"/>
  <c r="BF19" i="10"/>
  <c r="BF25" i="10"/>
  <c r="BF24" i="10"/>
  <c r="BF22" i="10"/>
  <c r="BF23" i="10"/>
  <c r="BF20" i="10"/>
  <c r="BE26" i="6"/>
  <c r="CL26" i="12"/>
  <c r="CL26" i="6"/>
  <c r="BE26" i="15"/>
  <c r="U33" i="5"/>
  <c r="BF23" i="11"/>
  <c r="BF25" i="11"/>
  <c r="BF21" i="11"/>
  <c r="BF18" i="11"/>
  <c r="BF20" i="11"/>
  <c r="BF19" i="11"/>
  <c r="BF22" i="11"/>
  <c r="BF24" i="11"/>
  <c r="U58" i="15"/>
  <c r="M26" i="9"/>
  <c r="P26" i="9"/>
  <c r="R26" i="9"/>
  <c r="G26" i="9"/>
  <c r="H26" i="9"/>
  <c r="I26" i="9"/>
  <c r="AV26" i="9"/>
  <c r="N26" i="9"/>
  <c r="J26" i="9"/>
  <c r="O26" i="9"/>
  <c r="AS26" i="9"/>
  <c r="K26" i="9"/>
  <c r="U39" i="9"/>
  <c r="L26" i="9"/>
  <c r="Q26" i="9"/>
  <c r="BE26" i="5"/>
  <c r="BF20" i="12"/>
  <c r="BF23" i="12"/>
  <c r="BF19" i="12"/>
  <c r="BF25" i="12"/>
  <c r="BF22" i="12"/>
  <c r="BF18" i="12"/>
  <c r="BF24" i="12"/>
  <c r="BF21" i="12"/>
  <c r="AK8" i="10" l="1"/>
  <c r="AK9" i="10" s="1"/>
  <c r="H26" i="6"/>
  <c r="N26" i="6"/>
  <c r="P26" i="6"/>
  <c r="M26" i="6"/>
  <c r="R26" i="6"/>
  <c r="Q26" i="6"/>
  <c r="L26" i="6"/>
  <c r="AS26" i="6"/>
  <c r="K26" i="6"/>
  <c r="G26" i="6"/>
  <c r="AV26" i="6"/>
  <c r="I26" i="6"/>
  <c r="J26" i="6"/>
  <c r="O26" i="6"/>
  <c r="AK8" i="11"/>
  <c r="AK9" i="11" s="1"/>
  <c r="AK8" i="8"/>
  <c r="AK9" i="8" s="1"/>
  <c r="AK8" i="6"/>
  <c r="AK9" i="6" s="1"/>
  <c r="AK8" i="5"/>
  <c r="AK9" i="5" s="1"/>
  <c r="BF26" i="7"/>
  <c r="BF27" i="7" s="1"/>
  <c r="U28" i="7" s="1"/>
  <c r="AK8" i="9"/>
  <c r="AK9" i="9" s="1"/>
  <c r="V52" i="15"/>
  <c r="BF26" i="12"/>
  <c r="BF27" i="12" s="1"/>
  <c r="BF26" i="8"/>
  <c r="BF27" i="8" s="1"/>
  <c r="BF26" i="4"/>
  <c r="BF27" i="4" s="1"/>
  <c r="U28" i="4" s="1"/>
  <c r="U27" i="4" s="1"/>
  <c r="BF26" i="10"/>
  <c r="BF27" i="10" s="1"/>
  <c r="AV26" i="15"/>
  <c r="R26" i="15"/>
  <c r="M26" i="15"/>
  <c r="P26" i="15"/>
  <c r="I26" i="15"/>
  <c r="O26" i="15"/>
  <c r="AS26" i="15"/>
  <c r="K26" i="15"/>
  <c r="J26" i="15"/>
  <c r="U39" i="15"/>
  <c r="N26" i="15"/>
  <c r="Q26" i="15"/>
  <c r="H26" i="15"/>
  <c r="L26" i="15"/>
  <c r="BF26" i="15"/>
  <c r="BF27" i="15" s="1"/>
  <c r="V51" i="15" s="1"/>
  <c r="BF26" i="9"/>
  <c r="BF27" i="9" s="1"/>
  <c r="U28" i="9" s="1"/>
  <c r="AJ8" i="12"/>
  <c r="AJ9" i="12" s="1"/>
  <c r="BF26" i="11"/>
  <c r="BF27" i="11" s="1"/>
  <c r="U28" i="11" s="1"/>
  <c r="K26" i="5"/>
  <c r="AV26" i="5"/>
  <c r="P26" i="5"/>
  <c r="G26" i="5"/>
  <c r="M26" i="5"/>
  <c r="H26" i="5"/>
  <c r="O26" i="5"/>
  <c r="U39" i="5"/>
  <c r="AS26" i="5"/>
  <c r="R26" i="5"/>
  <c r="Q26" i="5"/>
  <c r="I26" i="5"/>
  <c r="J26" i="5"/>
  <c r="N26" i="5"/>
  <c r="L26" i="5"/>
  <c r="I26" i="12"/>
  <c r="G26" i="12"/>
  <c r="K26" i="12"/>
  <c r="U39" i="12"/>
  <c r="O26" i="12"/>
  <c r="J26" i="12"/>
  <c r="P26" i="12"/>
  <c r="R26" i="12"/>
  <c r="H26" i="12"/>
  <c r="M26" i="12"/>
  <c r="L26" i="12"/>
  <c r="AS26" i="12"/>
  <c r="N26" i="12"/>
  <c r="AV26" i="12"/>
  <c r="Q26" i="12"/>
  <c r="Q26" i="10"/>
  <c r="N26" i="10"/>
  <c r="O26" i="10"/>
  <c r="H26" i="10"/>
  <c r="J26" i="10"/>
  <c r="P26" i="10"/>
  <c r="U39" i="10"/>
  <c r="AS26" i="10"/>
  <c r="I26" i="10"/>
  <c r="G26" i="10"/>
  <c r="L26" i="10"/>
  <c r="AV26" i="10"/>
  <c r="M26" i="10"/>
  <c r="R26" i="10"/>
  <c r="K26" i="10"/>
  <c r="BF26" i="5"/>
  <c r="BF27" i="5" s="1"/>
  <c r="H26" i="8"/>
  <c r="K26" i="8"/>
  <c r="AS26" i="8"/>
  <c r="P26" i="8"/>
  <c r="L26" i="8"/>
  <c r="U39" i="8"/>
  <c r="U28" i="8" s="1"/>
  <c r="V28" i="8" s="1"/>
  <c r="Q26" i="8"/>
  <c r="G26" i="8"/>
  <c r="I26" i="8"/>
  <c r="R26" i="8"/>
  <c r="J26" i="8"/>
  <c r="AV26" i="8"/>
  <c r="O26" i="8"/>
  <c r="M26" i="8"/>
  <c r="N26" i="8"/>
  <c r="G26" i="15"/>
  <c r="BF26" i="6"/>
  <c r="BF27" i="6" s="1"/>
  <c r="U28" i="6" s="1"/>
  <c r="U28" i="10" l="1"/>
  <c r="U27" i="10" s="1"/>
  <c r="V28" i="4"/>
  <c r="U28" i="5"/>
  <c r="V28" i="5" s="1"/>
  <c r="AK8" i="12"/>
  <c r="AK9" i="12" s="1"/>
  <c r="U28" i="15"/>
  <c r="U27" i="15" s="1"/>
  <c r="U27" i="7"/>
  <c r="V28" i="7"/>
  <c r="U28" i="12"/>
  <c r="U27" i="6"/>
  <c r="V28" i="6"/>
  <c r="U27" i="8"/>
  <c r="V28" i="9"/>
  <c r="U27" i="9"/>
  <c r="U27" i="11"/>
  <c r="V28" i="11"/>
  <c r="Y68" i="15"/>
  <c r="X49" i="15" s="1"/>
  <c r="R50" i="15"/>
  <c r="CP27" i="15"/>
  <c r="X55" i="15" s="1"/>
  <c r="S50" i="15"/>
  <c r="S59" i="15" s="1"/>
  <c r="S60" i="15" s="1"/>
  <c r="U50" i="15"/>
  <c r="X41" i="15" s="1"/>
  <c r="CG28" i="15"/>
  <c r="J50" i="15"/>
  <c r="M50" i="15"/>
  <c r="M59" i="15" s="1"/>
  <c r="L50" i="15"/>
  <c r="Y67" i="15"/>
  <c r="X48" i="15" s="1"/>
  <c r="X65" i="15"/>
  <c r="X46" i="15" s="1"/>
  <c r="CE28" i="15"/>
  <c r="AL9" i="15"/>
  <c r="X52" i="15" s="1"/>
  <c r="Y66" i="15"/>
  <c r="X47" i="15" s="1"/>
  <c r="CN27" i="15"/>
  <c r="X53" i="15" s="1"/>
  <c r="Q50" i="15"/>
  <c r="CI28" i="15"/>
  <c r="CA28" i="15"/>
  <c r="X50" i="15" s="1"/>
  <c r="CB28" i="15"/>
  <c r="X51" i="15" s="1"/>
  <c r="CO27" i="15"/>
  <c r="X54" i="15" s="1"/>
  <c r="K50" i="15"/>
  <c r="N50" i="15"/>
  <c r="X63" i="15"/>
  <c r="X45" i="15" s="1"/>
  <c r="V50" i="15"/>
  <c r="X44" i="15" s="1"/>
  <c r="I50" i="15"/>
  <c r="I59" i="15" s="1"/>
  <c r="CH28" i="15"/>
  <c r="AR27" i="15"/>
  <c r="H50" i="15"/>
  <c r="AJ9" i="15"/>
  <c r="CC28" i="15"/>
  <c r="AK9" i="15"/>
  <c r="AS50" i="15"/>
  <c r="G50" i="15"/>
  <c r="BI28" i="15"/>
  <c r="X40" i="15" s="1"/>
  <c r="P50" i="15"/>
  <c r="CQ27" i="15"/>
  <c r="X56" i="15" s="1"/>
  <c r="O50" i="15"/>
  <c r="CF28" i="15"/>
  <c r="V28" i="10" l="1"/>
  <c r="D12" i="14"/>
  <c r="D19" i="14"/>
  <c r="U27" i="5"/>
  <c r="D15" i="14" s="1"/>
  <c r="D18" i="14"/>
  <c r="D16" i="14"/>
  <c r="V28" i="15"/>
  <c r="X42" i="15"/>
  <c r="X43" i="15"/>
  <c r="D20" i="14"/>
  <c r="L33" i="14"/>
  <c r="D17" i="14"/>
  <c r="D13" i="14"/>
  <c r="P59" i="15"/>
  <c r="X36" i="15"/>
  <c r="J59" i="15"/>
  <c r="X33" i="15"/>
  <c r="U27" i="12"/>
  <c r="D14" i="14" s="1"/>
  <c r="V28" i="12"/>
  <c r="N59" i="15"/>
  <c r="X30" i="15"/>
  <c r="X38" i="15"/>
  <c r="R59" i="15"/>
  <c r="X34" i="15"/>
  <c r="O59" i="15"/>
  <c r="T50" i="15"/>
  <c r="G59" i="15"/>
  <c r="X29" i="15"/>
  <c r="K59" i="15"/>
  <c r="X32" i="15"/>
  <c r="L59" i="15"/>
  <c r="X35" i="15"/>
  <c r="AS59" i="15"/>
  <c r="X39" i="15"/>
  <c r="H59" i="15"/>
  <c r="X31" i="15"/>
  <c r="X37" i="15"/>
  <c r="Q59" i="15"/>
  <c r="AJ54" i="15" l="1"/>
  <c r="AJ74" i="15"/>
  <c r="AJ57" i="15"/>
  <c r="AJ50" i="15"/>
  <c r="AJ56" i="15"/>
  <c r="AJ55" i="15"/>
  <c r="AJ48" i="15"/>
  <c r="AJ51" i="15"/>
  <c r="AJ49" i="15"/>
  <c r="AJ53" i="15"/>
  <c r="AJ62" i="15"/>
  <c r="AJ61" i="15"/>
  <c r="AJ70" i="15"/>
  <c r="AJ65" i="15"/>
  <c r="AJ71" i="15"/>
  <c r="X28" i="15"/>
  <c r="AJ59" i="15"/>
  <c r="AJ73" i="15"/>
  <c r="AJ72" i="15"/>
  <c r="AJ69" i="15"/>
  <c r="AJ58" i="15"/>
  <c r="AJ47" i="15"/>
  <c r="AJ67" i="15"/>
  <c r="AJ60" i="15"/>
  <c r="AJ63" i="15"/>
  <c r="AJ66" i="15"/>
  <c r="AJ68" i="15"/>
  <c r="AJ52" i="15"/>
  <c r="AJ64" i="15"/>
  <c r="AR62" i="15" l="1"/>
  <c r="AQ62" i="15" s="1"/>
  <c r="AR58" i="15"/>
  <c r="AR60" i="15"/>
  <c r="AQ60" i="15" s="1"/>
  <c r="AR48" i="15"/>
  <c r="AR53" i="15"/>
  <c r="AR56" i="15"/>
  <c r="AR61" i="15"/>
  <c r="AQ61" i="15" s="1"/>
  <c r="AR54" i="15"/>
  <c r="AR55" i="15"/>
  <c r="AR52" i="15"/>
  <c r="AR50" i="15"/>
  <c r="AR59" i="15"/>
  <c r="AQ59" i="15" s="1"/>
  <c r="AR49" i="15"/>
  <c r="AR47" i="15"/>
  <c r="AR51" i="15"/>
  <c r="AR57" i="15"/>
  <c r="AQ51" i="15" l="1"/>
  <c r="Z31" i="14" s="1"/>
  <c r="AB31" i="14"/>
  <c r="AQ50" i="15"/>
  <c r="Z30" i="14" s="1"/>
  <c r="AB30" i="14"/>
  <c r="AQ57" i="15"/>
  <c r="Z37" i="14" s="1"/>
  <c r="AB37" i="14"/>
  <c r="AB28" i="14"/>
  <c r="AQ48" i="15"/>
  <c r="Z28" i="14" s="1"/>
  <c r="AB27" i="14"/>
  <c r="AQ47" i="15"/>
  <c r="Z27" i="14" s="1"/>
  <c r="AQ52" i="15"/>
  <c r="Z32" i="14" s="1"/>
  <c r="AB32" i="14"/>
  <c r="AB36" i="14"/>
  <c r="AQ56" i="15"/>
  <c r="Z36" i="14" s="1"/>
  <c r="AQ58" i="15"/>
  <c r="Z38" i="14" s="1"/>
  <c r="AB38" i="14"/>
  <c r="AB34" i="14"/>
  <c r="AQ54" i="15"/>
  <c r="Z34" i="14" s="1"/>
  <c r="AQ49" i="15"/>
  <c r="Z29" i="14" s="1"/>
  <c r="AB29" i="14"/>
  <c r="AB35" i="14"/>
  <c r="AQ55" i="15"/>
  <c r="Z35" i="14" s="1"/>
  <c r="AQ53" i="15"/>
  <c r="Z33" i="14" s="1"/>
  <c r="AB33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hasee</author>
  </authors>
  <commentList>
    <comment ref="E15" authorId="0" shapeId="0" xr:uid="{00000000-0006-0000-0B00-000003000000}">
      <text>
        <r>
          <rPr>
            <sz val="11"/>
            <rFont val="华文细黑"/>
            <family val="3"/>
            <charset val="134"/>
          </rPr>
          <t xml:space="preserve">
v2.1(2019.8.7)
1.增加水特效可选择
2.增加昆吾系列附魔（护手鞋子算法仍在更新，目前是测试算法）
3.更新小吃小药附魔宴席数值
v2.0(2019.7.30)
1.根据技改修正流血系数及牧云加成
2.根据技改修正丐帮阵阵眼数值
3.修正天策阵五阵覆盖率
v1.4(2019.4.22)
1.修复破楼兰攻击加成没实装的bug
2.细微调整破楼兰灭牙占比计算方法，更贴近实际值
v1.3(2019.4.10)
1.修正大CW特效算法，额外加入龙吟补流血计算,增加特效词缀【龙吟伤害+5%】、【穿云伤害+5%】计算
2.新增判定【寒啸千军】最大有效数为2
3.新增可选增益【舍身弘法】，最大有效数为2
4.为防止输入错误数值，所有增益修改为下拉选择模式，内置【同队外功增益】判定不变
5.新增一批蓝色小药可供选择
v1.2(2019.4.9)
1.修正共战江湖层数算法
2.新增一批特效增益可选项：【大CW特效】，【100级“风·斩流”】气劲，【100级“雷·銳刃”】气劲
3.新增内置增益上限判定，当填入的增益过量时会自动修正成合理的属性了（如原来梅隐香填入2时会增加6%命中及20%破防，显然不合理）
修正规则如下：
【不可叠加类增益】的最大有效数为1
【共战江湖】最大有效数为6
【伏虎】最大有效数为5，且阵眼不为丐帮阵时自动按0层计算
【激雷】最大有效数为4，即全程覆盖
【同队外功增益】最大有效量为5，且按照【不可叠加类增益&gt;激雷(自己)&gt;疏狂&gt;激雷(其他)】的优先级挤压
【梅花三弄】由数值修改为“全程覆盖”、“半程覆盖”及“无”三个可选项
【不可叠加类增益】包括【酣畅淋漓】、【梅隐香】、【碎星辰】、【袖气】、【撼如雷】、【戒火斩】、【劲风铁牢】、【寒啸千军】、【雷·銳刃(100)】、【风·斩流(100)】
v1.1(2019.3.21)
1.增加共战江湖层数计算
2.增加阵眼可选项“无”
3.修正虎贲期望算法
v1.0(2019.3.6)
完成基本功能</t>
        </r>
      </text>
    </comment>
    <comment ref="N20" authorId="0" shapeId="0" xr:uid="{00000000-0006-0000-0B00-000004000000}">
      <text>
        <r>
          <rPr>
            <sz val="11"/>
            <rFont val="华文细黑"/>
            <family val="3"/>
            <charset val="134"/>
          </rPr>
          <t>用于计算斩杀循环占比，无斩杀阶段则填1000000%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子钰</author>
    <author>hasee</author>
    <author>USER-</author>
  </authors>
  <commentList>
    <comment ref="C11" authorId="0" shapeId="0" xr:uid="{8F2F6706-DE91-42B0-A016-C0B9D60A800B}">
      <text>
        <r>
          <rPr>
            <sz val="10"/>
            <color indexed="81"/>
            <rFont val="华文细黑"/>
            <family val="3"/>
            <charset val="134"/>
          </rPr>
          <t>该收益按陆级五彩石第一属性收益计算，即262攻击/134力道/392.75武伤/585会心/585会效/585破防/585破招/585无双/585加速对比。</t>
        </r>
      </text>
    </comment>
    <comment ref="L28" authorId="1" shapeId="0" xr:uid="{540B5094-F76F-439E-A9CC-F39C31715C0E}">
      <text>
        <r>
          <rPr>
            <b/>
            <sz val="9"/>
            <color indexed="81"/>
            <rFont val="宋体"/>
            <family val="3"/>
            <charset val="134"/>
          </rPr>
          <t>红色背景提示：五彩石不存在
灰色背景提示：五行石数量/等级不足，条目未激活</t>
        </r>
      </text>
    </comment>
    <comment ref="C37" authorId="2" shapeId="0" xr:uid="{879999AA-5CD7-4253-A85E-4A021ECABFE8}">
      <text>
        <r>
          <rPr>
            <sz val="11"/>
            <rFont val="华文细黑"/>
            <family val="3"/>
            <charset val="134"/>
          </rPr>
          <t>群侠万变测试版ver1.0（20230427）
1.更新新版本装备（8000品-12600品，含风特效、水特效、切糕套装效果）
2.更新新版本装备导入特殊武器识别
3.更新新版本【天堑奇瑛】系列大附魔数值，新增大附魔名称显示
4.更新新版本附魔数值
5.更新新版本小吃、小药、宴席、家园菜品、家园酒品数值
6.更新【八段锦】奇遇系列增益buff选项
7.更新新版本20230427技改
◎【流血】系数提高10%（流血 0.346540179→0.381696429/骁勇流血 0.381696429→0.419866071）
◎非侠士伤害降低5%（21.97265625%→16.9921875%）
◎【挫锐】上马后二段伤害→上马后每层流血造成一段伤害
◎【牧云】持续时间45s→60s
◎【挥金镝】系数提高32%（挥金镝 0.75625→1）
◎【飞鸣镝】系数提高32%（飞鸣镝 0.6875→0.90625）
◎【飞鸣镝·引爆】系数提高32%（飞鸣镝·引爆 2.0625→2.725）
◎【灭】（破楼兰额外伤害）系数提高25%（破楼兰灭 0.425→0.53125）
◎【龙血】系数提高20%（龙血 0.575→0.69375）
◎【力破万均·斩杀】系数提高6.25%（力破万钧斩杀 5.94375→6.3125）
◎【左旋右转】增益更改（4500点破招→每层54点破招）
◎【号令三军】增益选项效果增加（每层400无双→每层440无双）
◎【百锻】增益效果修：不再附带【炽炎】DOT，【百锻】附带的武器伤害提高至100%，【百锻】的持续时间降低至10秒，不再获得【佳兵】DEBUFF
◎【梅花三弄】增益更改（无视15%防御→每层60点无双）
横刀断浪测试版ver2.3（230328）
1.更新11300品招破特殊武器【炎枪重黎】
2.新增【炎枪重黎】选项，可选择【不使用】/【起手用】进行计算，当装备选择【炎枪重黎】时增加【全程用】选项
3.更新赛季预热活动10800品暗器【择逸录·扶】
4.调整选择【龙驭】+【驰骋】奇穴组合下循环计算方式（【渊】【突】绑定/【突】下马→【渊】【任】【雷】绑定/【渊】【突（无激雷时）】下马）
5.修复【任驰骋】充能时间错误的问题（45s→40s）
6.更新魔盒导入，增加【炎枪重黎】、【红缨亮银枪·肃清】特效判定
横刀断浪测试版ver2.2（221229）
1.更新龙门飞剑活动10600品【红缨亮银枪】特效武器
横刀断浪测试版ver2.1（221223）
1.因正式服已修改门派冬至套装激活逻辑，无法再跨门派激活全属性增加效果，删除冬至10000品【蜀月】系列装备
横刀断浪测试版ver2.0（221222）
1.新增冬至10000品【御赐】/【蜀月】系列装备
横刀断浪测试版ver1.9（221215）
1.调整选择【龙驭】+【驰骋】奇穴组合下循环计算方式（【渊】【雷】绑定/【渊】【突】下马→【渊】【突】绑定/【突】下马）
2.修复【飘黄】增益CD不正确问题（60s→74s）
3.增加魔盒数据导出功能
4.更新正式服20221212技改：
①【挥金镝】伤害提高10%（挥金镝 0.6875→0.75625 /飞鸣镝 0.625→0.6875 /飞鸣镝·引爆 1.875→2.0625）
②【力破万均】伤害提高10%（力破万钧 3.375→3.7125/力破万钧斩杀 5.4→5.94375）
横刀断浪测试版ver1.8（221206）
1.更新【落琼霄】戒指最高阶段品级（8000品→8300品）
横刀断浪测试版ver1.7（221125）
1.【战斗选项】新增【气血消耗】选项，开启后计算【灭】、【龙驭】对自身造成的气血消耗（※由于增益中未计算【清新静气】、【大狮子吼】等气血增益，计算增益时此部分伤害偏低）
2.修复选择【龙驭】+【驰骋】奇穴组合后，计算【突】循环时会提前一个GCD下马的问题
3.修复选择【驰骋】奇穴后，马上施展【灭】的伤害计算与游戏内实际效果不一致的问题
4.修复部分情况下选择【自动开雷】选项时会调用【完美开雷】循环计算的问题
5.修复1段加速下选择【自动开雷】时【加速收益】会调用一段加速【完美开雷】循环的问题，现在会按照二段加速【自动开雷】计算【加速收益】了
6.加速率现在只显示实际加速百分比了
横刀断浪测试版ver1.6（221114）
1.删除【凌雪阵·五阵】覆盖率选项，采用默认值进行计算
2.更新正式服更新装备列表（221110版本）
横刀断浪测试版ver1.5（221107）
1.增加【加速】类型小吃、小药
2.更新正式服20221107技改：
①【秋肃】增益选项效果提升（4.98046875%易伤→5.95703125%易伤）
②【左旋右转】增益选项效果提升（1800破招→4500破招）
③【仙王蛊鼎】增益选项效果提升（8.0078125%伤害→12.01171875%伤害）
横刀断浪测试版ver1.4（221103）
1.更新同泽宴数值（130破招/130无双→192破招/192无双）
2.修复鞋子大附魔、腰带大附魔、衣服大附魔装备分数错误的问题
3.【天堑奇琨】系列大附魔最大支持品质提升（10200→10300）
横刀断浪测试版ver1.3（221102）
1.修复装备列表未收录9600品挖宝套装、10000品飞沙令商店防具、7500品直升赠送防具、8800品大侠之路任务防具的问题
横刀断浪测试版ver1.2（221031）
1.更新正式服更新装备列表（221031版本）
2.属性展示界面取消江湖无限版本破招伤害展示，增加无双值展示
3.更新家园菜品、酒品列表
4.修复护腕、下装、戒指、暗器附魔中【力道】附魔误显示为【身法】的问题
横刀断浪测试版ver1.1（221029）
1.增加大附魔品质不符合提示（当已选择装备无对应品质大附魔时会标红提示了）
2.更新【获取最新版本】链接
横刀断浪测试版ver1.0（221027）
◎删除【残卷】、【玉简】系列大附魔
◎增加等级压制算法
◎更新数值标准算法
◎更新120级数值（基础血量、基础属性、心法十三重属性更新）
◎更新破招基础常数（17.590→13.192）
◎更新镶嵌数值（五行石、五彩石）
◎适配新装备栏镶嵌孔判定（装备无镶嵌孔时，如果装备栏内有镶嵌五行石则同样可以激活五彩石），取消五彩石激活等级数量判定，增加不镶嵌五彩石选项
◎更新属性收益数值，该收益按照120级五彩石一属性数值计算，即262攻击/131身法/392.75武伤/585会心/585会效/585破防/585破招/585无双
◎更新装备列表（7000-11300品）
◎更新附魔列表（含新版本大附魔【天堑奇琨】、【天堑奇珂】系列大附魔）
◎更新小吃、小药、宴席列表
◎更新特效数值（11150品水特效、11150品风特效）
◎更新UI加速显示BUG（括号外为面板显示百分比，括号内为实际百分比）
◎增加【刀宗阵】阵法选项
◎增加【乘龙箭】选项开关，开启后可将【乘龙箭】加入循环计算
◎更新正式服全门派技改：
1.【舍身弘法】增益选项效果增加（每层240无双→每层400无双）
2.【袖气】增益选项效果提升（111全属性→244全属性）
3.【左旋右转】增益选项效果提升（1500破招→1800破招）
4.【破风】降低防御效果提升（破风 810→1150/劲风破风 1080→1397）
5.【破招】触发方式修改（时间积攒触发→技能触发）
6.【龙牙】触发破招效果（招式破招系数0.39）
7.【号令三军】增益选项效果增加（每层240无双→每层400无双）
8.非侠士伤害提高（19.04296875%→21.97265625%）
9.增加第二重奇穴【挫锐】
10.移除第四重奇穴【崩】
11.增加第四重奇穴【龙驭】，同时更新对应的马上循环
12.第五重奇穴【驰骋】增加骑御期间可以施展【灭】效果
13.增加第九重奇穴【挥金镝】
14.第十重奇穴【夜征】效果提升（无视防御65.0390625%→70.01953125%/持续时间12s→15s）
15.移除【梅隐香】增益选项
16.增加【仙王蛊鼎】增益选项
17.【朝圣言】增益选项效果增加（朝圣言每层240无双→每层400无双  圣浴明心朝圣言每层360无双→每层600无双）
18.【丐帮阵】伏虎增益效果增加（每层350破防→每层770破防）
19.【振奋】增益选项效果增加（每层25破防→每层60破防）
江湖无限测试版ver1.4(2022.9.9)
1.新增中秋节活动7100品破无暗器【秋碧囊】
江湖无限测试版ver1.3(2022.8.12)
1.新增中元节活动6800品破无项链【素灵链】
江湖无限测试版ver1.2(2022.5.26)
1.修复项链/腰坠附魔字体未居中的问题
2.修复【他人激雷】增益选项失效的问题
3.更新技改并增加对比开关（2022/5/26版）
①【龙牙】伤害降低10%（龙牙 2.31875→2.0875/龙血系数不变）
②非侠士伤害提高（12.890625%→19.04296875%）
③【剑锋百锻】武伤增益降低（100%→70.01953125%）
④【剑锋百锻】持续效果【炽炎】伤害降低（系数0.27125→0.24375）
⑤【力破万钧】伤害降低10%（力破万钧 3.75→3.375/力破万钧斩杀 6→5.4）
⑥调整【戒火】增益选项为【易伤】增益选项，可选择【戒火】、【秋肃】、【无】
江湖无限测试版ver1.1(2022.5.4)
1.修复未选择【山市】系列大附魔时也会计算对应附魔分数的问题
江湖无限测试版ver1.0(2022.4.28)
1.更新技改（2022/4/28版）
  【破招】系数提升（16.752→17.590）
  【戒火斩】增益降低（3.02734375%→2.05078125%）
  【朝圣言】增益修改（20.01953125%攻击→每层240无双等级）
  【圣浴明心·朝圣言】增益修改（29.98046875%攻击→每层360无双等级）
  【舍身弘法】增益修改（29.8828125%攻击→每层240无双等级）
  【号令三军·一鼓】增益修改（39.84375%攻击→每层240无双等级）
  【号令三军·二鼓】增益修改（19.921875%攻击→每层240无双等级，层数为一鼓的一半）
  【剑锋百锻】持续效果【炽炎】伤害降低（系数0.3875→0.27125）
  【剑锋百锻】新增效果（持续期间基础武器伤害提高100%）
  【大橙武】特效触发概率提高（3.02734375%→8.0078125%）
  【大橙武】期间龙牙附带额外伤害【画角闻龙】（系数1.28125）
  【大橙武】特效部分修改（外功招式命中回复3点战意→【龙牙】命中回复5点战意）
  【夜征】激雷期间无视防御提高（50%→65.0390625%）
  【牧云】每层会心效果提高（4.8828125%→5.859375%）
  【劲风龙吟】技能系数提高（1.95625→2.125）
  【劲风穿云】伤害加成提高（20.01953125%→29.98046875%）
  非侠士伤害提高（9.9609375%→12.890625%）
2.更新会效显示规则（原正式服显示数值存在bug，新版本更新后修复）
3.新增【项链】、【腰坠】部位附魔
4.更新江湖无限版本装备表（含附魔、特效、小药、套装效果等）
5.更新附魔装分算法
0.</t>
        </r>
      </text>
    </comment>
    <comment ref="D39" authorId="3" shapeId="0" xr:uid="{0A06651E-19AB-498A-BA79-3C051A4AF397}">
      <text>
        <r>
          <rPr>
            <b/>
            <sz val="9"/>
            <color indexed="81"/>
            <rFont val="宋体"/>
            <family val="3"/>
            <charset val="134"/>
          </rPr>
          <t>无增益无buff未触发腰带大附魔条件下1层流血对124级木桩造成的伤害</t>
        </r>
      </text>
    </comment>
  </commentList>
</comments>
</file>

<file path=xl/sharedStrings.xml><?xml version="1.0" encoding="utf-8"?>
<sst xmlns="http://schemas.openxmlformats.org/spreadsheetml/2006/main" count="10061" uniqueCount="2661">
  <si>
    <t>面板</t>
  </si>
  <si>
    <t>基础攻击</t>
  </si>
  <si>
    <t>技能</t>
  </si>
  <si>
    <t>龙牙</t>
  </si>
  <si>
    <t>龙吟</t>
  </si>
  <si>
    <t>穿云</t>
  </si>
  <si>
    <t>灭</t>
  </si>
  <si>
    <t>流血</t>
  </si>
  <si>
    <t>梅花枪法</t>
  </si>
  <si>
    <t>突</t>
  </si>
  <si>
    <t>最终攻击</t>
  </si>
  <si>
    <t>攻击加成</t>
  </si>
  <si>
    <t>力道</t>
  </si>
  <si>
    <t>武器伤害加成</t>
  </si>
  <si>
    <t>最小武器伤害</t>
  </si>
  <si>
    <t>固定伤害</t>
  </si>
  <si>
    <t>最大武器伤害</t>
  </si>
  <si>
    <t>会心几率</t>
  </si>
  <si>
    <t>会心效果</t>
  </si>
  <si>
    <t>破防率</t>
  </si>
  <si>
    <t>破防等级</t>
  </si>
  <si>
    <t>偏离率</t>
  </si>
  <si>
    <t>命中率</t>
  </si>
  <si>
    <t>识破率</t>
  </si>
  <si>
    <t>无双率</t>
  </si>
  <si>
    <t>秘籍套装加成</t>
  </si>
  <si>
    <t>目标命中</t>
  </si>
  <si>
    <t>目标识破</t>
  </si>
  <si>
    <t>目标防御</t>
  </si>
  <si>
    <t>大CW</t>
  </si>
  <si>
    <t>斩杀</t>
  </si>
  <si>
    <t>目标</t>
  </si>
  <si>
    <t>龙血</t>
  </si>
  <si>
    <t>龙牙实际（虎贲+偏离）</t>
  </si>
  <si>
    <t>技能频率</t>
  </si>
  <si>
    <t>梅花枪法频率</t>
  </si>
  <si>
    <t>护手间隔期望</t>
  </si>
  <si>
    <t>腰带间隔期望</t>
  </si>
  <si>
    <t>鞋子间隔期望</t>
  </si>
  <si>
    <t>舍身弘法</t>
  </si>
  <si>
    <t>裸面板</t>
  </si>
  <si>
    <t>计算力道/基础后面板</t>
  </si>
  <si>
    <t>实战面板</t>
  </si>
  <si>
    <t>酣畅淋漓</t>
  </si>
  <si>
    <t>碎星辰</t>
  </si>
  <si>
    <t>撼如雷</t>
  </si>
  <si>
    <t>袖气</t>
  </si>
  <si>
    <t>阵眼</t>
  </si>
  <si>
    <t>伏虎</t>
  </si>
  <si>
    <t>梅隐香</t>
  </si>
  <si>
    <t>蒸鱼菜盘</t>
  </si>
  <si>
    <t>药品辅助</t>
  </si>
  <si>
    <t>药品增强</t>
  </si>
  <si>
    <t>食品辅助</t>
  </si>
  <si>
    <t>食品增强</t>
  </si>
  <si>
    <t>磨石</t>
  </si>
  <si>
    <t>宴席</t>
  </si>
  <si>
    <t>水煮鱼</t>
  </si>
  <si>
    <t>激雷</t>
  </si>
  <si>
    <t>疏狂</t>
  </si>
  <si>
    <t>阵法</t>
  </si>
  <si>
    <t>寒啸千军</t>
  </si>
  <si>
    <t>藏剑阵</t>
  </si>
  <si>
    <t>加速</t>
  </si>
  <si>
    <t>天策阵(阵眼)</t>
  </si>
  <si>
    <t>基础破防</t>
  </si>
  <si>
    <t>天策阵</t>
  </si>
  <si>
    <t>剑纯阵</t>
  </si>
  <si>
    <t>丐帮阵</t>
  </si>
  <si>
    <t>霸刀阵</t>
  </si>
  <si>
    <t>无</t>
  </si>
  <si>
    <t>DamageAddPercent</t>
  </si>
  <si>
    <t>疾如风</t>
  </si>
  <si>
    <t>扬戈</t>
  </si>
  <si>
    <t>封侯</t>
  </si>
  <si>
    <t>神勇</t>
  </si>
  <si>
    <t>龙牙套</t>
  </si>
  <si>
    <t>骁勇</t>
  </si>
  <si>
    <t>龙啸</t>
  </si>
  <si>
    <t>攻击套</t>
  </si>
  <si>
    <t>击水</t>
  </si>
  <si>
    <t>铁牢</t>
  </si>
  <si>
    <t>劲风</t>
  </si>
  <si>
    <t>驰骋</t>
  </si>
  <si>
    <t>任驰骋</t>
  </si>
  <si>
    <t>小吃小药</t>
  </si>
  <si>
    <t>战心</t>
  </si>
  <si>
    <t>破楼兰</t>
  </si>
  <si>
    <t>渊</t>
  </si>
  <si>
    <t>单体木桩</t>
  </si>
  <si>
    <t>虎贲</t>
  </si>
  <si>
    <t>计数</t>
  </si>
  <si>
    <t>5伤</t>
  </si>
  <si>
    <t>4伤</t>
  </si>
  <si>
    <t>3伤</t>
  </si>
  <si>
    <t>4会</t>
  </si>
  <si>
    <t>3会</t>
  </si>
  <si>
    <t>2会</t>
  </si>
  <si>
    <t>2命</t>
  </si>
  <si>
    <t>1命</t>
  </si>
  <si>
    <t>伤害</t>
  </si>
  <si>
    <t>命中</t>
  </si>
  <si>
    <t>会心</t>
  </si>
  <si>
    <t>-1sCD</t>
  </si>
  <si>
    <t>-0.5sCD</t>
  </si>
  <si>
    <t>穿云判定</t>
  </si>
  <si>
    <t>梅花盾</t>
  </si>
  <si>
    <t>全程保持</t>
  </si>
  <si>
    <t>半程保持</t>
  </si>
  <si>
    <t>水特效</t>
  </si>
  <si>
    <t>雷锐刃</t>
  </si>
  <si>
    <t>减料特效</t>
  </si>
  <si>
    <t>风斩铁</t>
  </si>
  <si>
    <t>属性收益</t>
  </si>
  <si>
    <t>无buff面板</t>
  </si>
  <si>
    <t>增益选择</t>
  </si>
  <si>
    <t>攻击</t>
  </si>
  <si>
    <t>昆吾·头</t>
  </si>
  <si>
    <t>武伤</t>
  </si>
  <si>
    <t>昆吾·衣</t>
  </si>
  <si>
    <t>昆吾·腰</t>
  </si>
  <si>
    <t>会效</t>
  </si>
  <si>
    <t>昆吾·手</t>
  </si>
  <si>
    <t>破防</t>
  </si>
  <si>
    <t>戒火斩</t>
  </si>
  <si>
    <t>劲风铁牢</t>
  </si>
  <si>
    <t>昆吾·鞋</t>
  </si>
  <si>
    <t>梅花三弄</t>
  </si>
  <si>
    <t>水·斩流(100)</t>
  </si>
  <si>
    <t>无双</t>
  </si>
  <si>
    <t>更新内容</t>
  </si>
  <si>
    <t>龙吟命中秘籍</t>
  </si>
  <si>
    <t>雷·銳刃(100)</t>
  </si>
  <si>
    <t>风·斩流(100)</t>
  </si>
  <si>
    <t>延迟</t>
  </si>
  <si>
    <t>龙牙占比</t>
  </si>
  <si>
    <t>共战江湖</t>
  </si>
  <si>
    <t>小CW</t>
  </si>
  <si>
    <t>流血占比</t>
  </si>
  <si>
    <t>斩杀阶段全团DPS提升</t>
  </si>
  <si>
    <t>梅花枪法占比</t>
  </si>
  <si>
    <t>预计输出</t>
  </si>
  <si>
    <t>部位</t>
  </si>
  <si>
    <t>装备名称</t>
  </si>
  <si>
    <t>装备等级</t>
  </si>
  <si>
    <t>显示名称</t>
  </si>
  <si>
    <t>武器伤害</t>
  </si>
  <si>
    <t>武器伤害2</t>
  </si>
  <si>
    <t>力道孔</t>
  </si>
  <si>
    <t>攻击孔</t>
  </si>
  <si>
    <t>会心孔</t>
  </si>
  <si>
    <t>会效孔</t>
  </si>
  <si>
    <t>破防孔</t>
  </si>
  <si>
    <t>无双孔</t>
  </si>
  <si>
    <t>体质等</t>
  </si>
  <si>
    <t>简称</t>
  </si>
  <si>
    <t>暗器</t>
  </si>
  <si>
    <t>会无</t>
  </si>
  <si>
    <t>速无</t>
  </si>
  <si>
    <t>破无</t>
  </si>
  <si>
    <t>戒指</t>
  </si>
  <si>
    <t>力道纯会</t>
  </si>
  <si>
    <t>力道纯破</t>
  </si>
  <si>
    <t>帽子</t>
  </si>
  <si>
    <t>长兵</t>
  </si>
  <si>
    <t>衣服</t>
  </si>
  <si>
    <t>鞋子</t>
  </si>
  <si>
    <t>腰带</t>
  </si>
  <si>
    <t>腰坠</t>
  </si>
  <si>
    <t>项链</t>
  </si>
  <si>
    <t>五彩石</t>
  </si>
  <si>
    <t>4级</t>
  </si>
  <si>
    <t>第1</t>
  </si>
  <si>
    <t>第2</t>
  </si>
  <si>
    <t>第3</t>
  </si>
  <si>
    <t>5级</t>
  </si>
  <si>
    <t>6级</t>
  </si>
  <si>
    <t>附魔-头脚</t>
  </si>
  <si>
    <t>附魔-手裤</t>
  </si>
  <si>
    <t>附魔-衣服</t>
  </si>
  <si>
    <t>附魔-武器</t>
  </si>
  <si>
    <t>附魔-戒指</t>
  </si>
  <si>
    <t>附魔-暗器</t>
  </si>
  <si>
    <t>7级</t>
  </si>
  <si>
    <t>8级</t>
  </si>
  <si>
    <t>心法</t>
  </si>
  <si>
    <t>切糕</t>
  </si>
  <si>
    <t>昆吾衣</t>
  </si>
  <si>
    <t>装备属性</t>
  </si>
  <si>
    <t>护手</t>
  </si>
  <si>
    <t>装备选择</t>
  </si>
  <si>
    <t>附魔选择</t>
  </si>
  <si>
    <t>裤子</t>
  </si>
  <si>
    <t>劲风破风</t>
  </si>
  <si>
    <t>第一重</t>
  </si>
  <si>
    <t>加速档位</t>
  </si>
  <si>
    <t>第二重</t>
  </si>
  <si>
    <t>第三重</t>
  </si>
  <si>
    <t>戒指1</t>
  </si>
  <si>
    <t>第四重</t>
  </si>
  <si>
    <t>第五重</t>
  </si>
  <si>
    <t>五彩石等级</t>
  </si>
  <si>
    <t>第六重</t>
  </si>
  <si>
    <t>第一属性</t>
  </si>
  <si>
    <t>戒指2</t>
  </si>
  <si>
    <t>第七重</t>
  </si>
  <si>
    <t>第二属性</t>
  </si>
  <si>
    <t>第八重</t>
  </si>
  <si>
    <t>第三属性</t>
  </si>
  <si>
    <t>第九重</t>
  </si>
  <si>
    <t>第十重</t>
  </si>
  <si>
    <t>第十一重</t>
  </si>
  <si>
    <t>第十二重</t>
  </si>
  <si>
    <t>增益（百分比）</t>
    <phoneticPr fontId="11" type="noConversion"/>
  </si>
  <si>
    <t>增益（固定值）</t>
    <phoneticPr fontId="11" type="noConversion"/>
  </si>
  <si>
    <t>渊</t>
    <phoneticPr fontId="11" type="noConversion"/>
  </si>
  <si>
    <t>最终攻击z'=z+δJ+J'*N+δL*1.6</t>
    <phoneticPr fontId="11" type="noConversion"/>
  </si>
  <si>
    <t>牧云</t>
    <phoneticPr fontId="11" type="noConversion"/>
  </si>
  <si>
    <t>特殊</t>
    <phoneticPr fontId="11" type="noConversion"/>
  </si>
  <si>
    <t>百分比</t>
    <phoneticPr fontId="11" type="noConversion"/>
  </si>
  <si>
    <t>秘籍</t>
    <phoneticPr fontId="11" type="noConversion"/>
  </si>
  <si>
    <t>奇穴</t>
    <phoneticPr fontId="11" type="noConversion"/>
  </si>
  <si>
    <t>面板显示</t>
    <phoneticPr fontId="11" type="noConversion"/>
  </si>
  <si>
    <t>普通</t>
    <phoneticPr fontId="11" type="noConversion"/>
  </si>
  <si>
    <t>单雷</t>
    <phoneticPr fontId="11" type="noConversion"/>
  </si>
  <si>
    <t>单渊</t>
    <phoneticPr fontId="11" type="noConversion"/>
  </si>
  <si>
    <t>渊+雷</t>
    <phoneticPr fontId="11" type="noConversion"/>
  </si>
  <si>
    <t>大任</t>
    <phoneticPr fontId="11" type="noConversion"/>
  </si>
  <si>
    <t>大任+渊</t>
    <phoneticPr fontId="11" type="noConversion"/>
  </si>
  <si>
    <t>大任+渊+雷</t>
    <phoneticPr fontId="11" type="noConversion"/>
  </si>
  <si>
    <t>破楼兰灭</t>
    <phoneticPr fontId="11" type="noConversion"/>
  </si>
  <si>
    <t>战意</t>
    <phoneticPr fontId="11" type="noConversion"/>
  </si>
  <si>
    <t>雷会心几率</t>
    <phoneticPr fontId="11" type="noConversion"/>
  </si>
  <si>
    <t>雷破防率</t>
    <phoneticPr fontId="11" type="noConversion"/>
  </si>
  <si>
    <t>循环</t>
    <phoneticPr fontId="11" type="noConversion"/>
  </si>
  <si>
    <t>偏离循环穿任灭</t>
    <phoneticPr fontId="11" type="noConversion"/>
  </si>
  <si>
    <t>偏离循环穿穿穿</t>
    <phoneticPr fontId="11" type="noConversion"/>
  </si>
  <si>
    <t>任</t>
    <phoneticPr fontId="11" type="noConversion"/>
  </si>
  <si>
    <t>武器伤害</t>
    <phoneticPr fontId="11" type="noConversion"/>
  </si>
  <si>
    <t>该页面废弃，仅用作部分增益开关判定</t>
    <phoneticPr fontId="11" type="noConversion"/>
  </si>
  <si>
    <t>带增益面板</t>
    <phoneticPr fontId="11" type="noConversion"/>
  </si>
  <si>
    <r>
      <t>大C</t>
    </r>
    <r>
      <rPr>
        <sz val="11"/>
        <color theme="1"/>
        <rFont val="微软雅黑"/>
        <family val="2"/>
        <charset val="134"/>
      </rPr>
      <t>W</t>
    </r>
    <phoneticPr fontId="11" type="noConversion"/>
  </si>
  <si>
    <r>
      <t>C</t>
    </r>
    <r>
      <rPr>
        <sz val="11"/>
        <color theme="1"/>
        <rFont val="微软雅黑"/>
        <family val="2"/>
        <charset val="134"/>
      </rPr>
      <t>W间隔期望</t>
    </r>
    <phoneticPr fontId="11" type="noConversion"/>
  </si>
  <si>
    <t>占比</t>
    <phoneticPr fontId="11" type="noConversion"/>
  </si>
  <si>
    <t>灭牙实际</t>
    <phoneticPr fontId="11" type="noConversion"/>
  </si>
  <si>
    <t>灭</t>
    <phoneticPr fontId="11" type="noConversion"/>
  </si>
  <si>
    <r>
      <t>10</t>
    </r>
    <r>
      <rPr>
        <sz val="11"/>
        <color theme="1"/>
        <rFont val="微软雅黑"/>
        <family val="2"/>
        <charset val="134"/>
      </rPr>
      <t>人</t>
    </r>
    <r>
      <rPr>
        <sz val="11"/>
        <color theme="1"/>
        <rFont val="微软雅黑"/>
        <family val="2"/>
        <charset val="134"/>
      </rPr>
      <t>/102</t>
    </r>
    <r>
      <rPr>
        <sz val="11"/>
        <color theme="1"/>
        <rFont val="微软雅黑"/>
        <family val="2"/>
        <charset val="134"/>
      </rPr>
      <t>木桩</t>
    </r>
    <phoneticPr fontId="11" type="noConversion"/>
  </si>
  <si>
    <r>
      <t>25</t>
    </r>
    <r>
      <rPr>
        <sz val="11"/>
        <color theme="1"/>
        <rFont val="微软雅黑"/>
        <family val="2"/>
        <charset val="134"/>
      </rPr>
      <t>普通</t>
    </r>
    <r>
      <rPr>
        <sz val="11"/>
        <color theme="1"/>
        <rFont val="微软雅黑"/>
        <family val="2"/>
        <charset val="134"/>
      </rPr>
      <t>/103</t>
    </r>
    <r>
      <rPr>
        <sz val="11"/>
        <color theme="1"/>
        <rFont val="微软雅黑"/>
        <family val="2"/>
        <charset val="134"/>
      </rPr>
      <t>木桩</t>
    </r>
    <phoneticPr fontId="11" type="noConversion"/>
  </si>
  <si>
    <t>4豆雷牙</t>
    <phoneticPr fontId="11" type="noConversion"/>
  </si>
  <si>
    <t>1豆穿</t>
    <phoneticPr fontId="11" type="noConversion"/>
  </si>
  <si>
    <t>4豆雷穿</t>
    <phoneticPr fontId="11" type="noConversion"/>
  </si>
  <si>
    <t>5豆牙</t>
    <phoneticPr fontId="11" type="noConversion"/>
  </si>
  <si>
    <t>他人雷</t>
    <phoneticPr fontId="11" type="noConversion"/>
  </si>
  <si>
    <t>渊雷</t>
    <phoneticPr fontId="11" type="noConversion"/>
  </si>
  <si>
    <t>体服</t>
    <phoneticPr fontId="11" type="noConversion"/>
  </si>
  <si>
    <t>夜征</t>
    <phoneticPr fontId="11" type="noConversion"/>
  </si>
  <si>
    <t>他人激雷</t>
    <phoneticPr fontId="11" type="noConversion"/>
  </si>
  <si>
    <t>牧云无视</t>
    <phoneticPr fontId="11" type="noConversion"/>
  </si>
  <si>
    <t>激雷</t>
    <phoneticPr fontId="11" type="noConversion"/>
  </si>
  <si>
    <t>灭牙</t>
    <phoneticPr fontId="11" type="noConversion"/>
  </si>
  <si>
    <t>非渊劲风夜征</t>
    <phoneticPr fontId="11" type="noConversion"/>
  </si>
  <si>
    <t>非渊劲风激雷</t>
    <phoneticPr fontId="11" type="noConversion"/>
  </si>
  <si>
    <t>渊劲风夜征</t>
    <phoneticPr fontId="11" type="noConversion"/>
  </si>
  <si>
    <t>渊劲风激雷</t>
    <phoneticPr fontId="11" type="noConversion"/>
  </si>
  <si>
    <t>大任+雷</t>
    <phoneticPr fontId="11" type="noConversion"/>
  </si>
  <si>
    <t>非渊驰骋夜征</t>
    <phoneticPr fontId="11" type="noConversion"/>
  </si>
  <si>
    <t>非渊驰骋激雷</t>
    <phoneticPr fontId="11" type="noConversion"/>
  </si>
  <si>
    <t>渊驰骋夜征</t>
    <phoneticPr fontId="11" type="noConversion"/>
  </si>
  <si>
    <t>渊驰骋激雷</t>
    <phoneticPr fontId="11" type="noConversion"/>
  </si>
  <si>
    <t>※草稿，用于后续计算不通奇穴不同面板占比</t>
    <phoneticPr fontId="11" type="noConversion"/>
  </si>
  <si>
    <t>吟穿牙*</t>
    <phoneticPr fontId="11" type="noConversion"/>
  </si>
  <si>
    <t>灭牙牙</t>
    <phoneticPr fontId="11" type="noConversion"/>
  </si>
  <si>
    <t>灭牙牙牙</t>
    <phoneticPr fontId="11" type="noConversion"/>
  </si>
  <si>
    <t>灭牙牙牙牙*</t>
    <phoneticPr fontId="11" type="noConversion"/>
  </si>
  <si>
    <t>不消耗豆</t>
    <phoneticPr fontId="11" type="noConversion"/>
  </si>
  <si>
    <t>消耗豆</t>
    <phoneticPr fontId="11" type="noConversion"/>
  </si>
  <si>
    <t>※草稿，用于后续计算技能数量比</t>
    <phoneticPr fontId="11" type="noConversion"/>
  </si>
  <si>
    <t>牙</t>
    <phoneticPr fontId="11" type="noConversion"/>
  </si>
  <si>
    <t>吟</t>
    <phoneticPr fontId="11" type="noConversion"/>
  </si>
  <si>
    <t>穿</t>
    <phoneticPr fontId="11" type="noConversion"/>
  </si>
  <si>
    <t>灭牙</t>
    <phoneticPr fontId="13" type="noConversion"/>
  </si>
  <si>
    <t>灭牙牙</t>
    <phoneticPr fontId="13" type="noConversion"/>
  </si>
  <si>
    <t>灭牙牙牙</t>
    <phoneticPr fontId="13" type="noConversion"/>
  </si>
  <si>
    <t>灭</t>
    <phoneticPr fontId="13" type="noConversion"/>
  </si>
  <si>
    <t>牙</t>
    <phoneticPr fontId="13" type="noConversion"/>
  </si>
  <si>
    <t>吟</t>
    <phoneticPr fontId="13" type="noConversion"/>
  </si>
  <si>
    <t>穿</t>
    <phoneticPr fontId="13" type="noConversion"/>
  </si>
  <si>
    <t>劲风</t>
    <phoneticPr fontId="11" type="noConversion"/>
  </si>
  <si>
    <t>任+雷</t>
    <phoneticPr fontId="11" type="noConversion"/>
  </si>
  <si>
    <t>苍云阵</t>
    <phoneticPr fontId="11" type="noConversion"/>
  </si>
  <si>
    <t>昆吾焰晶(2700)·</t>
  </si>
  <si>
    <t>昆吾焰珀(2950)·</t>
  </si>
  <si>
    <t>昆吾焰珩(3300)·</t>
  </si>
  <si>
    <t>腰</t>
    <phoneticPr fontId="11" type="noConversion"/>
  </si>
  <si>
    <t>帽</t>
    <phoneticPr fontId="11" type="noConversion"/>
  </si>
  <si>
    <t>鞋</t>
    <phoneticPr fontId="11" type="noConversion"/>
  </si>
  <si>
    <t>腕</t>
    <phoneticPr fontId="11" type="noConversion"/>
  </si>
  <si>
    <t>衣</t>
    <phoneticPr fontId="11" type="noConversion"/>
  </si>
  <si>
    <t>大CW任+雷</t>
    <phoneticPr fontId="11" type="noConversion"/>
  </si>
  <si>
    <t>25英雄敖龙岛</t>
  </si>
  <si>
    <t>104木桩/25英雄范阳夜变</t>
  </si>
  <si>
    <t>雷实际间隔</t>
    <phoneticPr fontId="11" type="noConversion"/>
  </si>
  <si>
    <t>家园菜品</t>
    <phoneticPr fontId="11" type="noConversion"/>
  </si>
  <si>
    <t>家园酒品</t>
    <phoneticPr fontId="11" type="noConversion"/>
  </si>
  <si>
    <t>命中</t>
    <phoneticPr fontId="11" type="noConversion"/>
  </si>
  <si>
    <t>无双</t>
    <phoneticPr fontId="11" type="noConversion"/>
  </si>
  <si>
    <t>外攻</t>
    <phoneticPr fontId="11" type="noConversion"/>
  </si>
  <si>
    <t>外破</t>
    <phoneticPr fontId="11" type="noConversion"/>
  </si>
  <si>
    <t>会心</t>
    <phoneticPr fontId="11" type="noConversion"/>
  </si>
  <si>
    <t>无</t>
    <phoneticPr fontId="11" type="noConversion"/>
  </si>
  <si>
    <t>力道</t>
    <phoneticPr fontId="11" type="noConversion"/>
  </si>
  <si>
    <t>家园酒菜</t>
    <phoneticPr fontId="11" type="noConversion"/>
  </si>
  <si>
    <t>汾酒·今朝醉(力道)</t>
  </si>
  <si>
    <t>汾酒·六日醉(力道)</t>
  </si>
  <si>
    <t>汾酒·旬又三(力道)</t>
  </si>
  <si>
    <t>炖豆腐(无双)</t>
  </si>
  <si>
    <t>葫芦叫花鸡(外攻)</t>
  </si>
  <si>
    <t>清蒸鲈鱼(外破)</t>
  </si>
  <si>
    <t>炸鱼干(会心)</t>
  </si>
  <si>
    <r>
      <t>1</t>
    </r>
    <r>
      <rPr>
        <sz val="11"/>
        <color theme="1"/>
        <rFont val="微软雅黑"/>
        <family val="2"/>
        <charset val="134"/>
      </rPr>
      <t>10级开关</t>
    </r>
    <phoneticPr fontId="11" type="noConversion"/>
  </si>
  <si>
    <t>会破</t>
    <phoneticPr fontId="11" type="noConversion"/>
  </si>
  <si>
    <t>会效</t>
    <phoneticPr fontId="11" type="noConversion"/>
  </si>
  <si>
    <t>加速</t>
    <phoneticPr fontId="11" type="noConversion"/>
  </si>
  <si>
    <t>新无双率</t>
    <phoneticPr fontId="11" type="noConversion"/>
  </si>
  <si>
    <t>破招</t>
    <phoneticPr fontId="11" type="noConversion"/>
  </si>
  <si>
    <t>破招间隔期望</t>
    <phoneticPr fontId="11" type="noConversion"/>
  </si>
  <si>
    <t>破招值</t>
    <phoneticPr fontId="11" type="noConversion"/>
  </si>
  <si>
    <t>精简攻无</t>
  </si>
  <si>
    <t>精简攻会无</t>
  </si>
  <si>
    <t>精简攻破</t>
  </si>
  <si>
    <t>精简体攻会无</t>
  </si>
  <si>
    <t>精简攻会</t>
  </si>
  <si>
    <t>精简攻破无</t>
  </si>
  <si>
    <t>112木桩</t>
  </si>
  <si>
    <t>113木桩</t>
  </si>
  <si>
    <t>114木桩</t>
  </si>
  <si>
    <t>龙牙</t>
    <phoneticPr fontId="11" type="noConversion"/>
  </si>
  <si>
    <t>流血</t>
    <phoneticPr fontId="11" type="noConversion"/>
  </si>
  <si>
    <t>穿云</t>
    <phoneticPr fontId="11" type="noConversion"/>
  </si>
  <si>
    <t>龙吟</t>
    <phoneticPr fontId="11" type="noConversion"/>
  </si>
  <si>
    <t>梅花枪法</t>
    <phoneticPr fontId="11" type="noConversion"/>
  </si>
  <si>
    <t>突</t>
    <phoneticPr fontId="11" type="noConversion"/>
  </si>
  <si>
    <t>蒸鱼</t>
    <phoneticPr fontId="11" type="noConversion"/>
  </si>
  <si>
    <t>水煮鱼</t>
    <phoneticPr fontId="11" type="noConversion"/>
  </si>
  <si>
    <t>惊羽阵</t>
    <phoneticPr fontId="11" type="noConversion"/>
  </si>
  <si>
    <t>天罗阵</t>
    <phoneticPr fontId="11" type="noConversion"/>
  </si>
  <si>
    <r>
      <t>煎豆腐(</t>
    </r>
    <r>
      <rPr>
        <sz val="11"/>
        <color theme="1"/>
        <rFont val="微软雅黑"/>
        <family val="2"/>
        <charset val="134"/>
      </rPr>
      <t>破招</t>
    </r>
    <r>
      <rPr>
        <sz val="11"/>
        <color theme="1"/>
        <rFont val="微软雅黑"/>
        <family val="2"/>
        <charset val="134"/>
      </rPr>
      <t>)</t>
    </r>
    <phoneticPr fontId="11" type="noConversion"/>
  </si>
  <si>
    <t>招无</t>
  </si>
  <si>
    <t>招破</t>
  </si>
  <si>
    <t>速招</t>
  </si>
  <si>
    <t>会招</t>
  </si>
  <si>
    <t>精简攻招破</t>
  </si>
  <si>
    <t>精简体攻招破</t>
  </si>
  <si>
    <t>精简攻招无</t>
  </si>
  <si>
    <t>精简攻招破无</t>
  </si>
  <si>
    <t>理论技能占比</t>
    <phoneticPr fontId="11" type="noConversion"/>
  </si>
  <si>
    <t>破</t>
    <phoneticPr fontId="11" type="noConversion"/>
  </si>
  <si>
    <t>破招</t>
  </si>
  <si>
    <t>破招孔</t>
  </si>
  <si>
    <t>上衣</t>
  </si>
  <si>
    <t>破招雷处理</t>
    <phoneticPr fontId="11" type="noConversion"/>
  </si>
  <si>
    <t>最大精炼等级</t>
    <phoneticPr fontId="11" type="noConversion"/>
  </si>
  <si>
    <t>实际精炼等级</t>
    <phoneticPr fontId="11" type="noConversion"/>
  </si>
  <si>
    <t>精炼</t>
  </si>
  <si>
    <t>聚力</t>
    <phoneticPr fontId="11" type="noConversion"/>
  </si>
  <si>
    <t>精简</t>
    <phoneticPr fontId="13" type="noConversion"/>
  </si>
  <si>
    <t>力道攻击武伤</t>
  </si>
  <si>
    <t>力道攻击破防</t>
  </si>
  <si>
    <t>力道攻击会效</t>
  </si>
  <si>
    <t>力道破防武伤</t>
  </si>
  <si>
    <t>力道破防攻击</t>
  </si>
  <si>
    <t>力道破防会效</t>
  </si>
  <si>
    <t>力道会效武伤</t>
  </si>
  <si>
    <t>力道会效破防</t>
  </si>
  <si>
    <t>力道会效攻击</t>
  </si>
  <si>
    <t>攻击破防武伤</t>
  </si>
  <si>
    <t>攻击破防会效</t>
  </si>
  <si>
    <t>攻击会效武伤</t>
  </si>
  <si>
    <t>攻击会效破防</t>
  </si>
  <si>
    <t>破防攻击武伤</t>
  </si>
  <si>
    <t>破防攻击会效</t>
  </si>
  <si>
    <t>破防会效武伤</t>
  </si>
  <si>
    <t>破防会效攻击</t>
  </si>
  <si>
    <t>会心攻击武伤</t>
  </si>
  <si>
    <t>会心攻击破防</t>
  </si>
  <si>
    <t>会心攻击会效</t>
  </si>
  <si>
    <t>会心破防武伤</t>
  </si>
  <si>
    <t>会心破防攻击</t>
  </si>
  <si>
    <t>会心破防会效</t>
  </si>
  <si>
    <t>会心会效武伤</t>
  </si>
  <si>
    <t>会心会效破防</t>
  </si>
  <si>
    <t>会心会效攻击</t>
  </si>
  <si>
    <t>会效攻击武伤</t>
  </si>
  <si>
    <t>会效攻击破防</t>
  </si>
  <si>
    <t>会效破防武伤</t>
  </si>
  <si>
    <t>会效破防攻击</t>
  </si>
  <si>
    <t>破招攻击武伤</t>
  </si>
  <si>
    <t>破招攻击破防</t>
  </si>
  <si>
    <t>破招攻击会效</t>
  </si>
  <si>
    <t>破招破防武伤</t>
  </si>
  <si>
    <t>破招破防攻击</t>
  </si>
  <si>
    <t>破招破防会效</t>
  </si>
  <si>
    <t>破招会效武伤</t>
  </si>
  <si>
    <t>破招会效破防</t>
  </si>
  <si>
    <t>破招会效攻击</t>
  </si>
  <si>
    <t>无双攻击武伤</t>
  </si>
  <si>
    <t>无双攻击破防</t>
  </si>
  <si>
    <t>无双攻击会效</t>
  </si>
  <si>
    <t>无双破防武伤</t>
  </si>
  <si>
    <t>无双破防攻击</t>
  </si>
  <si>
    <t>无双破防会效</t>
  </si>
  <si>
    <t>无双会效武伤</t>
  </si>
  <si>
    <t>无双会效破防</t>
  </si>
  <si>
    <t>无双会效攻击</t>
  </si>
  <si>
    <t>力道加速攻击</t>
  </si>
  <si>
    <t>破招加速攻击</t>
  </si>
  <si>
    <t>无双加速攻击</t>
  </si>
  <si>
    <t>精简会心百分比力道</t>
    <phoneticPr fontId="11" type="noConversion"/>
  </si>
  <si>
    <t>精简攻会招</t>
  </si>
  <si>
    <t>精简攻会招破</t>
  </si>
  <si>
    <t>精简攻会破</t>
  </si>
  <si>
    <t>精简体攻破无</t>
  </si>
  <si>
    <t>精简攻会破无</t>
  </si>
  <si>
    <t>精简攻会招无</t>
  </si>
  <si>
    <t>特效破无</t>
  </si>
  <si>
    <t>精简体攻招无</t>
  </si>
  <si>
    <t>帽子</t>
    <phoneticPr fontId="11" type="noConversion"/>
  </si>
  <si>
    <t>长兵</t>
    <phoneticPr fontId="11" type="noConversion"/>
  </si>
  <si>
    <t>最大可精炼等级</t>
  </si>
  <si>
    <t>泣血</t>
  </si>
  <si>
    <t>同泽宴</t>
    <phoneticPr fontId="11" type="noConversion"/>
  </si>
  <si>
    <t>龙牙·神兵</t>
    <phoneticPr fontId="11" type="noConversion"/>
  </si>
  <si>
    <t>概率触发处理</t>
    <phoneticPr fontId="11" type="noConversion"/>
  </si>
  <si>
    <t>装备来源</t>
    <phoneticPr fontId="13" type="noConversion"/>
  </si>
  <si>
    <t>活动</t>
  </si>
  <si>
    <t>副本</t>
  </si>
  <si>
    <t>世界BOSS</t>
  </si>
  <si>
    <t>任务</t>
  </si>
  <si>
    <t>声望</t>
  </si>
  <si>
    <t>飞沙令</t>
  </si>
  <si>
    <t>兑换牌</t>
  </si>
  <si>
    <t>浪客笺</t>
  </si>
  <si>
    <t>生活技能</t>
  </si>
  <si>
    <t>挖宝</t>
  </si>
  <si>
    <t>来源</t>
    <phoneticPr fontId="11" type="noConversion"/>
  </si>
  <si>
    <t>精简体攻无</t>
  </si>
  <si>
    <t>小橙武</t>
  </si>
  <si>
    <t>神兵试炼</t>
  </si>
  <si>
    <t>大橙武</t>
  </si>
  <si>
    <t>附魔选择</t>
    <phoneticPr fontId="11" type="noConversion"/>
  </si>
  <si>
    <t>装备分数</t>
    <phoneticPr fontId="11" type="noConversion"/>
  </si>
  <si>
    <t>附魔</t>
    <phoneticPr fontId="11" type="noConversion"/>
  </si>
  <si>
    <t>装备筛选</t>
    <phoneticPr fontId="11" type="noConversion"/>
  </si>
  <si>
    <t>是否显示</t>
    <phoneticPr fontId="13" type="noConversion"/>
  </si>
  <si>
    <t>显示行数</t>
    <phoneticPr fontId="13" type="noConversion"/>
  </si>
  <si>
    <t>ALL</t>
    <phoneticPr fontId="13" type="noConversion"/>
  </si>
  <si>
    <t>长兵</t>
    <phoneticPr fontId="13" type="noConversion"/>
  </si>
  <si>
    <t>五行石孔显示处理</t>
    <phoneticPr fontId="13" type="noConversion"/>
  </si>
  <si>
    <t>生存类孔</t>
    <phoneticPr fontId="11" type="noConversion"/>
  </si>
  <si>
    <t>比例</t>
    <phoneticPr fontId="11" type="noConversion"/>
  </si>
  <si>
    <t>五行石分数</t>
    <phoneticPr fontId="11" type="noConversion"/>
  </si>
  <si>
    <t>五彩石分数</t>
    <phoneticPr fontId="11" type="noConversion"/>
  </si>
  <si>
    <t>虎贲开关</t>
    <phoneticPr fontId="11" type="noConversion"/>
  </si>
  <si>
    <t>力破万钧</t>
    <phoneticPr fontId="11" type="noConversion"/>
  </si>
  <si>
    <t>计算</t>
    <phoneticPr fontId="11" type="noConversion"/>
  </si>
  <si>
    <t>力破万均·斩</t>
    <phoneticPr fontId="11" type="noConversion"/>
  </si>
  <si>
    <t>会心值</t>
    <phoneticPr fontId="11" type="noConversion"/>
  </si>
  <si>
    <t>会效值</t>
    <phoneticPr fontId="11" type="noConversion"/>
  </si>
  <si>
    <t>破防值</t>
    <phoneticPr fontId="11" type="noConversion"/>
  </si>
  <si>
    <t>无双值</t>
    <phoneticPr fontId="11" type="noConversion"/>
  </si>
  <si>
    <t>加速值</t>
    <phoneticPr fontId="11" type="noConversion"/>
  </si>
  <si>
    <t>添加属性</t>
    <phoneticPr fontId="11" type="noConversion"/>
  </si>
  <si>
    <r>
      <t>d</t>
    </r>
    <r>
      <rPr>
        <sz val="11"/>
        <color theme="1"/>
        <rFont val="微软雅黑"/>
        <family val="2"/>
        <charset val="134"/>
      </rPr>
      <t>x</t>
    </r>
    <phoneticPr fontId="11" type="noConversion"/>
  </si>
  <si>
    <t>攻击</t>
    <phoneticPr fontId="11" type="noConversion"/>
  </si>
  <si>
    <t>绿字</t>
    <phoneticPr fontId="11" type="noConversion"/>
  </si>
  <si>
    <t>武伤</t>
    <phoneticPr fontId="11" type="noConversion"/>
  </si>
  <si>
    <t>目标选择</t>
    <phoneticPr fontId="11" type="noConversion"/>
  </si>
  <si>
    <t>111木桩</t>
    <phoneticPr fontId="11" type="noConversion"/>
  </si>
  <si>
    <t>返回值</t>
    <phoneticPr fontId="11" type="noConversion"/>
  </si>
  <si>
    <t>DamageAddPercentMax</t>
    <phoneticPr fontId="11" type="noConversion"/>
  </si>
  <si>
    <t>DamageAddPercentMin</t>
    <phoneticPr fontId="11" type="noConversion"/>
  </si>
  <si>
    <t>PhysicsAttackPowerBase</t>
    <phoneticPr fontId="11" type="noConversion"/>
  </si>
  <si>
    <t>OvercomeBase</t>
    <phoneticPr fontId="11" type="noConversion"/>
  </si>
  <si>
    <t>DamageBase</t>
    <phoneticPr fontId="11" type="noConversion"/>
  </si>
  <si>
    <t>DamageBaseRand</t>
    <phoneticPr fontId="11" type="noConversion"/>
  </si>
  <si>
    <t>ChannelInterval</t>
    <phoneticPr fontId="11" type="noConversion"/>
  </si>
  <si>
    <t>Bufftime</t>
    <phoneticPr fontId="11" type="noConversion"/>
  </si>
  <si>
    <t>CoolDown</t>
    <phoneticPr fontId="11" type="noConversion"/>
  </si>
  <si>
    <t>生存类孔</t>
  </si>
  <si>
    <t>装备来源</t>
  </si>
  <si>
    <t>PVE装备</t>
  </si>
  <si>
    <t>孔1</t>
  </si>
  <si>
    <t>孔2</t>
  </si>
  <si>
    <t>孔3</t>
  </si>
  <si>
    <t>体质</t>
  </si>
  <si>
    <t>体质孔</t>
  </si>
  <si>
    <t>最大气血值</t>
  </si>
  <si>
    <t/>
  </si>
  <si>
    <t>体质</t>
    <phoneticPr fontId="11" type="noConversion"/>
  </si>
  <si>
    <t>体质孔</t>
    <phoneticPr fontId="11" type="noConversion"/>
  </si>
  <si>
    <t>最大气血值</t>
    <phoneticPr fontId="11" type="noConversion"/>
  </si>
  <si>
    <t>总体质</t>
    <phoneticPr fontId="11" type="noConversion"/>
  </si>
  <si>
    <t>总最大气血值</t>
    <phoneticPr fontId="11" type="noConversion"/>
  </si>
  <si>
    <t>基础气血值</t>
    <phoneticPr fontId="11" type="noConversion"/>
  </si>
  <si>
    <t>气血提升</t>
    <phoneticPr fontId="11" type="noConversion"/>
  </si>
  <si>
    <t>体质值</t>
    <phoneticPr fontId="11" type="noConversion"/>
  </si>
  <si>
    <t>增益</t>
    <phoneticPr fontId="11" type="noConversion"/>
  </si>
  <si>
    <t>攻击套覆盖率</t>
    <phoneticPr fontId="11" type="noConversion"/>
  </si>
  <si>
    <r>
      <t>C</t>
    </r>
    <r>
      <rPr>
        <sz val="11"/>
        <color theme="1"/>
        <rFont val="微软雅黑"/>
        <family val="2"/>
        <charset val="134"/>
      </rPr>
      <t>W覆盖率</t>
    </r>
    <phoneticPr fontId="11" type="noConversion"/>
  </si>
  <si>
    <t>女儿红·今朝醉(加速)</t>
  </si>
  <si>
    <t>女儿红·六日醉(加速)</t>
  </si>
  <si>
    <t>女儿红·旬又三(加速)</t>
  </si>
  <si>
    <t>凌雪阵</t>
    <phoneticPr fontId="11" type="noConversion"/>
  </si>
  <si>
    <t>蓬莱阵</t>
    <phoneticPr fontId="11" type="noConversion"/>
  </si>
  <si>
    <t>任+雷(仅夜征)</t>
    <phoneticPr fontId="11" type="noConversion"/>
  </si>
  <si>
    <t>夜征</t>
  </si>
  <si>
    <t>额外破防加成</t>
    <phoneticPr fontId="11" type="noConversion"/>
  </si>
  <si>
    <t>额外破防加成（计算激雷）</t>
    <phoneticPr fontId="11" type="noConversion"/>
  </si>
  <si>
    <t>额外攻击加成</t>
    <phoneticPr fontId="11" type="noConversion"/>
  </si>
  <si>
    <t>破防百分比</t>
    <phoneticPr fontId="11" type="noConversion"/>
  </si>
  <si>
    <t>寒啸千军→</t>
    <phoneticPr fontId="11" type="noConversion"/>
  </si>
  <si>
    <t>军啸（左侧判定双会攻击，右侧判定有无）</t>
    <phoneticPr fontId="11" type="noConversion"/>
  </si>
  <si>
    <t>精炼分数</t>
    <phoneticPr fontId="11" type="noConversion"/>
  </si>
  <si>
    <t>5级</t>
    <phoneticPr fontId="11" type="noConversion"/>
  </si>
  <si>
    <t>4级</t>
    <phoneticPr fontId="11" type="noConversion"/>
  </si>
  <si>
    <t>3级</t>
    <phoneticPr fontId="11" type="noConversion"/>
  </si>
  <si>
    <t>2级</t>
    <phoneticPr fontId="11" type="noConversion"/>
  </si>
  <si>
    <t>1级</t>
    <phoneticPr fontId="11" type="noConversion"/>
  </si>
  <si>
    <t>不镶嵌</t>
    <phoneticPr fontId="11" type="noConversion"/>
  </si>
  <si>
    <t>五彩石激活判定</t>
    <phoneticPr fontId="11" type="noConversion"/>
  </si>
  <si>
    <t>紫</t>
    <phoneticPr fontId="11" type="noConversion"/>
  </si>
  <si>
    <t>黑</t>
    <phoneticPr fontId="11" type="noConversion"/>
  </si>
  <si>
    <t>蓝</t>
    <phoneticPr fontId="11" type="noConversion"/>
  </si>
  <si>
    <t>更新内容</t>
    <phoneticPr fontId="11" type="noConversion"/>
  </si>
  <si>
    <t>飞剑·意</t>
    <phoneticPr fontId="11" type="noConversion"/>
  </si>
  <si>
    <t>飞剑意间隔期望</t>
    <phoneticPr fontId="11" type="noConversion"/>
  </si>
  <si>
    <t>龙门特效</t>
    <phoneticPr fontId="11" type="noConversion"/>
  </si>
  <si>
    <t>龙门开关</t>
    <phoneticPr fontId="11" type="noConversion"/>
  </si>
  <si>
    <t>剑风</t>
    <phoneticPr fontId="11" type="noConversion"/>
  </si>
  <si>
    <t>龙门特效雷期间会心</t>
    <phoneticPr fontId="11" type="noConversion"/>
  </si>
  <si>
    <t>龙门特效雷期间会效</t>
    <phoneticPr fontId="11" type="noConversion"/>
  </si>
  <si>
    <t>数值标准</t>
    <phoneticPr fontId="11" type="noConversion"/>
  </si>
  <si>
    <r>
      <t>汾酒(力道</t>
    </r>
    <r>
      <rPr>
        <sz val="11"/>
        <color theme="1"/>
        <rFont val="微软雅黑"/>
        <family val="2"/>
        <charset val="134"/>
      </rPr>
      <t>)</t>
    </r>
    <phoneticPr fontId="11" type="noConversion"/>
  </si>
  <si>
    <t>女儿红(加速)</t>
    <phoneticPr fontId="11" type="noConversion"/>
  </si>
  <si>
    <t>共战江湖</t>
    <phoneticPr fontId="11" type="noConversion"/>
  </si>
  <si>
    <t>6技能</t>
    <phoneticPr fontId="11" type="noConversion"/>
  </si>
  <si>
    <t>奉天证道</t>
    <phoneticPr fontId="11" type="noConversion"/>
  </si>
  <si>
    <t>白帝风云</t>
    <phoneticPr fontId="11" type="noConversion"/>
  </si>
  <si>
    <t>每秒气血回复</t>
  </si>
  <si>
    <t>山市鬼船·伤·帽</t>
    <phoneticPr fontId="11" type="noConversion"/>
  </si>
  <si>
    <t>山市鬼船·伤·腰</t>
  </si>
  <si>
    <t>山市鬼船·伤·鞋</t>
  </si>
  <si>
    <t>山市鬼船·伤·腕</t>
  </si>
  <si>
    <t>山市鬼船·伤·衣</t>
  </si>
  <si>
    <t>振奋</t>
    <phoneticPr fontId="11" type="noConversion"/>
  </si>
  <si>
    <t>大附魔</t>
    <phoneticPr fontId="11" type="noConversion"/>
  </si>
  <si>
    <t>灭大附魔</t>
    <phoneticPr fontId="11" type="noConversion"/>
  </si>
  <si>
    <t>雷大附魔</t>
    <phoneticPr fontId="11" type="noConversion"/>
  </si>
  <si>
    <t>大漠</t>
    <phoneticPr fontId="11" type="noConversion"/>
  </si>
  <si>
    <t>大漠开关</t>
    <phoneticPr fontId="11" type="noConversion"/>
  </si>
  <si>
    <t>增益开关</t>
    <phoneticPr fontId="11" type="noConversion"/>
  </si>
  <si>
    <t>泣血(5150大橙武)</t>
  </si>
  <si>
    <t>2暖言</t>
    <phoneticPr fontId="11" type="noConversion"/>
  </si>
  <si>
    <t>4暖言</t>
    <phoneticPr fontId="11" type="noConversion"/>
  </si>
  <si>
    <t>5豆牙</t>
  </si>
  <si>
    <t>4豆大漠牙</t>
  </si>
  <si>
    <t>4豆牙</t>
  </si>
  <si>
    <t>3豆牙</t>
  </si>
  <si>
    <t>2豆灭</t>
  </si>
  <si>
    <t>1豆灭</t>
  </si>
  <si>
    <t>0豆灭</t>
  </si>
  <si>
    <t>2豆吟</t>
  </si>
  <si>
    <t>2豆穿</t>
  </si>
  <si>
    <t>百锻</t>
  </si>
  <si>
    <t>左旋右转</t>
  </si>
  <si>
    <t>配伍</t>
  </si>
  <si>
    <t>飘黄</t>
  </si>
  <si>
    <t>同泽宴+左旋右转</t>
    <phoneticPr fontId="11" type="noConversion"/>
  </si>
  <si>
    <t>配伍</t>
    <phoneticPr fontId="11" type="noConversion"/>
  </si>
  <si>
    <t>炽炎</t>
    <phoneticPr fontId="11" type="noConversion"/>
  </si>
  <si>
    <t>逐云含蕊</t>
    <phoneticPr fontId="11" type="noConversion"/>
  </si>
  <si>
    <t>其他</t>
    <phoneticPr fontId="13" type="noConversion"/>
  </si>
  <si>
    <t>剑纯阵</t>
    <phoneticPr fontId="13" type="noConversion"/>
  </si>
  <si>
    <t>丐帮阵</t>
    <phoneticPr fontId="13" type="noConversion"/>
  </si>
  <si>
    <t>激雷手法</t>
    <phoneticPr fontId="11" type="noConversion"/>
  </si>
  <si>
    <t>获取最新版本</t>
    <phoneticPr fontId="11" type="noConversion"/>
  </si>
  <si>
    <t>2吟</t>
    <phoneticPr fontId="13" type="noConversion"/>
  </si>
  <si>
    <t>3牙</t>
    <phoneticPr fontId="13" type="noConversion"/>
  </si>
  <si>
    <t>4牙</t>
    <phoneticPr fontId="13" type="noConversion"/>
  </si>
  <si>
    <t>4大漠牙</t>
    <phoneticPr fontId="13" type="noConversion"/>
  </si>
  <si>
    <t>5牙</t>
    <phoneticPr fontId="13" type="noConversion"/>
  </si>
  <si>
    <t>1灭</t>
    <phoneticPr fontId="13" type="noConversion"/>
  </si>
  <si>
    <t>2灭</t>
    <phoneticPr fontId="13" type="noConversion"/>
  </si>
  <si>
    <t>0灭</t>
    <phoneticPr fontId="13" type="noConversion"/>
  </si>
  <si>
    <t>虎贲灭&gt;吟</t>
    <phoneticPr fontId="11" type="noConversion"/>
  </si>
  <si>
    <t>虎贲破楼兰</t>
    <phoneticPr fontId="11" type="noConversion"/>
  </si>
  <si>
    <t>力破</t>
    <phoneticPr fontId="11" type="noConversion"/>
  </si>
  <si>
    <t>力破破楼兰</t>
    <phoneticPr fontId="11" type="noConversion"/>
  </si>
  <si>
    <t>←朝圣言+号令三军→</t>
    <phoneticPr fontId="11" type="noConversion"/>
  </si>
  <si>
    <t>朝圣言</t>
    <phoneticPr fontId="11" type="noConversion"/>
  </si>
  <si>
    <t>圣浴明心</t>
    <phoneticPr fontId="11" type="noConversion"/>
  </si>
  <si>
    <t>月尽天明</t>
    <phoneticPr fontId="11" type="noConversion"/>
  </si>
  <si>
    <t>月尽天明圣浴明心</t>
    <phoneticPr fontId="11" type="noConversion"/>
  </si>
  <si>
    <t>祷山川·征</t>
  </si>
  <si>
    <r>
      <t>2</t>
    </r>
    <r>
      <rPr>
        <sz val="11"/>
        <color theme="1"/>
        <rFont val="微软雅黑"/>
        <family val="2"/>
        <charset val="134"/>
      </rPr>
      <t>2/2/17更新</t>
    </r>
    <phoneticPr fontId="11" type="noConversion"/>
  </si>
  <si>
    <t>江湖无限</t>
    <phoneticPr fontId="11" type="noConversion"/>
  </si>
  <si>
    <t>百锻</t>
    <phoneticPr fontId="11" type="noConversion"/>
  </si>
  <si>
    <t>朝圣言·层数</t>
    <phoneticPr fontId="11" type="noConversion"/>
  </si>
  <si>
    <t>舍身弘法·次数</t>
    <phoneticPr fontId="11" type="noConversion"/>
  </si>
  <si>
    <t>舍身弘法·层数</t>
    <phoneticPr fontId="11" type="noConversion"/>
  </si>
  <si>
    <t>号令三军·层数</t>
    <phoneticPr fontId="11" type="noConversion"/>
  </si>
  <si>
    <t>升景+新朝/鼓/弘法</t>
    <phoneticPr fontId="11" type="noConversion"/>
  </si>
  <si>
    <t>计算增益</t>
    <phoneticPr fontId="11" type="noConversion"/>
  </si>
  <si>
    <t>附魔分数</t>
    <phoneticPr fontId="11" type="noConversion"/>
  </si>
  <si>
    <t>山市装分</t>
    <phoneticPr fontId="11" type="noConversion"/>
  </si>
  <si>
    <t>山市鬼洲</t>
    <phoneticPr fontId="11" type="noConversion"/>
  </si>
  <si>
    <t>头</t>
    <phoneticPr fontId="11" type="noConversion"/>
  </si>
  <si>
    <t>手</t>
    <phoneticPr fontId="11" type="noConversion"/>
  </si>
  <si>
    <t>云山经装分</t>
    <phoneticPr fontId="11" type="noConversion"/>
  </si>
  <si>
    <t>附魔-项链腰坠</t>
    <phoneticPr fontId="11" type="noConversion"/>
  </si>
  <si>
    <t>体质附魔</t>
    <phoneticPr fontId="11" type="noConversion"/>
  </si>
  <si>
    <t>思乐</t>
  </si>
  <si>
    <t>泣血(5420大橙武)</t>
  </si>
  <si>
    <t>泣血(5690大橙武)</t>
  </si>
  <si>
    <t>止戎</t>
  </si>
  <si>
    <t>2晴辰</t>
    <phoneticPr fontId="11" type="noConversion"/>
  </si>
  <si>
    <t>4晴辰</t>
    <phoneticPr fontId="11" type="noConversion"/>
  </si>
  <si>
    <t>力道纯速</t>
  </si>
  <si>
    <t>精英怪</t>
  </si>
  <si>
    <t>祷山川·征(5300小橙武)</t>
  </si>
  <si>
    <t>弘法·新</t>
    <phoneticPr fontId="11" type="noConversion"/>
  </si>
  <si>
    <t>鼓·新</t>
    <phoneticPr fontId="11" type="noConversion"/>
  </si>
  <si>
    <t>朝圣言·新</t>
    <phoneticPr fontId="11" type="noConversion"/>
  </si>
  <si>
    <t>新龙牙橙武特效</t>
    <phoneticPr fontId="11" type="noConversion"/>
  </si>
  <si>
    <t>新龙牙特效占比</t>
    <phoneticPr fontId="11" type="noConversion"/>
  </si>
  <si>
    <t>画角闻龙</t>
  </si>
  <si>
    <t>易伤</t>
    <phoneticPr fontId="11" type="noConversion"/>
  </si>
  <si>
    <t>22/5/26技改后</t>
    <phoneticPr fontId="11" type="noConversion"/>
  </si>
  <si>
    <t>煞·泣血</t>
  </si>
  <si>
    <t>煞·泣血(5690大橙武)</t>
  </si>
  <si>
    <t>-</t>
    <phoneticPr fontId="11" type="noConversion"/>
  </si>
  <si>
    <t>121木桩</t>
    <phoneticPr fontId="11" type="noConversion"/>
  </si>
  <si>
    <t>122木桩</t>
    <phoneticPr fontId="11" type="noConversion"/>
  </si>
  <si>
    <t>123木桩</t>
    <phoneticPr fontId="11" type="noConversion"/>
  </si>
  <si>
    <t>124木桩</t>
    <phoneticPr fontId="11" type="noConversion"/>
  </si>
  <si>
    <t>新破招</t>
    <phoneticPr fontId="11" type="noConversion"/>
  </si>
  <si>
    <t>龙驭</t>
    <phoneticPr fontId="11" type="noConversion"/>
  </si>
  <si>
    <t>龙驭非渊劲风夜征</t>
  </si>
  <si>
    <t>龙驭非渊劲风激雷</t>
  </si>
  <si>
    <t>龙驭渊劲风夜征</t>
  </si>
  <si>
    <t>龙驭渊劲风激雷</t>
  </si>
  <si>
    <t>龙驭非渊驰骋夜征</t>
  </si>
  <si>
    <t>龙驭非渊驰骋激雷</t>
  </si>
  <si>
    <t>龙驭渊驰骋夜征</t>
  </si>
  <si>
    <t>龙驭渊驰骋激雷</t>
  </si>
  <si>
    <t>时间轴</t>
    <phoneticPr fontId="13" type="noConversion"/>
  </si>
  <si>
    <t>技能</t>
    <phoneticPr fontId="13" type="noConversion"/>
  </si>
  <si>
    <t>任层数</t>
    <phoneticPr fontId="13" type="noConversion"/>
  </si>
  <si>
    <t>任CD</t>
    <phoneticPr fontId="13" type="noConversion"/>
  </si>
  <si>
    <t>渊CD</t>
    <phoneticPr fontId="13" type="noConversion"/>
  </si>
  <si>
    <t>雷CD</t>
    <phoneticPr fontId="13" type="noConversion"/>
  </si>
  <si>
    <t>马上</t>
    <phoneticPr fontId="13" type="noConversion"/>
  </si>
  <si>
    <t>突CD</t>
    <phoneticPr fontId="13" type="noConversion"/>
  </si>
  <si>
    <t>乘CD</t>
    <phoneticPr fontId="13" type="noConversion"/>
  </si>
  <si>
    <t>任驰骋时间</t>
    <phoneticPr fontId="13" type="noConversion"/>
  </si>
  <si>
    <t>任驰骋</t>
    <phoneticPr fontId="13" type="noConversion"/>
  </si>
  <si>
    <t>乘龙箭时间</t>
    <phoneticPr fontId="13" type="noConversion"/>
  </si>
  <si>
    <t>乘龙箭</t>
    <phoneticPr fontId="13" type="noConversion"/>
  </si>
  <si>
    <t>激雷时间</t>
    <phoneticPr fontId="13" type="noConversion"/>
  </si>
  <si>
    <t>激雷</t>
    <phoneticPr fontId="13" type="noConversion"/>
  </si>
  <si>
    <t>渊时间</t>
    <phoneticPr fontId="13" type="noConversion"/>
  </si>
  <si>
    <t>渊</t>
    <phoneticPr fontId="13" type="noConversion"/>
  </si>
  <si>
    <t>战斗时间</t>
    <phoneticPr fontId="13" type="noConversion"/>
  </si>
  <si>
    <t>3分钟</t>
    <phoneticPr fontId="13" type="noConversion"/>
  </si>
  <si>
    <t>5分钟</t>
    <phoneticPr fontId="13" type="noConversion"/>
  </si>
  <si>
    <t>10分钟</t>
    <phoneticPr fontId="13" type="noConversion"/>
  </si>
  <si>
    <t>GCD</t>
    <phoneticPr fontId="13" type="noConversion"/>
  </si>
  <si>
    <t>渊开关</t>
    <phoneticPr fontId="13" type="noConversion"/>
  </si>
  <si>
    <t>任</t>
    <phoneticPr fontId="13" type="noConversion"/>
  </si>
  <si>
    <t>乘龙箭开关</t>
    <phoneticPr fontId="13" type="noConversion"/>
  </si>
  <si>
    <t>乘</t>
    <phoneticPr fontId="13" type="noConversion"/>
  </si>
  <si>
    <t>龙驭开关</t>
    <phoneticPr fontId="13" type="noConversion"/>
  </si>
  <si>
    <t>驰骋开关</t>
    <phoneticPr fontId="13" type="noConversion"/>
  </si>
  <si>
    <t>雷</t>
    <phoneticPr fontId="13" type="noConversion"/>
  </si>
  <si>
    <t>夜征开关</t>
    <phoneticPr fontId="13" type="noConversion"/>
  </si>
  <si>
    <t>龙驭覆盖率</t>
    <phoneticPr fontId="13" type="noConversion"/>
  </si>
  <si>
    <t>任实际开关</t>
    <phoneticPr fontId="13" type="noConversion"/>
  </si>
  <si>
    <t>总</t>
    <phoneticPr fontId="13" type="noConversion"/>
  </si>
  <si>
    <t>循环组</t>
    <phoneticPr fontId="13" type="noConversion"/>
  </si>
  <si>
    <t>数量</t>
    <phoneticPr fontId="13" type="noConversion"/>
  </si>
  <si>
    <t>占比</t>
    <phoneticPr fontId="13" type="noConversion"/>
  </si>
  <si>
    <t>乘数量</t>
    <phoneticPr fontId="13" type="noConversion"/>
  </si>
  <si>
    <t>乘本身占比</t>
    <phoneticPr fontId="13" type="noConversion"/>
  </si>
  <si>
    <t>乘增益占比</t>
    <phoneticPr fontId="13" type="noConversion"/>
  </si>
  <si>
    <t>单任</t>
    <phoneticPr fontId="11" type="noConversion"/>
  </si>
  <si>
    <t>任+渊</t>
    <phoneticPr fontId="11" type="noConversion"/>
  </si>
  <si>
    <t>任+渊+雷</t>
    <phoneticPr fontId="11" type="noConversion"/>
  </si>
  <si>
    <t>乘龙箭</t>
    <phoneticPr fontId="11" type="noConversion"/>
  </si>
  <si>
    <t>战斗时间</t>
    <phoneticPr fontId="11" type="noConversion"/>
  </si>
  <si>
    <t>加速率</t>
    <phoneticPr fontId="11" type="noConversion"/>
  </si>
  <si>
    <t>他人乘龙箭</t>
    <phoneticPr fontId="11" type="noConversion"/>
  </si>
  <si>
    <t>战斗选项</t>
    <phoneticPr fontId="11" type="noConversion"/>
  </si>
  <si>
    <t>5人英雄</t>
    <phoneticPr fontId="11" type="noConversion"/>
  </si>
  <si>
    <t>10人普通</t>
    <phoneticPr fontId="11" type="noConversion"/>
  </si>
  <si>
    <t>25人普通</t>
    <phoneticPr fontId="11" type="noConversion"/>
  </si>
  <si>
    <t>25人英雄</t>
    <phoneticPr fontId="11" type="noConversion"/>
  </si>
  <si>
    <t>乘防御</t>
    <phoneticPr fontId="11" type="noConversion"/>
  </si>
  <si>
    <t>乘梅防御</t>
    <phoneticPr fontId="11" type="noConversion"/>
  </si>
  <si>
    <t>均值</t>
    <phoneticPr fontId="11" type="noConversion"/>
  </si>
  <si>
    <t>乘防御率</t>
    <phoneticPr fontId="11" type="noConversion"/>
  </si>
  <si>
    <t>乘梅防御率</t>
    <phoneticPr fontId="11" type="noConversion"/>
  </si>
  <si>
    <t>乘雷防御</t>
    <phoneticPr fontId="11" type="noConversion"/>
  </si>
  <si>
    <t>乘雷梅防御</t>
    <phoneticPr fontId="11" type="noConversion"/>
  </si>
  <si>
    <t>乘雷防御率</t>
    <phoneticPr fontId="11" type="noConversion"/>
  </si>
  <si>
    <t>乘雷梅防御率</t>
    <phoneticPr fontId="11" type="noConversion"/>
  </si>
  <si>
    <t>乘龙箭等效防御</t>
    <phoneticPr fontId="11" type="noConversion"/>
  </si>
  <si>
    <t>挫锐</t>
    <phoneticPr fontId="11" type="noConversion"/>
  </si>
  <si>
    <t>神勇</t>
    <phoneticPr fontId="11" type="noConversion"/>
  </si>
  <si>
    <t>任数量</t>
    <phoneticPr fontId="11" type="noConversion"/>
  </si>
  <si>
    <t>乘龙箭占比</t>
    <phoneticPr fontId="11" type="noConversion"/>
  </si>
  <si>
    <t>挫锐占比</t>
    <phoneticPr fontId="11" type="noConversion"/>
  </si>
  <si>
    <t>自动开雷</t>
    <phoneticPr fontId="11" type="noConversion"/>
  </si>
  <si>
    <t>挥金镝</t>
    <phoneticPr fontId="11" type="noConversion"/>
  </si>
  <si>
    <t>挥金镝数量</t>
    <phoneticPr fontId="11" type="noConversion"/>
  </si>
  <si>
    <t>飞鸣镝</t>
    <phoneticPr fontId="11" type="noConversion"/>
  </si>
  <si>
    <t>飞鸣镝·引爆</t>
    <phoneticPr fontId="11" type="noConversion"/>
  </si>
  <si>
    <t>挥数量</t>
    <phoneticPr fontId="11" type="noConversion"/>
  </si>
  <si>
    <t>挥增益占比</t>
    <phoneticPr fontId="11" type="noConversion"/>
  </si>
  <si>
    <t>引雷增益占比</t>
    <phoneticPr fontId="11" type="noConversion"/>
  </si>
  <si>
    <t>门派破招</t>
    <phoneticPr fontId="11" type="noConversion"/>
  </si>
  <si>
    <t>车悬阵循环</t>
    <phoneticPr fontId="11" type="noConversion"/>
  </si>
  <si>
    <t>车悬阵·龙牙</t>
    <phoneticPr fontId="11" type="noConversion"/>
  </si>
  <si>
    <t>车悬阵·收枪</t>
    <phoneticPr fontId="11" type="noConversion"/>
  </si>
  <si>
    <t>龙吟车悬阵处理</t>
    <phoneticPr fontId="11" type="noConversion"/>
  </si>
  <si>
    <t>灭车悬阵处理</t>
    <phoneticPr fontId="11" type="noConversion"/>
  </si>
  <si>
    <t>梅花</t>
    <phoneticPr fontId="11" type="noConversion"/>
  </si>
  <si>
    <t>流血车悬阵处理</t>
    <phoneticPr fontId="11" type="noConversion"/>
  </si>
  <si>
    <t>跑动循环无折锋</t>
    <phoneticPr fontId="11" type="noConversion"/>
  </si>
  <si>
    <t>循环单技能期望</t>
    <phoneticPr fontId="11" type="noConversion"/>
  </si>
  <si>
    <t>车悬阵</t>
    <phoneticPr fontId="11" type="noConversion"/>
  </si>
  <si>
    <t>马上循环</t>
    <phoneticPr fontId="11" type="noConversion"/>
  </si>
  <si>
    <t>车悬阵开关</t>
    <phoneticPr fontId="11" type="noConversion"/>
  </si>
  <si>
    <t>马下循环</t>
    <phoneticPr fontId="11" type="noConversion"/>
  </si>
  <si>
    <t>车总</t>
    <phoneticPr fontId="11" type="noConversion"/>
  </si>
  <si>
    <t>车单</t>
    <phoneticPr fontId="11" type="noConversion"/>
  </si>
  <si>
    <t>灭破楼兰车悬阵处理</t>
    <phoneticPr fontId="11" type="noConversion"/>
  </si>
  <si>
    <t>牧云保护</t>
    <phoneticPr fontId="11" type="noConversion"/>
  </si>
  <si>
    <t>牙璋</t>
    <phoneticPr fontId="11" type="noConversion"/>
  </si>
  <si>
    <t>龙血</t>
    <phoneticPr fontId="11" type="noConversion"/>
  </si>
  <si>
    <t>刀宗阵</t>
    <phoneticPr fontId="11" type="noConversion"/>
  </si>
  <si>
    <t>凌雪阵</t>
  </si>
  <si>
    <t>大漠</t>
  </si>
  <si>
    <t>124木桩</t>
  </si>
  <si>
    <t>崇月囊</t>
  </si>
  <si>
    <t>画楼囊</t>
  </si>
  <si>
    <t>临掣囊</t>
  </si>
  <si>
    <t>浅梦囊</t>
  </si>
  <si>
    <t>浅梦囊(8000招破)</t>
  </si>
  <si>
    <t>少雪囊</t>
  </si>
  <si>
    <t>分石囊</t>
  </si>
  <si>
    <t>临掣囊(8800会无)</t>
  </si>
  <si>
    <t>画楼囊(8800会无)</t>
  </si>
  <si>
    <t>无封囊</t>
  </si>
  <si>
    <t>无封囊(9100精简攻破)</t>
  </si>
  <si>
    <t>羡双囊</t>
  </si>
  <si>
    <t>重关囊</t>
  </si>
  <si>
    <t>曲郦囊</t>
  </si>
  <si>
    <t>项昌囊</t>
  </si>
  <si>
    <t>垣翰囊</t>
  </si>
  <si>
    <t>拭江囊</t>
  </si>
  <si>
    <t>忆敬囊</t>
  </si>
  <si>
    <t>无封囊(9400精简攻招破)</t>
  </si>
  <si>
    <t>无封囊(9400精简攻会招破)</t>
  </si>
  <si>
    <t>无封囊(9400精简攻会)</t>
  </si>
  <si>
    <t>女义囊</t>
  </si>
  <si>
    <t>女义囊(9600会招)</t>
  </si>
  <si>
    <t>无封囊(9700精简攻无)</t>
  </si>
  <si>
    <t>无封囊(9700精简攻会招)</t>
  </si>
  <si>
    <t>沉龙荡波·淘浪囊</t>
  </si>
  <si>
    <t>沉龙荡波·淘浪囊(10000会无)</t>
  </si>
  <si>
    <t>无封囊(10000精简攻破)</t>
  </si>
  <si>
    <t>玄卢囊</t>
  </si>
  <si>
    <t>玄卢囊(10150速招)</t>
  </si>
  <si>
    <t>闲月囊</t>
  </si>
  <si>
    <t>闲月囊(10150会无)</t>
  </si>
  <si>
    <t>无封囊(10300精简攻招破)</t>
  </si>
  <si>
    <t>无封囊(10300精简攻会招破)</t>
  </si>
  <si>
    <t>无封囊(10300精简攻会)</t>
  </si>
  <si>
    <t>无封囊(10600精简攻无)</t>
  </si>
  <si>
    <t>无封囊(10600精简攻会招)</t>
  </si>
  <si>
    <t>无封囊(10900精简攻破)</t>
  </si>
  <si>
    <t>旋山箭囊</t>
  </si>
  <si>
    <t>旋山箭囊(11150速招)</t>
  </si>
  <si>
    <t>湘灿囊</t>
  </si>
  <si>
    <t>湘灿囊(11150会招)</t>
  </si>
  <si>
    <t>烟梦囊</t>
  </si>
  <si>
    <t>烟梦囊(11150会无)</t>
  </si>
  <si>
    <t>崇月护手</t>
  </si>
  <si>
    <t>临英护手</t>
  </si>
  <si>
    <t>浅梦护手</t>
  </si>
  <si>
    <t>浅梦护手(8000招破)</t>
  </si>
  <si>
    <t>少雪袖</t>
  </si>
  <si>
    <t>分石护手</t>
  </si>
  <si>
    <t>临英护手(8800会招)</t>
  </si>
  <si>
    <t>无封护臂</t>
  </si>
  <si>
    <t>无封护臂(9100精简攻会破)</t>
  </si>
  <si>
    <t>无封护臂(9100精简攻会)</t>
  </si>
  <si>
    <t>垣翰袖</t>
  </si>
  <si>
    <t>曲郦护手</t>
  </si>
  <si>
    <t>重关袖</t>
  </si>
  <si>
    <t>羡双护手</t>
  </si>
  <si>
    <t>忆敬护手</t>
  </si>
  <si>
    <t>拭江袖</t>
  </si>
  <si>
    <t>项昌袖</t>
  </si>
  <si>
    <t>无封护臂(9400精简攻破)</t>
  </si>
  <si>
    <t>女义袖</t>
  </si>
  <si>
    <t>女义袖(9600会无)</t>
  </si>
  <si>
    <t>无封护臂(9700精简攻招破)</t>
  </si>
  <si>
    <t>无封护臂(9700精简攻无)</t>
  </si>
  <si>
    <t>寻踪觅宝·光熙袖</t>
  </si>
  <si>
    <t>寻踪觅宝·光熙袖(10000招破)</t>
  </si>
  <si>
    <t>【门派套装】展锋·望云护手</t>
  </si>
  <si>
    <t>【门派套装】展锋·望云护手(10000会招)</t>
  </si>
  <si>
    <t>无封护臂(10000精简攻会破)</t>
  </si>
  <si>
    <t>无封护臂(10000精简攻会)</t>
  </si>
  <si>
    <t>客行江湖·近楼护手</t>
  </si>
  <si>
    <t>客行江湖·近楼护手(10150招破)</t>
  </si>
  <si>
    <t>闲月护手</t>
  </si>
  <si>
    <t>闲月护手(10150破无)</t>
  </si>
  <si>
    <t>玄卢护手</t>
  </si>
  <si>
    <t>玄卢护手(10150会无)</t>
  </si>
  <si>
    <t>无封护臂(10300精简攻破)</t>
  </si>
  <si>
    <t>无封护臂(10600精简攻招破)</t>
  </si>
  <si>
    <t>无封护臂(10600精简攻无)</t>
  </si>
  <si>
    <t>无封护臂(10900精简攻会破)</t>
  </si>
  <si>
    <t>无封护臂(10900精简攻会)</t>
  </si>
  <si>
    <t>【门派套装】揽江·诛翳护手</t>
  </si>
  <si>
    <t>【门派套装】揽江·诛翳护手(11000会招)</t>
  </si>
  <si>
    <t>客行江湖·凶炽护手</t>
  </si>
  <si>
    <t>客行江湖·凶炽护手(11150招破)</t>
  </si>
  <si>
    <t>烟梦护手</t>
  </si>
  <si>
    <t>烟梦护手(11150破无)</t>
  </si>
  <si>
    <t>湘灿护手</t>
  </si>
  <si>
    <t>湘灿护手(11150会招)</t>
  </si>
  <si>
    <t>旋山护手</t>
  </si>
  <si>
    <t>旋山护手(11150会无)</t>
  </si>
  <si>
    <t>摇撼护腕</t>
  </si>
  <si>
    <t>摇撼护腕(11150精简体攻招无)</t>
  </si>
  <si>
    <t>云章护腕</t>
  </si>
  <si>
    <t>云章护腕(11150精简体攻招破)</t>
  </si>
  <si>
    <t>山扉护腕</t>
  </si>
  <si>
    <t>山扉护腕(11150精简体攻破无)</t>
  </si>
  <si>
    <t>克尽护腕</t>
  </si>
  <si>
    <t>克尽护腕(11150精简体攻会无)</t>
  </si>
  <si>
    <t>暮祁袖</t>
  </si>
  <si>
    <t>暮祁袖(11300招破)</t>
  </si>
  <si>
    <t>崇月戒</t>
  </si>
  <si>
    <t>画楼戒</t>
  </si>
  <si>
    <t>临尚戒</t>
  </si>
  <si>
    <t>少雪戒</t>
  </si>
  <si>
    <t>浅梦戒</t>
  </si>
  <si>
    <t>浅梦戒(8000会无)</t>
  </si>
  <si>
    <t>分石戒</t>
  </si>
  <si>
    <t>临尚戒(8800会无)</t>
  </si>
  <si>
    <t>画楼戒(8800会无)</t>
  </si>
  <si>
    <t>羡双戒</t>
  </si>
  <si>
    <t>重关戒</t>
  </si>
  <si>
    <t>拭江戒</t>
  </si>
  <si>
    <t>曲郦戒</t>
  </si>
  <si>
    <t>垣翰戒</t>
  </si>
  <si>
    <t>忆敬戒</t>
  </si>
  <si>
    <t>项昌戒</t>
  </si>
  <si>
    <t>女义戒</t>
  </si>
  <si>
    <t>女义戒(9600破无)</t>
  </si>
  <si>
    <t>玄卢戒指</t>
  </si>
  <si>
    <t>玄卢戒指(10150招破)</t>
  </si>
  <si>
    <t>客行江湖·近楼戒</t>
  </si>
  <si>
    <t>客行江湖·近楼戒(10150破无)</t>
  </si>
  <si>
    <t>闲月戒</t>
  </si>
  <si>
    <t>闲月戒(10150会无)</t>
  </si>
  <si>
    <t>旋山指环</t>
  </si>
  <si>
    <t>旋山指环(11150招破)</t>
  </si>
  <si>
    <t>客行江湖·凶炽戒</t>
  </si>
  <si>
    <t>客行江湖·凶炽戒(11150破无)</t>
  </si>
  <si>
    <t>湘灿戒</t>
  </si>
  <si>
    <t>湘灿戒(11150会招)</t>
  </si>
  <si>
    <t>烟梦戒</t>
  </si>
  <si>
    <t>烟梦戒(11150会无)</t>
  </si>
  <si>
    <t>休倚戒</t>
  </si>
  <si>
    <t>休倚戒(11150精简体攻招破)</t>
  </si>
  <si>
    <t>容与戒</t>
  </si>
  <si>
    <t>容与戒(11150精简体攻无)</t>
  </si>
  <si>
    <t>未解戒</t>
  </si>
  <si>
    <t>未解戒(11150精简体攻破无)</t>
  </si>
  <si>
    <t>御朽戒</t>
  </si>
  <si>
    <t>御朽戒(11150精简体攻会无)</t>
  </si>
  <si>
    <t>崇月裤</t>
  </si>
  <si>
    <t>浅梦裤</t>
  </si>
  <si>
    <t>浅梦裤(8000招无)</t>
  </si>
  <si>
    <t>少雪裤</t>
  </si>
  <si>
    <t>分石裤</t>
  </si>
  <si>
    <t>无封裤</t>
  </si>
  <si>
    <t>无封裤(9100精简攻招无)</t>
  </si>
  <si>
    <t>无封裤(9100精简攻破)</t>
  </si>
  <si>
    <t>无封裤(9100精简攻会破无)</t>
  </si>
  <si>
    <t>垣翰裤</t>
  </si>
  <si>
    <t>拭江裤</t>
  </si>
  <si>
    <t>重关裤</t>
  </si>
  <si>
    <t>曲郦裤</t>
  </si>
  <si>
    <t>羡双裤</t>
  </si>
  <si>
    <t>项昌裤</t>
  </si>
  <si>
    <t>忆敬裳</t>
  </si>
  <si>
    <t>无封裤(9400精简攻招破无)</t>
  </si>
  <si>
    <t>无封裤(9400精简攻无)</t>
  </si>
  <si>
    <t>无封裤(9400精简攻会无)</t>
  </si>
  <si>
    <t>女义裤</t>
  </si>
  <si>
    <t>女义裤(9600会无)</t>
  </si>
  <si>
    <t>无封裤(9700精简攻破无)</t>
  </si>
  <si>
    <t>无封裤(9700精简攻会招破)</t>
  </si>
  <si>
    <t>无封裤(9700精简攻会)</t>
  </si>
  <si>
    <t>无封裤(10000精简攻招无)</t>
  </si>
  <si>
    <t>无封裤(10000精简攻破)</t>
  </si>
  <si>
    <t>无封裤(10000精简攻会破无)</t>
  </si>
  <si>
    <t>闲月裤</t>
  </si>
  <si>
    <t>闲月裤(10150招破)</t>
  </si>
  <si>
    <t>玄卢下裳</t>
  </si>
  <si>
    <t>玄卢下裳(10150速无)</t>
  </si>
  <si>
    <t>客行江湖·近楼裤</t>
  </si>
  <si>
    <t>客行江湖·近楼裤(10150破无)</t>
  </si>
  <si>
    <t>无封裤(10300精简攻招破无)</t>
  </si>
  <si>
    <t>无封裤(10300精简攻无)</t>
  </si>
  <si>
    <t>无封裤(10300精简攻会无)</t>
  </si>
  <si>
    <t>无封裤(10600精简攻破无)</t>
  </si>
  <si>
    <t>无封裤(10600精简攻会招破)</t>
  </si>
  <si>
    <t>无封裤(10600精简攻会)</t>
  </si>
  <si>
    <t>无封裤(10900精简攻招无)</t>
  </si>
  <si>
    <t>无封裤(10900精简攻破)</t>
  </si>
  <si>
    <t>无封裤(10900精简攻会破无)</t>
  </si>
  <si>
    <t>烟梦裤</t>
  </si>
  <si>
    <t>烟梦裤(11150招破)</t>
  </si>
  <si>
    <t>旋山下裳</t>
  </si>
  <si>
    <t>旋山下裳(11150速无)</t>
  </si>
  <si>
    <t>客行江湖·凶炽下裳</t>
  </si>
  <si>
    <t>客行江湖·凶炽下裳(11150破无)</t>
  </si>
  <si>
    <t>熙雍裤</t>
  </si>
  <si>
    <t>熙雍裤(11150精简体攻招无)</t>
  </si>
  <si>
    <t>有隅裤</t>
  </si>
  <si>
    <t>有隅裤(11150精简体攻招破)</t>
  </si>
  <si>
    <t>鳞迹裤</t>
  </si>
  <si>
    <t>鳞迹裤(11150精简体攻破无)</t>
  </si>
  <si>
    <t>鼎钧裤</t>
  </si>
  <si>
    <t>鼎钧裤(11150精简体攻会无)</t>
  </si>
  <si>
    <t>暮祁裤</t>
  </si>
  <si>
    <t>暮祁裤(11300会无)</t>
  </si>
  <si>
    <t>崇月帽</t>
  </si>
  <si>
    <t>临雾帽</t>
  </si>
  <si>
    <t>少雪巾</t>
  </si>
  <si>
    <t>浅梦帽</t>
  </si>
  <si>
    <t>浅梦帽(8000会招)</t>
  </si>
  <si>
    <t>分石帽</t>
  </si>
  <si>
    <t>临雾帽(8800破无)</t>
  </si>
  <si>
    <t>无封头饰</t>
  </si>
  <si>
    <t>无封头饰(9100精简攻无)</t>
  </si>
  <si>
    <t>无封头饰(9100精简攻会招破)</t>
  </si>
  <si>
    <t>无封头饰(9100精简攻会无)</t>
  </si>
  <si>
    <t>忆敬冠</t>
  </si>
  <si>
    <t>曲郦冠</t>
  </si>
  <si>
    <t>垣翰帽</t>
  </si>
  <si>
    <t>拭江冠</t>
  </si>
  <si>
    <t>重关帽</t>
  </si>
  <si>
    <t>项昌冠</t>
  </si>
  <si>
    <t>羡双冠</t>
  </si>
  <si>
    <t>无封头饰(9400精简攻会招)</t>
  </si>
  <si>
    <t>无封头饰(9400精简攻会破无)</t>
  </si>
  <si>
    <t>无封头饰(9400精简攻会)</t>
  </si>
  <si>
    <t>女义帽</t>
  </si>
  <si>
    <t>女义帽(9600招破)</t>
  </si>
  <si>
    <t>无封头饰(9700精简攻破)</t>
  </si>
  <si>
    <t>无封头饰(9700精简攻会招无)</t>
  </si>
  <si>
    <t>【门派套装】展锋·望云战盔</t>
  </si>
  <si>
    <t>【门派套装】展锋·望云战盔(10000招破)</t>
  </si>
  <si>
    <t>寻踪觅宝·光熙帽</t>
  </si>
  <si>
    <t>寻踪觅宝·光熙帽(10000会无)</t>
  </si>
  <si>
    <t>无封头饰(10000精简攻无)</t>
  </si>
  <si>
    <t>无封头饰(10000精简攻会招破)</t>
  </si>
  <si>
    <t>无封头饰(10000精简攻会无)</t>
  </si>
  <si>
    <t>闲月帽</t>
  </si>
  <si>
    <t>闲月帽(10150速招)</t>
  </si>
  <si>
    <t>客行江湖·近楼冠</t>
  </si>
  <si>
    <t>客行江湖·近楼冠(10150会招)</t>
  </si>
  <si>
    <t>玄卢冠</t>
  </si>
  <si>
    <t>玄卢冠(10150会无)</t>
  </si>
  <si>
    <t>无封头饰(10300精简攻会招)</t>
  </si>
  <si>
    <t>无封头饰(10300精简攻会破无)</t>
  </si>
  <si>
    <t>无封头饰(10300精简攻会)</t>
  </si>
  <si>
    <t>无封头饰(10600精简攻破)</t>
  </si>
  <si>
    <t>无封头饰(10600精简攻会招无)</t>
  </si>
  <si>
    <t>无封头饰(10900精简攻无)</t>
  </si>
  <si>
    <t>无封头饰(10900精简攻会招破)</t>
  </si>
  <si>
    <t>无封头饰(10900精简攻会无)</t>
  </si>
  <si>
    <t>【门派套装】揽江·诛翳战盔</t>
  </si>
  <si>
    <t>【门派套装】揽江·诛翳战盔(11000招破)</t>
  </si>
  <si>
    <t>烟梦帽</t>
  </si>
  <si>
    <t>烟梦帽(11150速招)</t>
  </si>
  <si>
    <t>湘灿冠</t>
  </si>
  <si>
    <t>湘灿冠(11150会招)</t>
  </si>
  <si>
    <t>客行江湖·凶炽冠</t>
  </si>
  <si>
    <t>客行江湖·凶炽冠(11150会招)</t>
  </si>
  <si>
    <t>旋山冠</t>
  </si>
  <si>
    <t>旋山冠(11150会无)</t>
  </si>
  <si>
    <t>暮祁冠</t>
  </si>
  <si>
    <t>暮祁冠(11300会招)</t>
  </si>
  <si>
    <t>崇月衣</t>
  </si>
  <si>
    <t>少雪衫</t>
  </si>
  <si>
    <t>浅梦衣</t>
  </si>
  <si>
    <t>浅梦衣(8000速招)</t>
  </si>
  <si>
    <t>分石衣</t>
  </si>
  <si>
    <t>项昌衣</t>
  </si>
  <si>
    <t>垣翰衫</t>
  </si>
  <si>
    <t>忆敬衫</t>
  </si>
  <si>
    <t>羡双衣</t>
  </si>
  <si>
    <t>重关衫</t>
  </si>
  <si>
    <t>曲郦衣</t>
  </si>
  <si>
    <t>拭江衣</t>
  </si>
  <si>
    <t>女义衫</t>
  </si>
  <si>
    <t>女义衫(9600招无)</t>
  </si>
  <si>
    <t>寻踪觅宝·光熙衣</t>
  </si>
  <si>
    <t>寻踪觅宝·光熙衣(10000速招)</t>
  </si>
  <si>
    <t>【门派套装】展锋·望云战甲</t>
  </si>
  <si>
    <t>【门派套装】展锋·望云战甲(10000会无)</t>
  </si>
  <si>
    <t>玄卢衫</t>
  </si>
  <si>
    <t>玄卢衫(10150招破)</t>
  </si>
  <si>
    <t>闲月衣</t>
  </si>
  <si>
    <t>闲月衣(10150会招)</t>
  </si>
  <si>
    <t>【门派套装】揽江·诛翳战甲</t>
  </si>
  <si>
    <t>【门派套装】揽江·诛翳战甲(11000会无)</t>
  </si>
  <si>
    <t>旋山衫</t>
  </si>
  <si>
    <t>旋山衫(11150招破)</t>
  </si>
  <si>
    <t>烟梦衣</t>
  </si>
  <si>
    <t>烟梦衣(11150会招)</t>
  </si>
  <si>
    <t>暮祁衣</t>
  </si>
  <si>
    <t>暮祁衣(11300破无)</t>
  </si>
  <si>
    <t>崇月链</t>
  </si>
  <si>
    <t>画楼链</t>
  </si>
  <si>
    <t>临邦链</t>
  </si>
  <si>
    <t>少雪链</t>
  </si>
  <si>
    <t>浅梦链</t>
  </si>
  <si>
    <t>浅梦链(8000会无)</t>
  </si>
  <si>
    <t>分石链</t>
  </si>
  <si>
    <t>临邦链(8800招破)</t>
  </si>
  <si>
    <t>画楼链(8800会无)</t>
  </si>
  <si>
    <t>无封项链</t>
  </si>
  <si>
    <t>无封项链(9100精简攻招破无)</t>
  </si>
  <si>
    <t>无封项链(9100精简攻破)</t>
  </si>
  <si>
    <t>无封项链(9100精简攻会招)</t>
  </si>
  <si>
    <t>重关链</t>
  </si>
  <si>
    <t>曲郦链</t>
  </si>
  <si>
    <t>羡双链</t>
  </si>
  <si>
    <t>忆敬链</t>
  </si>
  <si>
    <t>垣翰链</t>
  </si>
  <si>
    <t>拭江链</t>
  </si>
  <si>
    <t>项昌链</t>
  </si>
  <si>
    <t>无封项链(9400精简攻无)</t>
  </si>
  <si>
    <t>无封项链(9400精简攻破无)</t>
  </si>
  <si>
    <t>无封项链(9400精简攻会招无)</t>
  </si>
  <si>
    <t>元雾链</t>
  </si>
  <si>
    <t>元雾链(9500招破)</t>
  </si>
  <si>
    <t>女义链</t>
  </si>
  <si>
    <t>女义链(9600破无)</t>
  </si>
  <si>
    <t>无封项链(9700精简攻招无)</t>
  </si>
  <si>
    <t>无封项链(9700精简攻会)</t>
  </si>
  <si>
    <t>无封项链(10000精简攻招破无)</t>
  </si>
  <si>
    <t>无封项链(10000精简攻破)</t>
  </si>
  <si>
    <t>无封项链(10000精简攻会招)</t>
  </si>
  <si>
    <t>元雾链(10100招破)</t>
  </si>
  <si>
    <t>玄卢链</t>
  </si>
  <si>
    <t>玄卢链(10150破无)</t>
  </si>
  <si>
    <t>闲月项饰</t>
  </si>
  <si>
    <t>闲月项饰(10150会无)</t>
  </si>
  <si>
    <t>无封项链(10300精简攻无)</t>
  </si>
  <si>
    <t>无封项链(10300精简攻破无)</t>
  </si>
  <si>
    <t>无封项链(10300精简攻会招无)</t>
  </si>
  <si>
    <t>无封项链(10600精简攻招无)</t>
  </si>
  <si>
    <t>无封项链(10600精简攻会)</t>
  </si>
  <si>
    <t>元雾链(10700招破)</t>
  </si>
  <si>
    <t>无封项链(10900精简攻招破无)</t>
  </si>
  <si>
    <t>无封项链(10900精简攻破)</t>
  </si>
  <si>
    <t>无封项链(10900精简攻会招)</t>
  </si>
  <si>
    <t>旋山链</t>
  </si>
  <si>
    <t>旋山链(11150破无)</t>
  </si>
  <si>
    <t>湘灿链</t>
  </si>
  <si>
    <t>湘灿链(11150会招)</t>
  </si>
  <si>
    <t>烟梦项饰</t>
  </si>
  <si>
    <t>烟梦项饰(11150会无)</t>
  </si>
  <si>
    <t>元雾链(11300招破)</t>
  </si>
  <si>
    <t>崇月鞋</t>
  </si>
  <si>
    <t>临晨鞋</t>
  </si>
  <si>
    <t>少雪靴</t>
  </si>
  <si>
    <t>浅梦鞋</t>
  </si>
  <si>
    <t>浅梦鞋(8000会无)</t>
  </si>
  <si>
    <t>分石鞋</t>
  </si>
  <si>
    <t>临晨鞋(8800会招)</t>
  </si>
  <si>
    <t>无封鞋</t>
  </si>
  <si>
    <t>无封鞋(9100精简攻无)</t>
  </si>
  <si>
    <t>无封鞋(9100精简攻破无)</t>
  </si>
  <si>
    <t>无封鞋(9100精简攻会招无)</t>
  </si>
  <si>
    <t>垣翰靴</t>
  </si>
  <si>
    <t>项昌靴</t>
  </si>
  <si>
    <t>曲郦靴</t>
  </si>
  <si>
    <t>重关履</t>
  </si>
  <si>
    <t>拭江靴</t>
  </si>
  <si>
    <t>忆敬履</t>
  </si>
  <si>
    <t>羡双靴</t>
  </si>
  <si>
    <t>无封鞋(9400精简攻招无)</t>
  </si>
  <si>
    <t>无封鞋(9400精简攻破)</t>
  </si>
  <si>
    <t>女义靴</t>
  </si>
  <si>
    <t>女义靴(9600破无)</t>
  </si>
  <si>
    <t>无封鞋(9700精简攻招破无)</t>
  </si>
  <si>
    <t>无封鞋(9700精简攻会破)</t>
  </si>
  <si>
    <t>无封鞋(9700精简攻会)</t>
  </si>
  <si>
    <t>【门派套装】展锋·望云履</t>
  </si>
  <si>
    <t>【门派套装】展锋·望云履(10000破无)</t>
  </si>
  <si>
    <t>寻踪觅宝·光熙靴</t>
  </si>
  <si>
    <t>寻踪觅宝·光熙靴(10000会无)</t>
  </si>
  <si>
    <t>无封鞋(10000精简攻无)</t>
  </si>
  <si>
    <t>无封鞋(10000精简攻破无)</t>
  </si>
  <si>
    <t>无封鞋(10000精简攻会招无)</t>
  </si>
  <si>
    <t>玄卢靴</t>
  </si>
  <si>
    <t>玄卢靴(10150速招)</t>
  </si>
  <si>
    <t>闲月靴</t>
  </si>
  <si>
    <t>闲月靴(10150会无)</t>
  </si>
  <si>
    <t>无封鞋(10300精简攻招无)</t>
  </si>
  <si>
    <t>无封鞋(10300精简攻破)</t>
  </si>
  <si>
    <t>无封鞋(10600精简攻招破无)</t>
  </si>
  <si>
    <t>无封鞋(10600精简攻会破)</t>
  </si>
  <si>
    <t>无封鞋(10600精简攻会)</t>
  </si>
  <si>
    <t>无封鞋(10900精简攻无)</t>
  </si>
  <si>
    <t>无封鞋(10900精简攻破无)</t>
  </si>
  <si>
    <t>无封鞋(10900精简攻会招无)</t>
  </si>
  <si>
    <t>【门派套装】揽江·诛翳靴</t>
  </si>
  <si>
    <t>【门派套装】揽江·诛翳靴(11000破无)</t>
  </si>
  <si>
    <t>旋山靴</t>
  </si>
  <si>
    <t>旋山靴(11150速招)</t>
  </si>
  <si>
    <t>湘灿靴</t>
  </si>
  <si>
    <t>湘灿靴(11150会招)</t>
  </si>
  <si>
    <t>烟梦靴</t>
  </si>
  <si>
    <t>烟梦靴(11150会无)</t>
  </si>
  <si>
    <t>暮祁靴</t>
  </si>
  <si>
    <t>暮祁靴(11300招破)</t>
  </si>
  <si>
    <t>崇月腰带</t>
  </si>
  <si>
    <t>临岳腰带</t>
  </si>
  <si>
    <t>浅梦腰带</t>
  </si>
  <si>
    <t>浅梦腰带(8000速无)</t>
  </si>
  <si>
    <t>少雪护腰</t>
  </si>
  <si>
    <t>分石带</t>
  </si>
  <si>
    <t>临岳腰带(8800破无)</t>
  </si>
  <si>
    <t>重关带</t>
  </si>
  <si>
    <t>曲郦腰带</t>
  </si>
  <si>
    <t>拭江腰带</t>
  </si>
  <si>
    <t>忆敬带</t>
  </si>
  <si>
    <t>垣翰带</t>
  </si>
  <si>
    <t>项昌腰带</t>
  </si>
  <si>
    <t>羡双腰带</t>
  </si>
  <si>
    <t>寻踪觅宝·光熙腰带</t>
  </si>
  <si>
    <t>寻踪觅宝·光熙腰带(10000速招)</t>
  </si>
  <si>
    <t>【门派套装】展锋·望云腰带</t>
  </si>
  <si>
    <t>【门派套装】展锋·望云腰带(10000会无)</t>
  </si>
  <si>
    <t>闲月腰带</t>
  </si>
  <si>
    <t>闲月腰带(10150速招)</t>
  </si>
  <si>
    <t>玄卢带</t>
  </si>
  <si>
    <t>玄卢带(10150破无)</t>
  </si>
  <si>
    <t>【门派套装】揽江·诛翳护腰</t>
  </si>
  <si>
    <t>【门派套装】揽江·诛翳护腰(11000会无)</t>
  </si>
  <si>
    <t>烟梦腰带</t>
  </si>
  <si>
    <t>烟梦腰带(11150速招)</t>
  </si>
  <si>
    <t>旋山带</t>
  </si>
  <si>
    <t>旋山带(11150破无)</t>
  </si>
  <si>
    <t>湘灿腰带</t>
  </si>
  <si>
    <t>湘灿腰带(11150会招)</t>
  </si>
  <si>
    <t>嘉鱼腰带</t>
  </si>
  <si>
    <t>嘉鱼腰带(11150精简体攻招破)</t>
  </si>
  <si>
    <t>平陵腰带</t>
  </si>
  <si>
    <t>平陵腰带(11150精简体攻无)</t>
  </si>
  <si>
    <t>感素腰带</t>
  </si>
  <si>
    <t>感素腰带(11150精简体攻破无)</t>
  </si>
  <si>
    <t>澜涛腰带</t>
  </si>
  <si>
    <t>澜涛腰带(11150精简体攻会无)</t>
  </si>
  <si>
    <t>暮祁腰带</t>
  </si>
  <si>
    <t>暮祁腰带(11300会招)</t>
  </si>
  <si>
    <t>崇月坠</t>
  </si>
  <si>
    <t>画楼坠</t>
  </si>
  <si>
    <t>临梧坠</t>
  </si>
  <si>
    <t>浅梦坠</t>
  </si>
  <si>
    <t>浅梦坠(8000招无)</t>
  </si>
  <si>
    <t>少雪坠</t>
  </si>
  <si>
    <t>分石坠</t>
  </si>
  <si>
    <t>临梧坠(8800会招)</t>
  </si>
  <si>
    <t>画楼坠(8800会无)</t>
  </si>
  <si>
    <t>无封腰坠</t>
  </si>
  <si>
    <t>无封腰坠(9100精简攻招破)</t>
  </si>
  <si>
    <t>无封腰坠(9100精简攻无)</t>
  </si>
  <si>
    <t>重关佩</t>
  </si>
  <si>
    <t>垣翰佩</t>
  </si>
  <si>
    <t>羡双坠</t>
  </si>
  <si>
    <t>项昌坠</t>
  </si>
  <si>
    <t>曲郦坠</t>
  </si>
  <si>
    <t>忆敬坠</t>
  </si>
  <si>
    <t>拭江坠</t>
  </si>
  <si>
    <t>无封腰坠(9400精简攻会破)</t>
  </si>
  <si>
    <t>无封腰坠(9400精简攻会)</t>
  </si>
  <si>
    <t>元雾坠</t>
  </si>
  <si>
    <t>元雾坠(9500会无)</t>
  </si>
  <si>
    <t>无封腰坠(9700精简攻破)</t>
  </si>
  <si>
    <t>无封腰坠(9700精简攻会无)</t>
  </si>
  <si>
    <t>无封腰坠(9700精简攻会破无)</t>
  </si>
  <si>
    <t>无封腰坠(10000精简攻招破)</t>
  </si>
  <si>
    <t>无封腰坠(10000精简攻无)</t>
  </si>
  <si>
    <t>元雾坠(10100会无)</t>
  </si>
  <si>
    <t>玄卢坠</t>
  </si>
  <si>
    <t>玄卢坠(10150招破)</t>
  </si>
  <si>
    <t>闲月坠</t>
  </si>
  <si>
    <t>闲月坠(10150会招)</t>
  </si>
  <si>
    <t>无封腰坠(10300精简攻会破)</t>
  </si>
  <si>
    <t>无封腰坠(10300精简攻会)</t>
  </si>
  <si>
    <t>无封腰坠(10600精简攻破)</t>
  </si>
  <si>
    <t>无封腰坠(10600精简攻会无)</t>
  </si>
  <si>
    <t>无封腰坠(10600精简攻会破无)</t>
  </si>
  <si>
    <t>元雾坠(10700会无)</t>
  </si>
  <si>
    <t>无封腰坠(10900精简攻招破)</t>
  </si>
  <si>
    <t>无封腰坠(10900精简攻无)</t>
  </si>
  <si>
    <t>旋山坠</t>
  </si>
  <si>
    <t>旋山坠(11150招破)</t>
  </si>
  <si>
    <t>湘灿坠</t>
  </si>
  <si>
    <t>湘灿坠(11150会招)</t>
  </si>
  <si>
    <t>烟梦坠</t>
  </si>
  <si>
    <t>烟梦坠(11150会招)</t>
  </si>
  <si>
    <t>风落秋</t>
  </si>
  <si>
    <t>风落秋(11150特效破无)</t>
  </si>
  <si>
    <t>元雾坠(11300会无)</t>
  </si>
  <si>
    <t>洛山枪</t>
  </si>
  <si>
    <t>顾望枪</t>
  </si>
  <si>
    <t>旷野孤疆</t>
  </si>
  <si>
    <t>旷野孤疆(7600大橙武)</t>
  </si>
  <si>
    <t>旷野孤疆(8000大橙武)</t>
  </si>
  <si>
    <t>大解脱</t>
  </si>
  <si>
    <t>大解脱(8000招破)</t>
  </si>
  <si>
    <t>安魂</t>
  </si>
  <si>
    <t>旷野孤疆(8400大橙武)</t>
  </si>
  <si>
    <t>犹共水</t>
  </si>
  <si>
    <t>洛山枪(8800招破)</t>
  </si>
  <si>
    <t>红缨枪·外·断浪</t>
  </si>
  <si>
    <t>旷野孤疆(8850大橙武)</t>
  </si>
  <si>
    <t>旷野孤疆(9300大橙武)</t>
  </si>
  <si>
    <t>乔凌枪</t>
  </si>
  <si>
    <t>念河山</t>
  </si>
  <si>
    <t>麟月枪</t>
  </si>
  <si>
    <t>新收烽火</t>
  </si>
  <si>
    <t>断北枪</t>
  </si>
  <si>
    <t>麟阁</t>
  </si>
  <si>
    <t>应雷枪</t>
  </si>
  <si>
    <t>寻踪觅宝·凌遥枪</t>
  </si>
  <si>
    <t>瀚女枪</t>
  </si>
  <si>
    <t>瀚女枪(9600会无)</t>
  </si>
  <si>
    <t>沉龙荡波·催沙</t>
  </si>
  <si>
    <t>沉龙荡波·催沙(10000破无)</t>
  </si>
  <si>
    <t>寻踪觅宝·凌遥枪(10000会招)</t>
  </si>
  <si>
    <t>渺野</t>
  </si>
  <si>
    <t>渺野(10150会无)</t>
  </si>
  <si>
    <t>破弦</t>
  </si>
  <si>
    <t>破弦(11150招破)</t>
  </si>
  <si>
    <t>度旌节</t>
  </si>
  <si>
    <t>度旌节(11150会无)</t>
  </si>
  <si>
    <t>照故陲</t>
  </si>
  <si>
    <t>照故陲(11150特效破无)</t>
  </si>
  <si>
    <t>争衡</t>
  </si>
  <si>
    <t>争衡(11300会招)</t>
  </si>
  <si>
    <t>紫色</t>
    <phoneticPr fontId="13" type="noConversion"/>
  </si>
  <si>
    <t>次等紫色</t>
    <phoneticPr fontId="13" type="noConversion"/>
  </si>
  <si>
    <t>蓝色</t>
    <phoneticPr fontId="13" type="noConversion"/>
  </si>
  <si>
    <t>攻击</t>
    <phoneticPr fontId="13" type="noConversion"/>
  </si>
  <si>
    <t>通用</t>
    <phoneticPr fontId="13" type="noConversion"/>
  </si>
  <si>
    <t>体质</t>
    <phoneticPr fontId="13" type="noConversion"/>
  </si>
  <si>
    <t>气血</t>
    <phoneticPr fontId="13" type="noConversion"/>
  </si>
  <si>
    <t>武伤</t>
    <phoneticPr fontId="13" type="noConversion"/>
  </si>
  <si>
    <t>无双</t>
    <phoneticPr fontId="13" type="noConversion"/>
  </si>
  <si>
    <t>破招</t>
    <phoneticPr fontId="13" type="noConversion"/>
  </si>
  <si>
    <t>破防</t>
    <phoneticPr fontId="13" type="noConversion"/>
  </si>
  <si>
    <t>体服老破招</t>
    <phoneticPr fontId="13" type="noConversion"/>
  </si>
  <si>
    <t>体服老破防</t>
    <phoneticPr fontId="13" type="noConversion"/>
  </si>
  <si>
    <t>无虞·撼地链</t>
  </si>
  <si>
    <t>寻踪觅宝·天镜枪</t>
  </si>
  <si>
    <t>寻踪觅宝·天镜枪(9600会招)</t>
  </si>
  <si>
    <t>断浪·三鲜粥(紫力)</t>
  </si>
  <si>
    <t>断浪·三鲜汤(蓝力)</t>
  </si>
  <si>
    <t>断浪·上品大力丸(紫力)</t>
  </si>
  <si>
    <t>断浪·中品大力丸(蓝力)</t>
  </si>
  <si>
    <t>断浪·红烧排骨(紫破)</t>
  </si>
  <si>
    <t>断浪·太后饼(紫攻)</t>
  </si>
  <si>
    <t>断浪·酸菜鱼(紫会)</t>
  </si>
  <si>
    <t>断浪·白血肉肠(紫破招)</t>
  </si>
  <si>
    <t>断浪·水煮肉片(蓝破)</t>
  </si>
  <si>
    <t>断浪·煎饼果子(蓝攻)</t>
  </si>
  <si>
    <t>断浪·鱼香肉丝(蓝会)</t>
  </si>
  <si>
    <t>断浪·毛血旺(蓝破招)</t>
  </si>
  <si>
    <t>断浪·上品破秽散(紫破)</t>
  </si>
  <si>
    <t>断浪·上品亢龙散(紫攻)</t>
  </si>
  <si>
    <t>断浪·上品玉璃散(紫会)</t>
  </si>
  <si>
    <t>断浪·上品凝神散(紫破招)</t>
  </si>
  <si>
    <t>断浪·中品破秽散(蓝破)</t>
  </si>
  <si>
    <t>断浪·中品亢龙散(蓝攻)</t>
  </si>
  <si>
    <t>断浪·中品玉璃散(蓝会)</t>
  </si>
  <si>
    <t>断浪·中品凝神散(蓝破招)</t>
  </si>
  <si>
    <t>断浪·瀑沙熔锭(紫攻)</t>
  </si>
  <si>
    <t>断浪·瀑沙磨石(蓝攻)</t>
  </si>
  <si>
    <t>断浪·水晶芙蓉宴</t>
  </si>
  <si>
    <t>断浪·玉笛谁家听落梅</t>
  </si>
  <si>
    <t>仙王蛊鼎</t>
    <phoneticPr fontId="11" type="noConversion"/>
  </si>
  <si>
    <t>鼎</t>
    <phoneticPr fontId="11" type="noConversion"/>
  </si>
  <si>
    <t>2暮祁</t>
    <phoneticPr fontId="11" type="noConversion"/>
  </si>
  <si>
    <t>4暮祁</t>
    <phoneticPr fontId="11" type="noConversion"/>
  </si>
  <si>
    <t>无虞·撼地坠</t>
  </si>
  <si>
    <t>一斩锋芒·崇光</t>
  </si>
  <si>
    <t>一斩锋芒·崇光(9300招破)</t>
  </si>
  <si>
    <t>天堑奇琨</t>
    <phoneticPr fontId="11" type="noConversion"/>
  </si>
  <si>
    <t>天堑奇珂</t>
    <phoneticPr fontId="11" type="noConversion"/>
  </si>
  <si>
    <t>雷无视</t>
    <phoneticPr fontId="11" type="noConversion"/>
  </si>
  <si>
    <t>5分钟</t>
  </si>
  <si>
    <t>计数器</t>
    <phoneticPr fontId="11" type="noConversion"/>
  </si>
  <si>
    <t>昆吾·弦刃</t>
  </si>
  <si>
    <t>昆吾·弦刃处理</t>
  </si>
  <si>
    <t>鞋附魔处理</t>
    <phoneticPr fontId="11" type="noConversion"/>
  </si>
  <si>
    <t>荒陌囊</t>
  </si>
  <si>
    <t>荒陌囊(9600招破)</t>
  </si>
  <si>
    <t>落琼霄·泽</t>
  </si>
  <si>
    <t>暂清明·怒</t>
  </si>
  <si>
    <t>暂清明·怒(9600会无)</t>
  </si>
  <si>
    <t>侠义值</t>
  </si>
  <si>
    <t>力道</t>
    <phoneticPr fontId="13" type="noConversion"/>
  </si>
  <si>
    <t>护腕</t>
    <phoneticPr fontId="11" type="noConversion"/>
  </si>
  <si>
    <t>下装</t>
    <phoneticPr fontId="11" type="noConversion"/>
  </si>
  <si>
    <t>画楼袖</t>
  </si>
  <si>
    <t>画楼袖(8800招破)</t>
  </si>
  <si>
    <t>寻踪觅宝·遮澜袖</t>
  </si>
  <si>
    <t>寻踪觅宝·遮澜袖(9600招破)</t>
  </si>
  <si>
    <t>沉龙荡波·淘浪护手</t>
  </si>
  <si>
    <t>沉龙荡波·淘浪护手(10000会招)</t>
  </si>
  <si>
    <t>画楼裳</t>
  </si>
  <si>
    <t>画楼裳(8800会无)</t>
  </si>
  <si>
    <t>沉龙荡波·淘浪裤</t>
  </si>
  <si>
    <t>沉龙荡波·淘浪裤(10000招破)</t>
  </si>
  <si>
    <t>画楼冠</t>
  </si>
  <si>
    <t>画楼冠(8800会招)</t>
  </si>
  <si>
    <t>寻踪觅宝·遮澜帽</t>
  </si>
  <si>
    <t>寻踪觅宝·遮澜帽(9600会无)</t>
  </si>
  <si>
    <t>沉龙荡波·淘浪冠</t>
  </si>
  <si>
    <t>沉龙荡波·淘浪冠(10000会无)</t>
  </si>
  <si>
    <t>画楼衫</t>
  </si>
  <si>
    <t>画楼衫(8800会招)</t>
  </si>
  <si>
    <t>寻踪觅宝·遮澜衣</t>
  </si>
  <si>
    <t>寻踪觅宝·遮澜衣(9600速招)</t>
  </si>
  <si>
    <t>沉龙荡波·淘浪衣</t>
  </si>
  <si>
    <t>沉龙荡波·淘浪衣(10000招破)</t>
  </si>
  <si>
    <t>画楼鞋</t>
  </si>
  <si>
    <t>画楼鞋(8800会无)</t>
  </si>
  <si>
    <t>寻踪觅宝·遮澜靴</t>
  </si>
  <si>
    <t>寻踪觅宝·遮澜靴(9600会无)</t>
  </si>
  <si>
    <t>沉龙荡波·淘浪靴</t>
  </si>
  <si>
    <t>沉龙荡波·淘浪靴(10000会无)</t>
  </si>
  <si>
    <t>画楼带</t>
  </si>
  <si>
    <t>画楼带(8800招破)</t>
  </si>
  <si>
    <t>寻踪觅宝·遮澜腰带</t>
  </si>
  <si>
    <t>寻踪觅宝·遮澜腰带(9600速招)</t>
  </si>
  <si>
    <t>沉龙荡波·淘浪腰带</t>
  </si>
  <si>
    <t>沉龙荡波·淘浪腰带(10000招破)</t>
  </si>
  <si>
    <t>断浪·中品活气散(蓝速)</t>
    <phoneticPr fontId="11" type="noConversion"/>
  </si>
  <si>
    <t>断浪·上品活气散(紫速)</t>
    <phoneticPr fontId="11" type="noConversion"/>
  </si>
  <si>
    <t>断浪·红烧扣肉(紫速)</t>
    <phoneticPr fontId="11" type="noConversion"/>
  </si>
  <si>
    <t>断浪·栗子烧肉(蓝速)</t>
    <phoneticPr fontId="11" type="noConversion"/>
  </si>
  <si>
    <t>凌雪阵已废弃</t>
    <phoneticPr fontId="13" type="noConversion"/>
  </si>
  <si>
    <t>灭额外伤害</t>
    <phoneticPr fontId="11" type="noConversion"/>
  </si>
  <si>
    <t>额外灭</t>
    <phoneticPr fontId="11" type="noConversion"/>
  </si>
  <si>
    <t>龙驭自身伤害</t>
    <phoneticPr fontId="11" type="noConversion"/>
  </si>
  <si>
    <t>灭自身伤害</t>
    <phoneticPr fontId="11" type="noConversion"/>
  </si>
  <si>
    <t>气血消耗</t>
    <phoneticPr fontId="11" type="noConversion"/>
  </si>
  <si>
    <t>天堑奇琨·伤·腰</t>
  </si>
  <si>
    <t>完美开雷</t>
  </si>
  <si>
    <t>数据合格验证</t>
    <phoneticPr fontId="13" type="noConversion"/>
  </si>
  <si>
    <t>计算器词条</t>
    <phoneticPr fontId="13" type="noConversion"/>
  </si>
  <si>
    <t>导出词条</t>
    <phoneticPr fontId="13" type="noConversion"/>
  </si>
  <si>
    <t>导出数据</t>
    <phoneticPr fontId="13" type="noConversion"/>
  </si>
  <si>
    <t>转换数据</t>
    <phoneticPr fontId="13" type="noConversion"/>
  </si>
  <si>
    <t>自定义数据</t>
    <phoneticPr fontId="13" type="noConversion"/>
  </si>
  <si>
    <t>最终值</t>
    <phoneticPr fontId="13" type="noConversion"/>
  </si>
  <si>
    <t>套装效果</t>
    <phoneticPr fontId="13" type="noConversion"/>
  </si>
  <si>
    <t>词条</t>
    <phoneticPr fontId="13" type="noConversion"/>
  </si>
  <si>
    <t>是否存在</t>
    <phoneticPr fontId="13" type="noConversion"/>
  </si>
  <si>
    <t>风特效</t>
    <phoneticPr fontId="13" type="noConversion"/>
  </si>
  <si>
    <t>轻剑水特效</t>
    <phoneticPr fontId="13" type="noConversion"/>
  </si>
  <si>
    <t>"Vitality":</t>
    <phoneticPr fontId="13" type="noConversion"/>
  </si>
  <si>
    <t>身法</t>
    <phoneticPr fontId="13" type="noConversion"/>
  </si>
  <si>
    <t>"Agility":</t>
    <phoneticPr fontId="13" type="noConversion"/>
  </si>
  <si>
    <t>"Strength":</t>
    <phoneticPr fontId="13" type="noConversion"/>
  </si>
  <si>
    <t>基础外功攻击</t>
    <phoneticPr fontId="13" type="noConversion"/>
  </si>
  <si>
    <t>"PhysicsAttackPowerBase":</t>
    <phoneticPr fontId="13" type="noConversion"/>
  </si>
  <si>
    <t>最终外功攻击</t>
    <phoneticPr fontId="13" type="noConversion"/>
  </si>
  <si>
    <t>"PhysicsAttackPower":</t>
    <phoneticPr fontId="13" type="noConversion"/>
  </si>
  <si>
    <t>会心等级</t>
    <phoneticPr fontId="13" type="noConversion"/>
  </si>
  <si>
    <t>"PhysicsCriticalStrikeRate":</t>
    <phoneticPr fontId="13" type="noConversion"/>
  </si>
  <si>
    <t>会心效果等级</t>
    <phoneticPr fontId="13" type="noConversion"/>
  </si>
  <si>
    <t>"PhysicsCriticalDamagePowerPercent":</t>
    <phoneticPr fontId="13" type="noConversion"/>
  </si>
  <si>
    <t>破防等级</t>
    <phoneticPr fontId="13" type="noConversion"/>
  </si>
  <si>
    <t>"PhysicsOvercomePercent":</t>
    <phoneticPr fontId="13" type="noConversion"/>
  </si>
  <si>
    <t>无双等级</t>
    <phoneticPr fontId="13" type="noConversion"/>
  </si>
  <si>
    <t>"StrainPercent":</t>
    <phoneticPr fontId="13" type="noConversion"/>
  </si>
  <si>
    <t>加速等级</t>
    <phoneticPr fontId="13" type="noConversion"/>
  </si>
  <si>
    <t>"HastePercent":</t>
    <phoneticPr fontId="13" type="noConversion"/>
  </si>
  <si>
    <t>破招等级</t>
    <phoneticPr fontId="13" type="noConversion"/>
  </si>
  <si>
    <t>"SurplusValue":</t>
    <phoneticPr fontId="13" type="noConversion"/>
  </si>
  <si>
    <t>最大气血值</t>
    <phoneticPr fontId="13" type="noConversion"/>
  </si>
  <si>
    <t>"MaxHealth":</t>
    <phoneticPr fontId="13" type="noConversion"/>
  </si>
  <si>
    <t>最小武器伤害</t>
    <phoneticPr fontId="13" type="noConversion"/>
  </si>
  <si>
    <t>"MeleeWeaponDamage":</t>
    <phoneticPr fontId="13" type="noConversion"/>
  </si>
  <si>
    <t>帽子大附魔</t>
    <phoneticPr fontId="13" type="noConversion"/>
  </si>
  <si>
    <t>最大武器伤害</t>
    <phoneticPr fontId="13" type="noConversion"/>
  </si>
  <si>
    <t>"MeleeWeaponDamageRand":</t>
    <phoneticPr fontId="13" type="noConversion"/>
  </si>
  <si>
    <t>山市鬼洲·伤·帽</t>
  </si>
  <si>
    <t>套装效果·技能伤害</t>
    <phoneticPr fontId="13" type="noConversion"/>
  </si>
  <si>
    <t>7_</t>
    <phoneticPr fontId="13" type="noConversion"/>
  </si>
  <si>
    <t>天堑奇琨·伤·帽</t>
  </si>
  <si>
    <t>套装效果·会心会效</t>
    <phoneticPr fontId="13" type="noConversion"/>
  </si>
  <si>
    <t>天堑奇珂·伤·帽</t>
  </si>
  <si>
    <t>特殊效果·风特效</t>
    <phoneticPr fontId="13" type="noConversion"/>
  </si>
  <si>
    <t>8_</t>
    <phoneticPr fontId="13" type="noConversion"/>
  </si>
  <si>
    <t>6_</t>
    <phoneticPr fontId="13" type="noConversion"/>
  </si>
  <si>
    <t>特殊效果·帽子大附魔</t>
    <phoneticPr fontId="13" type="noConversion"/>
  </si>
  <si>
    <t>"enchant":</t>
    <phoneticPr fontId="13" type="noConversion"/>
  </si>
  <si>
    <t>特殊效果·衣服大附魔</t>
    <phoneticPr fontId="13" type="noConversion"/>
  </si>
  <si>
    <t>特殊效果·腰带大附魔</t>
    <phoneticPr fontId="13" type="noConversion"/>
  </si>
  <si>
    <t>特殊效果·护腕大附魔</t>
    <phoneticPr fontId="13" type="noConversion"/>
  </si>
  <si>
    <t>特殊效果·鞋子大附魔</t>
    <phoneticPr fontId="13" type="noConversion"/>
  </si>
  <si>
    <t>衣服大附魔</t>
    <phoneticPr fontId="13" type="noConversion"/>
  </si>
  <si>
    <t>山市鬼洲·伤·衣</t>
  </si>
  <si>
    <t>天堑奇琨·伤·衣</t>
  </si>
  <si>
    <t>天堑奇珂·伤·衣</t>
  </si>
  <si>
    <t>腰带大附魔</t>
    <phoneticPr fontId="13" type="noConversion"/>
  </si>
  <si>
    <t>山市鬼洲·伤·腰</t>
  </si>
  <si>
    <t>天堑奇珂·伤·腰</t>
  </si>
  <si>
    <t>护腕大附魔</t>
    <phoneticPr fontId="13" type="noConversion"/>
  </si>
  <si>
    <t>山市鬼洲·伤·腕</t>
  </si>
  <si>
    <t>天堑奇琨·伤·腕</t>
  </si>
  <si>
    <t>天堑奇珂·伤·腕</t>
  </si>
  <si>
    <t>鞋子大附魔</t>
    <phoneticPr fontId="13" type="noConversion"/>
  </si>
  <si>
    <t>山市鬼洲·伤·鞋</t>
  </si>
  <si>
    <t>天堑奇琨·伤·鞋</t>
  </si>
  <si>
    <t>天堑奇珂·伤·鞋</t>
  </si>
  <si>
    <t>将数据粘贴到下方单元格中↓</t>
    <phoneticPr fontId="11" type="noConversion"/>
  </si>
  <si>
    <t>前往魔盒配装器</t>
    <phoneticPr fontId="11" type="noConversion"/>
  </si>
  <si>
    <t xml:space="preserve"> </t>
    <phoneticPr fontId="11" type="noConversion"/>
  </si>
  <si>
    <t>粘贴数据→</t>
    <phoneticPr fontId="11" type="noConversion"/>
  </si>
  <si>
    <t>{"Vitality":38749,"Agility":41,"Spirit":41,"Spunk":41,"Strength":6823,"PhysicsAttackPowerBase":23385,"PhysicsAttackPower":34299,"PhysicsCriticalStrikeRate":0.22786098127126458,"PhysicsCriticalDamagePowerPercent":1.8452978056426332,"PhysicsOvercomePercent":0.3426245667588795,"StrainPercent":0.25951978155699995,"HastePercent":0.05118996722245974,"SurplusValue":14245,"MaxHealth":540699,"PhysicsShieldPercent":0.08264760646285062,"LunarShieldPercent":0.056348470806302134,"ToughnessDefCriticalPercent":0,"DecriticalDamagePercent":0.1,"MeleeWeaponAttackSpeed":27,"MeleeWeaponDamage":3405,"MeleeWeaponDamageRand":2270,"EquipList":{"HAT":{"id":"7_90826","strength":6,"embedding":[7,7],"stone":"","enhance":11534,"enchant":""},"JACKET":{"id":"7_91168","strength":6,"embedding":[7,7],"stone":"","enhance":11648,"enchant":11698},"BELT":{"id":"7_90768","strength":6,"embedding":[7,7],"stone":"","enhance":11650,"enchant":""},"WRIST":{"id":"7_91291","strength":6,"embedding":[7,7],"stone":"","enhance":11585,"enchant":""},"BOTTOMS":{"id":"7_91309","strength":6,"embedding":[7,7],"stone":"","enhance":11530,"enchant":""},"SHOES":{"id":"7_91110","strength":6,"embedding":[7,7],"stone":"","enhance":11586,"enchant":11696},"NECKLACE":{"id":"8_34431","strength":6,"embedding":[7],"stone":"","enhance":11652,"enchant":""},"PENDANT":{"id":"8_34381","strength":4,"embedding":[7],"stone":"","enhance":11654,"enchant":""},"RING_1":{"id":"8_34392","strength":4,"embedding":[],"stone":"","enhance":11662,"enchant":""},"RING_2":{"id":"8_34389","strength":4,"embedding":[],"stone":"","enhance":11660,"enchant":""},"PRIMARY_WEAPON":{"id":"6_34408","strength":8,"embedding":[7,7,7],"stone":963,"enhance":11517,"enchant":""},"SECONDARY_WEAPON":{"id":"6_32914","strength":6,"embedding":[7],"stone":"","enhance":11669,"enchant":""}},"Title":"导出测试"}</t>
  </si>
  <si>
    <t>承霁·六钧护手</t>
  </si>
  <si>
    <t>承霁·六钧护腰</t>
  </si>
  <si>
    <t>承霁·六钧靴</t>
  </si>
  <si>
    <t>承霁·六钧冠</t>
  </si>
  <si>
    <t>承霁·六钧战甲</t>
  </si>
  <si>
    <t>展锋·望云护手</t>
  </si>
  <si>
    <t>展锋·望云腰带</t>
  </si>
  <si>
    <t>展锋·望云履</t>
  </si>
  <si>
    <t>展锋·望云战盔</t>
  </si>
  <si>
    <t>展锋·望云战甲</t>
  </si>
  <si>
    <t>揽江·诛翳护手</t>
  </si>
  <si>
    <t>揽江·诛翳护腰</t>
  </si>
  <si>
    <t>揽江·诛翳靴</t>
  </si>
  <si>
    <t>揽江·诛翳战盔</t>
  </si>
  <si>
    <t>揽江·诛翳战甲</t>
  </si>
  <si>
    <t>特殊长兵</t>
    <phoneticPr fontId="13" type="noConversion"/>
  </si>
  <si>
    <t>大橙武</t>
    <phoneticPr fontId="11" type="noConversion"/>
  </si>
  <si>
    <t>小橙武</t>
    <phoneticPr fontId="11" type="noConversion"/>
  </si>
  <si>
    <t>配装模式</t>
    <phoneticPr fontId="11" type="noConversion"/>
  </si>
  <si>
    <t>使用内置配装器</t>
  </si>
  <si>
    <t>魔盒数据导出操作说明</t>
    <phoneticPr fontId="11" type="noConversion"/>
  </si>
  <si>
    <t>步骤一：打开魔盒配装器配装页面→</t>
    <phoneticPr fontId="11" type="noConversion"/>
  </si>
  <si>
    <t>学会了！→</t>
    <phoneticPr fontId="11" type="noConversion"/>
  </si>
  <si>
    <t>点此返回配装器页面</t>
    <phoneticPr fontId="11" type="noConversion"/>
  </si>
  <si>
    <t>步骤二：在魔盒配装器中完成配装后，点击页面右上角【导出】按钮</t>
    <phoneticPr fontId="11" type="noConversion"/>
  </si>
  <si>
    <t>步骤三：在弹出的弹窗中切换【数据版】页面</t>
    <phoneticPr fontId="11" type="noConversion"/>
  </si>
  <si>
    <t>步骤四：点击【点击复制】按钮</t>
    <phoneticPr fontId="11" type="noConversion"/>
  </si>
  <si>
    <t>步骤五：在计算器界面中将面板数据粘贴至对应单元格中，即可完成数据导入</t>
    <phoneticPr fontId="11" type="noConversion"/>
  </si>
  <si>
    <t>查看导出说明</t>
    <phoneticPr fontId="11" type="noConversion"/>
  </si>
  <si>
    <t>御赐御厨戒指·刀功</t>
  </si>
  <si>
    <t>御赐御厨戒指·刀功(10000会无)</t>
  </si>
  <si>
    <t>湘灿裳</t>
  </si>
  <si>
    <t>湘灿裳(11150会招)</t>
  </si>
  <si>
    <t>御赐御厨上衣·刀功</t>
  </si>
  <si>
    <t>御赐御厨上衣·刀功(10000破无)</t>
  </si>
  <si>
    <t>湘灿衣</t>
  </si>
  <si>
    <t>湘灿衣(11150会无)</t>
  </si>
  <si>
    <t>御赐御厨腰带·刀功</t>
  </si>
  <si>
    <t>御赐御厨腰带·刀功(10000会招)</t>
  </si>
  <si>
    <t>御赐大锅铲·刀功</t>
  </si>
  <si>
    <t>御赐大锅铲·刀功(10000破无)</t>
  </si>
  <si>
    <t>红缨亮银枪·肃清</t>
  </si>
  <si>
    <t>红缨亮银枪·肃清(10600特效招破)</t>
  </si>
  <si>
    <t>特效招破</t>
  </si>
  <si>
    <t>群侠万变</t>
    <phoneticPr fontId="11" type="noConversion"/>
  </si>
  <si>
    <t>百锻判定</t>
    <phoneticPr fontId="11" type="noConversion"/>
  </si>
  <si>
    <t>断魂刺开关</t>
    <phoneticPr fontId="11" type="noConversion"/>
  </si>
  <si>
    <t>断魂刺龙牙</t>
    <phoneticPr fontId="11" type="noConversion"/>
  </si>
  <si>
    <t>断魂刺覆盖率</t>
    <phoneticPr fontId="11" type="noConversion"/>
  </si>
  <si>
    <r>
      <t>C</t>
    </r>
    <r>
      <rPr>
        <sz val="11"/>
        <color theme="1"/>
        <rFont val="微软雅黑"/>
        <family val="2"/>
        <charset val="134"/>
      </rPr>
      <t>W</t>
    </r>
    <phoneticPr fontId="11" type="noConversion"/>
  </si>
  <si>
    <t>断魂刺</t>
    <phoneticPr fontId="11" type="noConversion"/>
  </si>
  <si>
    <t>断魂刺龙牙伤害</t>
    <phoneticPr fontId="11" type="noConversion"/>
  </si>
  <si>
    <t>断魂刺龙牙收益</t>
    <phoneticPr fontId="11" type="noConversion"/>
  </si>
  <si>
    <t>击水</t>
    <phoneticPr fontId="11" type="noConversion"/>
  </si>
  <si>
    <t>龙牙循环</t>
    <phoneticPr fontId="11" type="noConversion"/>
  </si>
  <si>
    <t>龙驭</t>
  </si>
  <si>
    <t>炎枪重黎</t>
    <phoneticPr fontId="11" type="noConversion"/>
  </si>
  <si>
    <t>红缨亮银枪</t>
    <phoneticPr fontId="11" type="noConversion"/>
  </si>
  <si>
    <t>不使用</t>
    <phoneticPr fontId="11" type="noConversion"/>
  </si>
  <si>
    <t>起手用</t>
    <phoneticPr fontId="11" type="noConversion"/>
  </si>
  <si>
    <t>全程用</t>
    <phoneticPr fontId="11" type="noConversion"/>
  </si>
  <si>
    <t>炎枪重黎计算</t>
    <phoneticPr fontId="11" type="noConversion"/>
  </si>
  <si>
    <t>炎枪重黎</t>
    <phoneticPr fontId="13" type="noConversion"/>
  </si>
  <si>
    <t>烈焰践踏</t>
    <phoneticPr fontId="13" type="noConversion"/>
  </si>
  <si>
    <t>掠火</t>
    <phoneticPr fontId="13" type="noConversion"/>
  </si>
  <si>
    <t>狼阵绝炎冲</t>
    <phoneticPr fontId="13" type="noConversion"/>
  </si>
  <si>
    <t>炎枪数量</t>
    <phoneticPr fontId="11" type="noConversion"/>
  </si>
  <si>
    <t>内会</t>
    <phoneticPr fontId="11" type="noConversion"/>
  </si>
  <si>
    <t>内会效</t>
    <phoneticPr fontId="11" type="noConversion"/>
  </si>
  <si>
    <t>不使用</t>
  </si>
  <si>
    <t>无增益面板</t>
  </si>
  <si>
    <t>限时</t>
    <phoneticPr fontId="13" type="noConversion"/>
  </si>
  <si>
    <t>6_32384</t>
  </si>
  <si>
    <t>崇月囊(8100力道纯会)</t>
  </si>
  <si>
    <t>6_32240</t>
  </si>
  <si>
    <t>画楼囊(8100会无)</t>
  </si>
  <si>
    <t>6_33984</t>
  </si>
  <si>
    <t>临掣囊(8150会无)</t>
  </si>
  <si>
    <t>6_32528</t>
  </si>
  <si>
    <t>少雪囊(8600力道纯速)</t>
  </si>
  <si>
    <t>6_32312</t>
  </si>
  <si>
    <t>6_32534</t>
  </si>
  <si>
    <t>6_34071</t>
  </si>
  <si>
    <t>分石囊(9100会无)</t>
  </si>
  <si>
    <t>6_32348</t>
  </si>
  <si>
    <t>6_33025</t>
  </si>
  <si>
    <t>6_33027</t>
  </si>
  <si>
    <t>6_33026</t>
  </si>
  <si>
    <t>6_33034</t>
  </si>
  <si>
    <t>6_33035</t>
  </si>
  <si>
    <t>6_33033</t>
  </si>
  <si>
    <t>临掣囊(9450会无)</t>
  </si>
  <si>
    <t>6_32540</t>
  </si>
  <si>
    <t>6_35475</t>
  </si>
  <si>
    <t>6_34450</t>
  </si>
  <si>
    <t>6_32702</t>
  </si>
  <si>
    <t>6_33041</t>
  </si>
  <si>
    <t>6_33042</t>
  </si>
  <si>
    <t>6_33043</t>
  </si>
  <si>
    <t>羡双囊(10000招无)</t>
  </si>
  <si>
    <t>6_32552</t>
  </si>
  <si>
    <t>重关囊(10000招破)</t>
  </si>
  <si>
    <t>6_32420</t>
  </si>
  <si>
    <t>曲郦囊(10000招破)</t>
  </si>
  <si>
    <t>6_32588</t>
  </si>
  <si>
    <t>项昌囊(10000速无)</t>
  </si>
  <si>
    <t>6_32624</t>
  </si>
  <si>
    <t>垣翰囊(10000破无)</t>
  </si>
  <si>
    <t>6_32456</t>
  </si>
  <si>
    <t>拭江囊(10000破无)</t>
  </si>
  <si>
    <t>6_32660</t>
  </si>
  <si>
    <t>忆敬囊(10000会招)</t>
  </si>
  <si>
    <t>6_32492</t>
  </si>
  <si>
    <t>宸风</t>
  </si>
  <si>
    <t>宸风(10000会无)</t>
  </si>
  <si>
    <t>6_32696</t>
  </si>
  <si>
    <t>6_33446</t>
  </si>
  <si>
    <t>6_33049</t>
  </si>
  <si>
    <t>6_33051</t>
  </si>
  <si>
    <t>6_33050</t>
  </si>
  <si>
    <t>6_35481</t>
  </si>
  <si>
    <t>临掣囊(10100会无)</t>
  </si>
  <si>
    <t>6_32546</t>
  </si>
  <si>
    <t>6_32768</t>
  </si>
  <si>
    <t>6_32774</t>
  </si>
  <si>
    <t>6_33058</t>
  </si>
  <si>
    <t>6_33059</t>
  </si>
  <si>
    <t>6_33057</t>
  </si>
  <si>
    <t>6_34630</t>
  </si>
  <si>
    <t>6_33065</t>
  </si>
  <si>
    <t>6_33066</t>
  </si>
  <si>
    <t>6_33067</t>
  </si>
  <si>
    <t>6_35487</t>
  </si>
  <si>
    <t>择逸录·扶</t>
  </si>
  <si>
    <t>择逸录·扶(10800招破)</t>
  </si>
  <si>
    <t>6_32810</t>
  </si>
  <si>
    <t>6_33073</t>
  </si>
  <si>
    <t>6_33075</t>
  </si>
  <si>
    <t>6_33074</t>
  </si>
  <si>
    <t>6_34916</t>
  </si>
  <si>
    <t>6_32956</t>
  </si>
  <si>
    <t>6_32914</t>
  </si>
  <si>
    <t>6_32816</t>
  </si>
  <si>
    <t>6_32920</t>
  </si>
  <si>
    <t>6_35493</t>
  </si>
  <si>
    <t>无封囊(11500精简攻招破)</t>
  </si>
  <si>
    <t>6_34808</t>
  </si>
  <si>
    <t>无封囊(11500精简攻会招破)</t>
  </si>
  <si>
    <t>6_34809</t>
  </si>
  <si>
    <t>无封囊(11500精简攻会)</t>
  </si>
  <si>
    <t>6_34807</t>
  </si>
  <si>
    <t>无封囊(12100精简攻无)</t>
  </si>
  <si>
    <t>6_34813</t>
  </si>
  <si>
    <t>无封囊(12100精简攻会招)</t>
  </si>
  <si>
    <t>6_34814</t>
  </si>
  <si>
    <t>6_34815</t>
  </si>
  <si>
    <t>度飞囊</t>
  </si>
  <si>
    <t>6_34768</t>
  </si>
  <si>
    <t>6_34696</t>
  </si>
  <si>
    <t>6_34818</t>
  </si>
  <si>
    <t>6_34702</t>
  </si>
  <si>
    <t>7_90293</t>
  </si>
  <si>
    <t>崇月护手(8100招破)</t>
  </si>
  <si>
    <t>7_90149</t>
  </si>
  <si>
    <t>画楼袖(8100招破)</t>
  </si>
  <si>
    <t>7_93483</t>
  </si>
  <si>
    <t>临英护手(8150会招)</t>
  </si>
  <si>
    <t>7_90437</t>
  </si>
  <si>
    <t>少雪袖(8600力道纯会)</t>
  </si>
  <si>
    <t>7_90221</t>
  </si>
  <si>
    <t>7_93669</t>
  </si>
  <si>
    <t>7_90461</t>
  </si>
  <si>
    <t>分石护手(9100速无)</t>
  </si>
  <si>
    <t>7_90257</t>
  </si>
  <si>
    <t>7_91373</t>
  </si>
  <si>
    <t>7_91374</t>
  </si>
  <si>
    <t>7_91372</t>
  </si>
  <si>
    <t>7_91404</t>
  </si>
  <si>
    <t>7_91406</t>
  </si>
  <si>
    <t>7_91405</t>
  </si>
  <si>
    <t>临英护手(9450会招)</t>
  </si>
  <si>
    <t>7_90485</t>
  </si>
  <si>
    <t>7_94029</t>
  </si>
  <si>
    <t>7_90677</t>
  </si>
  <si>
    <t>7_91437</t>
  </si>
  <si>
    <t>7_91436</t>
  </si>
  <si>
    <t>7_91438</t>
  </si>
  <si>
    <t>垣翰袖(10000招无)</t>
  </si>
  <si>
    <t>7_90365</t>
  </si>
  <si>
    <t>曲郦护手(10000招破)</t>
  </si>
  <si>
    <t>7_90569</t>
  </si>
  <si>
    <t>7_90707</t>
  </si>
  <si>
    <t>重关袖(10000速招)</t>
  </si>
  <si>
    <t>7_90329</t>
  </si>
  <si>
    <t>羡双护手(10000速无)</t>
  </si>
  <si>
    <t>7_90533</t>
  </si>
  <si>
    <t>忆敬护手(10000破无)</t>
  </si>
  <si>
    <t>7_90401</t>
  </si>
  <si>
    <t>拭江袖(10000破无)</t>
  </si>
  <si>
    <t>7_90641</t>
  </si>
  <si>
    <t>7_90739</t>
  </si>
  <si>
    <t>7_92487</t>
  </si>
  <si>
    <t>项昌袖(10000会无)</t>
  </si>
  <si>
    <t>7_90605</t>
  </si>
  <si>
    <t>7_91469</t>
  </si>
  <si>
    <t>7_91470</t>
  </si>
  <si>
    <t>7_91468</t>
  </si>
  <si>
    <t>临英护手(10100会招)</t>
  </si>
  <si>
    <t>7_90509</t>
  </si>
  <si>
    <t>7_91327</t>
  </si>
  <si>
    <t>7_90918</t>
  </si>
  <si>
    <t>7_90882</t>
  </si>
  <si>
    <t>7_91500</t>
  </si>
  <si>
    <t>7_91502</t>
  </si>
  <si>
    <t>7_91501</t>
  </si>
  <si>
    <t>7_91533</t>
  </si>
  <si>
    <t>7_91532</t>
  </si>
  <si>
    <t>7_91534</t>
  </si>
  <si>
    <t>7_91565</t>
  </si>
  <si>
    <t>7_91566</t>
  </si>
  <si>
    <t>7_91564</t>
  </si>
  <si>
    <t>7_94192</t>
  </si>
  <si>
    <t>7_91052</t>
  </si>
  <si>
    <t>7_94661</t>
  </si>
  <si>
    <t>7_91345</t>
  </si>
  <si>
    <t>7_91231</t>
  </si>
  <si>
    <t>7_90954</t>
  </si>
  <si>
    <t>7_91195</t>
  </si>
  <si>
    <t>7_91280</t>
  </si>
  <si>
    <t>7_91276</t>
  </si>
  <si>
    <t>7_91277</t>
  </si>
  <si>
    <t>7_91278</t>
  </si>
  <si>
    <t>7_91291</t>
  </si>
  <si>
    <t>无封护臂(11500精简攻破)</t>
  </si>
  <si>
    <t>7_94524</t>
  </si>
  <si>
    <t>7_94526</t>
  </si>
  <si>
    <t>7_94525</t>
  </si>
  <si>
    <t>无封护臂(12100精简攻招破)</t>
  </si>
  <si>
    <t>7_94549</t>
  </si>
  <si>
    <t>无封护臂(12100精简攻无)</t>
  </si>
  <si>
    <t>7_94548</t>
  </si>
  <si>
    <t>7_94550</t>
  </si>
  <si>
    <t>7_94224</t>
  </si>
  <si>
    <t>7_94499</t>
  </si>
  <si>
    <t>7_94403</t>
  </si>
  <si>
    <t>7_94565</t>
  </si>
  <si>
    <t>7_94367</t>
  </si>
  <si>
    <t>7_94452</t>
  </si>
  <si>
    <t>7_94448</t>
  </si>
  <si>
    <t>7_94449</t>
  </si>
  <si>
    <t>7_94450</t>
  </si>
  <si>
    <t>7_94463</t>
  </si>
  <si>
    <t>落琼霄·泽(7000大橙武)</t>
  </si>
  <si>
    <t>8_35756</t>
  </si>
  <si>
    <t>8_35831</t>
  </si>
  <si>
    <t>落琼霄·泽(7500大橙武)</t>
  </si>
  <si>
    <t>8_35781</t>
  </si>
  <si>
    <t>8_35856</t>
  </si>
  <si>
    <t>8_35881</t>
  </si>
  <si>
    <t>8_34075</t>
  </si>
  <si>
    <t>崇月戒(8100会招)</t>
  </si>
  <si>
    <t>8_34003</t>
  </si>
  <si>
    <t>画楼戒(8100会无)</t>
  </si>
  <si>
    <t>8_35569</t>
  </si>
  <si>
    <t>临尚戒(8150会无)</t>
  </si>
  <si>
    <t>8_34147</t>
  </si>
  <si>
    <t>落琼霄·泽(8300大橙武)</t>
  </si>
  <si>
    <t>8_35806</t>
  </si>
  <si>
    <t>少雪戒(8600力道纯速)</t>
  </si>
  <si>
    <t>8_34039</t>
  </si>
  <si>
    <t>8_34165</t>
  </si>
  <si>
    <t>8_35662</t>
  </si>
  <si>
    <t>分石戒(9100破无)</t>
  </si>
  <si>
    <t>8_34057</t>
  </si>
  <si>
    <t>临尚戒(9450会无)</t>
  </si>
  <si>
    <t>8_34183</t>
  </si>
  <si>
    <t>8_34285</t>
  </si>
  <si>
    <t>8_36130</t>
  </si>
  <si>
    <t>羡双戒(10000招无)</t>
  </si>
  <si>
    <t>8_34219</t>
  </si>
  <si>
    <t>重关戒(10000招破)</t>
  </si>
  <si>
    <t>8_34093</t>
  </si>
  <si>
    <t>拭江戒(10000招破)</t>
  </si>
  <si>
    <t>8_34273</t>
  </si>
  <si>
    <t>曲郦戒(10000速招)</t>
  </si>
  <si>
    <t>8_34237</t>
  </si>
  <si>
    <t>垣翰戒(10000速无)</t>
  </si>
  <si>
    <t>8_34111</t>
  </si>
  <si>
    <t>忆敬戒(10000会招)</t>
  </si>
  <si>
    <t>8_34129</t>
  </si>
  <si>
    <t>项昌戒(10000会招)</t>
  </si>
  <si>
    <t>8_34255</t>
  </si>
  <si>
    <t>8_37638</t>
  </si>
  <si>
    <t>临尚戒(10100会无)</t>
  </si>
  <si>
    <t>8_34201</t>
  </si>
  <si>
    <t>8_34303</t>
  </si>
  <si>
    <t>8_34443</t>
  </si>
  <si>
    <t>8_34321</t>
  </si>
  <si>
    <t>暮雨石</t>
  </si>
  <si>
    <t>暮雨石(10800会无)</t>
  </si>
  <si>
    <t>8_37665</t>
  </si>
  <si>
    <t>8_34357</t>
  </si>
  <si>
    <t>8_34449</t>
  </si>
  <si>
    <t>8_34339</t>
  </si>
  <si>
    <t>8_34375</t>
  </si>
  <si>
    <t>8_34389</t>
  </si>
  <si>
    <t>8_34388</t>
  </si>
  <si>
    <t>8_34392</t>
  </si>
  <si>
    <t>8_34390</t>
  </si>
  <si>
    <t>8_37695</t>
  </si>
  <si>
    <t>8_37781</t>
  </si>
  <si>
    <t>8_37823</t>
  </si>
  <si>
    <t>8_37713</t>
  </si>
  <si>
    <t>8_37727</t>
  </si>
  <si>
    <t>8_37726</t>
  </si>
  <si>
    <t>8_37730</t>
  </si>
  <si>
    <t>8_37728</t>
  </si>
  <si>
    <t>7_90311</t>
  </si>
  <si>
    <t>崇月裤(8100力道纯破)</t>
  </si>
  <si>
    <t>7_90167</t>
  </si>
  <si>
    <t>画楼裳(8100会无)</t>
  </si>
  <si>
    <t>7_93501</t>
  </si>
  <si>
    <t>少雪裤(8600力道纯破)</t>
  </si>
  <si>
    <t>7_90239</t>
  </si>
  <si>
    <t>7_93687</t>
  </si>
  <si>
    <t>分石裤(9100会招)</t>
  </si>
  <si>
    <t>7_90275</t>
  </si>
  <si>
    <t>7_91381</t>
  </si>
  <si>
    <t>7_91380</t>
  </si>
  <si>
    <t>7_91382</t>
  </si>
  <si>
    <t>7_91414</t>
  </si>
  <si>
    <t>7_91412</t>
  </si>
  <si>
    <t>7_91413</t>
  </si>
  <si>
    <t>7_90689</t>
  </si>
  <si>
    <t>7_91445</t>
  </si>
  <si>
    <t>7_91446</t>
  </si>
  <si>
    <t>7_91444</t>
  </si>
  <si>
    <t>垣翰裤(10000招破)</t>
  </si>
  <si>
    <t>7_90383</t>
  </si>
  <si>
    <t>拭江裤(10000招破)</t>
  </si>
  <si>
    <t>7_90659</t>
  </si>
  <si>
    <t>7_92505</t>
  </si>
  <si>
    <t>重关裤(10000速招)</t>
  </si>
  <si>
    <t>7_90347</t>
  </si>
  <si>
    <t>曲郦裤(10000速招)</t>
  </si>
  <si>
    <t>7_90587</t>
  </si>
  <si>
    <t>羡双裤(10000破无)</t>
  </si>
  <si>
    <t>7_90551</t>
  </si>
  <si>
    <t>项昌裤(10000会招)</t>
  </si>
  <si>
    <t>7_90623</t>
  </si>
  <si>
    <t>忆敬裳(10000会无)</t>
  </si>
  <si>
    <t>7_90419</t>
  </si>
  <si>
    <t>7_91477</t>
  </si>
  <si>
    <t>7_91476</t>
  </si>
  <si>
    <t>7_91478</t>
  </si>
  <si>
    <t>7_90936</t>
  </si>
  <si>
    <t>7_90900</t>
  </si>
  <si>
    <t>7_91333</t>
  </si>
  <si>
    <t>7_91510</t>
  </si>
  <si>
    <t>7_91508</t>
  </si>
  <si>
    <t>7_91509</t>
  </si>
  <si>
    <t>7_94174</t>
  </si>
  <si>
    <t>7_91541</t>
  </si>
  <si>
    <t>7_91542</t>
  </si>
  <si>
    <t>7_91540</t>
  </si>
  <si>
    <t>7_91573</t>
  </si>
  <si>
    <t>7_91572</t>
  </si>
  <si>
    <t>7_91574</t>
  </si>
  <si>
    <t>7_94679</t>
  </si>
  <si>
    <t>7_91249</t>
  </si>
  <si>
    <t>7_91213</t>
  </si>
  <si>
    <t>7_91351</t>
  </si>
  <si>
    <t>7_90972</t>
  </si>
  <si>
    <t>7_91286</t>
  </si>
  <si>
    <t>7_91285</t>
  </si>
  <si>
    <t>7_91288</t>
  </si>
  <si>
    <t>7_91284</t>
  </si>
  <si>
    <t>7_91309</t>
  </si>
  <si>
    <t>无封裤(11500精简攻招破无)</t>
  </si>
  <si>
    <t>7_94532</t>
  </si>
  <si>
    <t>无封裤(11500精简攻无)</t>
  </si>
  <si>
    <t>7_94530</t>
  </si>
  <si>
    <t>无封裤(11500精简攻会无)</t>
  </si>
  <si>
    <t>7_94531</t>
  </si>
  <si>
    <t>无封裤(12100精简攻破无)</t>
  </si>
  <si>
    <t>7_94555</t>
  </si>
  <si>
    <t>无封裤(12100精简攻会招破)</t>
  </si>
  <si>
    <t>7_94556</t>
  </si>
  <si>
    <t>无封裤(12100精简攻会)</t>
  </si>
  <si>
    <t>7_94554</t>
  </si>
  <si>
    <t>7_94421</t>
  </si>
  <si>
    <t>7_94385</t>
  </si>
  <si>
    <t>7_94505</t>
  </si>
  <si>
    <t>7_94583</t>
  </si>
  <si>
    <t>7_94458</t>
  </si>
  <si>
    <t>7_94457</t>
  </si>
  <si>
    <t>7_94460</t>
  </si>
  <si>
    <t>7_94456</t>
  </si>
  <si>
    <t>7_94481</t>
  </si>
  <si>
    <t>7_90317</t>
  </si>
  <si>
    <t>崇月帽(8100力道纯破)</t>
  </si>
  <si>
    <t>7_90173</t>
  </si>
  <si>
    <t>画楼冠(8100会招)</t>
  </si>
  <si>
    <t>7_93507</t>
  </si>
  <si>
    <t>临雾帽(8150破无)</t>
  </si>
  <si>
    <t>7_90455</t>
  </si>
  <si>
    <t>少雪巾(8600招破)</t>
  </si>
  <si>
    <t>7_90245</t>
  </si>
  <si>
    <t>7_90479</t>
  </si>
  <si>
    <t>7_93693</t>
  </si>
  <si>
    <t>分石帽(9100速招)</t>
  </si>
  <si>
    <t>7_90281</t>
  </si>
  <si>
    <t>7_91364</t>
  </si>
  <si>
    <t>7_91366</t>
  </si>
  <si>
    <t>7_91365</t>
  </si>
  <si>
    <t>7_91397</t>
  </si>
  <si>
    <t>7_91398</t>
  </si>
  <si>
    <t>7_91396</t>
  </si>
  <si>
    <t>临雾帽(9450破无)</t>
  </si>
  <si>
    <t>7_90503</t>
  </si>
  <si>
    <t>7_90695</t>
  </si>
  <si>
    <t>7_94047</t>
  </si>
  <si>
    <t>7_91428</t>
  </si>
  <si>
    <t>7_91430</t>
  </si>
  <si>
    <t>7_91429</t>
  </si>
  <si>
    <t>忆敬冠(10000招破)</t>
  </si>
  <si>
    <t>7_90425</t>
  </si>
  <si>
    <t>7_90826</t>
  </si>
  <si>
    <t>曲郦冠(10000速招)</t>
  </si>
  <si>
    <t>7_90593</t>
  </si>
  <si>
    <t>垣翰帽(10000速无)</t>
  </si>
  <si>
    <t>7_90389</t>
  </si>
  <si>
    <t>拭江冠(10000破无)</t>
  </si>
  <si>
    <t>7_90665</t>
  </si>
  <si>
    <t>寻常斗笠</t>
  </si>
  <si>
    <t>寻常斗笠(10000破无)</t>
  </si>
  <si>
    <t>7_94156</t>
  </si>
  <si>
    <t>重关帽(10000会招)</t>
  </si>
  <si>
    <t>7_90353</t>
  </si>
  <si>
    <t>项昌冠(10000会招)</t>
  </si>
  <si>
    <t>7_90629</t>
  </si>
  <si>
    <t>羡双冠(10000会无)</t>
  </si>
  <si>
    <t>7_90557</t>
  </si>
  <si>
    <t>7_90725</t>
  </si>
  <si>
    <t>7_92511</t>
  </si>
  <si>
    <t>7_91460</t>
  </si>
  <si>
    <t>7_91462</t>
  </si>
  <si>
    <t>7_91461</t>
  </si>
  <si>
    <t>临雾帽(10100破无)</t>
  </si>
  <si>
    <t>7_90527</t>
  </si>
  <si>
    <t>7_90942</t>
  </si>
  <si>
    <t>7_91339</t>
  </si>
  <si>
    <t>7_90906</t>
  </si>
  <si>
    <t>7_91493</t>
  </si>
  <si>
    <t>7_91494</t>
  </si>
  <si>
    <t>7_91492</t>
  </si>
  <si>
    <t>7_94180</t>
  </si>
  <si>
    <t>7_91524</t>
  </si>
  <si>
    <t>7_91526</t>
  </si>
  <si>
    <t>7_91525</t>
  </si>
  <si>
    <t>7_91556</t>
  </si>
  <si>
    <t>7_91558</t>
  </si>
  <si>
    <t>7_91557</t>
  </si>
  <si>
    <t>7_91139</t>
  </si>
  <si>
    <t>7_94210</t>
  </si>
  <si>
    <t>7_94685</t>
  </si>
  <si>
    <t>7_91255</t>
  </si>
  <si>
    <t>7_90978</t>
  </si>
  <si>
    <t>7_91357</t>
  </si>
  <si>
    <t>7_91219</t>
  </si>
  <si>
    <t>7_91315</t>
  </si>
  <si>
    <t>无封头饰(11500精简攻会招)</t>
  </si>
  <si>
    <t>7_94519</t>
  </si>
  <si>
    <t>无封头饰(11500精简攻会破无)</t>
  </si>
  <si>
    <t>7_94520</t>
  </si>
  <si>
    <t>无封头饰(11500精简攻会)</t>
  </si>
  <si>
    <t>7_94518</t>
  </si>
  <si>
    <t>无封头饰(12100精简攻破)</t>
  </si>
  <si>
    <t>7_94542</t>
  </si>
  <si>
    <t>无封头饰(12100精简攻会招无)</t>
  </si>
  <si>
    <t>7_94544</t>
  </si>
  <si>
    <t>7_94543</t>
  </si>
  <si>
    <t>7_94311</t>
  </si>
  <si>
    <t>7_94427</t>
  </si>
  <si>
    <t>7_94511</t>
  </si>
  <si>
    <t>7_94589</t>
  </si>
  <si>
    <t>7_94391</t>
  </si>
  <si>
    <t>7_94487</t>
  </si>
  <si>
    <t>7_90323</t>
  </si>
  <si>
    <t>崇月衣(8100招破)</t>
  </si>
  <si>
    <t>7_90179</t>
  </si>
  <si>
    <t>画楼衫(8100会招)</t>
  </si>
  <si>
    <t>7_93513</t>
  </si>
  <si>
    <t>少雪衫(8600招破)</t>
  </si>
  <si>
    <t>7_90251</t>
  </si>
  <si>
    <t>7_93699</t>
  </si>
  <si>
    <t>分石衣(9100会招)</t>
  </si>
  <si>
    <t>7_90287</t>
  </si>
  <si>
    <t>7_90701</t>
  </si>
  <si>
    <t>7_94053</t>
  </si>
  <si>
    <t>项昌衣(10000招破)</t>
  </si>
  <si>
    <t>7_90635</t>
  </si>
  <si>
    <t>7_92517</t>
  </si>
  <si>
    <t>7_90731</t>
  </si>
  <si>
    <t>垣翰衫(10000速无)</t>
  </si>
  <si>
    <t>7_90395</t>
  </si>
  <si>
    <t>忆敬衫(10000破无)</t>
  </si>
  <si>
    <t>7_90431</t>
  </si>
  <si>
    <t>羡双衣(10000破无)</t>
  </si>
  <si>
    <t>7_90563</t>
  </si>
  <si>
    <t>7_94127</t>
  </si>
  <si>
    <t>重关衫(10000会招)</t>
  </si>
  <si>
    <t>7_90359</t>
  </si>
  <si>
    <t>曲郦衣(10000会招)</t>
  </si>
  <si>
    <t>7_90599</t>
  </si>
  <si>
    <t>拭江衣(10000会无)</t>
  </si>
  <si>
    <t>7_90671</t>
  </si>
  <si>
    <t>7_90855</t>
  </si>
  <si>
    <t>7_90912</t>
  </si>
  <si>
    <t>7_90948</t>
  </si>
  <si>
    <t>7_94186</t>
  </si>
  <si>
    <t>7_94691</t>
  </si>
  <si>
    <t>7_94216</t>
  </si>
  <si>
    <t>7_91168</t>
  </si>
  <si>
    <t>7_91225</t>
  </si>
  <si>
    <t>7_91261</t>
  </si>
  <si>
    <t>7_90984</t>
  </si>
  <si>
    <t>7_91321</t>
  </si>
  <si>
    <t>7_94340</t>
  </si>
  <si>
    <t>7_94397</t>
  </si>
  <si>
    <t>7_94433</t>
  </si>
  <si>
    <t>7_94595</t>
  </si>
  <si>
    <t>7_94493</t>
  </si>
  <si>
    <t>8_34063</t>
  </si>
  <si>
    <t>崇月链(8100力道纯会)</t>
  </si>
  <si>
    <t>8_33991</t>
  </si>
  <si>
    <t>画楼链(8100会无)</t>
  </si>
  <si>
    <t>8_35557</t>
  </si>
  <si>
    <t>临邦链(8150招破)</t>
  </si>
  <si>
    <t>8_34135</t>
  </si>
  <si>
    <t>少雪链(8600速招)</t>
  </si>
  <si>
    <t>8_34027</t>
  </si>
  <si>
    <t>8_34153</t>
  </si>
  <si>
    <t>8_35650</t>
  </si>
  <si>
    <t>分石链(9100招无)</t>
  </si>
  <si>
    <t>8_34045</t>
  </si>
  <si>
    <t>8_34458</t>
  </si>
  <si>
    <t>8_34456</t>
  </si>
  <si>
    <t>8_34457</t>
  </si>
  <si>
    <t>8_35908</t>
  </si>
  <si>
    <t>8_34472</t>
  </si>
  <si>
    <t>8_34473</t>
  </si>
  <si>
    <t>8_34474</t>
  </si>
  <si>
    <t>临邦链(9450招破)</t>
  </si>
  <si>
    <t>8_34171</t>
  </si>
  <si>
    <t>8_34395</t>
  </si>
  <si>
    <t>8_34279</t>
  </si>
  <si>
    <t>8_34489</t>
  </si>
  <si>
    <t>8_34490</t>
  </si>
  <si>
    <t>8_34488</t>
  </si>
  <si>
    <t>重关链(10000招无)</t>
  </si>
  <si>
    <t>8_34081</t>
  </si>
  <si>
    <t>曲郦链(10000招破)</t>
  </si>
  <si>
    <t>8_34225</t>
  </si>
  <si>
    <t>羡双链(10000速无)</t>
  </si>
  <si>
    <t>8_34207</t>
  </si>
  <si>
    <t>忆敬链(10000破无)</t>
  </si>
  <si>
    <t>8_34117</t>
  </si>
  <si>
    <t>垣翰链(10000会招)</t>
  </si>
  <si>
    <t>8_34099</t>
  </si>
  <si>
    <t>拭江链(10000会招)</t>
  </si>
  <si>
    <t>8_34261</t>
  </si>
  <si>
    <t>项昌链(10000会无)</t>
  </si>
  <si>
    <t>8_34243</t>
  </si>
  <si>
    <t>8_34506</t>
  </si>
  <si>
    <t>8_34504</t>
  </si>
  <si>
    <t>8_34505</t>
  </si>
  <si>
    <t>临邦链(10100招破)</t>
  </si>
  <si>
    <t>8_34189</t>
  </si>
  <si>
    <t>8_34407</t>
  </si>
  <si>
    <t>8_34291</t>
  </si>
  <si>
    <t>8_34309</t>
  </si>
  <si>
    <t>8_34520</t>
  </si>
  <si>
    <t>8_34521</t>
  </si>
  <si>
    <t>8_34522</t>
  </si>
  <si>
    <t>8_37733</t>
  </si>
  <si>
    <t>8_37671</t>
  </si>
  <si>
    <t>8_34537</t>
  </si>
  <si>
    <t>8_34538</t>
  </si>
  <si>
    <t>8_34536</t>
  </si>
  <si>
    <t>8_34419</t>
  </si>
  <si>
    <t>8_34554</t>
  </si>
  <si>
    <t>8_34552</t>
  </si>
  <si>
    <t>8_34553</t>
  </si>
  <si>
    <t>8_37745</t>
  </si>
  <si>
    <t>8_34345</t>
  </si>
  <si>
    <t>8_34327</t>
  </si>
  <si>
    <t>8_34363</t>
  </si>
  <si>
    <t>8_34431</t>
  </si>
  <si>
    <t>无封项链(11500精简攻无)</t>
  </si>
  <si>
    <t>8_37788</t>
  </si>
  <si>
    <t>无封项链(11500精简攻破无)</t>
  </si>
  <si>
    <t>8_37789</t>
  </si>
  <si>
    <t>无封项链(11500精简攻会招无)</t>
  </si>
  <si>
    <t>8_37790</t>
  </si>
  <si>
    <t>8_37757</t>
  </si>
  <si>
    <t>无封项链(12100精简攻招无)</t>
  </si>
  <si>
    <t>8_37801</t>
  </si>
  <si>
    <t>8_37802</t>
  </si>
  <si>
    <t>无封项链(12100精简攻会)</t>
  </si>
  <si>
    <t>8_37800</t>
  </si>
  <si>
    <t>8_37683</t>
  </si>
  <si>
    <t>8_37811</t>
  </si>
  <si>
    <t>8_37701</t>
  </si>
  <si>
    <t>8_37769</t>
  </si>
  <si>
    <t>7_90305</t>
  </si>
  <si>
    <t>崇月鞋(8100力道纯破)</t>
  </si>
  <si>
    <t>7_90161</t>
  </si>
  <si>
    <t>画楼鞋(8100会无)</t>
  </si>
  <si>
    <t>7_93495</t>
  </si>
  <si>
    <t>临晨鞋(8150会招)</t>
  </si>
  <si>
    <t>7_90449</t>
  </si>
  <si>
    <t>少雪靴(8600力道纯破)</t>
  </si>
  <si>
    <t>7_90233</t>
  </si>
  <si>
    <t>7_90473</t>
  </si>
  <si>
    <t>7_93681</t>
  </si>
  <si>
    <t>分石鞋(9100招无)</t>
  </si>
  <si>
    <t>7_90269</t>
  </si>
  <si>
    <t>7_91388</t>
  </si>
  <si>
    <t>7_91389</t>
  </si>
  <si>
    <t>7_91390</t>
  </si>
  <si>
    <t>7_91421</t>
  </si>
  <si>
    <t>7_91420</t>
  </si>
  <si>
    <t>7_91422</t>
  </si>
  <si>
    <t>临晨鞋(9450会招)</t>
  </si>
  <si>
    <t>7_90497</t>
  </si>
  <si>
    <t>7_90683</t>
  </si>
  <si>
    <t>7_94041</t>
  </si>
  <si>
    <t>7_91454</t>
  </si>
  <si>
    <t>7_91453</t>
  </si>
  <si>
    <t>7_91452</t>
  </si>
  <si>
    <t>垣翰靴(10000招破)</t>
  </si>
  <si>
    <t>7_90377</t>
  </si>
  <si>
    <t>项昌靴(10000招破)</t>
  </si>
  <si>
    <t>7_90617</t>
  </si>
  <si>
    <t>曲郦靴(10000速招)</t>
  </si>
  <si>
    <t>7_90581</t>
  </si>
  <si>
    <t>重关履(10000速无)</t>
  </si>
  <si>
    <t>7_90341</t>
  </si>
  <si>
    <t>拭江靴(10000速无)</t>
  </si>
  <si>
    <t>7_90653</t>
  </si>
  <si>
    <t>7_90797</t>
  </si>
  <si>
    <t>忆敬履(10000会招)</t>
  </si>
  <si>
    <t>7_90413</t>
  </si>
  <si>
    <t>羡双靴(10000会无)</t>
  </si>
  <si>
    <t>7_90545</t>
  </si>
  <si>
    <t>7_90719</t>
  </si>
  <si>
    <t>7_92499</t>
  </si>
  <si>
    <t>7_91484</t>
  </si>
  <si>
    <t>7_91485</t>
  </si>
  <si>
    <t>7_91486</t>
  </si>
  <si>
    <t>临晨鞋(10100会招)</t>
  </si>
  <si>
    <t>7_90521</t>
  </si>
  <si>
    <t>7_90894</t>
  </si>
  <si>
    <t>7_90930</t>
  </si>
  <si>
    <t>7_91517</t>
  </si>
  <si>
    <t>7_91516</t>
  </si>
  <si>
    <t>7_91518</t>
  </si>
  <si>
    <t>7_94168</t>
  </si>
  <si>
    <t>7_91550</t>
  </si>
  <si>
    <t>7_91549</t>
  </si>
  <si>
    <t>7_91548</t>
  </si>
  <si>
    <t>7_91580</t>
  </si>
  <si>
    <t>7_91581</t>
  </si>
  <si>
    <t>7_91582</t>
  </si>
  <si>
    <t>7_91110</t>
  </si>
  <si>
    <t>7_94204</t>
  </si>
  <si>
    <t>7_94673</t>
  </si>
  <si>
    <t>7_91207</t>
  </si>
  <si>
    <t>7_90966</t>
  </si>
  <si>
    <t>7_91243</t>
  </si>
  <si>
    <t>7_91303</t>
  </si>
  <si>
    <t>无封鞋(11500精简攻招无)</t>
  </si>
  <si>
    <t>7_94537</t>
  </si>
  <si>
    <t>无封鞋(11500精简攻破)</t>
  </si>
  <si>
    <t>7_94536</t>
  </si>
  <si>
    <t>7_94538</t>
  </si>
  <si>
    <t>无封鞋(12100精简攻招破无)</t>
  </si>
  <si>
    <t>7_94562</t>
  </si>
  <si>
    <t>无封鞋(12100精简攻会破)</t>
  </si>
  <si>
    <t>7_94561</t>
  </si>
  <si>
    <t>无封鞋(12100精简攻会)</t>
  </si>
  <si>
    <t>7_94560</t>
  </si>
  <si>
    <t>7_94282</t>
  </si>
  <si>
    <t>7_94379</t>
  </si>
  <si>
    <t>7_94577</t>
  </si>
  <si>
    <t>7_94415</t>
  </si>
  <si>
    <t>7_94475</t>
  </si>
  <si>
    <t>7_90299</t>
  </si>
  <si>
    <t>崇月腰带(8100招破)</t>
  </si>
  <si>
    <t>7_90155</t>
  </si>
  <si>
    <t>画楼带(8100招破)</t>
  </si>
  <si>
    <t>7_93489</t>
  </si>
  <si>
    <t>临岳腰带(8150破无)</t>
  </si>
  <si>
    <t>7_90443</t>
  </si>
  <si>
    <t>少雪护腰(8600力道纯会)</t>
  </si>
  <si>
    <t>7_90227</t>
  </si>
  <si>
    <t>7_93675</t>
  </si>
  <si>
    <t>7_90467</t>
  </si>
  <si>
    <t>分石带(9100招破)</t>
  </si>
  <si>
    <t>7_90263</t>
  </si>
  <si>
    <t>临岳腰带(9450破无)</t>
  </si>
  <si>
    <t>7_90491</t>
  </si>
  <si>
    <t>7_95807</t>
  </si>
  <si>
    <t>7_94035</t>
  </si>
  <si>
    <t>重关带(10000招无)</t>
  </si>
  <si>
    <t>7_90335</t>
  </si>
  <si>
    <t>曲郦腰带(10000招破)</t>
  </si>
  <si>
    <t>7_90575</t>
  </si>
  <si>
    <t>7_92493</t>
  </si>
  <si>
    <t>拭江腰带(10000速招)</t>
  </si>
  <si>
    <t>7_90647</t>
  </si>
  <si>
    <t>7_90713</t>
  </si>
  <si>
    <t>忆敬带(10000速无)</t>
  </si>
  <si>
    <t>7_90407</t>
  </si>
  <si>
    <t>垣翰带(10000破无)</t>
  </si>
  <si>
    <t>7_90371</t>
  </si>
  <si>
    <t>项昌腰带(10000破无)</t>
  </si>
  <si>
    <t>7_90611</t>
  </si>
  <si>
    <t>7_94098</t>
  </si>
  <si>
    <t>羡双腰带(10000会无)</t>
  </si>
  <si>
    <t>7_90539</t>
  </si>
  <si>
    <t>7_90768</t>
  </si>
  <si>
    <t>7_95813</t>
  </si>
  <si>
    <t>临岳腰带(10100破无)</t>
  </si>
  <si>
    <t>7_90515</t>
  </si>
  <si>
    <t>7_90924</t>
  </si>
  <si>
    <t>7_90888</t>
  </si>
  <si>
    <t>7_94162</t>
  </si>
  <si>
    <t>7_95819</t>
  </si>
  <si>
    <t>7_94667</t>
  </si>
  <si>
    <t>7_94198</t>
  </si>
  <si>
    <t>7_91081</t>
  </si>
  <si>
    <t>7_91237</t>
  </si>
  <si>
    <t>7_91201</t>
  </si>
  <si>
    <t>7_90960</t>
  </si>
  <si>
    <t>7_91269</t>
  </si>
  <si>
    <t>7_91268</t>
  </si>
  <si>
    <t>7_91272</t>
  </si>
  <si>
    <t>7_91270</t>
  </si>
  <si>
    <t>7_95825</t>
  </si>
  <si>
    <t>7_91297</t>
  </si>
  <si>
    <t>7_94253</t>
  </si>
  <si>
    <t>7_94409</t>
  </si>
  <si>
    <t>7_94373</t>
  </si>
  <si>
    <t>7_94571</t>
  </si>
  <si>
    <t>7_94441</t>
  </si>
  <si>
    <t>7_94440</t>
  </si>
  <si>
    <t>7_94444</t>
  </si>
  <si>
    <t>7_94442</t>
  </si>
  <si>
    <t>7_94469</t>
  </si>
  <si>
    <t>8_34069</t>
  </si>
  <si>
    <t>崇月坠(8100力道纯会)</t>
  </si>
  <si>
    <t>8_33997</t>
  </si>
  <si>
    <t>画楼坠(8100会无)</t>
  </si>
  <si>
    <t>8_35563</t>
  </si>
  <si>
    <t>临梧坠(8150会招)</t>
  </si>
  <si>
    <t>8_34141</t>
  </si>
  <si>
    <t>少雪坠(8600速招)</t>
  </si>
  <si>
    <t>8_34033</t>
  </si>
  <si>
    <t>8_34159</t>
  </si>
  <si>
    <t>8_35656</t>
  </si>
  <si>
    <t>分石坠(9100会无)</t>
  </si>
  <si>
    <t>8_34051</t>
  </si>
  <si>
    <t>8_34465</t>
  </si>
  <si>
    <t>8_34464</t>
  </si>
  <si>
    <t>8_34466</t>
  </si>
  <si>
    <t>8_35914</t>
  </si>
  <si>
    <t>8_34481</t>
  </si>
  <si>
    <t>8_34482</t>
  </si>
  <si>
    <t>8_34480</t>
  </si>
  <si>
    <t>临梧坠(9450会招)</t>
  </si>
  <si>
    <t>8_34177</t>
  </si>
  <si>
    <t>8_34401</t>
  </si>
  <si>
    <t>8_34496</t>
  </si>
  <si>
    <t>8_34497</t>
  </si>
  <si>
    <t>8_34498</t>
  </si>
  <si>
    <t>重关佩(10000招无)</t>
  </si>
  <si>
    <t>8_34087</t>
  </si>
  <si>
    <t>垣翰佩(10000速招)</t>
  </si>
  <si>
    <t>8_34105</t>
  </si>
  <si>
    <t>羡双坠(10000速无)</t>
  </si>
  <si>
    <t>8_34213</t>
  </si>
  <si>
    <t>项昌坠(10000破无)</t>
  </si>
  <si>
    <t>8_34249</t>
  </si>
  <si>
    <t>曲郦坠(10000会招)</t>
  </si>
  <si>
    <t>8_34231</t>
  </si>
  <si>
    <t>忆敬坠(10000会无)</t>
  </si>
  <si>
    <t>8_34123</t>
  </si>
  <si>
    <t>拭江坠(10000会无)</t>
  </si>
  <si>
    <t>8_34267</t>
  </si>
  <si>
    <t>8_34513</t>
  </si>
  <si>
    <t>8_34512</t>
  </si>
  <si>
    <t>8_34514</t>
  </si>
  <si>
    <t>临梧坠(10100会招)</t>
  </si>
  <si>
    <t>8_34195</t>
  </si>
  <si>
    <t>8_34413</t>
  </si>
  <si>
    <t>8_34297</t>
  </si>
  <si>
    <t>8_34315</t>
  </si>
  <si>
    <t>8_34529</t>
  </si>
  <si>
    <t>8_34530</t>
  </si>
  <si>
    <t>8_34528</t>
  </si>
  <si>
    <t>8_37739</t>
  </si>
  <si>
    <t>8_37677</t>
  </si>
  <si>
    <t>8_34544</t>
  </si>
  <si>
    <t>8_34545</t>
  </si>
  <si>
    <t>8_34546</t>
  </si>
  <si>
    <t>8_34425</t>
  </si>
  <si>
    <t>8_34561</t>
  </si>
  <si>
    <t>8_34560</t>
  </si>
  <si>
    <t>8_34562</t>
  </si>
  <si>
    <t>8_37751</t>
  </si>
  <si>
    <t>8_34351</t>
  </si>
  <si>
    <t>8_34333</t>
  </si>
  <si>
    <t>8_34369</t>
  </si>
  <si>
    <t>8_34381</t>
  </si>
  <si>
    <t>8_34437</t>
  </si>
  <si>
    <t>无封腰坠(11500精简攻会破)</t>
  </si>
  <si>
    <t>8_37795</t>
  </si>
  <si>
    <t>8_37796</t>
  </si>
  <si>
    <t>无封腰坠(11500精简攻会)</t>
  </si>
  <si>
    <t>8_37794</t>
  </si>
  <si>
    <t>8_37763</t>
  </si>
  <si>
    <t>无封腰坠(12100精简攻破)</t>
  </si>
  <si>
    <t>8_37806</t>
  </si>
  <si>
    <t>无封腰坠(12100精简攻会无)</t>
  </si>
  <si>
    <t>8_37807</t>
  </si>
  <si>
    <t>无封腰坠(12100精简攻会破无)</t>
  </si>
  <si>
    <t>8_37808</t>
  </si>
  <si>
    <t>8_37689</t>
  </si>
  <si>
    <t>8_37707</t>
  </si>
  <si>
    <t>8_37817</t>
  </si>
  <si>
    <t>8_37775</t>
  </si>
  <si>
    <t>6_29732</t>
  </si>
  <si>
    <t>6_30855</t>
  </si>
  <si>
    <t>6_32079</t>
  </si>
  <si>
    <t>6_32108</t>
  </si>
  <si>
    <t>6_32171</t>
  </si>
  <si>
    <t>6_33082</t>
  </si>
  <si>
    <t>6_33112</t>
  </si>
  <si>
    <t>6_32392</t>
  </si>
  <si>
    <t>洛山枪(8100招破)</t>
  </si>
  <si>
    <t>6_33992</t>
  </si>
  <si>
    <t>顾望枪(8100力道纯会)</t>
  </si>
  <si>
    <t>6_32248</t>
  </si>
  <si>
    <t>6_34348</t>
  </si>
  <si>
    <t>安魂(8600力道纯破)</t>
  </si>
  <si>
    <t>6_32320</t>
  </si>
  <si>
    <t>6_34079</t>
  </si>
  <si>
    <t>6_34378</t>
  </si>
  <si>
    <t>犹共水(9100破无)</t>
  </si>
  <si>
    <t>6_32356</t>
  </si>
  <si>
    <t>6_34408</t>
  </si>
  <si>
    <t>6_34272</t>
  </si>
  <si>
    <t>红缨枪·外·断浪(9500破无)</t>
  </si>
  <si>
    <t>6_33956</t>
  </si>
  <si>
    <t>6_34318</t>
  </si>
  <si>
    <t>6_32710</t>
  </si>
  <si>
    <t>乔凌枪(10000招破)</t>
  </si>
  <si>
    <t>6_32668</t>
  </si>
  <si>
    <t>念河山(10000速招)</t>
  </si>
  <si>
    <t>6_32464</t>
  </si>
  <si>
    <t>麟月枪(10000速招)</t>
  </si>
  <si>
    <t>6_32596</t>
  </si>
  <si>
    <t>新收烽火(10000破无)</t>
  </si>
  <si>
    <t>6_32428</t>
  </si>
  <si>
    <t>断北枪(10000破无)</t>
  </si>
  <si>
    <t>6_32560</t>
  </si>
  <si>
    <t>6_33454</t>
  </si>
  <si>
    <t>6_34478</t>
  </si>
  <si>
    <t>麟阁(10000会招)</t>
  </si>
  <si>
    <t>6_32500</t>
  </si>
  <si>
    <t>应雷枪(10000会招)</t>
  </si>
  <si>
    <t>6_32632</t>
  </si>
  <si>
    <t>6_32740</t>
  </si>
  <si>
    <t>6_32782</t>
  </si>
  <si>
    <t>6_34638</t>
  </si>
  <si>
    <t>6_34528</t>
  </si>
  <si>
    <t>6_34924</t>
  </si>
  <si>
    <t>6_34668</t>
  </si>
  <si>
    <t>6_32824</t>
  </si>
  <si>
    <t>6_32928</t>
  </si>
  <si>
    <t>6_32964</t>
  </si>
  <si>
    <t>炎枪重黎</t>
  </si>
  <si>
    <t>炎枪重黎(11300招破)</t>
  </si>
  <si>
    <t>6_34558</t>
  </si>
  <si>
    <t>6_32996</t>
  </si>
  <si>
    <t>6_34826</t>
  </si>
  <si>
    <t>6_34710</t>
  </si>
  <si>
    <t>6_34778</t>
  </si>
  <si>
    <t>阵眼</t>
    <phoneticPr fontId="11" type="noConversion"/>
  </si>
  <si>
    <t>药品辅助</t>
    <phoneticPr fontId="11" type="noConversion"/>
  </si>
  <si>
    <t>药品增强</t>
    <phoneticPr fontId="11" type="noConversion"/>
  </si>
  <si>
    <t>食品辅助</t>
    <phoneticPr fontId="11" type="noConversion"/>
  </si>
  <si>
    <t>食品增强</t>
    <phoneticPr fontId="11" type="noConversion"/>
  </si>
  <si>
    <t>磨石</t>
    <phoneticPr fontId="11" type="noConversion"/>
  </si>
  <si>
    <t>宴席</t>
    <phoneticPr fontId="11" type="noConversion"/>
  </si>
  <si>
    <t>梅花三弄·覆盖</t>
    <phoneticPr fontId="11" type="noConversion"/>
  </si>
  <si>
    <t>梅花三弄·层数</t>
    <phoneticPr fontId="11" type="noConversion"/>
  </si>
  <si>
    <t>奶增益层数</t>
    <phoneticPr fontId="11" type="noConversion"/>
  </si>
  <si>
    <t>梅花三弄·新</t>
    <phoneticPr fontId="11" type="noConversion"/>
  </si>
  <si>
    <t>秘
籍
选
择</t>
    <phoneticPr fontId="11" type="noConversion"/>
  </si>
  <si>
    <t>T增益层数</t>
    <phoneticPr fontId="11" type="noConversion"/>
  </si>
  <si>
    <t>左旋</t>
    <phoneticPr fontId="11" type="noConversion"/>
  </si>
  <si>
    <t>360攻击</t>
  </si>
  <si>
    <t>296体质</t>
  </si>
  <si>
    <t>非侠士</t>
    <phoneticPr fontId="11" type="noConversion"/>
  </si>
  <si>
    <t>天堑奇瑛</t>
    <phoneticPr fontId="11" type="noConversion"/>
  </si>
  <si>
    <t>虚韵囊</t>
  </si>
  <si>
    <t>虚韵囊(10400会招)</t>
  </si>
  <si>
    <t>风销残烟·承平囊</t>
  </si>
  <si>
    <t>风销残烟·承平囊(11000会无)</t>
  </si>
  <si>
    <t>度飞囊(11150招破)</t>
  </si>
  <si>
    <t>安衿囊</t>
  </si>
  <si>
    <t>安衿囊(12450速招)</t>
  </si>
  <si>
    <t>湖静囊</t>
  </si>
  <si>
    <t>湖静囊(12450会招)</t>
  </si>
  <si>
    <t>温刃囊</t>
  </si>
  <si>
    <t>温刃囊(12450会无)</t>
  </si>
  <si>
    <t>寻踪觅宝·盼归袖</t>
  </si>
  <si>
    <t>寻踪觅宝·盼归袖(11000招破)</t>
  </si>
  <si>
    <t>风销残烟·承平护手</t>
  </si>
  <si>
    <t>风销残烟·承平护手(11000会招)</t>
  </si>
  <si>
    <t>【门派套装】濯心·映寒护手</t>
  </si>
  <si>
    <t>【门派套装】濯心·映寒护手(12300会招)</t>
  </si>
  <si>
    <t>客行江湖·梦花护手</t>
  </si>
  <si>
    <t>客行江湖·梦花护手(12450招破)</t>
  </si>
  <si>
    <t>温刃护手</t>
  </si>
  <si>
    <t>温刃护手(12450破无)</t>
  </si>
  <si>
    <t>湖静护手</t>
  </si>
  <si>
    <t>湖静护手(12450会招)</t>
  </si>
  <si>
    <t>安衿护手</t>
  </si>
  <si>
    <t>安衿护手(12450会无)</t>
  </si>
  <si>
    <t>雨膏护腕</t>
  </si>
  <si>
    <t>雨膏护腕(12450精简体攻招破)</t>
  </si>
  <si>
    <t>夙辰护腕</t>
  </si>
  <si>
    <t>夙辰护腕(12450精简体攻招)</t>
  </si>
  <si>
    <t>精简体攻招</t>
  </si>
  <si>
    <t>制野护腕</t>
  </si>
  <si>
    <t>制野护腕(12450精简体攻破无)</t>
  </si>
  <si>
    <t>零雨护腕</t>
  </si>
  <si>
    <t>零雨护腕(12450精简体攻会无)</t>
  </si>
  <si>
    <t>雪舞袖</t>
  </si>
  <si>
    <t>雪舞袖(12600招破)</t>
  </si>
  <si>
    <t>微花戒</t>
  </si>
  <si>
    <t>微花戒(10400招破)</t>
  </si>
  <si>
    <t>8_38624</t>
  </si>
  <si>
    <t>安衿指环</t>
  </si>
  <si>
    <t>安衿指环(12450招破)</t>
  </si>
  <si>
    <t>客行江湖·梦花戒</t>
  </si>
  <si>
    <t>客行江湖·梦花戒(12450破无)</t>
  </si>
  <si>
    <t>湖静戒</t>
  </si>
  <si>
    <t>湖静戒(12450会招)</t>
  </si>
  <si>
    <t>温刃戒</t>
  </si>
  <si>
    <t>温刃戒(12450会无)</t>
  </si>
  <si>
    <t>赫风戒</t>
  </si>
  <si>
    <t>赫风戒(12450精简体攻招破)</t>
  </si>
  <si>
    <t>问岐戒</t>
  </si>
  <si>
    <t>问岐戒(12450精简体攻无)</t>
  </si>
  <si>
    <t>催时戒</t>
  </si>
  <si>
    <t>催时戒(12450精简体攻破无)</t>
  </si>
  <si>
    <t>破朝戒</t>
  </si>
  <si>
    <t>破朝戒(12450精简体攻会无)</t>
  </si>
  <si>
    <t>藏香·初</t>
  </si>
  <si>
    <t>藏香·初(10400破无)</t>
  </si>
  <si>
    <t>7_96041</t>
  </si>
  <si>
    <t>虚韵裤</t>
  </si>
  <si>
    <t>虚韵裤(10400会无)</t>
  </si>
  <si>
    <t>风销残烟·承平裤</t>
  </si>
  <si>
    <t>风销残烟·承平裤(11000招破)</t>
  </si>
  <si>
    <t>温刃裤</t>
  </si>
  <si>
    <t>温刃裤(12450招破)</t>
  </si>
  <si>
    <t>安衿裤</t>
  </si>
  <si>
    <t>安衿裤(12450速无)</t>
  </si>
  <si>
    <t>客行江湖·梦花下裳</t>
  </si>
  <si>
    <t>客行江湖·梦花下裳(12450破无)</t>
  </si>
  <si>
    <t>湖静裤</t>
  </si>
  <si>
    <t>湖静裤(12450会招)</t>
  </si>
  <si>
    <t>锦堂裤</t>
  </si>
  <si>
    <t>锦堂裤(12450精简体攻招破)</t>
  </si>
  <si>
    <t>泛景裤</t>
  </si>
  <si>
    <t>泛景裤(12450精简体攻招)</t>
  </si>
  <si>
    <t>不暇裤</t>
  </si>
  <si>
    <t>不暇裤(12450精简体攻破无)</t>
  </si>
  <si>
    <t>思柔裤</t>
  </si>
  <si>
    <t>思柔裤(12450精简体攻会无)</t>
  </si>
  <si>
    <t>雪舞裤</t>
  </si>
  <si>
    <t>雪舞裤(12600会无)</t>
  </si>
  <si>
    <t>虚韵帽</t>
  </si>
  <si>
    <t>虚韵帽(10400招破)</t>
  </si>
  <si>
    <t>寻踪觅宝·盼归帽</t>
  </si>
  <si>
    <t>寻踪觅宝·盼归帽(11000会无)</t>
  </si>
  <si>
    <t>风销残烟·承平冠</t>
  </si>
  <si>
    <t>风销残烟·承平冠(11000会无)</t>
  </si>
  <si>
    <t>【门派套装】濯心·映寒冠</t>
  </si>
  <si>
    <t>【门派套装】濯心·映寒冠(12300招破)</t>
  </si>
  <si>
    <t>温刃冠</t>
  </si>
  <si>
    <t>温刃冠(12450速招)</t>
  </si>
  <si>
    <t>客行江湖·梦花冠</t>
  </si>
  <si>
    <t>客行江湖·梦花冠(12450会招)</t>
  </si>
  <si>
    <t>湖静冠</t>
  </si>
  <si>
    <t>湖静冠(12450会招)</t>
  </si>
  <si>
    <t>安衿冠</t>
  </si>
  <si>
    <t>安衿冠(12450会无)</t>
  </si>
  <si>
    <t>雪舞冠</t>
  </si>
  <si>
    <t>雪舞冠(12600会招)</t>
  </si>
  <si>
    <t>虚韵衣</t>
  </si>
  <si>
    <t>虚韵衣(10400招无)</t>
  </si>
  <si>
    <t>风销残烟·承平衣</t>
  </si>
  <si>
    <t>风销残烟·承平衣(11000招破)</t>
  </si>
  <si>
    <t>寻踪觅宝·盼归衣</t>
  </si>
  <si>
    <t>寻踪觅宝·盼归衣(11000速招)</t>
  </si>
  <si>
    <t>【门派套装】濯心·映寒衣</t>
  </si>
  <si>
    <t>【门派套装】濯心·映寒衣(12300会无)</t>
  </si>
  <si>
    <t>安衿衫</t>
  </si>
  <si>
    <t>安衿衫(12450招破)</t>
  </si>
  <si>
    <t>温刃衣</t>
  </si>
  <si>
    <t>温刃衣(12450会招)</t>
  </si>
  <si>
    <t>湖静衣</t>
  </si>
  <si>
    <t>湖静衣(12450会无)</t>
  </si>
  <si>
    <t>雪舞衣</t>
  </si>
  <si>
    <t>雪舞衣(12600破无)</t>
  </si>
  <si>
    <t>定酣链</t>
  </si>
  <si>
    <t>定酣链(10350招破)</t>
  </si>
  <si>
    <t>虚韵链</t>
  </si>
  <si>
    <t>虚韵链(10400破无)</t>
  </si>
  <si>
    <t>定酣链(11100招破)</t>
  </si>
  <si>
    <t>定酣链(11850招破)</t>
  </si>
  <si>
    <t>安衿链</t>
  </si>
  <si>
    <t>安衿链(12450破无)</t>
  </si>
  <si>
    <t>湖静链</t>
  </si>
  <si>
    <t>湖静链(12450会招)</t>
  </si>
  <si>
    <t>温刃链</t>
  </si>
  <si>
    <t>温刃链(12450会无)</t>
  </si>
  <si>
    <t>定酣链(12600招破)</t>
  </si>
  <si>
    <t>虚韵靴</t>
  </si>
  <si>
    <t>虚韵靴(10400破无)</t>
  </si>
  <si>
    <t>寻踪觅宝·盼归靴</t>
  </si>
  <si>
    <t>寻踪觅宝·盼归靴(11000会无)</t>
  </si>
  <si>
    <t>风销残烟·承平靴</t>
  </si>
  <si>
    <t>风销残烟·承平靴(11000会无)</t>
  </si>
  <si>
    <t>【门派套装】濯心·映寒靴</t>
  </si>
  <si>
    <t>【门派套装】濯心·映寒靴(12300破无)</t>
  </si>
  <si>
    <t>安衿靴</t>
  </si>
  <si>
    <t>安衿靴(12450速招)</t>
  </si>
  <si>
    <t>湖静靴</t>
  </si>
  <si>
    <t>湖静靴(12450会招)</t>
  </si>
  <si>
    <t>温刃靴</t>
  </si>
  <si>
    <t>温刃靴(12450会无)</t>
  </si>
  <si>
    <t>雪舞靴</t>
  </si>
  <si>
    <t>雪舞靴(12600招破)</t>
  </si>
  <si>
    <t>虚韵带</t>
  </si>
  <si>
    <t>虚韵带(10400会无)</t>
  </si>
  <si>
    <t>风销残烟·承平腰带</t>
  </si>
  <si>
    <t>风销残烟·承平腰带(11000招破)</t>
  </si>
  <si>
    <t>寻踪觅宝·盼归腰带</t>
  </si>
  <si>
    <t>寻踪觅宝·盼归腰带(11000速招)</t>
  </si>
  <si>
    <t>【门派套装】濯心·映寒腰带</t>
  </si>
  <si>
    <t>【门派套装】濯心·映寒腰带(12300会无)</t>
  </si>
  <si>
    <t>温刃带</t>
  </si>
  <si>
    <t>温刃带(12450速招)</t>
  </si>
  <si>
    <t>安衿腰带</t>
  </si>
  <si>
    <t>安衿腰带(12450破无)</t>
  </si>
  <si>
    <t>湖静腰带</t>
  </si>
  <si>
    <t>湖静腰带(12450会招)</t>
  </si>
  <si>
    <t>聚远腰带</t>
  </si>
  <si>
    <t>聚远腰带(12450精简体攻招破)</t>
  </si>
  <si>
    <t>束缊腰带</t>
  </si>
  <si>
    <t>束缊腰带(12450精简体攻无)</t>
  </si>
  <si>
    <t>泽及腰带</t>
  </si>
  <si>
    <t>泽及腰带(12450精简体攻破无)</t>
  </si>
  <si>
    <t>沧鳞腰带</t>
  </si>
  <si>
    <t>沧鳞腰带(12450精简体攻会无)</t>
  </si>
  <si>
    <t>雪舞腰带</t>
  </si>
  <si>
    <t>雪舞腰带(12600会招)</t>
  </si>
  <si>
    <t>定酣坠</t>
  </si>
  <si>
    <t>定酣坠(10350会无)</t>
  </si>
  <si>
    <t>虚韵坠</t>
  </si>
  <si>
    <t>虚韵坠(10400破无)</t>
  </si>
  <si>
    <t>定酣坠(11100会无)</t>
  </si>
  <si>
    <t>定酣坠(11850会无)</t>
  </si>
  <si>
    <t>安衿坠</t>
  </si>
  <si>
    <t>安衿坠(12450招破)</t>
  </si>
  <si>
    <t>温刃坠</t>
  </si>
  <si>
    <t>温刃坠(12450会招)</t>
  </si>
  <si>
    <t>湖静坠</t>
  </si>
  <si>
    <t>湖静坠(12450会招)</t>
  </si>
  <si>
    <t>恸黄沙</t>
  </si>
  <si>
    <t>恸黄沙(12450特效破无)</t>
  </si>
  <si>
    <t>定酣坠(12600会无)</t>
  </si>
  <si>
    <t>旷野孤疆(9800大橙武)</t>
  </si>
  <si>
    <t>6_35572</t>
  </si>
  <si>
    <t>旷野孤疆(10300大橙武)</t>
  </si>
  <si>
    <t>6_35602</t>
  </si>
  <si>
    <t>虚范枪</t>
  </si>
  <si>
    <t>虚范枪(10400会无)</t>
  </si>
  <si>
    <t>风销残烟·起岩风</t>
  </si>
  <si>
    <t>风销残烟·起岩风(11000破无)</t>
  </si>
  <si>
    <t>寻踪觅宝·风吟枪</t>
  </si>
  <si>
    <t>寻踪觅宝·风吟枪(11000会招)</t>
  </si>
  <si>
    <t>心存长志</t>
  </si>
  <si>
    <t>心存长志(12450招破)</t>
  </si>
  <si>
    <t>千里悲</t>
  </si>
  <si>
    <t>千里悲(12450会无)</t>
  </si>
  <si>
    <t>化山川</t>
  </si>
  <si>
    <t>化山川(12450特效破无)</t>
  </si>
  <si>
    <t>热血山河</t>
  </si>
  <si>
    <t>热血山河(12600会招)</t>
  </si>
  <si>
    <t>无封囊(9100精简攻会会招)</t>
  </si>
  <si>
    <t>精简攻会会招</t>
  </si>
  <si>
    <t>无封囊(9100精简攻会会)</t>
  </si>
  <si>
    <t>精简攻会会</t>
  </si>
  <si>
    <t>无封囊(9700精简攻会会破)</t>
  </si>
  <si>
    <t>精简攻会会破</t>
  </si>
  <si>
    <t>无封囊(10000精简攻会会招)</t>
  </si>
  <si>
    <t>无封囊(10000精简攻会会)</t>
  </si>
  <si>
    <t>无封囊(10600精简攻会会破)</t>
  </si>
  <si>
    <t>无封囊(10900精简攻会会招)</t>
  </si>
  <si>
    <t>无封囊(10900精简攻会会)</t>
  </si>
  <si>
    <t>无封囊(12100精简攻会会破)</t>
  </si>
  <si>
    <t>无封护臂(9100精简攻会会破)</t>
  </si>
  <si>
    <t>无封护臂(9400精简攻会会招)</t>
  </si>
  <si>
    <t>无封护臂(9400精简攻会会)</t>
  </si>
  <si>
    <t>无封护臂(9700精简攻会会无)</t>
  </si>
  <si>
    <t>精简攻会会无</t>
  </si>
  <si>
    <t>无封护臂(10000精简攻会会破)</t>
  </si>
  <si>
    <t>无封护臂(10300精简攻会会招)</t>
  </si>
  <si>
    <t>无封护臂(10300精简攻会会)</t>
  </si>
  <si>
    <t>无封护臂(10600精简攻会会无)</t>
  </si>
  <si>
    <t>无封护臂(10900精简攻会会破)</t>
  </si>
  <si>
    <t>无封护臂(11500精简攻会会招)</t>
  </si>
  <si>
    <t>无封护臂(11500精简攻会会)</t>
  </si>
  <si>
    <t>无封护臂(12100精简攻会会无)</t>
  </si>
  <si>
    <t>无封头饰(9700精简攻会会)</t>
  </si>
  <si>
    <t>无封头饰(10600精简攻会会)</t>
  </si>
  <si>
    <t>无封头饰(12100精简攻会会)</t>
  </si>
  <si>
    <t>无封项链(9700精简攻会会招)</t>
  </si>
  <si>
    <t>无封项链(10600精简攻会会招)</t>
  </si>
  <si>
    <t>无封项链(12100精简攻会会招)</t>
  </si>
  <si>
    <t>无封鞋(9400精简攻会会无)</t>
  </si>
  <si>
    <t>无封鞋(10300精简攻会会无)</t>
  </si>
  <si>
    <t>无封鞋(11500精简攻会会无)</t>
  </si>
  <si>
    <t>无封腰坠(9100精简攻会会无)</t>
  </si>
  <si>
    <t>无封腰坠(9400精简攻会会破)</t>
  </si>
  <si>
    <t>无封腰坠(10000精简攻会会无)</t>
  </si>
  <si>
    <t>无封腰坠(10300精简攻会会破)</t>
  </si>
  <si>
    <t>无封腰坠(10900精简攻会会无)</t>
  </si>
  <si>
    <t>无封腰坠(11500精简攻会会破)</t>
  </si>
  <si>
    <t>计算增益</t>
  </si>
  <si>
    <t>2雪舞</t>
    <phoneticPr fontId="11" type="noConversion"/>
  </si>
  <si>
    <t>4雪舞</t>
    <phoneticPr fontId="11" type="noConversion"/>
  </si>
  <si>
    <t>天堑奇瑛·伤·帽</t>
  </si>
  <si>
    <t>天堑奇瑛·伤·衣</t>
  </si>
  <si>
    <t>强身·辅(奇遇·全属性)</t>
    <phoneticPr fontId="11" type="noConversion"/>
  </si>
  <si>
    <t>强身·增(奇遇·攻)</t>
    <phoneticPr fontId="11" type="noConversion"/>
  </si>
  <si>
    <t>炼气·辅(奇遇·全属性)</t>
    <phoneticPr fontId="11" type="noConversion"/>
  </si>
  <si>
    <t>炼气·增(奇遇·攻)</t>
    <phoneticPr fontId="11" type="noConversion"/>
  </si>
  <si>
    <t>240无双</t>
  </si>
  <si>
    <t>天堑奇瑛·伤·腰</t>
  </si>
  <si>
    <t>恸黄沙</t>
    <phoneticPr fontId="11" type="noConversion"/>
  </si>
  <si>
    <t>濯心·映寒护手</t>
  </si>
  <si>
    <t>濯心·映寒冠</t>
  </si>
  <si>
    <t>濯心·映寒衣</t>
  </si>
  <si>
    <t>濯心·映寒靴</t>
  </si>
  <si>
    <t>濯心·映寒腰带</t>
  </si>
  <si>
    <t>天堑奇瑛·伤·腕</t>
  </si>
  <si>
    <t>天堑奇瑛·伤·鞋</t>
  </si>
  <si>
    <t>静山囊</t>
  </si>
  <si>
    <t>静山囊(9500破无)</t>
  </si>
  <si>
    <t>静山囊(10100破无)</t>
  </si>
  <si>
    <t>静山囊(10700破无)</t>
  </si>
  <si>
    <t>静山囊(11300破无)</t>
  </si>
  <si>
    <t>微花囊</t>
  </si>
  <si>
    <t>微花囊(12450招破)</t>
  </si>
  <si>
    <t>碧天长·泽</t>
  </si>
  <si>
    <t>碧天长·泽(7800大橙武)</t>
  </si>
  <si>
    <t>碧天长·泽(8400大橙武)</t>
  </si>
  <si>
    <t>碧天长·泽(9300大橙武)</t>
  </si>
  <si>
    <t>无虞·撼地链(10000破无)</t>
  </si>
  <si>
    <t>静山腰带</t>
  </si>
  <si>
    <t>静山腰带(9500招破)</t>
  </si>
  <si>
    <t>静山腰带(10100招破)</t>
  </si>
  <si>
    <t>静山腰带(10700招破)</t>
  </si>
  <si>
    <t>静山腰带(11300招破)</t>
  </si>
  <si>
    <t>无虞·撼地坠(10000会无)</t>
  </si>
  <si>
    <t>8_37719</t>
  </si>
  <si>
    <t>6_34740</t>
  </si>
  <si>
    <t>723加速</t>
  </si>
  <si>
    <t>799加速</t>
  </si>
  <si>
    <t>799无双</t>
  </si>
  <si>
    <t>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</si>
</sst>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76" formatCode="0.0"/>
    <numFmt numFmtId="177" formatCode="0.0000%"/>
    <numFmt numFmtId="178" formatCode="000000"/>
    <numFmt numFmtId="179" formatCode="0.000_ "/>
    <numFmt numFmtId="180" formatCode="0.000"/>
    <numFmt numFmtId="181" formatCode="0.000000000"/>
    <numFmt numFmtId="182" formatCode="0.00_ "/>
    <numFmt numFmtId="183" formatCode="0.000%"/>
    <numFmt numFmtId="184" formatCode="0.00_);[Red]\(0.00\)"/>
    <numFmt numFmtId="185" formatCode="0_);[Red]\(0\)"/>
    <numFmt numFmtId="186" formatCode="0.0%"/>
    <numFmt numFmtId="187" formatCode="0.00000%"/>
    <numFmt numFmtId="188" formatCode="0.000000000000000%"/>
    <numFmt numFmtId="189" formatCode="0.00000000%"/>
    <numFmt numFmtId="190" formatCode="0.00000000000000%"/>
    <numFmt numFmtId="191" formatCode="0.000000"/>
    <numFmt numFmtId="192" formatCode="0.0000000"/>
    <numFmt numFmtId="193" formatCode="0.0000000000%"/>
    <numFmt numFmtId="194" formatCode="0.00000000000000000%"/>
  </numFmts>
  <fonts count="26" x14ac:knownFonts="1">
    <font>
      <sz val="11"/>
      <color theme="1"/>
      <name val="微软雅黑"/>
      <charset val="134"/>
    </font>
    <font>
      <sz val="11"/>
      <color rgb="FF7030A0"/>
      <name val="微软雅黑"/>
      <family val="2"/>
      <charset val="134"/>
    </font>
    <font>
      <sz val="24"/>
      <color rgb="FFFF0000"/>
      <name val="华文新魏"/>
      <family val="3"/>
      <charset val="134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9C0006"/>
      <name val="宋体"/>
      <family val="3"/>
      <charset val="134"/>
      <scheme val="minor"/>
    </font>
    <font>
      <sz val="11"/>
      <name val="华文细黑"/>
      <family val="3"/>
      <charset val="134"/>
    </font>
    <font>
      <sz val="9"/>
      <color rgb="FF000000"/>
      <name val="Microsoft YaHei UI"/>
      <family val="2"/>
      <charset val="134"/>
    </font>
    <font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color indexed="81"/>
      <name val="华文细黑"/>
      <family val="3"/>
      <charset val="134"/>
    </font>
    <font>
      <b/>
      <sz val="9"/>
      <color indexed="81"/>
      <name val="宋体"/>
      <family val="3"/>
      <charset val="134"/>
    </font>
    <font>
      <b/>
      <u/>
      <sz val="11"/>
      <color theme="10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28"/>
      <color rgb="FFFF0000"/>
      <name val="华文新魏"/>
      <family val="3"/>
      <charset val="134"/>
    </font>
    <font>
      <b/>
      <sz val="12"/>
      <color rgb="FFFF0000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u/>
      <sz val="11"/>
      <color theme="0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sz val="9"/>
      <color theme="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6" tint="0.79989013336588644"/>
        <bgColor indexed="64"/>
      </patternFill>
    </fill>
    <fill>
      <patternFill patternType="solid">
        <fgColor theme="4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10">
    <xf numFmtId="0" fontId="0" fillId="0" borderId="0">
      <alignment vertical="center"/>
    </xf>
    <xf numFmtId="0" fontId="5" fillId="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9" fontId="18" fillId="0" borderId="0" applyFont="0" applyFill="0" applyBorder="0" applyAlignment="0" applyProtection="0">
      <alignment vertical="center"/>
    </xf>
  </cellStyleXfs>
  <cellXfs count="2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177" fontId="0" fillId="0" borderId="0" xfId="2" applyNumberFormat="1" applyFont="1" applyBorder="1" applyAlignment="1" applyProtection="1">
      <alignment horizontal="center" vertical="center"/>
    </xf>
    <xf numFmtId="0" fontId="0" fillId="0" borderId="3" xfId="0" applyBorder="1">
      <alignment vertical="center"/>
    </xf>
    <xf numFmtId="0" fontId="3" fillId="0" borderId="3" xfId="0" applyFont="1" applyBorder="1">
      <alignment vertical="center"/>
    </xf>
    <xf numFmtId="0" fontId="0" fillId="0" borderId="3" xfId="0" applyBorder="1" applyAlignment="1">
      <alignment horizontal="center" vertical="center"/>
    </xf>
    <xf numFmtId="10" fontId="0" fillId="0" borderId="3" xfId="2" applyNumberFormat="1" applyFont="1" applyFill="1" applyBorder="1">
      <alignment vertical="center"/>
    </xf>
    <xf numFmtId="177" fontId="0" fillId="0" borderId="3" xfId="2" applyNumberFormat="1" applyFon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10" fontId="0" fillId="0" borderId="3" xfId="2" applyNumberFormat="1" applyFon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7" fontId="0" fillId="0" borderId="0" xfId="2" applyNumberFormat="1" applyFont="1">
      <alignment vertical="center"/>
    </xf>
    <xf numFmtId="1" fontId="2" fillId="0" borderId="0" xfId="0" applyNumberFormat="1" applyFont="1">
      <alignment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3" borderId="4" xfId="0" applyFill="1" applyBorder="1" applyAlignment="1" applyProtection="1">
      <alignment horizontal="center" vertical="center"/>
      <protection locked="0"/>
    </xf>
    <xf numFmtId="1" fontId="0" fillId="0" borderId="0" xfId="0" applyNumberFormat="1">
      <alignment vertical="center"/>
    </xf>
    <xf numFmtId="10" fontId="0" fillId="0" borderId="0" xfId="0" applyNumberFormat="1">
      <alignment vertical="center"/>
    </xf>
    <xf numFmtId="10" fontId="0" fillId="0" borderId="0" xfId="2" applyNumberFormat="1" applyFont="1">
      <alignment vertical="center"/>
    </xf>
    <xf numFmtId="1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2" fontId="0" fillId="0" borderId="0" xfId="0" applyNumberFormat="1">
      <alignment vertical="center"/>
    </xf>
    <xf numFmtId="0" fontId="0" fillId="0" borderId="0" xfId="0" applyProtection="1">
      <alignment vertical="center"/>
      <protection locked="0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quotePrefix="1">
      <alignment vertical="center"/>
    </xf>
    <xf numFmtId="0" fontId="10" fillId="0" borderId="0" xfId="0" applyFont="1">
      <alignment vertical="center"/>
    </xf>
    <xf numFmtId="179" fontId="0" fillId="0" borderId="0" xfId="0" applyNumberFormat="1">
      <alignment vertical="center"/>
    </xf>
    <xf numFmtId="10" fontId="0" fillId="0" borderId="0" xfId="2" applyNumberFormat="1" applyFont="1" applyBorder="1">
      <alignment vertical="center"/>
    </xf>
    <xf numFmtId="180" fontId="0" fillId="0" borderId="0" xfId="0" applyNumberFormat="1">
      <alignment vertical="center"/>
    </xf>
    <xf numFmtId="0" fontId="6" fillId="0" borderId="0" xfId="0" applyFont="1">
      <alignment vertical="center"/>
    </xf>
    <xf numFmtId="181" fontId="0" fillId="0" borderId="0" xfId="0" applyNumberFormat="1">
      <alignment vertical="center"/>
    </xf>
    <xf numFmtId="177" fontId="0" fillId="0" borderId="0" xfId="0" applyNumberFormat="1">
      <alignment vertical="center"/>
    </xf>
    <xf numFmtId="182" fontId="0" fillId="0" borderId="0" xfId="0" applyNumberFormat="1">
      <alignment vertical="center"/>
    </xf>
    <xf numFmtId="0" fontId="6" fillId="0" borderId="0" xfId="0" applyFont="1" applyAlignment="1">
      <alignment horizontal="center" vertical="center"/>
    </xf>
    <xf numFmtId="9" fontId="0" fillId="0" borderId="0" xfId="2" applyFont="1">
      <alignment vertical="center"/>
    </xf>
    <xf numFmtId="183" fontId="0" fillId="0" borderId="0" xfId="2" applyNumberFormat="1" applyFont="1">
      <alignment vertical="center"/>
    </xf>
    <xf numFmtId="183" fontId="0" fillId="0" borderId="0" xfId="0" applyNumberFormat="1">
      <alignment vertical="center"/>
    </xf>
    <xf numFmtId="184" fontId="0" fillId="0" borderId="0" xfId="0" applyNumberFormat="1">
      <alignment vertical="center"/>
    </xf>
    <xf numFmtId="185" fontId="0" fillId="0" borderId="0" xfId="0" applyNumberFormat="1">
      <alignment vertical="center"/>
    </xf>
    <xf numFmtId="18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87" fontId="0" fillId="0" borderId="0" xfId="0" applyNumberFormat="1">
      <alignment vertical="center"/>
    </xf>
    <xf numFmtId="0" fontId="6" fillId="7" borderId="0" xfId="0" applyFont="1" applyFill="1">
      <alignment vertical="center"/>
    </xf>
    <xf numFmtId="0" fontId="0" fillId="7" borderId="0" xfId="2" applyNumberFormat="1" applyFont="1" applyFill="1">
      <alignment vertical="center"/>
    </xf>
    <xf numFmtId="0" fontId="0" fillId="7" borderId="0" xfId="0" applyFill="1">
      <alignment vertical="center"/>
    </xf>
    <xf numFmtId="10" fontId="0" fillId="7" borderId="0" xfId="2" applyNumberFormat="1" applyFont="1" applyFill="1">
      <alignment vertical="center"/>
    </xf>
    <xf numFmtId="188" fontId="0" fillId="0" borderId="0" xfId="0" applyNumberFormat="1">
      <alignment vertical="center"/>
    </xf>
    <xf numFmtId="0" fontId="6" fillId="0" borderId="3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6" fillId="0" borderId="3" xfId="0" applyFont="1" applyBorder="1">
      <alignment vertical="center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 wrapText="1"/>
    </xf>
    <xf numFmtId="0" fontId="0" fillId="0" borderId="6" xfId="0" applyBorder="1">
      <alignment vertical="center"/>
    </xf>
    <xf numFmtId="189" fontId="0" fillId="0" borderId="0" xfId="2" applyNumberFormat="1" applyFont="1">
      <alignment vertical="center"/>
    </xf>
    <xf numFmtId="0" fontId="0" fillId="0" borderId="2" xfId="0" applyBorder="1">
      <alignment vertical="center"/>
    </xf>
    <xf numFmtId="10" fontId="6" fillId="0" borderId="0" xfId="2" applyNumberFormat="1" applyFont="1" applyAlignment="1">
      <alignment horizontal="right" vertical="center"/>
    </xf>
    <xf numFmtId="0" fontId="0" fillId="0" borderId="5" xfId="0" applyBorder="1">
      <alignment vertical="center"/>
    </xf>
    <xf numFmtId="0" fontId="0" fillId="8" borderId="3" xfId="0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190" fontId="0" fillId="7" borderId="0" xfId="2" applyNumberFormat="1" applyFont="1" applyFill="1">
      <alignment vertical="center"/>
    </xf>
    <xf numFmtId="183" fontId="0" fillId="7" borderId="0" xfId="2" applyNumberFormat="1" applyFont="1" applyFill="1">
      <alignment vertical="center"/>
    </xf>
    <xf numFmtId="187" fontId="0" fillId="7" borderId="0" xfId="0" applyNumberFormat="1" applyFill="1">
      <alignment vertical="center"/>
    </xf>
    <xf numFmtId="10" fontId="0" fillId="7" borderId="0" xfId="0" applyNumberFormat="1" applyFill="1">
      <alignment vertical="center"/>
    </xf>
    <xf numFmtId="190" fontId="0" fillId="0" borderId="0" xfId="0" applyNumberFormat="1">
      <alignment vertical="center"/>
    </xf>
    <xf numFmtId="191" fontId="0" fillId="0" borderId="0" xfId="0" applyNumberFormat="1">
      <alignment vertical="center"/>
    </xf>
    <xf numFmtId="0" fontId="1" fillId="0" borderId="3" xfId="0" applyFont="1" applyBorder="1" applyAlignment="1" applyProtection="1">
      <alignment horizontal="center" vertical="center"/>
      <protection locked="0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4" xfId="0" applyFont="1" applyBorder="1" applyAlignment="1" applyProtection="1">
      <alignment horizontal="center" vertical="center"/>
      <protection locked="0"/>
    </xf>
    <xf numFmtId="0" fontId="6" fillId="0" borderId="14" xfId="0" applyFont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 vertical="center"/>
      <protection locked="0"/>
    </xf>
    <xf numFmtId="0" fontId="6" fillId="0" borderId="13" xfId="0" applyFont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6" fillId="0" borderId="11" xfId="0" applyFont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6" fillId="0" borderId="10" xfId="0" applyFont="1" applyBorder="1" applyAlignment="1">
      <alignment horizontal="center" vertical="center"/>
    </xf>
    <xf numFmtId="0" fontId="6" fillId="4" borderId="11" xfId="0" applyFont="1" applyFill="1" applyBorder="1" applyAlignment="1" applyProtection="1">
      <alignment horizontal="center" vertical="center"/>
      <protection locked="0"/>
    </xf>
    <xf numFmtId="0" fontId="0" fillId="0" borderId="15" xfId="0" applyBorder="1" applyAlignment="1" applyProtection="1">
      <alignment horizontal="center" vertical="center"/>
      <protection locked="0"/>
    </xf>
    <xf numFmtId="0" fontId="6" fillId="8" borderId="13" xfId="0" applyFont="1" applyFill="1" applyBorder="1" applyAlignment="1">
      <alignment horizontal="center" vertical="center"/>
    </xf>
    <xf numFmtId="10" fontId="0" fillId="0" borderId="0" xfId="2" applyNumberFormat="1" applyFont="1" applyProtection="1">
      <alignment vertical="center"/>
      <protection hidden="1"/>
    </xf>
    <xf numFmtId="0" fontId="0" fillId="0" borderId="12" xfId="0" applyBorder="1" applyAlignment="1" applyProtection="1">
      <alignment horizontal="center" vertical="center"/>
      <protection hidden="1"/>
    </xf>
    <xf numFmtId="0" fontId="0" fillId="0" borderId="10" xfId="0" applyBorder="1" applyAlignment="1" applyProtection="1">
      <alignment horizontal="center" vertical="center"/>
      <protection hidden="1"/>
    </xf>
    <xf numFmtId="0" fontId="6" fillId="0" borderId="10" xfId="0" applyFont="1" applyBorder="1" applyAlignment="1" applyProtection="1">
      <alignment horizontal="center" vertical="center"/>
      <protection hidden="1"/>
    </xf>
    <xf numFmtId="177" fontId="0" fillId="0" borderId="11" xfId="2" applyNumberFormat="1" applyFont="1" applyBorder="1" applyAlignment="1" applyProtection="1">
      <alignment horizontal="center" vertical="center"/>
      <protection hidden="1"/>
    </xf>
    <xf numFmtId="0" fontId="0" fillId="2" borderId="11" xfId="0" applyFill="1" applyBorder="1" applyAlignment="1" applyProtection="1">
      <alignment horizontal="center" vertical="center"/>
      <protection hidden="1"/>
    </xf>
    <xf numFmtId="1" fontId="0" fillId="8" borderId="11" xfId="0" applyNumberFormat="1" applyFill="1" applyBorder="1" applyAlignment="1" applyProtection="1">
      <alignment horizontal="center" vertical="center"/>
      <protection hidden="1"/>
    </xf>
    <xf numFmtId="10" fontId="0" fillId="8" borderId="11" xfId="2" applyNumberFormat="1" applyFont="1" applyFill="1" applyBorder="1" applyAlignment="1" applyProtection="1">
      <alignment horizontal="center" vertical="center"/>
      <protection hidden="1"/>
    </xf>
    <xf numFmtId="0" fontId="0" fillId="8" borderId="11" xfId="2" applyNumberFormat="1" applyFont="1" applyFill="1" applyBorder="1" applyAlignment="1" applyProtection="1">
      <alignment horizontal="center" vertic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6" fillId="0" borderId="14" xfId="0" applyFont="1" applyBorder="1" applyAlignment="1" applyProtection="1">
      <alignment horizontal="center" vertical="center"/>
      <protection hidden="1"/>
    </xf>
    <xf numFmtId="9" fontId="6" fillId="0" borderId="11" xfId="2" applyFont="1" applyFill="1" applyBorder="1" applyAlignment="1" applyProtection="1">
      <alignment horizontal="center" vertical="center"/>
      <protection locked="0"/>
    </xf>
    <xf numFmtId="0" fontId="0" fillId="0" borderId="14" xfId="0" applyBorder="1" applyAlignment="1" applyProtection="1">
      <alignment horizontal="center" vertical="center"/>
      <protection locked="0"/>
    </xf>
    <xf numFmtId="0" fontId="6" fillId="8" borderId="2" xfId="0" applyFont="1" applyFill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0" fillId="0" borderId="11" xfId="0" applyBorder="1" applyAlignment="1" applyProtection="1">
      <alignment horizontal="center" vertical="center"/>
      <protection hidden="1"/>
    </xf>
    <xf numFmtId="0" fontId="0" fillId="8" borderId="1" xfId="2" applyNumberFormat="1" applyFont="1" applyFill="1" applyBorder="1" applyAlignment="1" applyProtection="1">
      <alignment horizontal="center" vertical="center"/>
      <protection hidden="1"/>
    </xf>
    <xf numFmtId="192" fontId="0" fillId="0" borderId="0" xfId="0" applyNumberFormat="1">
      <alignment vertical="center"/>
    </xf>
    <xf numFmtId="0" fontId="0" fillId="0" borderId="21" xfId="0" applyBorder="1" applyAlignment="1" applyProtection="1">
      <alignment horizontal="center" vertical="center"/>
      <protection locked="0"/>
    </xf>
    <xf numFmtId="0" fontId="18" fillId="0" borderId="0" xfId="8">
      <alignment vertical="center"/>
    </xf>
    <xf numFmtId="0" fontId="6" fillId="0" borderId="0" xfId="8" applyFont="1">
      <alignment vertical="center"/>
    </xf>
    <xf numFmtId="10" fontId="0" fillId="0" borderId="0" xfId="9" applyNumberFormat="1" applyFont="1">
      <alignment vertical="center"/>
    </xf>
    <xf numFmtId="177" fontId="0" fillId="0" borderId="15" xfId="2" applyNumberFormat="1" applyFont="1" applyBorder="1" applyAlignment="1" applyProtection="1">
      <alignment horizontal="center" vertical="center"/>
      <protection hidden="1"/>
    </xf>
    <xf numFmtId="0" fontId="19" fillId="0" borderId="3" xfId="0" applyFont="1" applyBorder="1" applyAlignment="1" applyProtection="1">
      <alignment horizontal="center" vertical="center"/>
      <protection locked="0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 hidden="1"/>
    </xf>
    <xf numFmtId="2" fontId="6" fillId="0" borderId="0" xfId="0" applyNumberFormat="1" applyFont="1">
      <alignment vertical="center"/>
    </xf>
    <xf numFmtId="0" fontId="6" fillId="0" borderId="6" xfId="0" applyFont="1" applyBorder="1" applyAlignment="1">
      <alignment horizontal="center" vertical="center"/>
    </xf>
    <xf numFmtId="193" fontId="0" fillId="0" borderId="0" xfId="0" applyNumberFormat="1">
      <alignment vertical="center"/>
    </xf>
    <xf numFmtId="0" fontId="6" fillId="0" borderId="15" xfId="0" applyFont="1" applyBorder="1" applyAlignment="1" applyProtection="1">
      <alignment horizontal="center" vertical="center"/>
      <protection locked="0"/>
    </xf>
    <xf numFmtId="186" fontId="0" fillId="0" borderId="0" xfId="2" applyNumberFormat="1" applyFont="1" applyAlignment="1" applyProtection="1">
      <alignment horizontal="center" vertical="center"/>
      <protection hidden="1"/>
    </xf>
    <xf numFmtId="0" fontId="18" fillId="0" borderId="0" xfId="8" applyAlignment="1">
      <alignment horizontal="center" vertical="center"/>
    </xf>
    <xf numFmtId="10" fontId="0" fillId="0" borderId="0" xfId="9" applyNumberFormat="1" applyFont="1" applyAlignment="1">
      <alignment horizontal="center" vertical="center"/>
    </xf>
    <xf numFmtId="0" fontId="22" fillId="0" borderId="0" xfId="0" applyFont="1" applyAlignment="1">
      <alignment horizontal="center" vertical="top"/>
    </xf>
    <xf numFmtId="0" fontId="22" fillId="0" borderId="0" xfId="0" applyFont="1" applyAlignment="1" applyProtection="1">
      <alignment vertical="top"/>
      <protection locked="0"/>
    </xf>
    <xf numFmtId="0" fontId="0" fillId="0" borderId="0" xfId="0" applyAlignment="1" applyProtection="1">
      <alignment horizontal="center" vertical="center"/>
      <protection locked="0"/>
    </xf>
    <xf numFmtId="0" fontId="17" fillId="0" borderId="0" xfId="7" applyFont="1">
      <alignment vertical="center"/>
    </xf>
    <xf numFmtId="0" fontId="17" fillId="0" borderId="0" xfId="7" applyFont="1" applyAlignment="1" applyProtection="1">
      <alignment horizontal="center" vertical="center"/>
      <protection locked="0"/>
    </xf>
    <xf numFmtId="10" fontId="18" fillId="0" borderId="0" xfId="8" applyNumberFormat="1">
      <alignment vertical="center"/>
    </xf>
    <xf numFmtId="185" fontId="0" fillId="0" borderId="0" xfId="9" applyNumberFormat="1" applyFont="1" applyAlignment="1">
      <alignment horizontal="center" vertical="center"/>
    </xf>
    <xf numFmtId="194" fontId="0" fillId="0" borderId="0" xfId="0" applyNumberFormat="1">
      <alignment vertical="center"/>
    </xf>
    <xf numFmtId="0" fontId="0" fillId="0" borderId="14" xfId="0" applyBorder="1" applyAlignment="1" applyProtection="1">
      <alignment horizontal="center" vertical="center"/>
      <protection hidden="1"/>
    </xf>
    <xf numFmtId="0" fontId="0" fillId="0" borderId="11" xfId="0" applyBorder="1">
      <alignment vertical="center"/>
    </xf>
    <xf numFmtId="0" fontId="6" fillId="8" borderId="14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5" xfId="0" applyBorder="1" applyAlignment="1" applyProtection="1">
      <alignment horizontal="center" vertical="center"/>
      <protection hidden="1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10" fontId="0" fillId="0" borderId="2" xfId="2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9" fontId="0" fillId="3" borderId="3" xfId="0" applyNumberFormat="1" applyFill="1" applyBorder="1" applyAlignment="1" applyProtection="1">
      <alignment horizontal="center" vertical="center"/>
      <protection locked="0"/>
    </xf>
    <xf numFmtId="1" fontId="2" fillId="0" borderId="3" xfId="0" applyNumberFormat="1" applyFont="1" applyBorder="1" applyAlignment="1">
      <alignment horizontal="center" vertical="center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10" fontId="0" fillId="3" borderId="4" xfId="2" applyNumberFormat="1" applyFont="1" applyFill="1" applyBorder="1" applyAlignment="1" applyProtection="1">
      <alignment horizontal="center" vertical="center"/>
    </xf>
    <xf numFmtId="10" fontId="0" fillId="3" borderId="1" xfId="0" applyNumberFormat="1" applyFill="1" applyBorder="1" applyAlignment="1" applyProtection="1">
      <alignment horizontal="center" vertical="center"/>
      <protection locked="0"/>
    </xf>
    <xf numFmtId="10" fontId="0" fillId="3" borderId="2" xfId="0" applyNumberFormat="1" applyFill="1" applyBorder="1" applyAlignment="1" applyProtection="1">
      <alignment horizontal="center" vertical="center"/>
      <protection locked="0"/>
    </xf>
    <xf numFmtId="0" fontId="0" fillId="0" borderId="3" xfId="0" applyBorder="1" applyAlignment="1">
      <alignment horizontal="center" vertical="center"/>
    </xf>
    <xf numFmtId="10" fontId="0" fillId="3" borderId="1" xfId="2" applyNumberFormat="1" applyFont="1" applyFill="1" applyBorder="1" applyAlignment="1" applyProtection="1">
      <alignment horizontal="center" vertical="center"/>
      <protection locked="0"/>
    </xf>
    <xf numFmtId="10" fontId="0" fillId="3" borderId="2" xfId="2" applyNumberFormat="1" applyFont="1" applyFill="1" applyBorder="1" applyAlignment="1" applyProtection="1">
      <alignment horizontal="center" vertical="center"/>
      <protection locked="0"/>
    </xf>
    <xf numFmtId="0" fontId="6" fillId="0" borderId="7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 vertical="center"/>
      <protection locked="0"/>
    </xf>
    <xf numFmtId="0" fontId="1" fillId="0" borderId="15" xfId="0" applyFont="1" applyBorder="1" applyAlignment="1" applyProtection="1">
      <alignment horizontal="center" vertical="center"/>
      <protection locked="0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27" xfId="0" applyFont="1" applyBorder="1" applyAlignment="1" applyProtection="1">
      <alignment horizontal="center" vertical="center"/>
      <protection locked="0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16" xfId="0" applyFont="1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6" fillId="8" borderId="10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0" fontId="6" fillId="0" borderId="0" xfId="0" applyFont="1" applyAlignment="1" applyProtection="1">
      <alignment horizontal="center" vertical="center"/>
      <protection locked="0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6" fillId="0" borderId="7" xfId="0" applyFont="1" applyBorder="1" applyAlignment="1" applyProtection="1">
      <alignment horizontal="center" vertical="center"/>
      <protection locked="0"/>
    </xf>
    <xf numFmtId="0" fontId="0" fillId="0" borderId="9" xfId="0" applyBorder="1" applyAlignment="1" applyProtection="1">
      <alignment horizontal="center" vertical="center"/>
      <protection locked="0"/>
    </xf>
    <xf numFmtId="0" fontId="17" fillId="0" borderId="10" xfId="7" applyFont="1" applyBorder="1" applyAlignment="1" applyProtection="1">
      <alignment horizontal="center" vertical="center"/>
      <protection locked="0"/>
    </xf>
    <xf numFmtId="0" fontId="17" fillId="0" borderId="11" xfId="7" applyFont="1" applyBorder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8" fontId="6" fillId="0" borderId="7" xfId="0" applyNumberFormat="1" applyFont="1" applyBorder="1" applyAlignment="1" applyProtection="1">
      <alignment horizontal="center" vertical="center"/>
      <protection locked="0"/>
    </xf>
    <xf numFmtId="178" fontId="6" fillId="0" borderId="9" xfId="0" applyNumberFormat="1" applyFont="1" applyBorder="1" applyAlignment="1" applyProtection="1">
      <alignment horizontal="center" vertical="center"/>
      <protection locked="0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" fontId="20" fillId="0" borderId="18" xfId="0" applyNumberFormat="1" applyFont="1" applyBorder="1" applyAlignment="1" applyProtection="1">
      <alignment horizontal="center" vertical="center" wrapText="1"/>
      <protection hidden="1"/>
    </xf>
    <xf numFmtId="1" fontId="20" fillId="0" borderId="19" xfId="0" applyNumberFormat="1" applyFont="1" applyBorder="1" applyAlignment="1" applyProtection="1">
      <alignment horizontal="center" vertical="center" wrapText="1"/>
      <protection hidden="1"/>
    </xf>
    <xf numFmtId="1" fontId="20" fillId="0" borderId="28" xfId="0" applyNumberFormat="1" applyFont="1" applyBorder="1" applyAlignment="1" applyProtection="1">
      <alignment horizontal="center" vertical="center" wrapText="1"/>
      <protection hidden="1"/>
    </xf>
    <xf numFmtId="1" fontId="20" fillId="0" borderId="12" xfId="0" applyNumberFormat="1" applyFont="1" applyBorder="1" applyAlignment="1" applyProtection="1">
      <alignment horizontal="center" vertical="center" wrapText="1"/>
      <protection hidden="1"/>
    </xf>
    <xf numFmtId="1" fontId="20" fillId="0" borderId="20" xfId="0" applyNumberFormat="1" applyFont="1" applyBorder="1" applyAlignment="1" applyProtection="1">
      <alignment horizontal="center" vertical="center" wrapText="1"/>
      <protection hidden="1"/>
    </xf>
    <xf numFmtId="1" fontId="20" fillId="0" borderId="17" xfId="0" applyNumberFormat="1" applyFont="1" applyBorder="1" applyAlignment="1" applyProtection="1">
      <alignment horizontal="center" vertical="center" wrapText="1"/>
      <protection hidden="1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0" fontId="0" fillId="0" borderId="0" xfId="2" applyNumberFormat="1" applyFont="1" applyAlignment="1" applyProtection="1">
      <alignment horizontal="center" vertical="center"/>
      <protection hidden="1"/>
    </xf>
    <xf numFmtId="0" fontId="25" fillId="0" borderId="32" xfId="0" applyFont="1" applyBorder="1" applyAlignment="1">
      <alignment horizontal="center" vertical="center" wrapText="1"/>
    </xf>
    <xf numFmtId="0" fontId="0" fillId="0" borderId="14" xfId="0" applyBorder="1" applyAlignment="1" applyProtection="1">
      <alignment horizontal="center" vertical="center"/>
      <protection locked="0"/>
    </xf>
    <xf numFmtId="0" fontId="23" fillId="0" borderId="0" xfId="7" applyFont="1" applyAlignment="1" applyProtection="1">
      <alignment horizontal="center" vertical="center"/>
      <protection locked="0"/>
    </xf>
    <xf numFmtId="0" fontId="21" fillId="8" borderId="3" xfId="0" applyFont="1" applyFill="1" applyBorder="1" applyAlignment="1" applyProtection="1">
      <alignment horizontal="center" vertical="center"/>
      <protection locked="0"/>
    </xf>
    <xf numFmtId="0" fontId="24" fillId="0" borderId="0" xfId="0" applyFont="1" applyAlignment="1">
      <alignment horizontal="center" vertical="center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1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8" xfId="0" applyBorder="1" applyAlignment="1" applyProtection="1">
      <alignment horizontal="center" vertical="center"/>
      <protection hidden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 vertical="center"/>
    </xf>
    <xf numFmtId="0" fontId="6" fillId="8" borderId="14" xfId="0" applyFont="1" applyFill="1" applyBorder="1" applyAlignment="1">
      <alignment horizontal="center" vertical="center"/>
    </xf>
  </cellXfs>
  <cellStyles count="10">
    <cellStyle name="百分比" xfId="2" builtinId="5"/>
    <cellStyle name="百分比 2" xfId="9" xr:uid="{800B8D02-F1A6-45E1-8331-750E98AC87F2}"/>
    <cellStyle name="差_VERA" xfId="3" xr:uid="{00000000-0005-0000-0000-000001000000}"/>
    <cellStyle name="常规" xfId="0" builtinId="0"/>
    <cellStyle name="常规 2" xfId="4" xr:uid="{00000000-0005-0000-0000-000003000000}"/>
    <cellStyle name="常规 3" xfId="5" xr:uid="{00000000-0005-0000-0000-000004000000}"/>
    <cellStyle name="常规 4" xfId="6" xr:uid="{00000000-0005-0000-0000-000005000000}"/>
    <cellStyle name="常规 5" xfId="8" xr:uid="{4B81841A-4741-4D42-B3A9-3C7C726F3132}"/>
    <cellStyle name="超链接" xfId="7" builtinId="8"/>
    <cellStyle name="好_VERA" xfId="1" xr:uid="{00000000-0005-0000-0000-000006000000}"/>
  </cellStyles>
  <dxfs count="90"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color theme="5"/>
      </font>
    </dxf>
    <dxf>
      <font>
        <color theme="5"/>
      </font>
    </dxf>
    <dxf>
      <font>
        <b/>
        <i val="0"/>
        <color rgb="FFC00000"/>
      </font>
    </dxf>
    <dxf>
      <font>
        <color theme="0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theme="1"/>
      </font>
    </dxf>
    <dxf>
      <font>
        <color rgb="FF7030A0"/>
      </font>
    </dxf>
    <dxf>
      <font>
        <color theme="1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color theme="8"/>
      </font>
    </dxf>
    <dxf>
      <font>
        <color theme="1"/>
      </font>
    </dxf>
    <dxf>
      <font>
        <color rgb="FF7030A0"/>
      </font>
    </dxf>
    <dxf>
      <font>
        <color rgb="FF7030A0"/>
      </font>
    </dxf>
    <dxf>
      <font>
        <color theme="8"/>
      </font>
    </dxf>
    <dxf>
      <font>
        <color theme="1"/>
      </font>
    </dxf>
    <dxf>
      <font>
        <b/>
        <i val="0"/>
        <color rgb="FFC00000"/>
      </font>
    </dxf>
    <dxf>
      <font>
        <color theme="5"/>
      </font>
    </dxf>
    <dxf>
      <font>
        <b/>
        <i val="0"/>
        <color rgb="FFC00000"/>
      </font>
    </dxf>
    <dxf>
      <font>
        <color theme="5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ont>
        <b/>
        <i val="0"/>
        <color rgb="FFC00000"/>
      </font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b/>
        <i val="0"/>
        <color theme="8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strike/>
        <color theme="2" tint="-0.499984740745262"/>
      </font>
      <fill>
        <patternFill>
          <bgColor theme="6" tint="0.59996337778862885"/>
        </patternFill>
      </fill>
    </dxf>
    <dxf>
      <font>
        <color rgb="FF0070C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1"/>
      </font>
      <fill>
        <patternFill>
          <bgColor theme="4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14996795556505021"/>
        </patternFill>
      </fill>
    </dxf>
    <dxf>
      <font>
        <color rgb="FF7030A0"/>
      </font>
    </dxf>
    <dxf>
      <font>
        <color theme="1"/>
      </font>
    </dxf>
    <dxf>
      <font>
        <b/>
        <i val="0"/>
        <color theme="8"/>
      </font>
    </dxf>
    <dxf>
      <font>
        <b/>
        <i val="0"/>
        <color rgb="FF7030A0"/>
      </font>
    </dxf>
    <dxf>
      <font>
        <color theme="1"/>
      </font>
    </dxf>
    <dxf>
      <font>
        <color theme="9"/>
      </font>
    </dxf>
    <dxf>
      <font>
        <color theme="8"/>
      </font>
    </dxf>
    <dxf>
      <font>
        <color rgb="FF7030A0"/>
      </font>
    </dxf>
    <dxf>
      <fill>
        <patternFill>
          <bgColor theme="0"/>
        </patternFill>
      </fill>
    </dxf>
    <dxf>
      <font>
        <color theme="5"/>
      </font>
    </dxf>
    <dxf>
      <font>
        <color theme="5"/>
      </font>
    </dxf>
    <dxf>
      <fill>
        <patternFill>
          <bgColor theme="4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CCCC"/>
      <color rgb="FFFF9999"/>
      <color rgb="FFDDDDDD"/>
      <color rgb="FFCCCC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属性开关!$S$60" noThreeD="1"/>
</file>

<file path=xl/ctrlProps/ctrlProp2.xml><?xml version="1.0" encoding="utf-8"?>
<formControlPr xmlns="http://schemas.microsoft.com/office/spreadsheetml/2009/9/main" objectType="CheckBox" checked="Checked" fmlaLink="属性开关!$T$60" noThreeD="1"/>
</file>

<file path=xl/ctrlProps/ctrlProp3.xml><?xml version="1.0" encoding="utf-8"?>
<formControlPr xmlns="http://schemas.microsoft.com/office/spreadsheetml/2009/9/main" objectType="CheckBox" fmlaLink="属性开关!$U$60" noThreeD="1"/>
</file>

<file path=xl/ctrlProps/ctrlProp4.xml><?xml version="1.0" encoding="utf-8"?>
<formControlPr xmlns="http://schemas.microsoft.com/office/spreadsheetml/2009/9/main" objectType="CheckBox" checked="Checked" fmlaLink="属性开关!$V$60" noThreeD="1"/>
</file>

<file path=xl/ctrlProps/ctrlProp5.xml><?xml version="1.0" encoding="utf-8"?>
<formControlPr xmlns="http://schemas.microsoft.com/office/spreadsheetml/2009/9/main" objectType="CheckBox" fmlaLink="属性开关!$X$60" noThreeD="1"/>
</file>

<file path=xl/ctrlProps/ctrlProp6.xml><?xml version="1.0" encoding="utf-8"?>
<formControlPr xmlns="http://schemas.microsoft.com/office/spreadsheetml/2009/9/main" objectType="CheckBox" checked="Checked" fmlaLink="属性开关!$W$60" noThreeD="1"/>
</file>

<file path=xl/ctrlProps/ctrlProp7.xml><?xml version="1.0" encoding="utf-8"?>
<formControlPr xmlns="http://schemas.microsoft.com/office/spreadsheetml/2009/9/main" objectType="CheckBox" checked="Checked" fmlaLink="属性开关!$V$62" noThreeD="1"/>
</file>

<file path=xl/ctrlProps/ctrlProp8.xml><?xml version="1.0" encoding="utf-8"?>
<formControlPr xmlns="http://schemas.microsoft.com/office/spreadsheetml/2009/9/main" objectType="CheckBox" checked="Checked" fmlaLink="属性开关!$S$62" noThreeD="1"/>
</file>

<file path=xl/ctrlProps/ctrlProp9.xml><?xml version="1.0" encoding="utf-8"?>
<formControlPr xmlns="http://schemas.microsoft.com/office/spreadsheetml/2009/9/main" objectType="CheckBox" checked="Checked" fmlaLink="属性开关!$T$62" noThreeD="1"/>
</file>

<file path=xl/ctrlProps/ctrlProp10.xml><?xml version="1.0" encoding="utf-8"?>
<formControlPr xmlns="http://schemas.microsoft.com/office/spreadsheetml/2009/9/main" objectType="CheckBox" checked="Checked" fmlaLink="属性开关!$U$62" noThreeD="1"/>
</file>

<file path=xl/ctrlProps/ctrlProp11.xml><?xml version="1.0" encoding="utf-8"?>
<formControlPr xmlns="http://schemas.microsoft.com/office/spreadsheetml/2009/9/main" objectType="CheckBox" fmlaLink="属性开关!$X$65" noThreeD="1"/>
</file>

<file path=xl/ctrlProps/ctrlProp12.xml><?xml version="1.0" encoding="utf-8"?>
<formControlPr xmlns="http://schemas.microsoft.com/office/spreadsheetml/2009/9/main" objectType="CheckBox" checked="Checked" fmlaLink="属性开关!$W$65" noThreeD="1"/>
</file>

<file path=xl/ctrlProps/ctrlProp13.xml><?xml version="1.0" encoding="utf-8"?>
<formControlPr xmlns="http://schemas.microsoft.com/office/spreadsheetml/2009/9/main" objectType="CheckBox" checked="Checked" fmlaLink="属性开关!$V$65" noThreeD="1"/>
</file>

<file path=xl/ctrlProps/ctrlProp14.xml><?xml version="1.0" encoding="utf-8"?>
<formControlPr xmlns="http://schemas.microsoft.com/office/spreadsheetml/2009/9/main" objectType="CheckBox" checked="Checked" fmlaLink="属性开关!$T$65" noThreeD="1"/>
</file>

<file path=xl/ctrlProps/ctrlProp15.xml><?xml version="1.0" encoding="utf-8"?>
<formControlPr xmlns="http://schemas.microsoft.com/office/spreadsheetml/2009/9/main" objectType="CheckBox" checked="Checked" fmlaLink="属性开关!$U$65" noThreeD="1"/>
</file>

<file path=xl/ctrlProps/ctrlProp16.xml><?xml version="1.0" encoding="utf-8"?>
<formControlPr xmlns="http://schemas.microsoft.com/office/spreadsheetml/2009/9/main" objectType="CheckBox" checked="Checked" fmlaLink="属性开关!$T$70" noThreeD="1"/>
</file>

<file path=xl/ctrlProps/ctrlProp17.xml><?xml version="1.0" encoding="utf-8"?>
<formControlPr xmlns="http://schemas.microsoft.com/office/spreadsheetml/2009/9/main" objectType="CheckBox" checked="Checked" fmlaLink="属性开关!$U$70" noThreeD="1"/>
</file>

<file path=xl/ctrlProps/ctrlProp18.xml><?xml version="1.0" encoding="utf-8"?>
<formControlPr xmlns="http://schemas.microsoft.com/office/spreadsheetml/2009/9/main" objectType="CheckBox" checked="Checked" fmlaLink="属性开关!$X$68" noThreeD="1"/>
</file>

<file path=xl/ctrlProps/ctrlProp19.xml><?xml version="1.0" encoding="utf-8"?>
<formControlPr xmlns="http://schemas.microsoft.com/office/spreadsheetml/2009/9/main" objectType="CheckBox" checked="Checked" fmlaLink="属性开关!$W$68" noThreeD="1"/>
</file>

<file path=xl/ctrlProps/ctrlProp20.xml><?xml version="1.0" encoding="utf-8"?>
<formControlPr xmlns="http://schemas.microsoft.com/office/spreadsheetml/2009/9/main" objectType="CheckBox" fmlaLink="属性开关!$V$68" noThreeD="1"/>
</file>

<file path=xl/ctrlProps/ctrlProp21.xml><?xml version="1.0" encoding="utf-8"?>
<formControlPr xmlns="http://schemas.microsoft.com/office/spreadsheetml/2009/9/main" objectType="CheckBox" checked="Checked" fmlaLink="属性开关!$T$68" noThreeD="1"/>
</file>

<file path=xl/ctrlProps/ctrlProp22.xml><?xml version="1.0" encoding="utf-8"?>
<formControlPr xmlns="http://schemas.microsoft.com/office/spreadsheetml/2009/9/main" objectType="CheckBox" checked="Checked" fmlaLink="属性开关!$U$68" noThreeD="1"/>
</file>

<file path=xl/ctrlProps/ctrlProp23.xml><?xml version="1.0" encoding="utf-8"?>
<formControlPr xmlns="http://schemas.microsoft.com/office/spreadsheetml/2009/9/main" objectType="CheckBox" fmlaLink="装备库!$AP$2" lockText="1" noThreeD="1"/>
</file>

<file path=xl/ctrlProps/ctrlProp24.xml><?xml version="1.0" encoding="utf-8"?>
<formControlPr xmlns="http://schemas.microsoft.com/office/spreadsheetml/2009/9/main" objectType="CheckBox" fmlaLink="装备库!$AQ$2" lockText="1" noThreeD="1"/>
</file>

<file path=xl/ctrlProps/ctrlProp25.xml><?xml version="1.0" encoding="utf-8"?>
<formControlPr xmlns="http://schemas.microsoft.com/office/spreadsheetml/2009/9/main" objectType="CheckBox" fmlaLink="装备库!$AR$2" lockText="1" noThreeD="1"/>
</file>

<file path=xl/ctrlProps/ctrlProp26.xml><?xml version="1.0" encoding="utf-8"?>
<formControlPr xmlns="http://schemas.microsoft.com/office/spreadsheetml/2009/9/main" objectType="CheckBox" fmlaLink="装备库!$AS$2" lockText="1" noThreeD="1"/>
</file>

<file path=xl/ctrlProps/ctrlProp27.xml><?xml version="1.0" encoding="utf-8"?>
<formControlPr xmlns="http://schemas.microsoft.com/office/spreadsheetml/2009/9/main" objectType="CheckBox" fmlaLink="装备库!$AT$2" lockText="1" noThreeD="1"/>
</file>

<file path=xl/ctrlProps/ctrlProp28.xml><?xml version="1.0" encoding="utf-8"?>
<formControlPr xmlns="http://schemas.microsoft.com/office/spreadsheetml/2009/9/main" objectType="CheckBox" fmlaLink="装备库!$AU$2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</xdr:colOff>
          <xdr:row>27</xdr:row>
          <xdr:rowOff>30480</xdr:rowOff>
        </xdr:from>
        <xdr:to>
          <xdr:col>22</xdr:col>
          <xdr:colOff>617220</xdr:colOff>
          <xdr:row>27</xdr:row>
          <xdr:rowOff>182880</xdr:rowOff>
        </xdr:to>
        <xdr:sp macro="" textlink="">
          <xdr:nvSpPr>
            <xdr:cNvPr id="14348" name="Check Box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10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5%伤害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27</xdr:row>
          <xdr:rowOff>30480</xdr:rowOff>
        </xdr:from>
        <xdr:to>
          <xdr:col>22</xdr:col>
          <xdr:colOff>1394460</xdr:colOff>
          <xdr:row>27</xdr:row>
          <xdr:rowOff>182880</xdr:rowOff>
        </xdr:to>
        <xdr:sp macro="" textlink="">
          <xdr:nvSpPr>
            <xdr:cNvPr id="14349" name="Check Box 13" descr="4%伤害" hidden="1">
              <a:extLst>
                <a:ext uri="{63B3BB69-23CF-44E3-9099-C40C66FF867C}">
                  <a14:compatExt spid="_x0000_s14349"/>
                </a:ext>
                <a:ext uri="{FF2B5EF4-FFF2-40B4-BE49-F238E27FC236}">
                  <a16:creationId xmlns:a16="http://schemas.microsoft.com/office/drawing/2014/main" id="{00000000-0008-0000-1000-00000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30480</xdr:colOff>
          <xdr:row>27</xdr:row>
          <xdr:rowOff>30480</xdr:rowOff>
        </xdr:from>
        <xdr:to>
          <xdr:col>23</xdr:col>
          <xdr:colOff>640080</xdr:colOff>
          <xdr:row>27</xdr:row>
          <xdr:rowOff>182880</xdr:rowOff>
        </xdr:to>
        <xdr:sp macro="" textlink="">
          <xdr:nvSpPr>
            <xdr:cNvPr id="14350" name="Check Box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10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</xdr:colOff>
          <xdr:row>28</xdr:row>
          <xdr:rowOff>30480</xdr:rowOff>
        </xdr:from>
        <xdr:to>
          <xdr:col>22</xdr:col>
          <xdr:colOff>617220</xdr:colOff>
          <xdr:row>28</xdr:row>
          <xdr:rowOff>182880</xdr:rowOff>
        </xdr:to>
        <xdr:sp macro="" textlink="">
          <xdr:nvSpPr>
            <xdr:cNvPr id="14351" name="Check Box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10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22860</xdr:colOff>
          <xdr:row>28</xdr:row>
          <xdr:rowOff>30480</xdr:rowOff>
        </xdr:from>
        <xdr:to>
          <xdr:col>23</xdr:col>
          <xdr:colOff>640080</xdr:colOff>
          <xdr:row>28</xdr:row>
          <xdr:rowOff>182880</xdr:rowOff>
        </xdr:to>
        <xdr:sp macro="" textlink="">
          <xdr:nvSpPr>
            <xdr:cNvPr id="14352" name="Check Box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10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2%会心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28</xdr:row>
          <xdr:rowOff>30480</xdr:rowOff>
        </xdr:from>
        <xdr:to>
          <xdr:col>22</xdr:col>
          <xdr:colOff>1379220</xdr:colOff>
          <xdr:row>28</xdr:row>
          <xdr:rowOff>182880</xdr:rowOff>
        </xdr:to>
        <xdr:sp macro="" textlink="">
          <xdr:nvSpPr>
            <xdr:cNvPr id="14355" name="Check Box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10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29</xdr:row>
          <xdr:rowOff>38100</xdr:rowOff>
        </xdr:from>
        <xdr:to>
          <xdr:col>22</xdr:col>
          <xdr:colOff>632460</xdr:colOff>
          <xdr:row>29</xdr:row>
          <xdr:rowOff>182880</xdr:rowOff>
        </xdr:to>
        <xdr:sp macro="" textlink="">
          <xdr:nvSpPr>
            <xdr:cNvPr id="14357" name="Check Box 21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00000000-0008-0000-1000-00001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EAEAEA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-1sCD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29</xdr:row>
          <xdr:rowOff>38100</xdr:rowOff>
        </xdr:from>
        <xdr:to>
          <xdr:col>22</xdr:col>
          <xdr:colOff>1379220</xdr:colOff>
          <xdr:row>29</xdr:row>
          <xdr:rowOff>182880</xdr:rowOff>
        </xdr:to>
        <xdr:sp macro="" textlink="">
          <xdr:nvSpPr>
            <xdr:cNvPr id="14359" name="Check Box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10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5%伤害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22860</xdr:colOff>
          <xdr:row>29</xdr:row>
          <xdr:rowOff>38100</xdr:rowOff>
        </xdr:from>
        <xdr:to>
          <xdr:col>23</xdr:col>
          <xdr:colOff>632460</xdr:colOff>
          <xdr:row>29</xdr:row>
          <xdr:rowOff>182880</xdr:rowOff>
        </xdr:to>
        <xdr:sp macro="" textlink="">
          <xdr:nvSpPr>
            <xdr:cNvPr id="14360" name="Check Box 24" descr="4%伤害" hidden="1">
              <a:extLst>
                <a:ext uri="{63B3BB69-23CF-44E3-9099-C40C66FF867C}">
                  <a14:compatExt spid="_x0000_s14360"/>
                </a:ext>
                <a:ext uri="{FF2B5EF4-FFF2-40B4-BE49-F238E27FC236}">
                  <a16:creationId xmlns:a16="http://schemas.microsoft.com/office/drawing/2014/main" id="{00000000-0008-0000-1000-00001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30</xdr:row>
          <xdr:rowOff>30480</xdr:rowOff>
        </xdr:from>
        <xdr:to>
          <xdr:col>22</xdr:col>
          <xdr:colOff>647700</xdr:colOff>
          <xdr:row>30</xdr:row>
          <xdr:rowOff>175260</xdr:rowOff>
        </xdr:to>
        <xdr:sp macro="" textlink="">
          <xdr:nvSpPr>
            <xdr:cNvPr id="14361" name="Check Box 25" hidden="1">
              <a:extLst>
                <a:ext uri="{63B3BB69-23CF-44E3-9099-C40C66FF867C}">
                  <a14:compatExt spid="_x0000_s14361"/>
                </a:ext>
                <a:ext uri="{FF2B5EF4-FFF2-40B4-BE49-F238E27FC236}">
                  <a16:creationId xmlns:a16="http://schemas.microsoft.com/office/drawing/2014/main" id="{00000000-0008-0000-1000-00001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762000</xdr:colOff>
          <xdr:row>32</xdr:row>
          <xdr:rowOff>7620</xdr:rowOff>
        </xdr:from>
        <xdr:to>
          <xdr:col>22</xdr:col>
          <xdr:colOff>1379220</xdr:colOff>
          <xdr:row>32</xdr:row>
          <xdr:rowOff>152400</xdr:rowOff>
        </xdr:to>
        <xdr:sp macro="" textlink="">
          <xdr:nvSpPr>
            <xdr:cNvPr id="14364" name="Check Box 28" hidden="1">
              <a:extLst>
                <a:ext uri="{63B3BB69-23CF-44E3-9099-C40C66FF867C}">
                  <a14:compatExt spid="_x0000_s14364"/>
                </a:ext>
                <a:ext uri="{FF2B5EF4-FFF2-40B4-BE49-F238E27FC236}">
                  <a16:creationId xmlns:a16="http://schemas.microsoft.com/office/drawing/2014/main" id="{00000000-0008-0000-1000-00001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2%会心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32</xdr:row>
          <xdr:rowOff>7620</xdr:rowOff>
        </xdr:from>
        <xdr:to>
          <xdr:col>22</xdr:col>
          <xdr:colOff>647700</xdr:colOff>
          <xdr:row>32</xdr:row>
          <xdr:rowOff>152400</xdr:rowOff>
        </xdr:to>
        <xdr:sp macro="" textlink="">
          <xdr:nvSpPr>
            <xdr:cNvPr id="14365" name="Check Box 29" hidden="1">
              <a:extLst>
                <a:ext uri="{63B3BB69-23CF-44E3-9099-C40C66FF867C}">
                  <a14:compatExt spid="_x0000_s14365"/>
                </a:ext>
                <a:ext uri="{FF2B5EF4-FFF2-40B4-BE49-F238E27FC236}">
                  <a16:creationId xmlns:a16="http://schemas.microsoft.com/office/drawing/2014/main" id="{00000000-0008-0000-1000-00001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31</xdr:row>
          <xdr:rowOff>22860</xdr:rowOff>
        </xdr:from>
        <xdr:to>
          <xdr:col>22</xdr:col>
          <xdr:colOff>632460</xdr:colOff>
          <xdr:row>31</xdr:row>
          <xdr:rowOff>160020</xdr:rowOff>
        </xdr:to>
        <xdr:sp macro="" textlink="">
          <xdr:nvSpPr>
            <xdr:cNvPr id="14366" name="Check Box 30" hidden="1">
              <a:extLst>
                <a:ext uri="{63B3BB69-23CF-44E3-9099-C40C66FF867C}">
                  <a14:compatExt spid="_x0000_s14366"/>
                </a:ext>
                <a:ext uri="{FF2B5EF4-FFF2-40B4-BE49-F238E27FC236}">
                  <a16:creationId xmlns:a16="http://schemas.microsoft.com/office/drawing/2014/main" id="{00000000-0008-0000-1000-00001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EAEAEA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-1sCD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31</xdr:row>
          <xdr:rowOff>22860</xdr:rowOff>
        </xdr:from>
        <xdr:to>
          <xdr:col>22</xdr:col>
          <xdr:colOff>1379220</xdr:colOff>
          <xdr:row>31</xdr:row>
          <xdr:rowOff>160020</xdr:rowOff>
        </xdr:to>
        <xdr:sp macro="" textlink="">
          <xdr:nvSpPr>
            <xdr:cNvPr id="14367" name="Check Box 31" descr="4%伤害" hidden="1">
              <a:extLst>
                <a:ext uri="{63B3BB69-23CF-44E3-9099-C40C66FF867C}">
                  <a14:compatExt spid="_x0000_s14367"/>
                </a:ext>
                <a:ext uri="{FF2B5EF4-FFF2-40B4-BE49-F238E27FC236}">
                  <a16:creationId xmlns:a16="http://schemas.microsoft.com/office/drawing/2014/main" id="{00000000-0008-0000-1000-00001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22860</xdr:colOff>
          <xdr:row>31</xdr:row>
          <xdr:rowOff>22860</xdr:rowOff>
        </xdr:from>
        <xdr:to>
          <xdr:col>23</xdr:col>
          <xdr:colOff>632460</xdr:colOff>
          <xdr:row>31</xdr:row>
          <xdr:rowOff>160020</xdr:rowOff>
        </xdr:to>
        <xdr:sp macro="" textlink="">
          <xdr:nvSpPr>
            <xdr:cNvPr id="14368" name="Check Box 32" hidden="1">
              <a:extLst>
                <a:ext uri="{63B3BB69-23CF-44E3-9099-C40C66FF867C}">
                  <a14:compatExt spid="_x0000_s14368"/>
                </a:ext>
                <a:ext uri="{FF2B5EF4-FFF2-40B4-BE49-F238E27FC236}">
                  <a16:creationId xmlns:a16="http://schemas.microsoft.com/office/drawing/2014/main" id="{00000000-0008-0000-1000-00002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35</xdr:row>
          <xdr:rowOff>30480</xdr:rowOff>
        </xdr:from>
        <xdr:to>
          <xdr:col>22</xdr:col>
          <xdr:colOff>647700</xdr:colOff>
          <xdr:row>35</xdr:row>
          <xdr:rowOff>175260</xdr:rowOff>
        </xdr:to>
        <xdr:sp macro="" textlink="">
          <xdr:nvSpPr>
            <xdr:cNvPr id="14369" name="Check Box 33" descr="4%伤害" hidden="1">
              <a:extLst>
                <a:ext uri="{63B3BB69-23CF-44E3-9099-C40C66FF867C}">
                  <a14:compatExt spid="_x0000_s14369"/>
                </a:ext>
                <a:ext uri="{FF2B5EF4-FFF2-40B4-BE49-F238E27FC236}">
                  <a16:creationId xmlns:a16="http://schemas.microsoft.com/office/drawing/2014/main" id="{00000000-0008-0000-1000-00002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35</xdr:row>
          <xdr:rowOff>30480</xdr:rowOff>
        </xdr:from>
        <xdr:to>
          <xdr:col>22</xdr:col>
          <xdr:colOff>1379220</xdr:colOff>
          <xdr:row>35</xdr:row>
          <xdr:rowOff>175260</xdr:rowOff>
        </xdr:to>
        <xdr:sp macro="" textlink="">
          <xdr:nvSpPr>
            <xdr:cNvPr id="14370" name="Check Box 34" hidden="1">
              <a:extLst>
                <a:ext uri="{63B3BB69-23CF-44E3-9099-C40C66FF867C}">
                  <a14:compatExt spid="_x0000_s14370"/>
                </a:ext>
                <a:ext uri="{FF2B5EF4-FFF2-40B4-BE49-F238E27FC236}">
                  <a16:creationId xmlns:a16="http://schemas.microsoft.com/office/drawing/2014/main" id="{00000000-0008-0000-1000-00002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762000</xdr:colOff>
          <xdr:row>34</xdr:row>
          <xdr:rowOff>22860</xdr:rowOff>
        </xdr:from>
        <xdr:to>
          <xdr:col>22</xdr:col>
          <xdr:colOff>1379220</xdr:colOff>
          <xdr:row>34</xdr:row>
          <xdr:rowOff>160020</xdr:rowOff>
        </xdr:to>
        <xdr:sp macro="" textlink="">
          <xdr:nvSpPr>
            <xdr:cNvPr id="14371" name="Check Box 35" hidden="1">
              <a:extLst>
                <a:ext uri="{63B3BB69-23CF-44E3-9099-C40C66FF867C}">
                  <a14:compatExt spid="_x0000_s14371"/>
                </a:ext>
                <a:ext uri="{FF2B5EF4-FFF2-40B4-BE49-F238E27FC236}">
                  <a16:creationId xmlns:a16="http://schemas.microsoft.com/office/drawing/2014/main" id="{00000000-0008-0000-1000-00002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2%会心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34</xdr:row>
          <xdr:rowOff>22860</xdr:rowOff>
        </xdr:from>
        <xdr:to>
          <xdr:col>22</xdr:col>
          <xdr:colOff>647700</xdr:colOff>
          <xdr:row>34</xdr:row>
          <xdr:rowOff>160020</xdr:rowOff>
        </xdr:to>
        <xdr:sp macro="" textlink="">
          <xdr:nvSpPr>
            <xdr:cNvPr id="14372" name="Check Box 36" hidden="1">
              <a:extLst>
                <a:ext uri="{63B3BB69-23CF-44E3-9099-C40C66FF867C}">
                  <a14:compatExt spid="_x0000_s14372"/>
                </a:ext>
                <a:ext uri="{FF2B5EF4-FFF2-40B4-BE49-F238E27FC236}">
                  <a16:creationId xmlns:a16="http://schemas.microsoft.com/office/drawing/2014/main" id="{00000000-0008-0000-1000-00002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3%会心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38100</xdr:colOff>
          <xdr:row>33</xdr:row>
          <xdr:rowOff>30480</xdr:rowOff>
        </xdr:from>
        <xdr:to>
          <xdr:col>22</xdr:col>
          <xdr:colOff>647700</xdr:colOff>
          <xdr:row>33</xdr:row>
          <xdr:rowOff>175260</xdr:rowOff>
        </xdr:to>
        <xdr:sp macro="" textlink="">
          <xdr:nvSpPr>
            <xdr:cNvPr id="14373" name="Check Box 37" hidden="1">
              <a:extLst>
                <a:ext uri="{63B3BB69-23CF-44E3-9099-C40C66FF867C}">
                  <a14:compatExt spid="_x0000_s14373"/>
                </a:ext>
                <a:ext uri="{FF2B5EF4-FFF2-40B4-BE49-F238E27FC236}">
                  <a16:creationId xmlns:a16="http://schemas.microsoft.com/office/drawing/2014/main" id="{00000000-0008-0000-1000-00002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-0.5sCD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769620</xdr:colOff>
          <xdr:row>33</xdr:row>
          <xdr:rowOff>30480</xdr:rowOff>
        </xdr:from>
        <xdr:to>
          <xdr:col>22</xdr:col>
          <xdr:colOff>1379220</xdr:colOff>
          <xdr:row>33</xdr:row>
          <xdr:rowOff>175260</xdr:rowOff>
        </xdr:to>
        <xdr:sp macro="" textlink="">
          <xdr:nvSpPr>
            <xdr:cNvPr id="14374" name="Check Box 38" descr="4%伤害" hidden="1">
              <a:extLst>
                <a:ext uri="{63B3BB69-23CF-44E3-9099-C40C66FF867C}">
                  <a14:compatExt spid="_x0000_s14374"/>
                </a:ext>
                <a:ext uri="{FF2B5EF4-FFF2-40B4-BE49-F238E27FC236}">
                  <a16:creationId xmlns:a16="http://schemas.microsoft.com/office/drawing/2014/main" id="{00000000-0008-0000-1000-00002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4%伤害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22860</xdr:colOff>
          <xdr:row>33</xdr:row>
          <xdr:rowOff>30480</xdr:rowOff>
        </xdr:from>
        <xdr:to>
          <xdr:col>23</xdr:col>
          <xdr:colOff>632460</xdr:colOff>
          <xdr:row>33</xdr:row>
          <xdr:rowOff>175260</xdr:rowOff>
        </xdr:to>
        <xdr:sp macro="" textlink="">
          <xdr:nvSpPr>
            <xdr:cNvPr id="14375" name="Check Box 39" hidden="1">
              <a:extLst>
                <a:ext uri="{63B3BB69-23CF-44E3-9099-C40C66FF867C}">
                  <a14:compatExt spid="_x0000_s14375"/>
                </a:ext>
                <a:ext uri="{FF2B5EF4-FFF2-40B4-BE49-F238E27FC236}">
                  <a16:creationId xmlns:a16="http://schemas.microsoft.com/office/drawing/2014/main" id="{00000000-0008-0000-1000-00002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3%伤害</a:t>
              </a:r>
            </a:p>
          </xdr:txBody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220980</xdr:colOff>
          <xdr:row>25</xdr:row>
          <xdr:rowOff>0</xdr:rowOff>
        </xdr:from>
        <xdr:to>
          <xdr:col>22</xdr:col>
          <xdr:colOff>708660</xdr:colOff>
          <xdr:row>26</xdr:row>
          <xdr:rowOff>30480</xdr:rowOff>
        </xdr:to>
        <xdr:sp macro="" textlink="">
          <xdr:nvSpPr>
            <xdr:cNvPr id="14396" name="Check Box 60" hidden="1">
              <a:extLst>
                <a:ext uri="{63B3BB69-23CF-44E3-9099-C40C66FF867C}">
                  <a14:compatExt spid="_x0000_s14396"/>
                </a:ext>
                <a:ext uri="{FF2B5EF4-FFF2-40B4-BE49-F238E27FC236}">
                  <a16:creationId xmlns:a16="http://schemas.microsoft.com/office/drawing/2014/main" id="{00000000-0008-0000-1000-00003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会心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868680</xdr:colOff>
          <xdr:row>25</xdr:row>
          <xdr:rowOff>0</xdr:rowOff>
        </xdr:from>
        <xdr:to>
          <xdr:col>22</xdr:col>
          <xdr:colOff>1356360</xdr:colOff>
          <xdr:row>26</xdr:row>
          <xdr:rowOff>30480</xdr:rowOff>
        </xdr:to>
        <xdr:sp macro="" textlink="">
          <xdr:nvSpPr>
            <xdr:cNvPr id="14397" name="Check Box 61" hidden="1">
              <a:extLst>
                <a:ext uri="{63B3BB69-23CF-44E3-9099-C40C66FF867C}">
                  <a14:compatExt spid="_x0000_s14397"/>
                </a:ext>
                <a:ext uri="{FF2B5EF4-FFF2-40B4-BE49-F238E27FC236}">
                  <a16:creationId xmlns:a16="http://schemas.microsoft.com/office/drawing/2014/main" id="{00000000-0008-0000-1000-00003D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会效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1516380</xdr:colOff>
          <xdr:row>25</xdr:row>
          <xdr:rowOff>0</xdr:rowOff>
        </xdr:from>
        <xdr:to>
          <xdr:col>23</xdr:col>
          <xdr:colOff>480060</xdr:colOff>
          <xdr:row>26</xdr:row>
          <xdr:rowOff>30480</xdr:rowOff>
        </xdr:to>
        <xdr:sp macro="" textlink="">
          <xdr:nvSpPr>
            <xdr:cNvPr id="14398" name="Check Box 62" hidden="1">
              <a:extLst>
                <a:ext uri="{63B3BB69-23CF-44E3-9099-C40C66FF867C}">
                  <a14:compatExt spid="_x0000_s14398"/>
                </a:ext>
                <a:ext uri="{FF2B5EF4-FFF2-40B4-BE49-F238E27FC236}">
                  <a16:creationId xmlns:a16="http://schemas.microsoft.com/office/drawing/2014/main" id="{00000000-0008-0000-1000-00003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破防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220980</xdr:colOff>
          <xdr:row>25</xdr:row>
          <xdr:rowOff>198120</xdr:rowOff>
        </xdr:from>
        <xdr:to>
          <xdr:col>22</xdr:col>
          <xdr:colOff>708660</xdr:colOff>
          <xdr:row>27</xdr:row>
          <xdr:rowOff>7620</xdr:rowOff>
        </xdr:to>
        <xdr:sp macro="" textlink="">
          <xdr:nvSpPr>
            <xdr:cNvPr id="14399" name="Check Box 63" hidden="1">
              <a:extLst>
                <a:ext uri="{63B3BB69-23CF-44E3-9099-C40C66FF867C}">
                  <a14:compatExt spid="_x0000_s14399"/>
                </a:ext>
                <a:ext uri="{FF2B5EF4-FFF2-40B4-BE49-F238E27FC236}">
                  <a16:creationId xmlns:a16="http://schemas.microsoft.com/office/drawing/2014/main" id="{00000000-0008-0000-1000-00003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破招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861060</xdr:colOff>
          <xdr:row>25</xdr:row>
          <xdr:rowOff>198120</xdr:rowOff>
        </xdr:from>
        <xdr:to>
          <xdr:col>22</xdr:col>
          <xdr:colOff>1341120</xdr:colOff>
          <xdr:row>27</xdr:row>
          <xdr:rowOff>7620</xdr:rowOff>
        </xdr:to>
        <xdr:sp macro="" textlink="">
          <xdr:nvSpPr>
            <xdr:cNvPr id="14400" name="Check Box 64" hidden="1">
              <a:extLst>
                <a:ext uri="{63B3BB69-23CF-44E3-9099-C40C66FF867C}">
                  <a14:compatExt spid="_x0000_s14400"/>
                </a:ext>
                <a:ext uri="{FF2B5EF4-FFF2-40B4-BE49-F238E27FC236}">
                  <a16:creationId xmlns:a16="http://schemas.microsoft.com/office/drawing/2014/main" id="{00000000-0008-0000-1000-00004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无双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1516380</xdr:colOff>
          <xdr:row>25</xdr:row>
          <xdr:rowOff>198120</xdr:rowOff>
        </xdr:from>
        <xdr:to>
          <xdr:col>23</xdr:col>
          <xdr:colOff>480060</xdr:colOff>
          <xdr:row>27</xdr:row>
          <xdr:rowOff>7620</xdr:rowOff>
        </xdr:to>
        <xdr:sp macro="" textlink="">
          <xdr:nvSpPr>
            <xdr:cNvPr id="14401" name="Check Box 65" hidden="1">
              <a:extLst>
                <a:ext uri="{63B3BB69-23CF-44E3-9099-C40C66FF867C}">
                  <a14:compatExt spid="_x0000_s14401"/>
                </a:ext>
                <a:ext uri="{FF2B5EF4-FFF2-40B4-BE49-F238E27FC236}">
                  <a16:creationId xmlns:a16="http://schemas.microsoft.com/office/drawing/2014/main" id="{00000000-0008-0000-1000-00004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加速</a:t>
              </a:r>
            </a:p>
          </xdr:txBody>
        </xdr:sp>
        <xdr:clientData/>
      </xdr:twoCellAnchor>
    </mc:Choice>
    <mc:Fallback/>
  </mc:AlternateContent>
  <xdr:twoCellAnchor editAs="oneCell">
    <xdr:from>
      <xdr:col>37</xdr:col>
      <xdr:colOff>180974</xdr:colOff>
      <xdr:row>14</xdr:row>
      <xdr:rowOff>209549</xdr:rowOff>
    </xdr:from>
    <xdr:to>
      <xdr:col>41</xdr:col>
      <xdr:colOff>416661</xdr:colOff>
      <xdr:row>19</xdr:row>
      <xdr:rowOff>85724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64674" y="1266824"/>
          <a:ext cx="3245587" cy="942975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22</xdr:row>
      <xdr:rowOff>19050</xdr:rowOff>
    </xdr:from>
    <xdr:to>
      <xdr:col>41</xdr:col>
      <xdr:colOff>694862</xdr:colOff>
      <xdr:row>38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91" b="6126"/>
        <a:stretch/>
      </xdr:blipFill>
      <xdr:spPr>
        <a:xfrm>
          <a:off x="21983700" y="2790825"/>
          <a:ext cx="3704762" cy="3429000"/>
        </a:xfrm>
        <a:prstGeom prst="rect">
          <a:avLst/>
        </a:prstGeom>
      </xdr:spPr>
    </xdr:pic>
    <xdr:clientData/>
  </xdr:twoCellAnchor>
  <xdr:twoCellAnchor editAs="oneCell">
    <xdr:from>
      <xdr:col>47</xdr:col>
      <xdr:colOff>85725</xdr:colOff>
      <xdr:row>15</xdr:row>
      <xdr:rowOff>95250</xdr:rowOff>
    </xdr:from>
    <xdr:to>
      <xdr:col>50</xdr:col>
      <xdr:colOff>504490</xdr:colOff>
      <xdr:row>23</xdr:row>
      <xdr:rowOff>123608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94175" y="1371600"/>
          <a:ext cx="2676190" cy="1733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360&#26497;&#36895;&#27983;&#35272;&#22120;&#19979;&#36733;\FileRecv\&#34255;&#21073;&#37197;&#35013;&#35745;&#31639;&#22120;&#27178;&#20992;&#26029;&#28010;&#27979;&#35797;&#29256;ver1.9(221208)%20(&#22686;&#21152;&#39764;&#30418;&#23548;&#20986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始数据页"/>
      <sheetName val="属性资源"/>
      <sheetName val="五彩石"/>
      <sheetName val="筛选数据页"/>
      <sheetName val="加速"/>
      <sheetName val="奇穴秘籍"/>
      <sheetName val="正常"/>
      <sheetName val="攻击"/>
      <sheetName val="身法"/>
      <sheetName val="武伤"/>
      <sheetName val="会心"/>
      <sheetName val="会效"/>
      <sheetName val="破防"/>
      <sheetName val="破招"/>
      <sheetName val="重剑破招"/>
      <sheetName val="无双"/>
      <sheetName val="配装器页面"/>
      <sheetName val="导出数据处理"/>
    </sheetNames>
    <sheetDataSet>
      <sheetData sheetId="0">
        <row r="5027">
          <cell r="D5027" t="str">
            <v>【门派套装】揽江·尽拂冠(11000招破)</v>
          </cell>
        </row>
        <row r="5028">
          <cell r="D5028" t="str">
            <v>【门派套装】揽江·尽拂衣(11000会无)</v>
          </cell>
        </row>
        <row r="5029">
          <cell r="D5029" t="str">
            <v>暮渝腰带(11300会招)</v>
          </cell>
        </row>
        <row r="5030">
          <cell r="D5030" t="str">
            <v>【门派套装】展锋·飞炎护手(10000会招)</v>
          </cell>
        </row>
        <row r="5031">
          <cell r="D5031" t="str">
            <v>暮渝裤(11300会无)</v>
          </cell>
        </row>
        <row r="5032">
          <cell r="D5032" t="str">
            <v>【门派套装】揽江·尽拂靴(11000破无)</v>
          </cell>
        </row>
        <row r="5048">
          <cell r="BY5048">
            <v>326</v>
          </cell>
          <cell r="BZ5048">
            <v>221</v>
          </cell>
          <cell r="CA5048">
            <v>163</v>
          </cell>
        </row>
        <row r="5049">
          <cell r="BY5049">
            <v>723</v>
          </cell>
          <cell r="BZ5049">
            <v>491</v>
          </cell>
          <cell r="CA5049">
            <v>362</v>
          </cell>
        </row>
        <row r="5050">
          <cell r="BY5050">
            <v>162</v>
          </cell>
          <cell r="BZ5050">
            <v>110</v>
          </cell>
          <cell r="CA5050">
            <v>81</v>
          </cell>
        </row>
        <row r="5051">
          <cell r="BY5051">
            <v>268</v>
          </cell>
          <cell r="BZ5051">
            <v>182</v>
          </cell>
          <cell r="CA5051">
            <v>134</v>
          </cell>
        </row>
        <row r="5052">
          <cell r="BY5052">
            <v>3616</v>
          </cell>
          <cell r="BZ5052">
            <v>2456</v>
          </cell>
          <cell r="CA5052">
            <v>1808</v>
          </cell>
        </row>
        <row r="5053">
          <cell r="BY5053">
            <v>489</v>
          </cell>
          <cell r="BZ5053">
            <v>332</v>
          </cell>
          <cell r="CA5053">
            <v>244</v>
          </cell>
        </row>
        <row r="5054">
          <cell r="BY5054">
            <v>217</v>
          </cell>
          <cell r="BZ5054">
            <v>174</v>
          </cell>
        </row>
        <row r="5055">
          <cell r="BY5055">
            <v>18</v>
          </cell>
        </row>
        <row r="5056">
          <cell r="BY5056">
            <v>24</v>
          </cell>
        </row>
      </sheetData>
      <sheetData sheetId="1"/>
      <sheetData sheetId="2">
        <row r="29">
          <cell r="E29">
            <v>0</v>
          </cell>
        </row>
        <row r="30">
          <cell r="E30">
            <v>1</v>
          </cell>
        </row>
        <row r="31">
          <cell r="E31">
            <v>2</v>
          </cell>
        </row>
        <row r="32">
          <cell r="E32">
            <v>3</v>
          </cell>
        </row>
        <row r="35">
          <cell r="B35">
            <v>6</v>
          </cell>
        </row>
        <row r="36">
          <cell r="B36">
            <v>6</v>
          </cell>
        </row>
        <row r="39">
          <cell r="A39">
            <v>4</v>
          </cell>
        </row>
        <row r="40">
          <cell r="A40">
            <v>5</v>
          </cell>
        </row>
        <row r="41">
          <cell r="A41">
            <v>6</v>
          </cell>
          <cell r="H41">
            <v>0</v>
          </cell>
        </row>
        <row r="42">
          <cell r="A42">
            <v>4</v>
          </cell>
          <cell r="H42">
            <v>4</v>
          </cell>
        </row>
        <row r="43">
          <cell r="A43">
            <v>5</v>
          </cell>
          <cell r="H43">
            <v>0</v>
          </cell>
        </row>
        <row r="44">
          <cell r="A44">
            <v>6</v>
          </cell>
          <cell r="H44">
            <v>0</v>
          </cell>
        </row>
        <row r="45">
          <cell r="A45">
            <v>1</v>
          </cell>
          <cell r="H45">
            <v>4</v>
          </cell>
        </row>
        <row r="46">
          <cell r="A46">
            <v>2</v>
          </cell>
        </row>
        <row r="47">
          <cell r="A47">
            <v>3</v>
          </cell>
          <cell r="H47">
            <v>3</v>
          </cell>
        </row>
        <row r="48">
          <cell r="A48">
            <v>4</v>
          </cell>
        </row>
        <row r="49">
          <cell r="A49">
            <v>5</v>
          </cell>
        </row>
        <row r="50">
          <cell r="A50">
            <v>6</v>
          </cell>
        </row>
        <row r="51">
          <cell r="A51">
            <v>7</v>
          </cell>
        </row>
        <row r="52">
          <cell r="A52">
            <v>8</v>
          </cell>
        </row>
        <row r="54">
          <cell r="G54">
            <v>6</v>
          </cell>
        </row>
        <row r="55">
          <cell r="G55">
            <v>6</v>
          </cell>
        </row>
        <row r="56">
          <cell r="G56">
            <v>6</v>
          </cell>
        </row>
        <row r="57">
          <cell r="G57">
            <v>6</v>
          </cell>
        </row>
        <row r="58">
          <cell r="G58">
            <v>6</v>
          </cell>
        </row>
        <row r="59">
          <cell r="G59">
            <v>6</v>
          </cell>
        </row>
        <row r="60">
          <cell r="G60">
            <v>6</v>
          </cell>
        </row>
        <row r="61">
          <cell r="G61">
            <v>6</v>
          </cell>
        </row>
        <row r="62">
          <cell r="G62">
            <v>6</v>
          </cell>
        </row>
        <row r="63">
          <cell r="G63">
            <v>6</v>
          </cell>
        </row>
        <row r="64">
          <cell r="G64">
            <v>6</v>
          </cell>
        </row>
        <row r="65">
          <cell r="G65">
            <v>6</v>
          </cell>
        </row>
        <row r="66">
          <cell r="G66">
            <v>8</v>
          </cell>
        </row>
        <row r="67">
          <cell r="G67">
            <v>6</v>
          </cell>
        </row>
        <row r="68">
          <cell r="G68">
            <v>8</v>
          </cell>
        </row>
        <row r="69">
          <cell r="G69">
            <v>6</v>
          </cell>
        </row>
        <row r="70">
          <cell r="G70">
            <v>6</v>
          </cell>
        </row>
        <row r="71">
          <cell r="G71">
            <v>6</v>
          </cell>
        </row>
        <row r="72">
          <cell r="G72">
            <v>6</v>
          </cell>
        </row>
        <row r="73">
          <cell r="G73">
            <v>6</v>
          </cell>
        </row>
        <row r="74">
          <cell r="G74">
            <v>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7">
          <cell r="Q27">
            <v>0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6.xml"/><Relationship Id="rId18" Type="http://schemas.openxmlformats.org/officeDocument/2006/relationships/ctrlProp" Target="../ctrlProps/ctrlProp11.xml"/><Relationship Id="rId26" Type="http://schemas.openxmlformats.org/officeDocument/2006/relationships/ctrlProp" Target="../ctrlProps/ctrlProp19.xml"/><Relationship Id="rId3" Type="http://schemas.openxmlformats.org/officeDocument/2006/relationships/hyperlink" Target="https://www.jx3box.com/bps/46348" TargetMode="External"/><Relationship Id="rId21" Type="http://schemas.openxmlformats.org/officeDocument/2006/relationships/ctrlProp" Target="../ctrlProps/ctrlProp14.xml"/><Relationship Id="rId34" Type="http://schemas.openxmlformats.org/officeDocument/2006/relationships/ctrlProp" Target="../ctrlProps/ctrlProp27.xml"/><Relationship Id="rId7" Type="http://schemas.openxmlformats.org/officeDocument/2006/relationships/vmlDrawing" Target="../drawings/vmlDrawing2.vml"/><Relationship Id="rId12" Type="http://schemas.openxmlformats.org/officeDocument/2006/relationships/ctrlProp" Target="../ctrlProps/ctrlProp5.xml"/><Relationship Id="rId17" Type="http://schemas.openxmlformats.org/officeDocument/2006/relationships/ctrlProp" Target="../ctrlProps/ctrlProp10.xml"/><Relationship Id="rId25" Type="http://schemas.openxmlformats.org/officeDocument/2006/relationships/ctrlProp" Target="../ctrlProps/ctrlProp18.xml"/><Relationship Id="rId33" Type="http://schemas.openxmlformats.org/officeDocument/2006/relationships/ctrlProp" Target="../ctrlProps/ctrlProp26.xml"/><Relationship Id="rId2" Type="http://schemas.openxmlformats.org/officeDocument/2006/relationships/hyperlink" Target="https://www.jx3box.com/pz" TargetMode="External"/><Relationship Id="rId16" Type="http://schemas.openxmlformats.org/officeDocument/2006/relationships/ctrlProp" Target="../ctrlProps/ctrlProp9.xml"/><Relationship Id="rId20" Type="http://schemas.openxmlformats.org/officeDocument/2006/relationships/ctrlProp" Target="../ctrlProps/ctrlProp13.xml"/><Relationship Id="rId29" Type="http://schemas.openxmlformats.org/officeDocument/2006/relationships/ctrlProp" Target="../ctrlProps/ctrlProp22.xml"/><Relationship Id="rId1" Type="http://schemas.openxmlformats.org/officeDocument/2006/relationships/hyperlink" Target="https://www.jx3box.com/bps/46349" TargetMode="External"/><Relationship Id="rId6" Type="http://schemas.openxmlformats.org/officeDocument/2006/relationships/drawing" Target="../drawings/drawing1.xml"/><Relationship Id="rId11" Type="http://schemas.openxmlformats.org/officeDocument/2006/relationships/ctrlProp" Target="../ctrlProps/ctrlProp4.xml"/><Relationship Id="rId24" Type="http://schemas.openxmlformats.org/officeDocument/2006/relationships/ctrlProp" Target="../ctrlProps/ctrlProp17.xml"/><Relationship Id="rId32" Type="http://schemas.openxmlformats.org/officeDocument/2006/relationships/ctrlProp" Target="../ctrlProps/ctrlProp25.xml"/><Relationship Id="rId5" Type="http://schemas.openxmlformats.org/officeDocument/2006/relationships/printerSettings" Target="../printerSettings/printerSettings1.bin"/><Relationship Id="rId15" Type="http://schemas.openxmlformats.org/officeDocument/2006/relationships/ctrlProp" Target="../ctrlProps/ctrlProp8.xml"/><Relationship Id="rId23" Type="http://schemas.openxmlformats.org/officeDocument/2006/relationships/ctrlProp" Target="../ctrlProps/ctrlProp16.xml"/><Relationship Id="rId28" Type="http://schemas.openxmlformats.org/officeDocument/2006/relationships/ctrlProp" Target="../ctrlProps/ctrlProp21.xml"/><Relationship Id="rId36" Type="http://schemas.openxmlformats.org/officeDocument/2006/relationships/comments" Target="../comments2.xml"/><Relationship Id="rId10" Type="http://schemas.openxmlformats.org/officeDocument/2006/relationships/ctrlProp" Target="../ctrlProps/ctrlProp3.xml"/><Relationship Id="rId19" Type="http://schemas.openxmlformats.org/officeDocument/2006/relationships/ctrlProp" Target="../ctrlProps/ctrlProp12.xml"/><Relationship Id="rId31" Type="http://schemas.openxmlformats.org/officeDocument/2006/relationships/ctrlProp" Target="../ctrlProps/ctrlProp24.xml"/><Relationship Id="rId4" Type="http://schemas.openxmlformats.org/officeDocument/2006/relationships/hyperlink" Target="https://www.jx3box.com/pz/" TargetMode="External"/><Relationship Id="rId9" Type="http://schemas.openxmlformats.org/officeDocument/2006/relationships/ctrlProp" Target="../ctrlProps/ctrlProp2.xml"/><Relationship Id="rId14" Type="http://schemas.openxmlformats.org/officeDocument/2006/relationships/ctrlProp" Target="../ctrlProps/ctrlProp7.xml"/><Relationship Id="rId22" Type="http://schemas.openxmlformats.org/officeDocument/2006/relationships/ctrlProp" Target="../ctrlProps/ctrlProp15.xml"/><Relationship Id="rId27" Type="http://schemas.openxmlformats.org/officeDocument/2006/relationships/ctrlProp" Target="../ctrlProps/ctrlProp20.xml"/><Relationship Id="rId30" Type="http://schemas.openxmlformats.org/officeDocument/2006/relationships/ctrlProp" Target="../ctrlProps/ctrlProp23.xml"/><Relationship Id="rId35" Type="http://schemas.openxmlformats.org/officeDocument/2006/relationships/ctrlProp" Target="../ctrlProps/ctrlProp28.xml"/><Relationship Id="rId8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5502-FC96-4C40-B6A7-20D850E0271B}">
  <dimension ref="A1:CQ96"/>
  <sheetViews>
    <sheetView topLeftCell="AS1" zoomScaleNormal="100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21.453125" bestFit="1" customWidth="1"/>
    <col min="8" max="8" width="21.453125" customWidth="1"/>
    <col min="9" max="16" width="20.36328125" bestFit="1" customWidth="1"/>
    <col min="17" max="17" width="14.1796875" customWidth="1"/>
    <col min="18" max="18" width="20.36328125" bestFit="1" customWidth="1"/>
    <col min="19" max="19" width="9.453125" bestFit="1" customWidth="1"/>
    <col min="20" max="20" width="13.6328125" bestFit="1" customWidth="1"/>
    <col min="21" max="21" width="10.453125" bestFit="1" customWidth="1"/>
    <col min="22" max="22" width="12.90625" bestFit="1" customWidth="1"/>
    <col min="24" max="24" width="9.453125" bestFit="1" customWidth="1"/>
    <col min="25" max="25" width="10.1796875" customWidth="1"/>
    <col min="27" max="27" width="11.6328125" bestFit="1" customWidth="1"/>
    <col min="29" max="30" width="21.453125" bestFit="1" customWidth="1"/>
    <col min="31" max="32" width="11.54296875" bestFit="1" customWidth="1"/>
    <col min="33" max="33" width="9.90625" bestFit="1" customWidth="1"/>
    <col min="46" max="46" width="11.54296875" bestFit="1" customWidth="1"/>
    <col min="47" max="47" width="11.54296875" customWidth="1"/>
    <col min="53" max="53" width="12.81640625" bestFit="1" customWidth="1"/>
    <col min="54" max="58" width="12.81640625" customWidth="1"/>
    <col min="60" max="60" width="13.36328125" customWidth="1"/>
    <col min="61" max="62" width="11.6328125" bestFit="1" customWidth="1"/>
    <col min="63" max="64" width="9.90625" bestFit="1" customWidth="1"/>
    <col min="65" max="66" width="11.6328125" bestFit="1" customWidth="1"/>
    <col min="67" max="68" width="9.90625" bestFit="1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  <col min="95" max="95" width="11.632812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I2">
        <f>INT(INT(736*K6+160+3*K7)*(INT(18*1024/属性开关!U25)/1024+1)*(1+0.1+0.07+0.25))</f>
        <v>1694</v>
      </c>
      <c r="J2">
        <v>682</v>
      </c>
      <c r="K2">
        <v>736</v>
      </c>
      <c r="AR2">
        <f ca="1">AE41/SUM(AE41:AE44)*循环!Y12*循环!V9*C22</f>
        <v>0</v>
      </c>
      <c r="BF2">
        <f ca="1">INT(BF$6*$E25+BF$7*($C$8+$C$9)/2+BF$8)*(BF$14+BF$15)</f>
        <v>147740.99779913138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G3" s="51">
        <f ca="1">G9*T27+T28*G16</f>
        <v>0.25247588764587342</v>
      </c>
      <c r="H3" s="51"/>
      <c r="I3">
        <f>INT(INT(736*K6+175+5*K7)*(INT(18*1024/属性开关!U25)/1024+1)*(1+0.1+0.07+0.25))</f>
        <v>1718</v>
      </c>
      <c r="L3">
        <f>K2+INT((51/1024)*J2)</f>
        <v>769</v>
      </c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20640.29812371463</v>
      </c>
      <c r="BH3">
        <v>30</v>
      </c>
      <c r="CA3" s="34" t="s">
        <v>730</v>
      </c>
      <c r="CB3"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s="34" t="str">
        <f>IF(大附魔数值!$R$40&gt;1,"刃凌","昆吾·折锋")</f>
        <v>刃凌</v>
      </c>
      <c r="R5" t="s">
        <v>9</v>
      </c>
      <c r="AM5" s="34"/>
      <c r="AO5" s="34"/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W5" s="34"/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245</v>
      </c>
      <c r="CD5" s="34" t="s">
        <v>230</v>
      </c>
      <c r="CE5" s="34" t="s">
        <v>339</v>
      </c>
      <c r="CF5" s="34" t="s">
        <v>338</v>
      </c>
      <c r="CG5" s="34" t="s">
        <v>735</v>
      </c>
      <c r="CH5" s="34" t="s">
        <v>337</v>
      </c>
      <c r="CI5" s="34" t="s">
        <v>1329</v>
      </c>
      <c r="CJ5" s="34" t="s">
        <v>1330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>J6</f>
        <v>1.6312500000000001</v>
      </c>
      <c r="CF6">
        <f>K6</f>
        <v>1.4</v>
      </c>
      <c r="CG6">
        <f ca="1">O6</f>
        <v>0.15625</v>
      </c>
      <c r="CH6">
        <f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235670.9537941828</v>
      </c>
      <c r="U7">
        <f ca="1">INT(I$6*($E18+$E$19)/2+I$7*($C$8+$C$9)/2+I$8)*(I$14+I$15)*$D$21*IF(COUNTIF($S7,"*雷*")&gt;0,I$17*(I$13*0.25+I$9*I$10+1-I$9-I$13-I$12),I$11*(I$13*0.25+I$9*I$10+1-I$9-I$13-I$12))</f>
        <v>75557.76096672588</v>
      </c>
      <c r="V7">
        <f ca="1">INT(J$6*($E18+$E$19)/2+J$7*($C$8+$C$9)/2+J$8)*(J$14+J$15)*$D$21*IF(COUNTIF($S7,"*雷*")&gt;0,J$17*(J$13*0.25+J$9*J$10+1-J$9-J$13-J$12),J$11*(J$13*0.25+J$9*J$10+1-J$9-J$13-J$12))</f>
        <v>136840.38922865712</v>
      </c>
      <c r="W7">
        <f ca="1">INT(K$6*($E18+$E$19)/2+K$7*($C$8+$C$9)/2+K$8)*(K$14+K$15)*$D$21*IF(COUNTIF($S7,"*雷*")&gt;0,K$17*(K$13*0.25+K$9*K$10+1-K$9-K$13-K$12),K$11*(K$13*0.25+K$9*K$10+1-K$9-K$13-K$12))</f>
        <v>142827.76577910193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C17" si="0">L7</f>
        <v>1</v>
      </c>
      <c r="CD7">
        <f t="shared" ref="CD7:CD17" si="1">M7</f>
        <v>0.25</v>
      </c>
      <c r="CE7">
        <f t="shared" ref="CE7:CE17" si="2">J7</f>
        <v>1</v>
      </c>
      <c r="CF7">
        <f t="shared" ref="CF7:CF17" si="3">K7</f>
        <v>1</v>
      </c>
      <c r="CG7">
        <f t="shared" ref="CG7:CG17" si="4">O7</f>
        <v>1</v>
      </c>
      <c r="CH7">
        <f t="shared" ref="CH7:CH17" si="5">N7</f>
        <v>0</v>
      </c>
      <c r="CI7">
        <f t="shared" ref="CI7:CI17" si="6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f ca="1">INT((1-INT(1024*1024*7.5/10)/(1024*1024))*属性开关!$T$18+(1-INT(1024*1024*6.5/10)/(1024*1024))*属性开关!$T$18+(1-INT(1024*1024*6/10)/(1024*1024))*属性开关!$T$18)*0</f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7">BG8</f>
        <v>318.5</v>
      </c>
      <c r="CA8">
        <f>INT(445*0.95)+15/2</f>
        <v>429.5</v>
      </c>
      <c r="CB8">
        <f>180+50/2</f>
        <v>205</v>
      </c>
      <c r="CC8">
        <f t="shared" si="0"/>
        <v>213</v>
      </c>
      <c r="CD8">
        <f t="shared" si="1"/>
        <v>63</v>
      </c>
      <c r="CE8">
        <f t="shared" si="2"/>
        <v>194.5</v>
      </c>
      <c r="CF8">
        <f t="shared" si="3"/>
        <v>167.5</v>
      </c>
      <c r="CG8">
        <f t="shared" si="4"/>
        <v>0</v>
      </c>
      <c r="CH8">
        <f t="shared" si="5"/>
        <v>60</v>
      </c>
      <c r="CI8">
        <f t="shared" si="6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8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9">P9</f>
        <v>0.38544695282092156</v>
      </c>
      <c r="R9" s="21">
        <f ca="1">Q9</f>
        <v>0.38544695282092156</v>
      </c>
      <c r="AJ9">
        <f ca="1">AJ8/$V$51</f>
        <v>0</v>
      </c>
      <c r="AK9">
        <f t="shared" ref="AK9:AL9" ca="1" si="10">AK8/$V$51</f>
        <v>0</v>
      </c>
      <c r="AL9">
        <f t="shared" ca="1" si="10"/>
        <v>0</v>
      </c>
      <c r="AM9" s="34" t="s">
        <v>1514</v>
      </c>
      <c r="AP9">
        <f ca="1">(AP8)/循环!$X$1</f>
        <v>1229.97</v>
      </c>
      <c r="AQ9">
        <f ca="1">(AP8+AQ8)/循环!X1</f>
        <v>3470.3247534624666</v>
      </c>
      <c r="AR9" s="21">
        <f t="shared" ref="AR9:AR16" ca="1" si="11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2">P9</f>
        <v>0.38544695282092156</v>
      </c>
      <c r="AX9" s="21">
        <f t="shared" ref="AX9:AZ14" ca="1" si="13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4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7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0"/>
        <v>0.41544695282092159</v>
      </c>
      <c r="CD9">
        <f t="shared" ca="1" si="1"/>
        <v>0.41544695282092159</v>
      </c>
      <c r="CE9">
        <f t="shared" ca="1" si="2"/>
        <v>0.38544695282092156</v>
      </c>
      <c r="CF9">
        <f t="shared" ca="1" si="3"/>
        <v>0.53544695282092158</v>
      </c>
      <c r="CG9">
        <f t="shared" ca="1" si="4"/>
        <v>0.38544695282092156</v>
      </c>
      <c r="CH9">
        <f t="shared" ca="1" si="5"/>
        <v>0.38544695282092156</v>
      </c>
      <c r="CI9">
        <f t="shared" ca="1" si="6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8"/>
        <v>2.2455897486586527</v>
      </c>
      <c r="N10" s="21">
        <f ca="1">C11</f>
        <v>2.2455897486586527</v>
      </c>
      <c r="O10" s="21">
        <f t="shared" ref="O10:O13" ca="1" si="15">N10</f>
        <v>2.2455897486586527</v>
      </c>
      <c r="P10" s="21">
        <f ca="1">C11</f>
        <v>2.2455897486586527</v>
      </c>
      <c r="Q10" s="21">
        <f t="shared" ca="1" si="9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531226.0261783941</v>
      </c>
      <c r="AQ10">
        <f ca="1">(AQ8)/循环!$X$1</f>
        <v>2240.3547534624668</v>
      </c>
      <c r="AR10" s="21">
        <f t="shared" ca="1" si="11"/>
        <v>2.2455897486586527</v>
      </c>
      <c r="AS10" s="21">
        <f ca="1">$C$11</f>
        <v>2.2455897486586527</v>
      </c>
      <c r="AT10" s="22">
        <f t="shared" ref="AT10:AT17" ca="1" si="16">AV10</f>
        <v>2.2455897486586527</v>
      </c>
      <c r="AU10" s="22">
        <f t="shared" ref="AU10:AU17" ca="1" si="17">AV10</f>
        <v>2.2455897486586527</v>
      </c>
      <c r="AV10" s="21">
        <f t="shared" ca="1" si="12"/>
        <v>2.2455897486586527</v>
      </c>
      <c r="AX10" s="21">
        <f t="shared" ca="1" si="13"/>
        <v>2.2455897486586527</v>
      </c>
      <c r="AZ10" s="21">
        <f t="shared" ca="1" si="13"/>
        <v>2.2455897486586527</v>
      </c>
      <c r="BB10" s="21">
        <f t="shared" ref="BB10:BB14" ca="1" si="18">AV10</f>
        <v>2.2455897486586527</v>
      </c>
      <c r="BC10" s="21">
        <f t="shared" ref="BC10:BC14" ca="1" si="19">AV10</f>
        <v>2.2455897486586527</v>
      </c>
      <c r="BD10" s="21">
        <f t="shared" ca="1" si="14"/>
        <v>2.2455897486586527</v>
      </c>
      <c r="BE10" s="21">
        <f t="shared" ref="BE10:BF17" ca="1" si="20">BD10</f>
        <v>2.2455897486586527</v>
      </c>
      <c r="BF10" s="21">
        <f t="shared" ca="1" si="20"/>
        <v>2.2455897486586527</v>
      </c>
      <c r="BG10" s="21">
        <f ca="1">AV10</f>
        <v>2.2455897486586527</v>
      </c>
      <c r="BH10">
        <f t="shared" ca="1" si="7"/>
        <v>2.2455897486586527</v>
      </c>
      <c r="CA10" s="21">
        <f t="shared" ref="CA10:CA17" ca="1" si="21">AZ10</f>
        <v>2.2455897486586527</v>
      </c>
      <c r="CB10" s="21">
        <f t="shared" ref="CB10:CB17" ca="1" si="22">AZ10</f>
        <v>2.2455897486586527</v>
      </c>
      <c r="CC10">
        <f t="shared" ca="1" si="0"/>
        <v>2.2455897486586527</v>
      </c>
      <c r="CD10">
        <f t="shared" ca="1" si="1"/>
        <v>2.2455897486586527</v>
      </c>
      <c r="CE10">
        <f t="shared" ca="1" si="2"/>
        <v>2.2455897486586527</v>
      </c>
      <c r="CF10">
        <f t="shared" ca="1" si="3"/>
        <v>2.3455897486586528</v>
      </c>
      <c r="CG10">
        <f t="shared" ca="1" si="4"/>
        <v>2.2455897486586527</v>
      </c>
      <c r="CH10">
        <f t="shared" ca="1" si="5"/>
        <v>2.2455897486586527</v>
      </c>
      <c r="CI10">
        <f t="shared" ca="1" si="6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3">$C$12+1</f>
        <v>1.3631784794429076</v>
      </c>
      <c r="M11" s="21">
        <f t="shared" ca="1" si="8"/>
        <v>1.3631784794429076</v>
      </c>
      <c r="N11" s="21">
        <f ca="1">C12+1</f>
        <v>1.3631784794429076</v>
      </c>
      <c r="O11" s="21">
        <f t="shared" ca="1" si="15"/>
        <v>1.3631784794429076</v>
      </c>
      <c r="P11" s="21">
        <f ca="1">O11</f>
        <v>1.3631784794429076</v>
      </c>
      <c r="Q11" s="21">
        <f t="shared" ca="1" si="9"/>
        <v>1.3631784794429076</v>
      </c>
      <c r="R11" s="21">
        <f ca="1">Q11</f>
        <v>1.3631784794429076</v>
      </c>
      <c r="AL11" s="34"/>
      <c r="AM11">
        <f ca="1">G33+H33+I33+J33+K33+L33</f>
        <v>352782.09513809596</v>
      </c>
      <c r="AR11" s="21">
        <f t="shared" ca="1" si="11"/>
        <v>1.3631784794429076</v>
      </c>
      <c r="AS11" s="21">
        <f ca="1">($C$12+1)*AS4</f>
        <v>0</v>
      </c>
      <c r="AT11" s="22">
        <f t="shared" ca="1" si="16"/>
        <v>1.3631784794429076</v>
      </c>
      <c r="AU11" s="22">
        <f t="shared" ca="1" si="17"/>
        <v>1.3631784794429076</v>
      </c>
      <c r="AV11" s="21">
        <f t="shared" ca="1" si="12"/>
        <v>1.3631784794429076</v>
      </c>
      <c r="AX11" s="21">
        <f t="shared" ca="1" si="13"/>
        <v>1.3631784794429076</v>
      </c>
      <c r="AZ11" s="21">
        <f t="shared" ca="1" si="13"/>
        <v>1.3631784794429076</v>
      </c>
      <c r="BB11" s="21">
        <f t="shared" ca="1" si="18"/>
        <v>1.3631784794429076</v>
      </c>
      <c r="BC11" s="21">
        <f t="shared" ca="1" si="19"/>
        <v>1.3631784794429076</v>
      </c>
      <c r="BD11" s="21">
        <f t="shared" ca="1" si="14"/>
        <v>1.3631784794429076</v>
      </c>
      <c r="BE11" s="21">
        <f t="shared" ca="1" si="20"/>
        <v>1.3631784794429076</v>
      </c>
      <c r="BF11" s="21">
        <f t="shared" ca="1" si="20"/>
        <v>1.3631784794429076</v>
      </c>
      <c r="BG11" s="21">
        <f ca="1">$C$12+1</f>
        <v>1.3631784794429076</v>
      </c>
      <c r="BH11">
        <f t="shared" ca="1" si="7"/>
        <v>1.3631784794429076</v>
      </c>
      <c r="CA11" s="21">
        <f t="shared" ca="1" si="21"/>
        <v>1.3631784794429076</v>
      </c>
      <c r="CB11" s="21">
        <f t="shared" ca="1" si="22"/>
        <v>1.3631784794429076</v>
      </c>
      <c r="CC11">
        <f t="shared" ca="1" si="0"/>
        <v>1.3631784794429076</v>
      </c>
      <c r="CD11">
        <f t="shared" ca="1" si="1"/>
        <v>1.3631784794429076</v>
      </c>
      <c r="CE11">
        <f t="shared" ca="1" si="2"/>
        <v>1.3631784794429076</v>
      </c>
      <c r="CF11">
        <f t="shared" ca="1" si="3"/>
        <v>1.3631784794429076</v>
      </c>
      <c r="CG11">
        <f t="shared" ca="1" si="4"/>
        <v>1.3631784794429076</v>
      </c>
      <c r="CH11">
        <f t="shared" ca="1" si="5"/>
        <v>1.3631784794429076</v>
      </c>
      <c r="CI11">
        <f t="shared" ca="1" si="6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4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5">MAX(0,$C$15-$C$13)</f>
        <v>0</v>
      </c>
      <c r="L12" s="21">
        <f t="shared" si="25"/>
        <v>0</v>
      </c>
      <c r="M12" s="21">
        <f t="shared" si="8"/>
        <v>0</v>
      </c>
      <c r="N12" s="21">
        <f t="shared" si="25"/>
        <v>0</v>
      </c>
      <c r="O12" s="21">
        <f t="shared" si="15"/>
        <v>0</v>
      </c>
      <c r="P12" s="21">
        <f>O12</f>
        <v>0</v>
      </c>
      <c r="Q12" s="21">
        <f t="shared" si="9"/>
        <v>0</v>
      </c>
      <c r="R12" s="21">
        <f>Q12</f>
        <v>0</v>
      </c>
      <c r="AL12" s="34" t="s">
        <v>1513</v>
      </c>
      <c r="AM12">
        <f ca="1">(G48+H48+I48)/AD38*AD37*D22+(G48+H48+I48)/AE42*AF41*C22</f>
        <v>459671.69381376175</v>
      </c>
      <c r="AP12" s="34"/>
      <c r="AR12" s="21">
        <f t="shared" si="11"/>
        <v>0</v>
      </c>
      <c r="AS12" s="21">
        <f>MAX(0,$C$15-$C$13-属性开关!$AB$60)</f>
        <v>0</v>
      </c>
      <c r="AT12" s="22">
        <f t="shared" si="16"/>
        <v>0</v>
      </c>
      <c r="AU12" s="22">
        <f t="shared" si="17"/>
        <v>0</v>
      </c>
      <c r="AV12" s="21">
        <f t="shared" si="12"/>
        <v>0</v>
      </c>
      <c r="AX12" s="21">
        <f t="shared" si="13"/>
        <v>0</v>
      </c>
      <c r="AZ12" s="21">
        <f t="shared" si="13"/>
        <v>0</v>
      </c>
      <c r="BB12" s="21">
        <f t="shared" si="18"/>
        <v>0</v>
      </c>
      <c r="BC12" s="21">
        <f t="shared" si="19"/>
        <v>0</v>
      </c>
      <c r="BD12" s="21">
        <f t="shared" si="14"/>
        <v>0</v>
      </c>
      <c r="BE12" s="21">
        <f t="shared" si="20"/>
        <v>0</v>
      </c>
      <c r="BF12" s="21">
        <f t="shared" si="20"/>
        <v>0</v>
      </c>
      <c r="BG12" s="21">
        <f>MAX(0,$C$15-$C$13-属性开关!BG62)</f>
        <v>0</v>
      </c>
      <c r="BH12">
        <f t="shared" si="7"/>
        <v>0</v>
      </c>
      <c r="CA12" s="21">
        <f t="shared" si="21"/>
        <v>0</v>
      </c>
      <c r="CB12" s="21">
        <f t="shared" si="22"/>
        <v>0</v>
      </c>
      <c r="CC12">
        <f t="shared" si="0"/>
        <v>0</v>
      </c>
      <c r="CD12">
        <f t="shared" si="1"/>
        <v>0</v>
      </c>
      <c r="CE12">
        <f t="shared" si="2"/>
        <v>0</v>
      </c>
      <c r="CF12">
        <f t="shared" si="3"/>
        <v>0</v>
      </c>
      <c r="CG12">
        <f t="shared" si="4"/>
        <v>0</v>
      </c>
      <c r="CH12">
        <f t="shared" si="5"/>
        <v>0</v>
      </c>
      <c r="CI12">
        <f t="shared" si="6"/>
        <v>0</v>
      </c>
      <c r="CN12" s="21">
        <f>$R$12</f>
        <v>0</v>
      </c>
      <c r="CO12" s="21">
        <f t="shared" ref="CO12:CQ12" si="26">$R$12</f>
        <v>0</v>
      </c>
      <c r="CP12" s="21">
        <f t="shared" si="26"/>
        <v>0</v>
      </c>
      <c r="CQ12" s="21">
        <f t="shared" si="26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7">MAX(0,$C$16-$C$14)</f>
        <v>0</v>
      </c>
      <c r="L13" s="21">
        <f t="shared" ca="1" si="27"/>
        <v>0</v>
      </c>
      <c r="M13" s="21">
        <f t="shared" ca="1" si="8"/>
        <v>0</v>
      </c>
      <c r="N13" s="21">
        <f t="shared" ca="1" si="27"/>
        <v>0</v>
      </c>
      <c r="O13" s="21">
        <f t="shared" ca="1" si="15"/>
        <v>0</v>
      </c>
      <c r="P13" s="21">
        <f ca="1">O13</f>
        <v>0</v>
      </c>
      <c r="Q13" s="21">
        <f t="shared" ca="1" si="9"/>
        <v>0</v>
      </c>
      <c r="R13" s="21">
        <f ca="1">Q13</f>
        <v>0</v>
      </c>
      <c r="AM13">
        <f ca="1">G48+H48+I48+J48+K48+L48</f>
        <v>300583.56963011267</v>
      </c>
      <c r="AR13" s="21">
        <f t="shared" ca="1" si="11"/>
        <v>0</v>
      </c>
      <c r="AS13" s="21">
        <f ca="1">MAX(0,$C$16-$C$14)</f>
        <v>0</v>
      </c>
      <c r="AT13" s="22">
        <f t="shared" ca="1" si="16"/>
        <v>0</v>
      </c>
      <c r="AU13" s="22">
        <f t="shared" ca="1" si="17"/>
        <v>0</v>
      </c>
      <c r="AV13" s="21">
        <f t="shared" ca="1" si="12"/>
        <v>0</v>
      </c>
      <c r="AX13" s="21">
        <f t="shared" ca="1" si="13"/>
        <v>0</v>
      </c>
      <c r="AZ13" s="21">
        <f t="shared" ca="1" si="13"/>
        <v>0</v>
      </c>
      <c r="BB13" s="21">
        <f t="shared" ca="1" si="18"/>
        <v>0</v>
      </c>
      <c r="BC13" s="21">
        <f t="shared" ca="1" si="19"/>
        <v>0</v>
      </c>
      <c r="BD13" s="21">
        <f t="shared" ca="1" si="14"/>
        <v>0</v>
      </c>
      <c r="BE13" s="21">
        <f t="shared" ca="1" si="20"/>
        <v>0</v>
      </c>
      <c r="BF13" s="21">
        <f t="shared" ca="1" si="20"/>
        <v>0</v>
      </c>
      <c r="BG13" s="21">
        <f ca="1">MAX(0,$C$16-$C$14)</f>
        <v>0</v>
      </c>
      <c r="BH13">
        <f t="shared" ca="1" si="7"/>
        <v>0</v>
      </c>
      <c r="CA13" s="21">
        <f t="shared" ca="1" si="21"/>
        <v>0</v>
      </c>
      <c r="CB13" s="21">
        <f t="shared" ca="1" si="22"/>
        <v>0</v>
      </c>
      <c r="CC13">
        <f t="shared" ca="1" si="0"/>
        <v>0</v>
      </c>
      <c r="CD13">
        <f t="shared" ca="1" si="1"/>
        <v>0</v>
      </c>
      <c r="CE13">
        <f t="shared" ca="1" si="2"/>
        <v>0</v>
      </c>
      <c r="CF13">
        <f t="shared" ca="1" si="3"/>
        <v>0</v>
      </c>
      <c r="CG13">
        <f t="shared" ca="1" si="4"/>
        <v>0</v>
      </c>
      <c r="CH13">
        <f t="shared" ca="1" si="5"/>
        <v>0</v>
      </c>
      <c r="CI13">
        <f t="shared" ca="1" si="6"/>
        <v>0</v>
      </c>
      <c r="CN13" s="21">
        <f ca="1">$R$13</f>
        <v>0</v>
      </c>
      <c r="CO13" s="21">
        <f t="shared" ref="CO13:CQ13" ca="1" si="28">$R$13</f>
        <v>0</v>
      </c>
      <c r="CP13" s="21">
        <f t="shared" ca="1" si="28"/>
        <v>0</v>
      </c>
      <c r="CQ13" s="21">
        <f t="shared" ca="1" si="28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ca="1">L14</f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9"/>
        <v>1.1949867981229385</v>
      </c>
      <c r="R14" s="21">
        <f ca="1">1+属性开关!N31+属性开关!AA70</f>
        <v>1.2652992981229385</v>
      </c>
      <c r="AR14" s="21">
        <f t="shared" ca="1" si="11"/>
        <v>1.1949867981229385</v>
      </c>
      <c r="AS14" s="21">
        <f ca="1">AV14</f>
        <v>1.1949867981229385</v>
      </c>
      <c r="AT14" s="22">
        <f t="shared" ca="1" si="16"/>
        <v>1.1949867981229385</v>
      </c>
      <c r="AU14" s="22">
        <f t="shared" ca="1" si="17"/>
        <v>1.1949867981229385</v>
      </c>
      <c r="AV14" s="21">
        <f t="shared" ca="1" si="12"/>
        <v>1.1949867981229385</v>
      </c>
      <c r="AX14" s="21">
        <f t="shared" ca="1" si="13"/>
        <v>1.1949867981229385</v>
      </c>
      <c r="AZ14" s="21">
        <f t="shared" ca="1" si="13"/>
        <v>1.1949867981229385</v>
      </c>
      <c r="BB14" s="21">
        <f t="shared" ca="1" si="18"/>
        <v>1.1949867981229385</v>
      </c>
      <c r="BC14" s="21">
        <f t="shared" ca="1" si="19"/>
        <v>1.1949867981229385</v>
      </c>
      <c r="BD14" s="21">
        <f t="shared" ca="1" si="14"/>
        <v>1.1949867981229385</v>
      </c>
      <c r="BE14" s="21">
        <f t="shared" ca="1" si="20"/>
        <v>1.1949867981229385</v>
      </c>
      <c r="BF14" s="21">
        <f t="shared" ca="1" si="20"/>
        <v>1.1949867981229385</v>
      </c>
      <c r="BG14" s="21">
        <f ca="1">AV14</f>
        <v>1.1949867981229385</v>
      </c>
      <c r="BH14">
        <f t="shared" ca="1" si="7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3"/>
        <v>1.2652992981229385</v>
      </c>
      <c r="CG14">
        <f t="shared" ca="1" si="4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8"/>
        <v>9.9609375E-2</v>
      </c>
      <c r="N15">
        <v>0</v>
      </c>
      <c r="AR15" s="21">
        <f t="shared" si="11"/>
        <v>0</v>
      </c>
      <c r="AS15" s="36"/>
      <c r="AT15" s="22">
        <f t="shared" si="16"/>
        <v>0</v>
      </c>
      <c r="AU15" s="22">
        <f t="shared" si="17"/>
        <v>0</v>
      </c>
      <c r="AX15" s="21">
        <f t="shared" ref="AX15:AZ17" si="29">AV15</f>
        <v>0</v>
      </c>
      <c r="AZ15" s="21">
        <f t="shared" si="29"/>
        <v>0</v>
      </c>
      <c r="BD15" s="21">
        <f t="shared" si="14"/>
        <v>0</v>
      </c>
      <c r="BE15" s="21">
        <f t="shared" si="20"/>
        <v>0</v>
      </c>
      <c r="BF15" s="21">
        <f t="shared" si="20"/>
        <v>0</v>
      </c>
      <c r="BG15" s="36"/>
      <c r="CA15" s="21">
        <f t="shared" si="21"/>
        <v>0</v>
      </c>
      <c r="CB15" s="21">
        <f t="shared" si="22"/>
        <v>0</v>
      </c>
      <c r="CC15">
        <f t="shared" si="0"/>
        <v>9.9609375E-2</v>
      </c>
      <c r="CD15">
        <f t="shared" si="1"/>
        <v>9.9609375E-2</v>
      </c>
      <c r="CE15">
        <f t="shared" si="2"/>
        <v>9.9609375E-2</v>
      </c>
      <c r="CF15">
        <f t="shared" si="3"/>
        <v>0.2001953125</v>
      </c>
      <c r="CG15">
        <f t="shared" si="4"/>
        <v>0</v>
      </c>
      <c r="CH15">
        <f t="shared" si="5"/>
        <v>0</v>
      </c>
      <c r="CI15">
        <f t="shared" si="6"/>
        <v>0</v>
      </c>
      <c r="CN15" s="21">
        <f>$R$15</f>
        <v>0</v>
      </c>
      <c r="CO15" s="21">
        <f t="shared" ref="CO15:CQ15" si="30">$R$15</f>
        <v>0</v>
      </c>
      <c r="CP15" s="21">
        <f t="shared" si="30"/>
        <v>0</v>
      </c>
      <c r="CQ15" s="21">
        <f t="shared" si="30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11"/>
        <v>0.6854469528209215</v>
      </c>
      <c r="AS16" s="21">
        <f ca="1">MIN(1-AS12-AS13,AS9+0.3+属性开关!$X$55)</f>
        <v>0.6854469528209215</v>
      </c>
      <c r="AT16" s="22">
        <f t="shared" ca="1" si="16"/>
        <v>0.6854469528209215</v>
      </c>
      <c r="AU16" s="22">
        <f t="shared" ca="1" si="17"/>
        <v>0.6854469528209215</v>
      </c>
      <c r="AV16" s="21">
        <f ca="1">MIN(1-AV12-AV13,AV9+0.3+属性开关!$X$55)</f>
        <v>0.6854469528209215</v>
      </c>
      <c r="AX16" s="21">
        <f t="shared" ca="1" si="29"/>
        <v>0.6854469528209215</v>
      </c>
      <c r="AZ16" s="21">
        <f t="shared" ca="1" si="29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4"/>
        <v>0.6854469528209215</v>
      </c>
      <c r="BE16" s="21">
        <f t="shared" ca="1" si="20"/>
        <v>0.6854469528209215</v>
      </c>
      <c r="BF16" s="21">
        <f t="shared" ca="1" si="20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21"/>
        <v>0.6854469528209215</v>
      </c>
      <c r="CB16" s="21">
        <f t="shared" ca="1" si="22"/>
        <v>0.6854469528209215</v>
      </c>
      <c r="CC16">
        <f t="shared" ca="1" si="0"/>
        <v>0.71544695282092152</v>
      </c>
      <c r="CD16">
        <f t="shared" ca="1" si="1"/>
        <v>0.71544695282092152</v>
      </c>
      <c r="CE16">
        <f t="shared" ca="1" si="2"/>
        <v>0.6854469528209215</v>
      </c>
      <c r="CF16">
        <f t="shared" ca="1" si="3"/>
        <v>0.83544695282092163</v>
      </c>
      <c r="CG16">
        <f t="shared" ca="1" si="4"/>
        <v>0.6854469528209215</v>
      </c>
      <c r="CH16">
        <f t="shared" ca="1" si="5"/>
        <v>0.6854469528209215</v>
      </c>
      <c r="CI16">
        <f t="shared" ca="1" si="6"/>
        <v>0.6854469528209215</v>
      </c>
      <c r="CN16" s="21">
        <f ca="1">$R$16</f>
        <v>0.6854469528209215</v>
      </c>
      <c r="CO16" s="21">
        <f t="shared" ref="CO16:CQ16" ca="1" si="31">$R$16</f>
        <v>0.6854469528209215</v>
      </c>
      <c r="CP16" s="21">
        <f t="shared" ca="1" si="31"/>
        <v>0.6854469528209215</v>
      </c>
      <c r="CQ16" s="21">
        <f t="shared" ca="1" si="31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2">O17</f>
        <v>1.3631784794429076</v>
      </c>
      <c r="Q17" s="22">
        <f t="shared" ca="1" si="32"/>
        <v>1.3631784794429076</v>
      </c>
      <c r="R17" s="22">
        <f t="shared" ca="1" si="32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6"/>
        <v>1.3631784794429076</v>
      </c>
      <c r="AU17" s="22">
        <f t="shared" ca="1" si="17"/>
        <v>1.3631784794429076</v>
      </c>
      <c r="AV17" s="22">
        <f ca="1">P17</f>
        <v>1.3631784794429076</v>
      </c>
      <c r="AX17" s="21">
        <f t="shared" ca="1" si="29"/>
        <v>1.3631784794429076</v>
      </c>
      <c r="AZ17" s="21">
        <f t="shared" ca="1" si="29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4"/>
        <v>1.3631784794429076</v>
      </c>
      <c r="BE17" s="21">
        <f t="shared" ca="1" si="20"/>
        <v>1.3631784794429076</v>
      </c>
      <c r="BF17" s="21">
        <f t="shared" ca="1" si="20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21"/>
        <v>1.3631784794429076</v>
      </c>
      <c r="CB17" s="21">
        <f t="shared" ca="1" si="22"/>
        <v>1.3631784794429076</v>
      </c>
      <c r="CC17">
        <f t="shared" ca="1" si="0"/>
        <v>1.3631784794429076</v>
      </c>
      <c r="CD17">
        <f t="shared" ca="1" si="1"/>
        <v>1.3631784794429076</v>
      </c>
      <c r="CE17">
        <f t="shared" ca="1" si="2"/>
        <v>1.3631784794429076</v>
      </c>
      <c r="CF17">
        <f t="shared" ca="1" si="3"/>
        <v>1.3631784794429076</v>
      </c>
      <c r="CG17">
        <f t="shared" ca="1" si="4"/>
        <v>1.3631784794429076</v>
      </c>
      <c r="CH17">
        <f t="shared" ca="1" si="5"/>
        <v>1.3631784794429076</v>
      </c>
      <c r="CI17">
        <f t="shared" ca="1" si="6"/>
        <v>1.3631784794429076</v>
      </c>
      <c r="CN17" s="21">
        <f ca="1">$R$17</f>
        <v>1.3631784794429076</v>
      </c>
      <c r="CO17" s="21">
        <f t="shared" ref="CO17:CQ17" ca="1" si="33">$R$17</f>
        <v>1.3631784794429076</v>
      </c>
      <c r="CP17" s="21">
        <f t="shared" ca="1" si="33"/>
        <v>1.3631784794429076</v>
      </c>
      <c r="CQ17" s="21">
        <f t="shared" ca="1" si="33"/>
        <v>1.3631784794429076</v>
      </c>
    </row>
    <row r="18" spans="1:95" x14ac:dyDescent="0.35">
      <c r="A18" s="34" t="s">
        <v>1325</v>
      </c>
      <c r="B18">
        <v>717</v>
      </c>
      <c r="C18">
        <f>5.091*(CHOOSE(B24,121,122,123,124)*450-45750)</f>
        <v>51164.55</v>
      </c>
      <c r="D18" s="20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235670.9537941828</v>
      </c>
      <c r="H18">
        <f ca="1">INT(H$6*$E18+H$7*($C$8+$C$9)/2+H$8)*(H$14+H$15)*$D$21*IF(COUNTIF($F18,"*雷*")&gt;0,H$17*(H$13*0.25+H$16*(H$10+属性开关!$X$56)+1-H$16-H$13-H$12),H$11*(H$13*0.25+H$9*H$10+1-H$9-H$13-H$12))</f>
        <v>161046.36586023981</v>
      </c>
      <c r="I18">
        <f ca="1">INT(I$6*$E18+I$7*($C$8+$C$9)/2+I$8)*(I$14+I$15)*$D$21*IF(COUNTIF($F18,"*雷*")&gt;0,I$17*(I$13*0.25+I$16*(I$10+属性开关!$X$56)+1-I$16-I$13-I$12),I$11*(I$13*0.25+I$9*I$10+1-I$9-I$13-I$12))</f>
        <v>75557.76096672588</v>
      </c>
      <c r="J18">
        <f ca="1">INT(J$6*$E18+J$7*($C$8+$C$9)/2+J$8)*(J$14+J$15)*$D$21*IF(COUNTIF($F18,"*雷*")&gt;0,J$17*(J$13*0.25+J$16*(J$10+属性开关!$X$56)+1-J$16-J$13-J$12),J$11*(J$13*0.25+J$9*J$10+1-J$9-J$13-J$12))</f>
        <v>136840.38922865712</v>
      </c>
      <c r="K18">
        <f ca="1">INT(K$6*$E18+K$7*($C$8+$C$9)/2+K$8)*(K$14+K$15)*$D$21*IF(COUNTIF($F18,"*雷*")&gt;0,K$17*(K$13*0.25+K$16*(K$10+属性开关!$X$56)+1-K$16-K$13-K$12),K$11*(K$13*0.25+K$9*K$10+1-K$9-K$13-K$12))</f>
        <v>142827.76577910193</v>
      </c>
      <c r="L18">
        <f ca="1">INT(L$6*$E18+L$7*($C$8+$C$9)/2+L$8)*(L$14+L$15)*$D$21*IF(COUNTIF($F18,"*雷*")&gt;0,L$17*(L$13*0.25+L$16*(L$10+属性开关!$X$56)+1-L$16-L$13-L$12),L$11*(L$13*0.25+L$9*L$10+1-L$9-L$13-L$12))</f>
        <v>100891.61436436513</v>
      </c>
      <c r="M18">
        <f ca="1">INT(M$6*$E18+M$7*($C$8+$C$9)/2+M$8)*(M$14+M$15)*$D$21*IF(COUNTIF($F18,"*雷*")&gt;0,M$17*(M$13*0.25+M$16*(M$10+属性开关!$X$56)+1-M$16-M$13-M$12),M$11*(M$13*0.25+M$9*M$10+1-M$9-M$13-M$12))</f>
        <v>43460.801898729558</v>
      </c>
      <c r="N18">
        <f ca="1">INT(N$6*$E18+N$7*($C$8+$C$9)/2+N$8)*(N$14+N$15)*$D$21*IF(COUNTIF($F18,"*雷*")&gt;0,N$17*(N$13*0.25+N$16*(N$10+属性开关!$X$56)+1-N$16-N$13-N$12),N$11*(N$13*0.25+N$9*N$10+1-N$9-N$13-N$12))</f>
        <v>50871.358660232479</v>
      </c>
      <c r="O18">
        <f ca="1">INT(O$6*$E18+O$7*($C$8+$C$9)/2+O$8)*(O$14+O$15)*$D$21*IF(COUNTIF($F18,"*雷*")&gt;0,O$17*(O$13*0.25+O$16*(O$10+属性开关!$X$56)+1-O$16-O$13-O$12),O$11*(O$13*0.25+O$9*O$10+1-O$9-O$13-O$12))</f>
        <v>20261.773515579607</v>
      </c>
      <c r="P18">
        <f ca="1">INT(P$6*$E18+P$7*($C$8+$C$9)/2+P$8)*(P$14+P$15)*$D$21*IF(COUNTIF($F18,"*雷*")&gt;0,P$17*(P$13*0.25+P$16*(P$10+属性开关!$X$56)+1-P$16-P$13-P$12),P$11*(P$13*0.25+P$9*P$10+1-P$9-P$13-P$12))</f>
        <v>31195.483770068546</v>
      </c>
      <c r="Q18">
        <f ca="1">INT(Q$6*$E18+Q$7*($C$8+$C$9)/2+Q$8)*(Q$14+Q$15)*$D$21*IF(COUNTIF($F18,"*雷*")&gt;0,Q$17*(Q$13*0.25+Q$16*(Q$10+属性开关!$X$56)+1-Q$16-Q$13-Q$12),Q$11*(Q$13*0.25+Q$9*Q$10+1-Q$9-Q$13-Q$12))</f>
        <v>24971.384844790442</v>
      </c>
      <c r="R18">
        <f ca="1">INT(R$6*$E18+R$7*($C$8+$C$9)/2+R$8)*(R$14+R$15)*$D$21*IF(COUNTIF($F18,"*雷*")&gt;0,R$17*(R$13*0.25+R$16*(R$10+属性开关!$X$56)+1-R$16-R$13-R$12),R$11*(R$13*0.25+R$9*R$10+1-R$9-R$13-R$12))</f>
        <v>7093.761301659636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25259.235705234398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56020.262673684163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69080.657826879105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55957.347238226808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150600.13023505622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69227.6098452976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62398.468854524333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187350.61431336327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8232.3720135240728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13986.007133854637</v>
      </c>
      <c r="BI18">
        <f>IF($BH$3=40,1,0)</f>
        <v>0</v>
      </c>
      <c r="BJ18">
        <f>IF($BH$3=40,2,0)</f>
        <v>0</v>
      </c>
      <c r="BK18">
        <f t="shared" ref="BK18:BO18" si="34">IF($BH$3=40,1,0)</f>
        <v>0</v>
      </c>
      <c r="BL18">
        <f>IF($BH$3=40,2,0)</f>
        <v>0</v>
      </c>
      <c r="BM18">
        <f t="shared" si="34"/>
        <v>0</v>
      </c>
      <c r="BN18">
        <f>IF($BH$3=40,2,0)</f>
        <v>0</v>
      </c>
      <c r="BO18">
        <f t="shared" si="34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5">IF($BH$3=40,1,0)</f>
        <v>0</v>
      </c>
      <c r="BT18">
        <f>IF($BH$3=40,2,0)</f>
        <v>0</v>
      </c>
      <c r="BU18">
        <f t="shared" si="35"/>
        <v>0</v>
      </c>
      <c r="BV18">
        <f>IF($BH$3=40,2,0)</f>
        <v>0</v>
      </c>
      <c r="BW18">
        <f t="shared" si="35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151377.91437944505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195496.73537300687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146243.05091592669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62996.714890190022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196353.53945636572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147807.90289674691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20968.263670374272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76737.727959873489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29537.840676232485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 s="20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290105.49430768745</v>
      </c>
      <c r="H19">
        <f ca="1">INT(H$6*$E19+H$7*($C$8+$C$9)/2+H$8)*(H$14+H$15)*$D$21*IF(COUNTIF($F19,"*雷*")&gt;0,H$17*(H$13*0.25+H$16*(H$10+属性开关!$X$56)+1-H$16-H$13-H$12),H$11*(H$13*0.25+H$9*H$10+1-H$9-H$13-H$12))</f>
        <v>201705.07406235597</v>
      </c>
      <c r="I19">
        <f ca="1">INT(I$6*$E19+I$7*($C$8+$C$9)/2+I$8)*(I$14+I$15)*$D$21*IF(COUNTIF($F19,"*雷*")&gt;0,I$17*(I$13*0.25+I$16*(I$10+属性开关!$X$56)+1-I$16-I$13-I$12),I$11*(I$13*0.25+I$9*I$10+1-I$9-I$13-I$12))</f>
        <v>93009.856501778035</v>
      </c>
      <c r="J19">
        <f ca="1">INT(J$6*$E19+J$7*($C$8+$C$9)/2+J$8)*(J$14+J$15)*$D$21*IF(COUNTIF($F19,"*雷*")&gt;0,J$17*(J$13*0.25+J$16*(J$10+属性开关!$X$56)+1-J$16-J$13-J$12),J$11*(J$13*0.25+J$9*J$10+1-J$9-J$13-J$12))</f>
        <v>171387.91488186148</v>
      </c>
      <c r="K19">
        <f ca="1">INT(K$6*$E19+K$7*($C$8+$C$9)/2+K$8)*(K$14+K$15)*$D$21*IF(COUNTIF($F19,"*雷*")&gt;0,K$17*(K$13*0.25+K$16*(K$10+属性开关!$X$56)+1-K$16-K$13-K$12),K$11*(K$13*0.25+K$9*K$10+1-K$9-K$13-K$12))</f>
        <v>176339.27037216531</v>
      </c>
      <c r="L19">
        <f ca="1">INT(L$6*$E19+L$7*($C$8+$C$9)/2+L$8)*(L$14+L$15)*$D$21*IF(COUNTIF($F19,"*雷*")&gt;0,L$17*(L$13*0.25+L$16*(L$10+属性开关!$X$56)+1-L$16-L$13-L$12),L$11*(L$13*0.25+L$9*L$10+1-L$9-L$13-L$12))</f>
        <v>125736.0643636717</v>
      </c>
      <c r="M19">
        <f ca="1">INT(M$6*$E19+M$7*($C$8+$C$9)/2+M$8)*(M$14+M$15)*$D$21*IF(COUNTIF($F19,"*雷*")&gt;0,M$17*(M$13*0.25+M$16*(M$10+属性开关!$X$56)+1-M$16-M$13-M$12),M$11*(M$13*0.25+M$9*M$10+1-M$9-M$13-M$12))</f>
        <v>54162.976965561727</v>
      </c>
      <c r="N19">
        <f ca="1">INT(N$6*$E19+N$7*($C$8+$C$9)/2+N$8)*(N$14+N$15)*$D$21*IF(COUNTIF($F19,"*雷*")&gt;0,N$17*(N$13*0.25+N$16*(N$10+属性开关!$X$56)+1-N$16-N$13-N$12),N$11*(N$13*0.25+N$9*N$10+1-N$9-N$13-N$12))</f>
        <v>63714.639640609064</v>
      </c>
      <c r="O19">
        <f ca="1">INT(O$6*$E19+O$7*($C$8+$C$9)/2+O$8)*(O$14+O$15)*$D$21*IF(COUNTIF($F19,"*雷*")&gt;0,O$17*(O$13*0.25+O$16*(O$10+属性开关!$X$56)+1-O$16-O$13-O$12),O$11*(O$13*0.25+O$9*O$10+1-O$9-O$13-O$12))</f>
        <v>25377.179458624898</v>
      </c>
      <c r="P19">
        <f ca="1">INT(P$6*$E19+P$7*($C$8+$C$9)/2+P$8)*(P$14+P$15)*$D$21*IF(COUNTIF($F19,"*雷*")&gt;0,P$17*(P$13*0.25+P$16*(P$10+属性开关!$X$56)+1-P$16-P$13-P$12),P$11*(P$13*0.25+P$9*P$10+1-P$9-P$13-P$12))</f>
        <v>39071.278203901282</v>
      </c>
      <c r="Q19">
        <f ca="1">INT(Q$6*$E19+Q$7*($C$8+$C$9)/2+Q$8)*(Q$14+Q$15)*$D$21*IF(COUNTIF($F19,"*雷*")&gt;0,Q$17*(Q$13*0.25+Q$16*(Q$10+属性开关!$X$56)+1-Q$16-Q$13-Q$12),Q$11*(Q$13*0.25+Q$9*Q$10+1-Q$9-Q$13-Q$12))</f>
        <v>31275.806831488284</v>
      </c>
      <c r="R19">
        <f ca="1">INT(R$6*$E19+R$7*($C$8+$C$9)/2+R$8)*(R$14+R$15)*$D$21*IF(COUNTIF($F19,"*雷*")&gt;0,R$17*(R$13*0.25+R$16*(R$10+属性开关!$X$56)+1-R$16-R$13-R$12),R$11*(R$13*0.25+R$9*R$10+1-R$9-R$13-R$12))</f>
        <v>8884.6938028620771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40595.201762391465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70163.466100155027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111022.4899552186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89931.454289936388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188621.5206447083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111258.66285081627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100283.25727562662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301099.21286267962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13510.693254664793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17516.996361277517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6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243285.9429444311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314191.19362790009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233866.83290483747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100742.1693031246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315568.20024206239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234165.36323806382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33698.996447840771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123328.49598743097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47471.531437847363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7">IF($CP$2&gt;=CO4,1,0)*CO3</f>
        <v>0</v>
      </c>
      <c r="CP19">
        <f t="shared" si="37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302393.3729809706</v>
      </c>
      <c r="H20">
        <f ca="1">INT(H$6*$E20+H$7*($C$8+$C$9)/2+H$8)*(H$14+H$15)*$D$21*IF(COUNTIF($F20,"*雷*")&gt;0,H$17*(H$13*0.25+H$16*(H$10+属性开关!$X$56)+1-H$16-H$13-H$12),H$11*(H$13*0.25+H$9*H$10+1-H$9-H$13-H$12))</f>
        <v>161046.36586023981</v>
      </c>
      <c r="I20">
        <f ca="1">INT(I$6*$E20+I$7*($C$8+$C$9)/2+I$8)*(I$14+I$15)*$D$21*IF(COUNTIF($F20,"*雷*")&gt;0,I$17*(I$13*0.25+I$16*(I$10+属性开关!$X$56)+1-I$16-I$13-I$12),I$11*(I$13*0.25+I$9*I$10+1-I$9-I$13-I$12))</f>
        <v>97732.433278813012</v>
      </c>
      <c r="J20">
        <f ca="1">INT(J$6*$E20+J$7*($C$8+$C$9)/2+J$8)*(J$14+J$15)*$D$21*IF(COUNTIF($F20,"*雷*")&gt;0,J$17*(J$13*0.25+J$16*(J$10+属性开关!$X$56)+1-J$16-J$13-J$12),J$11*(J$13*0.25+J$9*J$10+1-J$9-J$13-J$12))</f>
        <v>175062.00943766918</v>
      </c>
      <c r="K20">
        <f ca="1">INT(K$6*$E20+K$7*($C$8+$C$9)/2+K$8)*(K$14+K$15)*$D$21*IF(COUNTIF($F20,"*雷*")&gt;0,K$17*(K$13*0.25+K$16*(K$10+属性开关!$X$56)+1-K$16-K$13-K$12),K$11*(K$13*0.25+K$9*K$10+1-K$9-K$13-K$12))</f>
        <v>182328.52710602822</v>
      </c>
      <c r="L20">
        <f ca="1">INT(L$6*$E20+L$7*($C$8+$C$9)/2+L$8)*(L$14+L$15)*$D$21*IF(COUNTIF($F20,"*雷*")&gt;0,L$17*(L$13*0.25+L$16*(L$10+属性开关!$X$56)+1-L$16-L$13-L$12),L$11*(L$13*0.25+L$9*L$10+1-L$9-L$13-L$12))</f>
        <v>128414.9827823259</v>
      </c>
      <c r="M20">
        <f ca="1">INT(M$6*$E20+M$7*($C$8+$C$9)/2+M$8)*(M$14+M$15)*$D$21*IF(COUNTIF($F20,"*雷*")&gt;0,M$17*(M$13*0.25+M$16*(M$10+属性开关!$X$56)+1-M$16-M$13-M$12),M$11*(M$13*0.25+M$9*M$10+1-M$9-M$13-M$12))</f>
        <v>55773.543591375099</v>
      </c>
      <c r="N20">
        <f ca="1">INT(N$6*$E20+N$7*($C$8+$C$9)/2+N$8)*(N$14+N$15)*$D$21*IF(COUNTIF($F20,"*雷*")&gt;0,N$17*(N$13*0.25+N$16*(N$10+属性开关!$X$56)+1-N$16-N$13-N$12),N$11*(N$13*0.25+N$9*N$10+1-N$9-N$13-N$12))</f>
        <v>65977.682327121234</v>
      </c>
      <c r="O20">
        <f ca="1">INT(O$6*$E20+O$7*($C$8+$C$9)/2+O$8)*(O$14+O$15)*$D$21*IF(COUNTIF($F20,"*雷*")&gt;0,O$17*(O$13*0.25+O$16*(O$10+属性开关!$X$56)+1-O$16-O$13-O$12),O$11*(O$13*0.25+O$9*O$10+1-O$9-O$13-O$12))</f>
        <v>23871.897361602711</v>
      </c>
      <c r="P20">
        <f ca="1">INT(P$6*$E20+P$7*($C$8+$C$9)/2+P$8)*(P$14+P$15)*$D$21*IF(COUNTIF($F20,"*雷*")&gt;0,P$17*(P$13*0.25+P$16*(P$10+属性开关!$X$56)+1-P$16-P$13-P$12),P$11*(P$13*0.25+P$9*P$10+1-P$9-P$13-P$12))</f>
        <v>40473.395908108068</v>
      </c>
      <c r="Q20">
        <f ca="1">INT(Q$6*$E20+Q$7*($C$8+$C$9)/2+Q$8)*(Q$14+Q$15)*$D$21*IF(COUNTIF($F20,"*雷*")&gt;0,Q$17*(Q$13*0.25+Q$16*(Q$10+属性开关!$X$56)+1-Q$16-Q$13-Q$12),Q$11*(Q$13*0.25+Q$9*Q$10+1-Q$9-Q$13-Q$12))</f>
        <v>32393.714555222061</v>
      </c>
      <c r="R20">
        <f ca="1">INT(R$6*$E20+R$7*($C$8+$C$9)/2+R$8)*(R$14+R$15)*$D$21*IF(COUNTIF($F20,"*雷*")&gt;0,R$17*(R$13*0.25+R$16*(R$10+属性开关!$X$56)+1-R$16-R$13-R$12),R$11*(R$13*0.25+R$9*R$10+1-R$9-R$13-R$12))</f>
        <v>9188.6086496134212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30635.367974566547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72560.044126241832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89563.127360375831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72599.250537550746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195462.87275504743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89710.079378794311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80960.655270934658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243165.96297199471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10681.69827093463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18150.616981268347</v>
      </c>
      <c r="BY20">
        <f t="shared" si="36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193343.25951929763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250234.57534785906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186138.3523667409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80844.114018617533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251198.09561482468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188685.98190827318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24704.265784301395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99525.107470727904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38317.47359590749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372239.24939272163</v>
      </c>
      <c r="H21">
        <f ca="1">INT(H$6*$E21+H$7*($C$8+$C$9)/2+H$8)*(H$14+H$15)*$D$21*IF(COUNTIF($F21,"*雷*")&gt;0,H$17*(H$13*0.25+H$16*(H$10+属性开关!$X$56)+1-H$16-H$13-H$12),H$11*(H$13*0.25+H$9*H$10+1-H$9-H$13-H$12))</f>
        <v>201705.07406235597</v>
      </c>
      <c r="I21">
        <f ca="1">INT(I$6*$E21+I$7*($C$8+$C$9)/2+I$8)*(I$14+I$15)*$D$21*IF(COUNTIF($F21,"*雷*")&gt;0,I$17*(I$13*0.25+I$16*(I$10+属性开关!$X$56)+1-I$16-I$13-I$12),I$11*(I$13*0.25+I$9*I$10+1-I$9-I$13-I$12))</f>
        <v>120306.36533598558</v>
      </c>
      <c r="J21">
        <f ca="1">INT(J$6*$E21+J$7*($C$8+$C$9)/2+J$8)*(J$14+J$15)*$D$21*IF(COUNTIF($F21,"*雷*")&gt;0,J$17*(J$13*0.25+J$16*(J$10+属性开关!$X$56)+1-J$16-J$13-J$12),J$11*(J$13*0.25+J$9*J$10+1-J$9-J$13-J$12))</f>
        <v>219259.18905722859</v>
      </c>
      <c r="K21">
        <f ca="1">INT(K$6*$E21+K$7*($C$8+$C$9)/2+K$8)*(K$14+K$15)*$D$21*IF(COUNTIF($F21,"*雷*")&gt;0,K$17*(K$13*0.25+K$16*(K$10+属性开关!$X$56)+1-K$16-K$13-K$12),K$11*(K$13*0.25+K$9*K$10+1-K$9-K$13-K$12))</f>
        <v>225108.047182048</v>
      </c>
      <c r="L21">
        <f ca="1">INT(L$6*$E21+L$7*($C$8+$C$9)/2+L$8)*(L$14+L$15)*$D$21*IF(COUNTIF($F21,"*雷*")&gt;0,L$17*(L$13*0.25+L$16*(L$10+属性开关!$X$56)+1-L$16-L$13-L$12),L$11*(L$13*0.25+L$9*L$10+1-L$9-L$13-L$12))</f>
        <v>160037.03223606283</v>
      </c>
      <c r="M21">
        <f ca="1">INT(M$6*$E21+M$7*($C$8+$C$9)/2+M$8)*(M$14+M$15)*$D$21*IF(COUNTIF($F21,"*雷*")&gt;0,M$17*(M$13*0.25+M$16*(M$10+属性开关!$X$56)+1-M$16-M$13-M$12),M$11*(M$13*0.25+M$9*M$10+1-M$9-M$13-M$12))</f>
        <v>69507.717871071029</v>
      </c>
      <c r="N21">
        <f ca="1">INT(N$6*$E21+N$7*($C$8+$C$9)/2+N$8)*(N$14+N$15)*$D$21*IF(COUNTIF($F21,"*雷*")&gt;0,N$17*(N$13*0.25+N$16*(N$10+属性开关!$X$56)+1-N$16-N$13-N$12),N$11*(N$13*0.25+N$9*N$10+1-N$9-N$13-N$12))</f>
        <v>82634.794204568636</v>
      </c>
      <c r="O21">
        <f ca="1">INT(O$6*$E21+O$7*($C$8+$C$9)/2+O$8)*(O$14+O$15)*$D$21*IF(COUNTIF($F21,"*雷*")&gt;0,O$17*(O$13*0.25+O$16*(O$10+属性开关!$X$56)+1-O$16-O$13-O$12),O$11*(O$13*0.25+O$9*O$10+1-O$9-O$13-O$12))</f>
        <v>29898.73630249867</v>
      </c>
      <c r="P21">
        <f ca="1">INT(P$6*$E21+P$7*($C$8+$C$9)/2+P$8)*(P$14+P$15)*$D$21*IF(COUNTIF($F21,"*雷*")&gt;0,P$17*(P$13*0.25+P$16*(P$10+属性开关!$X$56)+1-P$16-P$13-P$12),P$11*(P$13*0.25+P$9*P$10+1-P$9-P$13-P$12))</f>
        <v>50691.546348115997</v>
      </c>
      <c r="Q21">
        <f ca="1">INT(Q$6*$E21+Q$7*($C$8+$C$9)/2+Q$8)*(Q$14+Q$15)*$D$21*IF(COUNTIF($F21,"*雷*")&gt;0,Q$17*(Q$13*0.25+Q$16*(Q$10+属性开关!$X$56)+1-Q$16-Q$13-Q$12),Q$11*(Q$13*0.25+Q$9*Q$10+1-Q$9-Q$13-Q$12))</f>
        <v>40572.021346860056</v>
      </c>
      <c r="R21">
        <f ca="1">INT(R$6*$E21+R$7*($C$8+$C$9)/2+R$8)*(R$14+R$15)*$D$21*IF(COUNTIF($F21,"*雷*")&gt;0,R$17*(R$13*0.25+R$16*(R$10+属性开关!$X$56)+1-R$16-R$13-R$12),R$11*(R$13*0.25+R$9*R$10+1-R$9-R$13-R$12))</f>
        <v>11508.418574366955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49235.41466200885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90878.977593028641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143940.74579666625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116677.37130936008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244810.57374316957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144176.91869226392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130115.3437060623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390802.45514113962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17530.44548283266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22733.027988109716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6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310730.2501618375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402162.72545679635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297666.02021425357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129283.11318806466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403711.24022961344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298926.6515901158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39703.285784598644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159951.07157421421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61581.65630200084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275678.63878021308</v>
      </c>
      <c r="H22">
        <f ca="1">INT(H$6*$E22+H$7*($C$8+$C$9)/2+H$8)*(H$14+H$15)*$D$21*IF(COUNTIF($F22,"*雷*")&gt;0,H$17*(H$13*0.25+H$16*(H$10+属性开关!$X$56)+1-H$16-H$13-H$12),H$11*(H$13*0.25+H$9*H$10+1-H$9-H$13-H$12))</f>
        <v>161046.36586023981</v>
      </c>
      <c r="I22">
        <f ca="1">INT(I$6*$E22+I$7*($C$8+$C$9)/2+I$8)*(I$14+I$15)*$D$21*IF(COUNTIF($F22,"*雷*")&gt;0,I$17*(I$13*0.25+I$16*(I$10+属性开关!$X$56)+1-I$16-I$13-I$12),I$11*(I$13*0.25+I$9*I$10+1-I$9-I$13-I$12))</f>
        <v>88853.288404602892</v>
      </c>
      <c r="J22">
        <f ca="1">INT(J$6*$E22+J$7*($C$8+$C$9)/2+J$8)*(J$14+J$15)*$D$21*IF(COUNTIF($F22,"*雷*")&gt;0,J$17*(J$13*0.25+J$16*(J$10+属性开关!$X$56)+1-J$16-J$13-J$12),J$11*(J$13*0.25+J$9*J$10+1-J$9-J$13-J$12))</f>
        <v>159758.2502613205</v>
      </c>
      <c r="K22">
        <f ca="1">INT(K$6*$E22+K$7*($C$8+$C$9)/2+K$8)*(K$14+K$15)*$D$21*IF(COUNTIF($F22,"*雷*")&gt;0,K$17*(K$13*0.25+K$16*(K$10+属性开关!$X$56)+1-K$16-K$13-K$12),K$11*(K$13*0.25+K$9*K$10+1-K$9-K$13-K$12))</f>
        <v>166511.84637432758</v>
      </c>
      <c r="L22">
        <f ca="1">INT(L$6*$E22+L$7*($C$8+$C$9)/2+L$8)*(L$14+L$15)*$D$21*IF(COUNTIF($F22,"*雷*")&gt;0,L$17*(L$13*0.25+L$16*(L$10+属性开关!$X$56)+1-L$16-L$13-L$12),L$11*(L$13*0.25+L$9*L$10+1-L$9-L$13-L$12))</f>
        <v>117395.17238729959</v>
      </c>
      <c r="M22">
        <f ca="1">INT(M$6*$E22+M$7*($C$8+$C$9)/2+M$8)*(M$14+M$15)*$D$21*IF(COUNTIF($F22,"*雷*")&gt;0,M$17*(M$13*0.25+M$16*(M$10+属性开关!$X$56)+1-M$16-M$13-M$12),M$11*(M$13*0.25+M$9*M$10+1-M$9-M$13-M$12))</f>
        <v>50844.710118659023</v>
      </c>
      <c r="N22">
        <f ca="1">INT(N$6*$E22+N$7*($C$8+$C$9)/2+N$8)*(N$14+N$15)*$D$21*IF(COUNTIF($F22,"*雷*")&gt;0,N$17*(N$13*0.25+N$16*(N$10+属性开关!$X$56)+1-N$16-N$13-N$12),N$11*(N$13*0.25+N$9*N$10+1-N$9-N$13-N$12))</f>
        <v>59930.685422018963</v>
      </c>
      <c r="O22">
        <f ca="1">INT(O$6*$E22+O$7*($C$8+$C$9)/2+O$8)*(O$14+O$15)*$D$21*IF(COUNTIF($F22,"*雷*")&gt;0,O$17*(O$13*0.25+O$16*(O$10+属性开关!$X$56)+1-O$16-O$13-O$12),O$11*(O$13*0.25+O$9*O$10+1-O$9-O$13-O$12))</f>
        <v>22426.357575991806</v>
      </c>
      <c r="P22">
        <f ca="1">INT(P$6*$E22+P$7*($C$8+$C$9)/2+P$8)*(P$14+P$15)*$D$21*IF(COUNTIF($F22,"*雷*")&gt;0,P$17*(P$13*0.25+P$16*(P$10+属性开关!$X$56)+1-P$16-P$13-P$12),P$11*(P$13*0.25+P$9*P$10+1-P$9-P$13-P$12))</f>
        <v>36759.040025501701</v>
      </c>
      <c r="Q22">
        <f ca="1">INT(Q$6*$E22+Q$7*($C$8+$C$9)/2+Q$8)*(Q$14+Q$15)*$D$21*IF(COUNTIF($F22,"*雷*")&gt;0,Q$17*(Q$13*0.25+Q$16*(Q$10+属性开关!$X$56)+1-Q$16-Q$13-Q$12),Q$11*(Q$13*0.25+Q$9*Q$10+1-Q$9-Q$13-Q$12))</f>
        <v>29422.868054615083</v>
      </c>
      <c r="R22">
        <f ca="1">INT(R$6*$E22+R$7*($C$8+$C$9)/2+R$8)*(R$14+R$15)*$D$21*IF(COUNTIF($F22,"*雷*")&gt;0,R$17*(R$13*0.25+R$16*(R$10+属性开关!$X$56)+1-R$16-R$13-R$12),R$11*(R$13*0.25+R$9*R$10+1-R$9-R$13-R$12))</f>
        <v>8350.6697104319064</v>
      </c>
      <c r="T22" s="34">
        <f ca="1">(G21+I21)/(G14+G15)*(G14+D38)</f>
        <v>477540.34066576266</v>
      </c>
      <c r="U22">
        <f ca="1">K20/(K14+K15)*(K14+D35)</f>
        <v>163617.77856554103</v>
      </c>
      <c r="V22">
        <f ca="1">T22+U22</f>
        <v>641158.11923130369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28482.273232794705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65937.471509903786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81361.88381560531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65935.224174213974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177500.41605735652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81508.835834023805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73527.194743743821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220817.69814846563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9700.9891862373042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16483.09243454384</v>
      </c>
      <c r="BY22">
        <f t="shared" si="36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176539.4471932266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228316.5973154401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170165.06555953826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73699.737857647604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229238.59010477603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172317.80309522816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23208.32272939559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90403.416686387165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34803.355690396995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477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342401.05796700093</v>
      </c>
      <c r="H23">
        <f ca="1">INT(H$6*$E23+H$7*($C$8+$C$9)/2+H$8)*(H$14+H$15)*$D$21*IF(COUNTIF($F23,"*雷*")&gt;0,H$17*(H$13*0.25+H$16*(H$10+属性开关!$X$56)+1-H$16-H$13-H$12),H$11*(H$13*0.25+H$9*H$10+1-H$9-H$13-H$12))</f>
        <v>161046.36586023981</v>
      </c>
      <c r="I23">
        <f ca="1">INT(I$6*$E23+I$7*($C$8+$C$9)/2+I$8)*(I$14+I$15)*$D$21*IF(COUNTIF($F23,"*雷*")&gt;0,I$17*(I$13*0.25+I$16*(I$10+属性开关!$X$56)+1-I$16-I$13-I$12),I$11*(I$13*0.25+I$9*I$10+1-I$9-I$13-I$12))</f>
        <v>111027.96071669002</v>
      </c>
      <c r="J23">
        <f ca="1">INT(J$6*$E23+J$7*($C$8+$C$9)/2+J$8)*(J$14+J$15)*$D$21*IF(COUNTIF($F23,"*雷*")&gt;0,J$17*(J$13*0.25+J$16*(J$10+属性开关!$X$56)+1-J$16-J$13-J$12),J$11*(J$13*0.25+J$9*J$10+1-J$9-J$13-J$12))</f>
        <v>197981.75935692553</v>
      </c>
      <c r="K23">
        <f ca="1">INT(K$6*$E23+K$7*($C$8+$C$9)/2+K$8)*(K$14+K$15)*$D$21*IF(COUNTIF($F23,"*雷*")&gt;0,K$17*(K$13*0.25+K$16*(K$10+属性开关!$X$56)+1-K$16-K$13-K$12),K$11*(K$13*0.25+K$9*K$10+1-K$9-K$13-K$12))</f>
        <v>206012.6077012539</v>
      </c>
      <c r="L23">
        <f ca="1">INT(L$6*$E23+L$7*($C$8+$C$9)/2+L$8)*(L$14+L$15)*$D$21*IF(COUNTIF($F23,"*雷*")&gt;0,L$17*(L$13*0.25+L$16*(L$10+属性开关!$X$56)+1-L$16-L$13-L$12),L$11*(L$13*0.25+L$9*L$10+1-L$9-L$13-L$12))</f>
        <v>144918.54080526036</v>
      </c>
      <c r="M23">
        <f ca="1">INT(M$6*$E23+M$7*($C$8+$C$9)/2+M$8)*(M$14+M$15)*$D$21*IF(COUNTIF($F23,"*雷*")&gt;0,M$17*(M$13*0.25+M$16*(M$10+属性开关!$X$56)+1-M$16-M$13-M$12),M$11*(M$13*0.25+M$9*M$10+1-M$9-M$13-M$12))</f>
        <v>63157.451811304556</v>
      </c>
      <c r="N23">
        <f ca="1">INT(N$6*$E23+N$7*($C$8+$C$9)/2+N$8)*(N$14+N$15)*$D$21*IF(COUNTIF($F23,"*雷*")&gt;0,N$17*(N$13*0.25+N$16*(N$10+属性开关!$X$56)+1-N$16-N$13-N$12),N$11*(N$13*0.25+N$9*N$10+1-N$9-N$13-N$12))</f>
        <v>75040.200116298278</v>
      </c>
      <c r="O23">
        <f ca="1">INT(O$6*$E23+O$7*($C$8+$C$9)/2+O$8)*(O$14+O$15)*$D$21*IF(COUNTIF($F23,"*雷*")&gt;0,O$17*(O$13*0.25+O$16*(O$10+属性开关!$X$56)+1-O$16-O$13-O$12),O$11*(O$13*0.25+O$9*O$10+1-O$9-O$13-O$12))</f>
        <v>26036.481422014909</v>
      </c>
      <c r="P23">
        <f ca="1">INT(P$6*$E23+P$7*($C$8+$C$9)/2+P$8)*(P$14+P$15)*$D$21*IF(COUNTIF($F23,"*雷*")&gt;0,P$17*(P$13*0.25+P$16*(P$10+属性开关!$X$56)+1-P$16-P$13-P$12),P$11*(P$13*0.25+P$9*P$10+1-P$9-P$13-P$12))</f>
        <v>46036.952163541209</v>
      </c>
      <c r="Q23">
        <f ca="1">INT(Q$6*$E23+Q$7*($C$8+$C$9)/2+Q$8)*(Q$14+Q$15)*$D$21*IF(COUNTIF($F23,"*雷*")&gt;0,Q$17*(Q$13*0.25+Q$16*(Q$10+属性开关!$X$56)+1-Q$16-Q$13-Q$12),Q$11*(Q$13*0.25+Q$9*Q$10+1-Q$9-Q$13-Q$12))</f>
        <v>36845.197765046694</v>
      </c>
      <c r="R23">
        <f ca="1">INT(R$6*$E23+R$7*($C$8+$C$9)/2+R$8)*(R$14+R$15)*$D$21*IF(COUNTIF($F23,"*雷*")&gt;0,R$17*(R$13*0.25+R$16*(R$10+属性开关!$X$56)+1-R$16-R$13-R$12),R$11*(R$13*0.25+R$9*R$10+1-R$9-R$13-R$12))</f>
        <v>10445.517058385693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33860.056648401216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82477.252962461425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101844.35334910205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82577.127473537912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222363.15857734776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101991.30536752052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92089.381160154138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276631.39566082269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12150.315443647862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20647.755465747392</v>
      </c>
      <c r="BY23">
        <f t="shared" si="36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218504.79233307921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283057.03297693754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210060.36701035246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91547.136986075115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284085.85664406815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213195.8821067544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26944.324843322713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113195.60975438371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43582.988610071996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333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421487.78444602631</v>
      </c>
      <c r="H24">
        <f ca="1">INT(H$6*$E24+H$7*($C$8+$C$9)/2+H$8)*(H$14+H$15)*$D$21*IF(COUNTIF($F24,"*雷*")&gt;0,H$17*(H$13*0.25+H$16*(H$10+属性开关!$X$56)+1-H$16-H$13-H$12),H$11*(H$13*0.25+H$9*H$10+1-H$9-H$13-H$12))</f>
        <v>201705.07406235597</v>
      </c>
      <c r="I24">
        <f ca="1">INT(I$6*$E24+I$7*($C$8+$C$9)/2+I$8)*(I$14+I$15)*$D$21*IF(COUNTIF($F24,"*雷*")&gt;0,I$17*(I$13*0.25+I$16*(I$10+属性开关!$X$56)+1-I$16-I$13-I$12),I$11*(I$13*0.25+I$9*I$10+1-I$9-I$13-I$12))</f>
        <v>136672.85215733241</v>
      </c>
      <c r="J24">
        <f ca="1">INT(J$6*$E24+J$7*($C$8+$C$9)/2+J$8)*(J$14+J$15)*$D$21*IF(COUNTIF($F24,"*雷*")&gt;0,J$17*(J$13*0.25+J$16*(J$10+属性开关!$X$56)+1-J$16-J$13-J$12),J$11*(J$13*0.25+J$9*J$10+1-J$9-J$13-J$12))</f>
        <v>247965.39320073754</v>
      </c>
      <c r="K24">
        <f ca="1">INT(K$6*$E24+K$7*($C$8+$C$9)/2+K$8)*(K$14+K$15)*$D$21*IF(COUNTIF($F24,"*雷*")&gt;0,K$17*(K$13*0.25+K$16*(K$10+属性开关!$X$56)+1-K$16-K$13-K$12),K$11*(K$13*0.25+K$9*K$10+1-K$9-K$13-K$12))</f>
        <v>254349.0947389841</v>
      </c>
      <c r="L24">
        <f ca="1">INT(L$6*$E24+L$7*($C$8+$C$9)/2+L$8)*(L$14+L$15)*$D$21*IF(COUNTIF($F24,"*雷*")&gt;0,L$17*(L$13*0.25+L$16*(L$10+属性开关!$X$56)+1-L$16-L$13-L$12),L$11*(L$13*0.25+L$9*L$10+1-L$9-L$13-L$12))</f>
        <v>180604.57342246096</v>
      </c>
      <c r="M24">
        <f ca="1">INT(M$6*$E24+M$7*($C$8+$C$9)/2+M$8)*(M$14+M$15)*$D$21*IF(COUNTIF($F24,"*雷*")&gt;0,M$17*(M$13*0.25+M$16*(M$10+属性开关!$X$56)+1-M$16-M$13-M$12),M$11*(M$13*0.25+M$9*M$10+1-M$9-M$13-M$12))</f>
        <v>78709.905436863555</v>
      </c>
      <c r="N24">
        <f ca="1">INT(N$6*$E24+N$7*($C$8+$C$9)/2+N$8)*(N$14+N$15)*$D$21*IF(COUNTIF($F24,"*雷*")&gt;0,N$17*(N$13*0.25+N$16*(N$10+属性开关!$X$56)+1-N$16-N$13-N$12),N$11*(N$13*0.25+N$9*N$10+1-N$9-N$13-N$12))</f>
        <v>93985.288281806745</v>
      </c>
      <c r="O24">
        <f ca="1">INT(O$6*$E24+O$7*($C$8+$C$9)/2+O$8)*(O$14+O$15)*$D$21*IF(COUNTIF($F24,"*雷*")&gt;0,O$17*(O$13*0.25+O$16*(O$10+属性开关!$X$56)+1-O$16-O$13-O$12),O$11*(O$13*0.25+O$9*O$10+1-O$9-O$13-O$12))</f>
        <v>32609.803925089655</v>
      </c>
      <c r="P24">
        <f ca="1">INT(P$6*$E24+P$7*($C$8+$C$9)/2+P$8)*(P$14+P$15)*$D$21*IF(COUNTIF($F24,"*雷*")&gt;0,P$17*(P$13*0.25+P$16*(P$10+属性开关!$X$56)+1-P$16-P$13-P$12),P$11*(P$13*0.25+P$9*P$10+1-P$9-P$13-P$12))</f>
        <v>57659.710581800719</v>
      </c>
      <c r="Q24">
        <f ca="1">INT(Q$6*$E24+Q$7*($C$8+$C$9)/2+Q$8)*(Q$14+Q$15)*$D$21*IF(COUNTIF($F24,"*雷*")&gt;0,Q$17*(Q$13*0.25+Q$16*(Q$10+属性开关!$X$56)+1-Q$16-Q$13-Q$12),Q$11*(Q$13*0.25+Q$9*Q$10+1-Q$9-Q$13-Q$12))</f>
        <v>46147.352064376653</v>
      </c>
      <c r="R24">
        <f ca="1">INT(R$6*$E24+R$7*($C$8+$C$9)/2+R$8)*(R$14+R$15)*$D$21*IF(COUNTIF($F24,"*雷*")&gt;0,R$17*(R$13*0.25+R$16*(R$10+属性开关!$X$56)+1-R$16-R$13-R$12),R$11*(R$13*0.25+R$9*R$10+1-R$9-R$13-R$12))</f>
        <v>13082.653437269881</v>
      </c>
      <c r="T24">
        <f ca="1">K21</f>
        <v>225108.047182048</v>
      </c>
      <c r="U24">
        <f ca="1">G20+I20</f>
        <v>400125.80625978363</v>
      </c>
      <c r="V24">
        <f ca="1">T24+U24</f>
        <v>625233.85344183166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54417.950224955013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103299.94302193799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163678.43116133276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132713.24555763643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278502.26318367757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163914.6040569304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148000.7966985135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444586.18826443359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19940.690804164737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25860.608671258542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6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351168.4294142219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454913.10576675442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335921.2792940223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146399.01762407122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456566.57243662811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337756.57590691873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43303.380835843556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181921.52249657677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70044.091463434233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334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255737.92427600184</v>
      </c>
      <c r="H25">
        <f ca="1">INT(H$6*$E25+H$7*($C$8+$C$9)/2+H$8)*(H$14+H$15)*$D$21*IF(COUNTIF($F25,"*雷*")&gt;0,H$17*(H$13*0.25+H$16*(H$10+属性开关!$X$56)+1-H$16-H$13-H$12),H$11*(H$13*0.25+H$9*H$10+1-H$9-H$13-H$12))</f>
        <v>161046.36586023981</v>
      </c>
      <c r="I25">
        <f ca="1">INT(I$6*$E25+I$7*($C$8+$C$9)/2+I$8)*(I$14+I$15)*$D$21*IF(COUNTIF($F25,"*雷*")&gt;0,I$17*(I$13*0.25+I$16*(I$10+属性开关!$X$56)+1-I$16-I$13-I$12),I$11*(I$13*0.25+I$9*I$10+1-I$9-I$13-I$12))</f>
        <v>82228.714559102533</v>
      </c>
      <c r="J25">
        <f ca="1">INT(J$6*$E25+J$7*($C$8+$C$9)/2+J$8)*(J$14+J$15)*$D$21*IF(COUNTIF($F25,"*雷*")&gt;0,J$17*(J$13*0.25+J$16*(J$10+属性开关!$X$56)+1-J$16-J$13-J$12),J$11*(J$13*0.25+J$9*J$10+1-J$9-J$13-J$12))</f>
        <v>148336.15303355196</v>
      </c>
      <c r="K25">
        <f ca="1">INT(K$6*$E25+K$7*($C$8+$C$9)/2+K$8)*(K$14+K$15)*$D$21*IF(COUNTIF($F25,"*雷*")&gt;0,K$17*(K$13*0.25+K$16*(K$10+属性开关!$X$56)+1-K$16-K$13-K$12),K$11*(K$13*0.25+K$9*K$10+1-K$9-K$13-K$12))</f>
        <v>154707.33487051303</v>
      </c>
      <c r="L25">
        <f ca="1">INT(L$6*$E25+L$7*($C$8+$C$9)/2+L$8)*(L$14+L$15)*$D$21*IF(COUNTIF($F25,"*雷*")&gt;0,L$17*(L$13*0.25+L$16*(L$10+属性开关!$X$56)+1-L$16-L$13-L$12),L$11*(L$13*0.25+L$9*L$10+1-L$9-L$13-L$12))</f>
        <v>109170.48514435184</v>
      </c>
      <c r="M25">
        <f ca="1">INT(M$6*$E25+M$7*($C$8+$C$9)/2+M$8)*(M$14+M$15)*$D$21*IF(COUNTIF($F25,"*雷*")&gt;0,M$17*(M$13*0.25+M$16*(M$10+属性开关!$X$56)+1-M$16-M$13-M$12),M$11*(M$13*0.25+M$9*M$10+1-M$9-M$13-M$12))</f>
        <v>47163.966395667863</v>
      </c>
      <c r="N25">
        <f ca="1">INT(N$6*$E25+N$7*($C$8+$C$9)/2+N$8)*(N$14+N$15)*$D$21*IF(COUNTIF($F25,"*雷*")&gt;0,N$17*(N$13*0.25+N$16*(N$10+属性开关!$X$56)+1-N$16-N$13-N$12),N$11*(N$13*0.25+N$9*N$10+1-N$9-N$13-N$12))</f>
        <v>55415.381664383218</v>
      </c>
      <c r="O25">
        <f ca="1">INT(O$6*$E25+O$7*($C$8+$C$9)/2+O$8)*(O$14+O$15)*$D$21*IF(COUNTIF($F25,"*雷*")&gt;0,O$17*(O$13*0.25+O$16*(O$10+属性开关!$X$56)+1-O$16-O$13-O$12),O$11*(O$13*0.25+O$9*O$10+1-O$9-O$13-O$12))</f>
        <v>21347.791163789861</v>
      </c>
      <c r="P25">
        <f ca="1">INT(P$6*$E25+P$7*($C$8+$C$9)/2+P$8)*(P$14+P$15)*$D$21*IF(COUNTIF($F25,"*雷*")&gt;0,P$17*(P$13*0.25+P$16*(P$10+属性开关!$X$56)+1-P$16-P$13-P$12),P$11*(P$13*0.25+P$9*P$10+1-P$9-P$13-P$12))</f>
        <v>33986.037223109153</v>
      </c>
      <c r="Q25">
        <f ca="1">INT(Q$6*$E25+Q$7*($C$8+$C$9)/2+Q$8)*(Q$14+Q$15)*$D$21*IF(COUNTIF($F25,"*雷*")&gt;0,Q$17*(Q$13*0.25+Q$16*(Q$10+属性开关!$X$56)+1-Q$16-Q$13-Q$12),Q$11*(Q$13*0.25+Q$9*Q$10+1-Q$9-Q$13-Q$12))</f>
        <v>27205.10401817915</v>
      </c>
      <c r="R25">
        <f ca="1">INT(R$6*$E25+R$7*($C$8+$C$9)/2+R$8)*(R$14+R$15)*$D$21*IF(COUNTIF($F25,"*雷*")&gt;0,R$17*(R$13*0.25+R$16*(R$10+属性开关!$X$56)+1-R$16-R$13-R$12),R$11*(R$13*0.25+R$9*R$10+1-R$9-R$13-R$12))</f>
        <v>7723.904899068315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34486.452061704287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82584.431529064401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96548.082201867845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78225.366871670718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164092.46683643587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96736.648536787761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87232.057767677645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261946.18260101666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15920.938575996868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27051.499301241645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6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210441.44124757158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271984.9818277022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203055.15157169831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87724.134710326558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273124.11657435482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205439.77067098499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28348.270136589195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107264.1344875777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41292.873997695155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335</v>
      </c>
      <c r="E26" s="20">
        <f ca="1">属性开关!E39</f>
        <v>49047</v>
      </c>
      <c r="F26" s="34" t="s">
        <v>234</v>
      </c>
      <c r="G26" s="40">
        <f t="shared" ref="G26:R26" ca="1" si="38">SUMPRODUCT(G51:G58,$T$51:$T$58)/$U$33</f>
        <v>0.34276770550012897</v>
      </c>
      <c r="H26" s="40">
        <f t="shared" ca="1" si="38"/>
        <v>0.18752163731592417</v>
      </c>
      <c r="I26" s="40">
        <f t="shared" ca="1" si="38"/>
        <v>0.11062876934109822</v>
      </c>
      <c r="J26" s="40">
        <f t="shared" ca="1" si="38"/>
        <v>6.6566299999063425E-2</v>
      </c>
      <c r="K26" s="40">
        <f t="shared" ca="1" si="38"/>
        <v>6.8654765355696548E-2</v>
      </c>
      <c r="L26" s="40">
        <f t="shared" ca="1" si="38"/>
        <v>5.0050601238454159E-2</v>
      </c>
      <c r="M26" s="40">
        <f t="shared" ca="1" si="38"/>
        <v>0</v>
      </c>
      <c r="N26" s="40">
        <f t="shared" ca="1" si="38"/>
        <v>0.11191615056246726</v>
      </c>
      <c r="O26" s="40">
        <f t="shared" ca="1" si="38"/>
        <v>4.7500853232234207E-2</v>
      </c>
      <c r="P26" s="40">
        <f t="shared" ca="1" si="38"/>
        <v>5.3175914451590147E-3</v>
      </c>
      <c r="Q26" s="40">
        <f t="shared" ca="1" si="38"/>
        <v>8.4260408329825381E-3</v>
      </c>
      <c r="R26" s="40">
        <f t="shared" ca="1" si="38"/>
        <v>6.4958517679135699E-4</v>
      </c>
      <c r="S26" s="41">
        <f ca="1"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3974.3002370357017</v>
      </c>
      <c r="AS26" s="40">
        <f t="shared" ref="AS26" ca="1" si="39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271763.92529557599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19458.641739898325</v>
      </c>
      <c r="BH26">
        <f ca="1">SUMPRODUCT(BH18:BH25,$BY$18:$BY$25)</f>
        <v>25235.09253462878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  <c r="CN26">
        <f ca="1">CN19*CN18*(1+大附魔数值!$O$10*21/1024)/MAX(循环!X2,循环!X1)</f>
        <v>0</v>
      </c>
      <c r="CO26">
        <f ca="1">CO19*CO18*(1+大附魔数值!$O$10*21/1024)/MAX(循环!X2,循环!X1)</f>
        <v>0</v>
      </c>
      <c r="CP26">
        <f ca="1">CP19*CP18*(1+大附魔数值!$O$10*21/1024)/MAX(循环!X2,循环!X1)</f>
        <v>0</v>
      </c>
      <c r="CQ26">
        <f ca="1">CQ19*CQ18*(1+大附魔数值!$O$10*21/1024)/MAX(循环!X2,循环!X1)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0">(G18*$AD$38)/$AD$37/$E$2*$D$22+(G18*$AE$42)/$AF$41/$E$2*$C$22</f>
        <v>84877.622081720008</v>
      </c>
      <c r="H27">
        <f ca="1">(H18*$AC$38)/$AD$37/$E$2*$D$22+(H18*$AF$42)/$AF$41/$E$2*$C$22</f>
        <v>55648.890435406429</v>
      </c>
      <c r="I27">
        <f t="shared" ca="1" si="40"/>
        <v>27212.361037395669</v>
      </c>
      <c r="J27">
        <f ca="1">J18*$AC$39/$AD$37/$E$2*$D$22+J18*$AE$43/$AF$41/$E$2*$C$22</f>
        <v>16323.138906898206</v>
      </c>
      <c r="K27">
        <f t="shared" ref="K27:K33" ca="1" si="41">K18*$AC$40/$AD$37/$E$2*$D$22+K18*$AE$44/$AF$41/$E$2*$C$22</f>
        <v>17037.348941462682</v>
      </c>
      <c r="L27">
        <f t="shared" ref="L27:L33" ca="1" si="42">L18*$AC$37/$AD$37/$E$2*$D$22+L18*$AE$41/$AF$41/$E$2*$C$22</f>
        <v>12368.9150430644</v>
      </c>
      <c r="M27">
        <f t="shared" ref="M27:M33" ca="1" si="43">M18*$AE$41/$AF$41/$E$2*$C$22</f>
        <v>0</v>
      </c>
      <c r="N27">
        <f ca="1">N18/$E$3</f>
        <v>27131.391285457321</v>
      </c>
      <c r="O27">
        <f ca="1">O18/$F$3</f>
        <v>12468.783701895143</v>
      </c>
      <c r="P27">
        <f ca="1">P18/$E$45*大附魔数值!$S$9</f>
        <v>1288.7771954778495</v>
      </c>
      <c r="Q27">
        <f ca="1">Q18/$E$47*大附魔数值!$S$10</f>
        <v>2042.3518426486498</v>
      </c>
      <c r="R27">
        <f ca="1">R18/45</f>
        <v>157.6391400368808</v>
      </c>
      <c r="S27">
        <f ca="1">SUM(G27:R27,AS27)*IF(COUNTIF(F27,"*雷*")&gt;0,$B$21/$D$21,1)</f>
        <v>256557.21961146328</v>
      </c>
      <c r="T27" s="15">
        <f ca="1">AQ27</f>
        <v>0.45454545454545447</v>
      </c>
      <c r="U27">
        <f ca="1">U28*(1+非侠士/1024)*(1+C14)*(1-B24*0.05)+AQ9</f>
        <v>534899.1956533445</v>
      </c>
      <c r="Y27" s="34" t="s">
        <v>223</v>
      </c>
      <c r="AA27">
        <f ca="1">$Z$26-SUM(AA28:AA34)-IF(COUNTIF(AA26,"*驰骋*")&gt;0,8,0)</f>
        <v>122</v>
      </c>
      <c r="AB27">
        <f t="shared" ref="AB27:AF27" ca="1" si="44">$Z$26-SUM(AB28:AB34)-IF(COUNTIF(AB26,"*驰骋*")&gt;0,8,0)</f>
        <v>162</v>
      </c>
      <c r="AC27">
        <f t="shared" ca="1" si="44"/>
        <v>122</v>
      </c>
      <c r="AD27">
        <f t="shared" ca="1" si="44"/>
        <v>132</v>
      </c>
      <c r="AE27">
        <f t="shared" ca="1" si="44"/>
        <v>98</v>
      </c>
      <c r="AF27">
        <f t="shared" ca="1" si="44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5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>
        <f ca="1">AR26/V51</f>
        <v>9.7705085170543115E-3</v>
      </c>
      <c r="AS27">
        <f t="shared" ref="AS27:AS33" ca="1" si="46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  <c r="CN27" s="22">
        <f ca="1">CN26/$V$51</f>
        <v>0</v>
      </c>
      <c r="CO27" s="22">
        <f t="shared" ref="CO27:CQ27" ca="1" si="47">CO26/$V$51</f>
        <v>0</v>
      </c>
      <c r="CP27" s="22">
        <f t="shared" ca="1" si="47"/>
        <v>0</v>
      </c>
      <c r="CQ27" s="22">
        <f t="shared" ca="1" si="47"/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0"/>
        <v>104482.39001562638</v>
      </c>
      <c r="H28">
        <f t="shared" ref="H28:H33" ca="1" si="48">(H19*$AC$38)/$AD$37/$E$2*$D$22+(H19*$AF$42)/$AF$41/$E$2*$C$22</f>
        <v>69698.335052792434</v>
      </c>
      <c r="I28">
        <f t="shared" ca="1" si="40"/>
        <v>33497.78716017479</v>
      </c>
      <c r="J28">
        <f ca="1">J19*$AC$39/$AD$37/$E$2*$D$22+J19*$AE$43/$AF$41/$E$2*$C$22</f>
        <v>20444.174102030396</v>
      </c>
      <c r="K28">
        <f t="shared" ca="1" si="41"/>
        <v>21034.801356901848</v>
      </c>
      <c r="L28">
        <f t="shared" ca="1" si="42"/>
        <v>15414.746882203079</v>
      </c>
      <c r="M28">
        <f t="shared" ca="1" si="43"/>
        <v>0</v>
      </c>
      <c r="N28">
        <f t="shared" ref="N28:N33" ca="1" si="49">N19/$E$3</f>
        <v>33981.141141658169</v>
      </c>
      <c r="O28">
        <f t="shared" ref="O28:O33" ca="1" si="50">O19/$F$3</f>
        <v>15616.725820692245</v>
      </c>
      <c r="P28">
        <f ca="1">P19/$E$45*大附魔数值!$S$9</f>
        <v>1614.1494300425809</v>
      </c>
      <c r="Q28">
        <f ca="1">Q19/$E$47*大附魔数值!$S$10</f>
        <v>2557.9759436505283</v>
      </c>
      <c r="R28">
        <f t="shared" ref="R28:R33" ca="1" si="51">R19/45</f>
        <v>197.43764006360172</v>
      </c>
      <c r="S28">
        <f t="shared" ref="S28:S33" ca="1" si="52">SUM(G28:R28,AS28)*IF(COUNTIF(F28,"*雷*")&gt;0,$B$21/$D$21,1)</f>
        <v>417397.91023949708</v>
      </c>
      <c r="T28" s="15">
        <f t="shared" ref="T28:T33" ca="1" si="53">AQ28</f>
        <v>0</v>
      </c>
      <c r="U28">
        <f ca="1">U33+U39+AW29+BI26+AT32+BB3+BC3+AY26+AZ26+BF27+CL26+AR26+AM8+AL8+CQ24</f>
        <v>406764.93245961628</v>
      </c>
      <c r="V28">
        <f ca="1">U28-U33</f>
        <v>24614.598360750359</v>
      </c>
      <c r="X28" s="41">
        <f ca="1">SUM(X29:X56)</f>
        <v>1</v>
      </c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ca="1" si="46"/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BI28">
        <f ca="1">BI26/V51</f>
        <v>0</v>
      </c>
      <c r="CA28">
        <f ca="1">CA27/$V$51</f>
        <v>0</v>
      </c>
      <c r="CB28">
        <f t="shared" ref="CB28:CF28" ca="1" si="54">CB27/$V$51</f>
        <v>0</v>
      </c>
      <c r="CC28">
        <f ca="1">(CD27+CC27)/$V$51</f>
        <v>0</v>
      </c>
      <c r="CE28">
        <f t="shared" ca="1" si="54"/>
        <v>0</v>
      </c>
      <c r="CF28">
        <f t="shared" ca="1" si="54"/>
        <v>0</v>
      </c>
      <c r="CG28">
        <f ca="1">CG26/$V$51</f>
        <v>0</v>
      </c>
      <c r="CH28">
        <f ca="1">CH26/$V$51</f>
        <v>0</v>
      </c>
      <c r="CI28">
        <f ca="1">CI26/$V$51</f>
        <v>0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0"/>
        <v>108907.90748150724</v>
      </c>
      <c r="H29">
        <f t="shared" ca="1" si="48"/>
        <v>55648.890435406429</v>
      </c>
      <c r="I29">
        <f t="shared" ca="1" si="40"/>
        <v>35198.637776170297</v>
      </c>
      <c r="J29">
        <f ca="1">J20*$AC$39/$AD$37/$E$2*$D$22+J20*$AE$43/$AF$41/$E$2*$C$22</f>
        <v>20882.442044189742</v>
      </c>
      <c r="K29">
        <f t="shared" ca="1" si="41"/>
        <v>21749.235670973834</v>
      </c>
      <c r="L29">
        <f t="shared" ca="1" si="42"/>
        <v>15743.171742251086</v>
      </c>
      <c r="M29">
        <f t="shared" ca="1" si="43"/>
        <v>0</v>
      </c>
      <c r="N29">
        <f t="shared" ca="1" si="49"/>
        <v>35188.097241131327</v>
      </c>
      <c r="O29">
        <f t="shared" ca="1" si="50"/>
        <v>14690.398376370898</v>
      </c>
      <c r="P29">
        <f ca="1">P20/$E$45*大附魔数值!$S$9</f>
        <v>1672.0750367065577</v>
      </c>
      <c r="Q29">
        <f ca="1">Q20/$E$47*大附魔数值!$S$10</f>
        <v>2649.4070322212988</v>
      </c>
      <c r="R29">
        <f t="shared" ca="1" si="51"/>
        <v>204.19130332474271</v>
      </c>
      <c r="S29">
        <f t="shared" ca="1" si="52"/>
        <v>312534.45414025354</v>
      </c>
      <c r="T29" s="15">
        <f t="shared" ca="1" si="53"/>
        <v>0</v>
      </c>
      <c r="W29" s="34" t="s">
        <v>336</v>
      </c>
      <c r="X29" s="21">
        <f ca="1">(G50+I50+AJ9)</f>
        <v>0.42596005828753425</v>
      </c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46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0"/>
        <v>134063.11565035311</v>
      </c>
      <c r="H30">
        <f t="shared" ca="1" si="48"/>
        <v>69698.335052792434</v>
      </c>
      <c r="I30">
        <f t="shared" ca="1" si="40"/>
        <v>43328.709145595079</v>
      </c>
      <c r="J30">
        <f ca="1">J21*$AC$39/$AD$37/$E$2*$D$22+J21*$AE$43/$AF$41/$E$2*$C$22</f>
        <v>26154.545597020879</v>
      </c>
      <c r="K30">
        <f t="shared" ca="1" si="41"/>
        <v>26852.232326474976</v>
      </c>
      <c r="L30">
        <f t="shared" ca="1" si="42"/>
        <v>19619.910613415392</v>
      </c>
      <c r="M30">
        <f t="shared" ca="1" si="43"/>
        <v>0</v>
      </c>
      <c r="N30">
        <f t="shared" ca="1" si="49"/>
        <v>44071.890242436602</v>
      </c>
      <c r="O30">
        <f t="shared" ca="1" si="50"/>
        <v>18399.222339999182</v>
      </c>
      <c r="P30">
        <f ca="1">P21/$E$45*大附魔数值!$S$9</f>
        <v>2094.2168878830889</v>
      </c>
      <c r="Q30">
        <f ca="1">Q21/$E$47*大附魔数值!$S$10</f>
        <v>3318.2918397506028</v>
      </c>
      <c r="R30">
        <f t="shared" ca="1" si="51"/>
        <v>255.74263498593234</v>
      </c>
      <c r="S30">
        <f t="shared" ca="1" si="52"/>
        <v>508226.73129596631</v>
      </c>
      <c r="T30" s="15">
        <f t="shared" ca="1" si="53"/>
        <v>0</v>
      </c>
      <c r="W30" s="34" t="s">
        <v>337</v>
      </c>
      <c r="X30" s="21">
        <f ca="1">N50+CH28</f>
        <v>0.10514375973831507</v>
      </c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46"/>
        <v>0</v>
      </c>
      <c r="CA30" s="34" t="s">
        <v>744</v>
      </c>
      <c r="CB30">
        <v>5.5</v>
      </c>
      <c r="CG30" s="34"/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0"/>
        <v>99286.513427636062</v>
      </c>
      <c r="H31">
        <f t="shared" ca="1" si="48"/>
        <v>55648.890435406429</v>
      </c>
      <c r="I31">
        <f t="shared" ca="1" si="40"/>
        <v>32000.786318836181</v>
      </c>
      <c r="J31">
        <f ca="1">J22*$AC$39/$AD$37/$E$2*$D$22+J22*$AE$43/$AF$41/$E$2*$C$22</f>
        <v>19056.918247879585</v>
      </c>
      <c r="K31">
        <f t="shared" ca="1" si="41"/>
        <v>19862.527528115512</v>
      </c>
      <c r="L31">
        <f t="shared" ca="1" si="42"/>
        <v>14392.186336521465</v>
      </c>
      <c r="M31">
        <f t="shared" ca="1" si="43"/>
        <v>0</v>
      </c>
      <c r="N31">
        <f t="shared" ca="1" si="49"/>
        <v>31963.032225076782</v>
      </c>
      <c r="O31">
        <f t="shared" ca="1" si="50"/>
        <v>13800.835431379573</v>
      </c>
      <c r="P31">
        <f ca="1">P22/$E$45*大附魔数值!$S$9</f>
        <v>1518.6240694872226</v>
      </c>
      <c r="Q31">
        <f ca="1">Q22/$E$47*大附魔数值!$S$10</f>
        <v>2406.428364339899</v>
      </c>
      <c r="R31">
        <f t="shared" ca="1" si="51"/>
        <v>185.57043800959792</v>
      </c>
      <c r="S31">
        <f t="shared" ca="1" si="52"/>
        <v>290122.31282268825</v>
      </c>
      <c r="T31" s="15">
        <f t="shared" ca="1" si="53"/>
        <v>0</v>
      </c>
      <c r="W31" s="34" t="s">
        <v>356</v>
      </c>
      <c r="X31" s="21">
        <f ca="1">H50+S50+AK9</f>
        <v>0.17617412572348862</v>
      </c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46"/>
        <v>0</v>
      </c>
      <c r="AX31" s="34" t="s">
        <v>715</v>
      </c>
      <c r="CA31" s="34" t="s">
        <v>743</v>
      </c>
      <c r="CB31">
        <f ca="1">2+循环!$AD$16/((循环!$AD$17-循环!$AD$16*4/$E$2)/(3+8/$E$2))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0"/>
        <v>123316.79882742329</v>
      </c>
      <c r="H32">
        <f t="shared" ca="1" si="48"/>
        <v>55648.890435406429</v>
      </c>
      <c r="I32">
        <f t="shared" ca="1" si="40"/>
        <v>39987.063057610809</v>
      </c>
      <c r="J32">
        <f ca="1">J24*$AC$39/$AD$37/$E$2*$D$22+J24*$AE$43/$AF$41/$E$2*$C$22</f>
        <v>29578.793075163423</v>
      </c>
      <c r="K32">
        <f t="shared" ca="1" si="41"/>
        <v>24574.414257626668</v>
      </c>
      <c r="L32">
        <f t="shared" ca="1" si="42"/>
        <v>17766.443035708147</v>
      </c>
      <c r="M32">
        <f t="shared" ca="1" si="43"/>
        <v>0</v>
      </c>
      <c r="N32">
        <f t="shared" ca="1" si="49"/>
        <v>40021.440062025751</v>
      </c>
      <c r="O32">
        <f t="shared" ca="1" si="50"/>
        <v>16022.450105855329</v>
      </c>
      <c r="P32">
        <f ca="1">P23/$E$45*大附魔数值!$S$9</f>
        <v>1901.9219107159302</v>
      </c>
      <c r="Q32">
        <f ca="1">Q23/$E$47*大附魔数值!$S$10</f>
        <v>3013.4835539125474</v>
      </c>
      <c r="R32">
        <f t="shared" ca="1" si="51"/>
        <v>232.12260129745982</v>
      </c>
      <c r="S32">
        <f t="shared" ca="1" si="52"/>
        <v>352063.82092274574</v>
      </c>
      <c r="T32" s="15">
        <f t="shared" ca="1" si="53"/>
        <v>0</v>
      </c>
      <c r="W32" s="34" t="s">
        <v>338</v>
      </c>
      <c r="X32" s="21">
        <f ca="1">K50+CF28</f>
        <v>6.4500254138213961E-2</v>
      </c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46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ca="1">(G24*$AD$38)/$AD$37/$E$2*$D$22+(G24*$AE$42)/$AF$41/$E$2*$C$22</f>
        <v>151800.12769632341</v>
      </c>
      <c r="H33">
        <f t="shared" ca="1" si="48"/>
        <v>69698.335052792434</v>
      </c>
      <c r="I33">
        <f t="shared" ca="1" si="40"/>
        <v>49223.149936295595</v>
      </c>
      <c r="J33">
        <f ca="1">J24*$AC$39/$AD$37/$E$2*$D$22+J24*$AE$43/$AF$41/$E$2*$C$22</f>
        <v>29578.793075163423</v>
      </c>
      <c r="K33">
        <f t="shared" ca="1" si="41"/>
        <v>30340.279121325268</v>
      </c>
      <c r="L33">
        <f t="shared" ca="1" si="42"/>
        <v>22141.41025619581</v>
      </c>
      <c r="M33">
        <f t="shared" ca="1" si="43"/>
        <v>0</v>
      </c>
      <c r="N33">
        <f t="shared" ca="1" si="49"/>
        <v>50125.487083630265</v>
      </c>
      <c r="O33">
        <f t="shared" ca="1" si="50"/>
        <v>20067.571646209017</v>
      </c>
      <c r="P33">
        <f ca="1">P24/$E$45*大附魔数值!$S$9</f>
        <v>2382.0922491023234</v>
      </c>
      <c r="Q33">
        <f ca="1">Q24/$E$47*大附魔数值!$S$10</f>
        <v>3774.2852512121685</v>
      </c>
      <c r="R33">
        <f t="shared" ca="1" si="51"/>
        <v>290.7256319393307</v>
      </c>
      <c r="S33">
        <f t="shared" ca="1" si="52"/>
        <v>562692.72756898857</v>
      </c>
      <c r="T33" s="15">
        <f t="shared" ca="1" si="53"/>
        <v>0.31818181818181818</v>
      </c>
      <c r="U33">
        <f ca="1">(S48*T48+SUMPRODUCT(S27:S33,T27:T33))*(1+大附魔数值!$O$10*21/1024)</f>
        <v>382150.33409886592</v>
      </c>
      <c r="W33" s="34" t="s">
        <v>339</v>
      </c>
      <c r="X33" s="21">
        <f ca="1">J50+CE28</f>
        <v>6.2538168250019815E-2</v>
      </c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46"/>
        <v>0</v>
      </c>
      <c r="AX33" s="21">
        <f ca="1">循环!Z20</f>
        <v>0</v>
      </c>
      <c r="AY33">
        <f t="shared" ref="AY33:AY39" ca="1" si="55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D34">
        <f t="array" ref="D34">SUM(ROW($1:$1000)*((0.973)*(0.027)^(ROW($1:$1000)-1)))</f>
        <v>1.0277492291880781</v>
      </c>
      <c r="F34" s="34" t="s">
        <v>236</v>
      </c>
      <c r="G34">
        <f ca="1">G18*2*$D$33/(5+2*$D$33)/$E$2</f>
        <v>60564.331182973212</v>
      </c>
      <c r="H34">
        <f ca="1">H18*2*$D$33/(5+2*$D$33)/$E$2</f>
        <v>41386.794939065541</v>
      </c>
      <c r="I34">
        <f ca="1">I18*2*$D$33/(5+2*$D$33)/$E$2</f>
        <v>19417.349422827629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37230.316073616756</v>
      </c>
      <c r="L34">
        <f ca="1">L18/(5+2*$D$33)/$E$2</f>
        <v>9074.7356335994173</v>
      </c>
      <c r="M34">
        <v>0</v>
      </c>
      <c r="N34">
        <f ca="1">N27</f>
        <v>27131.391285457321</v>
      </c>
      <c r="O34">
        <f ca="1">O27</f>
        <v>12468.783701895143</v>
      </c>
      <c r="P34">
        <f ca="1">P27</f>
        <v>1288.7771954778495</v>
      </c>
      <c r="Q34">
        <f ca="1">Q27</f>
        <v>2042.3518426486498</v>
      </c>
      <c r="R34">
        <f ca="1">R27</f>
        <v>157.6391400368808</v>
      </c>
      <c r="S34">
        <f ca="1">SUM(G34:R34,AS34)</f>
        <v>210762.47041759844</v>
      </c>
      <c r="T34" s="21">
        <f>J12*IF(属性开关!V68,1,0)</f>
        <v>0</v>
      </c>
      <c r="W34" s="34" t="s">
        <v>340</v>
      </c>
      <c r="X34" s="21">
        <f ca="1">O50+CG28</f>
        <v>4.4626430363393435E-2</v>
      </c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5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43829.450195900972</v>
      </c>
      <c r="H35">
        <f ca="1">H18*$D$33/(4+$D$33)/$E$2</f>
        <v>29950.97002011818</v>
      </c>
      <c r="I35">
        <f ca="1">I18*$D$33/(4+$D$33)/$E$2</f>
        <v>14052.029186834163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17317.69210912619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13663.251194860366</v>
      </c>
      <c r="N35">
        <f ca="1">N27</f>
        <v>27131.391285457321</v>
      </c>
      <c r="O35">
        <f t="shared" ref="O35:R35" ca="1" si="56">O27</f>
        <v>12468.783701895143</v>
      </c>
      <c r="P35">
        <f t="shared" ca="1" si="56"/>
        <v>1288.7771954778495</v>
      </c>
      <c r="Q35">
        <f t="shared" ca="1" si="56"/>
        <v>2042.3518426486498</v>
      </c>
      <c r="R35">
        <f t="shared" ca="1" si="56"/>
        <v>157.6391400368808</v>
      </c>
      <c r="S35">
        <f ca="1">SUM(G35:R35,AS35)</f>
        <v>161902.33587235573</v>
      </c>
      <c r="W35" s="34" t="s">
        <v>245</v>
      </c>
      <c r="X35" s="21">
        <f ca="1">L50+M50+CC28+AR27</f>
        <v>5.6792393784962189E-2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5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88162.690410236275</v>
      </c>
      <c r="H36">
        <f ca="1">H25*$D$33*2/(3+2*$D$33)/$E$2</f>
        <v>55518.871263327594</v>
      </c>
      <c r="I36">
        <f ca="1">I25*$D$33*2/(3+2*$D$33)/$E$2</f>
        <v>28347.397927113507</v>
      </c>
      <c r="J36">
        <f ca="1">J25/(3+2*$D$33)/$E$2</f>
        <v>17898.01036800447</v>
      </c>
      <c r="K36">
        <f ca="1">K25/(3+2*$D$33)/$E$2</f>
        <v>18666.74729586978</v>
      </c>
      <c r="L36">
        <f ca="1">L25/(3+2*$D$33)/$E$2</f>
        <v>13172.341570377179</v>
      </c>
      <c r="M36">
        <v>0</v>
      </c>
      <c r="N36">
        <f ca="1">N25/E3</f>
        <v>29554.870221004381</v>
      </c>
      <c r="O36">
        <f ca="1">O25/F3</f>
        <v>13137.102254639914</v>
      </c>
      <c r="P36">
        <f ca="1">P25/$E$45*大附魔数值!$S$9</f>
        <v>1404.0631669841282</v>
      </c>
      <c r="Q36">
        <f ca="1">Q25/$E$47*大附魔数值!$S$10</f>
        <v>2225.0425703790256</v>
      </c>
      <c r="R36">
        <f ca="1">R25/45</f>
        <v>171.642331090407</v>
      </c>
      <c r="S36">
        <f ca="1">SUM(G36:R36,AS36)</f>
        <v>268258.77937902667</v>
      </c>
      <c r="W36" t="s">
        <v>1328</v>
      </c>
      <c r="X36" s="21">
        <f ca="1">P50+CI28</f>
        <v>4.995807615668881E-3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Q36" s="21">
        <f ca="1">SUM(AQ27:AQ34)</f>
        <v>0.95454545454545459</v>
      </c>
      <c r="AS36">
        <f ca="1">AS25*$D$33*2/(3+2*$D$33)/$E$2</f>
        <v>0</v>
      </c>
      <c r="AX36" s="21">
        <f ca="1">循环!Z23</f>
        <v>0</v>
      </c>
      <c r="AY36">
        <f t="shared" ca="1" si="55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t="shared" ref="G37:Q37" ca="1" si="57">SUMPRODUCT(G38:G45,$S$38:$S$45)/$T$38</f>
        <v>0.25856804110951326</v>
      </c>
      <c r="H37" s="15">
        <f t="shared" ca="1" si="57"/>
        <v>0.14128262945732856</v>
      </c>
      <c r="I37" s="15">
        <f t="shared" ca="1" si="57"/>
        <v>8.3424250422531848E-2</v>
      </c>
      <c r="J37" s="15">
        <f t="shared" ca="1" si="57"/>
        <v>1.2651471452871078E-2</v>
      </c>
      <c r="K37" s="15">
        <f t="shared" ca="1" si="57"/>
        <v>0</v>
      </c>
      <c r="L37" s="15">
        <f t="shared" ca="1" si="57"/>
        <v>0</v>
      </c>
      <c r="M37" s="15">
        <f t="shared" ca="1" si="57"/>
        <v>0</v>
      </c>
      <c r="N37" s="15">
        <f t="shared" ca="1" si="57"/>
        <v>4.6536881129606841E-2</v>
      </c>
      <c r="O37" s="15">
        <f t="shared" ca="1" si="57"/>
        <v>1.9832707634648571E-2</v>
      </c>
      <c r="P37" s="15">
        <f t="shared" ca="1" si="57"/>
        <v>2.2111213345473841E-3</v>
      </c>
      <c r="Q37" s="15">
        <f t="shared" ca="1" si="57"/>
        <v>3.5036611980473801E-3</v>
      </c>
      <c r="R37">
        <v>0</v>
      </c>
      <c r="S37">
        <f ca="1">(S35*(4+D33)+S36*11)/(15+D33)</f>
        <v>233114.91109310457</v>
      </c>
      <c r="T37">
        <f>J12*IF(属性开关!V68,0,1)</f>
        <v>0</v>
      </c>
      <c r="U37" s="15">
        <f ca="1">6/(30+20/(E43+E44))*U38</f>
        <v>0</v>
      </c>
      <c r="W37" t="str">
        <f>IF(大附魔数值!$R$40&gt;1,"刃凌","昆吾·折锋")</f>
        <v>刃凌</v>
      </c>
      <c r="X37" s="21">
        <f ca="1">Q50</f>
        <v>7.9161551611252722E-3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5"/>
        <v>0.99999999999999989</v>
      </c>
    </row>
    <row r="38" spans="1:80" x14ac:dyDescent="0.35">
      <c r="B38" s="34"/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153514.37238366096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100650.34082780342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49217.78465602285</v>
      </c>
      <c r="J38">
        <f ca="1">J18/$E$2*(3-属性开关!$X$37)/(3+2*$D$33)/(3+$D$33)</f>
        <v>7456.5577590291305</v>
      </c>
      <c r="N38">
        <f ca="1">N27</f>
        <v>27131.391285457321</v>
      </c>
      <c r="O38">
        <f ca="1">O27</f>
        <v>12468.783701895143</v>
      </c>
      <c r="P38">
        <f ca="1">P27</f>
        <v>1288.7771954778495</v>
      </c>
      <c r="Q38">
        <f ca="1">Q27</f>
        <v>2042.3518426486498</v>
      </c>
      <c r="R38" s="28">
        <f ca="1">SUM(G38:Q38,AS38,AU18*属性开关!$X$37)*IF(COUNTIF(F38,"*雷*")&gt;0,$B$21/$D$21,1)*(1+大附魔数值!$O$10*21/1024)</f>
        <v>409790.62232567952</v>
      </c>
      <c r="S38" s="36">
        <f t="shared" ref="S38:S45" ca="1" si="58">T27</f>
        <v>0.45454545454545447</v>
      </c>
      <c r="T38">
        <f ca="1">SUMPRODUCT(S38:S46,R38:R46)</f>
        <v>607721.62885287951</v>
      </c>
      <c r="U38">
        <f>大附魔数值!Q18</f>
        <v>0</v>
      </c>
      <c r="W38" s="34" t="s">
        <v>341</v>
      </c>
      <c r="X38" s="21">
        <f ca="1">R50</f>
        <v>6.1027677788112484E-4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59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5"/>
        <v>1</v>
      </c>
    </row>
    <row r="39" spans="1:80" x14ac:dyDescent="0.35">
      <c r="B39" s="34"/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188972.64243513939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126061.11502504679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60585.954766553259</v>
      </c>
      <c r="J39">
        <f ca="1">J19/$E$2*(3-属性开关!$X$37)/(3+2*$D$33)/(3+$D$33)</f>
        <v>9339.0839774704255</v>
      </c>
      <c r="N39">
        <f t="shared" ref="N39:Q45" ca="1" si="60">N28</f>
        <v>33981.141141658169</v>
      </c>
      <c r="O39">
        <f t="shared" ca="1" si="60"/>
        <v>15616.725820692245</v>
      </c>
      <c r="P39">
        <f t="shared" ca="1" si="60"/>
        <v>1614.1494300425809</v>
      </c>
      <c r="Q39">
        <f t="shared" ca="1" si="60"/>
        <v>2557.9759436505283</v>
      </c>
      <c r="R39" s="28">
        <f ca="1">SUM(G39:Q39,AS39,AU19*属性开关!$X$37)*IF(COUNTIF(F39,"*雷*")&gt;0,$B$21/$D$21,1)*(1+大附魔数值!$O$10*21/1024)</f>
        <v>666826.10445647594</v>
      </c>
      <c r="S39" s="36">
        <f t="shared" ca="1" si="58"/>
        <v>0</v>
      </c>
      <c r="U39">
        <f ca="1">(T38-U33)*E56*U38</f>
        <v>0</v>
      </c>
      <c r="W39" s="34" t="s">
        <v>431</v>
      </c>
      <c r="X39" s="22">
        <f ca="1">AS50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59"/>
        <v>0.16878965109245639</v>
      </c>
      <c r="AS39">
        <f t="shared" ref="AS39:AS45" ca="1" si="61">AS19/$E$2*(1-3/(3+2*$D$33)/(3+$D$33))</f>
        <v>0</v>
      </c>
      <c r="AX39" s="21">
        <f ca="1">循环!Z26</f>
        <v>0</v>
      </c>
      <c r="AY39">
        <f t="shared" ca="1" si="55"/>
        <v>1</v>
      </c>
    </row>
    <row r="40" spans="1:80" x14ac:dyDescent="0.35">
      <c r="B40" s="34"/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196976.87864705309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100650.34082780342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63662.207475206204</v>
      </c>
      <c r="J40">
        <f ca="1">J20/$E$2*(3-属性开关!$X$37)/(3+2*$D$33)/(3+$D$33)</f>
        <v>9539.2887446589812</v>
      </c>
      <c r="N40">
        <f t="shared" ca="1" si="60"/>
        <v>35188.097241131327</v>
      </c>
      <c r="O40">
        <f t="shared" ca="1" si="60"/>
        <v>14690.398376370898</v>
      </c>
      <c r="P40">
        <f t="shared" ca="1" si="60"/>
        <v>1672.0750367065577</v>
      </c>
      <c r="Q40">
        <f t="shared" ca="1" si="60"/>
        <v>2649.4070322212988</v>
      </c>
      <c r="R40" s="28">
        <f ca="1">SUM(G40:Q40,AS40,AU20*属性开关!$X$37)*IF(COUNTIF(F40,"*雷*")&gt;0,$B$21/$D$21,1)*(1+大附魔数值!$O$10*21/1024)</f>
        <v>497588.73750739364</v>
      </c>
      <c r="S40" s="36">
        <f t="shared" ca="1" si="58"/>
        <v>0</v>
      </c>
      <c r="W40" s="34" t="s">
        <v>463</v>
      </c>
      <c r="X40" s="22">
        <f ca="1">BI28</f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59"/>
        <v>0.16878965109245639</v>
      </c>
      <c r="AS40">
        <f t="shared" ca="1" si="61"/>
        <v>0</v>
      </c>
    </row>
    <row r="41" spans="1:80" x14ac:dyDescent="0.35">
      <c r="B41" s="34"/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242473.98258927587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126061.11502504679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78366.705234462061</v>
      </c>
      <c r="J41">
        <f ca="1">J21/$E$2*(3-属性开关!$X$37)/(3+2*$D$33)/(3+$D$33)</f>
        <v>11947.633418896532</v>
      </c>
      <c r="N41">
        <f t="shared" ca="1" si="60"/>
        <v>44071.890242436602</v>
      </c>
      <c r="O41">
        <f t="shared" ca="1" si="60"/>
        <v>18399.222339999182</v>
      </c>
      <c r="P41">
        <f t="shared" ca="1" si="60"/>
        <v>2094.2168878830889</v>
      </c>
      <c r="Q41">
        <f t="shared" ca="1" si="60"/>
        <v>3318.2918397506028</v>
      </c>
      <c r="R41" s="28">
        <f ca="1">SUM(G41:Q41,AS41,AU21*属性开关!$X$37)*IF(COUNTIF(F41,"*雷*")&gt;0,$B$21/$D$21,1)*(1+大附魔数值!$O$10*21/1024)</f>
        <v>809286.88484241045</v>
      </c>
      <c r="S41" s="36">
        <f t="shared" ca="1" si="58"/>
        <v>0</v>
      </c>
      <c r="T41">
        <f ca="1">(FLOOR((6+正常!F2)/正常!E2,1))/((30+正常!E2)/正常!E2)</f>
        <v>0.22521088651917875</v>
      </c>
      <c r="W41" s="34" t="s">
        <v>538</v>
      </c>
      <c r="X41">
        <f ca="1">U50</f>
        <v>0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1"/>
        <v>0</v>
      </c>
    </row>
    <row r="42" spans="1:80" x14ac:dyDescent="0.35">
      <c r="B42" s="34"/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179575.09201106741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100650.34082780342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57878.396060506479</v>
      </c>
      <c r="J42">
        <f ca="1">J22/$E$2*(3-属性开关!$X$37)/(3+2*$D$33)/(3+$D$33)</f>
        <v>8705.3729331653776</v>
      </c>
      <c r="N42">
        <f t="shared" ca="1" si="60"/>
        <v>31963.032225076782</v>
      </c>
      <c r="O42">
        <f t="shared" ca="1" si="60"/>
        <v>13800.835431379573</v>
      </c>
      <c r="P42">
        <f t="shared" ca="1" si="60"/>
        <v>1518.6240694872226</v>
      </c>
      <c r="Q42">
        <f t="shared" ca="1" si="60"/>
        <v>2406.428364339899</v>
      </c>
      <c r="R42" s="28">
        <f ca="1">SUM(G42:Q42,AS42,AU22*属性开关!$X$37)*IF(COUNTIF(F42,"*雷*")&gt;0,$B$21/$D$21,1)*(1+大附魔数值!$O$10*21/1024)</f>
        <v>462435.59343272995</v>
      </c>
      <c r="S42" s="36">
        <f t="shared" ca="1" si="58"/>
        <v>0</v>
      </c>
      <c r="W42" s="34" t="s">
        <v>579</v>
      </c>
      <c r="X42">
        <f ca="1">BB3/U28</f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G42" s="68"/>
      <c r="AS42">
        <f t="shared" ca="1" si="61"/>
        <v>0</v>
      </c>
    </row>
    <row r="43" spans="1:80" x14ac:dyDescent="0.35">
      <c r="B43" s="34"/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223037.59827445957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100650.34082780342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72322.818879689832</v>
      </c>
      <c r="J43">
        <f ca="1">J23/$E$2*(3-属性开关!$X$37)/(3+2*$D$33)/(3+$D$33)</f>
        <v>10788.206845950437</v>
      </c>
      <c r="N43">
        <f t="shared" ca="1" si="60"/>
        <v>40021.440062025751</v>
      </c>
      <c r="O43">
        <f t="shared" ca="1" si="60"/>
        <v>16022.450105855329</v>
      </c>
      <c r="P43">
        <f t="shared" ca="1" si="60"/>
        <v>1901.9219107159302</v>
      </c>
      <c r="Q43">
        <f t="shared" ca="1" si="60"/>
        <v>3013.4835539125474</v>
      </c>
      <c r="R43" s="28">
        <f ca="1">SUM(G43:Q43,AS43,AU23*属性开关!$X$37)*IF(COUNTIF(F43,"*雷*")&gt;0,$B$21/$D$21,1)*(1+大附魔数值!$O$10*21/1024)</f>
        <v>550235.51342287427</v>
      </c>
      <c r="S43" s="36">
        <f t="shared" ca="1" si="58"/>
        <v>0</v>
      </c>
      <c r="W43" s="34" t="s">
        <v>580</v>
      </c>
      <c r="X43">
        <f ca="1">BC3/U28</f>
        <v>5.074257015939742E-2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1"/>
        <v>0</v>
      </c>
    </row>
    <row r="44" spans="1:80" x14ac:dyDescent="0.35">
      <c r="B44" s="34"/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274554.1258050811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126061.11502504679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89027.71759960374</v>
      </c>
      <c r="J44">
        <f ca="1">J24/$E$2*(3-属性开关!$X$37)/(3+2*$D$33)/(3+$D$33)</f>
        <v>13511.86069452116</v>
      </c>
      <c r="N44">
        <f t="shared" ca="1" si="60"/>
        <v>50125.487083630265</v>
      </c>
      <c r="O44">
        <f t="shared" ca="1" si="60"/>
        <v>20067.571646209017</v>
      </c>
      <c r="P44">
        <f t="shared" ca="1" si="60"/>
        <v>2382.0922491023234</v>
      </c>
      <c r="Q44">
        <f t="shared" ca="1" si="60"/>
        <v>3774.2852512121685</v>
      </c>
      <c r="R44" s="28">
        <f ca="1">SUM(G44:Q44,AS44,AU24*属性开关!$X$37)*IF(COUNTIF(F44,"*雷*")&gt;0,$B$21/$D$21,1)*(1+大附魔数值!$O$10*21/1024)</f>
        <v>894711.32554681005</v>
      </c>
      <c r="S44" s="36">
        <f t="shared" ca="1" si="58"/>
        <v>0.31818181818181818</v>
      </c>
      <c r="W44" s="34" t="s">
        <v>635</v>
      </c>
      <c r="X44">
        <f ca="1">V50</f>
        <v>0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1"/>
        <v>0</v>
      </c>
    </row>
    <row r="45" spans="1:80" x14ac:dyDescent="0.35">
      <c r="B45" s="34"/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166585.85331740486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100650.34082780342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53563.196075830609</v>
      </c>
      <c r="J45">
        <f ca="1">J25/$E$2*(3-属性开关!$X$37)/(3+2*$D$33)/(3+$D$33)</f>
        <v>8082.9724256238051</v>
      </c>
      <c r="N45">
        <f ca="1">N34</f>
        <v>27131.391285457321</v>
      </c>
      <c r="O45">
        <f t="shared" ca="1" si="60"/>
        <v>12468.783701895143</v>
      </c>
      <c r="P45">
        <f t="shared" ca="1" si="60"/>
        <v>1288.7771954778495</v>
      </c>
      <c r="Q45">
        <f t="shared" ca="1" si="60"/>
        <v>2042.3518426486498</v>
      </c>
      <c r="R45" s="28">
        <f ca="1">SUM(G45:Q45,AS45,AU22*属性开关!$X$37)*IF(COUNTIF(F45,"*雷*")&gt;0,$B$21/$D$21,1)*(1+大附魔数值!$O$10*21/1024)</f>
        <v>437751.13818204543</v>
      </c>
      <c r="S45" s="36">
        <f t="shared" si="58"/>
        <v>0</v>
      </c>
      <c r="W45" s="34" t="s">
        <v>697</v>
      </c>
      <c r="X45">
        <f ca="1">X63</f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1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221052.78565094463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126061.11502504679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71246.967131694968</v>
      </c>
      <c r="J46">
        <f ca="1">J47/$E$2*(3-属性开关!X37)/(3+2*$D$33)/(3+$D$33)</f>
        <v>10903.182340347765</v>
      </c>
      <c r="N46">
        <f ca="1">N48</f>
        <v>40032.606434668305</v>
      </c>
      <c r="O46">
        <f t="shared" ref="O46:Q46" ca="1" si="62">O48</f>
        <v>17285.07512690208</v>
      </c>
      <c r="P46">
        <f t="shared" ca="1" si="62"/>
        <v>1902.0247912618158</v>
      </c>
      <c r="Q46">
        <f t="shared" ca="1" si="62"/>
        <v>3013.9693551120954</v>
      </c>
      <c r="R46" s="28">
        <f ca="1">SUM(G46:Q46,AS46,AU25*属性开关!$X$37)*IF(COUNTIF(F46,"*雷*")&gt;0,$B$21/$D$21,1)*(1+大附魔数值!$O$10*21/1024)</f>
        <v>752247.5831697213</v>
      </c>
      <c r="S46" s="21">
        <f ca="1">T48</f>
        <v>0.18181818181818182</v>
      </c>
      <c r="U46" s="36"/>
      <c r="W46" s="34" t="s">
        <v>716</v>
      </c>
      <c r="X46">
        <f ca="1">X65</f>
        <v>0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339354.02936099214</v>
      </c>
      <c r="H47">
        <f ca="1">INT(H$6*$E26+H$7*($C$8+$C$9)/2+H$8)*(H$14+H$15)*$D$21*IF(COUNTIF($F47,"*雷*")&gt;0,H$17*(H$13*0.25+H$16*(H$10+属性开关!$X$56)+1-H$16-H$13-H$12),H$11*(H$13*0.25+H$9*H$10+1-H$9-H$13-H$12))</f>
        <v>201705.07406235597</v>
      </c>
      <c r="I47">
        <f ca="1">INT(I$6*$E26+I$7*($C$8+$C$9)/2+I$8)*(I$14+I$15)*$D$21*IF(COUNTIF($F47,"*雷*")&gt;0,I$17*(I$13*0.25+I$16*(I$10+属性开关!$X$56)+1-I$16-I$13-I$12),I$11*(I$13*0.25+I$9*I$10+1-I$9-I$13-I$12))</f>
        <v>109376.34332312488</v>
      </c>
      <c r="J47">
        <f ca="1">INT(J$6*$E26+J$7*($C$8+$C$9)/2+J$8)*(J$14+J$15)*$D$21*IF(COUNTIF($F47,"*雷*")&gt;0,J$17*(J$13*0.25+J$16*(J$10+属性开关!$X$56)+1-J$16-J$13-J$12),J$11*(J$13*0.25+J$9*J$10+1-J$9-J$13-J$12))</f>
        <v>200091.75325941172</v>
      </c>
      <c r="K47">
        <f ca="1">INT(K$6*$E26+K$7*($C$8+$C$9)/2+K$8)*(K$14+K$15)*$D$21*IF(COUNTIF($F47,"*雷*")&gt;0,K$17*(K$13*0.25+K$16*(K$10+属性开关!$X$56)+1-K$16-K$13-K$12),K$11*(K$13*0.25+K$9*K$10+1-K$9-K$13-K$12))</f>
        <v>205580.31792910138</v>
      </c>
      <c r="L47">
        <f ca="1">INT(L$6*$E26+L$7*($C$8+$C$9)/2+L$8)*(L$14+L$15)*$D$21*IF(COUNTIF($F47,"*雷*")&gt;0,L$17*(L$13*0.25+L$16*(L$10+属性开关!$X$56)+1-L$16-L$13-L$12),L$11*(L$13*0.25+L$9*L$10+1-L$9-L$13-L$12))</f>
        <v>146303.60555006983</v>
      </c>
      <c r="M47">
        <f ca="1">INT(M$6*$E26+M$7*($C$8+$C$9)/2+M$8)*(M$14+M$15)*$D$21*IF(COUNTIF($F47,"*雷*")&gt;0,M$17*(M$13*0.25+M$16*(M$10+属性开关!$X$56)+1-M$16-M$13-M$12),M$11*(M$13*0.25+M$9*M$10+1-M$9-M$13-M$12))</f>
        <v>63365.164531354254</v>
      </c>
      <c r="N47">
        <f ca="1">INT(N$6*$E26+N$7*($C$8+$C$9)/2+N$8)*(N$14+N$15)*$D$21*IF(COUNTIF($F47,"*雷*")&gt;0,N$17*(N$13*0.25+N$16*(N$10+属性开关!$X$56)+1-N$16-N$13-N$12),N$11*(N$13*0.25+N$9*N$10+1-N$9-N$13-N$12))</f>
        <v>75061.137065003073</v>
      </c>
      <c r="O47">
        <f ca="1">INT(O$6*$E26+O$7*($C$8+$C$9)/2+O$8)*(O$14+O$15)*$D$21*IF(COUNTIF($F47,"*雷*")&gt;0,O$17*(O$13*0.25+O$16*(O$10+属性开关!$X$56)+1-O$16-O$13-O$12),O$11*(O$13*0.25+O$9*O$10+1-O$9-O$13-O$12))</f>
        <v>28088.247081215879</v>
      </c>
      <c r="P47">
        <f ca="1">INT(P$6*$E26+P$7*($C$8+$C$9)/2+P$8)*(P$14+P$15)*$D$21*IF(COUNTIF($F47,"*雷*")&gt;0,P$17*(P$13*0.25+P$16*(P$10+属性开关!$X$56)+1-P$16-P$13-P$12),P$11*(P$13*0.25+P$9*P$10+1-P$9-P$13-P$12))</f>
        <v>46039.442437586011</v>
      </c>
      <c r="Q47">
        <f ca="1">INT(Q$6*$E26+Q$7*($C$8+$C$9)/2+Q$8)*(Q$14+Q$15)*$D$21*IF(COUNTIF($F47,"*雷*")&gt;0,Q$17*(Q$13*0.25+Q$16*(Q$10+属性开关!$X$56)+1-Q$16-Q$13-Q$12),Q$11*(Q$13*0.25+Q$9*Q$10+1-Q$9-Q$13-Q$12))</f>
        <v>36851.137549004896</v>
      </c>
      <c r="R47" s="28">
        <f ca="1">INT(R$6*$E26+R$7*($C$8+$C$9)/2+R$8)*(R$14+R$15)*$D$21*IF(COUNTIF($F47,"*雷*")&gt;0,R$17*(R$13*0.25+R$16*(R$10+属性开关!$X$56)+1-R$16-R$13-R$12),R$11*(R$13*0.25+R$9*R$10+1-R$9-R$13-R$12))</f>
        <v>10458.928665765003</v>
      </c>
      <c r="W47" s="34" t="s">
        <v>722</v>
      </c>
      <c r="X47">
        <f ca="1">Y66</f>
        <v>0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I47">
        <v>1</v>
      </c>
      <c r="AJ47">
        <f ca="1">RANK(X29,$X$29:$X$56)</f>
        <v>1</v>
      </c>
      <c r="AQ47" t="str">
        <f ca="1">IF(AR47="","",IFERROR(INDEX($W$29:$X$56,MATCH(AI47,$AJ$47:$AJ$74,0),1),""))</f>
        <v>龙牙</v>
      </c>
      <c r="AR47">
        <f ca="1">IF(IFERROR(INDEX($W$29:$X$56,MATCH(AI47,$AJ$47:$AJ$74,0),2),"")=0,"",IFERROR(INDEX($W$29:$X$56,MATCH(AI47,$AJ$47:$AJ$74,0),2),""))</f>
        <v>0.42596005828753425</v>
      </c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122219.40206159669</v>
      </c>
      <c r="H48">
        <f ca="1">(H47*$AD$38)/$AD$37/$E$2*$D$22+(H47*$AE$42)/$AF$41/$E$2*$C$22</f>
        <v>72644.705563425203</v>
      </c>
      <c r="I48">
        <f ca="1">(I47*$AD$38)/$AD$37/$E$2*$D$22+(I47*$AE$42)/$AF$41/$E$2*$C$22</f>
        <v>39392.227950875313</v>
      </c>
      <c r="J48">
        <f ca="1">J47*$AC$39/$AD$37/$E$2*$D$22+J47*$AE$43/$AF$41/$E$2*$C$22</f>
        <v>23868.139377479842</v>
      </c>
      <c r="K48">
        <f ca="1">K47*$AC$40/$AD$37/$E$2*$D$22+K47*$AE$44/$AF$41/$E$2*$C$22</f>
        <v>24522.848151752136</v>
      </c>
      <c r="L48">
        <f ca="1">L47*$AC$37/$AD$37/$E$2*$D$22+L47*$AE$41/$AF$41/$E$2*$C$22</f>
        <v>17936.246524983497</v>
      </c>
      <c r="M48">
        <f ca="1">M47*$AE$41/$AF$41/$E$2*$C$22</f>
        <v>0</v>
      </c>
      <c r="N48">
        <f ca="1">N47/$E$3</f>
        <v>40032.606434668305</v>
      </c>
      <c r="O48">
        <f ca="1">O47/$F$3</f>
        <v>17285.07512690208</v>
      </c>
      <c r="P48">
        <f ca="1">P47/$E$45*大附魔数值!$S$9</f>
        <v>1902.0247912618158</v>
      </c>
      <c r="Q48">
        <f ca="1">Q47/$E$47*大附魔数值!$S$10</f>
        <v>3013.9693551120954</v>
      </c>
      <c r="R48" s="28">
        <f ca="1">R47/45</f>
        <v>232.42063701700005</v>
      </c>
      <c r="S48">
        <f ca="1">SUM(G48:R48,AS48)*IF(COUNTIF(F48,"*雷*")&gt;0,$B$21/$D$21,1)</f>
        <v>475721.5152693743</v>
      </c>
      <c r="T48" s="21">
        <f ca="1">AQ34</f>
        <v>0.18181818181818182</v>
      </c>
      <c r="W48" s="34" t="s">
        <v>724</v>
      </c>
      <c r="X48">
        <f t="shared" ref="X48:X49" ca="1" si="63">Y67</f>
        <v>0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I48">
        <v>2</v>
      </c>
      <c r="AJ48">
        <f t="shared" ref="AJ48:AJ74" ca="1" si="64">RANK(X30,$X$29:$X$56)</f>
        <v>3</v>
      </c>
      <c r="AQ48" t="str">
        <f t="shared" ref="AQ48:AQ62" ca="1" si="65">IF(AR48="","",IFERROR(INDEX($W$29:$X$56,MATCH(AI48,$AJ$47:$AJ$74,0),1),""))</f>
        <v>破</v>
      </c>
      <c r="AR48">
        <f t="shared" ref="AR48:AR62" ca="1" si="66">IF(IFERROR(INDEX($W$29:$X$56,MATCH(AI48,$AJ$47:$AJ$74,0),2),"")=0,"",IFERROR(INDEX($W$29:$X$56,MATCH(AI48,$AJ$47:$AJ$74,0),2),""))</f>
        <v>0.17617412572348862</v>
      </c>
      <c r="AS48">
        <f ca="1">AS47*$AC$38/$AD$37/$E$2*$D$22+AS47*$AE$42/$AF$41/$E$2*$C$22</f>
        <v>0</v>
      </c>
    </row>
    <row r="49" spans="4:46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W49" s="34" t="s">
        <v>725</v>
      </c>
      <c r="X49">
        <f t="shared" ca="1" si="63"/>
        <v>0</v>
      </c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  <c r="AI49">
        <v>3</v>
      </c>
      <c r="AJ49">
        <f t="shared" ca="1" si="64"/>
        <v>2</v>
      </c>
      <c r="AQ49" t="str">
        <f t="shared" ca="1" si="65"/>
        <v>流血</v>
      </c>
      <c r="AR49">
        <f t="shared" ca="1" si="66"/>
        <v>0.10514375973831507</v>
      </c>
    </row>
    <row r="50" spans="4:46" x14ac:dyDescent="0.35">
      <c r="D50">
        <v>0</v>
      </c>
      <c r="E50">
        <f ca="1">AC38/AD37</f>
        <v>0.48894726400989053</v>
      </c>
      <c r="G50">
        <f t="shared" ref="G50:Q50" ca="1" si="67">(SUMPRODUCT(G51:G58,$T$51:$T$58)*(1-$E$56*$U$38)+SUMPRODUCT(G63:G71,$S$63:$S$71)*$E$56*$U$38)/$V$51</f>
        <v>0.3220257763694529</v>
      </c>
      <c r="H50">
        <f t="shared" ca="1" si="67"/>
        <v>0.17617412572348862</v>
      </c>
      <c r="I50">
        <f t="shared" ca="1" si="67"/>
        <v>0.10393428191808132</v>
      </c>
      <c r="J50">
        <f t="shared" ca="1" si="67"/>
        <v>6.2538168250019815E-2</v>
      </c>
      <c r="K50">
        <f t="shared" ca="1" si="67"/>
        <v>6.4500254138213961E-2</v>
      </c>
      <c r="L50">
        <f t="shared" ca="1" si="67"/>
        <v>4.7021885267907876E-2</v>
      </c>
      <c r="M50">
        <f t="shared" ca="1" si="67"/>
        <v>0</v>
      </c>
      <c r="N50">
        <f t="shared" ca="1" si="67"/>
        <v>0.10514375973831507</v>
      </c>
      <c r="O50">
        <f t="shared" ca="1" si="67"/>
        <v>4.4626430363393435E-2</v>
      </c>
      <c r="P50">
        <f t="shared" ca="1" si="67"/>
        <v>4.995807615668881E-3</v>
      </c>
      <c r="Q50">
        <f t="shared" ca="1" si="67"/>
        <v>7.9161551611252722E-3</v>
      </c>
      <c r="R50">
        <f ca="1">(SUMPRODUCT(R51:R58,$T$51:$T$58)*(1-$E$56*$U$38))/$V$51</f>
        <v>6.1027677788112484E-4</v>
      </c>
      <c r="S50">
        <f ca="1">AW29/$V$51</f>
        <v>0</v>
      </c>
      <c r="T50" s="103">
        <f ca="1">SUM(G50:S50,AS50,V50,X63,X65,Y66,Y67,Y68,CA28:CH28,AR27)</f>
        <v>0.94925742984060246</v>
      </c>
      <c r="U50">
        <f ca="1">AT32/V51</f>
        <v>0</v>
      </c>
      <c r="V50">
        <f ca="1">(SUMPRODUCT(V63:V71,$S$63:$S$71)*$E$56*$U$38)/$V$51</f>
        <v>0</v>
      </c>
      <c r="W50" s="34" t="s">
        <v>731</v>
      </c>
      <c r="X50" s="21">
        <f ca="1">CA28</f>
        <v>0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8">AB50*(1-$AB$36-$AA$38)</f>
        <v>1.8900000000000011E-2</v>
      </c>
      <c r="AI50">
        <v>4</v>
      </c>
      <c r="AJ50">
        <f t="shared" ca="1" si="64"/>
        <v>4</v>
      </c>
      <c r="AQ50" t="str">
        <f t="shared" ca="1" si="65"/>
        <v>穿云</v>
      </c>
      <c r="AR50">
        <f t="shared" ca="1" si="66"/>
        <v>6.4500254138213961E-2</v>
      </c>
      <c r="AS50">
        <f ca="1">(SUMPRODUCT(AS51:AS58,$T$51:$T$58)*(1-$E$56*$U$38)+SUMPRODUCT($AT$51:$AT$59,$S$63:$S$71)*($E$56*$U$38))/$V$51</f>
        <v>0</v>
      </c>
    </row>
    <row r="51" spans="4:46" x14ac:dyDescent="0.35">
      <c r="D51">
        <v>1</v>
      </c>
      <c r="E51" s="34">
        <f ca="1">(AC37+AC40)/AD37</f>
        <v>0.34226308489765311</v>
      </c>
      <c r="F51" s="34" t="s">
        <v>223</v>
      </c>
      <c r="G51">
        <f ca="1">G27*IF(COUNTIF($F27,"*雷*")&gt;0,$B$21/$D$21,1)*(1+大附魔数值!$O$10*21/1024)</f>
        <v>84877.622081720008</v>
      </c>
      <c r="H51">
        <f ca="1">H27*IF(COUNTIF($F27,"*雷*")&gt;0,$B$21/$D$21,1)*(1+大附魔数值!$O$10*21/1024)</f>
        <v>55648.890435406429</v>
      </c>
      <c r="I51">
        <f ca="1">I27*IF(COUNTIF($F27,"*雷*")&gt;0,$B$21/$D$21,1)*(1+大附魔数值!$O$10*21/1024)</f>
        <v>27212.361037395669</v>
      </c>
      <c r="J51">
        <f ca="1">J27*IF(COUNTIF($F27,"*雷*")&gt;0,$B$21/$D$21,1)*(1+大附魔数值!$O$10*21/1024)</f>
        <v>16323.138906898206</v>
      </c>
      <c r="K51">
        <f ca="1">K27*IF(COUNTIF($F27,"*雷*")&gt;0,$B$21/$D$21,1)*(1+大附魔数值!$O$10*21/1024)</f>
        <v>17037.348941462682</v>
      </c>
      <c r="L51">
        <f ca="1">L27*IF(COUNTIF($F27,"*雷*")&gt;0,$B$21/$D$21,1)*(1+大附魔数值!$O$10*21/1024)</f>
        <v>12368.9150430644</v>
      </c>
      <c r="M51">
        <f ca="1">M27*IF(COUNTIF($F27,"*雷*")&gt;0,$B$21/$D$21,1)*(1+大附魔数值!$O$10*21/1024)</f>
        <v>0</v>
      </c>
      <c r="N51">
        <f ca="1">N27*IF(COUNTIF($F27,"*雷*")&gt;0,$B$21/$D$21,1)*(1+大附魔数值!$O$10*21/1024)</f>
        <v>27131.391285457321</v>
      </c>
      <c r="O51">
        <f ca="1">O27*IF(COUNTIF($F27,"*雷*")&gt;0,$B$21/$D$21,1)*(1+大附魔数值!$O$10*21/1024)</f>
        <v>12468.783701895143</v>
      </c>
      <c r="P51">
        <f ca="1">P27*IF(COUNTIF($F27,"*雷*")&gt;0,$B$21/$D$21,1)*(1+大附魔数值!$O$10*21/1024)</f>
        <v>1288.7771954778495</v>
      </c>
      <c r="Q51">
        <f ca="1">Q27*IF(COUNTIF($F27,"*雷*")&gt;0,$B$21/$D$21,1)*(1+大附魔数值!$O$10*21/1024)</f>
        <v>2042.3518426486498</v>
      </c>
      <c r="R51">
        <f ca="1">R27*IF(COUNTIF($F27,"*雷*")&gt;0,$B$21/$D$21,1)*(1+大附魔数值!$O$10*21/1024)</f>
        <v>157.6391400368808</v>
      </c>
      <c r="S51">
        <f ca="1">AS27*IF(COUNTIF($F27,"*雷*")&gt;0,$B$21/$D$21,1)*(1+大附魔数值!$O$10*21/1024)</f>
        <v>0</v>
      </c>
      <c r="T51" s="15">
        <f ca="1">T27</f>
        <v>0.45454545454545447</v>
      </c>
      <c r="U51" s="25">
        <f ca="1">SUM(G51:S51)</f>
        <v>256557.21961146328</v>
      </c>
      <c r="V51">
        <f ca="1">SUMPRODUCT(T51:T58,U51:U58)*(1-$E$56*$U$38)+SUMPRODUCT(R63:R71,S63:S71)*($E$56*$U$38)+AW29+BI26+AT32+BC3+BB3+AZ26+AY26+BF27+CL26+AR26+AM8+AL8+CQ24</f>
        <v>406764.93245961622</v>
      </c>
      <c r="W51" s="34" t="s">
        <v>732</v>
      </c>
      <c r="X51">
        <f ca="1">CB28</f>
        <v>0</v>
      </c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8"/>
        <v>5.6700000000000032E-3</v>
      </c>
      <c r="AI51">
        <v>5</v>
      </c>
      <c r="AJ51">
        <f t="shared" ca="1" si="64"/>
        <v>5</v>
      </c>
      <c r="AQ51" t="str">
        <f t="shared" ca="1" si="65"/>
        <v>龙吟</v>
      </c>
      <c r="AR51">
        <f t="shared" ca="1" si="66"/>
        <v>6.2538168250019815E-2</v>
      </c>
      <c r="AS51">
        <f ca="1">AS27*IF(COUNTIF($F27,"*雷*")&gt;0,$B$21/$D$21,1)*(1+大附魔数值!$O$10*21/1024)</f>
        <v>0</v>
      </c>
      <c r="AT51">
        <f ca="1">AS38*IF(COUNTIF(INDIRECT(ADDRESS(ROW(F63),6)),"*雷*")&gt;0,$B$21/$D$21,1)*(1+大附魔数值!$O$10*21/1024)</f>
        <v>0</v>
      </c>
    </row>
    <row r="52" spans="4:46" x14ac:dyDescent="0.35">
      <c r="D52">
        <v>2</v>
      </c>
      <c r="E52" s="34">
        <f ca="1">AC39/AD37</f>
        <v>0.16878965109245639</v>
      </c>
      <c r="F52" s="34" t="s">
        <v>224</v>
      </c>
      <c r="G52">
        <f ca="1">G28*IF(COUNTIF($F28,"*雷*")&gt;0,$B$21/$D$21,1)*(1+大附魔数值!$O$10*21/1024)</f>
        <v>136908.32289765033</v>
      </c>
      <c r="H52">
        <f ca="1">H28*IF(COUNTIF($F28,"*雷*")&gt;0,$B$21/$D$21,1)*(1+大附魔数值!$O$10*21/1024)</f>
        <v>91329.095356731254</v>
      </c>
      <c r="I52">
        <f ca="1">I28*IF(COUNTIF($F28,"*雷*")&gt;0,$B$21/$D$21,1)*(1+大附魔数值!$O$10*21/1024)</f>
        <v>43893.768702994588</v>
      </c>
      <c r="J52">
        <f ca="1">J28*IF(COUNTIF($F28,"*雷*")&gt;0,$B$21/$D$21,1)*(1+大附魔数值!$O$10*21/1024)</f>
        <v>26788.988928353792</v>
      </c>
      <c r="K52">
        <f ca="1">K28*IF(COUNTIF($F28,"*雷*")&gt;0,$B$21/$D$21,1)*(1+大附魔数值!$O$10*21/1024)</f>
        <v>27562.916352008629</v>
      </c>
      <c r="L52">
        <f ca="1">L28*IF(COUNTIF($F28,"*雷*")&gt;0,$B$21/$D$21,1)*(1+大附魔数值!$O$10*21/1024)</f>
        <v>20198.68748426003</v>
      </c>
      <c r="M52">
        <f ca="1">M28*IF(COUNTIF($F28,"*雷*")&gt;0,$B$21/$D$21,1)*(1+大附魔数值!$O$10*21/1024)</f>
        <v>0</v>
      </c>
      <c r="N52">
        <f ca="1">N28*IF(COUNTIF($F28,"*雷*")&gt;0,$B$21/$D$21,1)*(1+大附魔数值!$O$10*21/1024)</f>
        <v>44527.130774448873</v>
      </c>
      <c r="O52">
        <f ca="1">O28*IF(COUNTIF($F28,"*雷*")&gt;0,$B$21/$D$21,1)*(1+大附魔数值!$O$10*21/1024)</f>
        <v>20463.350244415728</v>
      </c>
      <c r="P52">
        <f ca="1">P28*IF(COUNTIF($F28,"*雷*")&gt;0,$B$21/$D$21,1)*(1+大附魔数值!$O$10*21/1024)</f>
        <v>2115.0979733549029</v>
      </c>
      <c r="Q52">
        <f ca="1">Q28*IF(COUNTIF($F28,"*雷*")&gt;0,$B$21/$D$21,1)*(1+大附魔数值!$O$10*21/1024)</f>
        <v>3351.8394478280143</v>
      </c>
      <c r="R52">
        <f ca="1">R28*IF(COUNTIF($F28,"*雷*")&gt;0,$B$21/$D$21,1)*(1+大附魔数值!$O$10*21/1024)</f>
        <v>258.71207745089782</v>
      </c>
      <c r="S52">
        <f ca="1">AS28*IF(COUNTIF($F28,"*雷*")&gt;0,$B$21/$D$21,1)*(1+大附魔数值!$O$10*21/1024)</f>
        <v>0</v>
      </c>
      <c r="T52" s="15">
        <f t="shared" ref="T52:T57" ca="1" si="69">T28</f>
        <v>0</v>
      </c>
      <c r="U52" s="25">
        <f t="shared" ref="U52:U58" ca="1" si="70">SUM(G52:S52)</f>
        <v>417397.91023949703</v>
      </c>
      <c r="V52">
        <f ca="1">SUMPRODUCT(T51:T58,U51:U58)</f>
        <v>382150.33409886586</v>
      </c>
      <c r="W52" s="34" t="s">
        <v>1510</v>
      </c>
      <c r="X52" s="22">
        <f ca="1">AL9</f>
        <v>0</v>
      </c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8"/>
        <v>2.4300000000000059E-3</v>
      </c>
      <c r="AI52">
        <v>6</v>
      </c>
      <c r="AJ52">
        <f t="shared" ca="1" si="64"/>
        <v>8</v>
      </c>
      <c r="AQ52" t="str">
        <f t="shared" ca="1" si="65"/>
        <v>灭</v>
      </c>
      <c r="AR52">
        <f t="shared" ca="1" si="66"/>
        <v>5.6792393784962189E-2</v>
      </c>
      <c r="AS52">
        <f ca="1">AS28*IF(COUNTIF($F28,"*雷*")&gt;0,$B$21/$D$21,1)*(1+大附魔数值!$O$10*21/1024)</f>
        <v>0</v>
      </c>
      <c r="AT52">
        <f ca="1">AS39*IF(COUNTIF(INDIRECT(ADDRESS(ROW(F64),6)),"*雷*")&gt;0,$B$21/$D$21,1)*(1+大附魔数值!$O$10*21/1024)</f>
        <v>0</v>
      </c>
    </row>
    <row r="53" spans="4:46" x14ac:dyDescent="0.35">
      <c r="E53">
        <f ca="1">SUMPRODUCT(D50:D52,E50:E52)*E2+E49</f>
        <v>2.0919769777218331</v>
      </c>
      <c r="F53" s="34" t="s">
        <v>225</v>
      </c>
      <c r="G53">
        <f ca="1">G29*IF(COUNTIF($F29,"*雷*")&gt;0,$B$21/$D$21,1)*(1+大附魔数值!$O$10*21/1024)</f>
        <v>108907.90748150724</v>
      </c>
      <c r="H53">
        <f ca="1">H29*IF(COUNTIF($F29,"*雷*")&gt;0,$B$21/$D$21,1)*(1+大附魔数值!$O$10*21/1024)</f>
        <v>55648.890435406429</v>
      </c>
      <c r="I53">
        <f ca="1">I29*IF(COUNTIF($F29,"*雷*")&gt;0,$B$21/$D$21,1)*(1+大附魔数值!$O$10*21/1024)</f>
        <v>35198.637776170297</v>
      </c>
      <c r="J53">
        <f ca="1">J29*IF(COUNTIF($F29,"*雷*")&gt;0,$B$21/$D$21,1)*(1+大附魔数值!$O$10*21/1024)</f>
        <v>20882.442044189742</v>
      </c>
      <c r="K53">
        <f ca="1">K29*IF(COUNTIF($F29,"*雷*")&gt;0,$B$21/$D$21,1)*(1+大附魔数值!$O$10*21/1024)</f>
        <v>21749.235670973834</v>
      </c>
      <c r="L53">
        <f ca="1">L29*IF(COUNTIF($F29,"*雷*")&gt;0,$B$21/$D$21,1)*(1+大附魔数值!$O$10*21/1024)</f>
        <v>15743.171742251086</v>
      </c>
      <c r="M53">
        <f ca="1">M29*IF(COUNTIF($F29,"*雷*")&gt;0,$B$21/$D$21,1)*(1+大附魔数值!$O$10*21/1024)</f>
        <v>0</v>
      </c>
      <c r="N53">
        <f ca="1">N29*IF(COUNTIF($F29,"*雷*")&gt;0,$B$21/$D$21,1)*(1+大附魔数值!$O$10*21/1024)</f>
        <v>35188.097241131327</v>
      </c>
      <c r="O53">
        <f ca="1">O29*IF(COUNTIF($F29,"*雷*")&gt;0,$B$21/$D$21,1)*(1+大附魔数值!$O$10*21/1024)</f>
        <v>14690.398376370898</v>
      </c>
      <c r="P53">
        <f ca="1">P29*IF(COUNTIF($F29,"*雷*")&gt;0,$B$21/$D$21,1)*(1+大附魔数值!$O$10*21/1024)</f>
        <v>1672.0750367065577</v>
      </c>
      <c r="Q53">
        <f ca="1">Q29*IF(COUNTIF($F29,"*雷*")&gt;0,$B$21/$D$21,1)*(1+大附魔数值!$O$10*21/1024)</f>
        <v>2649.4070322212988</v>
      </c>
      <c r="R53">
        <f ca="1">R29*IF(COUNTIF($F29,"*雷*")&gt;0,$B$21/$D$21,1)*(1+大附魔数值!$O$10*21/1024)</f>
        <v>204.19130332474271</v>
      </c>
      <c r="S53">
        <f ca="1">AS29*IF(COUNTIF($F29,"*雷*")&gt;0,$B$21/$D$21,1)*(1+大附魔数值!$O$10*21/1024)</f>
        <v>0</v>
      </c>
      <c r="T53" s="15">
        <f t="shared" ca="1" si="69"/>
        <v>0</v>
      </c>
      <c r="U53" s="25">
        <f t="shared" ca="1" si="70"/>
        <v>312534.45414025354</v>
      </c>
      <c r="W53" s="1" t="s">
        <v>1522</v>
      </c>
      <c r="X53" s="21">
        <f ca="1">CN27</f>
        <v>0</v>
      </c>
      <c r="AC53" s="21"/>
      <c r="AI53">
        <v>7</v>
      </c>
      <c r="AJ53">
        <f t="shared" ca="1" si="64"/>
        <v>6</v>
      </c>
      <c r="AQ53" t="str">
        <f t="shared" ca="1" si="65"/>
        <v>逐云含蕊</v>
      </c>
      <c r="AR53">
        <f t="shared" ca="1" si="66"/>
        <v>5.074257015939742E-2</v>
      </c>
      <c r="AS53">
        <f ca="1">AS29*IF(COUNTIF($F29,"*雷*")&gt;0,$B$21/$D$21,1)*(1+大附魔数值!$O$10*21/1024)</f>
        <v>0</v>
      </c>
      <c r="AT53">
        <f ca="1">AS40*IF(COUNTIF(INDIRECT(ADDRESS(ROW(F65),6)),"*雷*")&gt;0,$B$21/$D$21,1)*(1+大附魔数值!$O$10*21/1024)</f>
        <v>0</v>
      </c>
    </row>
    <row r="54" spans="4:46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 t="s">
        <v>226</v>
      </c>
      <c r="G54">
        <f ca="1">G30*IF(COUNTIF($F30,"*雷*")&gt;0,$B$21/$D$21,1)*(1+大附魔数值!$O$10*21/1024)</f>
        <v>175669.37666125849</v>
      </c>
      <c r="H54">
        <f ca="1">H30*IF(COUNTIF($F30,"*雷*")&gt;0,$B$21/$D$21,1)*(1+大附魔数值!$O$10*21/1024)</f>
        <v>91329.095356731254</v>
      </c>
      <c r="I54">
        <f ca="1">I30*IF(COUNTIF($F30,"*雷*")&gt;0,$B$21/$D$21,1)*(1+大附魔数值!$O$10*21/1024)</f>
        <v>56775.700685601732</v>
      </c>
      <c r="J54">
        <f ca="1">J30*IF(COUNTIF($F30,"*雷*")&gt;0,$B$21/$D$21,1)*(1+大附魔数值!$O$10*21/1024)</f>
        <v>34271.564550760304</v>
      </c>
      <c r="K54">
        <f ca="1">K30*IF(COUNTIF($F30,"*雷*")&gt;0,$B$21/$D$21,1)*(1+大附魔数值!$O$10*21/1024)</f>
        <v>35185.777175712901</v>
      </c>
      <c r="L54">
        <f ca="1">L30*IF(COUNTIF($F30,"*雷*")&gt;0,$B$21/$D$21,1)*(1+大附魔数值!$O$10*21/1024)</f>
        <v>25708.916661293581</v>
      </c>
      <c r="M54">
        <f ca="1">M30*IF(COUNTIF($F30,"*雷*")&gt;0,$B$21/$D$21,1)*(1+大附魔数值!$O$10*21/1024)</f>
        <v>0</v>
      </c>
      <c r="N54">
        <f ca="1">N30*IF(COUNTIF($F30,"*雷*")&gt;0,$B$21/$D$21,1)*(1+大附魔数值!$O$10*21/1024)</f>
        <v>57749.526777851264</v>
      </c>
      <c r="O54">
        <f ca="1">O30*IF(COUNTIF($F30,"*雷*")&gt;0,$B$21/$D$21,1)*(1+大附魔数值!$O$10*21/1024)</f>
        <v>24109.389848504874</v>
      </c>
      <c r="P54">
        <f ca="1">P30*IF(COUNTIF($F30,"*雷*")&gt;0,$B$21/$D$21,1)*(1+大附魔数值!$O$10*21/1024)</f>
        <v>2744.1535541169105</v>
      </c>
      <c r="Q54">
        <f ca="1">Q30*IF(COUNTIF($F30,"*雷*")&gt;0,$B$21/$D$21,1)*(1+大附魔数值!$O$10*21/1024)</f>
        <v>4348.1180952815912</v>
      </c>
      <c r="R54">
        <f ca="1">R30*IF(COUNTIF($F30,"*雷*")&gt;0,$B$21/$D$21,1)*(1+大附魔数值!$O$10*21/1024)</f>
        <v>335.11192885340165</v>
      </c>
      <c r="S54">
        <f ca="1">AS30*IF(COUNTIF($F30,"*雷*")&gt;0,$B$21/$D$21,1)*(1+大附魔数值!$O$10*21/1024)</f>
        <v>0</v>
      </c>
      <c r="T54" s="15">
        <f t="shared" ca="1" si="69"/>
        <v>0</v>
      </c>
      <c r="U54" s="25">
        <f t="shared" ca="1" si="70"/>
        <v>508226.73129596631</v>
      </c>
      <c r="W54" s="1" t="s">
        <v>1523</v>
      </c>
      <c r="X54" s="21">
        <f ca="1">CO27</f>
        <v>0</v>
      </c>
      <c r="AI54">
        <v>8</v>
      </c>
      <c r="AJ54">
        <f t="shared" ca="1" si="64"/>
        <v>10</v>
      </c>
      <c r="AQ54" t="str">
        <f t="shared" ca="1" si="65"/>
        <v>梅花枪法</v>
      </c>
      <c r="AR54">
        <f t="shared" ca="1" si="66"/>
        <v>4.4626430363393435E-2</v>
      </c>
      <c r="AS54">
        <f ca="1">AS30*IF(COUNTIF($F30,"*雷*")&gt;0,$B$21/$D$21,1)*(1+大附魔数值!$O$10*21/1024)</f>
        <v>0</v>
      </c>
      <c r="AT54">
        <f ca="1">AS41*IF(COUNTIF(INDIRECT(ADDRESS(ROW(F66),6)),"*雷*")&gt;0,$B$21/$D$21,1)*(1+大附魔数值!$O$10*21/1024)</f>
        <v>0</v>
      </c>
    </row>
    <row r="55" spans="4:46" x14ac:dyDescent="0.35">
      <c r="D55" s="34" t="s">
        <v>507</v>
      </c>
      <c r="E55">
        <f ca="1">1-(1-102/1024)^(6*(E43+E44))</f>
        <v>0.56496969997558799</v>
      </c>
      <c r="F55" s="34" t="s">
        <v>227</v>
      </c>
      <c r="G55">
        <f ca="1">G31*IF(COUNTIF($F31,"*雷*")&gt;0,$B$21/$D$21,1)*(1+大附魔数值!$O$10*21/1024)</f>
        <v>99286.513427636062</v>
      </c>
      <c r="H55">
        <f ca="1">H31*IF(COUNTIF($F31,"*雷*")&gt;0,$B$21/$D$21,1)*(1+大附魔数值!$O$10*21/1024)</f>
        <v>55648.890435406429</v>
      </c>
      <c r="I55">
        <f ca="1">I31*IF(COUNTIF($F31,"*雷*")&gt;0,$B$21/$D$21,1)*(1+大附魔数值!$O$10*21/1024)</f>
        <v>32000.786318836181</v>
      </c>
      <c r="J55">
        <f ca="1">J31*IF(COUNTIF($F31,"*雷*")&gt;0,$B$21/$D$21,1)*(1+大附魔数值!$O$10*21/1024)</f>
        <v>19056.918247879585</v>
      </c>
      <c r="K55">
        <f ca="1">K31*IF(COUNTIF($F31,"*雷*")&gt;0,$B$21/$D$21,1)*(1+大附魔数值!$O$10*21/1024)</f>
        <v>19862.527528115512</v>
      </c>
      <c r="L55">
        <f ca="1">L31*IF(COUNTIF($F31,"*雷*")&gt;0,$B$21/$D$21,1)*(1+大附魔数值!$O$10*21/1024)</f>
        <v>14392.186336521465</v>
      </c>
      <c r="M55">
        <f ca="1">M31*IF(COUNTIF($F31,"*雷*")&gt;0,$B$21/$D$21,1)*(1+大附魔数值!$O$10*21/1024)</f>
        <v>0</v>
      </c>
      <c r="N55">
        <f ca="1">N31*IF(COUNTIF($F31,"*雷*")&gt;0,$B$21/$D$21,1)*(1+大附魔数值!$O$10*21/1024)</f>
        <v>31963.032225076782</v>
      </c>
      <c r="O55">
        <f ca="1">O31*IF(COUNTIF($F31,"*雷*")&gt;0,$B$21/$D$21,1)*(1+大附魔数值!$O$10*21/1024)</f>
        <v>13800.835431379573</v>
      </c>
      <c r="P55">
        <f ca="1">P31*IF(COUNTIF($F31,"*雷*")&gt;0,$B$21/$D$21,1)*(1+大附魔数值!$O$10*21/1024)</f>
        <v>1518.6240694872226</v>
      </c>
      <c r="Q55">
        <f ca="1">Q31*IF(COUNTIF($F31,"*雷*")&gt;0,$B$21/$D$21,1)*(1+大附魔数值!$O$10*21/1024)</f>
        <v>2406.428364339899</v>
      </c>
      <c r="R55">
        <f ca="1">R31*IF(COUNTIF($F31,"*雷*")&gt;0,$B$21/$D$21,1)*(1+大附魔数值!$O$10*21/1024)</f>
        <v>185.57043800959792</v>
      </c>
      <c r="S55">
        <f ca="1">AS31*IF(COUNTIF($F31,"*雷*")&gt;0,$B$21/$D$21,1)*(1+大附魔数值!$O$10*21/1024)</f>
        <v>0</v>
      </c>
      <c r="T55" s="15">
        <f t="shared" ca="1" si="69"/>
        <v>0</v>
      </c>
      <c r="U55" s="25">
        <f t="shared" ca="1" si="70"/>
        <v>290122.31282268825</v>
      </c>
      <c r="W55" s="1" t="s">
        <v>1524</v>
      </c>
      <c r="X55" s="21">
        <f ca="1">CP27</f>
        <v>0</v>
      </c>
      <c r="AI55">
        <v>9</v>
      </c>
      <c r="AJ55">
        <f t="shared" ca="1" si="64"/>
        <v>9</v>
      </c>
      <c r="AQ55" t="str">
        <f t="shared" ca="1" si="65"/>
        <v>刃凌</v>
      </c>
      <c r="AR55">
        <f t="shared" ca="1" si="66"/>
        <v>7.9161551611252722E-3</v>
      </c>
      <c r="AS55">
        <f ca="1">AS31*IF(COUNTIF($F31,"*雷*")&gt;0,$B$21/$D$21,1)*(1+大附魔数值!$O$10*21/1024)</f>
        <v>0</v>
      </c>
      <c r="AT55">
        <f ca="1">AS42*IF(COUNTIF(INDIRECT(ADDRESS(ROW(F67),6)),"*雷*")&gt;0,$B$21/$D$21,1)*(1+大附魔数值!$O$10*21/1024)</f>
        <v>0</v>
      </c>
    </row>
    <row r="56" spans="4:46" x14ac:dyDescent="0.35">
      <c r="D56" s="34" t="s">
        <v>508</v>
      </c>
      <c r="E56">
        <f ca="1">6/E48</f>
        <v>0.12586468011952029</v>
      </c>
      <c r="F56" s="34" t="s">
        <v>228</v>
      </c>
      <c r="G56">
        <f ca="1">G32*IF(COUNTIF($F32,"*雷*")&gt;0,$B$21/$D$21,1)*(1+大附魔数值!$O$10*21/1024)</f>
        <v>123316.79882742329</v>
      </c>
      <c r="H56">
        <f ca="1">H32*IF(COUNTIF($F32,"*雷*")&gt;0,$B$21/$D$21,1)*(1+大附魔数值!$O$10*21/1024)</f>
        <v>55648.890435406429</v>
      </c>
      <c r="I56">
        <f ca="1">I32*IF(COUNTIF($F32,"*雷*")&gt;0,$B$21/$D$21,1)*(1+大附魔数值!$O$10*21/1024)</f>
        <v>39987.063057610809</v>
      </c>
      <c r="J56">
        <f ca="1">J32*IF(COUNTIF($F32,"*雷*")&gt;0,$B$21/$D$21,1)*(1+大附魔数值!$O$10*21/1024)</f>
        <v>29578.793075163423</v>
      </c>
      <c r="K56">
        <f ca="1">K32*IF(COUNTIF($F32,"*雷*")&gt;0,$B$21/$D$21,1)*(1+大附魔数值!$O$10*21/1024)</f>
        <v>24574.414257626668</v>
      </c>
      <c r="L56">
        <f ca="1">L32*IF(COUNTIF($F32,"*雷*")&gt;0,$B$21/$D$21,1)*(1+大附魔数值!$O$10*21/1024)</f>
        <v>17766.443035708147</v>
      </c>
      <c r="M56">
        <f ca="1">M32*IF(COUNTIF($F32,"*雷*")&gt;0,$B$21/$D$21,1)*(1+大附魔数值!$O$10*21/1024)</f>
        <v>0</v>
      </c>
      <c r="N56">
        <f ca="1">N32*IF(COUNTIF($F32,"*雷*")&gt;0,$B$21/$D$21,1)*(1+大附魔数值!$O$10*21/1024)</f>
        <v>40021.440062025751</v>
      </c>
      <c r="O56">
        <f ca="1">O32*IF(COUNTIF($F32,"*雷*")&gt;0,$B$21/$D$21,1)*(1+大附魔数值!$O$10*21/1024)</f>
        <v>16022.450105855329</v>
      </c>
      <c r="P56">
        <f ca="1">P32*IF(COUNTIF($F32,"*雷*")&gt;0,$B$21/$D$21,1)*(1+大附魔数值!$O$10*21/1024)</f>
        <v>1901.9219107159302</v>
      </c>
      <c r="Q56">
        <f ca="1">Q32*IF(COUNTIF($F32,"*雷*")&gt;0,$B$21/$D$21,1)*(1+大附魔数值!$O$10*21/1024)</f>
        <v>3013.4835539125474</v>
      </c>
      <c r="R56">
        <f ca="1">R32*IF(COUNTIF($F32,"*雷*")&gt;0,$B$21/$D$21,1)*(1+大附魔数值!$O$10*21/1024)</f>
        <v>232.12260129745982</v>
      </c>
      <c r="S56">
        <f ca="1">AS32*IF(COUNTIF($F32,"*雷*")&gt;0,$B$21/$D$21,1)*(1+大附魔数值!$O$10*21/1024)</f>
        <v>0</v>
      </c>
      <c r="T56" s="15">
        <f t="shared" ca="1" si="69"/>
        <v>0</v>
      </c>
      <c r="U56" s="25">
        <f t="shared" ca="1" si="70"/>
        <v>352063.82092274574</v>
      </c>
      <c r="W56" s="38" t="s">
        <v>1525</v>
      </c>
      <c r="X56" s="21">
        <f ca="1">CQ27</f>
        <v>0</v>
      </c>
      <c r="AI56">
        <v>10</v>
      </c>
      <c r="AJ56">
        <f t="shared" ca="1" si="64"/>
        <v>11</v>
      </c>
      <c r="AQ56" t="str">
        <f t="shared" ca="1" si="65"/>
        <v>昆吾·弦刃</v>
      </c>
      <c r="AR56">
        <f t="shared" ca="1" si="66"/>
        <v>4.995807615668881E-3</v>
      </c>
      <c r="AS56">
        <f ca="1">AS32*IF(COUNTIF($F32,"*雷*")&gt;0,$B$21/$D$21,1)*(1+大附魔数值!$O$10*21/1024)</f>
        <v>0</v>
      </c>
      <c r="AT56">
        <f ca="1">AS43*IF(COUNTIF(INDIRECT(ADDRESS(ROW(F68),6)),"*雷*")&gt;0,$B$21/$D$21,1)*(1+大附魔数值!$O$10*21/1024)</f>
        <v>0</v>
      </c>
    </row>
    <row r="57" spans="4:46" x14ac:dyDescent="0.35">
      <c r="D57" s="34" t="s">
        <v>535</v>
      </c>
      <c r="E57">
        <f ca="1">6+1/(1/F3+1/E2)</f>
        <v>6.7563733552631575</v>
      </c>
      <c r="F57" s="34" t="s">
        <v>229</v>
      </c>
      <c r="G57">
        <f ca="1">G33*IF(COUNTIF($F33,"*雷*")&gt;0,$B$21/$D$21,1)*(1+大附魔数值!$O$10*21/1024)</f>
        <v>198911.04037191856</v>
      </c>
      <c r="H57">
        <f ca="1">H33*IF(COUNTIF($F33,"*雷*")&gt;0,$B$21/$D$21,1)*(1+大附魔数值!$O$10*21/1024)</f>
        <v>91329.095356731254</v>
      </c>
      <c r="I57">
        <f ca="1">I33*IF(COUNTIF($F33,"*雷*")&gt;0,$B$21/$D$21,1)*(1+大附魔数值!$O$10*21/1024)</f>
        <v>64499.47119806429</v>
      </c>
      <c r="J57">
        <f ca="1">J33*IF(COUNTIF($F33,"*雷*")&gt;0,$B$21/$D$21,1)*(1+大附魔数值!$O$10*21/1024)</f>
        <v>38758.521437455653</v>
      </c>
      <c r="K57">
        <f ca="1">K33*IF(COUNTIF($F33,"*雷*")&gt;0,$B$21/$D$21,1)*(1+大附魔数值!$O$10*21/1024)</f>
        <v>39756.333389061932</v>
      </c>
      <c r="L57">
        <f ca="1">L33*IF(COUNTIF($F33,"*雷*")&gt;0,$B$21/$D$21,1)*(1+大附魔数值!$O$10*21/1024)</f>
        <v>29012.959450020575</v>
      </c>
      <c r="M57">
        <f ca="1">M33*IF(COUNTIF($F33,"*雷*")&gt;0,$B$21/$D$21,1)*(1+大附魔数值!$O$10*21/1024)</f>
        <v>0</v>
      </c>
      <c r="N57">
        <f ca="1">N33*IF(COUNTIF($F33,"*雷*")&gt;0,$B$21/$D$21,1)*(1+大附魔数值!$O$10*21/1024)</f>
        <v>65681.847151671056</v>
      </c>
      <c r="O57">
        <f ca="1">O33*IF(COUNTIF($F33,"*雷*")&gt;0,$B$21/$D$21,1)*(1+大附魔数值!$O$10*21/1024)</f>
        <v>26295.508537850375</v>
      </c>
      <c r="P57">
        <f ca="1">P33*IF(COUNTIF($F33,"*雷*")&gt;0,$B$21/$D$21,1)*(1+大附魔数值!$O$10*21/1024)</f>
        <v>3121.3705463984438</v>
      </c>
      <c r="Q57">
        <f ca="1">Q33*IF(COUNTIF($F33,"*雷*")&gt;0,$B$21/$D$21,1)*(1+大附魔数值!$O$10*21/1024)</f>
        <v>4945.6282901215463</v>
      </c>
      <c r="R57">
        <f ca="1">R33*IF(COUNTIF($F33,"*雷*")&gt;0,$B$21/$D$21,1)*(1+大附魔数值!$O$10*21/1024)</f>
        <v>380.95183969490392</v>
      </c>
      <c r="S57">
        <f ca="1">AS33*IF(COUNTIF($F33,"*雷*")&gt;0,$B$21/$D$21,1)*(1+大附魔数值!$O$10*21/1024)</f>
        <v>0</v>
      </c>
      <c r="T57" s="15">
        <f t="shared" ca="1" si="69"/>
        <v>0.31818181818181818</v>
      </c>
      <c r="U57" s="25">
        <f t="shared" ca="1" si="70"/>
        <v>562692.72756898846</v>
      </c>
      <c r="AI57">
        <v>11</v>
      </c>
      <c r="AJ57">
        <f t="shared" ca="1" si="64"/>
        <v>12</v>
      </c>
      <c r="AQ57" t="str">
        <f t="shared" ca="1" si="65"/>
        <v>突</v>
      </c>
      <c r="AR57">
        <f t="shared" ca="1" si="66"/>
        <v>6.1027677788112484E-4</v>
      </c>
      <c r="AS57">
        <f ca="1">AS33*IF(COUNTIF($F33,"*雷*")&gt;0,$B$21/$D$21,1)*(1+大附魔数值!$O$10*21/1024)</f>
        <v>0</v>
      </c>
      <c r="AT57">
        <f ca="1">AS44*IF(COUNTIF(INDIRECT(ADDRESS(ROW(F69),6)),"*雷*")&gt;0,$B$21/$D$21,1)*(1+大附魔数值!$O$10*21/1024)</f>
        <v>0</v>
      </c>
    </row>
    <row r="58" spans="4:46" x14ac:dyDescent="0.35">
      <c r="F58" s="34" t="s">
        <v>288</v>
      </c>
      <c r="G58">
        <f ca="1">G48*IF(COUNTIF($F48,"*雷*")&gt;0,$B$21/$D$21,1)*(1+大附魔数值!$O$10*21/1024)</f>
        <v>160149.9866083104</v>
      </c>
      <c r="H58">
        <f ca="1">H48*IF(COUNTIF($F48,"*雷*")&gt;0,$B$21/$D$21,1)*(1+大附魔数值!$O$10*21/1024)</f>
        <v>95189.866967961585</v>
      </c>
      <c r="I58">
        <f ca="1">I48*IF(COUNTIF($F48,"*雷*")&gt;0,$B$21/$D$21,1)*(1+大附魔数值!$O$10*21/1024)</f>
        <v>51617.53921545716</v>
      </c>
      <c r="J58">
        <f ca="1">J48*IF(COUNTIF($F48,"*雷*")&gt;0,$B$21/$D$21,1)*(1+大附魔数值!$O$10*21/1024)</f>
        <v>31275.576031227931</v>
      </c>
      <c r="K58">
        <f ca="1">K48*IF(COUNTIF($F48,"*雷*")&gt;0,$B$21/$D$21,1)*(1+大附魔数值!$O$10*21/1024)</f>
        <v>32133.472565357657</v>
      </c>
      <c r="L58">
        <f ca="1">L48*IF(COUNTIF($F48,"*雷*")&gt;0,$B$21/$D$21,1)*(1+大附魔数值!$O$10*21/1024)</f>
        <v>23502.730272987024</v>
      </c>
      <c r="M58">
        <f ca="1">M48*IF(COUNTIF($F48,"*雷*")&gt;0,$B$21/$D$21,1)*(1+大附魔数值!$O$10*21/1024)</f>
        <v>0</v>
      </c>
      <c r="N58">
        <f ca="1">N48*IF(COUNTIF($F48,"*雷*")&gt;0,$B$21/$D$21,1)*(1+大附魔数值!$O$10*21/1024)</f>
        <v>52456.658077714485</v>
      </c>
      <c r="O58">
        <f ca="1">O48*IF(COUNTIF($F48,"*雷*")&gt;0,$B$21/$D$21,1)*(1+大附魔数值!$O$10*21/1024)</f>
        <v>22649.468933761229</v>
      </c>
      <c r="P58">
        <f ca="1">P48*IF(COUNTIF($F48,"*雷*")&gt;0,$B$21/$D$21,1)*(1+大附魔数值!$O$10*21/1024)</f>
        <v>2492.3149656364367</v>
      </c>
      <c r="Q58">
        <f ca="1">Q48*IF(COUNTIF($F48,"*雷*")&gt;0,$B$21/$D$21,1)*(1+大附魔数值!$O$10*21/1024)</f>
        <v>3949.3496426679717</v>
      </c>
      <c r="R58">
        <f ca="1">R48*IF(COUNTIF($F48,"*雷*")&gt;0,$B$21/$D$21,1)*(1+大附魔数值!$O$10*21/1024)</f>
        <v>304.5519882924001</v>
      </c>
      <c r="S58">
        <f ca="1">AS48*IF(COUNTIF($F48,"*雷*")&gt;0,$B$21/$D$21,1)*(1+大附魔数值!$O$10*21/1024)</f>
        <v>0</v>
      </c>
      <c r="T58" s="21">
        <f ca="1">$T$48</f>
        <v>0.18181818181818182</v>
      </c>
      <c r="U58" s="25">
        <f t="shared" ca="1" si="70"/>
        <v>475721.5152693743</v>
      </c>
      <c r="AA58">
        <f ca="1">($G$18+$I$18)/($G$14+$G$15)*AC58</f>
        <v>311228.71476090868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  <c r="AI58">
        <v>12</v>
      </c>
      <c r="AJ58">
        <f t="shared" ca="1" si="64"/>
        <v>12</v>
      </c>
      <c r="AQ58" t="str">
        <f t="shared" ca="1" si="65"/>
        <v/>
      </c>
      <c r="AR58" t="str">
        <f t="shared" ca="1" si="66"/>
        <v/>
      </c>
      <c r="AS58">
        <f ca="1">AS48*IF(COUNTIF($F48,"*雷*")&gt;0,$B$21/$D$21,1)*(1+大附魔数值!$O$10*21/1024)</f>
        <v>0</v>
      </c>
      <c r="AT58">
        <f ca="1">AS45*IF(COUNTIF(INDIRECT(ADDRESS(ROW(F70),6)),"*雷*")&gt;0,$B$21/$D$21,1)*(1+大附魔数值!$O$10*21/1024)</f>
        <v>0</v>
      </c>
    </row>
    <row r="59" spans="4:46" x14ac:dyDescent="0.35">
      <c r="F59" s="34"/>
      <c r="G59">
        <f ca="1">G50*$V$51*(1+属性开关!$S$37*51/1024)*(1+$C$14)</f>
        <v>191954.12076578356</v>
      </c>
      <c r="H59">
        <f ca="1">H50*$V$51*(1+属性开关!$S$37*51/1024)*(1+$C$14)</f>
        <v>105014.41774690416</v>
      </c>
      <c r="I59">
        <f ca="1">I50*$V$51*(1+属性开关!$S$37*51/1024)*(1+$C$14)</f>
        <v>61953.468222119845</v>
      </c>
      <c r="J59">
        <f ca="1">J50*$V$51*(1+属性开关!$S$37*51/1024)*(1+$C$14)</f>
        <v>37277.944753598698</v>
      </c>
      <c r="K59">
        <f ca="1">K50*$V$51*(1+属性开关!$S$37*51/1024)*(1+$C$14)</f>
        <v>38447.51097833208</v>
      </c>
      <c r="L59">
        <f ca="1">L50*$V$51*(1+属性开关!$S$37*51/1024)*(1+$C$14)</f>
        <v>28028.950803600979</v>
      </c>
      <c r="M59">
        <f ca="1">M50*$V$51*(1+属性开关!$S$37*51/1024)*(1+$C$14)</f>
        <v>0</v>
      </c>
      <c r="N59">
        <f ca="1">N50*$V$51*(1+属性开关!$S$37*51/1024)*(1+$C$14)</f>
        <v>62674.41750197603</v>
      </c>
      <c r="O59">
        <f ca="1">O50*$V$51*(1+属性开关!$S$37*51/1024)*(1+$C$14)</f>
        <v>26601.060635260495</v>
      </c>
      <c r="P59">
        <f ca="1">P50*$V$51*(1+属性开关!$S$37*51/1024)*(1+$C$14)</f>
        <v>2977.9164549875218</v>
      </c>
      <c r="Q59">
        <f ca="1">Q50*$V$51*(1+属性开关!$S$37*51/1024)*(1+$C$14)</f>
        <v>4718.6862521712828</v>
      </c>
      <c r="R59">
        <f ca="1">R50*$V$51*(1+属性开关!$S$37*51/1024)*(1+$C$14)</f>
        <v>363.77566927297369</v>
      </c>
      <c r="S59">
        <f ca="1">S50*$V$51*(1+属性开关!$S$37*51/1024)*(1+$C$14)</f>
        <v>0</v>
      </c>
      <c r="Y59" s="41"/>
      <c r="Z59" s="41"/>
      <c r="AA59">
        <f t="shared" ref="AA59:AA61" ca="1" si="71">($G$18+$I$18)/($G$14+$G$15)*AC59</f>
        <v>339859.13213632465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  <c r="AI59" s="34">
        <v>13</v>
      </c>
      <c r="AJ59">
        <f t="shared" ca="1" si="64"/>
        <v>12</v>
      </c>
      <c r="AQ59" t="str">
        <f t="shared" ca="1" si="65"/>
        <v/>
      </c>
      <c r="AR59" t="str">
        <f t="shared" ca="1" si="66"/>
        <v/>
      </c>
      <c r="AS59">
        <f ca="1">AS50*$V$51*(1+属性开关!$S$37*51/1024)*(1+$C$14)</f>
        <v>0</v>
      </c>
      <c r="AT59">
        <f ca="1">AS46*IF(COUNTIF(INDIRECT(ADDRESS(ROW(F71),6)),"*雷*")&gt;0,$B$21/$D$21,1)*(1+大附魔数值!$O$10*21/1024)</f>
        <v>0</v>
      </c>
    </row>
    <row r="60" spans="4:46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>
        <f ca="1">S59*E54</f>
        <v>0</v>
      </c>
      <c r="AA60">
        <f t="shared" ca="1" si="71"/>
        <v>301747.21290281636</v>
      </c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  <c r="AI60" s="34">
        <v>14</v>
      </c>
      <c r="AJ60">
        <f t="shared" ca="1" si="64"/>
        <v>12</v>
      </c>
      <c r="AQ60" t="str">
        <f t="shared" ca="1" si="65"/>
        <v/>
      </c>
      <c r="AR60" t="str">
        <f t="shared" ca="1" si="66"/>
        <v/>
      </c>
    </row>
    <row r="61" spans="4:46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>
        <f>7700198/31</f>
        <v>248393.48387096773</v>
      </c>
      <c r="AA61">
        <f t="shared" ca="1" si="71"/>
        <v>292265.7110447241</v>
      </c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  <c r="AI61" s="34">
        <v>15</v>
      </c>
      <c r="AJ61">
        <f t="shared" ca="1" si="64"/>
        <v>7</v>
      </c>
      <c r="AQ61" t="str">
        <f t="shared" ca="1" si="65"/>
        <v/>
      </c>
      <c r="AR61" t="str">
        <f t="shared" ca="1" si="66"/>
        <v/>
      </c>
    </row>
    <row r="62" spans="4:46" x14ac:dyDescent="0.35">
      <c r="F62" s="34"/>
      <c r="T62" s="34" t="s">
        <v>1509</v>
      </c>
      <c r="V62" s="34" t="s">
        <v>634</v>
      </c>
      <c r="X62" s="34" t="s">
        <v>719</v>
      </c>
      <c r="AA62">
        <f ca="1">($L$18)/($L$14+$L$15)*AC62</f>
        <v>100891.61436436512</v>
      </c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  <c r="AI62" s="34">
        <v>16</v>
      </c>
      <c r="AJ62">
        <f t="shared" ca="1" si="64"/>
        <v>12</v>
      </c>
      <c r="AQ62" t="str">
        <f t="shared" ca="1" si="65"/>
        <v/>
      </c>
      <c r="AR62" t="str">
        <f t="shared" ca="1" si="66"/>
        <v/>
      </c>
    </row>
    <row r="63" spans="4:46" x14ac:dyDescent="0.35">
      <c r="E63" s="34"/>
      <c r="F63" s="34" t="s">
        <v>223</v>
      </c>
      <c r="G63">
        <f ca="1">(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153514.37238366096</v>
      </c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I63">
        <f ca="1">(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49217.78465602285</v>
      </c>
      <c r="J63">
        <f ca="1">J18/$E$2*(3-属性开关!$X$37)/(3+2*$D$33)/(3+$D$33)*IF(COUNTIF($F63,"*雷*")&gt;0,$B$21/$D$21,1)*(1+大附魔数值!$O$10*21/1024)</f>
        <v>7456.5577590291305</v>
      </c>
      <c r="N63">
        <f ca="1">N27*IF(COUNTIF($F63,"*雷*")&gt;0,$B$21/$D$21,1)*(1+大附魔数值!$O$10*21/1024)</f>
        <v>27131.391285457321</v>
      </c>
      <c r="O63">
        <f ca="1">O27*IF(COUNTIF($F63,"*雷*")&gt;0,$B$21/$D$21,1)*(1+大附魔数值!$O$10*21/1024)</f>
        <v>12468.783701895143</v>
      </c>
      <c r="P63">
        <f ca="1">P27*IF(COUNTIF($F63,"*雷*")&gt;0,$B$21/$D$21,1)*(1+大附魔数值!$O$10*21/1024)</f>
        <v>1288.7771954778495</v>
      </c>
      <c r="Q63">
        <f ca="1">Q27*IF(COUNTIF($F63,"*雷*")&gt;0,$B$21/$D$21,1)*(1+大附魔数值!$O$10*21/1024)</f>
        <v>2042.3518426486498</v>
      </c>
      <c r="R63">
        <f ca="1">SUM(G63:Q63,AS38*IF(COUNTIF(INDIRECT(ADDRESS(ROW(),6)),"*雷*")&gt;0,$B$21/$D$21,1)*(1+大附魔数值!$O$10*21/1024),V63)</f>
        <v>409790.62232567952</v>
      </c>
      <c r="S63" s="36">
        <f t="shared" ref="S63:S70" ca="1" si="72">T27</f>
        <v>0.45454545454545447</v>
      </c>
      <c r="T63">
        <f ca="1">SUMPRODUCT(S63:S71,R63:R71)</f>
        <v>607721.62885287963</v>
      </c>
      <c r="V63">
        <f ca="1">AU18*IF(COUNTIF(INDIRECT(ADDRESS(ROW(),6)),"*雷*")&gt;0,$B$21/$D$21,1)*(1+大附魔数值!$O$10*21/1024)</f>
        <v>56020.262673684163</v>
      </c>
      <c r="X63">
        <f ca="1">AY26/V51</f>
        <v>0</v>
      </c>
      <c r="AA63">
        <f t="shared" ref="AA63:AA64" ca="1" si="73">($L$18)/($L$14+$L$15)*AC63</f>
        <v>97210.140707017257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  <c r="AI63" s="34">
        <v>17</v>
      </c>
      <c r="AJ63">
        <f t="shared" ca="1" si="64"/>
        <v>12</v>
      </c>
    </row>
    <row r="64" spans="4:46" x14ac:dyDescent="0.35">
      <c r="E64" s="34"/>
      <c r="F64" s="34" t="s">
        <v>224</v>
      </c>
      <c r="G64">
        <f ca="1">(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247619.98213730447</v>
      </c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165183.96868702676</v>
      </c>
      <c r="I64">
        <f ca="1">(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79388.703273356907</v>
      </c>
      <c r="J64">
        <f ca="1">J19/$E$2*(3-属性开关!$X$37)/(3+2*$D$33)/(3+$D$33)*IF(COUNTIF($F64,"*雷*")&gt;0,$B$21/$D$21,1)*(1+大附魔数值!$O$10*21/1024)</f>
        <v>12237.452881433575</v>
      </c>
      <c r="N64">
        <f ca="1">N28*IF(COUNTIF($F64,"*雷*")&gt;0,$B$21/$D$21,1)*(1+大附魔数值!$O$10*21/1024)</f>
        <v>44527.130774448873</v>
      </c>
      <c r="O64">
        <f ca="1">O28*IF(COUNTIF($F64,"*雷*")&gt;0,$B$21/$D$21,1)*(1+大附魔数值!$O$10*21/1024)</f>
        <v>20463.350244415728</v>
      </c>
      <c r="P64">
        <f ca="1">P28*IF(COUNTIF($F64,"*雷*")&gt;0,$B$21/$D$21,1)*(1+大附魔数值!$O$10*21/1024)</f>
        <v>2115.0979733549029</v>
      </c>
      <c r="Q64">
        <f ca="1">Q28*IF(COUNTIF($F64,"*雷*")&gt;0,$B$21/$D$21,1)*(1+大附魔数值!$O$10*21/1024)</f>
        <v>3351.8394478280143</v>
      </c>
      <c r="R64">
        <f ca="1">SUM(G64:Q64,AS39*IF(COUNTIF(INDIRECT(ADDRESS(ROW(),6)),"*雷*")&gt;0,$B$21/$D$21,1)*(1+大附魔数值!$O$10*21/1024),V64)</f>
        <v>666826.10445647594</v>
      </c>
      <c r="S64" s="36">
        <f t="shared" ca="1" si="72"/>
        <v>0</v>
      </c>
      <c r="V64">
        <f ca="1">AU19*IF(COUNTIF(INDIRECT(ADDRESS(ROW(),6)),"*雷*")&gt;0,$B$21/$D$21,1)*(1+大附魔数值!$O$10*21/1024)</f>
        <v>91938.57903730667</v>
      </c>
      <c r="X64" s="34" t="s">
        <v>720</v>
      </c>
      <c r="AA64">
        <f t="shared" ca="1" si="73"/>
        <v>93528.667049669399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  <c r="AI64" s="34">
        <v>18</v>
      </c>
      <c r="AJ64">
        <f t="shared" ca="1" si="64"/>
        <v>12</v>
      </c>
    </row>
    <row r="65" spans="5:47" x14ac:dyDescent="0.35">
      <c r="E65" s="34"/>
      <c r="F65" s="34" t="s">
        <v>225</v>
      </c>
      <c r="G65">
        <f ca="1">(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196976.87864705309</v>
      </c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I65">
        <f ca="1">(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63662.207475206204</v>
      </c>
      <c r="J65">
        <f ca="1">J20/$E$2*(3-属性开关!$X$37)/(3+2*$D$33)/(3+$D$33)*IF(COUNTIF($F65,"*雷*")&gt;0,$B$21/$D$21,1)*(1+大附魔数值!$O$10*21/1024)</f>
        <v>9539.2887446589812</v>
      </c>
      <c r="N65">
        <f ca="1">N29*IF(COUNTIF($F65,"*雷*")&gt;0,$B$21/$D$21,1)*(1+大附魔数值!$O$10*21/1024)</f>
        <v>35188.097241131327</v>
      </c>
      <c r="O65">
        <f ca="1">O29*IF(COUNTIF($F65,"*雷*")&gt;0,$B$21/$D$21,1)*(1+大附魔数值!$O$10*21/1024)</f>
        <v>14690.398376370898</v>
      </c>
      <c r="P65">
        <f ca="1">P29*IF(COUNTIF($F65,"*雷*")&gt;0,$B$21/$D$21,1)*(1+大附魔数值!$O$10*21/1024)</f>
        <v>1672.0750367065577</v>
      </c>
      <c r="Q65">
        <f ca="1">Q29*IF(COUNTIF($F65,"*雷*")&gt;0,$B$21/$D$21,1)*(1+大附魔数值!$O$10*21/1024)</f>
        <v>2649.4070322212988</v>
      </c>
      <c r="R65">
        <f ca="1">SUM(G65:Q65,AS40*IF(COUNTIF(INDIRECT(ADDRESS(ROW(),6)),"*雷*")&gt;0,$B$21/$D$21,1)*(1+大附魔数值!$O$10*21/1024),V65)</f>
        <v>497588.73750739364</v>
      </c>
      <c r="S65" s="36">
        <f t="shared" ca="1" si="72"/>
        <v>0</v>
      </c>
      <c r="V65">
        <f ca="1">AU20*IF(COUNTIF(INDIRECT(ADDRESS(ROW(),6)),"*雷*")&gt;0,$B$21/$D$21,1)*(1+大附魔数值!$O$10*21/1024)</f>
        <v>72560.044126241832</v>
      </c>
      <c r="X65">
        <f ca="1">AZ26/V51</f>
        <v>0</v>
      </c>
      <c r="AA65">
        <f ca="1">($J$18)/($J$14+$J$15)*AC65</f>
        <v>136840.38922865712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  <c r="AI65" s="34">
        <v>19</v>
      </c>
      <c r="AJ65">
        <f t="shared" ca="1" si="64"/>
        <v>12</v>
      </c>
    </row>
    <row r="66" spans="5:47" x14ac:dyDescent="0.35">
      <c r="E66" s="34"/>
      <c r="F66" s="34" t="s">
        <v>226</v>
      </c>
      <c r="G66">
        <f ca="1">(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317725.37264554272</v>
      </c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165183.96868702676</v>
      </c>
      <c r="I66">
        <f ca="1">(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102687.67955116722</v>
      </c>
      <c r="J66">
        <f ca="1">J21/$E$2*(3-属性开关!$X$37)/(3+2*$D$33)/(3+$D$33)*IF(COUNTIF($F66,"*雷*")&gt;0,$B$21/$D$21,1)*(1+大附魔数值!$O$10*21/1024)</f>
        <v>15655.561226465097</v>
      </c>
      <c r="N66">
        <f ca="1">N30*IF(COUNTIF($F66,"*雷*")&gt;0,$B$21/$D$21,1)*(1+大附魔数值!$O$10*21/1024)</f>
        <v>57749.526777851264</v>
      </c>
      <c r="O66">
        <f ca="1">O30*IF(COUNTIF($F66,"*雷*")&gt;0,$B$21/$D$21,1)*(1+大附魔数值!$O$10*21/1024)</f>
        <v>24109.389848504874</v>
      </c>
      <c r="P66">
        <f ca="1">P30*IF(COUNTIF($F66,"*雷*")&gt;0,$B$21/$D$21,1)*(1+大附魔数值!$O$10*21/1024)</f>
        <v>2744.1535541169105</v>
      </c>
      <c r="Q66">
        <f ca="1">Q30*IF(COUNTIF($F66,"*雷*")&gt;0,$B$21/$D$21,1)*(1+大附魔数值!$O$10*21/1024)</f>
        <v>4348.1180952815912</v>
      </c>
      <c r="R66">
        <f ca="1">SUM(G66:Q66,AS41*IF(COUNTIF(INDIRECT(ADDRESS(ROW(),6)),"*雷*")&gt;0,$B$21/$D$21,1)*(1+大附魔数值!$O$10*21/1024),V66)</f>
        <v>809286.88484241033</v>
      </c>
      <c r="S66" s="36">
        <f t="shared" ca="1" si="72"/>
        <v>0</v>
      </c>
      <c r="V66">
        <f ca="1">AU21*IF(COUNTIF(INDIRECT(ADDRESS(ROW(),6)),"*雷*")&gt;0,$B$21/$D$21,1)*(1+大附魔数值!$O$10*21/1024)</f>
        <v>119083.11445645391</v>
      </c>
      <c r="X66" s="34" t="s">
        <v>722</v>
      </c>
      <c r="Y66">
        <f ca="1">IFERROR(BD26/V51,0)</f>
        <v>0</v>
      </c>
      <c r="AA66">
        <f ca="1">($K$18)/($K$14+$K$15)*AC66</f>
        <v>133024.614939936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  <c r="AI66" s="34">
        <v>20</v>
      </c>
      <c r="AJ66">
        <f t="shared" ca="1" si="64"/>
        <v>12</v>
      </c>
    </row>
    <row r="67" spans="5:47" x14ac:dyDescent="0.35">
      <c r="E67" s="34"/>
      <c r="F67" s="34" t="s">
        <v>227</v>
      </c>
      <c r="G67">
        <f ca="1">(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179575.09201106741</v>
      </c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I67">
        <f ca="1">(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57878.396060506479</v>
      </c>
      <c r="J67">
        <f ca="1">J22/$E$2*(3-属性开关!$X$37)/(3+2*$D$33)/(3+$D$33)*IF(COUNTIF($F67,"*雷*")&gt;0,$B$21/$D$21,1)*(1+大附魔数值!$O$10*21/1024)</f>
        <v>8705.3729331653776</v>
      </c>
      <c r="N67">
        <f ca="1">N31*IF(COUNTIF($F67,"*雷*")&gt;0,$B$21/$D$21,1)*(1+大附魔数值!$O$10*21/1024)</f>
        <v>31963.032225076782</v>
      </c>
      <c r="O67">
        <f ca="1">O31*IF(COUNTIF($F67,"*雷*")&gt;0,$B$21/$D$21,1)*(1+大附魔数值!$O$10*21/1024)</f>
        <v>13800.835431379573</v>
      </c>
      <c r="P67">
        <f ca="1">P31*IF(COUNTIF($F67,"*雷*")&gt;0,$B$21/$D$21,1)*(1+大附魔数值!$O$10*21/1024)</f>
        <v>1518.6240694872226</v>
      </c>
      <c r="Q67">
        <f ca="1">Q31*IF(COUNTIF($F67,"*雷*")&gt;0,$B$21/$D$21,1)*(1+大附魔数值!$O$10*21/1024)</f>
        <v>2406.428364339899</v>
      </c>
      <c r="R67">
        <f ca="1">SUM(G67:Q67,AS42*IF(COUNTIF(INDIRECT(ADDRESS(ROW(),6)),"*雷*")&gt;0,$B$21/$D$21,1)*(1+大附魔数值!$O$10*21/1024),V67)</f>
        <v>462435.59343272995</v>
      </c>
      <c r="S67" s="36">
        <f t="shared" ca="1" si="72"/>
        <v>0</v>
      </c>
      <c r="V67">
        <f ca="1">AU22*IF(COUNTIF(INDIRECT(ADDRESS(ROW(),6)),"*雷*")&gt;0,$B$21/$D$21,1)*(1+大附魔数值!$O$10*21/1024)</f>
        <v>65937.471509903786</v>
      </c>
      <c r="X67" s="34" t="s">
        <v>724</v>
      </c>
      <c r="Y67">
        <f ca="1">IFERROR(BE26/V51,0)</f>
        <v>0</v>
      </c>
      <c r="AI67" s="34">
        <v>21</v>
      </c>
      <c r="AJ67">
        <f t="shared" ca="1" si="64"/>
        <v>12</v>
      </c>
    </row>
    <row r="68" spans="5:47" x14ac:dyDescent="0.35">
      <c r="E68" s="34"/>
      <c r="F68" s="34" t="s">
        <v>228</v>
      </c>
      <c r="G68">
        <f ca="1">(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223037.59827445957</v>
      </c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I68">
        <f ca="1">(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72322.818879689832</v>
      </c>
      <c r="J68">
        <f ca="1">J23/$E$2*(3-属性开关!$X$37)/(3+2*$D$33)/(3+$D$33)*IF(COUNTIF($F68,"*雷*")&gt;0,$B$21/$D$21,1)*(1+大附魔数值!$O$10*21/1024)</f>
        <v>10788.206845950437</v>
      </c>
      <c r="N68">
        <f ca="1">N32*IF(COUNTIF(INDIRECT(ADDRESS(ROW(),6)),"*雷*")&gt;0,$B$21/$D$21,1)*(1+大附魔数值!$O$10*21/1024)</f>
        <v>40021.440062025751</v>
      </c>
      <c r="O68">
        <f ca="1">O32*IF(COUNTIF(INDIRECT(ADDRESS(ROW(),6)),"*雷*")&gt;0,$B$21/$D$21,1)*(1+大附魔数值!$O$10*21/1024)</f>
        <v>16022.450105855329</v>
      </c>
      <c r="P68">
        <f ca="1">P32*IF(COUNTIF(INDIRECT(ADDRESS(ROW(),6)),"*雷*")&gt;0,$B$21/$D$21,1)*(1+大附魔数值!$O$10*21/1024)</f>
        <v>1901.9219107159302</v>
      </c>
      <c r="Q68">
        <f ca="1">Q32*IF(COUNTIF(INDIRECT(ADDRESS(ROW(),6)),"*雷*")&gt;0,$B$21/$D$21,1)*(1+大附魔数值!$O$10*21/1024)</f>
        <v>3013.4835539125474</v>
      </c>
      <c r="R68">
        <f ca="1">SUM(G68:Q68,AS43*IF(COUNTIF(INDIRECT(ADDRESS(ROW(),6)),"*雷*")&gt;0,$B$21/$D$21,1)*(1+大附魔数值!$O$10*21/1024),V68)</f>
        <v>550235.51342287427</v>
      </c>
      <c r="S68" s="36">
        <f t="shared" ca="1" si="72"/>
        <v>0</v>
      </c>
      <c r="V68">
        <f ca="1">AU23*IF(COUNTIF(INDIRECT(ADDRESS(ROW(),6)),"*雷*")&gt;0,$B$21/$D$21,1)*(1+大附魔数值!$O$10*21/1024)</f>
        <v>82477.252962461425</v>
      </c>
      <c r="X68" s="34" t="s">
        <v>725</v>
      </c>
      <c r="Y68">
        <f ca="1">IFERROR(BF26/V51,0)</f>
        <v>0</v>
      </c>
      <c r="AA68">
        <v>1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H68" s="34"/>
      <c r="AI68" s="34">
        <v>22</v>
      </c>
      <c r="AJ68">
        <f t="shared" ca="1" si="64"/>
        <v>12</v>
      </c>
      <c r="AK68" s="34"/>
      <c r="AL68" s="34"/>
      <c r="AM68" s="34"/>
      <c r="AN68" s="34"/>
      <c r="AO68" s="34"/>
      <c r="AP68" s="34"/>
      <c r="AQ68" s="34" t="s">
        <v>596</v>
      </c>
      <c r="AR68" s="34" t="s">
        <v>594</v>
      </c>
      <c r="AS68" s="34" t="s">
        <v>595</v>
      </c>
      <c r="AT68" s="34" t="s">
        <v>597</v>
      </c>
      <c r="AU68" s="34"/>
    </row>
    <row r="69" spans="5:47" x14ac:dyDescent="0.35">
      <c r="E69" s="34"/>
      <c r="F69" s="34" t="s">
        <v>229</v>
      </c>
      <c r="G69">
        <f ca="1">(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359761.5340057055</v>
      </c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165183.96868702676</v>
      </c>
      <c r="I69">
        <f ca="1">(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116657.31905773254</v>
      </c>
      <c r="J69">
        <f ca="1">J24/$E$2*(3-属性开关!$X$37)/(3+2*$D$33)/(3+$D$33)*IF(COUNTIF($F69,"*雷*")&gt;0,$B$21/$D$21,1)*(1+大附魔数值!$O$10*21/1024)</f>
        <v>17705.243789282613</v>
      </c>
      <c r="N69">
        <f ca="1">N33*IF(COUNTIF(INDIRECT(ADDRESS(ROW(),6)),"*雷*")&gt;0,$B$21/$D$21,1)*(1+大附魔数值!$O$10*21/1024)</f>
        <v>65681.847151671056</v>
      </c>
      <c r="O69">
        <f ca="1">O33*IF(COUNTIF(INDIRECT(ADDRESS(ROW(),6)),"*雷*")&gt;0,$B$21/$D$21,1)*(1+大附魔数值!$O$10*21/1024)</f>
        <v>26295.508537850375</v>
      </c>
      <c r="P69">
        <f ca="1">P33*IF(COUNTIF(INDIRECT(ADDRESS(ROW(),6)),"*雷*")&gt;0,$B$21/$D$21,1)*(1+大附魔数值!$O$10*21/1024)</f>
        <v>3121.3705463984438</v>
      </c>
      <c r="Q69">
        <f ca="1">Q33*IF(COUNTIF(INDIRECT(ADDRESS(ROW(),6)),"*雷*")&gt;0,$B$21/$D$21,1)*(1+大附魔数值!$O$10*21/1024)</f>
        <v>4945.6282901215463</v>
      </c>
      <c r="R69">
        <f ca="1">SUM(G69:Q69,AS44*IF(COUNTIF(INDIRECT(ADDRESS(ROW(),6)),"*雷*")&gt;0,$B$21/$D$21,1)*(1+大附魔数值!$O$10*21/1024),V69)</f>
        <v>894711.32554681017</v>
      </c>
      <c r="S69" s="36">
        <f t="shared" ca="1" si="72"/>
        <v>0.31818181818181818</v>
      </c>
      <c r="V69">
        <f ca="1">AU24*IF(COUNTIF(INDIRECT(ADDRESS(ROW(),6)),"*雷*")&gt;0,$B$21/$D$21,1)*(1+大附魔数值!$O$10*21/1024)</f>
        <v>135358.90548102121</v>
      </c>
      <c r="AA69">
        <v>2.7285714278242601</v>
      </c>
      <c r="AB69" s="47" t="s">
        <v>277</v>
      </c>
      <c r="AC69" s="48">
        <f ca="1">SUMPRODUCT(AC58:AC61,AD58:AD61)/($G$14+$G$15)</f>
        <v>4.293427471775658</v>
      </c>
      <c r="AG69" s="1" t="s">
        <v>590</v>
      </c>
      <c r="AH69">
        <v>2.1285714285714286</v>
      </c>
      <c r="AI69" s="34">
        <v>23</v>
      </c>
      <c r="AJ69">
        <f t="shared" ca="1" si="64"/>
        <v>12</v>
      </c>
      <c r="AQ69">
        <v>2</v>
      </c>
      <c r="AR69">
        <v>2.3390894819466248</v>
      </c>
      <c r="AS69">
        <f>10/7+0.7+0.3*0.7*2+0.3*0.3*3</f>
        <v>2.8185714285714285</v>
      </c>
      <c r="AT69">
        <v>2</v>
      </c>
    </row>
    <row r="70" spans="5:47" x14ac:dyDescent="0.35">
      <c r="F70" s="34" t="s">
        <v>237</v>
      </c>
      <c r="G70">
        <f ca="1">(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166585.85331740486</v>
      </c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I70">
        <f ca="1">(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53563.196075830609</v>
      </c>
      <c r="J70">
        <f ca="1">J25/$E$2*(3-属性开关!$X$37)/(3+2*$D$33)/(3+$D$33)*IF(COUNTIF($F70,"*雷*")&gt;0,$B$21/$D$21,1)*(1+大附魔数值!$O$10*21/1024)</f>
        <v>8082.9724256238051</v>
      </c>
      <c r="N70">
        <f ca="1">N34*IF(COUNTIF(INDIRECT(ADDRESS(ROW(),6)),"*雷*")&gt;0,$B$21/$D$21,1)*(1+大附魔数值!$O$10*21/1024)</f>
        <v>27131.391285457321</v>
      </c>
      <c r="O70">
        <f ca="1">O34*IF(COUNTIF(INDIRECT(ADDRESS(ROW(),6)),"*雷*")&gt;0,$B$21/$D$21,1)*(1+大附魔数值!$O$10*21/1024)</f>
        <v>12468.783701895143</v>
      </c>
      <c r="P70">
        <f ca="1">P34*IF(COUNTIF(INDIRECT(ADDRESS(ROW(),6)),"*雷*")&gt;0,$B$21/$D$21,1)*(1+大附魔数值!$O$10*21/1024)</f>
        <v>1288.7771954778495</v>
      </c>
      <c r="Q70">
        <f ca="1">Q34*IF(COUNTIF(INDIRECT(ADDRESS(ROW(),6)),"*雷*")&gt;0,$B$21/$D$21,1)*(1+大附魔数值!$O$10*21/1024)</f>
        <v>2042.3518426486498</v>
      </c>
      <c r="R70">
        <f ca="1">SUM(G70:Q70,AS45*IF(COUNTIF(INDIRECT(ADDRESS(ROW(),6)),"*雷*")&gt;0,$B$21/$D$21,1)*(1+大附魔数值!$O$10*21/1024),V70)</f>
        <v>437751.13818204543</v>
      </c>
      <c r="S70" s="36">
        <f t="shared" si="72"/>
        <v>0</v>
      </c>
      <c r="V70">
        <f ca="1">AU22*IF(COUNTIF(INDIRECT(ADDRESS(ROW(),6)),"*雷*")&gt;0,$B$21/$D$21,1)*(1+大附魔数值!$O$10*21/1024)</f>
        <v>65937.471509903786</v>
      </c>
      <c r="AA70">
        <v>0.90999999999999992</v>
      </c>
      <c r="AB70" s="47" t="s">
        <v>278</v>
      </c>
      <c r="AC70" s="48">
        <f ca="1">AD65*AC65/($J$14+$J$15)</f>
        <v>1</v>
      </c>
      <c r="AG70" s="1" t="s">
        <v>589</v>
      </c>
      <c r="AH70">
        <v>1</v>
      </c>
      <c r="AI70" s="34">
        <v>24</v>
      </c>
      <c r="AJ70">
        <f t="shared" ca="1" si="64"/>
        <v>12</v>
      </c>
      <c r="AQ70">
        <v>1</v>
      </c>
      <c r="AR70">
        <v>1</v>
      </c>
      <c r="AS70">
        <f>AR70</f>
        <v>1</v>
      </c>
      <c r="AT70">
        <v>1</v>
      </c>
    </row>
    <row r="71" spans="5:47" x14ac:dyDescent="0.35">
      <c r="E71" s="34"/>
      <c r="F71" s="34" t="s">
        <v>298</v>
      </c>
      <c r="G71">
        <f ca="1">(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)*IF(COUNTIF(INDIRECT(ADDRESS(ROW(),6)),"*雷*")&gt;0,$B$21/$D$21,1)*(1+大附魔数值!$O$10*21/1024)</f>
        <v>289656.14349746722</v>
      </c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165183.96868702676</v>
      </c>
      <c r="I71">
        <f ca="1">(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)*IF(COUNTIF(INDIRECT(ADDRESS(ROW(),6)),"*雷*")&gt;0,$B$21/$D$21,1)*(1+大附魔数值!$O$10*21/1024)</f>
        <v>93358.342779922255</v>
      </c>
      <c r="J71">
        <f ca="1">J47/$E$2*(3-属性开关!X37)/(3+2*$D$33)/(3+$D$33)*IF(COUNTIF(INDIRECT(ADDRESS(ROW(),6)),"*雷*")&gt;0,$B$21/$D$21,1)*(1+大附魔数值!$O$10*21/1024)</f>
        <v>14286.966523650895</v>
      </c>
      <c r="N71">
        <f ca="1">N48*IF(COUNTIF(INDIRECT(ADDRESS(ROW(),6)),"*雷*")&gt;0,$B$21/$D$21,1)*(1+大附魔数值!$O$10*21/1024)</f>
        <v>52456.658077714485</v>
      </c>
      <c r="O71">
        <f ca="1">O48*IF(COUNTIF(INDIRECT(ADDRESS(ROW(),6)),"*雷*")&gt;0,$B$21/$D$21,1)*(1+大附魔数值!$O$10*21/1024)</f>
        <v>22649.468933761229</v>
      </c>
      <c r="P71">
        <f ca="1">P48*IF(COUNTIF(INDIRECT(ADDRESS(ROW(),6)),"*雷*")&gt;0,$B$21/$D$21,1)*(1+大附魔数值!$O$10*21/1024)</f>
        <v>2492.3149656364367</v>
      </c>
      <c r="Q71">
        <f ca="1">Q48*IF(COUNTIF(INDIRECT(ADDRESS(ROW(),6)),"*雷*")&gt;0,$B$21/$D$21,1)*(1+大附魔数值!$O$10*21/1024)</f>
        <v>3949.3496426679717</v>
      </c>
      <c r="R71">
        <f ca="1">SUM(G71:Q71,AS46*IF(COUNTIF(INDIRECT(ADDRESS(ROW(),6)),"*雷*")&gt;0,$B$21/$D$21,1)*(1+大附魔数值!$O$10*21/1024),V71)</f>
        <v>752247.5831697213</v>
      </c>
      <c r="S71" s="36">
        <f ca="1">T48</f>
        <v>0.18181818181818182</v>
      </c>
      <c r="V71">
        <f ca="1">AU25*IF(COUNTIF(INDIRECT(ADDRESS(ROW(),6)),"*雷*")&gt;0,$B$21/$D$21,1)*(1+大附魔数值!$O$10*21/1024)</f>
        <v>108214.37006187401</v>
      </c>
      <c r="AA71">
        <v>0.90999999999999992</v>
      </c>
      <c r="AB71" s="47" t="s">
        <v>279</v>
      </c>
      <c r="AC71" s="48">
        <f ca="1">AD66*AC66/($K$14+$K$15)</f>
        <v>0.456368276609322</v>
      </c>
      <c r="AG71" s="1" t="s">
        <v>588</v>
      </c>
      <c r="AH71">
        <v>0.4285714285714286</v>
      </c>
      <c r="AI71" s="34">
        <v>25</v>
      </c>
      <c r="AJ71">
        <f t="shared" ca="1" si="64"/>
        <v>12</v>
      </c>
      <c r="AQ71">
        <v>0</v>
      </c>
      <c r="AR71">
        <v>0.42857142857142855</v>
      </c>
      <c r="AS71">
        <f>0.3*10/7</f>
        <v>0.42857142857142855</v>
      </c>
      <c r="AT71">
        <v>0</v>
      </c>
    </row>
    <row r="72" spans="5:47" x14ac:dyDescent="0.35">
      <c r="AG72" s="1" t="s">
        <v>587</v>
      </c>
      <c r="AH72">
        <v>0.69999999999999984</v>
      </c>
      <c r="AI72" s="34">
        <v>26</v>
      </c>
      <c r="AJ72">
        <f t="shared" ca="1" si="64"/>
        <v>12</v>
      </c>
      <c r="AQ72">
        <v>1</v>
      </c>
      <c r="AR72">
        <v>0.69999999999999984</v>
      </c>
      <c r="AS72">
        <v>0</v>
      </c>
      <c r="AT72">
        <v>0</v>
      </c>
    </row>
    <row r="73" spans="5:47" x14ac:dyDescent="0.35">
      <c r="AG73" s="1" t="s">
        <v>592</v>
      </c>
      <c r="AH73">
        <v>0</v>
      </c>
      <c r="AI73" s="34">
        <v>27</v>
      </c>
      <c r="AJ73">
        <f t="shared" ca="1" si="64"/>
        <v>12</v>
      </c>
      <c r="AQ73">
        <v>0</v>
      </c>
      <c r="AR73">
        <v>0.14736263736263736</v>
      </c>
      <c r="AS73">
        <v>1</v>
      </c>
      <c r="AT73">
        <v>1</v>
      </c>
    </row>
    <row r="74" spans="5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  <c r="AG74" s="1" t="s">
        <v>591</v>
      </c>
      <c r="AH74">
        <v>1</v>
      </c>
      <c r="AI74" s="34">
        <v>28</v>
      </c>
      <c r="AJ74">
        <f t="shared" ca="1" si="64"/>
        <v>12</v>
      </c>
      <c r="AQ74">
        <v>1</v>
      </c>
      <c r="AR74">
        <v>1</v>
      </c>
      <c r="AS74">
        <f>AR74</f>
        <v>1</v>
      </c>
      <c r="AT74">
        <v>0</v>
      </c>
    </row>
    <row r="75" spans="5:47" x14ac:dyDescent="0.35"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  <c r="AG75" s="1" t="s">
        <v>593</v>
      </c>
      <c r="AH75">
        <v>0.48999999999999994</v>
      </c>
      <c r="AQ75">
        <v>1</v>
      </c>
      <c r="AR75">
        <v>0.48999999999999994</v>
      </c>
      <c r="AS75">
        <v>0</v>
      </c>
      <c r="AT75">
        <v>1</v>
      </c>
    </row>
    <row r="76" spans="5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  <c r="AG76" s="1" t="s">
        <v>586</v>
      </c>
      <c r="AH76">
        <v>1</v>
      </c>
      <c r="AQ76">
        <v>1</v>
      </c>
      <c r="AR76">
        <v>1</v>
      </c>
      <c r="AS76">
        <v>1</v>
      </c>
      <c r="AT76">
        <v>1</v>
      </c>
    </row>
    <row r="77" spans="5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  <c r="AG77" s="1" t="s">
        <v>286</v>
      </c>
      <c r="AH77">
        <v>0.48999999999999994</v>
      </c>
      <c r="AQ77">
        <v>1</v>
      </c>
      <c r="AR77">
        <v>0.48999999999999994</v>
      </c>
      <c r="AS77">
        <v>0</v>
      </c>
      <c r="AT77">
        <v>0</v>
      </c>
    </row>
    <row r="78" spans="5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5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5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5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5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5:30" x14ac:dyDescent="0.35">
      <c r="AB84" s="47" t="s">
        <v>245</v>
      </c>
      <c r="AC84" s="48">
        <f ca="1">SUMPRODUCT(AC78:AC80,AD78:AD80)/($L$14+$L$15)</f>
        <v>1.9635106080862934</v>
      </c>
    </row>
    <row r="85" spans="5:30" x14ac:dyDescent="0.35">
      <c r="AB85" s="47" t="s">
        <v>277</v>
      </c>
      <c r="AC85" s="48">
        <f ca="1">SUMPRODUCT(AC74:AC77,AD74:AD77)/($G$14+$G$15)</f>
        <v>4.3260781076963388</v>
      </c>
    </row>
    <row r="86" spans="5:30" x14ac:dyDescent="0.35">
      <c r="AB86" s="47" t="s">
        <v>278</v>
      </c>
      <c r="AC86" s="48">
        <f ca="1">AD81*AC81/($J$14+$J$15)</f>
        <v>1</v>
      </c>
    </row>
    <row r="87" spans="5:30" x14ac:dyDescent="0.35">
      <c r="E87" s="34"/>
      <c r="F87" s="34"/>
      <c r="AB87" s="47" t="s">
        <v>279</v>
      </c>
      <c r="AC87" s="48">
        <f ca="1">AD82*AC82/($K$14+$K$15)</f>
        <v>0</v>
      </c>
    </row>
    <row r="88" spans="5:30" x14ac:dyDescent="0.35">
      <c r="L88" s="24"/>
      <c r="M88" s="39"/>
      <c r="N88" s="24"/>
      <c r="O88" s="24"/>
      <c r="P88" s="24"/>
      <c r="Q88" s="24"/>
      <c r="R88" s="24"/>
    </row>
    <row r="89" spans="5:30" x14ac:dyDescent="0.35"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</row>
    <row r="90" spans="5:30" x14ac:dyDescent="0.35">
      <c r="F90" s="34"/>
      <c r="G90" s="22"/>
      <c r="H90" s="22"/>
      <c r="I90" s="22"/>
      <c r="J90" s="22"/>
      <c r="K90" s="22"/>
      <c r="L90" s="22"/>
      <c r="M90" s="39"/>
      <c r="N90" s="22"/>
      <c r="O90" s="22"/>
      <c r="P90" s="22"/>
      <c r="Q90" s="22"/>
      <c r="R90" s="22"/>
    </row>
    <row r="91" spans="5:30" x14ac:dyDescent="0.35">
      <c r="G91" s="39"/>
      <c r="H91" s="39"/>
      <c r="I91" s="39"/>
      <c r="J91" s="39"/>
      <c r="K91" s="39"/>
      <c r="L91" s="39"/>
      <c r="M91" s="39"/>
      <c r="N91" s="39"/>
    </row>
    <row r="92" spans="5:30" x14ac:dyDescent="0.35">
      <c r="F92" s="34"/>
      <c r="G92" s="39"/>
      <c r="H92" s="39"/>
      <c r="I92" s="39"/>
      <c r="J92" s="39"/>
      <c r="K92" s="39"/>
      <c r="L92" s="39"/>
      <c r="M92" s="39"/>
      <c r="N92" s="39"/>
    </row>
    <row r="93" spans="5:30" x14ac:dyDescent="0.35">
      <c r="G93" s="39"/>
      <c r="H93" s="39"/>
      <c r="I93" s="39"/>
      <c r="J93" s="39"/>
      <c r="K93" s="39"/>
      <c r="L93" s="39"/>
      <c r="M93" s="39"/>
      <c r="N93" s="39"/>
    </row>
    <row r="94" spans="5:30" x14ac:dyDescent="0.35">
      <c r="F94" s="34"/>
    </row>
    <row r="95" spans="5:30" x14ac:dyDescent="0.35">
      <c r="G95" s="21"/>
      <c r="H95" s="21"/>
      <c r="I95" s="21"/>
      <c r="J95" s="21"/>
      <c r="K95" s="21"/>
      <c r="L95" s="21"/>
    </row>
    <row r="96" spans="5:30" x14ac:dyDescent="0.35">
      <c r="F96" s="34"/>
      <c r="G96" s="21"/>
      <c r="H96" s="21"/>
      <c r="I96" s="21"/>
      <c r="J96" s="21"/>
      <c r="K96" s="21"/>
      <c r="L96" s="21"/>
    </row>
  </sheetData>
  <customSheetViews>
    <customSheetView guid="{1FA5F82F-E003-4967-9CFA-E539A86F7F8F}" topLeftCell="V28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Q96"/>
  <sheetViews>
    <sheetView topLeftCell="M19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20810.56786575522</v>
      </c>
      <c r="BF3">
        <f ca="1">INT(BF$6*$E25+BF$7*($C$8+$C$9)/2+BF$8)*(BF$14+BF$15)</f>
        <v>148849.94554778948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E5">
        <f>属性开关!$AJ$24</f>
        <v>262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SUM(G46:Q46,AS44*IF(COUNTIF(INDIRECT(ADDRESS(ROW(),6)),"*雷*")&gt;0,$B$21/$D$21,1)*(1+大附魔数值!$O$10*21/1024),-J46)</f>
        <v>483203.8219567897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237289.09162964532</v>
      </c>
      <c r="U7">
        <f ca="1">INT(I$6*($E18+$E$19)/2+I$7*($C$8+$C$9)/2+I$8)*(I$14+I$15)*$D$21*IF(COUNTIF($S7,"*雷*")&gt;0,I$17*(I$13*0.25+I$9*I$10+1-I$9-I$13-I$12),I$11*(I$13*0.25+I$9*I$10+1-I$9-I$13-I$12))</f>
        <v>76096.281361011977</v>
      </c>
      <c r="V7">
        <f ca="1">INT(J$6*($E18+$E$19)/2+J$7*($C$8+$C$9)/2+J$8)*(J$14+J$15)*$D$21*IF(COUNTIF($S7,"*雷*")&gt;0,J$17*(J$13*0.25+J$9*J$10+1-J$9-J$13-J$12),J$11*(J$13*0.25+J$9*J$10+1-J$9-J$13-J$12))</f>
        <v>137765.94365921884</v>
      </c>
      <c r="W7">
        <f ca="1">INT(K$6*($E18+$E$19)/2+K$7*($C$8+$C$9)/2+K$8)*(K$14+K$15)*$D$21*IF(COUNTIF($S7,"*雷*")&gt;0,K$17*(K$13*0.25+K$9*K$10+1-K$9-K$13-K$12),K$11*(K$13*0.25+K$9*K$10+1-K$9-K$13-K$12))</f>
        <v>143785.31863904529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534409.03372301743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355051.16111518326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462036.5339261404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302269.74281175964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属性开关!E31+(E5*(1+属性开关!O31/1024))</f>
        <v>41909.88130264802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237289.09162964532</v>
      </c>
      <c r="H18">
        <f ca="1">INT(H$6*$E18+H$7*($C$8+$C$9)/2+H$8)*(H$14+H$15)*$D$21*IF(COUNTIF($F18,"*雷*")&gt;0,H$17*(H$13*0.25+H$16*(H$10+属性开关!$X$56)+1-H$16-H$13-H$12),H$11*(H$13*0.25+H$9*H$10+1-H$9-H$13-H$12))</f>
        <v>161046.36586023981</v>
      </c>
      <c r="I18">
        <f ca="1">INT(I$6*$E18+I$7*($C$8+$C$9)/2+I$8)*(I$14+I$15)*$D$21*IF(COUNTIF($F18,"*雷*")&gt;0,I$17*(I$13*0.25+I$16*(I$10+属性开关!$X$56)+1-I$16-I$13-I$12),I$11*(I$13*0.25+I$9*I$10+1-I$9-I$13-I$12))</f>
        <v>76096.281361011977</v>
      </c>
      <c r="J18">
        <f ca="1">INT(J$6*$E18+J$7*($C$8+$C$9)/2+J$8)*(J$14+J$15)*$D$21*IF(COUNTIF($F18,"*雷*")&gt;0,J$17*(J$13*0.25+J$16*(J$10+属性开关!$X$56)+1-J$16-J$13-J$12),J$11*(J$13*0.25+J$9*J$10+1-J$9-J$13-J$12))</f>
        <v>137765.94365921884</v>
      </c>
      <c r="K18">
        <f ca="1">INT(K$6*$E18+K$7*($C$8+$C$9)/2+K$8)*(K$14+K$15)*$D$21*IF(COUNTIF($F18,"*雷*")&gt;0,K$17*(K$13*0.25+K$16*(K$10+属性开关!$X$56)+1-K$16-K$13-K$12),K$11*(K$13*0.25+K$9*K$10+1-K$9-K$13-K$12))</f>
        <v>143785.31863904529</v>
      </c>
      <c r="L18">
        <f ca="1">INT(L$6*$E18+L$7*($C$8+$C$9)/2+L$8)*(L$14+L$15)*$D$21*IF(COUNTIF($F18,"*雷*")&gt;0,L$17*(L$13*0.25+L$16*(L$10+属性开关!$X$56)+1-L$16-L$13-L$12),L$11*(L$13*0.25+L$9*L$10+1-L$9-L$13-L$12))</f>
        <v>101558.63238929296</v>
      </c>
      <c r="M18">
        <f ca="1">INT(M$6*$E18+M$7*($C$8+$C$9)/2+M$8)*(M$14+M$15)*$D$21*IF(COUNTIF($F18,"*雷*")&gt;0,M$17*(M$13*0.25+M$16*(M$10+属性开关!$X$56)+1-M$16-M$13-M$12),M$11*(M$13*0.25+M$9*M$10+1-M$9-M$13-M$12))</f>
        <v>43759.745551358283</v>
      </c>
      <c r="N18">
        <f ca="1">INT(N$6*$E18+N$7*($C$8+$C$9)/2+N$8)*(N$14+N$15)*$D$21*IF(COUNTIF($F18,"*雷*")&gt;0,N$17*(N$13*0.25+N$16*(N$10+属性开关!$X$56)+1-N$16-N$13-N$12),N$11*(N$13*0.25+N$9*N$10+1-N$9-N$13-N$12))</f>
        <v>51235.135782755788</v>
      </c>
      <c r="O18">
        <f ca="1">INT(O$6*$E18+O$7*($C$8+$C$9)/2+O$8)*(O$14+O$15)*$D$21*IF(COUNTIF($F18,"*雷*")&gt;0,O$17*(O$13*0.25+O$16*(O$10+属性开关!$X$56)+1-O$16-O$13-O$12),O$11*(O$13*0.25+O$9*O$10+1-O$9-O$13-O$12))</f>
        <v>20349.325538677174</v>
      </c>
      <c r="P18">
        <f ca="1">INT(P$6*$E18+P$7*($C$8+$C$9)/2+P$8)*(P$14+P$15)*$D$21*IF(COUNTIF($F18,"*雷*")&gt;0,P$17*(P$13*0.25+P$16*(P$10+属性开关!$X$56)+1-P$16-P$13-P$12),P$11*(P$13*0.25+P$9*P$10+1-P$9-P$13-P$12))</f>
        <v>31420.451201102693</v>
      </c>
      <c r="Q18">
        <f ca="1">INT(Q$6*$E18+Q$7*($C$8+$C$9)/2+Q$8)*(Q$14+Q$15)*$D$21*IF(COUNTIF($F18,"*雷*")&gt;0,Q$17*(Q$13*0.25+Q$16*(Q$10+属性开关!$X$56)+1-Q$16-Q$13-Q$12),Q$11*(Q$13*0.25+Q$9*Q$10+1-Q$9-Q$13-Q$12))</f>
        <v>25151.67789235682</v>
      </c>
      <c r="R18">
        <f ca="1">INT(R$6*$E18+R$7*($C$8+$C$9)/2+R$8)*(R$14+R$15)*$D$21*IF(COUNTIF($F18,"*雷*")&gt;0,R$17*(R$13*0.25+R$16*(R$10+属性开关!$X$56)+1-R$16-R$13-R$12),R$11*(R$13*0.25+R$9*R$10+1-R$9-R$13-R$12))</f>
        <v>7144.4430923359378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25389.676260909226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56421.946053619184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69577.652855462962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56360.226929171848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151687.52190897011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69724.604873881428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62847.58064115158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188704.55425834251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8291.7783067782439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14087.00315076571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152396.3941956847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196823.13124872529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147209.89787933318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63430.035658103283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197681.62606460118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148798.84383437879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21058.868468802844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77286.473474076571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29751.103470712987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属性开关!E32+(E5*(1+属性开关!O32/1024))</f>
        <v>41909.88130264802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292097.38456423895</v>
      </c>
      <c r="H19">
        <f ca="1">INT(H$6*$E19+H$7*($C$8+$C$9)/2+H$8)*(H$14+H$15)*$D$21*IF(COUNTIF($F19,"*雷*")&gt;0,H$17*(H$13*0.25+H$16*(H$10+属性开关!$X$56)+1-H$16-H$13-H$12),H$11*(H$13*0.25+H$9*H$10+1-H$9-H$13-H$12))</f>
        <v>201705.07406235597</v>
      </c>
      <c r="I19">
        <f ca="1">INT(I$6*$E19+I$7*($C$8+$C$9)/2+I$8)*(I$14+I$15)*$D$21*IF(COUNTIF($F19,"*雷*")&gt;0,I$17*(I$13*0.25+I$16*(I$10+属性开关!$X$56)+1-I$16-I$13-I$12),I$11*(I$13*0.25+I$9*I$10+1-I$9-I$13-I$12))</f>
        <v>93672.762654038001</v>
      </c>
      <c r="J19">
        <f ca="1">INT(J$6*$E19+J$7*($C$8+$C$9)/2+J$8)*(J$14+J$15)*$D$21*IF(COUNTIF($F19,"*雷*")&gt;0,J$17*(J$13*0.25+J$16*(J$10+属性开关!$X$56)+1-J$16-J$13-J$12),J$11*(J$13*0.25+J$9*J$10+1-J$9-J$13-J$12))</f>
        <v>172547.14020165047</v>
      </c>
      <c r="K19">
        <f ca="1">INT(K$6*$E19+K$7*($C$8+$C$9)/2+K$8)*(K$14+K$15)*$D$21*IF(COUNTIF($F19,"*雷*")&gt;0,K$17*(K$13*0.25+K$16*(K$10+属性开关!$X$56)+1-K$16-K$13-K$12),K$11*(K$13*0.25+K$9*K$10+1-K$9-K$13-K$12))</f>
        <v>177521.49269248318</v>
      </c>
      <c r="L19">
        <f ca="1">INT(L$6*$E19+L$7*($C$8+$C$9)/2+L$8)*(L$14+L$15)*$D$21*IF(COUNTIF($F19,"*雷*")&gt;0,L$17*(L$13*0.25+L$16*(L$10+属性开关!$X$56)+1-L$16-L$13-L$12),L$11*(L$13*0.25+L$9*L$10+1-L$9-L$13-L$12))</f>
        <v>126567.33484975164</v>
      </c>
      <c r="M19">
        <f ca="1">INT(M$6*$E19+M$7*($C$8+$C$9)/2+M$8)*(M$14+M$15)*$D$21*IF(COUNTIF($F19,"*雷*")&gt;0,M$17*(M$13*0.25+M$16*(M$10+属性开关!$X$56)+1-M$16-M$13-M$12),M$11*(M$13*0.25+M$9*M$10+1-M$9-M$13-M$12))</f>
        <v>54535.535166605958</v>
      </c>
      <c r="N19">
        <f ca="1">INT(N$6*$E19+N$7*($C$8+$C$9)/2+N$8)*(N$14+N$15)*$D$21*IF(COUNTIF($F19,"*雷*")&gt;0,N$17*(N$13*0.25+N$16*(N$10+属性开关!$X$56)+1-N$16-N$13-N$12),N$11*(N$13*0.25+N$9*N$10+1-N$9-N$13-N$12))</f>
        <v>64170.258064836235</v>
      </c>
      <c r="O19">
        <f ca="1">INT(O$6*$E19+O$7*($C$8+$C$9)/2+O$8)*(O$14+O$15)*$D$21*IF(COUNTIF($F19,"*雷*")&gt;0,O$17*(O$13*0.25+O$16*(O$10+属性开关!$X$56)+1-O$16-O$13-O$12),O$11*(O$13*0.25+O$9*O$10+1-O$9-O$13-O$12))</f>
        <v>25486.835377955169</v>
      </c>
      <c r="P19">
        <f ca="1">INT(P$6*$E19+P$7*($C$8+$C$9)/2+P$8)*(P$14+P$15)*$D$21*IF(COUNTIF($F19,"*雷*")&gt;0,P$17*(P$13*0.25+P$16*(P$10+属性开关!$X$56)+1-P$16-P$13-P$12),P$11*(P$13*0.25+P$9*P$10+1-P$9-P$13-P$12))</f>
        <v>39353.042229410188</v>
      </c>
      <c r="Q19">
        <f ca="1">INT(Q$6*$E19+Q$7*($C$8+$C$9)/2+Q$8)*(Q$14+Q$15)*$D$21*IF(COUNTIF($F19,"*雷*")&gt;0,Q$17*(Q$13*0.25+Q$16*(Q$10+属性开关!$X$56)+1-Q$16-Q$13-Q$12),Q$11*(Q$13*0.25+Q$9*Q$10+1-Q$9-Q$13-Q$12))</f>
        <v>31501.617717179823</v>
      </c>
      <c r="R19">
        <f ca="1">INT(R$6*$E19+R$7*($C$8+$C$9)/2+R$8)*(R$14+R$15)*$D$21*IF(COUNTIF($F19,"*雷*")&gt;0,R$17*(R$13*0.25+R$16*(R$10+属性开关!$X$56)+1-R$16-R$13-R$12),R$11*(R$13*0.25+R$9*R$10+1-R$9-R$13-R$12))</f>
        <v>8948.1710150759063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40804.838377584885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70666.560817422491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111821.23199538596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90578.93953179961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189983.44158561257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112057.4048909836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101005.04410262167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303275.18785582652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13608.188873696006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17643.490423793213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244922.78556760689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316322.90136521822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235412.98115475001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101435.12089972405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317702.6252281706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235735.26606504686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33844.611307916937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124210.40845403285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47814.275227539838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属性开关!E33+(E5*(1+属性开关!O33/1024))</f>
        <v>54445.876022731856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304717.51362999482</v>
      </c>
      <c r="H20">
        <f ca="1">INT(H$6*$E20+H$7*($C$8+$C$9)/2+H$8)*(H$14+H$15)*$D$21*IF(COUNTIF($F20,"*雷*")&gt;0,H$17*(H$13*0.25+H$16*(H$10+属性开关!$X$56)+1-H$16-H$13-H$12),H$11*(H$13*0.25+H$9*H$10+1-H$9-H$13-H$12))</f>
        <v>161046.36586023981</v>
      </c>
      <c r="I20">
        <f ca="1">INT(I$6*$E20+I$7*($C$8+$C$9)/2+I$8)*(I$14+I$15)*$D$21*IF(COUNTIF($F20,"*雷*")&gt;0,I$17*(I$13*0.25+I$16*(I$10+属性开关!$X$56)+1-I$16-I$13-I$12),I$11*(I$13*0.25+I$9*I$10+1-I$9-I$13-I$12))</f>
        <v>98505.42906008492</v>
      </c>
      <c r="J20">
        <f ca="1">INT(J$6*$E20+J$7*($C$8+$C$9)/2+J$8)*(J$14+J$15)*$D$21*IF(COUNTIF($F20,"*雷*")&gt;0,J$17*(J$13*0.25+J$16*(J$10+属性开关!$X$56)+1-J$16-J$13-J$12),J$11*(J$13*0.25+J$9*J$10+1-J$9-J$13-J$12))</f>
        <v>176393.67448572224</v>
      </c>
      <c r="K20">
        <f ca="1">INT(K$6*$E20+K$7*($C$8+$C$9)/2+K$8)*(K$14+K$15)*$D$21*IF(COUNTIF($F20,"*雷*")&gt;0,K$17*(K$13*0.25+K$16*(K$10+属性开关!$X$56)+1-K$16-K$13-K$12),K$11*(K$13*0.25+K$9*K$10+1-K$9-K$13-K$12))</f>
        <v>183702.30840627951</v>
      </c>
      <c r="L20">
        <f ca="1">INT(L$6*$E20+L$7*($C$8+$C$9)/2+L$8)*(L$14+L$15)*$D$21*IF(COUNTIF($F20,"*雷*")&gt;0,L$17*(L$13*0.25+L$16*(L$10+属性开关!$X$56)+1-L$16-L$13-L$12),L$11*(L$13*0.25+L$9*L$10+1-L$9-L$13-L$12))</f>
        <v>129373.47086856674</v>
      </c>
      <c r="M20">
        <f ca="1">INT(M$6*$E20+M$7*($C$8+$C$9)/2+M$8)*(M$14+M$15)*$D$21*IF(COUNTIF($F20,"*雷*")&gt;0,M$17*(M$13*0.25+M$16*(M$10+属性开关!$X$56)+1-M$16-M$13-M$12),M$11*(M$13*0.25+M$9*M$10+1-M$9-M$13-M$12))</f>
        <v>56203.275092028889</v>
      </c>
      <c r="N20">
        <f ca="1">INT(N$6*$E20+N$7*($C$8+$C$9)/2+N$8)*(N$14+N$15)*$D$21*IF(COUNTIF($F20,"*雷*")&gt;0,N$17*(N$13*0.25+N$16*(N$10+属性开关!$X$56)+1-N$16-N$13-N$12),N$11*(N$13*0.25+N$9*N$10+1-N$9-N$13-N$12))</f>
        <v>66504.201846562864</v>
      </c>
      <c r="O20">
        <f ca="1">INT(O$6*$E20+O$7*($C$8+$C$9)/2+O$8)*(O$14+O$15)*$D$21*IF(COUNTIF($F20,"*雷*")&gt;0,O$17*(O$13*0.25+O$16*(O$10+属性开关!$X$56)+1-O$16-O$13-O$12),O$11*(O$13*0.25+O$9*O$10+1-O$9-O$13-O$12))</f>
        <v>23998.568373743874</v>
      </c>
      <c r="P20">
        <f ca="1">INT(P$6*$E20+P$7*($C$8+$C$9)/2+P$8)*(P$14+P$15)*$D$21*IF(COUNTIF($F20,"*雷*")&gt;0,P$17*(P$13*0.25+P$16*(P$10+属性开关!$X$56)+1-P$16-P$13-P$12),P$11*(P$13*0.25+P$9*P$10+1-P$9-P$13-P$12))</f>
        <v>40797.285188249421</v>
      </c>
      <c r="Q20">
        <f ca="1">INT(Q$6*$E20+Q$7*($C$8+$C$9)/2+Q$8)*(Q$14+Q$15)*$D$21*IF(COUNTIF($F20,"*雷*")&gt;0,Q$17*(Q$13*0.25+Q$16*(Q$10+属性开关!$X$56)+1-Q$16-Q$13-Q$12),Q$11*(Q$13*0.25+Q$9*Q$10+1-Q$9-Q$13-Q$12))</f>
        <v>32652.18777385704</v>
      </c>
      <c r="R20">
        <f ca="1">INT(R$6*$E20+R$7*($C$8+$C$9)/2+R$8)*(R$14+R$15)*$D$21*IF(COUNTIF($F20,"*雷*")&gt;0,R$17*(R$13*0.25+R$16*(R$10+属性开关!$X$56)+1-R$16-R$13-R$12),R$11*(R$13*0.25+R$9*R$10+1-R$9-R$13-R$12))</f>
        <v>9262.9419426053319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30823.598649844149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73135.512802677229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90276.422550901465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73178.802879852839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197025.24482754455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90423.374569319945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81606.253464211331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245109.36213692219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10766.9518860523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18295.649176169085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194803.59608878658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252139.80934546635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187527.68707886277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81467.012622492854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253108.91410218389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190107.66439361675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24835.353577772523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100319.34439917974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38623.213177375117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属性开关!E34+(E5*(1+属性开关!O34/1024))</f>
        <v>54445.876022731856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375100.21278668573</v>
      </c>
      <c r="H21">
        <f ca="1">INT(H$6*$E21+H$7*($C$8+$C$9)/2+H$8)*(H$14+H$15)*$D$21*IF(COUNTIF($F21,"*雷*")&gt;0,H$17*(H$13*0.25+H$16*(H$10+属性开关!$X$56)+1-H$16-H$13-H$12),H$11*(H$13*0.25+H$9*H$10+1-H$9-H$13-H$12))</f>
        <v>201705.07406235597</v>
      </c>
      <c r="I21">
        <f ca="1">INT(I$6*$E21+I$7*($C$8+$C$9)/2+I$8)*(I$14+I$15)*$D$21*IF(COUNTIF($F21,"*雷*")&gt;0,I$17*(I$13*0.25+I$16*(I$10+属性开关!$X$56)+1-I$16-I$13-I$12),I$11*(I$13*0.25+I$9*I$10+1-I$9-I$13-I$12))</f>
        <v>121257.90526745922</v>
      </c>
      <c r="J21">
        <f ca="1">INT(J$6*$E21+J$7*($C$8+$C$9)/2+J$8)*(J$14+J$15)*$D$21*IF(COUNTIF($F21,"*雷*")&gt;0,J$17*(J$13*0.25+J$16*(J$10+属性开关!$X$56)+1-J$16-J$13-J$12),J$11*(J$13*0.25+J$9*J$10+1-J$9-J$13-J$12))</f>
        <v>220927.05405814946</v>
      </c>
      <c r="K21">
        <f ca="1">INT(K$6*$E21+K$7*($C$8+$C$9)/2+K$8)*(K$14+K$15)*$D$21*IF(COUNTIF($F21,"*雷*")&gt;0,K$17*(K$13*0.25+K$16*(K$10+属性开关!$X$56)+1-K$16-K$13-K$12),K$11*(K$13*0.25+K$9*K$10+1-K$9-K$13-K$12))</f>
        <v>226804.15711428554</v>
      </c>
      <c r="L21">
        <f ca="1">INT(L$6*$E21+L$7*($C$8+$C$9)/2+L$8)*(L$14+L$15)*$D$21*IF(COUNTIF($F21,"*雷*")&gt;0,L$17*(L$13*0.25+L$16*(L$10+属性开关!$X$56)+1-L$16-L$13-L$12),L$11*(L$13*0.25+L$9*L$10+1-L$9-L$13-L$12))</f>
        <v>161231.5469681609</v>
      </c>
      <c r="M21">
        <f ca="1">INT(M$6*$E21+M$7*($C$8+$C$9)/2+M$8)*(M$14+M$15)*$D$21*IF(COUNTIF($F21,"*雷*")&gt;0,M$17*(M$13*0.25+M$16*(M$10+属性开关!$X$56)+1-M$16-M$13-M$12),M$11*(M$13*0.25+M$9*M$10+1-M$9-M$13-M$12))</f>
        <v>70043.270285072111</v>
      </c>
      <c r="N21">
        <f ca="1">INT(N$6*$E21+N$7*($C$8+$C$9)/2+N$8)*(N$14+N$15)*$D$21*IF(COUNTIF($F21,"*雷*")&gt;0,N$17*(N$13*0.25+N$16*(N$10+属性开关!$X$56)+1-N$16-N$13-N$12),N$11*(N$13*0.25+N$9*N$10+1-N$9-N$13-N$12))</f>
        <v>83294.241923844791</v>
      </c>
      <c r="O21">
        <f ca="1">INT(O$6*$E21+O$7*($C$8+$C$9)/2+O$8)*(O$14+O$15)*$D$21*IF(COUNTIF($F21,"*雷*")&gt;0,O$17*(O$13*0.25+O$16*(O$10+属性开关!$X$56)+1-O$16-O$13-O$12),O$11*(O$13*0.25+O$9*O$10+1-O$9-O$13-O$12))</f>
        <v>30057.387419827581</v>
      </c>
      <c r="P21">
        <f ca="1">INT(P$6*$E21+P$7*($C$8+$C$9)/2+P$8)*(P$14+P$15)*$D$21*IF(COUNTIF($F21,"*雷*")&gt;0,P$17*(P$13*0.25+P$16*(P$10+属性开关!$X$56)+1-P$16-P$13-P$12),P$11*(P$13*0.25+P$9*P$10+1-P$9-P$13-P$12))</f>
        <v>51097.206611791938</v>
      </c>
      <c r="Q21">
        <f ca="1">INT(Q$6*$E21+Q$7*($C$8+$C$9)/2+Q$8)*(Q$14+Q$15)*$D$21*IF(COUNTIF($F21,"*雷*")&gt;0,Q$17*(Q$13*0.25+Q$16*(Q$10+属性开关!$X$56)+1-Q$16-Q$13-Q$12),Q$11*(Q$13*0.25+Q$9*Q$10+1-Q$9-Q$13-Q$12))</f>
        <v>40895.750227231991</v>
      </c>
      <c r="R21">
        <f ca="1">INT(R$6*$E21+R$7*($C$8+$C$9)/2+R$8)*(R$14+R$15)*$D$21*IF(COUNTIF($F21,"*雷*")&gt;0,R$17*(R$13*0.25+R$16*(R$10+属性开关!$X$56)+1-R$16-R$13-R$12),R$11*(R$13*0.25+R$9*R$10+1-R$9-R$13-R$12))</f>
        <v>11601.518485613904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49537.928258617067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91599.732459994717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145087.11311012899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117608.79475154857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246767.39141435796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145323.28600572667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131152.91226986769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393925.77534471755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17670.360860905206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22914.675859873965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313077.21973649954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405224.70878202451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299887.79627085058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130279.23110817638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406782.19862799358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301178.95873381587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39913.96260343225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161227.52382850638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62073.023504922785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属性开关!E35+(E5*(1+属性开关!O35/1024))</f>
        <v>49426.42533553666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277719.34764277097</v>
      </c>
      <c r="H22">
        <f ca="1">INT(H$6*$E22+H$7*($C$8+$C$9)/2+H$8)*(H$14+H$15)*$D$21*IF(COUNTIF($F22,"*雷*")&gt;0,H$17*(H$13*0.25+H$16*(H$10+属性开关!$X$56)+1-H$16-H$13-H$12),H$11*(H$13*0.25+H$9*H$10+1-H$9-H$13-H$12))</f>
        <v>161046.36586023981</v>
      </c>
      <c r="I22">
        <f ca="1">INT(I$6*$E22+I$7*($C$8+$C$9)/2+I$8)*(I$14+I$15)*$D$21*IF(COUNTIF($F22,"*雷*")&gt;0,I$17*(I$13*0.25+I$16*(I$10+属性开关!$X$56)+1-I$16-I$13-I$12),I$11*(I$13*0.25+I$9*I$10+1-I$9-I$13-I$12))</f>
        <v>89530.948039517942</v>
      </c>
      <c r="J22">
        <f ca="1">INT(J$6*$E22+J$7*($C$8+$C$9)/2+J$8)*(J$14+J$15)*$D$21*IF(COUNTIF($F22,"*雷*")&gt;0,J$17*(J$13*0.25+J$16*(J$10+属性开关!$X$56)+1-J$16-J$13-J$12),J$11*(J$13*0.25+J$9*J$10+1-J$9-J$13-J$12))</f>
        <v>160927.47106237701</v>
      </c>
      <c r="K22">
        <f ca="1">INT(K$6*$E22+K$7*($C$8+$C$9)/2+K$8)*(K$14+K$15)*$D$21*IF(COUNTIF($F22,"*雷*")&gt;0,K$17*(K$13*0.25+K$16*(K$10+属性开关!$X$56)+1-K$16-K$13-K$12),K$11*(K$13*0.25+K$9*K$10+1-K$9-K$13-K$12))</f>
        <v>167719.59119292596</v>
      </c>
      <c r="L22">
        <f ca="1">INT(L$6*$E22+L$7*($C$8+$C$9)/2+L$8)*(L$14+L$15)*$D$21*IF(COUNTIF($F22,"*雷*")&gt;0,L$17*(L$13*0.25+L$16*(L$10+属性开关!$X$56)+1-L$16-L$13-L$12),L$11*(L$13*0.25+L$9*L$10+1-L$9-L$13-L$12))</f>
        <v>118235.95141031787</v>
      </c>
      <c r="M22">
        <f ca="1">INT(M$6*$E22+M$7*($C$8+$C$9)/2+M$8)*(M$14+M$15)*$D$21*IF(COUNTIF($F22,"*雷*")&gt;0,M$17*(M$13*0.25+M$16*(M$10+属性开关!$X$56)+1-M$16-M$13-M$12),M$11*(M$13*0.25+M$9*M$10+1-M$9-M$13-M$12))</f>
        <v>51220.258082273853</v>
      </c>
      <c r="N22">
        <f ca="1">INT(N$6*$E22+N$7*($C$8+$C$9)/2+N$8)*(N$14+N$15)*$D$21*IF(COUNTIF($F22,"*雷*")&gt;0,N$17*(N$13*0.25+N$16*(N$10+属性开关!$X$56)+1-N$16-N$13-N$12),N$11*(N$13*0.25+N$9*N$10+1-N$9-N$13-N$12))</f>
        <v>60390.193366258929</v>
      </c>
      <c r="O22">
        <f ca="1">INT(O$6*$E22+O$7*($C$8+$C$9)/2+O$8)*(O$14+O$15)*$D$21*IF(COUNTIF($F22,"*雷*")&gt;0,O$17*(O$13*0.25+O$16*(O$10+属性开关!$X$56)+1-O$16-O$13-O$12),O$11*(O$13*0.25+O$9*O$10+1-O$9-O$13-O$12))</f>
        <v>22536.263307114288</v>
      </c>
      <c r="P22">
        <f ca="1">INT(P$6*$E22+P$7*($C$8+$C$9)/2+P$8)*(P$14+P$15)*$D$21*IF(COUNTIF($F22,"*雷*")&gt;0,P$17*(P$13*0.25+P$16*(P$10+属性开关!$X$56)+1-P$16-P$13-P$12),P$11*(P$13*0.25+P$9*P$10+1-P$9-P$13-P$12))</f>
        <v>37043.041463261121</v>
      </c>
      <c r="Q22">
        <f ca="1">INT(Q$6*$E22+Q$7*($C$8+$C$9)/2+Q$8)*(Q$14+Q$15)*$D$21*IF(COUNTIF($F22,"*雷*")&gt;0,Q$17*(Q$13*0.25+Q$16*(Q$10+属性开关!$X$56)+1-Q$16-Q$13-Q$12),Q$11*(Q$13*0.25+Q$9*Q$10+1-Q$9-Q$13-Q$12))</f>
        <v>29649.430999344509</v>
      </c>
      <c r="R22">
        <f ca="1">INT(R$6*$E22+R$7*($C$8+$C$9)/2+R$8)*(R$14+R$15)*$D$21*IF(COUNTIF($F22,"*雷*")&gt;0,R$17*(R$13*0.25+R$16*(R$10+属性开关!$X$56)+1-R$16-R$13-R$12),R$11*(R$13*0.25+R$9*R$10+1-R$9-R$13-R$12))</f>
        <v>8414.8666452885554</v>
      </c>
      <c r="T22" s="34">
        <f ca="1">(G21+I21)/(G14+G15)*(G14+D38)</f>
        <v>481236.69706885773</v>
      </c>
      <c r="U22">
        <f ca="1">K20/(K14+K15)*(K14+D35)</f>
        <v>164850.58095883453</v>
      </c>
      <c r="V22">
        <f ca="1">T22+U22</f>
        <v>646087.27802769223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28647.387860231192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66443.217941635448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81987.668253589625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66443.777226718346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178872.31375681775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82134.620272008106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74095.189062125355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222524.98339615899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9775.9251461255117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16610.467611216838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177823.04106141583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229990.8152016208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171383.78021929428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74244.097072338642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230916.31584048577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173567.65971727687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23322.06066784848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91096.568914854215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35071.349644522925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属性开关!E36+(E5*(1+属性开关!O36/1024))</f>
        <v>61962.420055620489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345147.76964312047</v>
      </c>
      <c r="H23">
        <f ca="1">INT(H$6*$E23+H$7*($C$8+$C$9)/2+H$8)*(H$14+H$15)*$D$21*IF(COUNTIF($F23,"*雷*")&gt;0,H$17*(H$13*0.25+H$16*(H$10+属性开关!$X$56)+1-H$16-H$13-H$12),H$11*(H$13*0.25+H$9*H$10+1-H$9-H$13-H$12))</f>
        <v>161046.36586023981</v>
      </c>
      <c r="I23">
        <f ca="1">INT(I$6*$E23+I$7*($C$8+$C$9)/2+I$8)*(I$14+I$15)*$D$21*IF(COUNTIF($F23,"*雷*")&gt;0,I$17*(I$13*0.25+I$16*(I$10+属性开关!$X$56)+1-I$16-I$13-I$12),I$11*(I$13*0.25+I$9*I$10+1-I$9-I$13-I$12))</f>
        <v>111940.0957385909</v>
      </c>
      <c r="J23">
        <f ca="1">INT(J$6*$E23+J$7*($C$8+$C$9)/2+J$8)*(J$14+J$15)*$D$21*IF(COUNTIF($F23,"*雷*")&gt;0,J$17*(J$13*0.25+J$16*(J$10+属性开关!$X$56)+1-J$16-J$13-J$12),J$11*(J$13*0.25+J$9*J$10+1-J$9-J$13-J$12))</f>
        <v>199553.31300228741</v>
      </c>
      <c r="K23">
        <f ca="1">INT(K$6*$E23+K$7*($C$8+$C$9)/2+K$8)*(K$14+K$15)*$D$21*IF(COUNTIF($F23,"*雷*")&gt;0,K$17*(K$13*0.25+K$16*(K$10+属性开关!$X$56)+1-K$16-K$13-K$12),K$11*(K$13*0.25+K$9*K$10+1-K$9-K$13-K$12))</f>
        <v>207636.58096016018</v>
      </c>
      <c r="L23">
        <f ca="1">INT(L$6*$E23+L$7*($C$8+$C$9)/2+L$8)*(L$14+L$15)*$D$21*IF(COUNTIF($F23,"*雷*")&gt;0,L$17*(L$13*0.25+L$16*(L$10+属性开关!$X$56)+1-L$16-L$13-L$12),L$11*(L$13*0.25+L$9*L$10+1-L$9-L$13-L$12))</f>
        <v>146050.78988959163</v>
      </c>
      <c r="M23">
        <f ca="1">INT(M$6*$E23+M$7*($C$8+$C$9)/2+M$8)*(M$14+M$15)*$D$21*IF(COUNTIF($F23,"*雷*")&gt;0,M$17*(M$13*0.25+M$16*(M$10+属性开关!$X$56)+1-M$16-M$13-M$12),M$11*(M$13*0.25+M$9*M$10+1-M$9-M$13-M$12))</f>
        <v>63663.787622944452</v>
      </c>
      <c r="N23">
        <f ca="1">INT(N$6*$E23+N$7*($C$8+$C$9)/2+N$8)*(N$14+N$15)*$D$21*IF(COUNTIF($F23,"*雷*")&gt;0,N$17*(N$13*0.25+N$16*(N$10+属性开关!$X$56)+1-N$16-N$13-N$12),N$11*(N$13*0.25+N$9*N$10+1-N$9-N$13-N$12))</f>
        <v>75659.259430065984</v>
      </c>
      <c r="O23">
        <f ca="1">INT(O$6*$E23+O$7*($C$8+$C$9)/2+O$8)*(O$14+O$15)*$D$21*IF(COUNTIF($F23,"*雷*")&gt;0,O$17*(O$13*0.25+O$16*(O$10+属性开关!$X$56)+1-O$16-O$13-O$12),O$11*(O$13*0.25+O$9*O$10+1-O$9-O$13-O$12))</f>
        <v>26185.506142180984</v>
      </c>
      <c r="P23">
        <f ca="1">INT(P$6*$E23+P$7*($C$8+$C$9)/2+P$8)*(P$14+P$15)*$D$21*IF(COUNTIF($F23,"*雷*")&gt;0,P$17*(P$13*0.25+P$16*(P$10+属性开关!$X$56)+1-P$16-P$13-P$12),P$11*(P$13*0.25+P$9*P$10+1-P$9-P$13-P$12))</f>
        <v>46418.27993671257</v>
      </c>
      <c r="Q23">
        <f ca="1">INT(Q$6*$E23+Q$7*($C$8+$C$9)/2+Q$8)*(Q$14+Q$15)*$D$21*IF(COUNTIF($F23,"*雷*")&gt;0,Q$17*(Q$13*0.25+Q$16*(Q$10+属性开关!$X$56)+1-Q$16-Q$13-Q$12),Q$11*(Q$13*0.25+Q$9*Q$10+1-Q$9-Q$13-Q$12))</f>
        <v>37149.940880844726</v>
      </c>
      <c r="R23">
        <f ca="1">INT(R$6*$E23+R$7*($C$8+$C$9)/2+R$8)*(R$14+R$15)*$D$21*IF(COUNTIF($F23,"*雷*")&gt;0,R$17*(R$13*0.25+R$16*(R$10+属性开关!$X$56)+1-R$16-R$13-R$12),R$11*(R$13*0.25+R$9*R$10+1-R$9-R$13-R$12))</f>
        <v>10531.676102535406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34081.310249166112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83157.825321211436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102686.43794902814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83262.353177399331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224210.03667539218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102833.38996744661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92853.861885185092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278928.14012846432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12251.045541609725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20819.113636620215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220232.45223828396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285310.08898500714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211701.56941882396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92281.074036728198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286340.89349723532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214876.48027651486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27098.545776818159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114129.43983995737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43943.459351185054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属性开关!E37+(E5*(1+属性开关!O37/1024))</f>
        <v>61962.420055620489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424868.92300252937</v>
      </c>
      <c r="H24">
        <f ca="1">INT(H$6*$E24+H$7*($C$8+$C$9)/2+H$8)*(H$14+H$15)*$D$21*IF(COUNTIF($F24,"*雷*")&gt;0,H$17*(H$13*0.25+H$16*(H$10+属性开关!$X$56)+1-H$16-H$13-H$12),H$11*(H$13*0.25+H$9*H$10+1-H$9-H$13-H$12))</f>
        <v>201705.07406235597</v>
      </c>
      <c r="I24">
        <f ca="1">INT(I$6*$E24+I$7*($C$8+$C$9)/2+I$8)*(I$14+I$15)*$D$21*IF(COUNTIF($F24,"*雷*")&gt;0,I$17*(I$13*0.25+I$16*(I$10+属性开关!$X$56)+1-I$16-I$13-I$12),I$11*(I$13*0.25+I$9*I$10+1-I$9-I$13-I$12))</f>
        <v>137795.66927647134</v>
      </c>
      <c r="J24">
        <f ca="1">INT(J$6*$E24+J$7*($C$8+$C$9)/2+J$8)*(J$14+J$15)*$D$21*IF(COUNTIF($F24,"*雷*")&gt;0,J$17*(J$13*0.25+J$16*(J$10+属性开关!$X$56)+1-J$16-J$13-J$12),J$11*(J$13*0.25+J$9*J$10+1-J$9-J$13-J$12))</f>
        <v>249933.71047842002</v>
      </c>
      <c r="K24">
        <f ca="1">INT(K$6*$E24+K$7*($C$8+$C$9)/2+K$8)*(K$14+K$15)*$D$21*IF(COUNTIF($F24,"*雷*")&gt;0,K$17*(K$13*0.25+K$16*(K$10+属性开关!$X$56)+1-K$16-K$13-K$12),K$11*(K$13*0.25+K$9*K$10+1-K$9-K$13-K$12))</f>
        <v>256354.09886417881</v>
      </c>
      <c r="L24">
        <f ca="1">INT(L$6*$E24+L$7*($C$8+$C$9)/2+L$8)*(L$14+L$15)*$D$21*IF(COUNTIF($F24,"*雷*")&gt;0,L$17*(L$13*0.25+L$16*(L$10+属性开关!$X$56)+1-L$16-L$13-L$12),L$11*(L$13*0.25+L$9*L$10+1-L$9-L$13-L$12))</f>
        <v>182015.63760891597</v>
      </c>
      <c r="M24">
        <f ca="1">INT(M$6*$E24+M$7*($C$8+$C$9)/2+M$8)*(M$14+M$15)*$D$21*IF(COUNTIF($F24,"*雷*")&gt;0,M$17*(M$13*0.25+M$16*(M$10+属性开关!$X$56)+1-M$16-M$13-M$12),M$11*(M$13*0.25+M$9*M$10+1-M$9-M$13-M$12))</f>
        <v>79340.925889882215</v>
      </c>
      <c r="N24">
        <f ca="1">INT(N$6*$E24+N$7*($C$8+$C$9)/2+N$8)*(N$14+N$15)*$D$21*IF(COUNTIF($F24,"*雷*")&gt;0,N$17*(N$13*0.25+N$16*(N$10+属性开关!$X$56)+1-N$16-N$13-N$12),N$11*(N$13*0.25+N$9*N$10+1-N$9-N$13-N$12))</f>
        <v>94760.638933561713</v>
      </c>
      <c r="O24">
        <f ca="1">INT(O$6*$E24+O$7*($C$8+$C$9)/2+O$8)*(O$14+O$15)*$D$21*IF(COUNTIF($F24,"*雷*")&gt;0,O$17*(O$13*0.25+O$16*(O$10+属性开关!$X$56)+1-O$16-O$13-O$12),O$11*(O$13*0.25+O$9*O$10+1-O$9-O$13-O$12))</f>
        <v>32796.452298417782</v>
      </c>
      <c r="P24">
        <f ca="1">INT(P$6*$E24+P$7*($C$8+$C$9)/2+P$8)*(P$14+P$15)*$D$21*IF(COUNTIF($F24,"*雷*")&gt;0,P$17*(P$13*0.25+P$16*(P$10+属性开关!$X$56)+1-P$16-P$13-P$12),P$11*(P$13*0.25+P$9*P$10+1-P$9-P$13-P$12))</f>
        <v>58137.310596670417</v>
      </c>
      <c r="Q24">
        <f ca="1">INT(Q$6*$E24+Q$7*($C$8+$C$9)/2+Q$8)*(Q$14+Q$15)*$D$21*IF(COUNTIF($F24,"*雷*")&gt;0,Q$17*(Q$13*0.25+Q$16*(Q$10+属性开关!$X$56)+1-Q$16-Q$13-Q$12),Q$11*(Q$13*0.25+Q$9*Q$10+1-Q$9-Q$13-Q$12))</f>
        <v>46529.032410988009</v>
      </c>
      <c r="R24">
        <f ca="1">INT(R$6*$E24+R$7*($C$8+$C$9)/2+R$8)*(R$14+R$15)*$D$21*IF(COUNTIF($F24,"*雷*")&gt;0,R$17*(R$13*0.25+R$16*(R$10+属性开关!$X$56)+1-R$16-R$13-R$12),R$11*(R$13*0.25+R$9*R$10+1-R$9-R$13-R$12))</f>
        <v>13190.564698033388</v>
      </c>
      <c r="T24">
        <f ca="1">K21</f>
        <v>226804.15711428554</v>
      </c>
      <c r="U24">
        <f ca="1">G20+I20</f>
        <v>403222.94269007974</v>
      </c>
      <c r="V24">
        <f ca="1">T24+U24</f>
        <v>630027.09980436531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54773.536382371705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104152.3366620751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165031.78146194847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133814.50119441198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280815.4149369651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165267.95435754614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149229.42648122934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448277.38486866205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20106.005667589194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26075.228928986602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353945.02579453314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458534.08877260989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338545.83346614271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147572.70439081156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460190.73894365272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340419.0714377166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43551.235916824277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183422.32090465361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70623.419461940968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(154/1024*(属性开关!D31))+(属性开关!E31+(E5*(1+(154+属性开关!O31)/1024)))</f>
        <v>45680.62544327302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257569.92427761623</v>
      </c>
      <c r="H25">
        <f ca="1">INT(H$6*$E25+H$7*($C$8+$C$9)/2+H$8)*(H$14+H$15)*$D$21*IF(COUNTIF($F25,"*雷*")&gt;0,H$17*(H$13*0.25+H$16*(H$10+属性开关!$X$56)+1-H$16-H$13-H$12),H$11*(H$13*0.25+H$9*H$10+1-H$9-H$13-H$12))</f>
        <v>161046.36586023981</v>
      </c>
      <c r="I25">
        <f ca="1">INT(I$6*$E25+I$7*($C$8+$C$9)/2+I$8)*(I$14+I$15)*$D$21*IF(COUNTIF($F25,"*雷*")&gt;0,I$17*(I$13*0.25+I$16*(I$10+属性开关!$X$56)+1-I$16-I$13-I$12),I$11*(I$13*0.25+I$9*I$10+1-I$9-I$13-I$12))</f>
        <v>82836.804573703121</v>
      </c>
      <c r="J25">
        <f ca="1">INT(J$6*$E25+J$7*($C$8+$C$9)/2+J$8)*(J$14+J$15)*$D$21*IF(COUNTIF($F25,"*雷*")&gt;0,J$17*(J$13*0.25+J$16*(J$10+属性开关!$X$56)+1-J$16-J$13-J$12),J$11*(J$13*0.25+J$9*J$10+1-J$9-J$13-J$12))</f>
        <v>149386.37397925058</v>
      </c>
      <c r="K25">
        <f ca="1">INT(K$6*$E25+K$7*($C$8+$C$9)/2+K$8)*(K$14+K$15)*$D$21*IF(COUNTIF($F25,"*雷*")&gt;0,K$17*(K$13*0.25+K$16*(K$10+属性开关!$X$56)+1-K$16-K$13-K$12),K$11*(K$13*0.25+K$9*K$10+1-K$9-K$13-K$12))</f>
        <v>155792.25818213529</v>
      </c>
      <c r="L25">
        <f ca="1">INT(L$6*$E25+L$7*($C$8+$C$9)/2+L$8)*(L$14+L$15)*$D$21*IF(COUNTIF($F25,"*雷*")&gt;0,L$17*(L$13*0.25+L$16*(L$10+属性开关!$X$56)+1-L$16-L$13-L$12),L$11*(L$13*0.25+L$9*L$10+1-L$9-L$13-L$12))</f>
        <v>109925.31786723936</v>
      </c>
      <c r="M25">
        <f ca="1">INT(M$6*$E25+M$7*($C$8+$C$9)/2+M$8)*(M$14+M$15)*$D$21*IF(COUNTIF($F25,"*雷*")&gt;0,M$17*(M$13*0.25+M$16*(M$10+属性开关!$X$56)+1-M$16-M$13-M$12),M$11*(M$13*0.25+M$9*M$10+1-M$9-M$13-M$12))</f>
        <v>47502.146402704107</v>
      </c>
      <c r="N25">
        <f ca="1">INT(N$6*$E25+N$7*($C$8+$C$9)/2+N$8)*(N$14+N$15)*$D$21*IF(COUNTIF($F25,"*雷*")&gt;0,N$17*(N$13*0.25+N$16*(N$10+属性开关!$X$56)+1-N$16-N$13-N$12),N$11*(N$13*0.25+N$9*N$10+1-N$9-N$13-N$12))</f>
        <v>55830.215225155407</v>
      </c>
      <c r="O25">
        <f ca="1">INT(O$6*$E25+O$7*($C$8+$C$9)/2+O$8)*(O$14+O$15)*$D$21*IF(COUNTIF($F25,"*雷*")&gt;0,O$17*(O$13*0.25+O$16*(O$10+属性开关!$X$56)+1-O$16-O$13-O$12),O$11*(O$13*0.25+O$9*O$10+1-O$9-O$13-O$12))</f>
        <v>21446.520040899883</v>
      </c>
      <c r="P25">
        <f ca="1">INT(P$6*$E25+P$7*($C$8+$C$9)/2+P$8)*(P$14+P$15)*$D$21*IF(COUNTIF($F25,"*雷*")&gt;0,P$17*(P$13*0.25+P$16*(P$10+属性开关!$X$56)+1-P$16-P$13-P$12),P$11*(P$13*0.25+P$9*P$10+1-P$9-P$13-P$12))</f>
        <v>34241.319414353573</v>
      </c>
      <c r="Q25">
        <f ca="1">INT(Q$6*$E25+Q$7*($C$8+$C$9)/2+Q$8)*(Q$14+Q$15)*$D$21*IF(COUNTIF($F25,"*雷*")&gt;0,Q$17*(Q$13*0.25+Q$16*(Q$10+属性开关!$X$56)+1-Q$16-Q$13-Q$12),Q$11*(Q$13*0.25+Q$9*Q$10+1-Q$9-Q$13-Q$12))</f>
        <v>27407.734257479413</v>
      </c>
      <c r="R25">
        <f ca="1">INT(R$6*$E25+R$7*($C$8+$C$9)/2+R$8)*(R$14+R$15)*$D$21*IF(COUNTIF($F25,"*雷*")&gt;0,R$17*(R$13*0.25+R$16*(R$10+属性开关!$X$56)+1-R$16-R$13-R$12),R$11*(R$13*0.25+R$9*R$10+1-R$9-R$13-R$12))</f>
        <v>7781.3442618347899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34677.137119488485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83217.861665313074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97270.566698583512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78812.253105073178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165324.52259113654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97459.133033503444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87886.743132736723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263912.35741905816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16043.920963834807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27260.543175529696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211918.43217991863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273913.48088449001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204459.12694795991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88353.143480384344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275057.83712821687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206880.46769108323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28479.374701793316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108067.1022109098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41600.433378242182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属性开关!E39+(E5*(1+属性开关!O39/1024))</f>
        <v>49426.42533553666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3.3187966902140133E-2</v>
      </c>
      <c r="M26" s="40">
        <f t="shared" ca="1" si="38"/>
        <v>0</v>
      </c>
      <c r="N26" s="40">
        <f t="shared" ca="1" si="38"/>
        <v>7.4133182724068991E-2</v>
      </c>
      <c r="O26" s="40">
        <f t="shared" ca="1" si="38"/>
        <v>3.1508627037015575E-2</v>
      </c>
      <c r="P26" s="40">
        <f t="shared" ca="1" si="38"/>
        <v>3.5224715986087269E-3</v>
      </c>
      <c r="Q26" s="40">
        <f t="shared" ca="1" si="38"/>
        <v>5.5815604993133157E-3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3997.772369683621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274005.81023244374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19618.876706252398</v>
      </c>
      <c r="BH26">
        <f ca="1">SUMPRODUCT(BH18:BH25,$BY$18:$BY$25)</f>
        <v>25443.11831516408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85460.399422174392</v>
      </c>
      <c r="H27">
        <f ca="1">(H18*$AC$38)/$AD$37/$E$2*$D$22+(H18*$AF$42)/$AF$41/$E$2*$C$22</f>
        <v>55648.890435406429</v>
      </c>
      <c r="I27">
        <f t="shared" ca="1" si="41"/>
        <v>27406.310821081915</v>
      </c>
      <c r="J27">
        <f ca="1">J18*$AC$39/$AD$37/$E$2*$D$22+J18*$AE$43/$AF$41/$E$2*$C$22</f>
        <v>16433.544567252688</v>
      </c>
      <c r="K27">
        <f t="shared" ref="K27:K33" ca="1" si="42">K18*$AC$40/$AD$37/$E$2*$D$22+K18*$AE$44/$AF$41/$E$2*$C$22</f>
        <v>17151.571565584534</v>
      </c>
      <c r="L27">
        <f ca="1">L18*$AC$37/$AD$37/$E$2*$D$22+L18*$AE$41/$AF$41/$E$2*$C$22</f>
        <v>12450.688829067363</v>
      </c>
      <c r="M27">
        <f ca="1">M18*$AE$41/$AF$41/$E$2*$C$22</f>
        <v>0</v>
      </c>
      <c r="N27">
        <f ca="1">N18/$E$3</f>
        <v>27325.405750803086</v>
      </c>
      <c r="O27">
        <f ca="1">O18/$F$3</f>
        <v>12522.661869955184</v>
      </c>
      <c r="P27">
        <f ca="1">P18/$E$45*大附魔数值!$S$9</f>
        <v>1298.0712617913916</v>
      </c>
      <c r="Q27">
        <f ca="1">Q18/$E$47*大附魔数值!$S$10</f>
        <v>2057.0975942440305</v>
      </c>
      <c r="R27">
        <f ca="1">R18/45</f>
        <v>158.76540205190972</v>
      </c>
      <c r="S27">
        <f ca="1">SUM(G27:R27,AS27)*IF(COUNTIF(F27,"*雷*")&gt;0,$B$21/$D$21,1)</f>
        <v>257913.40751941295</v>
      </c>
      <c r="T27" s="15">
        <f ca="1">AQ27</f>
        <v>0.45454545454545447</v>
      </c>
      <c r="U27">
        <f ca="1">U28*(1+非侠士/1024)*(1+C14)*(1-B24*0.05)+AQ9</f>
        <v>538169.6423535035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105199.77544519224</v>
      </c>
      <c r="H28">
        <f t="shared" ref="H28:H33" ca="1" si="45">(H19*$AC$38)/$AD$37/$E$2*$D$22+(H19*$AF$42)/$AF$41/$E$2*$C$22</f>
        <v>69698.335052792434</v>
      </c>
      <c r="I28">
        <f t="shared" ca="1" si="41"/>
        <v>33736.534858867897</v>
      </c>
      <c r="J28">
        <f t="shared" ref="J28:J33" ca="1" si="46">J19*$AC$39/$AD$37/$E$2*$D$22+J19*$AE$43/$AF$41/$E$2*$C$22</f>
        <v>20582.453421652106</v>
      </c>
      <c r="K28">
        <f t="shared" ca="1" si="42"/>
        <v>21175.82389609631</v>
      </c>
      <c r="L28">
        <f t="shared" ref="L28:L33" ca="1" si="47">L19*$AC$37/$AD$37/$E$2*$D$22+L19*$AE$41/$AF$41/$E$2*$C$22</f>
        <v>15516.657373822303</v>
      </c>
      <c r="M28">
        <f t="shared" ref="M28:M33" ca="1" si="48">M19*$AE$41/$AF$41/$E$2*$C$22</f>
        <v>0</v>
      </c>
      <c r="N28">
        <f t="shared" ref="N28:N33" ca="1" si="49">N19/$E$3</f>
        <v>34224.137634579325</v>
      </c>
      <c r="O28">
        <f t="shared" ref="O28:O33" ca="1" si="50">O19/$F$3</f>
        <v>15684.206386433951</v>
      </c>
      <c r="P28">
        <f ca="1">P19/$E$45*大附魔数值!$S$9</f>
        <v>1625.7899307400035</v>
      </c>
      <c r="Q28">
        <f ca="1">Q19/$E$47*大附魔数值!$S$10</f>
        <v>2576.4444940072158</v>
      </c>
      <c r="R28">
        <f t="shared" ref="R28:R33" ca="1" si="51">R19/45</f>
        <v>198.84824477946458</v>
      </c>
      <c r="S28">
        <f t="shared" ref="S28:S33" ca="1" si="52">SUM(G28:R28,AS28)*IF(COUNTIF(F28,"*雷*")&gt;0,$B$21/$D$21,1)</f>
        <v>419598.43343960692</v>
      </c>
      <c r="T28" s="15">
        <f t="shared" ref="T28:T33" ca="1" si="53">AQ28</f>
        <v>0</v>
      </c>
      <c r="U28">
        <f ca="1">U33+U39+AW29+BI26+AT32+BB3+BC3+AY26+AZ26+BF27+CL26+AR26+AM8+AL8+CQ24</f>
        <v>409268.18944083806</v>
      </c>
      <c r="V28">
        <f ca="1">U28-U33</f>
        <v>24808.340235438838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109744.95391636367</v>
      </c>
      <c r="H29">
        <f t="shared" ca="1" si="45"/>
        <v>55648.890435406429</v>
      </c>
      <c r="I29">
        <f t="shared" ca="1" si="41"/>
        <v>35477.034594858691</v>
      </c>
      <c r="J29">
        <f t="shared" ca="1" si="46"/>
        <v>21041.291004495673</v>
      </c>
      <c r="K29">
        <f t="shared" ca="1" si="42"/>
        <v>21913.108509381436</v>
      </c>
      <c r="L29">
        <f t="shared" ca="1" si="47"/>
        <v>15860.678611213327</v>
      </c>
      <c r="M29">
        <f t="shared" ca="1" si="48"/>
        <v>0</v>
      </c>
      <c r="N29">
        <f t="shared" ca="1" si="49"/>
        <v>35468.907651500194</v>
      </c>
      <c r="O29">
        <f t="shared" ca="1" si="50"/>
        <v>14768.349768457769</v>
      </c>
      <c r="P29">
        <f ca="1">P20/$E$45*大附魔数值!$S$9</f>
        <v>1685.455855583501</v>
      </c>
      <c r="Q29">
        <f ca="1">Q20/$E$47*大附魔数值!$S$10</f>
        <v>2670.5469592872423</v>
      </c>
      <c r="R29">
        <f t="shared" ca="1" si="51"/>
        <v>205.84315428011848</v>
      </c>
      <c r="S29">
        <f t="shared" ca="1" si="52"/>
        <v>314485.06046082801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135093.50045523912</v>
      </c>
      <c r="H30">
        <f t="shared" ca="1" si="45"/>
        <v>69698.335052792434</v>
      </c>
      <c r="I30">
        <f t="shared" ca="1" si="41"/>
        <v>43671.409191566039</v>
      </c>
      <c r="J30">
        <f t="shared" ca="1" si="46"/>
        <v>26353.498495660278</v>
      </c>
      <c r="K30">
        <f t="shared" ca="1" si="42"/>
        <v>27054.554449214782</v>
      </c>
      <c r="L30">
        <f t="shared" ca="1" si="47"/>
        <v>19766.353420700158</v>
      </c>
      <c r="M30">
        <f t="shared" ca="1" si="48"/>
        <v>0</v>
      </c>
      <c r="N30">
        <f t="shared" ca="1" si="49"/>
        <v>44423.595692717223</v>
      </c>
      <c r="O30">
        <f t="shared" ca="1" si="50"/>
        <v>18496.853796816973</v>
      </c>
      <c r="P30">
        <f ca="1">P21/$E$45*大附魔数值!$S$9</f>
        <v>2110.9759066176762</v>
      </c>
      <c r="Q30">
        <f ca="1">Q21/$E$47*大附魔数值!$S$10</f>
        <v>3344.7688765451453</v>
      </c>
      <c r="R30">
        <f t="shared" ca="1" si="51"/>
        <v>257.81152190253118</v>
      </c>
      <c r="S30">
        <f t="shared" ca="1" si="52"/>
        <v>511391.80494595779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100021.48102897343</v>
      </c>
      <c r="H31">
        <f t="shared" ca="1" si="45"/>
        <v>55648.890435406429</v>
      </c>
      <c r="I31">
        <f t="shared" ca="1" si="41"/>
        <v>32244.847529886345</v>
      </c>
      <c r="J31">
        <f t="shared" ca="1" si="46"/>
        <v>19196.389888204936</v>
      </c>
      <c r="K31">
        <f t="shared" ca="1" si="42"/>
        <v>20006.594543338088</v>
      </c>
      <c r="L31">
        <f t="shared" ca="1" si="47"/>
        <v>14495.262537365534</v>
      </c>
      <c r="M31">
        <f t="shared" ca="1" si="48"/>
        <v>0</v>
      </c>
      <c r="N31">
        <f t="shared" ca="1" si="49"/>
        <v>32208.103128671428</v>
      </c>
      <c r="O31">
        <f t="shared" ca="1" si="50"/>
        <v>13868.469727454947</v>
      </c>
      <c r="P31">
        <f ca="1">P22/$E$45*大附魔数值!$S$9</f>
        <v>1530.3570042660206</v>
      </c>
      <c r="Q31">
        <f ca="1">Q22/$E$47*大附魔数值!$S$10</f>
        <v>2424.9584238668372</v>
      </c>
      <c r="R31">
        <f t="shared" ca="1" si="51"/>
        <v>186.99703656196789</v>
      </c>
      <c r="S31">
        <f t="shared" ca="1" si="52"/>
        <v>291832.3512839959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124306.03552316275</v>
      </c>
      <c r="H32">
        <f t="shared" ca="1" si="45"/>
        <v>55648.890435406429</v>
      </c>
      <c r="I32">
        <f t="shared" ca="1" si="41"/>
        <v>40315.57130366312</v>
      </c>
      <c r="J32">
        <f ca="1">J24*$AC$39/$AD$37/$E$2*$D$22+J24*$AE$43/$AF$41/$E$2*$C$22</f>
        <v>29813.585715827227</v>
      </c>
      <c r="K32">
        <f t="shared" ca="1" si="42"/>
        <v>24768.131487134986</v>
      </c>
      <c r="L32">
        <f t="shared" ca="1" si="47"/>
        <v>17905.252319511495</v>
      </c>
      <c r="M32">
        <f t="shared" ca="1" si="48"/>
        <v>0</v>
      </c>
      <c r="N32">
        <f t="shared" ca="1" si="49"/>
        <v>40351.605029368526</v>
      </c>
      <c r="O32">
        <f t="shared" ca="1" si="50"/>
        <v>16114.157625957529</v>
      </c>
      <c r="P32">
        <f ca="1">P23/$E$45*大附魔数值!$S$9</f>
        <v>1917.6756826942039</v>
      </c>
      <c r="Q32">
        <f ca="1">Q23/$E$47*大附魔数值!$S$10</f>
        <v>3038.407788910049</v>
      </c>
      <c r="R32">
        <f t="shared" ca="1" si="51"/>
        <v>234.03724672300902</v>
      </c>
      <c r="S32">
        <f t="shared" ca="1" si="52"/>
        <v>354413.35015835927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153017.85519300689</v>
      </c>
      <c r="H33">
        <f t="shared" ca="1" si="45"/>
        <v>69698.335052792434</v>
      </c>
      <c r="I33">
        <f t="shared" ca="1" si="41"/>
        <v>49627.535990541328</v>
      </c>
      <c r="J33">
        <f t="shared" ca="1" si="46"/>
        <v>29813.585715827227</v>
      </c>
      <c r="K33">
        <f t="shared" ca="1" si="42"/>
        <v>30579.447988272655</v>
      </c>
      <c r="L33">
        <f t="shared" ca="1" si="47"/>
        <v>22314.401174742725</v>
      </c>
      <c r="M33">
        <f t="shared" ca="1" si="48"/>
        <v>0</v>
      </c>
      <c r="N33">
        <f t="shared" ca="1" si="49"/>
        <v>50539.007431232916</v>
      </c>
      <c r="O33">
        <f t="shared" ca="1" si="50"/>
        <v>20182.432183641711</v>
      </c>
      <c r="P33">
        <f ca="1">P24/$E$45*大附魔数值!$S$9</f>
        <v>2401.823310568167</v>
      </c>
      <c r="Q33">
        <f ca="1">Q24/$E$47*大附魔数值!$S$10</f>
        <v>3805.5020044699322</v>
      </c>
      <c r="R33">
        <f t="shared" ca="1" si="51"/>
        <v>293.1236599562975</v>
      </c>
      <c r="S33">
        <f t="shared" ca="1" si="52"/>
        <v>566428.25896421506</v>
      </c>
      <c r="T33" s="15">
        <f t="shared" ca="1" si="53"/>
        <v>0.31818181818181818</v>
      </c>
      <c r="U33">
        <f ca="1">(S48*T48+SUMPRODUCT(S27:S33,T27:T33))*(1+大附魔数值!$O$10*21/1024)</f>
        <v>384459.84920539922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60980.171294742933</v>
      </c>
      <c r="H34">
        <f ca="1">H18*2*$D$33/(5+2*$D$33)/$E$2</f>
        <v>41386.794939065541</v>
      </c>
      <c r="I34">
        <f ca="1">I18*2*$D$33/(5+2*$D$33)/$E$2</f>
        <v>19555.742071489851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37479.917370944495</v>
      </c>
      <c r="L34">
        <f ca="1">L18/(5+2*$D$33)/$E$2</f>
        <v>9134.7308301992616</v>
      </c>
      <c r="M34">
        <v>0</v>
      </c>
      <c r="N34">
        <f ca="1">N27</f>
        <v>27325.405750803086</v>
      </c>
      <c r="O34">
        <f ca="1">O27</f>
        <v>12522.661869955184</v>
      </c>
      <c r="P34">
        <f ca="1">P27</f>
        <v>1298.0712617913916</v>
      </c>
      <c r="Q34">
        <f ca="1">Q27</f>
        <v>2057.0975942440305</v>
      </c>
      <c r="R34">
        <f ca="1">R27</f>
        <v>158.76540205190972</v>
      </c>
      <c r="S34">
        <f ca="1">SUM(G34:R34,AS34)</f>
        <v>211899.35838528769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44130.38711887641</v>
      </c>
      <c r="H35">
        <f ca="1">H18*$D$33/(4+$D$33)/$E$2</f>
        <v>29950.97002011818</v>
      </c>
      <c r="I35">
        <f ca="1">I18*$D$33/(4+$D$33)/$E$2</f>
        <v>14152.181761518665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17433.794223559311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13753.742367436851</v>
      </c>
      <c r="N35">
        <f ca="1">N27</f>
        <v>27325.405750803086</v>
      </c>
      <c r="O35">
        <f t="shared" ref="O35:R35" ca="1" si="57">O27</f>
        <v>12522.661869955184</v>
      </c>
      <c r="P35">
        <f t="shared" ca="1" si="57"/>
        <v>1298.0712617913916</v>
      </c>
      <c r="Q35">
        <f t="shared" ca="1" si="57"/>
        <v>2057.0975942440305</v>
      </c>
      <c r="R35">
        <f t="shared" ca="1" si="57"/>
        <v>158.76540205190972</v>
      </c>
      <c r="S35">
        <f t="shared" ref="S35:S36" ca="1" si="58">SUM(G35:R35,AS35)</f>
        <v>162783.07737035502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88794.251213864176</v>
      </c>
      <c r="H36">
        <f ca="1">H25*$D$33*2/(3+2*$D$33)/$E$2</f>
        <v>55518.871263327594</v>
      </c>
      <c r="I36">
        <f ca="1">I25*$D$33*2/(3+2*$D$33)/$E$2</f>
        <v>28557.029923817005</v>
      </c>
      <c r="J36">
        <f ca="1">J25/(3+2*$D$33)/$E$2</f>
        <v>18024.728399923213</v>
      </c>
      <c r="K36">
        <f ca="1">K25/(3+2*$D$33)/$E$2</f>
        <v>18797.652461487178</v>
      </c>
      <c r="L36">
        <f ca="1">L25/(3+2*$D$33)/$E$2</f>
        <v>13263.418517055808</v>
      </c>
      <c r="M36">
        <v>0</v>
      </c>
      <c r="N36">
        <f ca="1">N25/E3</f>
        <v>29776.114786749549</v>
      </c>
      <c r="O36">
        <f ca="1">O25/F3</f>
        <v>13197.858486707621</v>
      </c>
      <c r="P36">
        <f ca="1">P25/$E$45*大附魔数值!$S$9</f>
        <v>1414.6096252122611</v>
      </c>
      <c r="Q36">
        <f ca="1">Q25/$E$47*大附魔数值!$S$10</f>
        <v>2241.6152292517099</v>
      </c>
      <c r="R36">
        <f ca="1">R25/45</f>
        <v>172.91876137410645</v>
      </c>
      <c r="S36">
        <f t="shared" ca="1" si="58"/>
        <v>269759.06866877025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0.25896522257730725</v>
      </c>
      <c r="H37" s="15">
        <f t="shared" ref="H37" ca="1" si="59">SUMPRODUCT(H38:H45,$S$38:$S$45)/$T$38</f>
        <v>0.14044509764262897</v>
      </c>
      <c r="I37" s="15">
        <f t="shared" ref="I37:Q37" ca="1" si="60">SUMPRODUCT(I38:I45,$S$38:$S$45)/$T$38</f>
        <v>8.3571186167874761E-2</v>
      </c>
      <c r="J37" s="15">
        <f t="shared" ca="1" si="60"/>
        <v>1.2669793796054669E-2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4.6620481992591972E-2</v>
      </c>
      <c r="O37" s="15">
        <f t="shared" ca="1" si="60"/>
        <v>1.9814977927739157E-2</v>
      </c>
      <c r="P37" s="15">
        <f t="shared" ca="1" si="60"/>
        <v>2.2151932197973382E-3</v>
      </c>
      <c r="Q37" s="15">
        <f t="shared" ca="1" si="60"/>
        <v>3.5101021052521796E-3</v>
      </c>
      <c r="R37">
        <v>0</v>
      </c>
      <c r="S37">
        <f ca="1">(S35*(4+D33)+S36*11)/(15+D33)</f>
        <v>234410.48024298632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154568.41578715233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100650.34082780342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49568.572986165695</v>
      </c>
      <c r="J38">
        <f ca="1">J18/$E$2*(3-属性开关!$X$37)/(3+2*$D$33)/(3+$D$33)</f>
        <v>7506.9920650809545</v>
      </c>
      <c r="N38">
        <f ca="1">N27</f>
        <v>27325.405750803086</v>
      </c>
      <c r="O38">
        <f ca="1">O27</f>
        <v>12522.661869955184</v>
      </c>
      <c r="P38">
        <f ca="1">P27</f>
        <v>1298.0712617913916</v>
      </c>
      <c r="Q38">
        <f ca="1">Q27</f>
        <v>2057.0975942440305</v>
      </c>
      <c r="R38">
        <f ca="1">SUM(G38:Q38,AS38,AU18*属性开关!$X$37)*IF(COUNTIF(F38,"*雷*")&gt;0,$B$21/$D$21,1)*(1+大附魔数值!$O$10*21/1024)</f>
        <v>411919.50419661531</v>
      </c>
      <c r="S38" s="36">
        <f t="shared" ref="S38:S45" ca="1" si="61">T27</f>
        <v>0.45454545454545447</v>
      </c>
      <c r="T38">
        <f ca="1">SUMPRODUCT(S38:S46,R38:R46)</f>
        <v>611345.72258907021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190270.14549043187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126061.11502504679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61017.76708909485</v>
      </c>
      <c r="J39">
        <f ca="1">J19/$E$2*(3-属性开关!$X$37)/(3+2*$D$33)/(3+$D$33)</f>
        <v>9402.2512236428411</v>
      </c>
      <c r="N39">
        <f t="shared" ref="N39:Q45" ca="1" si="63">N28</f>
        <v>34224.137634579325</v>
      </c>
      <c r="O39">
        <f t="shared" ca="1" si="63"/>
        <v>15684.206386433951</v>
      </c>
      <c r="P39">
        <f t="shared" ca="1" si="63"/>
        <v>1625.7899307400035</v>
      </c>
      <c r="Q39">
        <f t="shared" ca="1" si="63"/>
        <v>2576.4444940072158</v>
      </c>
      <c r="R39">
        <f ca="1">SUM(G39:Q39,AS39,AU19*属性开关!$X$37)*IF(COUNTIF(F39,"*雷*")&gt;0,$B$21/$D$21,1)*(1+大附魔数值!$O$10*21/1024)</f>
        <v>670280.39677219791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198490.80722977483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100650.34082780342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64165.731394071518</v>
      </c>
      <c r="J40">
        <f ca="1">J20/$E$2*(3-属性开关!$X$37)/(3+2*$D$33)/(3+$D$33)</f>
        <v>9611.8523890804809</v>
      </c>
      <c r="N40">
        <f t="shared" ca="1" si="63"/>
        <v>35468.907651500194</v>
      </c>
      <c r="O40">
        <f t="shared" ca="1" si="63"/>
        <v>14768.349768457769</v>
      </c>
      <c r="P40">
        <f t="shared" ca="1" si="63"/>
        <v>1685.455855583501</v>
      </c>
      <c r="Q40">
        <f t="shared" ca="1" si="63"/>
        <v>2670.5469592872423</v>
      </c>
      <c r="R40">
        <f ca="1">SUM(G40:Q40,AS40,AU20*属性开关!$X$37)*IF(COUNTIF(F40,"*雷*")&gt;0,$B$21/$D$21,1)*(1+大附魔数值!$O$10*21/1024)</f>
        <v>500647.50487823621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244337.593665508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126061.11502504679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78986.531534760987</v>
      </c>
      <c r="J41">
        <f ca="1">J21/$E$2*(3-属性开关!$X$37)/(3+2*$D$33)/(3+$D$33)</f>
        <v>12038.516905736433</v>
      </c>
      <c r="N41">
        <f t="shared" ca="1" si="63"/>
        <v>44423.595692717223</v>
      </c>
      <c r="O41">
        <f t="shared" ca="1" si="63"/>
        <v>18496.853796816973</v>
      </c>
      <c r="P41">
        <f t="shared" ca="1" si="63"/>
        <v>2110.9759066176762</v>
      </c>
      <c r="Q41">
        <f t="shared" ca="1" si="63"/>
        <v>3344.7688765451453</v>
      </c>
      <c r="R41">
        <f ca="1">SUM(G41:Q41,AS41,AU21*属性开关!$X$37)*IF(COUNTIF(F41,"*雷*")&gt;0,$B$21/$D$21,1)*(1+大附魔数值!$O$10*21/1024)</f>
        <v>814250.02389581176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180904.39515687188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100650.34082780342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58319.818696045077</v>
      </c>
      <c r="J42">
        <f ca="1">J22/$E$2*(3-属性开关!$X$37)/(3+2*$D$33)/(3+$D$33)</f>
        <v>8769.0848422390081</v>
      </c>
      <c r="N42">
        <f t="shared" ca="1" si="63"/>
        <v>32208.103128671428</v>
      </c>
      <c r="O42">
        <f t="shared" ca="1" si="63"/>
        <v>13868.469727454947</v>
      </c>
      <c r="P42">
        <f t="shared" ca="1" si="63"/>
        <v>1530.3570042660206</v>
      </c>
      <c r="Q42">
        <f t="shared" ca="1" si="63"/>
        <v>2424.9584238668372</v>
      </c>
      <c r="R42">
        <f ca="1">SUM(G42:Q42,AS42,AU22*属性开关!$X$37)*IF(COUNTIF(F42,"*雷*")&gt;0,$B$21/$D$21,1)*(1+大附魔数值!$O$10*21/1024)</f>
        <v>465118.74574885401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224826.78659949434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100650.34082780342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72916.977103950921</v>
      </c>
      <c r="J43">
        <f ca="1">J23/$E$2*(3-属性开关!$X$37)/(3+2*$D$33)/(3+$D$33)</f>
        <v>10873.842239083326</v>
      </c>
      <c r="N43">
        <f t="shared" ca="1" si="63"/>
        <v>40351.605029368526</v>
      </c>
      <c r="O43">
        <f t="shared" ca="1" si="63"/>
        <v>16114.157625957529</v>
      </c>
      <c r="P43">
        <f t="shared" ca="1" si="63"/>
        <v>1917.6756826942039</v>
      </c>
      <c r="Q43">
        <f t="shared" ca="1" si="63"/>
        <v>3038.407788910049</v>
      </c>
      <c r="R43">
        <f ca="1">SUM(G43:Q43,AS43,AU23*属性开关!$X$37)*IF(COUNTIF(F43,"*雷*")&gt;0,$B$21/$D$21,1)*(1+大附魔数值!$O$10*21/1024)</f>
        <v>553847.61821847374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276756.5752588099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126061.11502504679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89759.112633956494</v>
      </c>
      <c r="J44">
        <f ca="1">J24/$E$2*(3-属性开关!$X$37)/(3+2*$D$33)/(3+$D$33)</f>
        <v>13619.116100266971</v>
      </c>
      <c r="N44">
        <f t="shared" ca="1" si="63"/>
        <v>50539.007431232916</v>
      </c>
      <c r="O44">
        <f t="shared" ca="1" si="63"/>
        <v>20182.432183641711</v>
      </c>
      <c r="P44">
        <f t="shared" ca="1" si="63"/>
        <v>2401.823310568167</v>
      </c>
      <c r="Q44">
        <f t="shared" ca="1" si="63"/>
        <v>3805.5020044699322</v>
      </c>
      <c r="R44">
        <f ca="1">SUM(G44:Q44,AS44,AU24*属性开关!$X$37)*IF(COUNTIF(F44,"*雷*")&gt;0,$B$21/$D$21,1)*(1+大附魔数值!$O$10*21/1024)</f>
        <v>900572.28058953839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167779.20500511565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100650.34082780342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53959.301558671345</v>
      </c>
      <c r="J45">
        <f ca="1">J25/$E$2*(3-属性开关!$X$37)/(3+2*$D$33)/(3+$D$33)</f>
        <v>8140.1999239193465</v>
      </c>
      <c r="N45">
        <f ca="1">N34</f>
        <v>27325.405750803086</v>
      </c>
      <c r="O45">
        <f t="shared" ca="1" si="63"/>
        <v>12522.661869955184</v>
      </c>
      <c r="P45">
        <f t="shared" ca="1" si="63"/>
        <v>1298.0712617913916</v>
      </c>
      <c r="Q45">
        <f t="shared" ca="1" si="63"/>
        <v>2057.0975942440305</v>
      </c>
      <c r="R45">
        <f ca="1">SUM(G45:Q45,AS45,AU22*属性开关!$X$37)*IF(COUNTIF(F45,"*雷*")&gt;0,$B$21/$D$21,1)*(1+大附魔数值!$O$10*21/1024)</f>
        <v>440175.50173393893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222689.12708373382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126061.11502504679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71790.348188290358</v>
      </c>
      <c r="J46">
        <f ca="1">J47/$E$2*(3-属性开关!X37)/(3+2*$D$33)/(3+$D$33)</f>
        <v>10982.979330920671</v>
      </c>
      <c r="N46">
        <f ca="1">N48</f>
        <v>40339.549373095033</v>
      </c>
      <c r="O46">
        <f t="shared" ref="O46:Q46" ca="1" si="65">O48</f>
        <v>17369.784773258689</v>
      </c>
      <c r="P46">
        <f t="shared" ca="1" si="65"/>
        <v>1916.7198914330302</v>
      </c>
      <c r="Q46">
        <f t="shared" ca="1" si="65"/>
        <v>3037.1776219320027</v>
      </c>
      <c r="R46">
        <f ca="1">SUM(G46:Q46,AS46,AU25*属性开关!$X$37)*IF(COUNTIF(F46,"*雷*")&gt;0,$B$21/$D$21,1)*(1+大附魔数值!$O$10*21/1024)</f>
        <v>756601.2227166564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341866.09478008264</v>
      </c>
      <c r="H47">
        <f ca="1">INT(H$6*$E26+H$7*($C$8+$C$9)/2+H$8)*(H$14+H$15)*$D$21*IF(COUNTIF($F47,"*雷*")&gt;0,H$17*(H$13*0.25+H$16*(H$10+属性开关!$X$56)+1-H$16-H$13-H$12),H$11*(H$13*0.25+H$9*H$10+1-H$9-H$13-H$12))</f>
        <v>201705.07406235597</v>
      </c>
      <c r="I47">
        <f ca="1">INT(I$6*$E26+I$7*($C$8+$C$9)/2+I$8)*(I$14+I$15)*$D$21*IF(COUNTIF($F47,"*雷*")&gt;0,I$17*(I$13*0.25+I$16*(I$10+属性开关!$X$56)+1-I$16-I$13-I$12),I$11*(I$13*0.25+I$9*I$10+1-I$9-I$13-I$12))</f>
        <v>110210.52666305011</v>
      </c>
      <c r="J47">
        <f ca="1">INT(J$6*$E26+J$7*($C$8+$C$9)/2+J$8)*(J$14+J$15)*$D$21*IF(COUNTIF($F47,"*雷*")&gt;0,J$17*(J$13*0.25+J$16*(J$10+属性开关!$X$56)+1-J$16-J$13-J$12),J$11*(J$13*0.25+J$9*J$10+1-J$9-J$13-J$12))</f>
        <v>201556.16238787983</v>
      </c>
      <c r="K47">
        <f ca="1">INT(K$6*$E26+K$7*($C$8+$C$9)/2+K$8)*(K$14+K$15)*$D$21*IF(COUNTIF($F47,"*雷*")&gt;0,K$17*(K$13*0.25+K$16*(K$10+属性开关!$X$56)+1-K$16-K$13-K$12),K$11*(K$13*0.25+K$9*K$10+1-K$9-K$13-K$12))</f>
        <v>207071.43444237643</v>
      </c>
      <c r="L47">
        <f ca="1">INT(L$6*$E26+L$7*($C$8+$C$9)/2+L$8)*(L$14+L$15)*$D$21*IF(COUNTIF($F47,"*雷*")&gt;0,L$17*(L$13*0.25+L$16*(L$10+属性开关!$X$56)+1-L$16-L$13-L$12),L$11*(L$13*0.25+L$9*L$10+1-L$9-L$13-L$12))</f>
        <v>147351.42549050672</v>
      </c>
      <c r="M47">
        <f ca="1">INT(M$6*$E26+M$7*($C$8+$C$9)/2+M$8)*(M$14+M$15)*$D$21*IF(COUNTIF($F47,"*雷*")&gt;0,M$17*(M$13*0.25+M$16*(M$10+属性开关!$X$56)+1-M$16-M$13-M$12),M$11*(M$13*0.25+M$9*M$10+1-M$9-M$13-M$12))</f>
        <v>63833.19077141607</v>
      </c>
      <c r="N47">
        <f ca="1">INT(N$6*$E26+N$7*($C$8+$C$9)/2+N$8)*(N$14+N$15)*$D$21*IF(COUNTIF($F47,"*雷*")&gt;0,N$17*(N$13*0.25+N$16*(N$10+属性开关!$X$56)+1-N$16-N$13-N$12),N$11*(N$13*0.25+N$9*N$10+1-N$9-N$13-N$12))</f>
        <v>75636.655074553186</v>
      </c>
      <c r="O47">
        <f ca="1">INT(O$6*$E26+O$7*($C$8+$C$9)/2+O$8)*(O$14+O$15)*$D$21*IF(COUNTIF($F47,"*雷*")&gt;0,O$17*(O$13*0.25+O$16*(O$10+属性开关!$X$56)+1-O$16-O$13-O$12),O$11*(O$13*0.25+O$9*O$10+1-O$9-O$13-O$12))</f>
        <v>28225.90025654537</v>
      </c>
      <c r="P47">
        <f ca="1">INT(P$6*$E26+P$7*($C$8+$C$9)/2+P$8)*(P$14+P$15)*$D$21*IF(COUNTIF($F47,"*雷*")&gt;0,P$17*(P$13*0.25+P$16*(P$10+属性开关!$X$56)+1-P$16-P$13-P$12),P$11*(P$13*0.25+P$9*P$10+1-P$9-P$13-P$12))</f>
        <v>46395.144540710731</v>
      </c>
      <c r="Q47">
        <f ca="1">INT(Q$6*$E26+Q$7*($C$8+$C$9)/2+Q$8)*(Q$14+Q$15)*$D$21*IF(COUNTIF($F47,"*雷*")&gt;0,Q$17*(Q$13*0.25+Q$16*(Q$10+属性开关!$X$56)+1-Q$16-Q$13-Q$12),Q$11*(Q$13*0.25+Q$9*Q$10+1-Q$9-Q$13-Q$12))</f>
        <v>37134.899900935845</v>
      </c>
      <c r="R47">
        <f ca="1">INT(R$6*$E26+R$7*($C$8+$C$9)/2+R$8)*(R$14+R$15)*$D$21*IF(COUNTIF($F47,"*雷*")&gt;0,R$17*(R$13*0.25+R$16*(R$10+属性开关!$X$56)+1-R$16-R$13-R$12),R$11*(R$13*0.25+R$9*R$10+1-R$9-R$13-R$12))</f>
        <v>10539.333134569184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123124.13018296004</v>
      </c>
      <c r="H48">
        <f ca="1">(H47*$AD$38)/$AD$37/$E$2*$D$22+(H47*$AE$42)/$AF$41/$E$2*$C$22</f>
        <v>72644.705563425203</v>
      </c>
      <c r="I48">
        <f ca="1">(I47*$AD$38)/$AD$37/$E$2*$D$22+(I47*$AE$42)/$AF$41/$E$2*$C$22</f>
        <v>39692.661657843193</v>
      </c>
      <c r="J48">
        <f ca="1">J47*$AC$39/$AD$37/$E$2*$D$22+J47*$AE$43/$AF$41/$E$2*$C$22</f>
        <v>24042.822844512168</v>
      </c>
      <c r="K48">
        <f ca="1">K47*$AC$40/$AD$37/$E$2*$D$22+K47*$AE$44/$AF$41/$E$2*$C$22</f>
        <v>24700.717435154183</v>
      </c>
      <c r="L48">
        <f ca="1">L47*$AC$37/$AD$37/$E$2*$D$22+L47*$AE$41/$AF$41/$E$2*$C$22</f>
        <v>18064.705127864869</v>
      </c>
      <c r="M48">
        <f ca="1">M47*$AE$41/$AF$41/$E$2*$C$22</f>
        <v>0</v>
      </c>
      <c r="N48">
        <f ca="1">N47/$E$3</f>
        <v>40339.549373095033</v>
      </c>
      <c r="O48">
        <f ca="1">O47/$F$3</f>
        <v>17369.784773258689</v>
      </c>
      <c r="P48">
        <f ca="1">P47/$E$45*大附魔数值!$S$9</f>
        <v>1916.7198914330302</v>
      </c>
      <c r="Q48">
        <f ca="1">Q47/$E$47*大附魔数值!$S$10</f>
        <v>3037.1776219320027</v>
      </c>
      <c r="R48">
        <f ca="1">R47/45</f>
        <v>234.20740299042632</v>
      </c>
      <c r="S48">
        <f ca="1">SUM(G48:R48,AS48)*IF(COUNTIF(F48,"*雷*")&gt;0,$B$21/$D$21,1)</f>
        <v>478496.19864378695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55648.890435406429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91329.095356731254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55648.890435406429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91329.095356731254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55648.890435406429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55648.890435406429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91329.095356731254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95189.866967961585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M19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Q96"/>
  <sheetViews>
    <sheetView topLeftCell="R22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20739.815122811859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D6">
        <f ca="1">属性开关!$AJ$25</f>
        <v>133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126145.80150278962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D7">
        <f ca="1">D6</f>
        <v>133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237087.52614506354</v>
      </c>
      <c r="U7">
        <f ca="1">INT(I$6*($E18+$E$19)/2+I$7*($C$8+$C$9)/2+I$8)*(I$14+I$15)*$D$21*IF(COUNTIF($S7,"*雷*")&gt;0,I$17*(I$13*0.25+I$9*I$10+1-I$9-I$13-I$12),I$11*(I$13*0.25+I$9*I$10+1-I$9-I$13-I$12))</f>
        <v>76026.217982353221</v>
      </c>
      <c r="V7">
        <f ca="1">INT(J$6*($E18+$E$19)/2+J$7*($C$8+$C$9)/2+J$8)*(J$14+J$15)*$D$21*IF(COUNTIF($S7,"*雷*")&gt;0,J$17*(J$13*0.25+J$9*J$10+1-J$9-J$13-J$12),J$11*(J$13*0.25+J$9*J$10+1-J$9-J$13-J$12))</f>
        <v>137652.46636039679</v>
      </c>
      <c r="W7">
        <f ca="1">INT(K$6*($E18+$E$19)/2+K$7*($C$8+$C$9)/2+K$8)*(K$14+K$15)*$D$21*IF(COUNTIF($S7,"*雷*")&gt;0,K$17*(K$13*0.25+K$9*K$10+1-K$9-K$13-K$12),K$11*(K$13*0.25+K$9*K$10+1-K$9-K$13-K$12))</f>
        <v>143667.96801303938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533144.06809091242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1.3640942478298197</v>
      </c>
      <c r="H11" s="21">
        <f ca="1">O11</f>
        <v>1.3640942478298197</v>
      </c>
      <c r="I11" s="21">
        <f ca="1">G11</f>
        <v>1.3640942478298197</v>
      </c>
      <c r="J11" s="21">
        <f ca="1">$C$12+1</f>
        <v>1.3640942478298197</v>
      </c>
      <c r="K11" s="21">
        <f ca="1">$C$12+1</f>
        <v>1.3640942478298197</v>
      </c>
      <c r="L11" s="21">
        <f t="shared" ref="L11" ca="1" si="21">$C$12+1</f>
        <v>1.3640942478298197</v>
      </c>
      <c r="M11" s="21">
        <f t="shared" ca="1" si="6"/>
        <v>1.3640942478298197</v>
      </c>
      <c r="N11" s="21">
        <f ca="1">C12+1</f>
        <v>1.3640942478298197</v>
      </c>
      <c r="O11" s="21">
        <f t="shared" ca="1" si="13"/>
        <v>1.3640942478298197</v>
      </c>
      <c r="P11" s="21">
        <f ca="1">O11</f>
        <v>1.3640942478298197</v>
      </c>
      <c r="Q11" s="21">
        <f t="shared" ca="1" si="7"/>
        <v>1.3640942478298197</v>
      </c>
      <c r="R11" s="21">
        <f ca="1">Q11</f>
        <v>1.3640942478298197</v>
      </c>
      <c r="AL11" s="34"/>
      <c r="AM11">
        <f ca="1">G33+H33+I33+J33+K33+L33</f>
        <v>354131.78020194778</v>
      </c>
      <c r="AR11" s="21">
        <f t="shared" ca="1" si="9"/>
        <v>1.3640942478298197</v>
      </c>
      <c r="AS11" s="21">
        <f ca="1">($C$12+1)*AS4</f>
        <v>0</v>
      </c>
      <c r="AT11" s="22">
        <f t="shared" ca="1" si="14"/>
        <v>1.3640942478298197</v>
      </c>
      <c r="AU11" s="22">
        <f t="shared" ca="1" si="15"/>
        <v>1.3640942478298197</v>
      </c>
      <c r="AV11" s="21">
        <f t="shared" ca="1" si="10"/>
        <v>1.3640942478298197</v>
      </c>
      <c r="AX11" s="21">
        <f t="shared" ca="1" si="11"/>
        <v>1.3640942478298197</v>
      </c>
      <c r="AZ11" s="21">
        <f t="shared" ca="1" si="11"/>
        <v>1.3640942478298197</v>
      </c>
      <c r="BB11" s="21">
        <f t="shared" ca="1" si="16"/>
        <v>1.3640942478298197</v>
      </c>
      <c r="BC11" s="21">
        <f t="shared" ca="1" si="17"/>
        <v>1.3640942478298197</v>
      </c>
      <c r="BD11" s="21">
        <f t="shared" ca="1" si="12"/>
        <v>1.3640942478298197</v>
      </c>
      <c r="BE11" s="21">
        <f t="shared" ca="1" si="18"/>
        <v>1.3640942478298197</v>
      </c>
      <c r="BF11" s="21">
        <f t="shared" ca="1" si="18"/>
        <v>1.3640942478298197</v>
      </c>
      <c r="BG11" s="21">
        <f ca="1">$C$12+1</f>
        <v>1.3640942478298197</v>
      </c>
      <c r="BH11">
        <f t="shared" ca="1" si="5"/>
        <v>1.3640942478298197</v>
      </c>
      <c r="CA11" s="21">
        <f t="shared" ca="1" si="19"/>
        <v>1.3640942478298197</v>
      </c>
      <c r="CB11" s="21">
        <f t="shared" ca="1" si="20"/>
        <v>1.3640942478298197</v>
      </c>
      <c r="CC11">
        <f t="shared" ca="1" si="2"/>
        <v>1.3640942478298197</v>
      </c>
      <c r="CD11">
        <f t="shared" ca="1" si="2"/>
        <v>1.3640942478298197</v>
      </c>
      <c r="CE11">
        <f t="shared" ca="1" si="0"/>
        <v>1.3640942478298197</v>
      </c>
      <c r="CF11">
        <f t="shared" ca="1" si="0"/>
        <v>1.3640942478298197</v>
      </c>
      <c r="CG11">
        <f t="shared" ca="1" si="3"/>
        <v>1.3640942478298197</v>
      </c>
      <c r="CH11">
        <f t="shared" ca="1" si="1"/>
        <v>1.3640942478298197</v>
      </c>
      <c r="CI11">
        <f t="shared" ca="1" si="4"/>
        <v>1.3640942478298197</v>
      </c>
      <c r="CN11" s="21">
        <f ca="1">$R$11</f>
        <v>1.3640942478298197</v>
      </c>
      <c r="CO11" s="21">
        <v>1</v>
      </c>
      <c r="CP11" s="21">
        <v>1</v>
      </c>
      <c r="CQ11" s="21">
        <f t="shared" ref="CQ11" ca="1" si="22">$R$11</f>
        <v>1.3640942478298197</v>
      </c>
    </row>
    <row r="12" spans="2:95" x14ac:dyDescent="0.35">
      <c r="B12" t="s">
        <v>20</v>
      </c>
      <c r="C12" s="21">
        <f ca="1">(属性开关!K31+INT(D7*0.25)+INT(D7*0.3*(1+属性开关!K40/1024)))/属性开关!U25</f>
        <v>0.36409424782981969</v>
      </c>
      <c r="D12" s="22">
        <f ca="1">(属性开关!K32+INT(D7*0.25)+INT(D7*0.3*(1+属性开关!K41/1024)))/属性开关!U25</f>
        <v>0.36409424782981969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461478.86061582714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301853.54259423015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1.3640942478298197</v>
      </c>
      <c r="H17" s="22">
        <f ca="1">$D$12+1</f>
        <v>1.3640942478298197</v>
      </c>
      <c r="I17" s="21">
        <f ca="1">G17</f>
        <v>1.3640942478298197</v>
      </c>
      <c r="J17" s="22">
        <f ca="1">$D$12+1</f>
        <v>1.3640942478298197</v>
      </c>
      <c r="K17" s="22">
        <f ca="1">$D$12+1</f>
        <v>1.3640942478298197</v>
      </c>
      <c r="L17" s="21">
        <f ca="1">$D$12+1</f>
        <v>1.3640942478298197</v>
      </c>
      <c r="M17" s="21">
        <f ca="1">$D$12+1</f>
        <v>1.3640942478298197</v>
      </c>
      <c r="N17" s="22">
        <f ca="1">D12+1</f>
        <v>1.3640942478298197</v>
      </c>
      <c r="O17" s="22">
        <f ca="1">N17</f>
        <v>1.3640942478298197</v>
      </c>
      <c r="P17" s="22">
        <f t="shared" ref="P17:R17" ca="1" si="30">O17</f>
        <v>1.3640942478298197</v>
      </c>
      <c r="Q17" s="22">
        <f t="shared" ca="1" si="30"/>
        <v>1.3640942478298197</v>
      </c>
      <c r="R17" s="22">
        <f t="shared" ca="1" si="30"/>
        <v>1.3640942478298197</v>
      </c>
      <c r="AR17" s="21">
        <f ca="1">AT17</f>
        <v>1.3640942478298197</v>
      </c>
      <c r="AS17" s="22">
        <f ca="1">($D$12+1)*AS4</f>
        <v>0</v>
      </c>
      <c r="AT17" s="22">
        <f t="shared" ca="1" si="14"/>
        <v>1.3640942478298197</v>
      </c>
      <c r="AU17" s="22">
        <f t="shared" ca="1" si="15"/>
        <v>1.3640942478298197</v>
      </c>
      <c r="AV17" s="22">
        <f ca="1">P17</f>
        <v>1.3640942478298197</v>
      </c>
      <c r="AX17" s="21">
        <f t="shared" ca="1" si="11"/>
        <v>1.3640942478298197</v>
      </c>
      <c r="AZ17" s="21">
        <f t="shared" ca="1" si="11"/>
        <v>1.3640942478298197</v>
      </c>
      <c r="BB17" s="21">
        <f ca="1">AV17</f>
        <v>1.3640942478298197</v>
      </c>
      <c r="BC17" s="21">
        <f ca="1">AV17</f>
        <v>1.3640942478298197</v>
      </c>
      <c r="BD17" s="21">
        <f t="shared" ca="1" si="12"/>
        <v>1.3640942478298197</v>
      </c>
      <c r="BE17" s="21">
        <f t="shared" ca="1" si="18"/>
        <v>1.3640942478298197</v>
      </c>
      <c r="BF17" s="21">
        <f t="shared" ca="1" si="18"/>
        <v>1.3640942478298197</v>
      </c>
      <c r="BG17" s="22">
        <f ca="1">$D$12+1</f>
        <v>1.3640942478298197</v>
      </c>
      <c r="BH17" s="21">
        <f ca="1">BG17</f>
        <v>1.3640942478298197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1.3640942478298197</v>
      </c>
      <c r="CB17" s="21">
        <f t="shared" ca="1" si="20"/>
        <v>1.3640942478298197</v>
      </c>
      <c r="CC17">
        <f t="shared" ca="1" si="2"/>
        <v>1.3640942478298197</v>
      </c>
      <c r="CD17">
        <f t="shared" ca="1" si="2"/>
        <v>1.3640942478298197</v>
      </c>
      <c r="CE17">
        <f t="shared" ca="1" si="27"/>
        <v>1.3640942478298197</v>
      </c>
      <c r="CF17">
        <f t="shared" ca="1" si="27"/>
        <v>1.3640942478298197</v>
      </c>
      <c r="CG17">
        <f t="shared" ca="1" si="3"/>
        <v>1.3640942478298197</v>
      </c>
      <c r="CH17">
        <f ca="1">N17</f>
        <v>1.3640942478298197</v>
      </c>
      <c r="CI17">
        <f t="shared" ca="1" si="4"/>
        <v>1.3640942478298197</v>
      </c>
      <c r="CN17" s="21">
        <f ca="1">$R$17</f>
        <v>1.3640942478298197</v>
      </c>
      <c r="CO17" s="21">
        <f t="shared" ref="CO17:CQ17" ca="1" si="31">$R$17</f>
        <v>1.3640942478298197</v>
      </c>
      <c r="CP17" s="21">
        <f t="shared" ca="1" si="31"/>
        <v>1.3640942478298197</v>
      </c>
      <c r="CQ17" s="21">
        <f t="shared" ca="1" si="31"/>
        <v>1.3640942478298197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属性开关!E31+INT($D$7*1638/1024)+INT($D$7*0.15*(1+属性开关!O31/1024))</f>
        <v>41843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237087.52614506354</v>
      </c>
      <c r="H18">
        <f ca="1">INT(H$6*$E18+H$7*($C$8+$C$9)/2+H$8)*(H$14+H$15)*$D$21*IF(COUNTIF($F18,"*雷*")&gt;0,H$17*(H$13*0.25+H$16*(H$10+属性开关!$X$56)+1-H$16-H$13-H$12),H$11*(H$13*0.25+H$9*H$10+1-H$9-H$13-H$12))</f>
        <v>161154.55504669333</v>
      </c>
      <c r="I18">
        <f ca="1">INT(I$6*$E18+I$7*($C$8+$C$9)/2+I$8)*(I$14+I$15)*$D$21*IF(COUNTIF($F18,"*雷*")&gt;0,I$17*(I$13*0.25+I$16*(I$10+属性开关!$X$56)+1-I$16-I$13-I$12),I$11*(I$13*0.25+I$9*I$10+1-I$9-I$13-I$12))</f>
        <v>76026.217982353221</v>
      </c>
      <c r="J18">
        <f ca="1">INT(J$6*$E18+J$7*($C$8+$C$9)/2+J$8)*(J$14+J$15)*$D$21*IF(COUNTIF($F18,"*雷*")&gt;0,J$17*(J$13*0.25+J$16*(J$10+属性开关!$X$56)+1-J$16-J$13-J$12),J$11*(J$13*0.25+J$9*J$10+1-J$9-J$13-J$12))</f>
        <v>137652.46636039679</v>
      </c>
      <c r="K18">
        <f ca="1">INT(K$6*$E18+K$7*($C$8+$C$9)/2+K$8)*(K$14+K$15)*$D$21*IF(COUNTIF($F18,"*雷*")&gt;0,K$17*(K$13*0.25+K$16*(K$10+属性开关!$X$56)+1-K$16-K$13-K$12),K$11*(K$13*0.25+K$9*K$10+1-K$9-K$13-K$12))</f>
        <v>143667.96801303938</v>
      </c>
      <c r="L18">
        <f ca="1">INT(L$6*$E18+L$7*($C$8+$C$9)/2+L$8)*(L$14+L$15)*$D$21*IF(COUNTIF($F18,"*雷*")&gt;0,L$17*(L$13*0.25+L$16*(L$10+属性开关!$X$56)+1-L$16-L$13-L$12),L$11*(L$13*0.25+L$9*L$10+1-L$9-L$13-L$12))</f>
        <v>101479.15578044784</v>
      </c>
      <c r="M18">
        <f ca="1">INT(M$6*$E18+M$7*($C$8+$C$9)/2+M$8)*(M$14+M$15)*$D$21*IF(COUNTIF($F18,"*雷*")&gt;0,M$17*(M$13*0.25+M$16*(M$10+属性开关!$X$56)+1-M$16-M$13-M$12),M$11*(M$13*0.25+M$9*M$10+1-M$9-M$13-M$12))</f>
        <v>43723.705014675696</v>
      </c>
      <c r="N18">
        <f ca="1">INT(N$6*$E18+N$7*($C$8+$C$9)/2+N$8)*(N$14+N$15)*$D$21*IF(COUNTIF($F18,"*雷*")&gt;0,N$17*(N$13*0.25+N$16*(N$10+属性开关!$X$56)+1-N$16-N$13-N$12),N$11*(N$13*0.25+N$9*N$10+1-N$9-N$13-N$12))</f>
        <v>51189.725709175844</v>
      </c>
      <c r="O18">
        <f ca="1">INT(O$6*$E18+O$7*($C$8+$C$9)/2+O$8)*(O$14+O$15)*$D$21*IF(COUNTIF($F18,"*雷*")&gt;0,O$17*(O$13*0.25+O$16*(O$10+属性开关!$X$56)+1-O$16-O$13-O$12),O$11*(O$13*0.25+O$9*O$10+1-O$9-O$13-O$12))</f>
        <v>20342.491328331944</v>
      </c>
      <c r="P18">
        <f ca="1">INT(P$6*$E18+P$7*($C$8+$C$9)/2+P$8)*(P$14+P$15)*$D$21*IF(COUNTIF($F18,"*雷*")&gt;0,P$17*(P$13*0.25+P$16*(P$10+属性开关!$X$56)+1-P$16-P$13-P$12),P$11*(P$13*0.25+P$9*P$10+1-P$9-P$13-P$12))</f>
        <v>31392.064964562887</v>
      </c>
      <c r="Q18">
        <f ca="1">INT(Q$6*$E18+Q$7*($C$8+$C$9)/2+Q$8)*(Q$14+Q$15)*$D$21*IF(COUNTIF($F18,"*雷*")&gt;0,Q$17*(Q$13*0.25+Q$16*(Q$10+属性开关!$X$56)+1-Q$16-Q$13-Q$12),Q$11*(Q$13*0.25+Q$9*Q$10+1-Q$9-Q$13-Q$12))</f>
        <v>25128.659875763165</v>
      </c>
      <c r="R18">
        <f ca="1">INT(R$6*$E18+R$7*($C$8+$C$9)/2+R$8)*(R$14+R$15)*$D$21*IF(COUNTIF($F18,"*雷*")&gt;0,R$17*(R$13*0.25+R$16*(R$10+属性开关!$X$56)+1-R$16-R$13-R$12),R$11*(R$13*0.25+R$9*R$10+1-R$9-R$13-R$12))</f>
        <v>7137.4089554645188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25376.992168678869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56370.295353836445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69513.693243092479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56308.867316138807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151548.15515223719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69660.743982269007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62790.665628380957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188530.61341279396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8284.1501922216448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14074.00800869458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152271.06332811248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196661.84523960433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147094.69601813593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63377.794665882917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197518.79643953766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148677.40141147916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21051.79596232223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77217.973910377288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29723.876205943638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9199.9604971255631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2355515.0317278388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属性开关!E32+INT($D$7*1638/1024)+INT($D$7*0.15*(1+属性开关!O32/1024))</f>
        <v>41843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291849.26211385406</v>
      </c>
      <c r="H19">
        <f ca="1">INT(H$6*$E19+H$7*($C$8+$C$9)/2+H$8)*(H$14+H$15)*$D$21*IF(COUNTIF($F19,"*雷*")&gt;0,H$17*(H$13*0.25+H$16*(H$10+属性开关!$X$56)+1-H$16-H$13-H$12),H$11*(H$13*0.25+H$9*H$10+1-H$9-H$13-H$12))</f>
        <v>201840.57732410167</v>
      </c>
      <c r="I19">
        <f ca="1">INT(I$6*$E19+I$7*($C$8+$C$9)/2+I$8)*(I$14+I$15)*$D$21*IF(COUNTIF($F19,"*雷*")&gt;0,I$17*(I$13*0.25+I$16*(I$10+属性开关!$X$56)+1-I$16-I$13-I$12),I$11*(I$13*0.25+I$9*I$10+1-I$9-I$13-I$12))</f>
        <v>93586.516255101582</v>
      </c>
      <c r="J19">
        <f ca="1">INT(J$6*$E19+J$7*($C$8+$C$9)/2+J$8)*(J$14+J$15)*$D$21*IF(COUNTIF($F19,"*雷*")&gt;0,J$17*(J$13*0.25+J$16*(J$10+属性开关!$X$56)+1-J$16-J$13-J$12),J$11*(J$13*0.25+J$9*J$10+1-J$9-J$13-J$12))</f>
        <v>172405.01375973399</v>
      </c>
      <c r="K19">
        <f ca="1">INT(K$6*$E19+K$7*($C$8+$C$9)/2+K$8)*(K$14+K$15)*$D$21*IF(COUNTIF($F19,"*雷*")&gt;0,K$17*(K$13*0.25+K$16*(K$10+属性开关!$X$56)+1-K$16-K$13-K$12),K$11*(K$13*0.25+K$9*K$10+1-K$9-K$13-K$12))</f>
        <v>177376.6082321353</v>
      </c>
      <c r="L19">
        <f ca="1">INT(L$6*$E19+L$7*($C$8+$C$9)/2+L$8)*(L$14+L$15)*$D$21*IF(COUNTIF($F19,"*雷*")&gt;0,L$17*(L$13*0.25+L$16*(L$10+属性开关!$X$56)+1-L$16-L$13-L$12),L$11*(L$13*0.25+L$9*L$10+1-L$9-L$13-L$12))</f>
        <v>126468.28721265995</v>
      </c>
      <c r="M19">
        <f ca="1">INT(M$6*$E19+M$7*($C$8+$C$9)/2+M$8)*(M$14+M$15)*$D$21*IF(COUNTIF($F19,"*雷*")&gt;0,M$17*(M$13*0.25+M$16*(M$10+属性开关!$X$56)+1-M$16-M$13-M$12),M$11*(M$13*0.25+M$9*M$10+1-M$9-M$13-M$12))</f>
        <v>54490.619687073078</v>
      </c>
      <c r="N19">
        <f ca="1">INT(N$6*$E19+N$7*($C$8+$C$9)/2+N$8)*(N$14+N$15)*$D$21*IF(COUNTIF($F19,"*雷*")&gt;0,N$17*(N$13*0.25+N$16*(N$10+属性开关!$X$56)+1-N$16-N$13-N$12),N$11*(N$13*0.25+N$9*N$10+1-N$9-N$13-N$12))</f>
        <v>64113.383498274648</v>
      </c>
      <c r="O19">
        <f ca="1">INT(O$6*$E19+O$7*($C$8+$C$9)/2+O$8)*(O$14+O$15)*$D$21*IF(COUNTIF($F19,"*雷*")&gt;0,O$17*(O$13*0.25+O$16*(O$10+属性开关!$X$56)+1-O$16-O$13-O$12),O$11*(O$13*0.25+O$9*O$10+1-O$9-O$13-O$12))</f>
        <v>25478.275762862464</v>
      </c>
      <c r="P19">
        <f ca="1">INT(P$6*$E19+P$7*($C$8+$C$9)/2+P$8)*(P$14+P$15)*$D$21*IF(COUNTIF($F19,"*雷*")&gt;0,P$17*(P$13*0.25+P$16*(P$10+属性开关!$X$56)+1-P$16-P$13-P$12),P$11*(P$13*0.25+P$9*P$10+1-P$9-P$13-P$12))</f>
        <v>39317.489437436096</v>
      </c>
      <c r="Q19">
        <f ca="1">INT(Q$6*$E19+Q$7*($C$8+$C$9)/2+Q$8)*(Q$14+Q$15)*$D$21*IF(COUNTIF($F19,"*雷*")&gt;0,Q$17*(Q$13*0.25+Q$16*(Q$10+属性开关!$X$56)+1-Q$16-Q$13-Q$12),Q$11*(Q$13*0.25+Q$9*Q$10+1-Q$9-Q$13-Q$12))</f>
        <v>31472.788437382093</v>
      </c>
      <c r="R19">
        <f ca="1">INT(R$6*$E19+R$7*($C$8+$C$9)/2+R$8)*(R$14+R$15)*$D$21*IF(COUNTIF($F19,"*雷*")&gt;0,R$17*(R$13*0.25+R$16*(R$10+属性开关!$X$56)+1-R$16-R$13-R$12),R$11*(R$13*0.25+R$9*R$10+1-R$9-R$13-R$12))</f>
        <v>8939.3609988359531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40784.453228593331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70601.870079637752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111718.43975736562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90496.397293473565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189808.88948169834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111954.77131133038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100913.57354295412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302995.64005785802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13595.669867543666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17627.214452088381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244721.36095145767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316063.69169798522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235228.75431966834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101351.57891039968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317440.93474950822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235542.87033712244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33833.244779218418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124100.31986538913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47770.517121805839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属性开关!E33+INT($D$7*1638/1024)+INT($D$7*0.15*(1+属性开关!O33/1024))</f>
        <v>54258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303911.49316156789</v>
      </c>
      <c r="H20">
        <f ca="1">INT(H$6*$E20+H$7*($C$8+$C$9)/2+H$8)*(H$14+H$15)*$D$21*IF(COUNTIF($F20,"*雷*")&gt;0,H$17*(H$13*0.25+H$16*(H$10+属性开关!$X$56)+1-H$16-H$13-H$12),H$11*(H$13*0.25+H$9*H$10+1-H$9-H$13-H$12))</f>
        <v>161154.55504669333</v>
      </c>
      <c r="I20">
        <f ca="1">INT(I$6*$E20+I$7*($C$8+$C$9)/2+I$8)*(I$14+I$15)*$D$21*IF(COUNTIF($F20,"*雷*")&gt;0,I$17*(I$13*0.25+I$16*(I$10+属性开关!$X$56)+1-I$16-I$13-I$12),I$11*(I$13*0.25+I$9*I$10+1-I$9-I$13-I$12))</f>
        <v>98233.835681668425</v>
      </c>
      <c r="J20">
        <f ca="1">INT(J$6*$E20+J$7*($C$8+$C$9)/2+J$8)*(J$14+J$15)*$D$21*IF(COUNTIF($F20,"*雷*")&gt;0,J$17*(J$13*0.25+J$16*(J$10+属性开关!$X$56)+1-J$16-J$13-J$12),J$11*(J$13*0.25+J$9*J$10+1-J$9-J$13-J$12))</f>
        <v>175931.89607960088</v>
      </c>
      <c r="K20">
        <f ca="1">INT(K$6*$E20+K$7*($C$8+$C$9)/2+K$8)*(K$14+K$15)*$D$21*IF(COUNTIF($F20,"*雷*")&gt;0,K$17*(K$13*0.25+K$16*(K$10+属性开关!$X$56)+1-K$16-K$13-K$12),K$11*(K$13*0.25+K$9*K$10+1-K$9-K$13-K$12))</f>
        <v>183227.12952365578</v>
      </c>
      <c r="L20">
        <f ca="1">INT(L$6*$E20+L$7*($C$8+$C$9)/2+L$8)*(L$14+L$15)*$D$21*IF(COUNTIF($F20,"*雷*")&gt;0,L$17*(L$13*0.25+L$16*(L$10+属性开关!$X$56)+1-L$16-L$13-L$12),L$11*(L$13*0.25+L$9*L$10+1-L$9-L$13-L$12))</f>
        <v>129043.44993213531</v>
      </c>
      <c r="M20">
        <f ca="1">INT(M$6*$E20+M$7*($C$8+$C$9)/2+M$8)*(M$14+M$15)*$D$21*IF(COUNTIF($F20,"*雷*")&gt;0,M$17*(M$13*0.25+M$16*(M$10+属性开关!$X$56)+1-M$16-M$13-M$12),M$11*(M$13*0.25+M$9*M$10+1-M$9-M$13-M$12))</f>
        <v>56054.066537457962</v>
      </c>
      <c r="N20">
        <f ca="1">INT(N$6*$E20+N$7*($C$8+$C$9)/2+N$8)*(N$14+N$15)*$D$21*IF(COUNTIF($F20,"*雷*")&gt;0,N$17*(N$13*0.25+N$16*(N$10+属性开关!$X$56)+1-N$16-N$13-N$12),N$11*(N$13*0.25+N$9*N$10+1-N$9-N$13-N$12))</f>
        <v>66322.163494453387</v>
      </c>
      <c r="O20">
        <f ca="1">INT(O$6*$E20+O$7*($C$8+$C$9)/2+O$8)*(O$14+O$15)*$D$21*IF(COUNTIF($F20,"*雷*")&gt;0,O$17*(O$13*0.25+O$16*(O$10+属性开关!$X$56)+1-O$16-O$13-O$12),O$11*(O$13*0.25+O$9*O$10+1-O$9-O$13-O$12))</f>
        <v>23958.768536887237</v>
      </c>
      <c r="P20">
        <f ca="1">INT(P$6*$E20+P$7*($C$8+$C$9)/2+P$8)*(P$14+P$15)*$D$21*IF(COUNTIF($F20,"*雷*")&gt;0,P$17*(P$13*0.25+P$16*(P$10+属性开关!$X$56)+1-P$16-P$13-P$12),P$11*(P$13*0.25+P$9*P$10+1-P$9-P$13-P$12))</f>
        <v>40682.596244635693</v>
      </c>
      <c r="Q20">
        <f ca="1">INT(Q$6*$E20+Q$7*($C$8+$C$9)/2+Q$8)*(Q$14+Q$15)*$D$21*IF(COUNTIF($F20,"*雷*")&gt;0,Q$17*(Q$13*0.25+Q$16*(Q$10+属性开关!$X$56)+1-Q$16-Q$13-Q$12),Q$11*(Q$13*0.25+Q$9*Q$10+1-Q$9-Q$13-Q$12))</f>
        <v>32562.362168256546</v>
      </c>
      <c r="R20">
        <f ca="1">INT(R$6*$E20+R$7*($C$8+$C$9)/2+R$8)*(R$14+R$15)*$D$21*IF(COUNTIF($F20,"*雷*")&gt;0,R$17*(R$13*0.25+R$16*(R$10+属性开关!$X$56)+1-R$16-R$13-R$12),R$11*(R$13*0.25+R$9*R$10+1-R$9-R$13-R$12))</f>
        <v>9237.044654821917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30761.692831334283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72934.725335427647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90026.445230471087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72975.168507978364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196477.22628790908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90173.495969647644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81380.192217990043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244428.06911033773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10737.091002382816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18244.821644595973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194299.97261467759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251480.61381320827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187049.31958604458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81250.733852639853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252446.3039985621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189615.91691189772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24794.165995026815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100044.74568763873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38516.961383837639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7601.2554067729525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属性开关!E34+INT($D$7*1638/1024)+INT($D$7*0.15*(1+属性开关!O34/1024))</f>
        <v>54258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374108.02022900927</v>
      </c>
      <c r="H21">
        <f ca="1">INT(H$6*$E21+H$7*($C$8+$C$9)/2+H$8)*(H$14+H$15)*$D$21*IF(COUNTIF($F21,"*雷*")&gt;0,H$17*(H$13*0.25+H$16*(H$10+属性开关!$X$56)+1-H$16-H$13-H$12),H$11*(H$13*0.25+H$9*H$10+1-H$9-H$13-H$12))</f>
        <v>201840.57732410167</v>
      </c>
      <c r="I21">
        <f ca="1">INT(I$6*$E21+I$7*($C$8+$C$9)/2+I$8)*(I$14+I$15)*$D$21*IF(COUNTIF($F21,"*雷*")&gt;0,I$17*(I$13*0.25+I$16*(I$10+属性开关!$X$56)+1-I$16-I$13-I$12),I$11*(I$13*0.25+I$9*I$10+1-I$9-I$13-I$12))</f>
        <v>120923.58009913568</v>
      </c>
      <c r="J21">
        <f ca="1">INT(J$6*$E21+J$7*($C$8+$C$9)/2+J$8)*(J$14+J$15)*$D$21*IF(COUNTIF($F21,"*雷*")&gt;0,J$17*(J$13*0.25+J$16*(J$10+属性开关!$X$56)+1-J$16-J$13-J$12),J$11*(J$13*0.25+J$9*J$10+1-J$9-J$13-J$12))</f>
        <v>220348.69237262133</v>
      </c>
      <c r="K21">
        <f ca="1">INT(K$6*$E21+K$7*($C$8+$C$9)/2+K$8)*(K$14+K$15)*$D$21*IF(COUNTIF($F21,"*雷*")&gt;0,K$17*(K$13*0.25+K$16*(K$10+属性开关!$X$56)+1-K$16-K$13-K$12),K$11*(K$13*0.25+K$9*K$10+1-K$9-K$13-K$12))</f>
        <v>226217.48758962378</v>
      </c>
      <c r="L21">
        <f ca="1">INT(L$6*$E21+L$7*($C$8+$C$9)/2+L$8)*(L$14+L$15)*$D$21*IF(COUNTIF($F21,"*雷*")&gt;0,L$17*(L$13*0.25+L$16*(L$10+属性开关!$X$56)+1-L$16-L$13-L$12),L$11*(L$13*0.25+L$9*L$10+1-L$9-L$13-L$12))</f>
        <v>160820.25873607217</v>
      </c>
      <c r="M21">
        <f ca="1">INT(M$6*$E21+M$7*($C$8+$C$9)/2+M$8)*(M$14+M$15)*$D$21*IF(COUNTIF($F21,"*雷*")&gt;0,M$17*(M$13*0.25+M$16*(M$10+属性开关!$X$56)+1-M$16-M$13-M$12),M$11*(M$13*0.25+M$9*M$10+1-M$9-M$13-M$12))</f>
        <v>69857.319286673126</v>
      </c>
      <c r="N21">
        <f ca="1">INT(N$6*$E21+N$7*($C$8+$C$9)/2+N$8)*(N$14+N$15)*$D$21*IF(COUNTIF($F21,"*雷*")&gt;0,N$17*(N$13*0.25+N$16*(N$10+属性开关!$X$56)+1-N$16-N$13-N$12),N$11*(N$13*0.25+N$9*N$10+1-N$9-N$13-N$12))</f>
        <v>83066.245103809153</v>
      </c>
      <c r="O21">
        <f ca="1">INT(O$6*$E21+O$7*($C$8+$C$9)/2+O$8)*(O$14+O$15)*$D$21*IF(COUNTIF($F21,"*雷*")&gt;0,O$17*(O$13*0.25+O$16*(O$10+属性开关!$X$56)+1-O$16-O$13-O$12),O$11*(O$13*0.25+O$9*O$10+1-O$9-O$13-O$12))</f>
        <v>30007.539483191715</v>
      </c>
      <c r="P21">
        <f ca="1">INT(P$6*$E21+P$7*($C$8+$C$9)/2+P$8)*(P$14+P$15)*$D$21*IF(COUNTIF($F21,"*雷*")&gt;0,P$17*(P$13*0.25+P$16*(P$10+属性开关!$X$56)+1-P$16-P$13-P$12),P$11*(P$13*0.25+P$9*P$10+1-P$9-P$13-P$12))</f>
        <v>50953.562626147344</v>
      </c>
      <c r="Q21">
        <f ca="1">INT(Q$6*$E21+Q$7*($C$8+$C$9)/2+Q$8)*(Q$14+Q$15)*$D$21*IF(COUNTIF($F21,"*雷*")&gt;0,Q$17*(Q$13*0.25+Q$16*(Q$10+属性开关!$X$56)+1-Q$16-Q$13-Q$12),Q$11*(Q$13*0.25+Q$9*Q$10+1-Q$9-Q$13-Q$12))</f>
        <v>40783.246723451797</v>
      </c>
      <c r="R21">
        <f ca="1">INT(R$6*$E21+R$7*($C$8+$C$9)/2+R$8)*(R$14+R$15)*$D$21*IF(COUNTIF($F21,"*雷*")&gt;0,R$17*(R$13*0.25+R$16*(R$10+属性开关!$X$56)+1-R$16-R$13-R$12),R$11*(R$13*0.25+R$9*R$10+1-R$9-R$13-R$12))</f>
        <v>11569.083016968178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49438.436760853612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91348.253013463662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144685.36383009079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117281.52521305304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246081.01690640635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144921.69538405558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130789.59953910644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392830.84008237405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17621.354178638074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22851.016112163423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312267.82483705314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404165.28735117981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299122.80750858574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129933.36557396276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405717.28949296573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300399.90548008971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39847.768271538007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160786.2044541284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61902.261687478873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属性开关!E35+INT($D$7*1638/1024)+INT($D$7*0.15*(1+属性开关!O35/1024))</f>
        <v>49287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277155.60684253927</v>
      </c>
      <c r="H22">
        <f ca="1">INT(H$6*$E22+H$7*($C$8+$C$9)/2+H$8)*(H$14+H$15)*$D$21*IF(COUNTIF($F22,"*雷*")&gt;0,H$17*(H$13*0.25+H$16*(H$10+属性开关!$X$56)+1-H$16-H$13-H$12),H$11*(H$13*0.25+H$9*H$10+1-H$9-H$13-H$12))</f>
        <v>161154.55504669333</v>
      </c>
      <c r="I22">
        <f ca="1">INT(I$6*$E22+I$7*($C$8+$C$9)/2+I$8)*(I$14+I$15)*$D$21*IF(COUNTIF($F22,"*雷*")&gt;0,I$17*(I$13*0.25+I$16*(I$10+属性开关!$X$56)+1-I$16-I$13-I$12),I$11*(I$13*0.25+I$9*I$10+1-I$9-I$13-I$12))</f>
        <v>89343.569127942799</v>
      </c>
      <c r="J22">
        <f ca="1">INT(J$6*$E22+J$7*($C$8+$C$9)/2+J$8)*(J$14+J$15)*$D$21*IF(COUNTIF($F22,"*雷*")&gt;0,J$17*(J$13*0.25+J$16*(J$10+属性开关!$X$56)+1-J$16-J$13-J$12),J$11*(J$13*0.25+J$9*J$10+1-J$9-J$13-J$12))</f>
        <v>160604.62491660338</v>
      </c>
      <c r="K22">
        <f ca="1">INT(K$6*$E22+K$7*($C$8+$C$9)/2+K$8)*(K$14+K$15)*$D$21*IF(COUNTIF($F22,"*雷*")&gt;0,K$17*(K$13*0.25+K$16*(K$10+属性开关!$X$56)+1-K$16-K$13-K$12),K$11*(K$13*0.25+K$9*K$10+1-K$9-K$13-K$12))</f>
        <v>167388.44331731668</v>
      </c>
      <c r="L22">
        <f ca="1">INT(L$6*$E22+L$7*($C$8+$C$9)/2+L$8)*(L$14+L$15)*$D$21*IF(COUNTIF($F22,"*雷*")&gt;0,L$17*(L$13*0.25+L$16*(L$10+属性开关!$X$56)+1-L$16-L$13-L$12),L$11*(L$13*0.25+L$9*L$10+1-L$9-L$13-L$12))</f>
        <v>118006.88828407106</v>
      </c>
      <c r="M22">
        <f ca="1">INT(M$6*$E22+M$7*($C$8+$C$9)/2+M$8)*(M$14+M$15)*$D$21*IF(COUNTIF($F22,"*雷*")&gt;0,M$17*(M$13*0.25+M$16*(M$10+属性开关!$X$56)+1-M$16-M$13-M$12),M$11*(M$13*0.25+M$9*M$10+1-M$9-M$13-M$12))</f>
        <v>51116.312969350613</v>
      </c>
      <c r="N22">
        <f ca="1">INT(N$6*$E22+N$7*($C$8+$C$9)/2+N$8)*(N$14+N$15)*$D$21*IF(COUNTIF($F22,"*雷*")&gt;0,N$17*(N$13*0.25+N$16*(N$10+属性开关!$X$56)+1-N$16-N$13-N$12),N$11*(N$13*0.25+N$9*N$10+1-N$9-N$13-N$12))</f>
        <v>60261.52476973155</v>
      </c>
      <c r="O22">
        <f ca="1">INT(O$6*$E22+O$7*($C$8+$C$9)/2+O$8)*(O$14+O$15)*$D$21*IF(COUNTIF($F22,"*雷*")&gt;0,O$17*(O$13*0.25+O$16*(O$10+属性开关!$X$56)+1-O$16-O$13-O$12),O$11*(O$13*0.25+O$9*O$10+1-O$9-O$13-O$12))</f>
        <v>22512.257653465123</v>
      </c>
      <c r="P22">
        <f ca="1">INT(P$6*$E22+P$7*($C$8+$C$9)/2+P$8)*(P$14+P$15)*$D$21*IF(COUNTIF($F22,"*雷*")&gt;0,P$17*(P$13*0.25+P$16*(P$10+属性开关!$X$56)+1-P$16-P$13-P$12),P$11*(P$13*0.25+P$9*P$10+1-P$9-P$13-P$12))</f>
        <v>36962.55192730116</v>
      </c>
      <c r="Q22">
        <f ca="1">INT(Q$6*$E22+Q$7*($C$8+$C$9)/2+Q$8)*(Q$14+Q$15)*$D$21*IF(COUNTIF($F22,"*雷*")&gt;0,Q$17*(Q$13*0.25+Q$16*(Q$10+属性开关!$X$56)+1-Q$16-Q$13-Q$12),Q$11*(Q$13*0.25+Q$9*Q$10+1-Q$9-Q$13-Q$12))</f>
        <v>29586.326714388921</v>
      </c>
      <c r="R22">
        <f ca="1">INT(R$6*$E22+R$7*($C$8+$C$9)/2+R$8)*(R$14+R$15)*$D$21*IF(COUNTIF($F22,"*雷*")&gt;0,R$17*(R$13*0.25+R$16*(R$10+属性开关!$X$56)+1-R$16-R$13-R$12),R$11*(R$13*0.25+R$9*R$10+1-R$9-R$13-R$12))</f>
        <v>8396.852269491299</v>
      </c>
      <c r="T22" s="34">
        <f ca="1">(G21+I21)/(G14+G15)*(G14+D38)</f>
        <v>479950.59136041056</v>
      </c>
      <c r="U22">
        <f ca="1">K20/(K14+K15)*(K14+D35)</f>
        <v>164424.16544158015</v>
      </c>
      <c r="V22">
        <f ca="1">T22+U22</f>
        <v>644374.75680199068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28605.499408577209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66301.455769655586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81813.083158037829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66301.708558157814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178488.22648189633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81960.133897214357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73936.781206863117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222046.61615656968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9754.9247952811165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16574.793165655232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177471.60706371584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229529.72951017457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171051.75172866383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74093.427955410894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230453.06092152631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173224.96533446183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23297.217981944985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90902.476678724997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34996.70563392475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属性开关!E36+INT($D$7*1638/1024)+INT($D$7*0.15*(1+属性开关!O36/1024))</f>
        <v>61702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343976.99547547242</v>
      </c>
      <c r="H23">
        <f ca="1">INT(H$6*$E23+H$7*($C$8+$C$9)/2+H$8)*(H$14+H$15)*$D$21*IF(COUNTIF($F23,"*雷*")&gt;0,H$17*(H$13*0.25+H$16*(H$10+属性开关!$X$56)+1-H$16-H$13-H$12),H$11*(H$13*0.25+H$9*H$10+1-H$9-H$13-H$12))</f>
        <v>161154.55504669333</v>
      </c>
      <c r="I23">
        <f ca="1">INT(I$6*$E23+I$7*($C$8+$C$9)/2+I$8)*(I$14+I$15)*$D$21*IF(COUNTIF($F23,"*雷*")&gt;0,I$17*(I$13*0.25+I$16*(I$10+属性开关!$X$56)+1-I$16-I$13-I$12),I$11*(I$13*0.25+I$9*I$10+1-I$9-I$13-I$12))</f>
        <v>111551.186827258</v>
      </c>
      <c r="J23">
        <f ca="1">INT(J$6*$E23+J$7*($C$8+$C$9)/2+J$8)*(J$14+J$15)*$D$21*IF(COUNTIF($F23,"*雷*")&gt;0,J$17*(J$13*0.25+J$16*(J$10+属性开关!$X$56)+1-J$16-J$13-J$12),J$11*(J$13*0.25+J$9*J$10+1-J$9-J$13-J$12))</f>
        <v>198884.05463580744</v>
      </c>
      <c r="K23">
        <f ca="1">INT(K$6*$E23+K$7*($C$8+$C$9)/2+K$8)*(K$14+K$15)*$D$21*IF(COUNTIF($F23,"*雷*")&gt;0,K$17*(K$13*0.25+K$16*(K$10+属性开关!$X$56)+1-K$16-K$13-K$12),K$11*(K$13*0.25+K$9*K$10+1-K$9-K$13-K$12))</f>
        <v>206947.60482793307</v>
      </c>
      <c r="L23">
        <f ca="1">INT(L$6*$E23+L$7*($C$8+$C$9)/2+L$8)*(L$14+L$15)*$D$21*IF(COUNTIF($F23,"*雷*")&gt;0,L$17*(L$13*0.25+L$16*(L$10+属性开关!$X$56)+1-L$16-L$13-L$12),L$11*(L$13*0.25+L$9*L$10+1-L$9-L$13-L$12))</f>
        <v>145571.18243575856</v>
      </c>
      <c r="M23">
        <f ca="1">INT(M$6*$E23+M$7*($C$8+$C$9)/2+M$8)*(M$14+M$15)*$D$21*IF(COUNTIF($F23,"*雷*")&gt;0,M$17*(M$13*0.25+M$16*(M$10+属性开关!$X$56)+1-M$16-M$13-M$12),M$11*(M$13*0.25+M$9*M$10+1-M$9-M$13-M$12))</f>
        <v>63448.544145131033</v>
      </c>
      <c r="N23">
        <f ca="1">INT(N$6*$E23+N$7*($C$8+$C$9)/2+N$8)*(N$14+N$15)*$D$21*IF(COUNTIF($F23,"*雷*")&gt;0,N$17*(N$13*0.25+N$16*(N$10+属性开关!$X$56)+1-N$16-N$13-N$12),N$11*(N$13*0.25+N$9*N$10+1-N$9-N$13-N$12))</f>
        <v>75393.962555009086</v>
      </c>
      <c r="O23">
        <f ca="1">INT(O$6*$E23+O$7*($C$8+$C$9)/2+O$8)*(O$14+O$15)*$D$21*IF(COUNTIF($F23,"*雷*")&gt;0,O$17*(O$13*0.25+O$16*(O$10+属性开关!$X$56)+1-O$16-O$13-O$12),O$11*(O$13*0.25+O$9*O$10+1-O$9-O$13-O$12))</f>
        <v>26126.670801603639</v>
      </c>
      <c r="P23">
        <f ca="1">INT(P$6*$E23+P$7*($C$8+$C$9)/2+P$8)*(P$14+P$15)*$D$21*IF(COUNTIF($F23,"*雷*")&gt;0,P$17*(P$13*0.25+P$16*(P$10+属性开关!$X$56)+1-P$16-P$13-P$12),P$11*(P$13*0.25+P$9*P$10+1-P$9-P$13-P$12))</f>
        <v>46254.679792917887</v>
      </c>
      <c r="Q23">
        <f ca="1">INT(Q$6*$E23+Q$7*($C$8+$C$9)/2+Q$8)*(Q$14+Q$15)*$D$21*IF(COUNTIF($F23,"*雷*")&gt;0,Q$17*(Q$13*0.25+Q$16*(Q$10+属性开关!$X$56)+1-Q$16-Q$13-Q$12),Q$11*(Q$13*0.25+Q$9*Q$10+1-Q$9-Q$13-Q$12))</f>
        <v>37018.432421338373</v>
      </c>
      <c r="R23">
        <f ca="1">INT(R$6*$E23+R$7*($C$8+$C$9)/2+R$8)*(R$14+R$15)*$D$21*IF(COUNTIF($F23,"*雷*")&gt;0,R$17*(R$13*0.25+R$16*(R$10+属性开关!$X$56)+1-R$16-R$13-R$12),R$11*(R$13*0.25+R$9*R$10+1-R$9-R$13-R$12))</f>
        <v>10494.797440910404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33990.200071232619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82865.885751246795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102325.83514541644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82968.009749997364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223417.29761756823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102472.88588459298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92526.307796472203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277942.41959861713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12207.865605442288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20745.606801556623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219498.30558234206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284351.09551417764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211006.37529657246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91969.077216343212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285380.56848055072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214163.48083488038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27037.658957931675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113729.24845598642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43787.90226259669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属性开关!E37+INT($D$7*1638/1024)+INT($D$7*0.15*(1+属性开关!O37/1024))</f>
        <v>61702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423427.7270759205</v>
      </c>
      <c r="H24">
        <f ca="1">INT(H$6*$E24+H$7*($C$8+$C$9)/2+H$8)*(H$14+H$15)*$D$21*IF(COUNTIF($F24,"*雷*")&gt;0,H$17*(H$13*0.25+H$16*(H$10+属性开关!$X$56)+1-H$16-H$13-H$12),H$11*(H$13*0.25+H$9*H$10+1-H$9-H$13-H$12))</f>
        <v>201840.57732410167</v>
      </c>
      <c r="I24">
        <f ca="1">INT(I$6*$E24+I$7*($C$8+$C$9)/2+I$8)*(I$14+I$15)*$D$21*IF(COUNTIF($F24,"*雷*")&gt;0,I$17*(I$13*0.25+I$16*(I$10+属性开关!$X$56)+1-I$16-I$13-I$12),I$11*(I$13*0.25+I$9*I$10+1-I$9-I$13-I$12))</f>
        <v>137316.93140001065</v>
      </c>
      <c r="J24">
        <f ca="1">INT(J$6*$E24+J$7*($C$8+$C$9)/2+J$8)*(J$14+J$15)*$D$21*IF(COUNTIF($F24,"*雷*")&gt;0,J$17*(J$13*0.25+J$16*(J$10+属性开关!$X$56)+1-J$16-J$13-J$12),J$11*(J$13*0.25+J$9*J$10+1-J$9-J$13-J$12))</f>
        <v>249095.48722726735</v>
      </c>
      <c r="K24">
        <f ca="1">INT(K$6*$E24+K$7*($C$8+$C$9)/2+K$8)*(K$14+K$15)*$D$21*IF(COUNTIF($F24,"*雷*")&gt;0,K$17*(K$13*0.25+K$16*(K$10+属性开关!$X$56)+1-K$16-K$13-K$12),K$11*(K$13*0.25+K$9*K$10+1-K$9-K$13-K$12))</f>
        <v>255503.46910183507</v>
      </c>
      <c r="L24">
        <f ca="1">INT(L$6*$E24+L$7*($C$8+$C$9)/2+L$8)*(L$14+L$15)*$D$21*IF(COUNTIF($F24,"*雷*")&gt;0,L$17*(L$13*0.25+L$16*(L$10+属性开关!$X$56)+1-L$16-L$13-L$12),L$11*(L$13*0.25+L$9*L$10+1-L$9-L$13-L$12))</f>
        <v>181417.9273426627</v>
      </c>
      <c r="M24">
        <f ca="1">INT(M$6*$E24+M$7*($C$8+$C$9)/2+M$8)*(M$14+M$15)*$D$21*IF(COUNTIF($F24,"*雷*")&gt;0,M$17*(M$13*0.25+M$16*(M$10+属性开关!$X$56)+1-M$16-M$13-M$12),M$11*(M$13*0.25+M$9*M$10+1-M$9-M$13-M$12))</f>
        <v>79072.678940413578</v>
      </c>
      <c r="N24">
        <f ca="1">INT(N$6*$E24+N$7*($C$8+$C$9)/2+N$8)*(N$14+N$15)*$D$21*IF(COUNTIF($F24,"*雷*")&gt;0,N$17*(N$13*0.25+N$16*(N$10+属性开关!$X$56)+1-N$16-N$13-N$12),N$11*(N$13*0.25+N$9*N$10+1-N$9-N$13-N$12))</f>
        <v>94428.363656525646</v>
      </c>
      <c r="O24">
        <f ca="1">INT(O$6*$E24+O$7*($C$8+$C$9)/2+O$8)*(O$14+O$15)*$D$21*IF(COUNTIF($F24,"*雷*")&gt;0,O$17*(O$13*0.25+O$16*(O$10+属性开关!$X$56)+1-O$16-O$13-O$12),O$11*(O$13*0.25+O$9*O$10+1-O$9-O$13-O$12))</f>
        <v>32722.763043368483</v>
      </c>
      <c r="P24">
        <f ca="1">INT(P$6*$E24+P$7*($C$8+$C$9)/2+P$8)*(P$14+P$15)*$D$21*IF(COUNTIF($F24,"*雷*")&gt;0,P$17*(P$13*0.25+P$16*(P$10+属性开关!$X$56)+1-P$16-P$13-P$12),P$11*(P$13*0.25+P$9*P$10+1-P$9-P$13-P$12))</f>
        <v>57932.407002947875</v>
      </c>
      <c r="Q24">
        <f ca="1">INT(Q$6*$E24+Q$7*($C$8+$C$9)/2+Q$8)*(Q$14+Q$15)*$D$21*IF(COUNTIF($F24,"*雷*")&gt;0,Q$17*(Q$13*0.25+Q$16*(Q$10+属性开关!$X$56)+1-Q$16-Q$13-Q$12),Q$11*(Q$13*0.25+Q$9*Q$10+1-Q$9-Q$13-Q$12))</f>
        <v>46364.322556016341</v>
      </c>
      <c r="R24">
        <f ca="1">INT(R$6*$E24+R$7*($C$8+$C$9)/2+R$8)*(R$14+R$15)*$D$21*IF(COUNTIF($F24,"*雷*")&gt;0,R$17*(R$13*0.25+R$16*(R$10+属性开关!$X$56)+1-R$16-R$13-R$12),R$11*(R$13*0.25+R$9*R$10+1-R$9-R$13-R$12))</f>
        <v>13144.375433627094</v>
      </c>
      <c r="T24">
        <f ca="1">K21</f>
        <v>226217.48758962378</v>
      </c>
      <c r="U24">
        <f ca="1">G20+I20</f>
        <v>402145.32884323632</v>
      </c>
      <c r="V24">
        <f ca="1">T24+U24</f>
        <v>628362.8164328601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54627.109305203601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103786.69231942316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164452.24122013242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133341.44923978217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279822.5363363435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164688.57277409718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148703.00024749179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446693.19110059057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20035.140202404211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25983.16412807419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352765.14719610941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456992.84920814156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337434.10305155732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147073.76985817685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458647.35939469421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339289.49872904003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43453.382097088353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182779.15615630359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70373.416988766126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INT(154/1024*属性开关!D31)+(属性开关!E31+INT($D$7*1638/1024))+INT(D7*0.15*(1+(154+属性开关!O31)/1024))</f>
        <v>45577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257186.02608308307</v>
      </c>
      <c r="H25">
        <f ca="1">INT(H$6*$E25+H$7*($C$8+$C$9)/2+H$8)*(H$14+H$15)*$D$21*IF(COUNTIF($F25,"*雷*")&gt;0,H$17*(H$13*0.25+H$16*(H$10+属性开关!$X$56)+1-H$16-H$13-H$12),H$11*(H$13*0.25+H$9*H$10+1-H$9-H$13-H$12))</f>
        <v>161154.55504669333</v>
      </c>
      <c r="I25">
        <f ca="1">INT(I$6*$E25+I$7*($C$8+$C$9)/2+I$8)*(I$14+I$15)*$D$21*IF(COUNTIF($F25,"*雷*")&gt;0,I$17*(I$13*0.25+I$16*(I$10+属性开关!$X$56)+1-I$16-I$13-I$12),I$11*(I$13*0.25+I$9*I$10+1-I$9-I$13-I$12))</f>
        <v>82706.809815503773</v>
      </c>
      <c r="J25">
        <f ca="1">INT(J$6*$E25+J$7*($C$8+$C$9)/2+J$8)*(J$14+J$15)*$D$21*IF(COUNTIF($F25,"*雷*")&gt;0,J$17*(J$13*0.25+J$16*(J$10+属性开关!$X$56)+1-J$16-J$13-J$12),J$11*(J$13*0.25+J$9*J$10+1-J$9-J$13-J$12))</f>
        <v>149165.40367126346</v>
      </c>
      <c r="K25">
        <f ca="1">INT(K$6*$E25+K$7*($C$8+$C$9)/2+K$8)*(K$14+K$15)*$D$21*IF(COUNTIF($F25,"*雷*")&gt;0,K$17*(K$13*0.25+K$16*(K$10+属性开关!$X$56)+1-K$16-K$13-K$12),K$11*(K$13*0.25+K$9*K$10+1-K$9-K$13-K$12))</f>
        <v>155566.89767056785</v>
      </c>
      <c r="L25">
        <f ca="1">INT(L$6*$E25+L$7*($C$8+$C$9)/2+L$8)*(L$14+L$15)*$D$21*IF(COUNTIF($F25,"*雷*")&gt;0,L$17*(L$13*0.25+L$16*(L$10+属性开关!$X$56)+1-L$16-L$13-L$12),L$11*(L$13*0.25+L$9*L$10+1-L$9-L$13-L$12))</f>
        <v>109769.19717423352</v>
      </c>
      <c r="M25">
        <f ca="1">INT(M$6*$E25+M$7*($C$8+$C$9)/2+M$8)*(M$14+M$15)*$D$21*IF(COUNTIF($F25,"*雷*")&gt;0,M$17*(M$13*0.25+M$16*(M$10+属性开关!$X$56)+1-M$16-M$13-M$12),M$11*(M$13*0.25+M$9*M$10+1-M$9-M$13-M$12))</f>
        <v>47431.226910002042</v>
      </c>
      <c r="N25">
        <f ca="1">INT(N$6*$E25+N$7*($C$8+$C$9)/2+N$8)*(N$14+N$15)*$D$21*IF(COUNTIF($F25,"*雷*")&gt;0,N$17*(N$13*0.25+N$16*(N$10+属性开关!$X$56)+1-N$16-N$13-N$12),N$11*(N$13*0.25+N$9*N$10+1-N$9-N$13-N$12))</f>
        <v>55739.994509348973</v>
      </c>
      <c r="O25">
        <f ca="1">INT(O$6*$E25+O$7*($C$8+$C$9)/2+O$8)*(O$14+O$15)*$D$21*IF(COUNTIF($F25,"*雷*")&gt;0,O$17*(O$13*0.25+O$16*(O$10+属性开关!$X$56)+1-O$16-O$13-O$12),O$11*(O$13*0.25+O$9*O$10+1-O$9-O$13-O$12))</f>
        <v>21431.102611732091</v>
      </c>
      <c r="P25">
        <f ca="1">INT(P$6*$E25+P$7*($C$8+$C$9)/2+P$8)*(P$14+P$15)*$D$21*IF(COUNTIF($F25,"*雷*")&gt;0,P$17*(P$13*0.25+P$16*(P$10+属性开关!$X$56)+1-P$16-P$13-P$12),P$11*(P$13*0.25+P$9*P$10+1-P$9-P$13-P$12))</f>
        <v>34186.089666423584</v>
      </c>
      <c r="Q25">
        <f ca="1">INT(Q$6*$E25+Q$7*($C$8+$C$9)/2+Q$8)*(Q$14+Q$15)*$D$21*IF(COUNTIF($F25,"*雷*")&gt;0,Q$17*(Q$13*0.25+Q$16*(Q$10+属性开关!$X$56)+1-Q$16-Q$13-Q$12),Q$11*(Q$13*0.25+Q$9*Q$10+1-Q$9-Q$13-Q$12))</f>
        <v>27363.879637251724</v>
      </c>
      <c r="R25">
        <f ca="1">INT(R$6*$E25+R$7*($C$8+$C$9)/2+R$8)*(R$14+R$15)*$D$21*IF(COUNTIF($F25,"*雷*")&gt;0,R$17*(R$13*0.25+R$16*(R$10+属性开关!$X$56)+1-R$16-R$13-R$12),R$11*(R$13*0.25+R$9*R$10+1-R$9-R$13-R$12))</f>
        <v>7769.6664043853452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34641.068747201316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83040.309385597255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97115.416796272941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78687.106033639124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165061.61919642676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97304.109807993402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87746.490742421258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263491.76962495741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16009.455891309801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27201.995470175603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211612.57912248722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273507.55575411138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204168.74524873175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88221.234491238007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274650.97528824123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206581.20578567023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28458.901508875748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107892.4675390341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41533.869276665187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属性开关!E39+INT($D$7*1638/1024)+INT($D$7*0.15*(1+属性开关!O39/1024))</f>
        <v>49287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3.3173716086162042E-2</v>
      </c>
      <c r="M26" s="40">
        <f t="shared" ca="1" si="38"/>
        <v>0</v>
      </c>
      <c r="N26" s="40">
        <f t="shared" ca="1" si="38"/>
        <v>7.4087224567916013E-2</v>
      </c>
      <c r="O26" s="40">
        <f t="shared" ca="1" si="38"/>
        <v>3.1521153441420216E-2</v>
      </c>
      <c r="P26" s="40">
        <f t="shared" ca="1" si="38"/>
        <v>3.5202247371739484E-3</v>
      </c>
      <c r="Q26" s="40">
        <f t="shared" ca="1" si="38"/>
        <v>5.5779235544740798E-3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3991.0953148049421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273074.23245035612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19552.382997650988</v>
      </c>
      <c r="BH26">
        <f ca="1">SUMPRODUCT(BH18:BH25,$BY$18:$BY$25)</f>
        <v>25356.734524892043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85387.804990193632</v>
      </c>
      <c r="H27">
        <f ca="1">(H18*$AC$38)/$AD$37/$E$2*$D$22+(H18*$AF$42)/$AF$41/$E$2*$C$22</f>
        <v>55686.274751103891</v>
      </c>
      <c r="I27">
        <f t="shared" ca="1" si="41"/>
        <v>27381.077278806872</v>
      </c>
      <c r="J27">
        <f ca="1">J18*$AC$39/$AD$37/$E$2*$D$22+J18*$AE$43/$AF$41/$E$2*$C$22</f>
        <v>16420.008317305626</v>
      </c>
      <c r="K27">
        <f t="shared" ref="K27:K33" ca="1" si="42">K18*$AC$40/$AD$37/$E$2*$D$22+K18*$AE$44/$AF$41/$E$2*$C$22</f>
        <v>17137.573282037527</v>
      </c>
      <c r="L27">
        <f ca="1">L18*$AC$37/$AD$37/$E$2*$D$22+L18*$AE$41/$AF$41/$E$2*$C$22</f>
        <v>12440.945309460609</v>
      </c>
      <c r="M27">
        <f ca="1">M18*$AE$41/$AF$41/$E$2*$C$22</f>
        <v>0</v>
      </c>
      <c r="N27">
        <f ca="1">N18/$E$3</f>
        <v>27301.187044893784</v>
      </c>
      <c r="O27">
        <f ca="1">O18/$F$3</f>
        <v>12518.456202050427</v>
      </c>
      <c r="P27">
        <f ca="1">P18/$E$45*大附魔数值!$S$9</f>
        <v>1296.8985428623446</v>
      </c>
      <c r="Q27">
        <f ca="1">Q18/$E$47*大附魔数值!$S$10</f>
        <v>2055.2150038752397</v>
      </c>
      <c r="R27">
        <f ca="1">R18/45</f>
        <v>158.60908789921152</v>
      </c>
      <c r="S27">
        <f ca="1">SUM(G27:R27,AS27)*IF(COUNTIF(F27,"*雷*")&gt;0,$B$21/$D$21,1)</f>
        <v>257784.04981048917</v>
      </c>
      <c r="T27" s="15">
        <f ca="1">AQ27</f>
        <v>0.45454545454545447</v>
      </c>
      <c r="U27">
        <f ca="1">U28*(1+非侠士/1024)*(1+C14)*(1-B24*0.05)+AQ9</f>
        <v>537191.60678399692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105110.4133781462</v>
      </c>
      <c r="H28">
        <f t="shared" ref="H28:H33" ca="1" si="45">(H19*$AC$38)/$AD$37/$E$2*$D$22+(H19*$AF$42)/$AF$41/$E$2*$C$22</f>
        <v>69745.157631658134</v>
      </c>
      <c r="I28">
        <f t="shared" ca="1" si="41"/>
        <v>33705.472951844647</v>
      </c>
      <c r="J28">
        <f t="shared" ref="J28:J33" ca="1" si="46">J19*$AC$39/$AD$37/$E$2*$D$22+J19*$AE$43/$AF$41/$E$2*$C$22</f>
        <v>20565.499730809643</v>
      </c>
      <c r="K28">
        <f t="shared" ca="1" si="42"/>
        <v>21158.541212343069</v>
      </c>
      <c r="L28">
        <f t="shared" ref="L28:L33" ca="1" si="47">L19*$AC$37/$AD$37/$E$2*$D$22+L19*$AE$41/$AF$41/$E$2*$C$22</f>
        <v>15504.514523139202</v>
      </c>
      <c r="M28">
        <f t="shared" ref="M28:M33" ca="1" si="48">M19*$AE$41/$AF$41/$E$2*$C$22</f>
        <v>0</v>
      </c>
      <c r="N28">
        <f t="shared" ref="N28:N33" ca="1" si="49">N19/$E$3</f>
        <v>34193.804532413145</v>
      </c>
      <c r="O28">
        <f t="shared" ref="O28:O33" ca="1" si="50">O19/$F$3</f>
        <v>15678.938930992286</v>
      </c>
      <c r="P28">
        <f ca="1">P19/$E$45*大附魔数值!$S$9</f>
        <v>1624.3211403256762</v>
      </c>
      <c r="Q28">
        <f ca="1">Q19/$E$47*大附魔数值!$S$10</f>
        <v>2574.0866138542688</v>
      </c>
      <c r="R28">
        <f t="shared" ref="R28:R33" ca="1" si="51">R19/45</f>
        <v>198.65246664079896</v>
      </c>
      <c r="S28">
        <f t="shared" ref="S28:S33" ca="1" si="52">SUM(G28:R28,AS28)*IF(COUNTIF(F28,"*雷*")&gt;0,$B$21/$D$21,1)</f>
        <v>419389.29709739855</v>
      </c>
      <c r="T28" s="15">
        <f t="shared" ref="T28:T33" ca="1" si="53">AQ28</f>
        <v>0</v>
      </c>
      <c r="U28">
        <f ca="1">U33+U39+AW29+BI26+AT32+BB3+BC3+AY26+AZ26+BF27+CL26+AR26+AM8+AL8+CQ24</f>
        <v>408519.58394693676</v>
      </c>
      <c r="V28">
        <f ca="1">U28-U33</f>
        <v>24730.910437616811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109454.6631545712</v>
      </c>
      <c r="H29">
        <f t="shared" ca="1" si="45"/>
        <v>55686.274751103891</v>
      </c>
      <c r="I29">
        <f t="shared" ca="1" si="41"/>
        <v>35379.219400571892</v>
      </c>
      <c r="J29">
        <f t="shared" ca="1" si="46"/>
        <v>20986.207318240369</v>
      </c>
      <c r="K29">
        <f t="shared" ca="1" si="42"/>
        <v>21856.426334254538</v>
      </c>
      <c r="L29">
        <f t="shared" ca="1" si="47"/>
        <v>15820.219342612359</v>
      </c>
      <c r="M29">
        <f t="shared" ca="1" si="48"/>
        <v>0</v>
      </c>
      <c r="N29">
        <f t="shared" ca="1" si="49"/>
        <v>35371.820530375138</v>
      </c>
      <c r="O29">
        <f t="shared" ca="1" si="50"/>
        <v>14743.857561161376</v>
      </c>
      <c r="P29">
        <f ca="1">P20/$E$45*大附魔数值!$S$9</f>
        <v>1680.7177179674197</v>
      </c>
      <c r="Q29">
        <f ca="1">Q20/$E$47*大附魔数值!$S$10</f>
        <v>2663.200330645881</v>
      </c>
      <c r="R29">
        <f t="shared" ca="1" si="51"/>
        <v>205.2676589960426</v>
      </c>
      <c r="S29">
        <f t="shared" ca="1" si="52"/>
        <v>313847.87410050014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134736.15924035053</v>
      </c>
      <c r="H30">
        <f t="shared" ca="1" si="45"/>
        <v>69745.157631658134</v>
      </c>
      <c r="I30">
        <f t="shared" ca="1" si="41"/>
        <v>43551.000949343048</v>
      </c>
      <c r="J30">
        <f t="shared" ca="1" si="46"/>
        <v>26284.508059543292</v>
      </c>
      <c r="K30">
        <f t="shared" ca="1" si="42"/>
        <v>26984.573004427333</v>
      </c>
      <c r="L30">
        <f t="shared" ca="1" si="47"/>
        <v>19715.931101333299</v>
      </c>
      <c r="M30">
        <f t="shared" ca="1" si="48"/>
        <v>0</v>
      </c>
      <c r="N30">
        <f t="shared" ca="1" si="49"/>
        <v>44301.997388698212</v>
      </c>
      <c r="O30">
        <f t="shared" ca="1" si="50"/>
        <v>18466.178143502595</v>
      </c>
      <c r="P30">
        <f ca="1">P21/$E$45*大附魔数值!$S$9</f>
        <v>2105.041551044581</v>
      </c>
      <c r="Q30">
        <f ca="1">Q21/$E$47*大附魔数值!$S$10</f>
        <v>3335.5674750338535</v>
      </c>
      <c r="R30">
        <f t="shared" ca="1" si="51"/>
        <v>257.09073371040392</v>
      </c>
      <c r="S30">
        <f t="shared" ca="1" si="52"/>
        <v>510358.65875125496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99818.448038170929</v>
      </c>
      <c r="H31">
        <f t="shared" ca="1" si="45"/>
        <v>55686.274751103891</v>
      </c>
      <c r="I31">
        <f t="shared" ca="1" si="41"/>
        <v>32177.362436001386</v>
      </c>
      <c r="J31">
        <f t="shared" ca="1" si="46"/>
        <v>19157.878871737321</v>
      </c>
      <c r="K31">
        <f t="shared" ca="1" si="42"/>
        <v>19967.093246953566</v>
      </c>
      <c r="L31">
        <f t="shared" ca="1" si="47"/>
        <v>14467.180299154801</v>
      </c>
      <c r="M31">
        <f t="shared" ca="1" si="48"/>
        <v>0</v>
      </c>
      <c r="N31">
        <f t="shared" ca="1" si="49"/>
        <v>32139.479877190159</v>
      </c>
      <c r="O31">
        <f t="shared" ca="1" si="50"/>
        <v>13853.697017516999</v>
      </c>
      <c r="P31">
        <f ca="1">P22/$E$45*大附魔数值!$S$9</f>
        <v>1527.031744777039</v>
      </c>
      <c r="Q31">
        <f ca="1">Q22/$E$47*大附魔数值!$S$10</f>
        <v>2419.7972702720676</v>
      </c>
      <c r="R31">
        <f t="shared" ca="1" si="51"/>
        <v>186.59671709980665</v>
      </c>
      <c r="S31">
        <f t="shared" ca="1" si="52"/>
        <v>291400.84026997798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123884.37758973979</v>
      </c>
      <c r="H32">
        <f t="shared" ca="1" si="45"/>
        <v>55686.274751103891</v>
      </c>
      <c r="I32">
        <f t="shared" ca="1" si="41"/>
        <v>40175.504557766406</v>
      </c>
      <c r="J32">
        <f ca="1">J24*$AC$39/$AD$37/$E$2*$D$22+J24*$AE$43/$AF$41/$E$2*$C$22</f>
        <v>29713.597440138426</v>
      </c>
      <c r="K32">
        <f t="shared" ca="1" si="42"/>
        <v>24685.946299170573</v>
      </c>
      <c r="L32">
        <f t="shared" ca="1" si="47"/>
        <v>17846.454332306555</v>
      </c>
      <c r="M32">
        <f t="shared" ca="1" si="48"/>
        <v>0</v>
      </c>
      <c r="N32">
        <f t="shared" ca="1" si="49"/>
        <v>40210.113362671509</v>
      </c>
      <c r="O32">
        <f t="shared" ca="1" si="50"/>
        <v>16077.951262525316</v>
      </c>
      <c r="P32">
        <f ca="1">P23/$E$45*大附魔数值!$S$9</f>
        <v>1910.9168795272601</v>
      </c>
      <c r="Q32">
        <f ca="1">Q23/$E$47*大附魔数值!$S$10</f>
        <v>3027.6520160017349</v>
      </c>
      <c r="R32">
        <f t="shared" ca="1" si="51"/>
        <v>233.21772090912009</v>
      </c>
      <c r="S32">
        <f t="shared" ca="1" si="52"/>
        <v>353452.00621186063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152498.80402766366</v>
      </c>
      <c r="H33">
        <f t="shared" ca="1" si="45"/>
        <v>69745.157631658134</v>
      </c>
      <c r="I33">
        <f t="shared" ca="1" si="41"/>
        <v>49455.117065339698</v>
      </c>
      <c r="J33">
        <f t="shared" ca="1" si="46"/>
        <v>29713.597440138426</v>
      </c>
      <c r="K33">
        <f t="shared" ca="1" si="42"/>
        <v>30477.979789831057</v>
      </c>
      <c r="L33">
        <f t="shared" ca="1" si="47"/>
        <v>22241.124247316882</v>
      </c>
      <c r="M33">
        <f t="shared" ca="1" si="48"/>
        <v>0</v>
      </c>
      <c r="N33">
        <f t="shared" ca="1" si="49"/>
        <v>50361.79395014701</v>
      </c>
      <c r="O33">
        <f t="shared" ca="1" si="50"/>
        <v>20137.08494976522</v>
      </c>
      <c r="P33">
        <f ca="1">P24/$E$45*大附魔数值!$S$9</f>
        <v>2393.3581403913727</v>
      </c>
      <c r="Q33">
        <f ca="1">Q24/$E$47*大附魔数值!$S$10</f>
        <v>3792.0307661747938</v>
      </c>
      <c r="R33">
        <f t="shared" ca="1" si="51"/>
        <v>292.09723185837987</v>
      </c>
      <c r="S33">
        <f t="shared" ca="1" si="52"/>
        <v>564901.82837066264</v>
      </c>
      <c r="T33" s="15">
        <f t="shared" ca="1" si="53"/>
        <v>0.31818181818181818</v>
      </c>
      <c r="U33">
        <f ca="1">(S48*T48+SUMPRODUCT(S27:S33,T27:T33))*(1+大附魔数值!$O$10*21/1024)</f>
        <v>383788.67350931995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60928.371619955993</v>
      </c>
      <c r="H34">
        <f ca="1">H18*2*$D$33/(5+2*$D$33)/$E$2</f>
        <v>41414.598135061053</v>
      </c>
      <c r="I34">
        <f ca="1">I18*2*$D$33/(5+2*$D$33)/$E$2</f>
        <v>19537.736705955525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37449.328074291952</v>
      </c>
      <c r="L34">
        <f ca="1">L18/(5+2*$D$33)/$E$2</f>
        <v>9127.582275595707</v>
      </c>
      <c r="M34">
        <v>0</v>
      </c>
      <c r="N34">
        <f ca="1">N27</f>
        <v>27301.187044893784</v>
      </c>
      <c r="O34">
        <f ca="1">O27</f>
        <v>12518.456202050427</v>
      </c>
      <c r="P34">
        <f ca="1">P27</f>
        <v>1296.8985428623446</v>
      </c>
      <c r="Q34">
        <f ca="1">Q27</f>
        <v>2055.2150038752397</v>
      </c>
      <c r="R34">
        <f ca="1">R27</f>
        <v>158.60908789921152</v>
      </c>
      <c r="S34">
        <f ca="1">SUM(G34:R34,AS34)</f>
        <v>211787.98269244126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44092.900512124666</v>
      </c>
      <c r="H35">
        <f ca="1">H18*$D$33/(4+$D$33)/$E$2</f>
        <v>29971.090754061246</v>
      </c>
      <c r="I35">
        <f ca="1">I18*$D$33/(4+$D$33)/$E$2</f>
        <v>14139.151562777404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17419.56560352246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13742.639607295227</v>
      </c>
      <c r="N35">
        <f ca="1">N27</f>
        <v>27301.187044893784</v>
      </c>
      <c r="O35">
        <f t="shared" ref="O35:R35" ca="1" si="57">O27</f>
        <v>12518.456202050427</v>
      </c>
      <c r="P35">
        <f t="shared" ca="1" si="57"/>
        <v>1296.8985428623446</v>
      </c>
      <c r="Q35">
        <f t="shared" ca="1" si="57"/>
        <v>2055.2150038752397</v>
      </c>
      <c r="R35">
        <f t="shared" ca="1" si="57"/>
        <v>158.60908789921152</v>
      </c>
      <c r="S35">
        <f t="shared" ref="S35:S36" ca="1" si="58">SUM(G35:R35,AS35)</f>
        <v>162695.71392136201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88661.906753145289</v>
      </c>
      <c r="H36">
        <f ca="1">H25*$D$33*2/(3+2*$D$33)/$E$2</f>
        <v>55556.168233567892</v>
      </c>
      <c r="I36">
        <f ca="1">I25*$D$33*2/(3+2*$D$33)/$E$2</f>
        <v>28512.215735016001</v>
      </c>
      <c r="J36">
        <f ca="1">J25/(3+2*$D$33)/$E$2</f>
        <v>17998.066464970107</v>
      </c>
      <c r="K36">
        <f ca="1">K25/(3+2*$D$33)/$E$2</f>
        <v>18770.460811372992</v>
      </c>
      <c r="L36">
        <f ca="1">L25/(3+2*$D$33)/$E$2</f>
        <v>13244.581236157424</v>
      </c>
      <c r="M36">
        <v>0</v>
      </c>
      <c r="N36">
        <f ca="1">N25/E3</f>
        <v>29727.997071652786</v>
      </c>
      <c r="O36">
        <f ca="1">O25/F3</f>
        <v>13188.370837988979</v>
      </c>
      <c r="P36">
        <f ca="1">P25/$E$45*大附魔数值!$S$9</f>
        <v>1412.3279218679952</v>
      </c>
      <c r="Q36">
        <f ca="1">Q25/$E$47*大附魔数值!$S$10</f>
        <v>2238.0284612375458</v>
      </c>
      <c r="R36">
        <f ca="1">R25/45</f>
        <v>172.65925343078544</v>
      </c>
      <c r="S36">
        <f t="shared" ca="1" si="58"/>
        <v>269482.78278040781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0.25882273558971591</v>
      </c>
      <c r="H37" s="15">
        <f t="shared" ref="H37" ca="1" si="59">SUMPRODUCT(H38:H45,$S$38:$S$45)/$T$38</f>
        <v>0.14078080766476597</v>
      </c>
      <c r="I37" s="15">
        <f t="shared" ref="I37:Q37" ca="1" si="60">SUMPRODUCT(I38:I45,$S$38:$S$45)/$T$38</f>
        <v>8.3518135989489345E-2</v>
      </c>
      <c r="J37" s="15">
        <f t="shared" ca="1" si="60"/>
        <v>1.2663134128933204E-2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4.6590118284928053E-2</v>
      </c>
      <c r="O37" s="15">
        <f t="shared" ca="1" si="60"/>
        <v>1.9822233534566917E-2</v>
      </c>
      <c r="P37" s="15">
        <f t="shared" ca="1" si="60"/>
        <v>2.2137107693124287E-3</v>
      </c>
      <c r="Q37" s="15">
        <f t="shared" ca="1" si="60"/>
        <v>3.5077048668357711E-3</v>
      </c>
      <c r="R37">
        <v>0</v>
      </c>
      <c r="S37">
        <f ca="1">(S35*(4+D33)+S36*11)/(15+D33)</f>
        <v>234196.62089980106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154437.11747328888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100717.95662547923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49522.934202816636</v>
      </c>
      <c r="J38">
        <f ca="1">J18/$E$2*(3-属性开关!$X$37)/(3+2*$D$33)/(3+$D$33)</f>
        <v>7500.8085834511903</v>
      </c>
      <c r="N38">
        <f ca="1">N27</f>
        <v>27301.187044893784</v>
      </c>
      <c r="O38">
        <f ca="1">O27</f>
        <v>12518.456202050427</v>
      </c>
      <c r="P38">
        <f ca="1">P27</f>
        <v>1296.8985428623446</v>
      </c>
      <c r="Q38">
        <f ca="1">Q27</f>
        <v>2055.2150038752397</v>
      </c>
      <c r="R38">
        <f ca="1">SUM(G38:Q38,AS38,AU18*属性开关!$X$37)*IF(COUNTIF(F38,"*雷*")&gt;0,$B$21/$D$21,1)*(1+大附魔数值!$O$10*21/1024)</f>
        <v>411720.86903255421</v>
      </c>
      <c r="S38" s="36">
        <f t="shared" ref="S38:S45" ca="1" si="61">T27</f>
        <v>0.45454545454545447</v>
      </c>
      <c r="T38">
        <f ca="1">SUMPRODUCT(S38:S46,R38:R46)</f>
        <v>610297.60575014376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190108.52030229603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126145.80150278962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60961.586802173959</v>
      </c>
      <c r="J39">
        <f ca="1">J19/$E$2*(3-属性开关!$X$37)/(3+2*$D$33)/(3+$D$33)</f>
        <v>9394.5066240461183</v>
      </c>
      <c r="N39">
        <f t="shared" ref="N39:Q45" ca="1" si="63">N28</f>
        <v>34193.804532413145</v>
      </c>
      <c r="O39">
        <f t="shared" ca="1" si="63"/>
        <v>15678.938930992286</v>
      </c>
      <c r="P39">
        <f t="shared" ca="1" si="63"/>
        <v>1624.3211403256762</v>
      </c>
      <c r="Q39">
        <f t="shared" ca="1" si="63"/>
        <v>2574.0866138542688</v>
      </c>
      <c r="R39">
        <f ca="1">SUM(G39:Q39,AS39,AU19*属性开关!$X$37)*IF(COUNTIF(F39,"*雷*")&gt;0,$B$21/$D$21,1)*(1+大附魔数值!$O$10*21/1024)</f>
        <v>669959.38559597556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197965.77126608539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100717.95662547923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63988.817411419353</v>
      </c>
      <c r="J40">
        <f ca="1">J20/$E$2*(3-属性开关!$X$37)/(3+2*$D$33)/(3+$D$33)</f>
        <v>9586.6896620776915</v>
      </c>
      <c r="N40">
        <f t="shared" ca="1" si="63"/>
        <v>35371.820530375138</v>
      </c>
      <c r="O40">
        <f t="shared" ca="1" si="63"/>
        <v>14743.857561161376</v>
      </c>
      <c r="P40">
        <f t="shared" ca="1" si="63"/>
        <v>1680.7177179674197</v>
      </c>
      <c r="Q40">
        <f t="shared" ca="1" si="63"/>
        <v>2663.200330645881</v>
      </c>
      <c r="R40">
        <f ca="1">SUM(G40:Q40,AS40,AU20*属性开关!$X$37)*IF(COUNTIF(F40,"*雷*")&gt;0,$B$21/$D$21,1)*(1+大附魔数值!$O$10*21/1024)</f>
        <v>499653.55644063908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243691.28653548946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126145.80150278962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78768.754513193577</v>
      </c>
      <c r="J41">
        <f ca="1">J21/$E$2*(3-属性开关!$X$37)/(3+2*$D$33)/(3+$D$33)</f>
        <v>12007.001449385723</v>
      </c>
      <c r="N41">
        <f t="shared" ca="1" si="63"/>
        <v>44301.997388698212</v>
      </c>
      <c r="O41">
        <f t="shared" ca="1" si="63"/>
        <v>18466.178143502595</v>
      </c>
      <c r="P41">
        <f t="shared" ca="1" si="63"/>
        <v>2105.041551044581</v>
      </c>
      <c r="Q41">
        <f t="shared" ca="1" si="63"/>
        <v>3335.5674750338535</v>
      </c>
      <c r="R41">
        <f ca="1">SUM(G41:Q41,AS41,AU21*属性开关!$X$37)*IF(COUNTIF(F41,"*雷*")&gt;0,$B$21/$D$21,1)*(1+大附魔数值!$O$10*21/1024)</f>
        <v>812638.55454532255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180537.17843482216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100717.95662547923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58197.761414291497</v>
      </c>
      <c r="J42">
        <f ca="1">J22/$E$2*(3-属性开关!$X$37)/(3+2*$D$33)/(3+$D$33)</f>
        <v>8751.4926609626273</v>
      </c>
      <c r="N42">
        <f t="shared" ca="1" si="63"/>
        <v>32139.479877190159</v>
      </c>
      <c r="O42">
        <f t="shared" ca="1" si="63"/>
        <v>13853.697017516999</v>
      </c>
      <c r="P42">
        <f t="shared" ca="1" si="63"/>
        <v>1527.031744777039</v>
      </c>
      <c r="Q42">
        <f t="shared" ca="1" si="63"/>
        <v>2419.7972702720676</v>
      </c>
      <c r="R42">
        <f ca="1">SUM(G42:Q42,AS42,AU22*属性开关!$X$37)*IF(COUNTIF(F42,"*雷*")&gt;0,$B$21/$D$21,1)*(1+大附魔数值!$O$10*21/1024)</f>
        <v>464445.85081496736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224064.15268701629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100717.95662547923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72663.644622894208</v>
      </c>
      <c r="J43">
        <f ca="1">J23/$E$2*(3-属性开关!$X$37)/(3+2*$D$33)/(3+$D$33)</f>
        <v>10837.373739589128</v>
      </c>
      <c r="N43">
        <f t="shared" ca="1" si="63"/>
        <v>40210.113362671509</v>
      </c>
      <c r="O43">
        <f t="shared" ca="1" si="63"/>
        <v>16077.951262525316</v>
      </c>
      <c r="P43">
        <f t="shared" ca="1" si="63"/>
        <v>1910.9168795272601</v>
      </c>
      <c r="Q43">
        <f t="shared" ca="1" si="63"/>
        <v>3027.6520160017349</v>
      </c>
      <c r="R43">
        <f ca="1">SUM(G43:Q43,AS43,AU23*属性开关!$X$37)*IF(COUNTIF(F43,"*雷*")&gt;0,$B$21/$D$21,1)*(1+大附魔数值!$O$10*21/1024)</f>
        <v>552375.64694695151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275817.79054820677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126145.80150278962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89447.266208005633</v>
      </c>
      <c r="J44">
        <f ca="1">J24/$E$2*(3-属性开关!$X$37)/(3+2*$D$33)/(3+$D$33)</f>
        <v>13573.440549923884</v>
      </c>
      <c r="N44">
        <f t="shared" ca="1" si="63"/>
        <v>50361.79395014701</v>
      </c>
      <c r="O44">
        <f t="shared" ca="1" si="63"/>
        <v>20137.08494976522</v>
      </c>
      <c r="P44">
        <f t="shared" ca="1" si="63"/>
        <v>2393.3581403913727</v>
      </c>
      <c r="Q44">
        <f t="shared" ca="1" si="63"/>
        <v>3792.0307661747938</v>
      </c>
      <c r="R44">
        <f ca="1">SUM(G44:Q44,AS44,AU24*属性开关!$X$37)*IF(COUNTIF(F44,"*雷*")&gt;0,$B$21/$D$21,1)*(1+大附魔数值!$O$10*21/1024)</f>
        <v>898185.13826211763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167529.13646911588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100717.95662547923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53874.623903674597</v>
      </c>
      <c r="J45">
        <f ca="1">J25/$E$2*(3-属性开关!$X$37)/(3+2*$D$33)/(3+$D$33)</f>
        <v>8128.1590500675229</v>
      </c>
      <c r="N45">
        <f ca="1">N34</f>
        <v>27301.187044893784</v>
      </c>
      <c r="O45">
        <f t="shared" ca="1" si="63"/>
        <v>12518.456202050427</v>
      </c>
      <c r="P45">
        <f t="shared" ca="1" si="63"/>
        <v>1296.8985428623446</v>
      </c>
      <c r="Q45">
        <f t="shared" ca="1" si="63"/>
        <v>2055.2150038752397</v>
      </c>
      <c r="R45">
        <f ca="1">SUM(G45:Q45,AS45,AU22*属性开关!$X$37)*IF(COUNTIF(F45,"*雷*")&gt;0,$B$21/$D$21,1)*(1+大附魔数值!$O$10*21/1024)</f>
        <v>439723.08861167467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222237.09179065601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126145.80150278962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71640.098496986029</v>
      </c>
      <c r="J46">
        <f ca="1">J47/$E$2*(3-属性开关!X37)/(3+2*$D$33)/(3+$D$33)</f>
        <v>10960.945724584279</v>
      </c>
      <c r="N46">
        <f ca="1">N48</f>
        <v>40253.601093861951</v>
      </c>
      <c r="O46">
        <f t="shared" ref="O46:Q46" ca="1" si="65">O48</f>
        <v>17351.282458498474</v>
      </c>
      <c r="P46">
        <f t="shared" ca="1" si="65"/>
        <v>1912.5551174692164</v>
      </c>
      <c r="Q46">
        <f t="shared" ca="1" si="65"/>
        <v>3030.7134532901368</v>
      </c>
      <c r="R46">
        <f ca="1">SUM(G46:Q46,AS46,AU25*属性开关!$X$37)*IF(COUNTIF(F46,"*雷*")&gt;0,$B$21/$D$21,1)*(1+大附魔数值!$O$10*21/1024)</f>
        <v>755510.66708569962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341172.1428913172</v>
      </c>
      <c r="H47">
        <f ca="1">INT(H$6*$E26+H$7*($C$8+$C$9)/2+H$8)*(H$14+H$15)*$D$21*IF(COUNTIF($F47,"*雷*")&gt;0,H$17*(H$13*0.25+H$16*(H$10+属性开关!$X$56)+1-H$16-H$13-H$12),H$11*(H$13*0.25+H$9*H$10+1-H$9-H$13-H$12))</f>
        <v>201840.57732410167</v>
      </c>
      <c r="I47">
        <f ca="1">INT(I$6*$E26+I$7*($C$8+$C$9)/2+I$8)*(I$14+I$15)*$D$21*IF(COUNTIF($F47,"*雷*")&gt;0,I$17*(I$13*0.25+I$16*(I$10+属性开关!$X$56)+1-I$16-I$13-I$12),I$11*(I$13*0.25+I$9*I$10+1-I$9-I$13-I$12))</f>
        <v>109979.86755597655</v>
      </c>
      <c r="J47">
        <f ca="1">INT(J$6*$E26+J$7*($C$8+$C$9)/2+J$8)*(J$14+J$15)*$D$21*IF(COUNTIF($F47,"*雷*")&gt;0,J$17*(J$13*0.25+J$16*(J$10+属性开关!$X$56)+1-J$16-J$13-J$12),J$11*(J$13*0.25+J$9*J$10+1-J$9-J$13-J$12))</f>
        <v>201151.80861438002</v>
      </c>
      <c r="K47">
        <f ca="1">INT(K$6*$E26+K$7*($C$8+$C$9)/2+K$8)*(K$14+K$15)*$D$21*IF(COUNTIF($F47,"*雷*")&gt;0,K$17*(K$13*0.25+K$16*(K$10+属性开关!$X$56)+1-K$16-K$13-K$12),K$11*(K$13*0.25+K$9*K$10+1-K$9-K$13-K$12))</f>
        <v>206662.58974434662</v>
      </c>
      <c r="L47">
        <f ca="1">INT(L$6*$E26+L$7*($C$8+$C$9)/2+L$8)*(L$14+L$15)*$D$21*IF(COUNTIF($F47,"*雷*")&gt;0,L$17*(L$13*0.25+L$16*(L$10+属性开关!$X$56)+1-L$16-L$13-L$12),L$11*(L$13*0.25+L$9*L$10+1-L$9-L$13-L$12))</f>
        <v>147065.95581925046</v>
      </c>
      <c r="M47">
        <f ca="1">INT(M$6*$E26+M$7*($C$8+$C$9)/2+M$8)*(M$14+M$15)*$D$21*IF(COUNTIF($F47,"*雷*")&gt;0,M$17*(M$13*0.25+M$16*(M$10+属性开关!$X$56)+1-M$16-M$13-M$12),M$11*(M$13*0.25+M$9*M$10+1-M$9-M$13-M$12))</f>
        <v>63703.649287803724</v>
      </c>
      <c r="N47">
        <f ca="1">INT(N$6*$E26+N$7*($C$8+$C$9)/2+N$8)*(N$14+N$15)*$D$21*IF(COUNTIF($F47,"*雷*")&gt;0,N$17*(N$13*0.25+N$16*(N$10+属性开关!$X$56)+1-N$16-N$13-N$12),N$11*(N$13*0.25+N$9*N$10+1-N$9-N$13-N$12))</f>
        <v>75475.502050991156</v>
      </c>
      <c r="O47">
        <f ca="1">INT(O$6*$E26+O$7*($C$8+$C$9)/2+O$8)*(O$14+O$15)*$D$21*IF(COUNTIF($F47,"*雷*")&gt;0,O$17*(O$13*0.25+O$16*(O$10+属性开关!$X$56)+1-O$16-O$13-O$12),O$11*(O$13*0.25+O$9*O$10+1-O$9-O$13-O$12))</f>
        <v>28195.83399506002</v>
      </c>
      <c r="P47">
        <f ca="1">INT(P$6*$E26+P$7*($C$8+$C$9)/2+P$8)*(P$14+P$15)*$D$21*IF(COUNTIF($F47,"*雷*")&gt;0,P$17*(P$13*0.25+P$16*(P$10+属性开关!$X$56)+1-P$16-P$13-P$12),P$11*(P$13*0.25+P$9*P$10+1-P$9-P$13-P$12))</f>
        <v>46294.33414536075</v>
      </c>
      <c r="Q47">
        <f ca="1">INT(Q$6*$E26+Q$7*($C$8+$C$9)/2+Q$8)*(Q$14+Q$15)*$D$21*IF(COUNTIF($F47,"*雷*")&gt;0,Q$17*(Q$13*0.25+Q$16*(Q$10+属性开关!$X$56)+1-Q$16-Q$13-Q$12),Q$11*(Q$13*0.25+Q$9*Q$10+1-Q$9-Q$13-Q$12))</f>
        <v>37055.86393882252</v>
      </c>
      <c r="R47">
        <f ca="1">INT(R$6*$E26+R$7*($C$8+$C$9)/2+R$8)*(R$14+R$15)*$D$21*IF(COUNTIF($F47,"*雷*")&gt;0,R$17*(R$13*0.25+R$16*(R$10+属性开关!$X$56)+1-R$16-R$13-R$12),R$11*(R$13*0.25+R$9*R$10+1-R$9-R$13-R$12))</f>
        <v>10516.770744011885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122874.201266353</v>
      </c>
      <c r="H48">
        <f ca="1">(H47*$AD$38)/$AD$37/$E$2*$D$22+(H47*$AE$42)/$AF$41/$E$2*$C$22</f>
        <v>72693.507481761466</v>
      </c>
      <c r="I48">
        <f ca="1">(I47*$AD$38)/$AD$37/$E$2*$D$22+(I47*$AE$42)/$AF$41/$E$2*$C$22</f>
        <v>39609.589067841305</v>
      </c>
      <c r="J48">
        <f ca="1">J47*$AC$39/$AD$37/$E$2*$D$22+J47*$AE$43/$AF$41/$E$2*$C$22</f>
        <v>23994.589111404781</v>
      </c>
      <c r="K48">
        <f ca="1">K47*$AC$40/$AD$37/$E$2*$D$22+K47*$AE$44/$AF$41/$E$2*$C$22</f>
        <v>24651.947997746796</v>
      </c>
      <c r="L48">
        <f ca="1">L47*$AC$37/$AD$37/$E$2*$D$22+L47*$AE$41/$AF$41/$E$2*$C$22</f>
        <v>18029.707669122778</v>
      </c>
      <c r="M48">
        <f ca="1">M47*$AE$41/$AF$41/$E$2*$C$22</f>
        <v>0</v>
      </c>
      <c r="N48">
        <f ca="1">N47/$E$3</f>
        <v>40253.601093861951</v>
      </c>
      <c r="O48">
        <f ca="1">O47/$F$3</f>
        <v>17351.282458498474</v>
      </c>
      <c r="P48">
        <f ca="1">P47/$E$45*大附魔数值!$S$9</f>
        <v>1912.5551174692164</v>
      </c>
      <c r="Q48">
        <f ca="1">Q47/$E$47*大附魔数值!$S$10</f>
        <v>3030.7134532901368</v>
      </c>
      <c r="R48">
        <f ca="1">R47/45</f>
        <v>233.70601653359745</v>
      </c>
      <c r="S48">
        <f ca="1">SUM(G48:R48,AS48)*IF(COUNTIF(F48,"*雷*")&gt;0,$B$21/$D$21,1)</f>
        <v>477799.3801263771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55686.274751103891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91390.449243690455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55686.274751103891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91390.449243690455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55686.274751103891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55686.274751103891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91390.449243690455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95253.81447904557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100717.95662547923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126145.80150278962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100717.95662547923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126145.80150278962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100717.95662547923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100717.95662547923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126145.80150278962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100717.95662547923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126145.80150278962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R22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Q96"/>
  <sheetViews>
    <sheetView topLeftCell="Q19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20640.29812371463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126061.11502504679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236683.57826764902</v>
      </c>
      <c r="U7">
        <f ca="1">INT(I$6*($E18+$E$19)/2+I$7*($C$8+$C$9)/2+I$8)*(I$14+I$15)*$D$21*IF(COUNTIF($S7,"*雷*")&gt;0,I$17*(I$13*0.25+I$9*I$10+1-I$9-I$13-I$12),I$11*(I$13*0.25+I$9*I$10+1-I$9-I$13-I$12))</f>
        <v>75658.250418291238</v>
      </c>
      <c r="V7">
        <f ca="1">INT(J$6*($E18+$E$19)/2+J$7*($C$8+$C$9)/2+J$8)*(J$14+J$15)*$D$21*IF(COUNTIF($S7,"*雷*")&gt;0,J$17*(J$13*0.25+J$9*J$10+1-J$9-J$13-J$12),J$11*(J$13*0.25+J$9*J$10+1-J$9-J$13-J$12))</f>
        <v>137580.83277310649</v>
      </c>
      <c r="W7">
        <f ca="1">INT(K$6*($E18+$E$19)/2+K$7*($C$8+$C$9)/2+K$8)*(K$14+K$15)*$D$21*IF(COUNTIF($S7,"*雷*")&gt;0,K$17*(K$13*0.25+K$9*K$10+1-K$9-K$13-K$12),K$11*(K$13*0.25+K$9*K$10+1-K$9-K$13-K$12))</f>
        <v>143719.35894085441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属性开关!G31+D8</f>
        <v>3674.75</v>
      </c>
      <c r="D8">
        <f>属性开关!$AJ$27</f>
        <v>392.75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属性开关!H31+D8</f>
        <v>5862.75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532194.37776943448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353630.03720778279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460637.80385019328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301430.65156900609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236683.57826764902</v>
      </c>
      <c r="H18">
        <f ca="1">INT(H$6*$E18+H$7*($C$8+$C$9)/2+H$8)*(H$14+H$15)*$D$21*IF(COUNTIF($F18,"*雷*")&gt;0,H$17*(H$13*0.25+H$16*(H$10+属性开关!$X$56)+1-H$16-H$13-H$12),H$11*(H$13*0.25+H$9*H$10+1-H$9-H$13-H$12))</f>
        <v>161046.36586023981</v>
      </c>
      <c r="I18">
        <f ca="1">INT(I$6*$E18+I$7*($C$8+$C$9)/2+I$8)*(I$14+I$15)*$D$21*IF(COUNTIF($F18,"*雷*")&gt;0,I$17*(I$13*0.25+I$16*(I$10+属性开关!$X$56)+1-I$16-I$13-I$12),I$11*(I$13*0.25+I$9*I$10+1-I$9-I$13-I$12))</f>
        <v>75658.250418291238</v>
      </c>
      <c r="J18">
        <f ca="1">INT(J$6*$E18+J$7*($C$8+$C$9)/2+J$8)*(J$14+J$15)*$D$21*IF(COUNTIF($F18,"*雷*")&gt;0,J$17*(J$13*0.25+J$16*(J$10+属性开关!$X$56)+1-J$16-J$13-J$12),J$11*(J$13*0.25+J$9*J$10+1-J$9-J$13-J$12))</f>
        <v>137580.83277310649</v>
      </c>
      <c r="K18">
        <f ca="1">INT(K$6*$E18+K$7*($C$8+$C$9)/2+K$8)*(K$14+K$15)*$D$21*IF(COUNTIF($F18,"*雷*")&gt;0,K$17*(K$13*0.25+K$16*(K$10+属性开关!$X$56)+1-K$16-K$13-K$12),K$11*(K$13*0.25+K$9*K$10+1-K$9-K$13-K$12))</f>
        <v>143719.35894085441</v>
      </c>
      <c r="L18">
        <f ca="1">INT(L$6*$E18+L$7*($C$8+$C$9)/2+L$8)*(L$14+L$15)*$D$21*IF(COUNTIF($F18,"*雷*")&gt;0,L$17*(L$13*0.25+L$16*(L$10+属性开关!$X$56)+1-L$16-L$13-L$12),L$11*(L$13*0.25+L$9*L$10+1-L$9-L$13-L$12))</f>
        <v>101625.89471113443</v>
      </c>
      <c r="M18">
        <f ca="1">INT(M$6*$E18+M$7*($C$8+$C$9)/2+M$8)*(M$14+M$15)*$D$21*IF(COUNTIF($F18,"*雷*")&gt;0,M$17*(M$13*0.25+M$16*(M$10+属性开关!$X$56)+1-M$16-M$13-M$12),M$11*(M$13*0.25+M$9*M$10+1-M$9-M$13-M$12))</f>
        <v>43643.90488596465</v>
      </c>
      <c r="N18">
        <f ca="1">INT(N$6*$E18+N$7*($C$8+$C$9)/2+N$8)*(N$14+N$15)*$D$21*IF(COUNTIF($F18,"*雷*")&gt;0,N$17*(N$13*0.25+N$16*(N$10+属性开关!$X$56)+1-N$16-N$13-N$12),N$11*(N$13*0.25+N$9*N$10+1-N$9-N$13-N$12))</f>
        <v>50871.358660232479</v>
      </c>
      <c r="O18">
        <f ca="1">INT(O$6*$E18+O$7*($C$8+$C$9)/2+O$8)*(O$14+O$15)*$D$21*IF(COUNTIF($F18,"*雷*")&gt;0,O$17*(O$13*0.25+O$16*(O$10+属性开关!$X$56)+1-O$16-O$13-O$12),O$11*(O$13*0.25+O$9*O$10+1-O$9-O$13-O$12))</f>
        <v>20993.857453395442</v>
      </c>
      <c r="P18">
        <f ca="1">INT(P$6*$E18+P$7*($C$8+$C$9)/2+P$8)*(P$14+P$15)*$D$21*IF(COUNTIF($F18,"*雷*")&gt;0,P$17*(P$13*0.25+P$16*(P$10+属性开关!$X$56)+1-P$16-P$13-P$12),P$11*(P$13*0.25+P$9*P$10+1-P$9-P$13-P$12))</f>
        <v>31195.483770068546</v>
      </c>
      <c r="Q18">
        <f ca="1">INT(Q$6*$E18+Q$7*($C$8+$C$9)/2+Q$8)*(Q$14+Q$15)*$D$21*IF(COUNTIF($F18,"*雷*")&gt;0,Q$17*(Q$13*0.25+Q$16*(Q$10+属性开关!$X$56)+1-Q$16-Q$13-Q$12),Q$11*(Q$13*0.25+Q$9*Q$10+1-Q$9-Q$13-Q$12))</f>
        <v>24971.384844790442</v>
      </c>
      <c r="R18">
        <f ca="1">INT(R$6*$E18+R$7*($C$8+$C$9)/2+R$8)*(R$14+R$15)*$D$21*IF(COUNTIF($F18,"*雷*")&gt;0,R$17*(R$13*0.25+R$16*(R$10+属性开关!$X$56)+1-R$16-R$13-R$12),R$11*(R$13*0.25+R$9*R$10+1-R$9-R$13-R$12))</f>
        <v>7093.761301659636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25908.136191059806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56020.262673684163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69080.657826879105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55957.347238226808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150600.13023505622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69227.6098452976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62398.468854524333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187350.61431336327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8232.3720135240728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13986.007133854637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152246.16289957994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196516.84022458678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147307.39505211366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63262.1238605369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197416.00874295412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148730.5842448507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21725.874006170638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76737.727959873489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29537.840676232485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291352.01161791792</v>
      </c>
      <c r="H19">
        <f ca="1">INT(H$6*$E19+H$7*($C$8+$C$9)/2+H$8)*(H$14+H$15)*$D$21*IF(COUNTIF($F19,"*雷*")&gt;0,H$17*(H$13*0.25+H$16*(H$10+属性开关!$X$56)+1-H$16-H$13-H$12),H$11*(H$13*0.25+H$9*H$10+1-H$9-H$13-H$12))</f>
        <v>201705.07406235597</v>
      </c>
      <c r="I19">
        <f ca="1">INT(I$6*$E19+I$7*($C$8+$C$9)/2+I$8)*(I$14+I$15)*$D$21*IF(COUNTIF($F19,"*雷*")&gt;0,I$17*(I$13*0.25+I$16*(I$10+属性开关!$X$56)+1-I$16-I$13-I$12),I$11*(I$13*0.25+I$9*I$10+1-I$9-I$13-I$12))</f>
        <v>93133.556692869606</v>
      </c>
      <c r="J19">
        <f ca="1">INT(J$6*$E19+J$7*($C$8+$C$9)/2+J$8)*(J$14+J$15)*$D$21*IF(COUNTIF($F19,"*雷*")&gt;0,J$17*(J$13*0.25+J$16*(J$10+属性开关!$X$56)+1-J$16-J$13-J$12),J$11*(J$13*0.25+J$9*J$10+1-J$9-J$13-J$12))</f>
        <v>172315.29513769268</v>
      </c>
      <c r="K19">
        <f ca="1">INT(K$6*$E19+K$7*($C$8+$C$9)/2+K$8)*(K$14+K$15)*$D$21*IF(COUNTIF($F19,"*雷*")&gt;0,K$17*(K$13*0.25+K$16*(K$10+属性开关!$X$56)+1-K$16-K$13-K$12),K$11*(K$13*0.25+K$9*K$10+1-K$9-K$13-K$12))</f>
        <v>177440.05695070355</v>
      </c>
      <c r="L19">
        <f ca="1">INT(L$6*$E19+L$7*($C$8+$C$9)/2+L$8)*(L$14+L$15)*$D$21*IF(COUNTIF($F19,"*雷*")&gt;0,L$17*(L$13*0.25+L$16*(L$10+属性开关!$X$56)+1-L$16-L$13-L$12),L$11*(L$13*0.25+L$9*L$10+1-L$9-L$13-L$12))</f>
        <v>126651.16044498661</v>
      </c>
      <c r="M19">
        <f ca="1">INT(M$6*$E19+M$7*($C$8+$C$9)/2+M$8)*(M$14+M$15)*$D$21*IF(COUNTIF($F19,"*雷*")&gt;0,M$17*(M$13*0.25+M$16*(M$10+属性开关!$X$56)+1-M$16-M$13-M$12),M$11*(M$13*0.25+M$9*M$10+1-M$9-M$13-M$12))</f>
        <v>54391.168863701321</v>
      </c>
      <c r="N19">
        <f ca="1">INT(N$6*$E19+N$7*($C$8+$C$9)/2+N$8)*(N$14+N$15)*$D$21*IF(COUNTIF($F19,"*雷*")&gt;0,N$17*(N$13*0.25+N$16*(N$10+属性开关!$X$56)+1-N$16-N$13-N$12),N$11*(N$13*0.25+N$9*N$10+1-N$9-N$13-N$12))</f>
        <v>63714.639640609064</v>
      </c>
      <c r="O19">
        <f ca="1">INT(O$6*$E19+O$7*($C$8+$C$9)/2+O$8)*(O$14+O$15)*$D$21*IF(COUNTIF($F19,"*雷*")&gt;0,O$17*(O$13*0.25+O$16*(O$10+属性开关!$X$56)+1-O$16-O$13-O$12),O$11*(O$13*0.25+O$9*O$10+1-O$9-O$13-O$12))</f>
        <v>26294.089592599303</v>
      </c>
      <c r="P19">
        <f ca="1">INT(P$6*$E19+P$7*($C$8+$C$9)/2+P$8)*(P$14+P$15)*$D$21*IF(COUNTIF($F19,"*雷*")&gt;0,P$17*(P$13*0.25+P$16*(P$10+属性开关!$X$56)+1-P$16-P$13-P$12),P$11*(P$13*0.25+P$9*P$10+1-P$9-P$13-P$12))</f>
        <v>39071.278203901282</v>
      </c>
      <c r="Q19">
        <f ca="1">INT(Q$6*$E19+Q$7*($C$8+$C$9)/2+Q$8)*(Q$14+Q$15)*$D$21*IF(COUNTIF($F19,"*雷*")&gt;0,Q$17*(Q$13*0.25+Q$16*(Q$10+属性开关!$X$56)+1-Q$16-Q$13-Q$12),Q$11*(Q$13*0.25+Q$9*Q$10+1-Q$9-Q$13-Q$12))</f>
        <v>31275.806831488284</v>
      </c>
      <c r="R19">
        <f ca="1">INT(R$6*$E19+R$7*($C$8+$C$9)/2+R$8)*(R$14+R$15)*$D$21*IF(COUNTIF($F19,"*雷*")&gt;0,R$17*(R$13*0.25+R$16*(R$10+属性开关!$X$56)+1-R$16-R$13-R$12),R$11*(R$13*0.25+R$9*R$10+1-R$9-R$13-R$12))</f>
        <v>8884.6938028620771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41638.077582277714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70163.466100155027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111022.4899552186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89931.454289936388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188621.5206447083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111258.66285081627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100283.25727562662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301099.21286267962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13510.693254664793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17516.996361277517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244681.34240410157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315830.64791511348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235568.89526398492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101166.60215604176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317275.74023094901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235627.12549026651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34916.584533158537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123328.49598743097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47471.531437847363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303405.9974544369</v>
      </c>
      <c r="H20">
        <f ca="1">INT(H$6*$E20+H$7*($C$8+$C$9)/2+H$8)*(H$14+H$15)*$D$21*IF(COUNTIF($F20,"*雷*")&gt;0,H$17*(H$13*0.25+H$16*(H$10+属性开关!$X$56)+1-H$16-H$13-H$12),H$11*(H$13*0.25+H$9*H$10+1-H$9-H$13-H$12))</f>
        <v>161046.36586023981</v>
      </c>
      <c r="I20">
        <f ca="1">INT(I$6*$E20+I$7*($C$8+$C$9)/2+I$8)*(I$14+I$15)*$D$21*IF(COUNTIF($F20,"*雷*")&gt;0,I$17*(I$13*0.25+I$16*(I$10+属性开关!$X$56)+1-I$16-I$13-I$12),I$11*(I$13*0.25+I$9*I$10+1-I$9-I$13-I$12))</f>
        <v>97832.922730378355</v>
      </c>
      <c r="J20">
        <f ca="1">INT(J$6*$E20+J$7*($C$8+$C$9)/2+J$8)*(J$14+J$15)*$D$21*IF(COUNTIF($F20,"*雷*")&gt;0,J$17*(J$13*0.25+J$16*(J$10+属性开关!$X$56)+1-J$16-J$13-J$12),J$11*(J$13*0.25+J$9*J$10+1-J$9-J$13-J$12))</f>
        <v>175804.34186871152</v>
      </c>
      <c r="K20">
        <f ca="1">INT(K$6*$E20+K$7*($C$8+$C$9)/2+K$8)*(K$14+K$15)*$D$21*IF(COUNTIF($F20,"*雷*")&gt;0,K$17*(K$13*0.25+K$16*(K$10+属性开关!$X$56)+1-K$16-K$13-K$12),K$11*(K$13*0.25+K$9*K$10+1-K$9-K$13-K$12))</f>
        <v>183220.12026778073</v>
      </c>
      <c r="L20">
        <f ca="1">INT(L$6*$E20+L$7*($C$8+$C$9)/2+L$8)*(L$14+L$15)*$D$21*IF(COUNTIF($F20,"*雷*")&gt;0,L$17*(L$13*0.25+L$16*(L$10+属性开关!$X$56)+1-L$16-L$13-L$12),L$11*(L$13*0.25+L$9*L$10+1-L$9-L$13-L$12))</f>
        <v>129149.2631290952</v>
      </c>
      <c r="M20">
        <f ca="1">INT(M$6*$E20+M$7*($C$8+$C$9)/2+M$8)*(M$14+M$15)*$D$21*IF(COUNTIF($F20,"*雷*")&gt;0,M$17*(M$13*0.25+M$16*(M$10+属性开关!$X$56)+1-M$16-M$13-M$12),M$11*(M$13*0.25+M$9*M$10+1-M$9-M$13-M$12))</f>
        <v>55958.514976439117</v>
      </c>
      <c r="N20">
        <f ca="1">INT(N$6*$E20+N$7*($C$8+$C$9)/2+N$8)*(N$14+N$15)*$D$21*IF(COUNTIF($F20,"*雷*")&gt;0,N$17*(N$13*0.25+N$16*(N$10+属性开关!$X$56)+1-N$16-N$13-N$12),N$11*(N$13*0.25+N$9*N$10+1-N$9-N$13-N$12))</f>
        <v>65977.682327121234</v>
      </c>
      <c r="O20">
        <f ca="1">INT(O$6*$E20+O$7*($C$8+$C$9)/2+O$8)*(O$14+O$15)*$D$21*IF(COUNTIF($F20,"*雷*")&gt;0,O$17*(O$13*0.25+O$16*(O$10+属性开关!$X$56)+1-O$16-O$13-O$12),O$11*(O$13*0.25+O$9*O$10+1-O$9-O$13-O$12))</f>
        <v>24603.981299418541</v>
      </c>
      <c r="P20">
        <f ca="1">INT(P$6*$E20+P$7*($C$8+$C$9)/2+P$8)*(P$14+P$15)*$D$21*IF(COUNTIF($F20,"*雷*")&gt;0,P$17*(P$13*0.25+P$16*(P$10+属性开关!$X$56)+1-P$16-P$13-P$12),P$11*(P$13*0.25+P$9*P$10+1-P$9-P$13-P$12))</f>
        <v>40473.395908108068</v>
      </c>
      <c r="Q20">
        <f ca="1">INT(Q$6*$E20+Q$7*($C$8+$C$9)/2+Q$8)*(Q$14+Q$15)*$D$21*IF(COUNTIF($F20,"*雷*")&gt;0,Q$17*(Q$13*0.25+Q$16*(Q$10+属性开关!$X$56)+1-Q$16-Q$13-Q$12),Q$11*(Q$13*0.25+Q$9*Q$10+1-Q$9-Q$13-Q$12))</f>
        <v>32393.714555222061</v>
      </c>
      <c r="R20">
        <f ca="1">INT(R$6*$E20+R$7*($C$8+$C$9)/2+R$8)*(R$14+R$15)*$D$21*IF(COUNTIF($F20,"*雷*")&gt;0,R$17*(R$13*0.25+R$16*(R$10+属性开关!$X$56)+1-R$16-R$13-R$12),R$11*(R$13*0.25+R$9*R$10+1-R$9-R$13-R$12))</f>
        <v>9188.6086496134212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31284.268460391959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72560.044126241832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89563.127360375831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72599.250537550746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195462.87275504743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89710.079378794311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80960.655270934658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243165.96297199471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10681.69827093463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18150.616981268347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194211.50803943252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251254.680199439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187202.69650292787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81112.231243763847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252263.27528224621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189608.66325637695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25461.876120097764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99525.107470727904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38317.47359590749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373485.76670295215</v>
      </c>
      <c r="H21">
        <f ca="1">INT(H$6*$E21+H$7*($C$8+$C$9)/2+H$8)*(H$14+H$15)*$D$21*IF(COUNTIF($F21,"*雷*")&gt;0,H$17*(H$13*0.25+H$16*(H$10+属性开关!$X$56)+1-H$16-H$13-H$12),H$11*(H$13*0.25+H$9*H$10+1-H$9-H$13-H$12))</f>
        <v>201705.07406235597</v>
      </c>
      <c r="I21">
        <f ca="1">INT(I$6*$E21+I$7*($C$8+$C$9)/2+I$8)*(I$14+I$15)*$D$21*IF(COUNTIF($F21,"*雷*")&gt;0,I$17*(I$13*0.25+I$16*(I$10+属性开关!$X$56)+1-I$16-I$13-I$12),I$11*(I$13*0.25+I$9*I$10+1-I$9-I$13-I$12))</f>
        <v>120430.06552707715</v>
      </c>
      <c r="J21">
        <f ca="1">INT(J$6*$E21+J$7*($C$8+$C$9)/2+J$8)*(J$14+J$15)*$D$21*IF(COUNTIF($F21,"*雷*")&gt;0,J$17*(J$13*0.25+J$16*(J$10+属性开关!$X$56)+1-J$16-J$13-J$12),J$11*(J$13*0.25+J$9*J$10+1-J$9-J$13-J$12))</f>
        <v>220188.9350790185</v>
      </c>
      <c r="K21">
        <f ca="1">INT(K$6*$E21+K$7*($C$8+$C$9)/2+K$8)*(K$14+K$15)*$D$21*IF(COUNTIF($F21,"*雷*")&gt;0,K$17*(K$13*0.25+K$16*(K$10+属性开关!$X$56)+1-K$16-K$13-K$12),K$11*(K$13*0.25+K$9*K$10+1-K$9-K$13-K$12))</f>
        <v>226208.83376058631</v>
      </c>
      <c r="L21">
        <f ca="1">INT(L$6*$E21+L$7*($C$8+$C$9)/2+L$8)*(L$14+L$15)*$D$21*IF(COUNTIF($F21,"*雷*")&gt;0,L$17*(L$13*0.25+L$16*(L$10+属性开关!$X$56)+1-L$16-L$13-L$12),L$11*(L$13*0.25+L$9*L$10+1-L$9-L$13-L$12))</f>
        <v>160952.12831737773</v>
      </c>
      <c r="M21">
        <f ca="1">INT(M$6*$E21+M$7*($C$8+$C$9)/2+M$8)*(M$14+M$15)*$D$21*IF(COUNTIF($F21,"*雷*")&gt;0,M$17*(M$13*0.25+M$16*(M$10+属性开关!$X$56)+1-M$16-M$13-M$12),M$11*(M$13*0.25+M$9*M$10+1-M$9-M$13-M$12))</f>
        <v>69738.238257967139</v>
      </c>
      <c r="N21">
        <f ca="1">INT(N$6*$E21+N$7*($C$8+$C$9)/2+N$8)*(N$14+N$15)*$D$21*IF(COUNTIF($F21,"*雷*")&gt;0,N$17*(N$13*0.25+N$16*(N$10+属性开关!$X$56)+1-N$16-N$13-N$12),N$11*(N$13*0.25+N$9*N$10+1-N$9-N$13-N$12))</f>
        <v>82634.794204568636</v>
      </c>
      <c r="O21">
        <f ca="1">INT(O$6*$E21+O$7*($C$8+$C$9)/2+O$8)*(O$14+O$15)*$D$21*IF(COUNTIF($F21,"*雷*")&gt;0,O$17*(O$13*0.25+O$16*(O$10+属性开关!$X$56)+1-O$16-O$13-O$12),O$11*(O$13*0.25+O$9*O$10+1-O$9-O$13-O$12))</f>
        <v>30815.646436473078</v>
      </c>
      <c r="P21">
        <f ca="1">INT(P$6*$E21+P$7*($C$8+$C$9)/2+P$8)*(P$14+P$15)*$D$21*IF(COUNTIF($F21,"*雷*")&gt;0,P$17*(P$13*0.25+P$16*(P$10+属性开关!$X$56)+1-P$16-P$13-P$12),P$11*(P$13*0.25+P$9*P$10+1-P$9-P$13-P$12))</f>
        <v>50691.546348115997</v>
      </c>
      <c r="Q21">
        <f ca="1">INT(Q$6*$E21+Q$7*($C$8+$C$9)/2+Q$8)*(Q$14+Q$15)*$D$21*IF(COUNTIF($F21,"*雷*")&gt;0,Q$17*(Q$13*0.25+Q$16*(Q$10+属性开关!$X$56)+1-Q$16-Q$13-Q$12),Q$11*(Q$13*0.25+Q$9*Q$10+1-Q$9-Q$13-Q$12))</f>
        <v>40572.021346860056</v>
      </c>
      <c r="R21">
        <f ca="1">INT(R$6*$E21+R$7*($C$8+$C$9)/2+R$8)*(R$14+R$15)*$D$21*IF(COUNTIF($F21,"*雷*")&gt;0,R$17*(R$13*0.25+R$16*(R$10+属性开关!$X$56)+1-R$16-R$13-R$12),R$11*(R$13*0.25+R$9*R$10+1-R$9-R$13-R$12))</f>
        <v>11508.418574366955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50278.290481895099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90878.977593028641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143940.74579666625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116677.37130936008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244810.57374316957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144176.91869226392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130115.3437060623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390802.45514113962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17530.44548283266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22733.027988109716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312125.64962150797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403802.1797440098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299368.08257340104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129711.87698846057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405423.13618785935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300388.41384231846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40920.873869916417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159951.07157421421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61581.65630200084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276688.68660107505</v>
      </c>
      <c r="H22">
        <f ca="1">INT(H$6*$E22+H$7*($C$8+$C$9)/2+H$8)*(H$14+H$15)*$D$21*IF(COUNTIF($F22,"*雷*")&gt;0,H$17*(H$13*0.25+H$16*(H$10+属性开关!$X$56)+1-H$16-H$13-H$12),H$11*(H$13*0.25+H$9*H$10+1-H$9-H$13-H$12))</f>
        <v>161046.36586023981</v>
      </c>
      <c r="I22">
        <f ca="1">INT(I$6*$E22+I$7*($C$8+$C$9)/2+I$8)*(I$14+I$15)*$D$21*IF(COUNTIF($F22,"*雷*")&gt;0,I$17*(I$13*0.25+I$16*(I$10+属性开关!$X$56)+1-I$16-I$13-I$12),I$11*(I$13*0.25+I$9*I$10+1-I$9-I$13-I$12))</f>
        <v>88953.77785616825</v>
      </c>
      <c r="J22">
        <f ca="1">INT(J$6*$E22+J$7*($C$8+$C$9)/2+J$8)*(J$14+J$15)*$D$21*IF(COUNTIF($F22,"*雷*")&gt;0,J$17*(J$13*0.25+J$16*(J$10+属性开关!$X$56)+1-J$16-J$13-J$12),J$11*(J$13*0.25+J$9*J$10+1-J$9-J$13-J$12))</f>
        <v>160500.58269236283</v>
      </c>
      <c r="K22">
        <f ca="1">INT(K$6*$E22+K$7*($C$8+$C$9)/2+K$8)*(K$14+K$15)*$D$21*IF(COUNTIF($F22,"*雷*")&gt;0,K$17*(K$13*0.25+K$16*(K$10+属性开关!$X$56)+1-K$16-K$13-K$12),K$11*(K$13*0.25+K$9*K$10+1-K$9-K$13-K$12))</f>
        <v>167405.71400843147</v>
      </c>
      <c r="L22">
        <f ca="1">INT(L$6*$E22+L$7*($C$8+$C$9)/2+L$8)*(L$14+L$15)*$D$21*IF(COUNTIF($F22,"*雷*")&gt;0,L$17*(L$13*0.25+L$16*(L$10+属性开关!$X$56)+1-L$16-L$13-L$12),L$11*(L$13*0.25+L$9*L$10+1-L$9-L$13-L$12))</f>
        <v>118129.45273406888</v>
      </c>
      <c r="M22">
        <f ca="1">INT(M$6*$E22+M$7*($C$8+$C$9)/2+M$8)*(M$14+M$15)*$D$21*IF(COUNTIF($F22,"*雷*")&gt;0,M$17*(M$13*0.25+M$16*(M$10+属性开关!$X$56)+1-M$16-M$13-M$12),M$11*(M$13*0.25+M$9*M$10+1-M$9-M$13-M$12))</f>
        <v>51027.813105894107</v>
      </c>
      <c r="N22">
        <f ca="1">INT(N$6*$E22+N$7*($C$8+$C$9)/2+N$8)*(N$14+N$15)*$D$21*IF(COUNTIF($F22,"*雷*")&gt;0,N$17*(N$13*0.25+N$16*(N$10+属性开关!$X$56)+1-N$16-N$13-N$12),N$11*(N$13*0.25+N$9*N$10+1-N$9-N$13-N$12))</f>
        <v>59930.685422018963</v>
      </c>
      <c r="O22">
        <f ca="1">INT(O$6*$E22+O$7*($C$8+$C$9)/2+O$8)*(O$14+O$15)*$D$21*IF(COUNTIF($F22,"*雷*")&gt;0,O$17*(O$13*0.25+O$16*(O$10+属性开关!$X$56)+1-O$16-O$13-O$12),O$11*(O$13*0.25+O$9*O$10+1-O$9-O$13-O$12))</f>
        <v>23158.441513807637</v>
      </c>
      <c r="P22">
        <f ca="1">INT(P$6*$E22+P$7*($C$8+$C$9)/2+P$8)*(P$14+P$15)*$D$21*IF(COUNTIF($F22,"*雷*")&gt;0,P$17*(P$13*0.25+P$16*(P$10+属性开关!$X$56)+1-P$16-P$13-P$12),P$11*(P$13*0.25+P$9*P$10+1-P$9-P$13-P$12))</f>
        <v>36759.040025501701</v>
      </c>
      <c r="Q22">
        <f ca="1">INT(Q$6*$E22+Q$7*($C$8+$C$9)/2+Q$8)*(Q$14+Q$15)*$D$21*IF(COUNTIF($F22,"*雷*")&gt;0,Q$17*(Q$13*0.25+Q$16*(Q$10+属性开关!$X$56)+1-Q$16-Q$13-Q$12),Q$11*(Q$13*0.25+Q$9*Q$10+1-Q$9-Q$13-Q$12))</f>
        <v>29422.868054615083</v>
      </c>
      <c r="R22">
        <f ca="1">INT(R$6*$E22+R$7*($C$8+$C$9)/2+R$8)*(R$14+R$15)*$D$21*IF(COUNTIF($F22,"*雷*")&gt;0,R$17*(R$13*0.25+R$16*(R$10+属性开关!$X$56)+1-R$16-R$13-R$12),R$11*(R$13*0.25+R$9*R$10+1-R$9-R$13-R$12))</f>
        <v>8350.6697104319064</v>
      </c>
      <c r="T22" s="34">
        <f ca="1">(G21+I21)/(G14+G15)*(G14+D38)</f>
        <v>478868.8148472411</v>
      </c>
      <c r="U22">
        <f ca="1">K20/(K14+K15)*(K14+D35)</f>
        <v>164417.87548304279</v>
      </c>
      <c r="V22">
        <f ca="1">T22+U22</f>
        <v>643286.69033028395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29131.173718620114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65937.471509903786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81361.88381560531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65935.224174213974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177500.41605735652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81508.835834023805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73527.194743743821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220817.69814846563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9700.9891862373042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16483.09243454384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177407.69571336152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229336.70216701998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171229.40969572519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73965.146827994482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230303.76977219753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173242.83822228113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23965.933065191959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90403.416686387165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34803.355690396995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343413.68244046718</v>
      </c>
      <c r="H23">
        <f ca="1">INT(H$6*$E23+H$7*($C$8+$C$9)/2+H$8)*(H$14+H$15)*$D$21*IF(COUNTIF($F23,"*雷*")&gt;0,H$17*(H$13*0.25+H$16*(H$10+属性开关!$X$56)+1-H$16-H$13-H$12),H$11*(H$13*0.25+H$9*H$10+1-H$9-H$13-H$12))</f>
        <v>161046.36586023981</v>
      </c>
      <c r="I23">
        <f ca="1">INT(I$6*$E23+I$7*($C$8+$C$9)/2+I$8)*(I$14+I$15)*$D$21*IF(COUNTIF($F23,"*雷*")&gt;0,I$17*(I$13*0.25+I$16*(I$10+属性开关!$X$56)+1-I$16-I$13-I$12),I$11*(I$13*0.25+I$9*I$10+1-I$9-I$13-I$12))</f>
        <v>111128.45016825537</v>
      </c>
      <c r="J23">
        <f ca="1">INT(J$6*$E23+J$7*($C$8+$C$9)/2+J$8)*(J$14+J$15)*$D$21*IF(COUNTIF($F23,"*雷*")&gt;0,J$17*(J$13*0.25+J$16*(J$10+属性开关!$X$56)+1-J$16-J$13-J$12),J$11*(J$13*0.25+J$9*J$10+1-J$9-J$13-J$12))</f>
        <v>198722.20290137487</v>
      </c>
      <c r="K23">
        <f ca="1">INT(K$6*$E23+K$7*($C$8+$C$9)/2+K$8)*(K$14+K$15)*$D$21*IF(COUNTIF($F23,"*雷*")&gt;0,K$17*(K$13*0.25+K$16*(K$10+属性开关!$X$56)+1-K$16-K$13-K$12),K$11*(K$13*0.25+K$9*K$10+1-K$9-K$13-K$12))</f>
        <v>206906.47533535777</v>
      </c>
      <c r="L23">
        <f ca="1">INT(L$6*$E23+L$7*($C$8+$C$9)/2+L$8)*(L$14+L$15)*$D$21*IF(COUNTIF($F23,"*雷*")&gt;0,L$17*(L$13*0.25+L$16*(L$10+属性开关!$X$56)+1-L$16-L$13-L$12),L$11*(L$13*0.25+L$9*L$10+1-L$9-L$13-L$12))</f>
        <v>145652.82115202965</v>
      </c>
      <c r="M23">
        <f ca="1">INT(M$6*$E23+M$7*($C$8+$C$9)/2+M$8)*(M$14+M$15)*$D$21*IF(COUNTIF($F23,"*雷*")&gt;0,M$17*(M$13*0.25+M$16*(M$10+属性开关!$X$56)+1-M$16-M$13-M$12),M$11*(M$13*0.25+M$9*M$10+1-M$9-M$13-M$12))</f>
        <v>63340.554798539648</v>
      </c>
      <c r="N23">
        <f ca="1">INT(N$6*$E23+N$7*($C$8+$C$9)/2+N$8)*(N$14+N$15)*$D$21*IF(COUNTIF($F23,"*雷*")&gt;0,N$17*(N$13*0.25+N$16*(N$10+属性开关!$X$56)+1-N$16-N$13-N$12),N$11*(N$13*0.25+N$9*N$10+1-N$9-N$13-N$12))</f>
        <v>75040.200116298278</v>
      </c>
      <c r="O23">
        <f ca="1">INT(O$6*$E23+O$7*($C$8+$C$9)/2+O$8)*(O$14+O$15)*$D$21*IF(COUNTIF($F23,"*雷*")&gt;0,O$17*(O$13*0.25+O$16*(O$10+属性开关!$X$56)+1-O$16-O$13-O$12),O$11*(O$13*0.25+O$9*O$10+1-O$9-O$13-O$12))</f>
        <v>26768.56535983074</v>
      </c>
      <c r="P23">
        <f ca="1">INT(P$6*$E23+P$7*($C$8+$C$9)/2+P$8)*(P$14+P$15)*$D$21*IF(COUNTIF($F23,"*雷*")&gt;0,P$17*(P$13*0.25+P$16*(P$10+属性开关!$X$56)+1-P$16-P$13-P$12),P$11*(P$13*0.25+P$9*P$10+1-P$9-P$13-P$12))</f>
        <v>46036.952163541209</v>
      </c>
      <c r="Q23">
        <f ca="1">INT(Q$6*$E23+Q$7*($C$8+$C$9)/2+Q$8)*(Q$14+Q$15)*$D$21*IF(COUNTIF($F23,"*雷*")&gt;0,Q$17*(Q$13*0.25+Q$16*(Q$10+属性开关!$X$56)+1-Q$16-Q$13-Q$12),Q$11*(Q$13*0.25+Q$9*Q$10+1-Q$9-Q$13-Q$12))</f>
        <v>36845.197765046694</v>
      </c>
      <c r="R23">
        <f ca="1">INT(R$6*$E23+R$7*($C$8+$C$9)/2+R$8)*(R$14+R$15)*$D$21*IF(COUNTIF($F23,"*雷*")&gt;0,R$17*(R$13*0.25+R$16*(R$10+属性开关!$X$56)+1-R$16-R$13-R$12),R$11*(R$13*0.25+R$9*R$10+1-R$9-R$13-R$12))</f>
        <v>10445.517058385693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34507.305987952263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82477.252962461425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101844.35334910205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82577.127473537912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222363.15857734776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101991.30536752052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92089.381160154138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276631.39566082269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12150.315443647862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20647.755465747392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219373.04085321407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284077.13782851741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211124.7111465394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91812.545956421978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285148.32593065652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214120.91723380741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27701.935179119082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113195.60975438371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43582.988610071996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422734.30175625684</v>
      </c>
      <c r="H24">
        <f ca="1">INT(H$6*$E24+H$7*($C$8+$C$9)/2+H$8)*(H$14+H$15)*$D$21*IF(COUNTIF($F24,"*雷*")&gt;0,H$17*(H$13*0.25+H$16*(H$10+属性开关!$X$56)+1-H$16-H$13-H$12),H$11*(H$13*0.25+H$9*H$10+1-H$9-H$13-H$12))</f>
        <v>201705.07406235597</v>
      </c>
      <c r="I24">
        <f ca="1">INT(I$6*$E24+I$7*($C$8+$C$9)/2+I$8)*(I$14+I$15)*$D$21*IF(COUNTIF($F24,"*雷*")&gt;0,I$17*(I$13*0.25+I$16*(I$10+属性开关!$X$56)+1-I$16-I$13-I$12),I$11*(I$13*0.25+I$9*I$10+1-I$9-I$13-I$12))</f>
        <v>136796.55234842398</v>
      </c>
      <c r="J24">
        <f ca="1">INT(J$6*$E24+J$7*($C$8+$C$9)/2+J$8)*(J$14+J$15)*$D$21*IF(COUNTIF($F24,"*雷*")&gt;0,J$17*(J$13*0.25+J$16*(J$10+属性开关!$X$56)+1-J$16-J$13-J$12),J$11*(J$13*0.25+J$9*J$10+1-J$9-J$13-J$12))</f>
        <v>248892.77345656871</v>
      </c>
      <c r="K24">
        <f ca="1">INT(K$6*$E24+K$7*($C$8+$C$9)/2+K$8)*(K$14+K$15)*$D$21*IF(COUNTIF($F24,"*雷*")&gt;0,K$17*(K$13*0.25+K$16*(K$10+属性开关!$X$56)+1-K$16-K$13-K$12),K$11*(K$13*0.25+K$9*K$10+1-K$9-K$13-K$12))</f>
        <v>255452.68944654925</v>
      </c>
      <c r="L24">
        <f ca="1">INT(L$6*$E24+L$7*($C$8+$C$9)/2+L$8)*(L$14+L$15)*$D$21*IF(COUNTIF($F24,"*雷*")&gt;0,L$17*(L$13*0.25+L$16*(L$10+属性开关!$X$56)+1-L$16-L$13-L$12),L$11*(L$13*0.25+L$9*L$10+1-L$9-L$13-L$12))</f>
        <v>181519.66950377583</v>
      </c>
      <c r="M24">
        <f ca="1">INT(M$6*$E24+M$7*($C$8+$C$9)/2+M$8)*(M$14+M$15)*$D$21*IF(COUNTIF($F24,"*雷*")&gt;0,M$17*(M$13*0.25+M$16*(M$10+属性开关!$X$56)+1-M$16-M$13-M$12),M$11*(M$13*0.25+M$9*M$10+1-M$9-M$13-M$12))</f>
        <v>78938.097335003142</v>
      </c>
      <c r="N24">
        <f ca="1">INT(N$6*$E24+N$7*($C$8+$C$9)/2+N$8)*(N$14+N$15)*$D$21*IF(COUNTIF($F24,"*雷*")&gt;0,N$17*(N$13*0.25+N$16*(N$10+属性开关!$X$56)+1-N$16-N$13-N$12),N$11*(N$13*0.25+N$9*N$10+1-N$9-N$13-N$12))</f>
        <v>93985.288281806745</v>
      </c>
      <c r="O24">
        <f ca="1">INT(O$6*$E24+O$7*($C$8+$C$9)/2+O$8)*(O$14+O$15)*$D$21*IF(COUNTIF($F24,"*雷*")&gt;0,O$17*(O$13*0.25+O$16*(O$10+属性开关!$X$56)+1-O$16-O$13-O$12),O$11*(O$13*0.25+O$9*O$10+1-O$9-O$13-O$12))</f>
        <v>33526.714059064056</v>
      </c>
      <c r="P24">
        <f ca="1">INT(P$6*$E24+P$7*($C$8+$C$9)/2+P$8)*(P$14+P$15)*$D$21*IF(COUNTIF($F24,"*雷*")&gt;0,P$17*(P$13*0.25+P$16*(P$10+属性开关!$X$56)+1-P$16-P$13-P$12),P$11*(P$13*0.25+P$9*P$10+1-P$9-P$13-P$12))</f>
        <v>57659.710581800719</v>
      </c>
      <c r="Q24">
        <f ca="1">INT(Q$6*$E24+Q$7*($C$8+$C$9)/2+Q$8)*(Q$14+Q$15)*$D$21*IF(COUNTIF($F24,"*雷*")&gt;0,Q$17*(Q$13*0.25+Q$16*(Q$10+属性开关!$X$56)+1-Q$16-Q$13-Q$12),Q$11*(Q$13*0.25+Q$9*Q$10+1-Q$9-Q$13-Q$12))</f>
        <v>46147.352064376653</v>
      </c>
      <c r="R24">
        <f ca="1">INT(R$6*$E24+R$7*($C$8+$C$9)/2+R$8)*(R$14+R$15)*$D$21*IF(COUNTIF($F24,"*雷*")&gt;0,R$17*(R$13*0.25+R$16*(R$10+属性开关!$X$56)+1-R$16-R$13-R$12),R$11*(R$13*0.25+R$9*R$10+1-R$9-R$13-R$12))</f>
        <v>13082.653437269881</v>
      </c>
      <c r="T24">
        <f ca="1">K21</f>
        <v>226208.83376058631</v>
      </c>
      <c r="U24">
        <f ca="1">G20+I20</f>
        <v>401238.92018481524</v>
      </c>
      <c r="V24">
        <f ca="1">T24+U24</f>
        <v>627447.75394540152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55458.172416800844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103299.94302193799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163678.43116133276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132713.24555763643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278502.26318367757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163914.6040569304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148000.7966985135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444586.18826443359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19940.690804164737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25860.608671258542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352563.82887389237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456552.56005396781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337623.34165316971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146823.45047698836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458274.11242551473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339222.06714445871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44520.968921161329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181921.52249657677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70044.091463434233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256750.54874946803</v>
      </c>
      <c r="H25">
        <f ca="1">INT(H$6*$E25+H$7*($C$8+$C$9)/2+H$8)*(H$14+H$15)*$D$21*IF(COUNTIF($F25,"*雷*")&gt;0,H$17*(H$13*0.25+H$16*(H$10+属性开关!$X$56)+1-H$16-H$13-H$12),H$11*(H$13*0.25+H$9*H$10+1-H$9-H$13-H$12))</f>
        <v>161046.36586023981</v>
      </c>
      <c r="I25">
        <f ca="1">INT(I$6*$E25+I$7*($C$8+$C$9)/2+I$8)*(I$14+I$15)*$D$21*IF(COUNTIF($F25,"*雷*")&gt;0,I$17*(I$13*0.25+I$16*(I$10+属性开关!$X$56)+1-I$16-I$13-I$12),I$11*(I$13*0.25+I$9*I$10+1-I$9-I$13-I$12))</f>
        <v>82329.204010667905</v>
      </c>
      <c r="J25">
        <f ca="1">INT(J$6*$E25+J$7*($C$8+$C$9)/2+J$8)*(J$14+J$15)*$D$21*IF(COUNTIF($F25,"*雷*")&gt;0,J$17*(J$13*0.25+J$16*(J$10+属性开关!$X$56)+1-J$16-J$13-J$12),J$11*(J$13*0.25+J$9*J$10+1-J$9-J$13-J$12))</f>
        <v>149078.48546459433</v>
      </c>
      <c r="K25">
        <f ca="1">INT(K$6*$E25+K$7*($C$8+$C$9)/2+K$8)*(K$14+K$15)*$D$21*IF(COUNTIF($F25,"*雷*")&gt;0,K$17*(K$13*0.25+K$16*(K$10+属性开关!$X$56)+1-K$16-K$13-K$12),K$11*(K$13*0.25+K$9*K$10+1-K$9-K$13-K$12))</f>
        <v>155601.20250461687</v>
      </c>
      <c r="L25">
        <f ca="1">INT(L$6*$E25+L$7*($C$8+$C$9)/2+L$8)*(L$14+L$15)*$D$21*IF(COUNTIF($F25,"*雷*")&gt;0,L$17*(L$13*0.25+L$16*(L$10+属性开关!$X$56)+1-L$16-L$13-L$12),L$11*(L$13*0.25+L$9*L$10+1-L$9-L$13-L$12))</f>
        <v>109904.76549112114</v>
      </c>
      <c r="M25">
        <f ca="1">INT(M$6*$E25+M$7*($C$8+$C$9)/2+M$8)*(M$14+M$15)*$D$21*IF(COUNTIF($F25,"*雷*")&gt;0,M$17*(M$13*0.25+M$16*(M$10+属性开关!$X$56)+1-M$16-M$13-M$12),M$11*(M$13*0.25+M$9*M$10+1-M$9-M$13-M$12))</f>
        <v>47348.937780731896</v>
      </c>
      <c r="N25">
        <f ca="1">INT(N$6*$E25+N$7*($C$8+$C$9)/2+N$8)*(N$14+N$15)*$D$21*IF(COUNTIF($F25,"*雷*")&gt;0,N$17*(N$13*0.25+N$16*(N$10+属性开关!$X$56)+1-N$16-N$13-N$12),N$11*(N$13*0.25+N$9*N$10+1-N$9-N$13-N$12))</f>
        <v>55415.381664383218</v>
      </c>
      <c r="O25">
        <f ca="1">INT(O$6*$E25+O$7*($C$8+$C$9)/2+O$8)*(O$14+O$15)*$D$21*IF(COUNTIF($F25,"*雷*")&gt;0,O$17*(O$13*0.25+O$16*(O$10+属性开关!$X$56)+1-O$16-O$13-O$12),O$11*(O$13*0.25+O$9*O$10+1-O$9-O$13-O$12))</f>
        <v>22079.875101605692</v>
      </c>
      <c r="P25">
        <f ca="1">INT(P$6*$E25+P$7*($C$8+$C$9)/2+P$8)*(P$14+P$15)*$D$21*IF(COUNTIF($F25,"*雷*")&gt;0,P$17*(P$13*0.25+P$16*(P$10+属性开关!$X$56)+1-P$16-P$13-P$12),P$11*(P$13*0.25+P$9*P$10+1-P$9-P$13-P$12))</f>
        <v>33986.037223109153</v>
      </c>
      <c r="Q25">
        <f ca="1">INT(Q$6*$E25+Q$7*($C$8+$C$9)/2+Q$8)*(Q$14+Q$15)*$D$21*IF(COUNTIF($F25,"*雷*")&gt;0,Q$17*(Q$13*0.25+Q$16*(Q$10+属性开关!$X$56)+1-Q$16-Q$13-Q$12),Q$11*(Q$13*0.25+Q$9*Q$10+1-Q$9-Q$13-Q$12))</f>
        <v>27205.10401817915</v>
      </c>
      <c r="R25">
        <f ca="1">INT(R$6*$E25+R$7*($C$8+$C$9)/2+R$8)*(R$14+R$15)*$D$21*IF(COUNTIF($F25,"*雷*")&gt;0,R$17*(R$13*0.25+R$16*(R$10+属性开关!$X$56)+1-R$16-R$13-R$12),R$11*(R$13*0.25+R$9*R$10+1-R$9-R$13-R$12))</f>
        <v>7723.904899068315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35319.110147361949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82584.431529064401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96548.082201867845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78225.366871670718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164092.46683643587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96736.648536787761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87232.057767677645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261946.18260101666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15920.938575996868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27051.499301241645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211555.56300652048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273290.63231174508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204420.89989563596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88068.178181242154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274490.93703778606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206626.76003974516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29320.422855932964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107264.1344875777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41292.873997695155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3.3222407836117712E-2</v>
      </c>
      <c r="M26" s="40">
        <f t="shared" ca="1" si="38"/>
        <v>0</v>
      </c>
      <c r="N26" s="40">
        <f t="shared" ca="1" si="38"/>
        <v>7.3728038965861969E-2</v>
      </c>
      <c r="O26" s="40">
        <f t="shared" ca="1" si="38"/>
        <v>3.242269473002482E-2</v>
      </c>
      <c r="P26" s="40">
        <f t="shared" ca="1" si="38"/>
        <v>3.5030632899041361E-3</v>
      </c>
      <c r="Q26" s="40">
        <f t="shared" ca="1" si="38"/>
        <v>5.5508247020979121E-3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4062.3993443351869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271763.92529557599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19458.641739898325</v>
      </c>
      <c r="BH26">
        <f ca="1">SUMPRODUCT(BH18:BH25,$BY$18:$BY$25)</f>
        <v>25235.09253462878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85242.321914201821</v>
      </c>
      <c r="H27">
        <f ca="1">(H18*$AC$38)/$AD$37/$E$2*$D$22+(H18*$AF$42)/$AF$41/$E$2*$C$22</f>
        <v>55648.890435406429</v>
      </c>
      <c r="I27">
        <f t="shared" ca="1" si="41"/>
        <v>27248.552623825162</v>
      </c>
      <c r="J27">
        <f ca="1">J18*$AC$39/$AD$37/$E$2*$D$22+J18*$AE$43/$AF$41/$E$2*$C$22</f>
        <v>16411.463435181788</v>
      </c>
      <c r="K27">
        <f t="shared" ref="K27:K33" ca="1" si="42">K18*$AC$40/$AD$37/$E$2*$D$22+K18*$AE$44/$AF$41/$E$2*$C$22</f>
        <v>17143.703498839797</v>
      </c>
      <c r="L27">
        <f ca="1">L18*$AC$37/$AD$37/$E$2*$D$22+L18*$AE$41/$AF$41/$E$2*$C$22</f>
        <v>12458.93492513489</v>
      </c>
      <c r="M27">
        <f ca="1">M18*$AE$41/$AF$41/$E$2*$C$22</f>
        <v>0</v>
      </c>
      <c r="N27">
        <f ca="1">N18/$E$3</f>
        <v>27131.391285457321</v>
      </c>
      <c r="O27">
        <f ca="1">O18/$F$3</f>
        <v>12919.296894397196</v>
      </c>
      <c r="P27">
        <f ca="1">P18/$E$45*大附魔数值!$S$9</f>
        <v>1288.7771954778495</v>
      </c>
      <c r="Q27">
        <f ca="1">Q18/$E$47*大附魔数值!$S$10</f>
        <v>2042.3518426486498</v>
      </c>
      <c r="R27">
        <f ca="1">R18/45</f>
        <v>157.6391400368808</v>
      </c>
      <c r="S27">
        <f ca="1">SUM(G27:R27,AS27)*IF(COUNTIF(F27,"*雷*")&gt;0,$B$21/$D$21,1)</f>
        <v>257693.32319060783</v>
      </c>
      <c r="T27" s="15">
        <f ca="1">AQ27</f>
        <v>0.45454545454545447</v>
      </c>
      <c r="U27">
        <f ca="1">U28*(1+非侠士/1024)*(1+C14)*(1-B24*0.05)+AQ9</f>
        <v>536897.50155614002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104931.32707584833</v>
      </c>
      <c r="H28">
        <f t="shared" ref="H28:H33" ca="1" si="45">(H19*$AC$38)/$AD$37/$E$2*$D$22+(H19*$AF$42)/$AF$41/$E$2*$C$22</f>
        <v>69698.335052792434</v>
      </c>
      <c r="I28">
        <f t="shared" ca="1" si="41"/>
        <v>33542.338166151014</v>
      </c>
      <c r="J28">
        <f t="shared" ref="J28:J33" ca="1" si="46">J19*$AC$39/$AD$37/$E$2*$D$22+J19*$AE$43/$AF$41/$E$2*$C$22</f>
        <v>20554.797557727768</v>
      </c>
      <c r="K28">
        <f t="shared" ca="1" si="42"/>
        <v>21166.109754441586</v>
      </c>
      <c r="L28">
        <f t="shared" ref="L28:L33" ca="1" si="47">L19*$AC$37/$AD$37/$E$2*$D$22+L19*$AE$41/$AF$41/$E$2*$C$22</f>
        <v>15526.934062052815</v>
      </c>
      <c r="M28">
        <f t="shared" ref="M28:M33" ca="1" si="48">M19*$AE$41/$AF$41/$E$2*$C$22</f>
        <v>0</v>
      </c>
      <c r="N28">
        <f t="shared" ref="N28:N33" ca="1" si="49">N19/$E$3</f>
        <v>33981.141141658169</v>
      </c>
      <c r="O28">
        <f t="shared" ref="O28:O33" ca="1" si="50">O19/$F$3</f>
        <v>16180.978210830341</v>
      </c>
      <c r="P28">
        <f ca="1">P19/$E$45*大附魔数值!$S$9</f>
        <v>1614.1494300425809</v>
      </c>
      <c r="Q28">
        <f ca="1">Q19/$E$47*大附魔数值!$S$10</f>
        <v>2557.9759436505283</v>
      </c>
      <c r="R28">
        <f t="shared" ref="R28:R33" ca="1" si="51">R19/45</f>
        <v>197.43764006360172</v>
      </c>
      <c r="S28">
        <f t="shared" ref="S28:S33" ca="1" si="52">SUM(G28:R28,AS28)*IF(COUNTIF(F28,"*雷*")&gt;0,$B$21/$D$21,1)</f>
        <v>419247.93793158128</v>
      </c>
      <c r="T28" s="15">
        <f t="shared" ref="T28:T33" ca="1" si="53">AQ28</f>
        <v>0</v>
      </c>
      <c r="U28">
        <f ca="1">U33+U39+AW29+BI26+AT32+BB3+BC3+AY26+AZ26+BF27+CL26+AR26+AM8+AL8+CQ24</f>
        <v>408294.47067271313</v>
      </c>
      <c r="V28">
        <f ca="1">U28-U33</f>
        <v>24702.697468049824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109272.60731398908</v>
      </c>
      <c r="H29">
        <f t="shared" ca="1" si="45"/>
        <v>55648.890435406429</v>
      </c>
      <c r="I29">
        <f t="shared" ca="1" si="41"/>
        <v>35234.829362599783</v>
      </c>
      <c r="J29">
        <f t="shared" ca="1" si="46"/>
        <v>20970.991890147518</v>
      </c>
      <c r="K29">
        <f t="shared" ca="1" si="42"/>
        <v>21855.590228350957</v>
      </c>
      <c r="L29">
        <f t="shared" ca="1" si="47"/>
        <v>15833.191624321575</v>
      </c>
      <c r="M29">
        <f t="shared" ca="1" si="48"/>
        <v>0</v>
      </c>
      <c r="N29">
        <f t="shared" ca="1" si="49"/>
        <v>35188.097241131327</v>
      </c>
      <c r="O29">
        <f t="shared" ca="1" si="50"/>
        <v>15140.911568872949</v>
      </c>
      <c r="P29">
        <f ca="1">P20/$E$45*大附魔数值!$S$9</f>
        <v>1672.0750367065577</v>
      </c>
      <c r="Q29">
        <f ca="1">Q20/$E$47*大附魔数值!$S$10</f>
        <v>2649.4070322212988</v>
      </c>
      <c r="R29">
        <f t="shared" ca="1" si="51"/>
        <v>204.19130332474271</v>
      </c>
      <c r="S29">
        <f t="shared" ca="1" si="52"/>
        <v>313670.78303707228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134512.05271057508</v>
      </c>
      <c r="H30">
        <f t="shared" ca="1" si="45"/>
        <v>69698.335052792434</v>
      </c>
      <c r="I30">
        <f t="shared" ca="1" si="41"/>
        <v>43373.260151571303</v>
      </c>
      <c r="J30">
        <f t="shared" ca="1" si="46"/>
        <v>26265.45125541135</v>
      </c>
      <c r="K30">
        <f t="shared" ca="1" si="42"/>
        <v>26983.540724014718</v>
      </c>
      <c r="L30">
        <f t="shared" ca="1" si="47"/>
        <v>19732.097793265126</v>
      </c>
      <c r="M30">
        <f t="shared" ca="1" si="48"/>
        <v>0</v>
      </c>
      <c r="N30">
        <f t="shared" ca="1" si="49"/>
        <v>44071.890242436602</v>
      </c>
      <c r="O30">
        <f t="shared" ca="1" si="50"/>
        <v>18963.474730137277</v>
      </c>
      <c r="P30">
        <f ca="1">P21/$E$45*大附魔数值!$S$9</f>
        <v>2094.2168878830889</v>
      </c>
      <c r="Q30">
        <f ca="1">Q21/$E$47*大附魔数值!$S$10</f>
        <v>3318.2918397506028</v>
      </c>
      <c r="R30">
        <f t="shared" ca="1" si="51"/>
        <v>255.74263498593234</v>
      </c>
      <c r="S30">
        <f t="shared" ca="1" si="52"/>
        <v>510077.12877187174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99650.285270722234</v>
      </c>
      <c r="H31">
        <f t="shared" ca="1" si="45"/>
        <v>55648.890435406429</v>
      </c>
      <c r="I31">
        <f t="shared" ca="1" si="41"/>
        <v>32036.977905265674</v>
      </c>
      <c r="J31">
        <f t="shared" ca="1" si="46"/>
        <v>19145.468093837364</v>
      </c>
      <c r="K31">
        <f t="shared" ca="1" si="42"/>
        <v>19969.153398139002</v>
      </c>
      <c r="L31">
        <f t="shared" ca="1" si="47"/>
        <v>14482.206218591951</v>
      </c>
      <c r="M31">
        <f t="shared" ca="1" si="48"/>
        <v>0</v>
      </c>
      <c r="N31">
        <f t="shared" ca="1" si="49"/>
        <v>31963.032225076782</v>
      </c>
      <c r="O31">
        <f t="shared" ca="1" si="50"/>
        <v>14251.348623881622</v>
      </c>
      <c r="P31">
        <f ca="1">P22/$E$45*大附魔数值!$S$9</f>
        <v>1518.6240694872226</v>
      </c>
      <c r="Q31">
        <f ca="1">Q22/$E$47*大附魔数值!$S$10</f>
        <v>2406.428364339899</v>
      </c>
      <c r="R31">
        <f t="shared" ca="1" si="51"/>
        <v>185.57043800959792</v>
      </c>
      <c r="S31">
        <f t="shared" ca="1" si="52"/>
        <v>291257.98504275776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123681.4986599051</v>
      </c>
      <c r="H32">
        <f t="shared" ca="1" si="45"/>
        <v>55648.890435406429</v>
      </c>
      <c r="I32">
        <f t="shared" ca="1" si="41"/>
        <v>40023.254644040295</v>
      </c>
      <c r="J32">
        <f ca="1">J24*$AC$39/$AD$37/$E$2*$D$22+J24*$AE$43/$AF$41/$E$2*$C$22</f>
        <v>29689.416530860792</v>
      </c>
      <c r="K32">
        <f t="shared" ca="1" si="42"/>
        <v>24681.040127650158</v>
      </c>
      <c r="L32">
        <f t="shared" ca="1" si="47"/>
        <v>17856.462917778637</v>
      </c>
      <c r="M32">
        <f t="shared" ca="1" si="48"/>
        <v>0</v>
      </c>
      <c r="N32">
        <f t="shared" ca="1" si="49"/>
        <v>40021.440062025751</v>
      </c>
      <c r="O32">
        <f t="shared" ca="1" si="50"/>
        <v>16472.963298357379</v>
      </c>
      <c r="P32">
        <f ca="1">P23/$E$45*大附魔数值!$S$9</f>
        <v>1901.9219107159302</v>
      </c>
      <c r="Q32">
        <f ca="1">Q23/$E$47*大附魔数值!$S$10</f>
        <v>3013.4835539125474</v>
      </c>
      <c r="R32">
        <f t="shared" ca="1" si="51"/>
        <v>232.12260129745982</v>
      </c>
      <c r="S32">
        <f t="shared" ca="1" si="52"/>
        <v>353222.49474195048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152249.06475654538</v>
      </c>
      <c r="H33">
        <f t="shared" ca="1" si="45"/>
        <v>69698.335052792434</v>
      </c>
      <c r="I33">
        <f t="shared" ca="1" si="41"/>
        <v>49267.700942271818</v>
      </c>
      <c r="J33">
        <f t="shared" ca="1" si="46"/>
        <v>29689.416530860792</v>
      </c>
      <c r="K33">
        <f t="shared" ca="1" si="42"/>
        <v>30471.922489266897</v>
      </c>
      <c r="L33">
        <f t="shared" ca="1" si="47"/>
        <v>22253.59743604554</v>
      </c>
      <c r="M33">
        <f t="shared" ca="1" si="48"/>
        <v>0</v>
      </c>
      <c r="N33">
        <f t="shared" ca="1" si="49"/>
        <v>50125.487083630265</v>
      </c>
      <c r="O33">
        <f t="shared" ca="1" si="50"/>
        <v>20631.824036347112</v>
      </c>
      <c r="P33">
        <f ca="1">P24/$E$45*大附魔数值!$S$9</f>
        <v>2382.0922491023234</v>
      </c>
      <c r="Q33">
        <f ca="1">Q24/$E$47*大附魔数值!$S$10</f>
        <v>3774.2852512121685</v>
      </c>
      <c r="R33">
        <f t="shared" ca="1" si="51"/>
        <v>290.7256319393307</v>
      </c>
      <c r="S33">
        <f t="shared" ca="1" si="52"/>
        <v>564543.19418897177</v>
      </c>
      <c r="T33" s="15">
        <f t="shared" ca="1" si="53"/>
        <v>0.31818181818181818</v>
      </c>
      <c r="U33">
        <f ca="1">(S48*T48+SUMPRODUCT(S27:S33,T27:T33))*(1+大附魔数值!$O$10*21/1024)</f>
        <v>383591.7732046633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60824.562335720831</v>
      </c>
      <c r="H34">
        <f ca="1">H18*2*$D$33/(5+2*$D$33)/$E$2</f>
        <v>41386.794939065541</v>
      </c>
      <c r="I34">
        <f ca="1">I18*2*$D$33/(5+2*$D$33)/$E$2</f>
        <v>19443.173888367473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37462.723932411231</v>
      </c>
      <c r="L34">
        <f ca="1">L18/(5+2*$D$33)/$E$2</f>
        <v>9140.7807659908431</v>
      </c>
      <c r="M34">
        <v>0</v>
      </c>
      <c r="N34">
        <f ca="1">N27</f>
        <v>27131.391285457321</v>
      </c>
      <c r="O34">
        <f ca="1">O27</f>
        <v>12919.296894397196</v>
      </c>
      <c r="P34">
        <f ca="1">P27</f>
        <v>1288.7771954778495</v>
      </c>
      <c r="Q34">
        <f ca="1">Q27</f>
        <v>2042.3518426486498</v>
      </c>
      <c r="R34">
        <f ca="1">R27</f>
        <v>157.6391400368808</v>
      </c>
      <c r="S34">
        <f ca="1">SUM(G34:R34,AS34)</f>
        <v>211797.49221957382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44017.775372221586</v>
      </c>
      <c r="H35">
        <f ca="1">H18*$D$33/(4+$D$33)/$E$2</f>
        <v>29950.97002011818</v>
      </c>
      <c r="I35">
        <f ca="1">I18*$D$33/(4+$D$33)/$E$2</f>
        <v>14070.717944789647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17425.796690736122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13762.399308362197</v>
      </c>
      <c r="N35">
        <f ca="1">N27</f>
        <v>27131.391285457321</v>
      </c>
      <c r="O35">
        <f t="shared" ref="O35:R35" ca="1" si="57">O27</f>
        <v>12919.296894397196</v>
      </c>
      <c r="P35">
        <f t="shared" ca="1" si="57"/>
        <v>1288.7771954778495</v>
      </c>
      <c r="Q35">
        <f t="shared" ca="1" si="57"/>
        <v>2042.3518426486498</v>
      </c>
      <c r="R35">
        <f t="shared" ca="1" si="57"/>
        <v>157.6391400368808</v>
      </c>
      <c r="S35">
        <f t="shared" ref="S35:S36" ca="1" si="58">SUM(G35:R35,AS35)</f>
        <v>162767.11569424567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88511.780981017946</v>
      </c>
      <c r="H36">
        <f ca="1">H25*$D$33*2/(3+2*$D$33)/$E$2</f>
        <v>55518.871263327594</v>
      </c>
      <c r="I36">
        <f ca="1">I25*$D$33*2/(3+2*$D$33)/$E$2</f>
        <v>28382.040502839936</v>
      </c>
      <c r="J36">
        <f ca="1">J25/(3+2*$D$33)/$E$2</f>
        <v>17987.579048839121</v>
      </c>
      <c r="K36">
        <f ca="1">K25/(3+2*$D$33)/$E$2</f>
        <v>18774.599979491657</v>
      </c>
      <c r="L36">
        <f ca="1">L25/(3+2*$D$33)/$E$2</f>
        <v>13260.938699200698</v>
      </c>
      <c r="M36">
        <v>0</v>
      </c>
      <c r="N36">
        <f ca="1">N25/E3</f>
        <v>29554.870221004381</v>
      </c>
      <c r="O36">
        <f ca="1">O25/F3</f>
        <v>13587.615447141965</v>
      </c>
      <c r="P36">
        <f ca="1">P25/$E$45*大附魔数值!$S$9</f>
        <v>1404.0631669841282</v>
      </c>
      <c r="Q36">
        <f ca="1">Q25/$E$47*大附魔数值!$S$10</f>
        <v>2225.0425703790256</v>
      </c>
      <c r="R36">
        <f ca="1">R25/45</f>
        <v>171.642331090407</v>
      </c>
      <c r="S36">
        <f t="shared" ca="1" si="58"/>
        <v>269379.04421131685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0.25883071391174772</v>
      </c>
      <c r="H37" s="15">
        <f t="shared" ref="H37" ca="1" si="59">SUMPRODUCT(H38:H45,$S$38:$S$45)/$T$38</f>
        <v>0.14092556182151555</v>
      </c>
      <c r="I37" s="15">
        <f t="shared" ref="I37:Q37" ca="1" si="60">SUMPRODUCT(I38:I45,$S$38:$S$45)/$T$38</f>
        <v>8.3304326488757907E-2</v>
      </c>
      <c r="J37" s="15">
        <f t="shared" ca="1" si="60"/>
        <v>1.2675989496453705E-2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4.6419267137094919E-2</v>
      </c>
      <c r="O37" s="15">
        <f t="shared" ca="1" si="60"/>
        <v>2.0413369853420002E-2</v>
      </c>
      <c r="P37" s="15">
        <f t="shared" ca="1" si="60"/>
        <v>2.2055331042712695E-3</v>
      </c>
      <c r="Q37" s="15">
        <f t="shared" ca="1" si="60"/>
        <v>3.4948062947554341E-3</v>
      </c>
      <c r="R37">
        <v>0</v>
      </c>
      <c r="S37">
        <f ca="1">(S35*(4+D33)+S36*11)/(15+D33)</f>
        <v>234150.75479153116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154173.98871737457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100650.34082780342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49283.242765475348</v>
      </c>
      <c r="J38">
        <f ca="1">J18/$E$2*(3-属性开关!$X$37)/(3+2*$D$33)/(3+$D$33)</f>
        <v>7496.9052038705895</v>
      </c>
      <c r="N38">
        <f ca="1">N27</f>
        <v>27131.391285457321</v>
      </c>
      <c r="O38">
        <f ca="1">O27</f>
        <v>12919.296894397196</v>
      </c>
      <c r="P38">
        <f ca="1">P27</f>
        <v>1288.7771954778495</v>
      </c>
      <c r="Q38">
        <f ca="1">Q27</f>
        <v>2042.3518426486498</v>
      </c>
      <c r="R38">
        <f ca="1">SUM(G38:Q38,AS38,AU18*属性开关!$X$37)*IF(COUNTIF(F38,"*雷*")&gt;0,$B$21/$D$21,1)*(1+大附魔数值!$O$10*21/1024)</f>
        <v>411006.55740618909</v>
      </c>
      <c r="S38" s="36">
        <f t="shared" ref="S38:S45" ca="1" si="61">T27</f>
        <v>0.45454545454545447</v>
      </c>
      <c r="T38">
        <f ca="1">SUMPRODUCT(S38:S46,R38:R46)</f>
        <v>609261.43272126326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189784.61488853101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126061.11502504679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60666.532185592136</v>
      </c>
      <c r="J39">
        <f ca="1">J19/$E$2*(3-属性开关!$X$37)/(3+2*$D$33)/(3+$D$33)</f>
        <v>9389.6177744083579</v>
      </c>
      <c r="N39">
        <f t="shared" ref="N39:Q45" ca="1" si="63">N28</f>
        <v>33981.141141658169</v>
      </c>
      <c r="O39">
        <f t="shared" ca="1" si="63"/>
        <v>16180.978210830341</v>
      </c>
      <c r="P39">
        <f t="shared" ca="1" si="63"/>
        <v>1614.1494300425809</v>
      </c>
      <c r="Q39">
        <f t="shared" ca="1" si="63"/>
        <v>2557.9759436505283</v>
      </c>
      <c r="R39">
        <f ca="1">SUM(G39:Q39,AS39,AU19*属性开关!$X$37)*IF(COUNTIF(F39,"*雷*")&gt;0,$B$21/$D$21,1)*(1+大附魔数值!$O$10*21/1024)</f>
        <v>668801.2397105539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197636.49498076673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100650.34082780342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63727.665584658687</v>
      </c>
      <c r="J40">
        <f ca="1">J20/$E$2*(3-属性开关!$X$37)/(3+2*$D$33)/(3+$D$33)</f>
        <v>9579.7391166556463</v>
      </c>
      <c r="N40">
        <f t="shared" ca="1" si="63"/>
        <v>35188.097241131327</v>
      </c>
      <c r="O40">
        <f t="shared" ca="1" si="63"/>
        <v>15140.911568872949</v>
      </c>
      <c r="P40">
        <f t="shared" ca="1" si="63"/>
        <v>1672.0750367065577</v>
      </c>
      <c r="Q40">
        <f t="shared" ca="1" si="63"/>
        <v>2649.4070322212988</v>
      </c>
      <c r="R40">
        <f ca="1">SUM(G40:Q40,AS40,AU20*属性开关!$X$37)*IF(COUNTIF(F40,"*雷*")&gt;0,$B$21/$D$21,1)*(1+大附魔数值!$O$10*21/1024)</f>
        <v>498804.77551505843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243285.95504266745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126061.11502504679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78447.282653500937</v>
      </c>
      <c r="J41">
        <f ca="1">J21/$E$2*(3-属性开关!$X$37)/(3+2*$D$33)/(3+$D$33)</f>
        <v>11998.296128581753</v>
      </c>
      <c r="N41">
        <f t="shared" ca="1" si="63"/>
        <v>44071.890242436602</v>
      </c>
      <c r="O41">
        <f t="shared" ca="1" si="63"/>
        <v>18963.474730137277</v>
      </c>
      <c r="P41">
        <f t="shared" ca="1" si="63"/>
        <v>2094.2168878830889</v>
      </c>
      <c r="Q41">
        <f t="shared" ca="1" si="63"/>
        <v>3318.2918397506028</v>
      </c>
      <c r="R41">
        <f ca="1">SUM(G41:Q41,AS41,AU21*属性开关!$X$37)*IF(COUNTIF(F41,"*雷*")&gt;0,$B$21/$D$21,1)*(1+大附魔数值!$O$10*21/1024)</f>
        <v>811262.18901708862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180233.02993171811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100650.34082780342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57943.85416995897</v>
      </c>
      <c r="J42">
        <f ca="1">J22/$E$2*(3-属性开关!$X$37)/(3+2*$D$33)/(3+$D$33)</f>
        <v>8745.8233051620446</v>
      </c>
      <c r="N42">
        <f t="shared" ca="1" si="63"/>
        <v>31963.032225076782</v>
      </c>
      <c r="O42">
        <f t="shared" ca="1" si="63"/>
        <v>14251.348623881622</v>
      </c>
      <c r="P42">
        <f t="shared" ca="1" si="63"/>
        <v>1518.6240694872226</v>
      </c>
      <c r="Q42">
        <f t="shared" ca="1" si="63"/>
        <v>2406.428364339899</v>
      </c>
      <c r="R42">
        <f ca="1">SUM(G42:Q42,AS42,AU22*属性开关!$X$37)*IF(COUNTIF(F42,"*雷*")&gt;0,$B$21/$D$21,1)*(1+大附魔数值!$O$10*21/1024)</f>
        <v>463649.95302733185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223697.21460817315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100650.34082780342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72388.276989142309</v>
      </c>
      <c r="J43">
        <f ca="1">J23/$E$2*(3-属性开关!$X$37)/(3+2*$D$33)/(3+$D$33)</f>
        <v>10828.554290791895</v>
      </c>
      <c r="N43">
        <f t="shared" ca="1" si="63"/>
        <v>40021.440062025751</v>
      </c>
      <c r="O43">
        <f t="shared" ca="1" si="63"/>
        <v>16472.963298357379</v>
      </c>
      <c r="P43">
        <f t="shared" ca="1" si="63"/>
        <v>1901.9219107159302</v>
      </c>
      <c r="Q43">
        <f t="shared" ca="1" si="63"/>
        <v>3013.4835539125474</v>
      </c>
      <c r="R43">
        <f ca="1">SUM(G43:Q43,AS43,AU23*属性开关!$X$37)*IF(COUNTIF(F43,"*雷*")&gt;0,$B$21/$D$21,1)*(1+大附魔数值!$O$10*21/1024)</f>
        <v>551451.44850338378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275366.09825847269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126061.11502504679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89108.295018642602</v>
      </c>
      <c r="J44">
        <f ca="1">J24/$E$2*(3-属性开关!$X$37)/(3+2*$D$33)/(3+$D$33)</f>
        <v>13562.394491459088</v>
      </c>
      <c r="N44">
        <f t="shared" ca="1" si="63"/>
        <v>50125.487083630265</v>
      </c>
      <c r="O44">
        <f t="shared" ca="1" si="63"/>
        <v>20631.824036347112</v>
      </c>
      <c r="P44">
        <f t="shared" ca="1" si="63"/>
        <v>2382.0922491023234</v>
      </c>
      <c r="Q44">
        <f t="shared" ca="1" si="63"/>
        <v>3774.2852512121685</v>
      </c>
      <c r="R44">
        <f ca="1">SUM(G44:Q44,AS44,AU24*属性开关!$X$37)*IF(COUNTIF(F44,"*雷*")&gt;0,$B$21/$D$21,1)*(1+大附魔数值!$O$10*21/1024)</f>
        <v>896686.46080088802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167245.46965111842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100650.34082780342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53628.654185283121</v>
      </c>
      <c r="J45">
        <f ca="1">J25/$E$2*(3-属性开关!$X$37)/(3+2*$D$33)/(3+$D$33)</f>
        <v>8123.422797620472</v>
      </c>
      <c r="N45">
        <f ca="1">N34</f>
        <v>27131.391285457321</v>
      </c>
      <c r="O45">
        <f t="shared" ca="1" si="63"/>
        <v>12919.296894397196</v>
      </c>
      <c r="P45">
        <f t="shared" ca="1" si="63"/>
        <v>1288.7771954778495</v>
      </c>
      <c r="Q45">
        <f t="shared" ca="1" si="63"/>
        <v>2042.3518426486498</v>
      </c>
      <c r="R45">
        <f ca="1">SUM(G45:Q45,AS45,AU22*属性开关!$X$37)*IF(COUNTIF(F45,"*雷*")&gt;0,$B$21/$D$21,1)*(1+大附魔数值!$O$10*21/1024)</f>
        <v>438967.17618971021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221862.69201666856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126061.11502504679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71327.544550733815</v>
      </c>
      <c r="J46">
        <f ca="1">J47/$E$2*(3-属性开关!X37)/(3+2*$D$33)/(3+$D$33)</f>
        <v>10953.845050032985</v>
      </c>
      <c r="N46">
        <f ca="1">N48</f>
        <v>40032.606434668305</v>
      </c>
      <c r="O46">
        <f t="shared" ref="O46:Q46" ca="1" si="65">O48</f>
        <v>17849.327517040176</v>
      </c>
      <c r="P46">
        <f t="shared" ca="1" si="65"/>
        <v>1902.0247912618158</v>
      </c>
      <c r="Q46">
        <f t="shared" ca="1" si="65"/>
        <v>3013.9693551120954</v>
      </c>
      <c r="R46">
        <f ca="1">SUM(G46:Q46,AS46,AU25*属性开关!$X$37)*IF(COUNTIF(F46,"*雷*")&gt;0,$B$21/$D$21,1)*(1+大附魔数值!$O$10*21/1024)</f>
        <v>754220.1800499215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340597.37487145106</v>
      </c>
      <c r="H47">
        <f ca="1">INT(H$6*$E26+H$7*($C$8+$C$9)/2+H$8)*(H$14+H$15)*$D$21*IF(COUNTIF($F47,"*雷*")&gt;0,H$17*(H$13*0.25+H$16*(H$10+属性开关!$X$56)+1-H$16-H$13-H$12),H$11*(H$13*0.25+H$9*H$10+1-H$9-H$13-H$12))</f>
        <v>201705.07406235597</v>
      </c>
      <c r="I47">
        <f ca="1">INT(I$6*$E26+I$7*($C$8+$C$9)/2+I$8)*(I$14+I$15)*$D$21*IF(COUNTIF($F47,"*雷*")&gt;0,I$17*(I$13*0.25+I$16*(I$10+属性开关!$X$56)+1-I$16-I$13-I$12),I$11*(I$13*0.25+I$9*I$10+1-I$9-I$13-I$12))</f>
        <v>109500.04351421645</v>
      </c>
      <c r="J47">
        <f ca="1">INT(J$6*$E26+J$7*($C$8+$C$9)/2+J$8)*(J$14+J$15)*$D$21*IF(COUNTIF($F47,"*雷*")&gt;0,J$17*(J$13*0.25+J$16*(J$10+属性开关!$X$56)+1-J$16-J$13-J$12),J$11*(J$13*0.25+J$9*J$10+1-J$9-J$13-J$12))</f>
        <v>201021.49928120166</v>
      </c>
      <c r="K47">
        <f ca="1">INT(K$6*$E26+K$7*($C$8+$C$9)/2+K$8)*(K$14+K$15)*$D$21*IF(COUNTIF($F47,"*雷*")&gt;0,K$17*(K$13*0.25+K$16*(K$10+属性开关!$X$56)+1-K$16-K$13-K$12),K$11*(K$13*0.25+K$9*K$10+1-K$9-K$13-K$12))</f>
        <v>206683.91263666653</v>
      </c>
      <c r="L47">
        <f ca="1">INT(L$6*$E26+L$7*($C$8+$C$9)/2+L$8)*(L$14+L$15)*$D$21*IF(COUNTIF($F47,"*雷*")&gt;0,L$17*(L$13*0.25+L$16*(L$10+属性开关!$X$56)+1-L$16-L$13-L$12),L$11*(L$13*0.25+L$9*L$10+1-L$9-L$13-L$12))</f>
        <v>147218.70163138473</v>
      </c>
      <c r="M47">
        <f ca="1">INT(M$6*$E26+M$7*($C$8+$C$9)/2+M$8)*(M$14+M$15)*$D$21*IF(COUNTIF($F47,"*雷*")&gt;0,M$17*(M$13*0.25+M$16*(M$10+属性开关!$X$56)+1-M$16-M$13-M$12),M$11*(M$13*0.25+M$9*M$10+1-M$9-M$13-M$12))</f>
        <v>63593.356429493841</v>
      </c>
      <c r="N47">
        <f ca="1">INT(N$6*$E26+N$7*($C$8+$C$9)/2+N$8)*(N$14+N$15)*$D$21*IF(COUNTIF($F47,"*雷*")&gt;0,N$17*(N$13*0.25+N$16*(N$10+属性开关!$X$56)+1-N$16-N$13-N$12),N$11*(N$13*0.25+N$9*N$10+1-N$9-N$13-N$12))</f>
        <v>75061.137065003073</v>
      </c>
      <c r="O47">
        <f ca="1">INT(O$6*$E26+O$7*($C$8+$C$9)/2+O$8)*(O$14+O$15)*$D$21*IF(COUNTIF($F47,"*雷*")&gt;0,O$17*(O$13*0.25+O$16*(O$10+属性开关!$X$56)+1-O$16-O$13-O$12),O$11*(O$13*0.25+O$9*O$10+1-O$9-O$13-O$12))</f>
        <v>29005.157215190284</v>
      </c>
      <c r="P47">
        <f ca="1">INT(P$6*$E26+P$7*($C$8+$C$9)/2+P$8)*(P$14+P$15)*$D$21*IF(COUNTIF($F47,"*雷*")&gt;0,P$17*(P$13*0.25+P$16*(P$10+属性开关!$X$56)+1-P$16-P$13-P$12),P$11*(P$13*0.25+P$9*P$10+1-P$9-P$13-P$12))</f>
        <v>46039.442437586011</v>
      </c>
      <c r="Q47">
        <f ca="1">INT(Q$6*$E26+Q$7*($C$8+$C$9)/2+Q$8)*(Q$14+Q$15)*$D$21*IF(COUNTIF($F47,"*雷*")&gt;0,Q$17*(Q$13*0.25+Q$16*(Q$10+属性开关!$X$56)+1-Q$16-Q$13-Q$12),Q$11*(Q$13*0.25+Q$9*Q$10+1-Q$9-Q$13-Q$12))</f>
        <v>36851.137549004896</v>
      </c>
      <c r="R47">
        <f ca="1">INT(R$6*$E26+R$7*($C$8+$C$9)/2+R$8)*(R$14+R$15)*$D$21*IF(COUNTIF($F47,"*雷*")&gt;0,R$17*(R$13*0.25+R$16*(R$10+属性开关!$X$56)+1-R$16-R$13-R$12),R$11*(R$13*0.25+R$9*R$10+1-R$9-R$13-R$12))</f>
        <v>10458.928665765003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122667.19678833209</v>
      </c>
      <c r="H48">
        <f ca="1">(H47*$AD$38)/$AD$37/$E$2*$D$22+(H47*$AE$42)/$AF$41/$E$2*$C$22</f>
        <v>72644.705563425203</v>
      </c>
      <c r="I48">
        <f ca="1">(I47*$AD$38)/$AD$37/$E$2*$D$22+(I47*$AE$42)/$AF$41/$E$2*$C$22</f>
        <v>39436.778956851544</v>
      </c>
      <c r="J48">
        <f ca="1">J47*$AC$39/$AD$37/$E$2*$D$22+J47*$AE$43/$AF$41/$E$2*$C$22</f>
        <v>23979.045035870316</v>
      </c>
      <c r="K48">
        <f ca="1">K47*$AC$40/$AD$37/$E$2*$D$22+K47*$AE$44/$AF$41/$E$2*$C$22</f>
        <v>24654.491519693765</v>
      </c>
      <c r="L48">
        <f ca="1">L47*$AC$37/$AD$37/$E$2*$D$22+L47*$AE$41/$AF$41/$E$2*$C$22</f>
        <v>18048.433704833231</v>
      </c>
      <c r="M48">
        <f ca="1">M47*$AE$41/$AF$41/$E$2*$C$22</f>
        <v>0</v>
      </c>
      <c r="N48">
        <f ca="1">N47/$E$3</f>
        <v>40032.606434668305</v>
      </c>
      <c r="O48">
        <f ca="1">O47/$F$3</f>
        <v>17849.327517040176</v>
      </c>
      <c r="P48">
        <f ca="1">P47/$E$45*大附魔数值!$S$9</f>
        <v>1902.0247912618158</v>
      </c>
      <c r="Q48">
        <f ca="1">Q47/$E$47*大附魔数值!$S$10</f>
        <v>3013.9693551120954</v>
      </c>
      <c r="R48">
        <f ca="1">R47/45</f>
        <v>232.42063701700005</v>
      </c>
      <c r="S48">
        <f ca="1">SUM(G48:R48,AS48)*IF(COUNTIF(F48,"*雷*")&gt;0,$B$21/$D$21,1)</f>
        <v>477570.85481842834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55648.890435406429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91329.095356731254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55648.890435406429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91329.095356731254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55648.890435406429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55648.890435406429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91329.095356731254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95189.866967961585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19">
      <selection activeCell="AA36" sqref="AA36:AF44"/>
      <pageMargins left="0.7" right="0.7" top="0.75" bottom="0.75" header="0.3" footer="0.3"/>
      <pageSetup paperSize="9" orientation="portrait"/>
    </customSheetView>
  </customSheetViews>
  <phoneticPr fontId="1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Q96"/>
  <sheetViews>
    <sheetView topLeftCell="Q22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29" max="29" width="20.36328125" bestFit="1" customWidth="1"/>
    <col min="31" max="31" width="10.453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20743.488805260517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126691.35458350176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237021.04256013827</v>
      </c>
      <c r="U7">
        <f ca="1">INT(I$6*($E18+$E$19)/2+I$7*($C$8+$C$9)/2+I$8)*(I$14+I$15)*$D$21*IF(COUNTIF($S7,"*雷*")&gt;0,I$17*(I$13*0.25+I$9*I$10+1-I$9-I$13-I$12),I$11*(I$13*0.25+I$9*I$10+1-I$9-I$13-I$12))</f>
        <v>75990.608895669269</v>
      </c>
      <c r="V7">
        <f ca="1">INT(J$6*($E18+$E$19)/2+J$7*($C$8+$C$9)/2+J$8)*(J$14+J$15)*$D$21*IF(COUNTIF($S7,"*雷*")&gt;0,J$17*(J$13*0.25+J$9*J$10+1-J$9-J$13-J$12),J$11*(J$13*0.25+J$9*J$10+1-J$9-J$13-J$12))</f>
        <v>137697.23904930326</v>
      </c>
      <c r="W7">
        <f ca="1">INT(K$6*($E18+$E$19)/2+K$7*($C$8+$C$9)/2+K$8)*(K$14+K$15)*$D$21*IF(COUNTIF($S7,"*雷*")&gt;0,K$17*(K$13*0.25+K$9*K$10+1-K$9-K$13-K$12),K$11*(K$13*0.25+K$9*K$10+1-K$9-K$13-K$12))</f>
        <v>143658.92014275707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0.56288757096458264</v>
      </c>
      <c r="H9" s="22">
        <f ca="1">O9</f>
        <v>0.39288757096458271</v>
      </c>
      <c r="I9" s="21">
        <f ca="1">G9*(1-G12)</f>
        <v>0.56288757096458264</v>
      </c>
      <c r="J9" s="21">
        <f ca="1">C10</f>
        <v>0.39288757096458271</v>
      </c>
      <c r="K9" s="21">
        <f ca="1">C10+IF(配装页面!D24="扬戈",0.1,0)+属性开关!AC68</f>
        <v>0.54288757096458273</v>
      </c>
      <c r="L9" s="21">
        <f ca="1">C10+属性开关!AC65</f>
        <v>0.42288757096458274</v>
      </c>
      <c r="M9" s="21">
        <f t="shared" ref="M9:M15" ca="1" si="6">L9</f>
        <v>0.42288757096458274</v>
      </c>
      <c r="N9" s="21">
        <f ca="1">C10</f>
        <v>0.39288757096458271</v>
      </c>
      <c r="O9" s="21">
        <f ca="1">N9</f>
        <v>0.39288757096458271</v>
      </c>
      <c r="P9" s="21">
        <f ca="1">C10</f>
        <v>0.39288757096458271</v>
      </c>
      <c r="Q9" s="21">
        <f t="shared" ref="Q9:Q14" ca="1" si="7">P9</f>
        <v>0.39288757096458271</v>
      </c>
      <c r="R9" s="21">
        <f ca="1">Q9</f>
        <v>0.39288757096458271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0.39288757096458271</v>
      </c>
      <c r="AS9" s="22">
        <f ca="1">$C$10</f>
        <v>0.39288757096458271</v>
      </c>
      <c r="AT9" s="22">
        <f ca="1">AV9</f>
        <v>0.39288757096458271</v>
      </c>
      <c r="AU9" s="22">
        <f ca="1">AV9</f>
        <v>0.39288757096458271</v>
      </c>
      <c r="AV9" s="21">
        <f t="shared" ref="AV9:AV14" ca="1" si="10">P9</f>
        <v>0.39288757096458271</v>
      </c>
      <c r="AX9" s="21">
        <f t="shared" ref="AX9:AZ17" ca="1" si="11">AV9</f>
        <v>0.39288757096458271</v>
      </c>
      <c r="AZ9" s="21">
        <f ca="1">AX9</f>
        <v>0.39288757096458271</v>
      </c>
      <c r="BB9" s="21">
        <f ca="1">AV9</f>
        <v>0.39288757096458271</v>
      </c>
      <c r="BC9" s="21">
        <f ca="1">AV9</f>
        <v>0.39288757096458271</v>
      </c>
      <c r="BD9" s="21">
        <f t="shared" ref="BD9:BD17" ca="1" si="12">AZ9</f>
        <v>0.39288757096458271</v>
      </c>
      <c r="BE9" s="21">
        <f ca="1">BD9</f>
        <v>0.39288757096458271</v>
      </c>
      <c r="BF9" s="21">
        <f ca="1">BE9</f>
        <v>0.39288757096458271</v>
      </c>
      <c r="BG9" s="21">
        <f ca="1">AV9</f>
        <v>0.39288757096458271</v>
      </c>
      <c r="BH9">
        <f t="shared" ca="1" si="5"/>
        <v>0.39288757096458271</v>
      </c>
      <c r="CA9" s="21">
        <f ca="1">AZ9</f>
        <v>0.39288757096458271</v>
      </c>
      <c r="CB9" s="21">
        <f ca="1">AZ9</f>
        <v>0.39288757096458271</v>
      </c>
      <c r="CC9">
        <f t="shared" ca="1" si="2"/>
        <v>0.42288757096458274</v>
      </c>
      <c r="CD9">
        <f t="shared" ca="1" si="2"/>
        <v>0.42288757096458274</v>
      </c>
      <c r="CE9">
        <f t="shared" ca="1" si="0"/>
        <v>0.39288757096458271</v>
      </c>
      <c r="CF9">
        <f t="shared" ca="1" si="0"/>
        <v>0.54288757096458273</v>
      </c>
      <c r="CG9">
        <f t="shared" ca="1" si="3"/>
        <v>0.39288757096458271</v>
      </c>
      <c r="CH9">
        <f t="shared" ca="1" si="1"/>
        <v>0.39288757096458271</v>
      </c>
      <c r="CI9">
        <f t="shared" ca="1" si="4"/>
        <v>0.39288757096458271</v>
      </c>
      <c r="CN9" s="21">
        <f ca="1">$R$9</f>
        <v>0.39288757096458271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0.15288757096458272</v>
      </c>
    </row>
    <row r="10" spans="2:95" x14ac:dyDescent="0.35">
      <c r="B10" t="s">
        <v>17</v>
      </c>
      <c r="C10" s="21">
        <f ca="1">属性开关!I31+属性开关!$AJ$26/属性开关!U25</f>
        <v>0.39288757096458271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533745.51701064012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354465.46154977049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461860.18475179863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302021.67473454797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0.86288757096458268</v>
      </c>
      <c r="H16" s="21">
        <f ca="1">MIN(1-H12-H13,H9+0.3+属性开关!$X$55)</f>
        <v>0.69288757096458276</v>
      </c>
      <c r="I16" s="21">
        <f ca="1">MIN(1-I12-I13,I9+0.3+属性开关!$X$55)</f>
        <v>0.86288757096458268</v>
      </c>
      <c r="J16" s="21">
        <f ca="1">MIN(1-J12-J13,J9+0.3+属性开关!$X$55)</f>
        <v>0.69288757096458276</v>
      </c>
      <c r="K16" s="21">
        <f ca="1">MIN(1-K12-K13,K9+0.3+属性开关!$X$55)</f>
        <v>0.84288757096458267</v>
      </c>
      <c r="L16" s="21">
        <f ca="1">MIN(1-L12-L13,L9+0.3+属性开关!$X$55)</f>
        <v>0.72288757096458278</v>
      </c>
      <c r="M16" s="21">
        <f ca="1">MIN(1-M12-M13,M9+0.3+属性开关!$X$55)</f>
        <v>0.72288757096458278</v>
      </c>
      <c r="N16" s="21">
        <f ca="1">MIN(1-N12-N13,N9+0.3+属性开关!$X$55)</f>
        <v>0.69288757096458276</v>
      </c>
      <c r="O16" s="21">
        <f ca="1">MIN(1-O12-O13,O9+0.3+属性开关!$X$55)</f>
        <v>0.69288757096458276</v>
      </c>
      <c r="P16" s="21">
        <f ca="1">MIN(1-P12-P13,P9+0.3+属性开关!$X$55)</f>
        <v>0.69288757096458276</v>
      </c>
      <c r="Q16" s="21">
        <f ca="1">MIN(1-Q12-Q13,Q9+0.3+属性开关!$X$55)</f>
        <v>0.69288757096458276</v>
      </c>
      <c r="R16" s="21">
        <f ca="1">MIN(1-R12-R13,R9+0.3+属性开关!$X$55)</f>
        <v>0.69288757096458276</v>
      </c>
      <c r="AR16" s="21">
        <f t="shared" ca="1" si="9"/>
        <v>0.69288757096458276</v>
      </c>
      <c r="AS16" s="21">
        <f ca="1">MIN(1-AS12-AS13,AS9+0.3+属性开关!$X$55)</f>
        <v>0.69288757096458276</v>
      </c>
      <c r="AT16" s="22">
        <f t="shared" ca="1" si="14"/>
        <v>0.69288757096458276</v>
      </c>
      <c r="AU16" s="22">
        <f t="shared" ca="1" si="15"/>
        <v>0.69288757096458276</v>
      </c>
      <c r="AV16" s="21">
        <f ca="1">MIN(1-AV12-AV13,AV9+0.3+属性开关!$X$55)</f>
        <v>0.69288757096458276</v>
      </c>
      <c r="AX16" s="21">
        <f t="shared" ca="1" si="11"/>
        <v>0.69288757096458276</v>
      </c>
      <c r="AZ16" s="21">
        <f t="shared" ca="1" si="11"/>
        <v>0.69288757096458276</v>
      </c>
      <c r="BB16" s="21">
        <f ca="1">AV16</f>
        <v>0.69288757096458276</v>
      </c>
      <c r="BC16" s="21">
        <f ca="1">AV16</f>
        <v>0.69288757096458276</v>
      </c>
      <c r="BD16" s="21">
        <f t="shared" ca="1" si="12"/>
        <v>0.69288757096458276</v>
      </c>
      <c r="BE16" s="21">
        <f t="shared" ca="1" si="18"/>
        <v>0.69288757096458276</v>
      </c>
      <c r="BF16" s="21">
        <f t="shared" ca="1" si="18"/>
        <v>0.69288757096458276</v>
      </c>
      <c r="BG16" s="21">
        <f ca="1">MIN(1-BG12-BG13,BG9+0.3+属性开关!$X$55)</f>
        <v>0.69288757096458276</v>
      </c>
      <c r="BH16" s="21">
        <f ca="1">BG16</f>
        <v>0.69288757096458276</v>
      </c>
      <c r="CA16" s="21">
        <f t="shared" ca="1" si="19"/>
        <v>0.69288757096458276</v>
      </c>
      <c r="CB16" s="21">
        <f t="shared" ca="1" si="20"/>
        <v>0.69288757096458276</v>
      </c>
      <c r="CC16">
        <f t="shared" ca="1" si="2"/>
        <v>0.72288757096458278</v>
      </c>
      <c r="CD16">
        <f t="shared" ca="1" si="2"/>
        <v>0.72288757096458278</v>
      </c>
      <c r="CE16">
        <f t="shared" ca="1" si="27"/>
        <v>0.69288757096458276</v>
      </c>
      <c r="CF16">
        <f t="shared" ca="1" si="27"/>
        <v>0.84288757096458267</v>
      </c>
      <c r="CG16">
        <f t="shared" ca="1" si="3"/>
        <v>0.69288757096458276</v>
      </c>
      <c r="CH16">
        <f ca="1">N16</f>
        <v>0.69288757096458276</v>
      </c>
      <c r="CI16">
        <f t="shared" ca="1" si="4"/>
        <v>0.69288757096458276</v>
      </c>
      <c r="CN16" s="21">
        <f ca="1">$R$16</f>
        <v>0.69288757096458276</v>
      </c>
      <c r="CO16" s="21">
        <f t="shared" ref="CO16:CQ16" ca="1" si="29">$R$16</f>
        <v>0.69288757096458276</v>
      </c>
      <c r="CP16" s="21">
        <f t="shared" ca="1" si="29"/>
        <v>0.69288757096458276</v>
      </c>
      <c r="CQ16" s="21">
        <f t="shared" ca="1" si="29"/>
        <v>0.69288757096458276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237021.04256013827</v>
      </c>
      <c r="H18">
        <f ca="1">INT(H$6*$E18+H$7*($C$8+$C$9)/2+H$8)*(H$14+H$15)*$D$21*IF(COUNTIF($F18,"*雷*")&gt;0,H$17*(H$13*0.25+H$16*(H$10+属性开关!$X$56)+1-H$16-H$13-H$12),H$11*(H$13*0.25+H$9*H$10+1-H$9-H$13-H$12))</f>
        <v>162054.78560006147</v>
      </c>
      <c r="I18">
        <f ca="1">INT(I$6*$E18+I$7*($C$8+$C$9)/2+I$8)*(I$14+I$15)*$D$21*IF(COUNTIF($F18,"*雷*")&gt;0,I$17*(I$13*0.25+I$16*(I$10+属性开关!$X$56)+1-I$16-I$13-I$12),I$11*(I$13*0.25+I$9*I$10+1-I$9-I$13-I$12))</f>
        <v>75990.608895669269</v>
      </c>
      <c r="J18">
        <f ca="1">INT(J$6*$E18+J$7*($C$8+$C$9)/2+J$8)*(J$14+J$15)*$D$21*IF(COUNTIF($F18,"*雷*")&gt;0,J$17*(J$13*0.25+J$16*(J$10+属性开关!$X$56)+1-J$16-J$13-J$12),J$11*(J$13*0.25+J$9*J$10+1-J$9-J$13-J$12))</f>
        <v>137697.23904930326</v>
      </c>
      <c r="K18">
        <f ca="1">INT(K$6*$E18+K$7*($C$8+$C$9)/2+K$8)*(K$14+K$15)*$D$21*IF(COUNTIF($F18,"*雷*")&gt;0,K$17*(K$13*0.25+K$16*(K$10+属性开关!$X$56)+1-K$16-K$13-K$12),K$11*(K$13*0.25+K$9*K$10+1-K$9-K$13-K$12))</f>
        <v>143658.92014275707</v>
      </c>
      <c r="L18">
        <f ca="1">INT(L$6*$E18+L$7*($C$8+$C$9)/2+L$8)*(L$14+L$15)*$D$21*IF(COUNTIF($F18,"*雷*")&gt;0,L$17*(L$13*0.25+L$16*(L$10+属性开关!$X$56)+1-L$16-L$13-L$12),L$11*(L$13*0.25+L$9*L$10+1-L$9-L$13-L$12))</f>
        <v>101507.80791581218</v>
      </c>
      <c r="M18">
        <f ca="1">INT(M$6*$E18+M$7*($C$8+$C$9)/2+M$8)*(M$14+M$15)*$D$21*IF(COUNTIF($F18,"*雷*")&gt;0,M$17*(M$13*0.25+M$16*(M$10+属性开关!$X$56)+1-M$16-M$13-M$12),M$11*(M$13*0.25+M$9*M$10+1-M$9-M$13-M$12))</f>
        <v>43726.237891992576</v>
      </c>
      <c r="N18">
        <f ca="1">INT(N$6*$E18+N$7*($C$8+$C$9)/2+N$8)*(N$14+N$15)*$D$21*IF(COUNTIF($F18,"*雷*")&gt;0,N$17*(N$13*0.25+N$16*(N$10+属性开关!$X$56)+1-N$16-N$13-N$12),N$11*(N$13*0.25+N$9*N$10+1-N$9-N$13-N$12))</f>
        <v>51189.898491854918</v>
      </c>
      <c r="O18">
        <f ca="1">INT(O$6*$E18+O$7*($C$8+$C$9)/2+O$8)*(O$14+O$15)*$D$21*IF(COUNTIF($F18,"*雷*")&gt;0,O$17*(O$13*0.25+O$16*(O$10+属性开关!$X$56)+1-O$16-O$13-O$12),O$11*(O$13*0.25+O$9*O$10+1-O$9-O$13-O$12))</f>
        <v>20388.646123152994</v>
      </c>
      <c r="P18">
        <f ca="1">INT(P$6*$E18+P$7*($C$8+$C$9)/2+P$8)*(P$14+P$15)*$D$21*IF(COUNTIF($F18,"*雷*")&gt;0,P$17*(P$13*0.25+P$16*(P$10+属性开关!$X$56)+1-P$16-P$13-P$12),P$11*(P$13*0.25+P$9*P$10+1-P$9-P$13-P$12))</f>
        <v>31390.819699935622</v>
      </c>
      <c r="Q18">
        <f ca="1">INT(Q$6*$E18+Q$7*($C$8+$C$9)/2+Q$8)*(Q$14+Q$15)*$D$21*IF(COUNTIF($F18,"*雷*")&gt;0,Q$17*(Q$13*0.25+Q$16*(Q$10+属性开关!$X$56)+1-Q$16-Q$13-Q$12),Q$11*(Q$13*0.25+Q$9*Q$10+1-Q$9-Q$13-Q$12))</f>
        <v>25127.747500188849</v>
      </c>
      <c r="R18">
        <f ca="1">INT(R$6*$E18+R$7*($C$8+$C$9)/2+R$8)*(R$14+R$15)*$D$21*IF(COUNTIF($F18,"*雷*")&gt;0,R$17*(R$13*0.25+R$16*(R$10+属性开关!$X$56)+1-R$16-R$13-R$12),R$11*(R$13*0.25+R$9*R$10+1-R$9-R$13-R$12))</f>
        <v>7138.1801178680353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25417.400788699069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56371.043260432481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69513.218342109525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56307.733869068594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151543.13905948718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69661.090526067841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62789.187685038996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188523.74266514037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8283.9204381013624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14073.58294222342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152325.79343413754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196720.87207406052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147136.22747461367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63381.466088019937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197583.04118472815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148668.0380588788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21099.560088533381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77218.234547218381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29722.796986488313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9251.3526872308485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2365999.2436978836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291455.58307364292</v>
      </c>
      <c r="H19">
        <f ca="1">INT(H$6*$E19+H$7*($C$8+$C$9)/2+H$8)*(H$14+H$15)*$D$21*IF(COUNTIF($F19,"*雷*")&gt;0,H$17*(H$13*0.25+H$16*(H$10+属性开关!$X$56)+1-H$16-H$13-H$12),H$11*(H$13*0.25+H$9*H$10+1-H$9-H$13-H$12))</f>
        <v>202713.4938021776</v>
      </c>
      <c r="I19">
        <f ca="1">INT(I$6*$E19+I$7*($C$8+$C$9)/2+I$8)*(I$14+I$15)*$D$21*IF(COUNTIF($F19,"*雷*")&gt;0,I$17*(I$13*0.25+I$16*(I$10+属性开关!$X$56)+1-I$16-I$13-I$12),I$11*(I$13*0.25+I$9*I$10+1-I$9-I$13-I$12))</f>
        <v>93442.704430721424</v>
      </c>
      <c r="J19">
        <f ca="1">INT(J$6*$E19+J$7*($C$8+$C$9)/2+J$8)*(J$14+J$15)*$D$21*IF(COUNTIF($F19,"*雷*")&gt;0,J$17*(J$13*0.25+J$16*(J$10+属性开关!$X$56)+1-J$16-J$13-J$12),J$11*(J$13*0.25+J$9*J$10+1-J$9-J$13-J$12))</f>
        <v>172244.76470250759</v>
      </c>
      <c r="K19">
        <f ca="1">INT(K$6*$E19+K$7*($C$8+$C$9)/2+K$8)*(K$14+K$15)*$D$21*IF(COUNTIF($F19,"*雷*")&gt;0,K$17*(K$13*0.25+K$16*(K$10+属性开关!$X$56)+1-K$16-K$13-K$12),K$11*(K$13*0.25+K$9*K$10+1-K$9-K$13-K$12))</f>
        <v>177170.42473582042</v>
      </c>
      <c r="L19">
        <f ca="1">INT(L$6*$E19+L$7*($C$8+$C$9)/2+L$8)*(L$14+L$15)*$D$21*IF(COUNTIF($F19,"*雷*")&gt;0,L$17*(L$13*0.25+L$16*(L$10+属性开关!$X$56)+1-L$16-L$13-L$12),L$11*(L$13*0.25+L$9*L$10+1-L$9-L$13-L$12))</f>
        <v>126352.25791511878</v>
      </c>
      <c r="M19">
        <f ca="1">INT(M$6*$E19+M$7*($C$8+$C$9)/2+M$8)*(M$14+M$15)*$D$21*IF(COUNTIF($F19,"*雷*")&gt;0,M$17*(M$13*0.25+M$16*(M$10+属性开关!$X$56)+1-M$16-M$13-M$12),M$11*(M$13*0.25+M$9*M$10+1-M$9-M$13-M$12))</f>
        <v>54428.41295882476</v>
      </c>
      <c r="N19">
        <f ca="1">INT(N$6*$E19+N$7*($C$8+$C$9)/2+N$8)*(N$14+N$15)*$D$21*IF(COUNTIF($F19,"*雷*")&gt;0,N$17*(N$13*0.25+N$16*(N$10+属性开关!$X$56)+1-N$16-N$13-N$12),N$11*(N$13*0.25+N$9*N$10+1-N$9-N$13-N$12))</f>
        <v>64033.179472231488</v>
      </c>
      <c r="O19">
        <f ca="1">INT(O$6*$E19+O$7*($C$8+$C$9)/2+O$8)*(O$14+O$15)*$D$21*IF(COUNTIF($F19,"*雷*")&gt;0,O$17*(O$13*0.25+O$16*(O$10+属性开关!$X$56)+1-O$16-O$13-O$12),O$11*(O$13*0.25+O$9*O$10+1-O$9-O$13-O$12))</f>
        <v>25504.052066198277</v>
      </c>
      <c r="P19">
        <f ca="1">INT(P$6*$E19+P$7*($C$8+$C$9)/2+P$8)*(P$14+P$15)*$D$21*IF(COUNTIF($F19,"*雷*")&gt;0,P$17*(P$13*0.25+P$16*(P$10+属性开关!$X$56)+1-P$16-P$13-P$12),P$11*(P$13*0.25+P$9*P$10+1-P$9-P$13-P$12))</f>
        <v>39266.614133768351</v>
      </c>
      <c r="Q19">
        <f ca="1">INT(Q$6*$E19+Q$7*($C$8+$C$9)/2+Q$8)*(Q$14+Q$15)*$D$21*IF(COUNTIF($F19,"*雷*")&gt;0,Q$17*(Q$13*0.25+Q$16*(Q$10+属性开关!$X$56)+1-Q$16-Q$13-Q$12),Q$11*(Q$13*0.25+Q$9*Q$10+1-Q$9-Q$13-Q$12))</f>
        <v>31432.169486886683</v>
      </c>
      <c r="R19">
        <f ca="1">INT(R$6*$E19+R$7*($C$8+$C$9)/2+R$8)*(R$14+R$15)*$D$21*IF(COUNTIF($F19,"*雷*")&gt;0,R$17*(R$13*0.25+R$16*(R$10+属性开关!$X$56)+1-R$16-R$13-R$12),R$11*(R$13*0.25+R$9*R$10+1-R$9-R$13-R$12))</f>
        <v>8929.1126190704763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40798.156511990783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70514.246686903338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111577.54426386916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90381.064465378979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189564.52946913923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111814.89790026394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100784.62104488455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302604.55124500318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13578.239645552645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17604.572169646297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244502.2452532686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315761.9850579389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235012.94189960056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101235.87550744659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317145.87598405039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235269.07407378091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33867.473782326051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123945.07388173715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47708.864234773879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304125.69463193457</v>
      </c>
      <c r="H20">
        <f ca="1">INT(H$6*$E20+H$7*($C$8+$C$9)/2+H$8)*(H$14+H$15)*$D$21*IF(COUNTIF($F20,"*雷*")&gt;0,H$17*(H$13*0.25+H$16*(H$10+属性开关!$X$56)+1-H$16-H$13-H$12),H$11*(H$13*0.25+H$9*H$10+1-H$9-H$13-H$12))</f>
        <v>162054.78560006147</v>
      </c>
      <c r="I20">
        <f ca="1">INT(I$6*$E20+I$7*($C$8+$C$9)/2+I$8)*(I$14+I$15)*$D$21*IF(COUNTIF($F20,"*雷*")&gt;0,I$17*(I$13*0.25+I$16*(I$10+属性开关!$X$56)+1-I$16-I$13-I$12),I$11*(I$13*0.25+I$9*I$10+1-I$9-I$13-I$12))</f>
        <v>98292.313306940923</v>
      </c>
      <c r="J20">
        <f ca="1">INT(J$6*$E20+J$7*($C$8+$C$9)/2+J$8)*(J$14+J$15)*$D$21*IF(COUNTIF($F20,"*雷*")&gt;0,J$17*(J$13*0.25+J$16*(J$10+属性开关!$X$56)+1-J$16-J$13-J$12),J$11*(J$13*0.25+J$9*J$10+1-J$9-J$13-J$12))</f>
        <v>176158.19055958904</v>
      </c>
      <c r="K20">
        <f ca="1">INT(K$6*$E20+K$7*($C$8+$C$9)/2+K$8)*(K$14+K$15)*$D$21*IF(COUNTIF($F20,"*雷*")&gt;0,K$17*(K$13*0.25+K$16*(K$10+属性开关!$X$56)+1-K$16-K$13-K$12),K$11*(K$13*0.25+K$9*K$10+1-K$9-K$13-K$12))</f>
        <v>183389.54735021078</v>
      </c>
      <c r="L20">
        <f ca="1">INT(L$6*$E20+L$7*($C$8+$C$9)/2+L$8)*(L$14+L$15)*$D$21*IF(COUNTIF($F20,"*雷*")&gt;0,L$17*(L$13*0.25+L$16*(L$10+属性开关!$X$56)+1-L$16-L$13-L$12),L$11*(L$13*0.25+L$9*L$10+1-L$9-L$13-L$12))</f>
        <v>129199.27476534329</v>
      </c>
      <c r="M20">
        <f ca="1">INT(M$6*$E20+M$7*($C$8+$C$9)/2+M$8)*(M$14+M$15)*$D$21*IF(COUNTIF($F20,"*雷*")&gt;0,M$17*(M$13*0.25+M$16*(M$10+属性开关!$X$56)+1-M$16-M$13-M$12),M$11*(M$13*0.25+M$9*M$10+1-M$9-M$13-M$12))</f>
        <v>56114.17941248745</v>
      </c>
      <c r="N20">
        <f ca="1">INT(N$6*$E20+N$7*($C$8+$C$9)/2+N$8)*(N$14+N$15)*$D$21*IF(COUNTIF($F20,"*雷*")&gt;0,N$17*(N$13*0.25+N$16*(N$10+属性开关!$X$56)+1-N$16-N$13-N$12),N$11*(N$13*0.25+N$9*N$10+1-N$9-N$13-N$12))</f>
        <v>66390.81302330902</v>
      </c>
      <c r="O20">
        <f ca="1">INT(O$6*$E20+O$7*($C$8+$C$9)/2+O$8)*(O$14+O$15)*$D$21*IF(COUNTIF($F20,"*雷*")&gt;0,O$17*(O$13*0.25+O$16*(O$10+属性开关!$X$56)+1-O$16-O$13-O$12),O$11*(O$13*0.25+O$9*O$10+1-O$9-O$13-O$12))</f>
        <v>24021.375385511226</v>
      </c>
      <c r="P20">
        <f ca="1">INT(P$6*$E20+P$7*($C$8+$C$9)/2+P$8)*(P$14+P$15)*$D$21*IF(COUNTIF($F20,"*雷*")&gt;0,P$17*(P$13*0.25+P$16*(P$10+属性开关!$X$56)+1-P$16-P$13-P$12),P$11*(P$13*0.25+P$9*P$10+1-P$9-P$13-P$12))</f>
        <v>40726.827093303349</v>
      </c>
      <c r="Q20">
        <f ca="1">INT(Q$6*$E20+Q$7*($C$8+$C$9)/2+Q$8)*(Q$14+Q$15)*$D$21*IF(COUNTIF($F20,"*雷*")&gt;0,Q$17*(Q$13*0.25+Q$16*(Q$10+属性开关!$X$56)+1-Q$16-Q$13-Q$12),Q$11*(Q$13*0.25+Q$9*Q$10+1-Q$9-Q$13-Q$12))</f>
        <v>32596.55341488303</v>
      </c>
      <c r="R20">
        <f ca="1">INT(R$6*$E20+R$7*($C$8+$C$9)/2+R$8)*(R$14+R$15)*$D$21*IF(COUNTIF($F20,"*雷*")&gt;0,R$17*(R$13*0.25+R$16*(R$10+属性开关!$X$56)+1-R$16-R$13-R$12),R$11*(R$13*0.25+R$9*R$10+1-R$9-R$13-R$12))</f>
        <v>9246.1447156666454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30827.196642274972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73014.391421993481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90123.942409557028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73053.843331043885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196686.79741944809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90271.814593515344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81467.60444975039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244688.58880588968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10748.58357650295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18264.270216199071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194553.91185795347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251801.46252360361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187275.18869479431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81337.867855787932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252771.01603976262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189783.99794435795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24858.955827393147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100148.30118544018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38557.40509978099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7635.0879961852979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373971.57104368554</v>
      </c>
      <c r="H21">
        <f ca="1">INT(H$6*$E21+H$7*($C$8+$C$9)/2+H$8)*(H$14+H$15)*$D$21*IF(COUNTIF($F21,"*雷*")&gt;0,H$17*(H$13*0.25+H$16*(H$10+属性开关!$X$56)+1-H$16-H$13-H$12),H$11*(H$13*0.25+H$9*H$10+1-H$9-H$13-H$12))</f>
        <v>202713.4938021776</v>
      </c>
      <c r="I21">
        <f ca="1">INT(I$6*$E21+I$7*($C$8+$C$9)/2+I$8)*(I$14+I$15)*$D$21*IF(COUNTIF($F21,"*雷*")&gt;0,I$17*(I$13*0.25+I$16*(I$10+属性开关!$X$56)+1-I$16-I$13-I$12),I$11*(I$13*0.25+I$9*I$10+1-I$9-I$13-I$12))</f>
        <v>120866.24536411348</v>
      </c>
      <c r="J21">
        <f ca="1">INT(J$6*$E21+J$7*($C$8+$C$9)/2+J$8)*(J$14+J$15)*$D$21*IF(COUNTIF($F21,"*雷*")&gt;0,J$17*(J$13*0.25+J$16*(J$10+属性开关!$X$56)+1-J$16-J$13-J$12),J$11*(J$13*0.25+J$9*J$10+1-J$9-J$13-J$12))</f>
        <v>220355.37017914839</v>
      </c>
      <c r="K21">
        <f ca="1">INT(K$6*$E21+K$7*($C$8+$C$9)/2+K$8)*(K$14+K$15)*$D$21*IF(COUNTIF($F21,"*雷*")&gt;0,K$17*(K$13*0.25+K$16*(K$10+属性开关!$X$56)+1-K$16-K$13-K$12),K$11*(K$13*0.25+K$9*K$10+1-K$9-K$13-K$12))</f>
        <v>226169.06742623053</v>
      </c>
      <c r="L21">
        <f ca="1">INT(L$6*$E21+L$7*($C$8+$C$9)/2+L$8)*(L$14+L$15)*$D$21*IF(COUNTIF($F21,"*雷*")&gt;0,L$17*(L$13*0.25+L$16*(L$10+属性开关!$X$56)+1-L$16-L$13-L$12),L$11*(L$13*0.25+L$9*L$10+1-L$9-L$13-L$12))</f>
        <v>160821.32421908024</v>
      </c>
      <c r="M21">
        <f ca="1">INT(M$6*$E21+M$7*($C$8+$C$9)/2+M$8)*(M$14+M$15)*$D$21*IF(COUNTIF($F21,"*雷*")&gt;0,M$17*(M$13*0.25+M$16*(M$10+属性开关!$X$56)+1-M$16-M$13-M$12),M$11*(M$13*0.25+M$9*M$10+1-M$9-M$13-M$12))</f>
        <v>69848.353692183387</v>
      </c>
      <c r="N21">
        <f ca="1">INT(N$6*$E21+N$7*($C$8+$C$9)/2+N$8)*(N$14+N$15)*$D$21*IF(COUNTIF($F21,"*雷*")&gt;0,N$17*(N$13*0.25+N$16*(N$10+属性开关!$X$56)+1-N$16-N$13-N$12),N$11*(N$13*0.25+N$9*N$10+1-N$9-N$13-N$12))</f>
        <v>83047.924900756392</v>
      </c>
      <c r="O21">
        <f ca="1">INT(O$6*$E21+O$7*($C$8+$C$9)/2+O$8)*(O$14+O$15)*$D$21*IF(COUNTIF($F21,"*雷*")&gt;0,O$17*(O$13*0.25+O$16*(O$10+属性开关!$X$56)+1-O$16-O$13-O$12),O$11*(O$13*0.25+O$9*O$10+1-O$9-O$13-O$12))</f>
        <v>30048.214326407186</v>
      </c>
      <c r="P21">
        <f ca="1">INT(P$6*$E21+P$7*($C$8+$C$9)/2+P$8)*(P$14+P$15)*$D$21*IF(COUNTIF($F21,"*雷*")&gt;0,P$17*(P$13*0.25+P$16*(P$10+属性开关!$X$56)+1-P$16-P$13-P$12),P$11*(P$13*0.25+P$9*P$10+1-P$9-P$13-P$12))</f>
        <v>50944.97753331127</v>
      </c>
      <c r="Q21">
        <f ca="1">INT(Q$6*$E21+Q$7*($C$8+$C$9)/2+Q$8)*(Q$14+Q$15)*$D$21*IF(COUNTIF($F21,"*雷*")&gt;0,Q$17*(Q$13*0.25+Q$16*(Q$10+属性开关!$X$56)+1-Q$16-Q$13-Q$12),Q$11*(Q$13*0.25+Q$9*Q$10+1-Q$9-Q$13-Q$12))</f>
        <v>40774.860206521022</v>
      </c>
      <c r="R21">
        <f ca="1">INT(R$6*$E21+R$7*($C$8+$C$9)/2+R$8)*(R$14+R$15)*$D$21*IF(COUNTIF($F21,"*雷*")&gt;0,R$17*(R$13*0.25+R$16*(R$10+属性开关!$X$56)+1-R$16-R$13-R$12),R$11*(R$13*0.25+R$9*R$10+1-R$9-R$13-R$12))</f>
        <v>11565.954640420176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49481.565951332013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91333.324888780277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144660.37414563447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117260.69706338887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246034.49840757018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144897.72778202925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130765.85228477215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392756.26275836024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17618.088529766075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22846.681223040436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312283.73868699995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404173.32847636007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299124.78928794136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129916.68972842045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405729.58501210291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300335.60712428339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39901.781421394524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160750.74316765758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61889.532333947616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277257.91966841329</v>
      </c>
      <c r="H22">
        <f ca="1">INT(H$6*$E22+H$7*($C$8+$C$9)/2+H$8)*(H$14+H$15)*$D$21*IF(COUNTIF($F22,"*雷*")&gt;0,H$17*(H$13*0.25+H$16*(H$10+属性开关!$X$56)+1-H$16-H$13-H$12),H$11*(H$13*0.25+H$9*H$10+1-H$9-H$13-H$12))</f>
        <v>162054.78560006147</v>
      </c>
      <c r="I22">
        <f ca="1">INT(I$6*$E22+I$7*($C$8+$C$9)/2+I$8)*(I$14+I$15)*$D$21*IF(COUNTIF($F22,"*雷*")&gt;0,I$17*(I$13*0.25+I$16*(I$10+属性开关!$X$56)+1-I$16-I$13-I$12),I$11*(I$13*0.25+I$9*I$10+1-I$9-I$13-I$12))</f>
        <v>89362.302453903263</v>
      </c>
      <c r="J22">
        <f ca="1">INT(J$6*$E22+J$7*($C$8+$C$9)/2+J$8)*(J$14+J$15)*$D$21*IF(COUNTIF($F22,"*雷*")&gt;0,J$17*(J$13*0.25+J$16*(J$10+属性开关!$X$56)+1-J$16-J$13-J$12),J$11*(J$13*0.25+J$9*J$10+1-J$9-J$13-J$12))</f>
        <v>160758.6042420039</v>
      </c>
      <c r="K22">
        <f ca="1">INT(K$6*$E22+K$7*($C$8+$C$9)/2+K$8)*(K$14+K$15)*$D$21*IF(COUNTIF($F22,"*雷*")&gt;0,K$17*(K$13*0.25+K$16*(K$10+属性开关!$X$56)+1-K$16-K$13-K$12),K$11*(K$13*0.25+K$9*K$10+1-K$9-K$13-K$12))</f>
        <v>167480.82496864613</v>
      </c>
      <c r="L22">
        <f ca="1">INT(L$6*$E22+L$7*($C$8+$C$9)/2+L$8)*(L$14+L$15)*$D$21*IF(COUNTIF($F22,"*雷*")&gt;0,L$17*(L$13*0.25+L$16*(L$10+属性开关!$X$56)+1-L$16-L$13-L$12),L$11*(L$13*0.25+L$9*L$10+1-L$9-L$13-L$12))</f>
        <v>118112.16109495197</v>
      </c>
      <c r="M22">
        <f ca="1">INT(M$6*$E22+M$7*($C$8+$C$9)/2+M$8)*(M$14+M$15)*$D$21*IF(COUNTIF($F22,"*雷*")&gt;0,M$17*(M$13*0.25+M$16*(M$10+属性开关!$X$56)+1-M$16-M$13-M$12),M$11*(M$13*0.25+M$9*M$10+1-M$9-M$13-M$12))</f>
        <v>51155.24318622562</v>
      </c>
      <c r="N22">
        <f ca="1">INT(N$6*$E22+N$7*($C$8+$C$9)/2+N$8)*(N$14+N$15)*$D$21*IF(COUNTIF($F22,"*雷*")&gt;0,N$17*(N$13*0.25+N$16*(N$10+属性开关!$X$56)+1-N$16-N$13-N$12),N$11*(N$13*0.25+N$9*N$10+1-N$9-N$13-N$12))</f>
        <v>60305.951798740891</v>
      </c>
      <c r="O22">
        <f ca="1">INT(O$6*$E22+O$7*($C$8+$C$9)/2+O$8)*(O$14+O$15)*$D$21*IF(COUNTIF($F22,"*雷*")&gt;0,O$17*(O$13*0.25+O$16*(O$10+属性开关!$X$56)+1-O$16-O$13-O$12),O$11*(O$13*0.25+O$9*O$10+1-O$9-O$13-O$12))</f>
        <v>22566.784101925059</v>
      </c>
      <c r="P22">
        <f ca="1">INT(P$6*$E22+P$7*($C$8+$C$9)/2+P$8)*(P$14+P$15)*$D$21*IF(COUNTIF($F22,"*雷*")&gt;0,P$17*(P$13*0.25+P$16*(P$10+属性开关!$X$56)+1-P$16-P$13-P$12),P$11*(P$13*0.25+P$9*P$10+1-P$9-P$13-P$12))</f>
        <v>36989.213127394476</v>
      </c>
      <c r="Q22">
        <f ca="1">INT(Q$6*$E22+Q$7*($C$8+$C$9)/2+Q$8)*(Q$14+Q$15)*$D$21*IF(COUNTIF($F22,"*雷*")&gt;0,Q$17*(Q$13*0.25+Q$16*(Q$10+属性开关!$X$56)+1-Q$16-Q$13-Q$12),Q$11*(Q$13*0.25+Q$9*Q$10+1-Q$9-Q$13-Q$12))</f>
        <v>29607.104443868295</v>
      </c>
      <c r="R22">
        <f ca="1">INT(R$6*$E22+R$7*($C$8+$C$9)/2+R$8)*(R$14+R$15)*$D$21*IF(COUNTIF($F22,"*雷*")&gt;0,R$17*(R$13*0.25+R$16*(R$10+属性开关!$X$56)+1-R$16-R$13-R$12),R$11*(R$13*0.25+R$9*R$10+1-R$9-R$13-R$12))</f>
        <v>8402.9588765471999</v>
      </c>
      <c r="T22" s="34">
        <f ca="1">(G21+I21)/(G14+G15)*(G14+D38)</f>
        <v>479762.71101680316</v>
      </c>
      <c r="U22">
        <f ca="1">K20/(K14+K15)*(K14+D35)</f>
        <v>164569.91577698934</v>
      </c>
      <c r="V22">
        <f ca="1">T22+U22</f>
        <v>644332.62679379247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28660.61992450379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66350.350419088354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81871.34535651296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66348.089011316508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178611.86568506269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82019.217540471276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73987.59802075816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222200.38644773554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9761.7336118500371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16586.304175432946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177644.87954779057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229746.24127189926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171204.34535241258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74149.857557855925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230674.00727892798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173320.5681612278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23353.645665703167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90969.493352860911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35021.282935776057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344362.57174020959</v>
      </c>
      <c r="H23">
        <f ca="1">INT(H$6*$E23+H$7*($C$8+$C$9)/2+H$8)*(H$14+H$15)*$D$21*IF(COUNTIF($F23,"*雷*")&gt;0,H$17*(H$13*0.25+H$16*(H$10+属性开关!$X$56)+1-H$16-H$13-H$12),H$11*(H$13*0.25+H$9*H$10+1-H$9-H$13-H$12))</f>
        <v>162054.78560006147</v>
      </c>
      <c r="I23">
        <f ca="1">INT(I$6*$E23+I$7*($C$8+$C$9)/2+I$8)*(I$14+I$15)*$D$21*IF(COUNTIF($F23,"*雷*")&gt;0,I$17*(I$13*0.25+I$16*(I$10+属性开关!$X$56)+1-I$16-I$13-I$12),I$11*(I$13*0.25+I$9*I$10+1-I$9-I$13-I$12))</f>
        <v>111664.0068651749</v>
      </c>
      <c r="J23">
        <f ca="1">INT(J$6*$E23+J$7*($C$8+$C$9)/2+J$8)*(J$14+J$15)*$D$21*IF(COUNTIF($F23,"*雷*")&gt;0,J$17*(J$13*0.25+J$16*(J$10+属性开关!$X$56)+1-J$16-J$13-J$12),J$11*(J$13*0.25+J$9*J$10+1-J$9-J$13-J$12))</f>
        <v>199221.45646647349</v>
      </c>
      <c r="K23">
        <f ca="1">INT(K$6*$E23+K$7*($C$8+$C$9)/2+K$8)*(K$14+K$15)*$D$21*IF(COUNTIF($F23,"*雷*")&gt;0,K$17*(K$13*0.25+K$16*(K$10+属性开关!$X$56)+1-K$16-K$13-K$12),K$11*(K$13*0.25+K$9*K$10+1-K$9-K$13-K$12))</f>
        <v>207211.45217609985</v>
      </c>
      <c r="L23">
        <f ca="1">INT(L$6*$E23+L$7*($C$8+$C$9)/2+L$8)*(L$14+L$15)*$D$21*IF(COUNTIF($F23,"*雷*")&gt;0,L$17*(L$13*0.25+L$16*(L$10+属性开关!$X$56)+1-L$16-L$13-L$12),L$11*(L$13*0.25+L$9*L$10+1-L$9-L$13-L$12))</f>
        <v>145803.62794448307</v>
      </c>
      <c r="M23">
        <f ca="1">INT(M$6*$E23+M$7*($C$8+$C$9)/2+M$8)*(M$14+M$15)*$D$21*IF(COUNTIF($F23,"*雷*")&gt;0,M$17*(M$13*0.25+M$16*(M$10+属性开关!$X$56)+1-M$16-M$13-M$12),M$11*(M$13*0.25+M$9*M$10+1-M$9-M$13-M$12))</f>
        <v>63543.18470672048</v>
      </c>
      <c r="N23">
        <f ca="1">INT(N$6*$E23+N$7*($C$8+$C$9)/2+N$8)*(N$14+N$15)*$D$21*IF(COUNTIF($F23,"*雷*")&gt;0,N$17*(N$13*0.25+N$16*(N$10+属性开关!$X$56)+1-N$16-N$13-N$12),N$11*(N$13*0.25+N$9*N$10+1-N$9-N$13-N$12))</f>
        <v>75510.077338756775</v>
      </c>
      <c r="O23">
        <f ca="1">INT(O$6*$E23+O$7*($C$8+$C$9)/2+O$8)*(O$14+O$15)*$D$21*IF(COUNTIF($F23,"*雷*")&gt;0,O$17*(O$13*0.25+O$16*(O$10+属性开关!$X$56)+1-O$16-O$13-O$12),O$11*(O$13*0.25+O$9*O$10+1-O$9-O$13-O$12))</f>
        <v>26199.513364283292</v>
      </c>
      <c r="P23">
        <f ca="1">INT(P$6*$E23+P$7*($C$8+$C$9)/2+P$8)*(P$14+P$15)*$D$21*IF(COUNTIF($F23,"*雷*")&gt;0,P$17*(P$13*0.25+P$16*(P$10+属性开关!$X$56)+1-P$16-P$13-P$12),P$11*(P$13*0.25+P$9*P$10+1-P$9-P$13-P$12))</f>
        <v>46325.220520762196</v>
      </c>
      <c r="Q23">
        <f ca="1">INT(Q$6*$E23+Q$7*($C$8+$C$9)/2+Q$8)*(Q$14+Q$15)*$D$21*IF(COUNTIF($F23,"*雷*")&gt;0,Q$17*(Q$13*0.25+Q$16*(Q$10+属性开关!$X$56)+1-Q$16-Q$13-Q$12),Q$11*(Q$13*0.25+Q$9*Q$10+1-Q$9-Q$13-Q$12))</f>
        <v>37075.910358562469</v>
      </c>
      <c r="R23">
        <f ca="1">INT(R$6*$E23+R$7*($C$8+$C$9)/2+R$8)*(R$14+R$15)*$D$21*IF(COUNTIF($F23,"*雷*")&gt;0,R$17*(R$13*0.25+R$16*(R$10+属性开关!$X$56)+1-R$16-R$13-R$12),R$11*(R$13*0.25+R$9*R$10+1-R$9-R$13-R$12))</f>
        <v>10510.923474345811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34072.077263292704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82993.698580649361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102482.06942396048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83094.198473291806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223755.52404502363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102629.94160791878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92666.014785469539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278363.57110327185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12226.396750251624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20777.044966217956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219872.99797160653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284829.44366142957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211343.3065725932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92106.25932562392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285864.70948631503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214436.52804670692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27113.041404562933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113904.40368914738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43855.891049068727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423449.29821923503</v>
      </c>
      <c r="H24">
        <f ca="1">INT(H$6*$E24+H$7*($C$8+$C$9)/2+H$8)*(H$14+H$15)*$D$21*IF(COUNTIF($F24,"*雷*")&gt;0,H$17*(H$13*0.25+H$16*(H$10+属性开关!$X$56)+1-H$16-H$13-H$12),H$11*(H$13*0.25+H$9*H$10+1-H$9-H$13-H$12))</f>
        <v>202713.4938021776</v>
      </c>
      <c r="I24">
        <f ca="1">INT(I$6*$E24+I$7*($C$8+$C$9)/2+I$8)*(I$14+I$15)*$D$21*IF(COUNTIF($F24,"*雷*")&gt;0,I$17*(I$13*0.25+I$16*(I$10+属性开关!$X$56)+1-I$16-I$13-I$12),I$11*(I$13*0.25+I$9*I$10+1-I$9-I$13-I$12))</f>
        <v>137308.8983058173</v>
      </c>
      <c r="J24">
        <f ca="1">INT(J$6*$E24+J$7*($C$8+$C$9)/2+J$8)*(J$14+J$15)*$D$21*IF(COUNTIF($F24,"*雷*")&gt;0,J$17*(J$13*0.25+J$16*(J$10+属性开关!$X$56)+1-J$16-J$13-J$12),J$11*(J$13*0.25+J$9*J$10+1-J$9-J$13-J$12))</f>
        <v>249205.09031028548</v>
      </c>
      <c r="K24">
        <f ca="1">INT(K$6*$E24+K$7*($C$8+$C$9)/2+K$8)*(K$14+K$15)*$D$21*IF(COUNTIF($F24,"*雷*")&gt;0,K$17*(K$13*0.25+K$16*(K$10+属性开关!$X$56)+1-K$16-K$13-K$12),K$11*(K$13*0.25+K$9*K$10+1-K$9-K$13-K$12))</f>
        <v>255547.93921383008</v>
      </c>
      <c r="L24">
        <f ca="1">INT(L$6*$E24+L$7*($C$8+$C$9)/2+L$8)*(L$14+L$15)*$D$21*IF(COUNTIF($F24,"*雷*")&gt;0,L$17*(L$13*0.25+L$16*(L$10+属性开关!$X$56)+1-L$16-L$13-L$12),L$11*(L$13*0.25+L$9*L$10+1-L$9-L$13-L$12))</f>
        <v>181489.66056168373</v>
      </c>
      <c r="M24">
        <f ca="1">INT(M$6*$E24+M$7*($C$8+$C$9)/2+M$8)*(M$14+M$15)*$D$21*IF(COUNTIF($F24,"*雷*")&gt;0,M$17*(M$13*0.25+M$16*(M$10+属性开关!$X$56)+1-M$16-M$13-M$12),M$11*(M$13*0.25+M$9*M$10+1-M$9-M$13-M$12))</f>
        <v>79095.638332279486</v>
      </c>
      <c r="N24">
        <f ca="1">INT(N$6*$E24+N$7*($C$8+$C$9)/2+N$8)*(N$14+N$15)*$D$21*IF(COUNTIF($F24,"*雷*")&gt;0,N$17*(N$13*0.25+N$16*(N$10+属性开关!$X$56)+1-N$16-N$13-N$12),N$11*(N$13*0.25+N$9*N$10+1-N$9-N$13-N$12))</f>
        <v>94455.165504265213</v>
      </c>
      <c r="O24">
        <f ca="1">INT(O$6*$E24+O$7*($C$8+$C$9)/2+O$8)*(O$14+O$15)*$D$21*IF(COUNTIF($F24,"*雷*")&gt;0,O$17*(O$13*0.25+O$16*(O$10+属性开关!$X$56)+1-O$16-O$13-O$12),O$11*(O$13*0.25+O$9*O$10+1-O$9-O$13-O$12))</f>
        <v>32772.83586735803</v>
      </c>
      <c r="P24">
        <f ca="1">INT(P$6*$E24+P$7*($C$8+$C$9)/2+P$8)*(P$14+P$15)*$D$21*IF(COUNTIF($F24,"*雷*")&gt;0,P$17*(P$13*0.25+P$16*(P$10+属性开关!$X$56)+1-P$16-P$13-P$12),P$11*(P$13*0.25+P$9*P$10+1-P$9-P$13-P$12))</f>
        <v>57947.97893902169</v>
      </c>
      <c r="Q24">
        <f ca="1">INT(Q$6*$E24+Q$7*($C$8+$C$9)/2+Q$8)*(Q$14+Q$15)*$D$21*IF(COUNTIF($F24,"*雷*")&gt;0,Q$17*(Q$13*0.25+Q$16*(Q$10+属性开关!$X$56)+1-Q$16-Q$13-Q$12),Q$11*(Q$13*0.25+Q$9*Q$10+1-Q$9-Q$13-Q$12))</f>
        <v>46378.064657892421</v>
      </c>
      <c r="R24">
        <f ca="1">INT(R$6*$E24+R$7*($C$8+$C$9)/2+R$8)*(R$14+R$15)*$D$21*IF(COUNTIF($F24,"*雷*")&gt;0,R$17*(R$13*0.25+R$16*(R$10+属性开关!$X$56)+1-R$16-R$13-R$12),R$11*(R$13*0.25+R$9*R$10+1-R$9-R$13-R$12))</f>
        <v>13148.059853229995</v>
      </c>
      <c r="T24">
        <f ca="1">K21</f>
        <v>226169.06742623053</v>
      </c>
      <c r="U24">
        <f ca="1">G20+I20</f>
        <v>402418.00793887547</v>
      </c>
      <c r="V24">
        <f ca="1">T24+U24</f>
        <v>628587.07536510599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54690.011478062166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103816.38864012591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164496.73760073891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133376.74228511463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279894.62865135341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164734.09123713369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148740.72317579173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446808.8863813848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20040.383815488702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25989.898171729103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352924.08765866444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457187.43306313636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337567.5255571162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147116.47391677988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458849.16620045906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339348.55171200045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43519.875062569743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182831.03483897448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70394.275239513983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257202.9707445426</v>
      </c>
      <c r="H25">
        <f ca="1">INT(H$6*$E25+H$7*($C$8+$C$9)/2+H$8)*(H$14+H$15)*$D$21*IF(COUNTIF($F25,"*雷*")&gt;0,H$17*(H$13*0.25+H$16*(H$10+属性开关!$X$56)+1-H$16-H$13-H$12),H$11*(H$13*0.25+H$9*H$10+1-H$9-H$13-H$12))</f>
        <v>162054.78560006147</v>
      </c>
      <c r="I25">
        <f ca="1">INT(I$6*$E25+I$7*($C$8+$C$9)/2+I$8)*(I$14+I$15)*$D$21*IF(COUNTIF($F25,"*雷*")&gt;0,I$17*(I$13*0.25+I$16*(I$10+属性开关!$X$56)+1-I$16-I$13-I$12),I$11*(I$13*0.25+I$9*I$10+1-I$9-I$13-I$12))</f>
        <v>82699.778396108755</v>
      </c>
      <c r="J25">
        <f ca="1">INT(J$6*$E25+J$7*($C$8+$C$9)/2+J$8)*(J$14+J$15)*$D$21*IF(COUNTIF($F25,"*雷*")&gt;0,J$17*(J$13*0.25+J$16*(J$10+属性开关!$X$56)+1-J$16-J$13-J$12),J$11*(J$13*0.25+J$9*J$10+1-J$9-J$13-J$12))</f>
        <v>149264.98557223871</v>
      </c>
      <c r="K25">
        <f ca="1">INT(K$6*$E25+K$7*($C$8+$C$9)/2+K$8)*(K$14+K$15)*$D$21*IF(COUNTIF($F25,"*雷*")&gt;0,K$17*(K$13*0.25+K$16*(K$10+属性开关!$X$56)+1-K$16-K$13-K$12),K$11*(K$13*0.25+K$9*K$10+1-K$9-K$13-K$12))</f>
        <v>155607.61973995468</v>
      </c>
      <c r="L25">
        <f ca="1">INT(L$6*$E25+L$7*($C$8+$C$9)/2+L$8)*(L$14+L$15)*$D$21*IF(COUNTIF($F25,"*雷*")&gt;0,L$17*(L$13*0.25+L$16*(L$10+属性开关!$X$56)+1-L$16-L$13-L$12),L$11*(L$13*0.25+L$9*L$10+1-L$9-L$13-L$12))</f>
        <v>109837.24173634524</v>
      </c>
      <c r="M25">
        <f ca="1">INT(M$6*$E25+M$7*($C$8+$C$9)/2+M$8)*(M$14+M$15)*$D$21*IF(COUNTIF($F25,"*雷*")&gt;0,M$17*(M$13*0.25+M$16*(M$10+属性开关!$X$56)+1-M$16-M$13-M$12),M$11*(M$13*0.25+M$9*M$10+1-M$9-M$13-M$12))</f>
        <v>47452.019393300747</v>
      </c>
      <c r="N25">
        <f ca="1">INT(N$6*$E25+N$7*($C$8+$C$9)/2+N$8)*(N$14+N$15)*$D$21*IF(COUNTIF($F25,"*雷*")&gt;0,N$17*(N$13*0.25+N$16*(N$10+属性开关!$X$56)+1-N$16-N$13-N$12),N$11*(N$13*0.25+N$9*N$10+1-N$9-N$13-N$12))</f>
        <v>55762.374683825896</v>
      </c>
      <c r="O25">
        <f ca="1">INT(O$6*$E25+O$7*($C$8+$C$9)/2+O$8)*(O$14+O$15)*$D$21*IF(COUNTIF($F25,"*雷*")&gt;0,O$17*(O$13*0.25+O$16*(O$10+属性开关!$X$56)+1-O$16-O$13-O$12),O$11*(O$13*0.25+O$9*O$10+1-O$9-O$13-O$12))</f>
        <v>21481.464059146208</v>
      </c>
      <c r="P25">
        <f ca="1">INT(P$6*$E25+P$7*($C$8+$C$9)/2+P$8)*(P$14+P$15)*$D$21*IF(COUNTIF($F25,"*雷*")&gt;0,P$17*(P$13*0.25+P$16*(P$10+属性开关!$X$56)+1-P$16-P$13-P$12),P$11*(P$13*0.25+P$9*P$10+1-P$9-P$13-P$12))</f>
        <v>34198.846687209938</v>
      </c>
      <c r="Q25">
        <f ca="1">INT(Q$6*$E25+Q$7*($C$8+$C$9)/2+Q$8)*(Q$14+Q$15)*$D$21*IF(COUNTIF($F25,"*雷*")&gt;0,Q$17*(Q$13*0.25+Q$16*(Q$10+属性开关!$X$56)+1-Q$16-Q$13-Q$12),Q$11*(Q$13*0.25+Q$9*Q$10+1-Q$9-Q$13-Q$12))</f>
        <v>27375.453493433011</v>
      </c>
      <c r="R25">
        <f ca="1">INT(R$6*$E25+R$7*($C$8+$C$9)/2+R$8)*(R$14+R$15)*$D$21*IF(COUNTIF($F25,"*雷*")&gt;0,R$17*(R$13*0.25+R$16*(R$10+属性开关!$X$56)+1-R$16-R$13-R$12),R$11*(R$13*0.25+R$9*R$10+1-R$9-R$13-R$12))</f>
        <v>7772.2694686574559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34702.394960071935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82997.310438248969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97152.634756743748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78715.188567968056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165119.96026561075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97342.381832460786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87778.276420475609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263586.40403597307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16000.534931275268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27186.742631207206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211759.15681536487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273688.06294440443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204295.30691835293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88259.908138627128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274834.33058076061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206635.28164835044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28525.777744679788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107935.78746164127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41551.436487018145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3.3155286140227204E-2</v>
      </c>
      <c r="M26" s="40">
        <f t="shared" ca="1" si="38"/>
        <v>0</v>
      </c>
      <c r="N26" s="40">
        <f t="shared" ca="1" si="38"/>
        <v>7.4032463015602581E-2</v>
      </c>
      <c r="O26" s="40">
        <f t="shared" ca="1" si="38"/>
        <v>3.1551903373233138E-2</v>
      </c>
      <c r="P26" s="40">
        <f t="shared" ca="1" si="38"/>
        <v>3.5175269991569694E-3</v>
      </c>
      <c r="Q26" s="40">
        <f t="shared" ca="1" si="38"/>
        <v>5.5855170796520496E-3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3996.7090840568835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273122.6026025968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19555.924758344179</v>
      </c>
      <c r="BH26">
        <f ca="1">SUMPRODUCT(BH18:BH25,$BY$18:$BY$25)</f>
        <v>25361.254781991374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85363.860721690959</v>
      </c>
      <c r="H27">
        <f ca="1">(H18*$AC$38)/$AD$37/$E$2*$D$22+(H18*$AF$42)/$AF$41/$E$2*$C$22</f>
        <v>55997.345610501383</v>
      </c>
      <c r="I27">
        <f t="shared" ca="1" si="41"/>
        <v>27368.252556228308</v>
      </c>
      <c r="J27">
        <f ca="1">J18*$AC$39/$AD$37/$E$2*$D$22+J18*$AE$43/$AF$41/$E$2*$C$22</f>
        <v>16425.349071043434</v>
      </c>
      <c r="K27">
        <f t="shared" ref="K27:K33" ca="1" si="42">K18*$AC$40/$AD$37/$E$2*$D$22+K18*$AE$44/$AF$41/$E$2*$C$22</f>
        <v>17136.493998031816</v>
      </c>
      <c r="L27">
        <f t="shared" ref="L27:L33" ca="1" si="43">L18*$AC$37/$AD$37/$E$2*$D$22+L18*$AE$41/$AF$41/$E$2*$C$22</f>
        <v>12444.457948547184</v>
      </c>
      <c r="M27">
        <f t="shared" ref="M27:M33" ca="1" si="44">M18*$AE$41/$AF$41/$E$2*$C$22</f>
        <v>0</v>
      </c>
      <c r="N27">
        <f ca="1">N18/$E$3</f>
        <v>27301.279195655956</v>
      </c>
      <c r="O27">
        <f ca="1">O18/$F$3</f>
        <v>12546.859152709534</v>
      </c>
      <c r="P27">
        <f ca="1">P18/$E$45*大附魔数值!$S$9</f>
        <v>1296.8470973176695</v>
      </c>
      <c r="Q27">
        <f ca="1">Q18/$E$47*大附魔数值!$S$10</f>
        <v>2059.4814543456332</v>
      </c>
      <c r="R27">
        <f ca="1">R18/45</f>
        <v>158.62622484151188</v>
      </c>
      <c r="S27">
        <f ca="1">SUM(G27:R27,AS27)*IF(COUNTIF(F27,"*雷*")&gt;0,$B$21/$D$21,1)</f>
        <v>258098.85303091339</v>
      </c>
      <c r="T27" s="15">
        <f ca="1">AQ27</f>
        <v>0.45454545454545447</v>
      </c>
      <c r="U27">
        <f ca="1">U28*(1+非侠士/1024)*(1+C14)*(1-B24*0.05)+AQ9</f>
        <v>537655.63524028659</v>
      </c>
      <c r="Y27" s="34" t="s">
        <v>223</v>
      </c>
      <c r="AA27">
        <f ca="1">$Z$26-SUM(AA28:AA34)-IF(COUNTIF(AA26,"*驰骋*")&gt;0,8,0)</f>
        <v>122</v>
      </c>
      <c r="AB27">
        <f t="shared" ref="AB27:AF27" ca="1" si="45">$Z$26-SUM(AB28:AB34)-IF(COUNTIF(AB26,"*驰骋*")&gt;0,8,0)</f>
        <v>162</v>
      </c>
      <c r="AC27">
        <f t="shared" ca="1" si="45"/>
        <v>122</v>
      </c>
      <c r="AD27">
        <f t="shared" ca="1" si="45"/>
        <v>132</v>
      </c>
      <c r="AE27">
        <f t="shared" ca="1" si="45"/>
        <v>98</v>
      </c>
      <c r="AF27">
        <f t="shared" ca="1" si="45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6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t="shared" ref="AS27:AS33" ca="1" si="47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104968.62865559733</v>
      </c>
      <c r="H28">
        <f t="shared" ref="H28:H33" ca="1" si="48">(H19*$AC$38)/$AD$37/$E$2*$D$22+(H19*$AF$42)/$AF$41/$E$2*$C$22</f>
        <v>70046.790227887381</v>
      </c>
      <c r="I28">
        <f t="shared" ca="1" si="41"/>
        <v>33653.678679007433</v>
      </c>
      <c r="J28">
        <f ca="1">J19*$AC$39/$AD$37/$E$2*$D$22+J19*$AE$43/$AF$41/$E$2*$C$22</f>
        <v>20546.384266175617</v>
      </c>
      <c r="K28">
        <f t="shared" ca="1" si="42"/>
        <v>21133.946413470974</v>
      </c>
      <c r="L28">
        <f t="shared" ca="1" si="43"/>
        <v>15490.289787685864</v>
      </c>
      <c r="M28">
        <f t="shared" ca="1" si="44"/>
        <v>0</v>
      </c>
      <c r="N28">
        <f t="shared" ref="N28:N33" ca="1" si="49">N19/$E$3</f>
        <v>34151.029051856793</v>
      </c>
      <c r="O28">
        <f t="shared" ref="O28:O33" ca="1" si="50">O19/$F$3</f>
        <v>15694.801271506632</v>
      </c>
      <c r="P28">
        <f ca="1">P19/$E$45*大附魔数值!$S$9</f>
        <v>1622.2193318824004</v>
      </c>
      <c r="Q28">
        <f ca="1">Q19/$E$47*大附魔数值!$S$10</f>
        <v>2576.1947077669943</v>
      </c>
      <c r="R28">
        <f t="shared" ref="R28:R33" ca="1" si="51">R19/45</f>
        <v>198.4247248682328</v>
      </c>
      <c r="S28">
        <f t="shared" ref="S28:S33" ca="1" si="52">SUM(G28:R28,AS28)*IF(COUNTIF(F28,"*雷*")&gt;0,$B$21/$D$21,1)</f>
        <v>419419.41415015061</v>
      </c>
      <c r="T28" s="15">
        <f t="shared" ref="T28:T33" ca="1" si="53">AQ28</f>
        <v>0</v>
      </c>
      <c r="U28">
        <f ca="1">U33+U39+AW29+BI26+AT32+BB3+BC3+AY26+AZ26+BF27+CL26+AR26+AM8+AL8+CQ24</f>
        <v>408874.75942575932</v>
      </c>
      <c r="V28">
        <f ca="1">U28-U33</f>
        <v>24740.197889317409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ca="1" si="47"/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4">CB27/$V$51</f>
        <v>#DIV/0!</v>
      </c>
      <c r="CC28" t="e">
        <f t="shared" ca="1" si="54"/>
        <v>#DIV/0!</v>
      </c>
      <c r="CE28" t="e">
        <f t="shared" ca="1" si="54"/>
        <v>#DIV/0!</v>
      </c>
      <c r="CF28" t="e">
        <f t="shared" ca="1" si="54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109531.80847586952</v>
      </c>
      <c r="H29">
        <f t="shared" ca="1" si="48"/>
        <v>55997.345610501383</v>
      </c>
      <c r="I29">
        <f t="shared" ca="1" si="41"/>
        <v>35400.280297972298</v>
      </c>
      <c r="J29">
        <f ca="1">J20*$AC$39/$AD$37/$E$2*$D$22+J20*$AE$43/$AF$41/$E$2*$C$22</f>
        <v>21013.201075357931</v>
      </c>
      <c r="K29">
        <f t="shared" ca="1" si="42"/>
        <v>21875.800502647056</v>
      </c>
      <c r="L29">
        <f t="shared" ca="1" si="43"/>
        <v>15839.322854194488</v>
      </c>
      <c r="M29">
        <f t="shared" ca="1" si="44"/>
        <v>0</v>
      </c>
      <c r="N29">
        <f t="shared" ca="1" si="49"/>
        <v>35408.43361243148</v>
      </c>
      <c r="O29">
        <f t="shared" ca="1" si="50"/>
        <v>14782.384852622294</v>
      </c>
      <c r="P29">
        <f ca="1">P20/$E$45*大附魔数值!$S$9</f>
        <v>1682.5450244301007</v>
      </c>
      <c r="Q29">
        <f ca="1">Q20/$E$47*大附魔数值!$S$10</f>
        <v>2671.6281367056035</v>
      </c>
      <c r="R29">
        <f t="shared" ca="1" si="51"/>
        <v>205.46988257036989</v>
      </c>
      <c r="S29">
        <f t="shared" ca="1" si="52"/>
        <v>314408.22032530251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47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134687.01664471536</v>
      </c>
      <c r="H30">
        <f t="shared" ca="1" si="48"/>
        <v>70046.790227887381</v>
      </c>
      <c r="I30">
        <f t="shared" ca="1" si="41"/>
        <v>43530.351667397088</v>
      </c>
      <c r="J30">
        <f ca="1">J21*$AC$39/$AD$37/$E$2*$D$22+J21*$AE$43/$AF$41/$E$2*$C$22</f>
        <v>26285.30462818906</v>
      </c>
      <c r="K30">
        <f t="shared" ca="1" si="42"/>
        <v>26978.797158148191</v>
      </c>
      <c r="L30">
        <f t="shared" ca="1" si="43"/>
        <v>19716.061725358795</v>
      </c>
      <c r="M30">
        <f t="shared" ca="1" si="44"/>
        <v>0</v>
      </c>
      <c r="N30">
        <f t="shared" ca="1" si="49"/>
        <v>44292.226613736741</v>
      </c>
      <c r="O30">
        <f t="shared" ca="1" si="50"/>
        <v>18491.208816250575</v>
      </c>
      <c r="P30">
        <f ca="1">P21/$E$45*大附魔数值!$S$9</f>
        <v>2104.6868756066315</v>
      </c>
      <c r="Q30">
        <f ca="1">Q21/$E$47*大附魔数值!$S$10</f>
        <v>3341.9258291350902</v>
      </c>
      <c r="R30">
        <f t="shared" ca="1" si="51"/>
        <v>257.02121423155944</v>
      </c>
      <c r="S30">
        <f t="shared" ca="1" si="52"/>
        <v>510683.869016123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47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99855.296318490742</v>
      </c>
      <c r="H31">
        <f t="shared" ca="1" si="48"/>
        <v>55997.345610501383</v>
      </c>
      <c r="I31">
        <f t="shared" ca="1" si="41"/>
        <v>32184.109301220054</v>
      </c>
      <c r="J31">
        <f ca="1">J22*$AC$39/$AD$37/$E$2*$D$22+J22*$AE$43/$AF$41/$E$2*$C$22</f>
        <v>19176.246445313154</v>
      </c>
      <c r="K31">
        <f t="shared" ca="1" si="42"/>
        <v>19978.113082073876</v>
      </c>
      <c r="L31">
        <f t="shared" ca="1" si="43"/>
        <v>14480.086331656452</v>
      </c>
      <c r="M31">
        <f t="shared" ca="1" si="44"/>
        <v>0</v>
      </c>
      <c r="N31">
        <f t="shared" ca="1" si="49"/>
        <v>32163.17429266181</v>
      </c>
      <c r="O31">
        <f t="shared" ca="1" si="50"/>
        <v>13887.251755030806</v>
      </c>
      <c r="P31">
        <f ca="1">P22/$E$45*大附魔数值!$S$9</f>
        <v>1528.133197376319</v>
      </c>
      <c r="Q31">
        <f ca="1">Q22/$E$47*大附魔数值!$S$10</f>
        <v>2426.6115583405431</v>
      </c>
      <c r="R31">
        <f t="shared" ca="1" si="51"/>
        <v>186.73241947882667</v>
      </c>
      <c r="S31">
        <f t="shared" ca="1" si="52"/>
        <v>291863.10031214397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47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124023.24407266932</v>
      </c>
      <c r="H32">
        <f t="shared" ca="1" si="48"/>
        <v>55997.345610501383</v>
      </c>
      <c r="I32">
        <f t="shared" ca="1" si="41"/>
        <v>40216.137042964052</v>
      </c>
      <c r="J32">
        <f ca="1">J24*$AC$39/$AD$37/$E$2*$D$22+J24*$AE$43/$AF$41/$E$2*$C$22</f>
        <v>29726.671550485629</v>
      </c>
      <c r="K32">
        <f t="shared" ca="1" si="42"/>
        <v>24717.419586689117</v>
      </c>
      <c r="L32">
        <f t="shared" ca="1" si="43"/>
        <v>17874.951237303754</v>
      </c>
      <c r="M32">
        <f t="shared" ca="1" si="44"/>
        <v>0</v>
      </c>
      <c r="N32">
        <f t="shared" ca="1" si="49"/>
        <v>40272.041247336943</v>
      </c>
      <c r="O32">
        <f t="shared" ca="1" si="50"/>
        <v>16122.777454943563</v>
      </c>
      <c r="P32">
        <f ca="1">P23/$E$45*大附魔数值!$S$9</f>
        <v>1913.8311244887498</v>
      </c>
      <c r="Q32">
        <f ca="1">Q23/$E$47*大附魔数值!$S$10</f>
        <v>3038.7582407005125</v>
      </c>
      <c r="R32">
        <f t="shared" ca="1" si="51"/>
        <v>233.57607720768468</v>
      </c>
      <c r="S32">
        <f t="shared" ca="1" si="52"/>
        <v>354136.75324529066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47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152506.57294156947</v>
      </c>
      <c r="H33">
        <f t="shared" ca="1" si="48"/>
        <v>70046.790227887381</v>
      </c>
      <c r="I33">
        <f t="shared" ca="1" si="41"/>
        <v>49452.223921648845</v>
      </c>
      <c r="J33">
        <f ca="1">J24*$AC$39/$AD$37/$E$2*$D$22+J24*$AE$43/$AF$41/$E$2*$C$22</f>
        <v>29726.671550485629</v>
      </c>
      <c r="K33">
        <f t="shared" ca="1" si="42"/>
        <v>30483.284450387724</v>
      </c>
      <c r="L33">
        <f t="shared" ca="1" si="43"/>
        <v>22249.918457791424</v>
      </c>
      <c r="M33">
        <f t="shared" ca="1" si="44"/>
        <v>0</v>
      </c>
      <c r="N33">
        <f t="shared" ca="1" si="49"/>
        <v>50376.08826894145</v>
      </c>
      <c r="O33">
        <f t="shared" ca="1" si="50"/>
        <v>20167.898995297248</v>
      </c>
      <c r="P33">
        <f ca="1">P24/$E$45*大附魔数值!$S$9</f>
        <v>2394.0014628751428</v>
      </c>
      <c r="Q33">
        <f ca="1">Q24/$E$47*大附魔数值!$S$10</f>
        <v>3801.1669788807876</v>
      </c>
      <c r="R33">
        <f t="shared" ca="1" si="51"/>
        <v>292.17910784955546</v>
      </c>
      <c r="S33">
        <f t="shared" ca="1" si="52"/>
        <v>565411.09671224118</v>
      </c>
      <c r="T33" s="15">
        <f t="shared" ca="1" si="53"/>
        <v>0.31818181818181818</v>
      </c>
      <c r="U33">
        <f ca="1">(S48*T48+SUMPRODUCT(S27:S33,T27:T33))*(1+大附魔数值!$O$10*21/1024)</f>
        <v>384134.56153644191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47"/>
        <v>0</v>
      </c>
      <c r="AX33" s="21">
        <f ca="1">循环!Z20</f>
        <v>0</v>
      </c>
      <c r="AY33">
        <f t="shared" ref="AY33:AY39" ca="1" si="55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60911.286214262931</v>
      </c>
      <c r="H34">
        <f ca="1">H18*2*$D$33/(5+2*$D$33)/$E$2</f>
        <v>41645.945530645629</v>
      </c>
      <c r="I34">
        <f ca="1">I18*2*$D$33/(5+2*$D$33)/$E$2</f>
        <v>19528.585639672943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37446.969603804333</v>
      </c>
      <c r="L34">
        <f ca="1">L18/(5+2*$D$33)/$E$2</f>
        <v>9130.1594030944343</v>
      </c>
      <c r="M34">
        <v>0</v>
      </c>
      <c r="N34">
        <f ca="1">N27</f>
        <v>27301.279195655956</v>
      </c>
      <c r="O34">
        <f ca="1">O27</f>
        <v>12546.859152709534</v>
      </c>
      <c r="P34">
        <f ca="1">P27</f>
        <v>1296.8470973176695</v>
      </c>
      <c r="Q34">
        <f ca="1">Q27</f>
        <v>2059.4814543456332</v>
      </c>
      <c r="R34">
        <f ca="1">R27</f>
        <v>158.62622484151188</v>
      </c>
      <c r="S34">
        <f ca="1">SUM(G34:R34,AS34)</f>
        <v>212026.03951635057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5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44080.536073794814</v>
      </c>
      <c r="H35">
        <f ca="1">H18*$D$33/(4+$D$33)/$E$2</f>
        <v>30138.513211383393</v>
      </c>
      <c r="I35">
        <f ca="1">I18*$D$33/(4+$D$33)/$E$2</f>
        <v>14132.52908059957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17418.468560304442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13746.69923294675</v>
      </c>
      <c r="N35">
        <f ca="1">N27</f>
        <v>27301.279195655956</v>
      </c>
      <c r="O35">
        <f t="shared" ref="O35:R35" ca="1" si="56">O27</f>
        <v>12546.859152709534</v>
      </c>
      <c r="P35">
        <f t="shared" ca="1" si="56"/>
        <v>1296.8470973176695</v>
      </c>
      <c r="Q35">
        <f t="shared" ca="1" si="56"/>
        <v>2059.4814543456332</v>
      </c>
      <c r="R35">
        <f t="shared" ca="1" si="56"/>
        <v>158.62622484151188</v>
      </c>
      <c r="S35">
        <f ca="1">SUM(G35:R35,AS35)</f>
        <v>162879.83928389929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5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88667.748229127348</v>
      </c>
      <c r="H36">
        <f ca="1">H25*$D$33*2/(3+2*$D$33)/$E$2</f>
        <v>55866.51230083566</v>
      </c>
      <c r="I36">
        <f ca="1">I25*$D$33*2/(3+2*$D$33)/$E$2</f>
        <v>28509.791734535735</v>
      </c>
      <c r="J36">
        <f ca="1">J25/(3+2*$D$33)/$E$2</f>
        <v>18010.081862832809</v>
      </c>
      <c r="K36">
        <f ca="1">K25/(3+2*$D$33)/$E$2</f>
        <v>18775.374273163572</v>
      </c>
      <c r="L36">
        <f ca="1">L25/(3+2*$D$33)/$E$2</f>
        <v>13252.79138758212</v>
      </c>
      <c r="M36">
        <v>0</v>
      </c>
      <c r="N36">
        <f ca="1">N25/E3</f>
        <v>29739.933164707145</v>
      </c>
      <c r="O36">
        <f ca="1">O25/F3</f>
        <v>13219.362497936128</v>
      </c>
      <c r="P36">
        <f ca="1">P25/$E$45*大附魔数值!$S$9</f>
        <v>1412.8549519212193</v>
      </c>
      <c r="Q36">
        <f ca="1">Q25/$E$47*大附魔数值!$S$10</f>
        <v>2243.7044455975588</v>
      </c>
      <c r="R36">
        <f ca="1">R25/45</f>
        <v>172.71709930349903</v>
      </c>
      <c r="S36">
        <f ca="1">SUM(G36:R36,AS36)</f>
        <v>269870.87194754276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5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0.25855265350910056</v>
      </c>
      <c r="H37" s="15">
        <f t="shared" ref="H37" ca="1" si="57">SUMPRODUCT(H38:H45,$S$38:$S$45)/$T$38</f>
        <v>0.14135024816136799</v>
      </c>
      <c r="I37" s="15">
        <f t="shared" ref="I37:Q37" ca="1" si="58">SUMPRODUCT(I38:I45,$S$38:$S$45)/$T$38</f>
        <v>8.3419036221590956E-2</v>
      </c>
      <c r="J37" s="15">
        <f t="shared" ca="1" si="58"/>
        <v>1.2656064770718267E-2</v>
      </c>
      <c r="K37" s="15">
        <f t="shared" ca="1" si="58"/>
        <v>0</v>
      </c>
      <c r="L37" s="15">
        <f t="shared" ca="1" si="58"/>
        <v>0</v>
      </c>
      <c r="M37" s="15">
        <f t="shared" ca="1" si="58"/>
        <v>0</v>
      </c>
      <c r="N37" s="15">
        <f t="shared" ca="1" si="58"/>
        <v>4.6553498485215339E-2</v>
      </c>
      <c r="O37" s="15">
        <f t="shared" ca="1" si="58"/>
        <v>1.9840640525250447E-2</v>
      </c>
      <c r="P37" s="15">
        <f t="shared" ca="1" si="58"/>
        <v>2.2119105748574989E-3</v>
      </c>
      <c r="Q37" s="15">
        <f t="shared" ca="1" si="58"/>
        <v>3.5123154129280405E-3</v>
      </c>
      <c r="R37">
        <v>0</v>
      </c>
      <c r="S37">
        <f ca="1">(S35*(4+D33)+S36*11)/(15+D33)</f>
        <v>234517.31333150994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5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154393.81054195386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101280.5803862584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49499.738698638314</v>
      </c>
      <c r="J38">
        <f ca="1">J18/$E$2*(3-属性开关!$X$37)/(3+2*$D$33)/(3+$D$33)</f>
        <v>7503.2482881519736</v>
      </c>
      <c r="N38">
        <f ca="1">N27</f>
        <v>27301.279195655956</v>
      </c>
      <c r="O38">
        <f ca="1">O27</f>
        <v>12546.859152709534</v>
      </c>
      <c r="P38">
        <f ca="1">P27</f>
        <v>1296.8470973176695</v>
      </c>
      <c r="Q38">
        <f ca="1">Q27</f>
        <v>2059.4814543456332</v>
      </c>
      <c r="R38">
        <f ca="1">SUM(G38:Q38,AS38,AU18*属性开关!$X$37)*IF(COUNTIF(F38,"*雷*")&gt;0,$B$21/$D$21,1)*(1+大附魔数值!$O$10*21/1024)</f>
        <v>412252.88807546388</v>
      </c>
      <c r="S38" s="36">
        <f t="shared" ref="S38:S45" ca="1" si="59">T27</f>
        <v>0.45454545454545447</v>
      </c>
      <c r="T38">
        <f ca="1">SUMPRODUCT(S38:S46,R38:R46)</f>
        <v>610876.27450798242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0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5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189852.0805934323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126691.35458350176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60867.908809168737</v>
      </c>
      <c r="J39">
        <f ca="1">J19/$E$2*(3-属性开关!$X$37)/(3+2*$D$33)/(3+$D$33)</f>
        <v>9385.7745065932668</v>
      </c>
      <c r="N39">
        <f t="shared" ref="N39:Q45" ca="1" si="61">N28</f>
        <v>34151.029051856793</v>
      </c>
      <c r="O39">
        <f t="shared" ca="1" si="61"/>
        <v>15694.801271506632</v>
      </c>
      <c r="P39">
        <f t="shared" ca="1" si="61"/>
        <v>1622.2193318824004</v>
      </c>
      <c r="Q39">
        <f t="shared" ca="1" si="61"/>
        <v>2576.1947077669943</v>
      </c>
      <c r="R39">
        <f ca="1">SUM(G39:Q39,AS39,AU19*属性开关!$X$37)*IF(COUNTIF(F39,"*雷*")&gt;0,$B$21/$D$21,1)*(1+大附魔数值!$O$10*21/1024)</f>
        <v>670053.957382811</v>
      </c>
      <c r="S39" s="36">
        <f t="shared" ca="1" si="59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0"/>
        <v>0.16878965109245639</v>
      </c>
      <c r="AS39">
        <f t="shared" ref="AS39:AS45" ca="1" si="62">AS19/$E$2*(1-3/(3+2*$D$33)/(3+$D$33))</f>
        <v>0</v>
      </c>
      <c r="AX39" s="21">
        <f ca="1">循环!Z26</f>
        <v>0</v>
      </c>
      <c r="AY39">
        <f t="shared" ca="1" si="55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198105.30057064156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101280.5803862584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64026.909317942685</v>
      </c>
      <c r="J40">
        <f ca="1">J20/$E$2*(3-属性开关!$X$37)/(3+2*$D$33)/(3+$D$33)</f>
        <v>9599.0206549233881</v>
      </c>
      <c r="N40">
        <f t="shared" ca="1" si="61"/>
        <v>35408.43361243148</v>
      </c>
      <c r="O40">
        <f t="shared" ca="1" si="61"/>
        <v>14782.384852622294</v>
      </c>
      <c r="P40">
        <f t="shared" ca="1" si="61"/>
        <v>1682.5450244301007</v>
      </c>
      <c r="Q40">
        <f t="shared" ca="1" si="61"/>
        <v>2671.6281367056035</v>
      </c>
      <c r="R40">
        <f ca="1">SUM(G40:Q40,AS40,AU20*属性开关!$X$37)*IF(COUNTIF(F40,"*雷*")&gt;0,$B$21/$D$21,1)*(1+大附魔数值!$O$10*21/1024)</f>
        <v>500571.19397794898</v>
      </c>
      <c r="S40" s="36">
        <f t="shared" ca="1" si="59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0"/>
        <v>0.16878965109245639</v>
      </c>
      <c r="AS40">
        <f t="shared" ca="1" si="62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243602.4045128643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126691.35458350176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78731.407077198528</v>
      </c>
      <c r="J41">
        <f ca="1">J21/$E$2*(3-属性开关!$X$37)/(3+2*$D$33)/(3+$D$33)</f>
        <v>12007.365329160937</v>
      </c>
      <c r="N41">
        <f t="shared" ca="1" si="61"/>
        <v>44292.226613736741</v>
      </c>
      <c r="O41">
        <f t="shared" ca="1" si="61"/>
        <v>18491.208816250575</v>
      </c>
      <c r="P41">
        <f t="shared" ca="1" si="61"/>
        <v>2104.6868756066315</v>
      </c>
      <c r="Q41">
        <f t="shared" ca="1" si="61"/>
        <v>3341.9258291350902</v>
      </c>
      <c r="R41">
        <f ca="1">SUM(G41:Q41,AS41,AU21*属性开关!$X$37)*IF(COUNTIF(F41,"*雷*")&gt;0,$B$21/$D$21,1)*(1+大附魔数值!$O$10*21/1024)</f>
        <v>813196.79300147912</v>
      </c>
      <c r="S41" s="36">
        <f t="shared" ca="1" si="59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2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180603.82427724771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101280.5803862584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58209.964168730177</v>
      </c>
      <c r="J42">
        <f ca="1">J22/$E$2*(3-属性开关!$X$37)/(3+2*$D$33)/(3+$D$33)</f>
        <v>8759.8831350033488</v>
      </c>
      <c r="N42">
        <f t="shared" ca="1" si="61"/>
        <v>32163.17429266181</v>
      </c>
      <c r="O42">
        <f t="shared" ca="1" si="61"/>
        <v>13887.251755030806</v>
      </c>
      <c r="P42">
        <f t="shared" ca="1" si="61"/>
        <v>1528.133197376319</v>
      </c>
      <c r="Q42">
        <f t="shared" ca="1" si="61"/>
        <v>2426.6115583405431</v>
      </c>
      <c r="R42">
        <f ca="1">SUM(G42:Q42,AS42,AU22*属性开关!$X$37)*IF(COUNTIF(F42,"*雷*")&gt;0,$B$21/$D$21,1)*(1+大附魔数值!$O$10*21/1024)</f>
        <v>465209.77318973746</v>
      </c>
      <c r="S42" s="36">
        <f t="shared" ca="1" si="59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2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224315.31430593543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101280.5803862584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72737.134788034542</v>
      </c>
      <c r="J43">
        <f ca="1">J23/$E$2*(3-属性开关!$X$37)/(3+2*$D$33)/(3+$D$33)</f>
        <v>10855.759073426198</v>
      </c>
      <c r="N43">
        <f t="shared" ca="1" si="61"/>
        <v>40272.041247336943</v>
      </c>
      <c r="O43">
        <f t="shared" ca="1" si="61"/>
        <v>16122.777454943563</v>
      </c>
      <c r="P43">
        <f t="shared" ca="1" si="61"/>
        <v>1913.8311244887498</v>
      </c>
      <c r="Q43">
        <f t="shared" ca="1" si="61"/>
        <v>3038.7582407005125</v>
      </c>
      <c r="R43">
        <f ca="1">SUM(G43:Q43,AS43,AU23*属性开关!$X$37)*IF(COUNTIF(F43,"*雷*")&gt;0,$B$21/$D$21,1)*(1+大附魔数值!$O$10*21/1024)</f>
        <v>553529.89520177373</v>
      </c>
      <c r="S43" s="36">
        <f t="shared" ca="1" si="59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2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275831.84183655691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126691.35458350176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89442.033507948465</v>
      </c>
      <c r="J44">
        <f ca="1">J24/$E$2*(3-属性开关!$X$37)/(3+2*$D$33)/(3+$D$33)</f>
        <v>13579.412921996918</v>
      </c>
      <c r="N44">
        <f t="shared" ca="1" si="61"/>
        <v>50376.08826894145</v>
      </c>
      <c r="O44">
        <f t="shared" ca="1" si="61"/>
        <v>20167.898995297248</v>
      </c>
      <c r="P44">
        <f t="shared" ca="1" si="61"/>
        <v>2394.0014628751428</v>
      </c>
      <c r="Q44">
        <f t="shared" ca="1" si="61"/>
        <v>3801.1669788807876</v>
      </c>
      <c r="R44">
        <f ca="1">SUM(G44:Q44,AS44,AU24*属性开关!$X$37)*IF(COUNTIF(F44,"*雷*")&gt;0,$B$21/$D$21,1)*(1+大附魔数值!$O$10*21/1024)</f>
        <v>899030.21891762596</v>
      </c>
      <c r="S44" s="36">
        <f t="shared" ca="1" si="59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2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167540.17410030181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101280.5803862584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53870.04368741114</v>
      </c>
      <c r="J45">
        <f ca="1">J25/$E$2*(3-属性开关!$X$37)/(3+2*$D$33)/(3+$D$33)</f>
        <v>8133.5853587806268</v>
      </c>
      <c r="N45">
        <f ca="1">N34</f>
        <v>27301.279195655956</v>
      </c>
      <c r="O45">
        <f t="shared" ca="1" si="61"/>
        <v>12546.859152709534</v>
      </c>
      <c r="P45">
        <f t="shared" ca="1" si="61"/>
        <v>1296.8470973176695</v>
      </c>
      <c r="Q45">
        <f t="shared" ca="1" si="61"/>
        <v>2059.4814543456332</v>
      </c>
      <c r="R45">
        <f ca="1">SUM(G45:Q45,AS45,AU22*属性开关!$X$37)*IF(COUNTIF(F45,"*雷*")&gt;0,$B$21/$D$21,1)*(1+大附魔数值!$O$10*21/1024)</f>
        <v>440379.20085186919</v>
      </c>
      <c r="S45" s="36">
        <f t="shared" si="59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2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222081.5179171249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126691.35458350176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71578.535239918638</v>
      </c>
      <c r="J46">
        <f ca="1">J47/$E$2*(3-属性开关!X37)/(3+2*$D$33)/(3+$D$33)</f>
        <v>10957.692542185732</v>
      </c>
      <c r="N46">
        <f ca="1">N48</f>
        <v>40232.748502253329</v>
      </c>
      <c r="O46">
        <f t="shared" ref="O46:Q46" ca="1" si="63">O48</f>
        <v>17371.491450553309</v>
      </c>
      <c r="P46">
        <f t="shared" ca="1" si="63"/>
        <v>1911.5339191509117</v>
      </c>
      <c r="Q46">
        <f t="shared" ca="1" si="63"/>
        <v>3035.4358575126926</v>
      </c>
      <c r="R46">
        <f ca="1">SUM(G46:Q46,AS46,AU25*属性开关!$X$37)*IF(COUNTIF(F46,"*雷*")&gt;0,$B$21/$D$21,1)*(1+大附魔数值!$O$10*21/1024)</f>
        <v>755884.40649939864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12.201006931704942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340933.31024919229</v>
      </c>
      <c r="H47">
        <f ca="1">INT(H$6*$E26+H$7*($C$8+$C$9)/2+H$8)*(H$14+H$15)*$D$21*IF(COUNTIF($F47,"*雷*")&gt;0,H$17*(H$13*0.25+H$16*(H$10+属性开关!$X$56)+1-H$16-H$13-H$12),H$11*(H$13*0.25+H$9*H$10+1-H$9-H$13-H$12))</f>
        <v>202713.4938021776</v>
      </c>
      <c r="I47">
        <f ca="1">INT(I$6*$E26+I$7*($C$8+$C$9)/2+I$8)*(I$14+I$15)*$D$21*IF(COUNTIF($F47,"*雷*")&gt;0,I$17*(I$13*0.25+I$16*(I$10+属性开关!$X$56)+1-I$16-I$13-I$12),I$11*(I$13*0.25+I$9*I$10+1-I$9-I$13-I$12))</f>
        <v>109885.35737242523</v>
      </c>
      <c r="J47">
        <f ca="1">INT(J$6*$E26+J$7*($C$8+$C$9)/2+J$8)*(J$14+J$15)*$D$21*IF(COUNTIF($F47,"*雷*")&gt;0,J$17*(J$13*0.25+J$16*(J$10+属性开关!$X$56)+1-J$16-J$13-J$12),J$11*(J$13*0.25+J$9*J$10+1-J$9-J$13-J$12))</f>
        <v>201092.10724009509</v>
      </c>
      <c r="K47">
        <f ca="1">INT(K$6*$E26+K$7*($C$8+$C$9)/2+K$8)*(K$14+K$15)*$D$21*IF(COUNTIF($F47,"*雷*")&gt;0,K$17*(K$13*0.25+K$16*(K$10+属性开关!$X$56)+1-K$16-K$13-K$12),K$11*(K$13*0.25+K$9*K$10+1-K$9-K$13-K$12))</f>
        <v>206549.29652341994</v>
      </c>
      <c r="L47">
        <f ca="1">INT(L$6*$E26+L$7*($C$8+$C$9)/2+L$8)*(L$14+L$15)*$D$21*IF(COUNTIF($F47,"*雷*")&gt;0,L$17*(L$13*0.25+L$16*(L$10+属性开关!$X$56)+1-L$16-L$13-L$12),L$11*(L$13*0.25+L$9*L$10+1-L$9-L$13-L$12))</f>
        <v>147020.59425772226</v>
      </c>
      <c r="M47">
        <f ca="1">INT(M$6*$E26+M$7*($C$8+$C$9)/2+M$8)*(M$14+M$15)*$D$21*IF(COUNTIF($F47,"*雷*")&gt;0,M$17*(M$13*0.25+M$16*(M$10+属性开关!$X$56)+1-M$16-M$13-M$12),M$11*(M$13*0.25+M$9*M$10+1-M$9-M$13-M$12))</f>
        <v>63675.697598920866</v>
      </c>
      <c r="N47">
        <f ca="1">INT(N$6*$E26+N$7*($C$8+$C$9)/2+N$8)*(N$14+N$15)*$D$21*IF(COUNTIF($F47,"*雷*")&gt;0,N$17*(N$13*0.25+N$16*(N$10+属性开关!$X$56)+1-N$16-N$13-N$12),N$11*(N$13*0.25+N$9*N$10+1-N$9-N$13-N$12))</f>
        <v>75436.403441724993</v>
      </c>
      <c r="O47">
        <f ca="1">INT(O$6*$E26+O$7*($C$8+$C$9)/2+O$8)*(O$14+O$15)*$D$21*IF(COUNTIF($F47,"*雷*")&gt;0,O$17*(O$13*0.25+O$16*(O$10+属性开关!$X$56)+1-O$16-O$13-O$12),O$11*(O$13*0.25+O$9*O$10+1-O$9-O$13-O$12))</f>
        <v>28228.673607149125</v>
      </c>
      <c r="P47">
        <f ca="1">INT(P$6*$E26+P$7*($C$8+$C$9)/2+P$8)*(P$14+P$15)*$D$21*IF(COUNTIF($F47,"*雷*")&gt;0,P$17*(P$13*0.25+P$16*(P$10+属性开关!$X$56)+1-P$16-P$13-P$12),P$11*(P$13*0.25+P$9*P$10+1-P$9-P$13-P$12))</f>
        <v>46269.615539478778</v>
      </c>
      <c r="Q47">
        <f ca="1">INT(Q$6*$E26+Q$7*($C$8+$C$9)/2+Q$8)*(Q$14+Q$15)*$D$21*IF(COUNTIF($F47,"*雷*")&gt;0,Q$17*(Q$13*0.25+Q$16*(Q$10+属性开关!$X$56)+1-Q$16-Q$13-Q$12),Q$11*(Q$13*0.25+Q$9*Q$10+1-Q$9-Q$13-Q$12))</f>
        <v>37035.373938258097</v>
      </c>
      <c r="R47">
        <f ca="1">INT(R$6*$E26+R$7*($C$8+$C$9)/2+R$8)*(R$14+R$15)*$D$21*IF(COUNTIF($F47,"*雷*")&gt;0,R$17*(R$13*0.25+R$16*(R$10+属性开关!$X$56)+1-R$16-R$13-R$12),R$11*(R$13*0.25+R$9*R$10+1-R$9-R$13-R$12))</f>
        <v>10511.217831880294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122788.18495245138</v>
      </c>
      <c r="H48">
        <f ca="1">(H47*$AD$38)/$AD$37/$E$2*$D$22+(H47*$AE$42)/$AF$41/$E$2*$C$22</f>
        <v>73007.891048094956</v>
      </c>
      <c r="I48">
        <f ca="1">(I47*$AD$38)/$AD$37/$E$2*$D$22+(I47*$AE$42)/$AF$41/$E$2*$C$22</f>
        <v>39575.550933259197</v>
      </c>
      <c r="J48">
        <f ca="1">J47*$AC$39/$AD$37/$E$2*$D$22+J47*$AE$43/$AF$41/$E$2*$C$22</f>
        <v>23987.467574913408</v>
      </c>
      <c r="K48">
        <f ca="1">K47*$AC$40/$AD$37/$E$2*$D$22+K47*$AE$44/$AF$41/$E$2*$C$22</f>
        <v>24638.433705710504</v>
      </c>
      <c r="L48">
        <f ca="1">L47*$AC$37/$AD$37/$E$2*$D$22+L47*$AE$41/$AF$41/$E$2*$C$22</f>
        <v>18024.146520118491</v>
      </c>
      <c r="M48">
        <f ca="1">M47*$AE$41/$AF$41/$E$2*$C$22</f>
        <v>0</v>
      </c>
      <c r="N48">
        <f ca="1">N47/$E$3</f>
        <v>40232.748502253329</v>
      </c>
      <c r="O48">
        <f ca="1">O47/$F$3</f>
        <v>17371.491450553309</v>
      </c>
      <c r="P48">
        <f ca="1">P47/$E$45*大附魔数值!$S$9</f>
        <v>1911.5339191509117</v>
      </c>
      <c r="Q48">
        <f ca="1">Q47/$E$47*大附魔数值!$S$10</f>
        <v>3035.4358575126926</v>
      </c>
      <c r="R48">
        <f ca="1">R47/45</f>
        <v>233.58261848622877</v>
      </c>
      <c r="S48">
        <f ca="1">SUM(G48:R48,AS48)*IF(COUNTIF(F48,"*雷*")&gt;0,$B$21/$D$21,1)</f>
        <v>478023.53662672517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4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5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55997.345610501383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5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91785.693005580222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5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55997.345610501383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91785.693005580222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55997.345610501383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55997.345610501383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91785.693005580222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95665.766453027638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101280.5803862584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126691.35458350176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101280.5803862584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126691.35458350176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101280.5803862584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101280.5803862584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126691.35458350176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101280.5803862584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126691.35458350176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22">
      <selection activeCell="AA36" sqref="AA36:AF44"/>
      <pageMargins left="0.7" right="0.7" top="0.75" bottom="0.75" header="0.3" footer="0.3"/>
      <pageSetup paperSize="9" orientation="portrait"/>
    </customSheetView>
  </customSheetViews>
  <phoneticPr fontId="1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96"/>
  <sheetViews>
    <sheetView topLeftCell="Q22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20802.567425716985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127052.17867258443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237263.95241123493</v>
      </c>
      <c r="U7">
        <f ca="1">INT(I$6*($E18+$E$19)/2+I$7*($C$8+$C$9)/2+I$8)*(I$14+I$15)*$D$21*IF(COUNTIF($S7,"*雷*")&gt;0,I$17*(I$13*0.25+I$9*I$10+1-I$9-I$13-I$12),I$11*(I$13*0.25+I$9*I$10+1-I$9-I$13-I$12))</f>
        <v>76068.48749789047</v>
      </c>
      <c r="V7">
        <f ca="1">INT(J$6*($E18+$E$19)/2+J$7*($C$8+$C$9)/2+J$8)*(J$14+J$15)*$D$21*IF(COUNTIF($S7,"*雷*")&gt;0,J$17*(J$13*0.25+J$9*J$10+1-J$9-J$13-J$12),J$11*(J$13*0.25+J$9*J$10+1-J$9-J$13-J$12))</f>
        <v>137598.07889451081</v>
      </c>
      <c r="W7">
        <f ca="1">INT(K$6*($E18+$E$19)/2+K$7*($C$8+$C$9)/2+K$8)*(K$14+K$15)*$D$21*IF(COUNTIF($S7,"*雷*")&gt;0,K$17*(K$13*0.25+K$9*K$10+1-K$9-K$13-K$12),K$11*(K$13*0.25+K$9*K$10+1-K$9-K$13-K$12))</f>
        <v>143772.87615974911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2.3664612198832677</v>
      </c>
      <c r="H10" s="21">
        <f ca="1">O10</f>
        <v>2.2668518448832677</v>
      </c>
      <c r="I10" s="21">
        <f ca="1">G10</f>
        <v>2.3664612198832677</v>
      </c>
      <c r="J10" s="21">
        <f ca="1">C11</f>
        <v>2.2668518448832677</v>
      </c>
      <c r="K10" s="21">
        <f ca="1">C11+IF(配装页面!D24="扬戈",0.1,0)</f>
        <v>2.3668518448832678</v>
      </c>
      <c r="L10" s="21">
        <f ca="1">C11</f>
        <v>2.2668518448832677</v>
      </c>
      <c r="M10" s="21">
        <f t="shared" ca="1" si="6"/>
        <v>2.2668518448832677</v>
      </c>
      <c r="N10" s="21">
        <f ca="1">C11</f>
        <v>2.2668518448832677</v>
      </c>
      <c r="O10" s="21">
        <f t="shared" ref="O10:O13" ca="1" si="13">N10</f>
        <v>2.2668518448832677</v>
      </c>
      <c r="P10" s="21">
        <f ca="1">C11</f>
        <v>2.2668518448832677</v>
      </c>
      <c r="Q10" s="21">
        <f t="shared" ca="1" si="7"/>
        <v>2.2668518448832677</v>
      </c>
      <c r="R10" s="21">
        <f ca="1">Q10</f>
        <v>2.2668518448832677</v>
      </c>
      <c r="AL10" s="34" t="s">
        <v>646</v>
      </c>
      <c r="AM10">
        <f ca="1">(G33+H33+I33)/AD38*AD37*D22+(G33+H33+I33)/AE42*AF41*C22</f>
        <v>535637.14840892202</v>
      </c>
      <c r="AR10" s="21">
        <f t="shared" ca="1" si="9"/>
        <v>2.2668518448832677</v>
      </c>
      <c r="AS10" s="21">
        <f ca="1">$C$11</f>
        <v>2.2668518448832677</v>
      </c>
      <c r="AT10" s="22">
        <f t="shared" ref="AT10:AT17" ca="1" si="14">AV10</f>
        <v>2.2668518448832677</v>
      </c>
      <c r="AU10" s="22">
        <f t="shared" ref="AU10:AU17" ca="1" si="15">AV10</f>
        <v>2.2668518448832677</v>
      </c>
      <c r="AV10" s="21">
        <f t="shared" ca="1" si="10"/>
        <v>2.2668518448832677</v>
      </c>
      <c r="AX10" s="21">
        <f t="shared" ca="1" si="11"/>
        <v>2.2668518448832677</v>
      </c>
      <c r="AZ10" s="21">
        <f t="shared" ca="1" si="11"/>
        <v>2.2668518448832677</v>
      </c>
      <c r="BB10" s="21">
        <f t="shared" ref="BB10:BB14" ca="1" si="16">AV10</f>
        <v>2.2668518448832677</v>
      </c>
      <c r="BC10" s="21">
        <f t="shared" ref="BC10:BC14" ca="1" si="17">AV10</f>
        <v>2.2668518448832677</v>
      </c>
      <c r="BD10" s="21">
        <f t="shared" ca="1" si="12"/>
        <v>2.2668518448832677</v>
      </c>
      <c r="BE10" s="21">
        <f t="shared" ref="BE10:BF17" ca="1" si="18">BD10</f>
        <v>2.2668518448832677</v>
      </c>
      <c r="BF10" s="21">
        <f t="shared" ca="1" si="18"/>
        <v>2.2668518448832677</v>
      </c>
      <c r="BG10" s="21">
        <f ca="1">AV10</f>
        <v>2.2668518448832677</v>
      </c>
      <c r="BH10">
        <f t="shared" ca="1" si="5"/>
        <v>2.2668518448832677</v>
      </c>
      <c r="CA10" s="21">
        <f t="shared" ref="CA10:CA17" ca="1" si="19">AZ10</f>
        <v>2.2668518448832677</v>
      </c>
      <c r="CB10" s="21">
        <f t="shared" ref="CB10:CB17" ca="1" si="20">AZ10</f>
        <v>2.2668518448832677</v>
      </c>
      <c r="CC10">
        <f t="shared" ca="1" si="2"/>
        <v>2.2668518448832677</v>
      </c>
      <c r="CD10">
        <f t="shared" ca="1" si="2"/>
        <v>2.2668518448832677</v>
      </c>
      <c r="CE10">
        <f t="shared" ca="1" si="0"/>
        <v>2.2668518448832677</v>
      </c>
      <c r="CF10">
        <f t="shared" ca="1" si="0"/>
        <v>2.3668518448832678</v>
      </c>
      <c r="CG10">
        <f t="shared" ca="1" si="3"/>
        <v>2.2668518448832677</v>
      </c>
      <c r="CH10">
        <f t="shared" ca="1" si="1"/>
        <v>2.2668518448832677</v>
      </c>
      <c r="CI10">
        <f t="shared" ca="1" si="4"/>
        <v>2.2668518448832677</v>
      </c>
      <c r="CN10" s="21">
        <f ca="1">$R$10</f>
        <v>2.2668518448832677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1.7868518448832678</v>
      </c>
    </row>
    <row r="11" spans="2:95" x14ac:dyDescent="0.35">
      <c r="B11" t="s">
        <v>18</v>
      </c>
      <c r="C11" s="21">
        <f ca="1">属性开关!J31+属性开关!$AJ$26/属性开关!U26</f>
        <v>2.2668518448832677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355694.43774214876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463474.24933874863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303058.40728435025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237263.95241123493</v>
      </c>
      <c r="H18">
        <f ca="1">INT(H$6*$E18+H$7*($C$8+$C$9)/2+H$8)*(H$14+H$15)*$D$21*IF(COUNTIF($F18,"*雷*")&gt;0,H$17*(H$13*0.25+H$16*(H$10+属性开关!$X$56)+1-H$16-H$13-H$12),H$11*(H$13*0.25+H$9*H$10+1-H$9-H$13-H$12))</f>
        <v>161938.08480245722</v>
      </c>
      <c r="I18">
        <f ca="1">INT(I$6*$E18+I$7*($C$8+$C$9)/2+I$8)*(I$14+I$15)*$D$21*IF(COUNTIF($F18,"*雷*")&gt;0,I$17*(I$13*0.25+I$16*(I$10+属性开关!$X$56)+1-I$16-I$13-I$12),I$11*(I$13*0.25+I$9*I$10+1-I$9-I$13-I$12))</f>
        <v>76068.48749789047</v>
      </c>
      <c r="J18">
        <f ca="1">INT(J$6*$E18+J$7*($C$8+$C$9)/2+J$8)*(J$14+J$15)*$D$21*IF(COUNTIF($F18,"*雷*")&gt;0,J$17*(J$13*0.25+J$16*(J$10+属性开关!$X$56)+1-J$16-J$13-J$12),J$11*(J$13*0.25+J$9*J$10+1-J$9-J$13-J$12))</f>
        <v>137598.07889451081</v>
      </c>
      <c r="K18">
        <f ca="1">INT(K$6*$E18+K$7*($C$8+$C$9)/2+K$8)*(K$14+K$15)*$D$21*IF(COUNTIF($F18,"*雷*")&gt;0,K$17*(K$13*0.25+K$16*(K$10+属性开关!$X$56)+1-K$16-K$13-K$12),K$11*(K$13*0.25+K$9*K$10+1-K$9-K$13-K$12))</f>
        <v>143772.87615974911</v>
      </c>
      <c r="L18">
        <f ca="1">INT(L$6*$E18+L$7*($C$8+$C$9)/2+L$8)*(L$14+L$15)*$D$21*IF(COUNTIF($F18,"*雷*")&gt;0,L$17*(L$13*0.25+L$16*(L$10+属性开关!$X$56)+1-L$16-L$13-L$12),L$11*(L$13*0.25+L$9*L$10+1-L$9-L$13-L$12))</f>
        <v>101478.90728265019</v>
      </c>
      <c r="M18">
        <f ca="1">INT(M$6*$E18+M$7*($C$8+$C$9)/2+M$8)*(M$14+M$15)*$D$21*IF(COUNTIF($F18,"*雷*")&gt;0,M$17*(M$13*0.25+M$16*(M$10+属性开关!$X$56)+1-M$16-M$13-M$12),M$11*(M$13*0.25+M$9*M$10+1-M$9-M$13-M$12))</f>
        <v>43713.788446114304</v>
      </c>
      <c r="N18">
        <f ca="1">INT(N$6*$E18+N$7*($C$8+$C$9)/2+N$8)*(N$14+N$15)*$D$21*IF(COUNTIF($F18,"*雷*")&gt;0,N$17*(N$13*0.25+N$16*(N$10+属性开关!$X$56)+1-N$16-N$13-N$12),N$11*(N$13*0.25+N$9*N$10+1-N$9-N$13-N$12))</f>
        <v>51153.035020275471</v>
      </c>
      <c r="O18">
        <f ca="1">INT(O$6*$E18+O$7*($C$8+$C$9)/2+O$8)*(O$14+O$15)*$D$21*IF(COUNTIF($F18,"*雷*")&gt;0,O$17*(O$13*0.25+O$16*(O$10+属性开关!$X$56)+1-O$16-O$13-O$12),O$11*(O$13*0.25+O$9*O$10+1-O$9-O$13-O$12))</f>
        <v>20373.9636115824</v>
      </c>
      <c r="P18">
        <f ca="1">INT(P$6*$E18+P$7*($C$8+$C$9)/2+P$8)*(P$14+P$15)*$D$21*IF(COUNTIF($F18,"*雷*")&gt;0,P$17*(P$13*0.25+P$16*(P$10+属性开关!$X$56)+1-P$16-P$13-P$12),P$11*(P$13*0.25+P$9*P$10+1-P$9-P$13-P$12))</f>
        <v>31368.214173768225</v>
      </c>
      <c r="Q18">
        <f ca="1">INT(Q$6*$E18+Q$7*($C$8+$C$9)/2+Q$8)*(Q$14+Q$15)*$D$21*IF(COUNTIF($F18,"*雷*")&gt;0,Q$17*(Q$13*0.25+Q$16*(Q$10+属性开关!$X$56)+1-Q$16-Q$13-Q$12),Q$11*(Q$13*0.25+Q$9*Q$10+1-Q$9-Q$13-Q$12))</f>
        <v>25109.652211213503</v>
      </c>
      <c r="R18">
        <f ca="1">INT(R$6*$E18+R$7*($C$8+$C$9)/2+R$8)*(R$14+R$15)*$D$21*IF(COUNTIF($F18,"*雷*")&gt;0,R$17*(R$13*0.25+R$16*(R$10+属性开关!$X$56)+1-R$16-R$13-R$12),R$11*(R$13*0.25+R$9*R$10+1-R$9-R$13-R$12))</f>
        <v>7133.0396876726936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25399.096911191933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56330.448681963731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69463.159665998697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56267.184881703135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151434.00803238293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69610.92536250125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62743.971196944331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188387.98073095927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8277.9549239152984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14063.448108201546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152216.09879276276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196579.20712666979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147094.33581896281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63363.420535285732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197440.75536198026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148785.96750909588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21084.365625239298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77162.627244244344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29701.392656449498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9244.6904943587251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2360483.8616365059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292558.88037072081</v>
      </c>
      <c r="H19">
        <f ca="1">INT(H$6*$E19+H$7*($C$8+$C$9)/2+H$8)*(H$14+H$15)*$D$21*IF(COUNTIF($F19,"*雷*")&gt;0,H$17*(H$13*0.25+H$16*(H$10+属性开关!$X$56)+1-H$16-H$13-H$12),H$11*(H$13*0.25+H$9*H$10+1-H$9-H$13-H$12))</f>
        <v>203290.8332109036</v>
      </c>
      <c r="I19">
        <f ca="1">INT(I$6*$E19+I$7*($C$8+$C$9)/2+I$8)*(I$14+I$15)*$D$21*IF(COUNTIF($F19,"*雷*")&gt;0,I$17*(I$13*0.25+I$16*(I$10+属性开关!$X$56)+1-I$16-I$13-I$12),I$11*(I$13*0.25+I$9*I$10+1-I$9-I$13-I$12))</f>
        <v>93796.42928355436</v>
      </c>
      <c r="J19">
        <f ca="1">INT(J$6*$E19+J$7*($C$8+$C$9)/2+J$8)*(J$14+J$15)*$D$21*IF(COUNTIF($F19,"*雷*")&gt;0,J$17*(J$13*0.25+J$16*(J$10+属性开关!$X$56)+1-J$16-J$13-J$12),J$11*(J$13*0.25+J$9*J$10+1-J$9-J$13-J$12))</f>
        <v>172735.32746053758</v>
      </c>
      <c r="K19">
        <f ca="1">INT(K$6*$E19+K$7*($C$8+$C$9)/2+K$8)*(K$14+K$15)*$D$21*IF(COUNTIF($F19,"*雷*")&gt;0,K$17*(K$13*0.25+K$16*(K$10+属性开关!$X$56)+1-K$16-K$13-K$12),K$11*(K$13*0.25+K$9*K$10+1-K$9-K$13-K$12))</f>
        <v>177813.90681081012</v>
      </c>
      <c r="L19">
        <f ca="1">INT(L$6*$E19+L$7*($C$8+$C$9)/2+L$8)*(L$14+L$15)*$D$21*IF(COUNTIF($F19,"*雷*")&gt;0,L$17*(L$13*0.25+L$16*(L$10+属性开关!$X$56)+1-L$16-L$13-L$12),L$11*(L$13*0.25+L$9*L$10+1-L$9-L$13-L$12))</f>
        <v>126747.44963427563</v>
      </c>
      <c r="M19">
        <f ca="1">INT(M$6*$E19+M$7*($C$8+$C$9)/2+M$8)*(M$14+M$15)*$D$21*IF(COUNTIF($F19,"*雷*")&gt;0,M$17*(M$13*0.25+M$16*(M$10+属性开关!$X$56)+1-M$16-M$13-M$12),M$11*(M$13*0.25+M$9*M$10+1-M$9-M$13-M$12))</f>
        <v>54598.648603546091</v>
      </c>
      <c r="N19">
        <f ca="1">INT(N$6*$E19+N$7*($C$8+$C$9)/2+N$8)*(N$14+N$15)*$D$21*IF(COUNTIF($F19,"*雷*")&gt;0,N$17*(N$13*0.25+N$16*(N$10+属性开关!$X$56)+1-N$16-N$13-N$12),N$11*(N$13*0.25+N$9*N$10+1-N$9-N$13-N$12))</f>
        <v>64215.549561572559</v>
      </c>
      <c r="O19">
        <f ca="1">INT(O$6*$E19+O$7*($C$8+$C$9)/2+O$8)*(O$14+O$15)*$D$21*IF(COUNTIF($F19,"*雷*")&gt;0,O$17*(O$13*0.25+O$16*(O$10+属性开关!$X$56)+1-O$16-O$13-O$12),O$11*(O$13*0.25+O$9*O$10+1-O$9-O$13-O$12))</f>
        <v>25576.689038033932</v>
      </c>
      <c r="P19">
        <f ca="1">INT(P$6*$E19+P$7*($C$8+$C$9)/2+P$8)*(P$14+P$15)*$D$21*IF(COUNTIF($F19,"*雷*")&gt;0,P$17*(P$13*0.25+P$16*(P$10+属性开关!$X$56)+1-P$16-P$13-P$12),P$11*(P$13*0.25+P$9*P$10+1-P$9-P$13-P$12))</f>
        <v>39378.447654869742</v>
      </c>
      <c r="Q19">
        <f ca="1">INT(Q$6*$E19+Q$7*($C$8+$C$9)/2+Q$8)*(Q$14+Q$15)*$D$21*IF(COUNTIF($F19,"*雷*")&gt;0,Q$17*(Q$13*0.25+Q$16*(Q$10+属性开关!$X$56)+1-Q$16-Q$13-Q$12),Q$11*(Q$13*0.25+Q$9*Q$10+1-Q$9-Q$13-Q$12))</f>
        <v>31521.690069883709</v>
      </c>
      <c r="R19">
        <f ca="1">INT(R$6*$E19+R$7*($C$8+$C$9)/2+R$8)*(R$14+R$15)*$D$21*IF(COUNTIF($F19,"*雷*")&gt;0,R$17*(R$13*0.25+R$16*(R$10+属性开关!$X$56)+1-R$16-R$13-R$12),R$11*(R$13*0.25+R$9*R$10+1-R$9-R$13-R$12))</f>
        <v>8954.5432330037183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40914.351951751349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70715.075219456296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111895.32337281819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90638.47481009629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190104.4198893889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112133.35300569217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101071.66130269546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303466.3859922454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13616.911234214389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17654.710979336076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245198.60137174412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316661.29291521158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235747.99143544503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101552.5107646417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318049.12524035893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236123.57014552449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33963.93024865094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124298.07640923151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47844.741758029297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304437.37635605398</v>
      </c>
      <c r="H20">
        <f ca="1">INT(H$6*$E20+H$7*($C$8+$C$9)/2+H$8)*(H$14+H$15)*$D$21*IF(COUNTIF($F20,"*雷*")&gt;0,H$17*(H$13*0.25+H$16*(H$10+属性开关!$X$56)+1-H$16-H$13-H$12),H$11*(H$13*0.25+H$9*H$10+1-H$9-H$13-H$12))</f>
        <v>161938.08480245722</v>
      </c>
      <c r="I20">
        <f ca="1">INT(I$6*$E20+I$7*($C$8+$C$9)/2+I$8)*(I$14+I$15)*$D$21*IF(COUNTIF($F20,"*雷*")&gt;0,I$17*(I$13*0.25+I$16*(I$10+属性开关!$X$56)+1-I$16-I$13-I$12),I$11*(I$13*0.25+I$9*I$10+1-I$9-I$13-I$12))</f>
        <v>98393.047701370393</v>
      </c>
      <c r="J20">
        <f ca="1">INT(J$6*$E20+J$7*($C$8+$C$9)/2+J$8)*(J$14+J$15)*$D$21*IF(COUNTIF($F20,"*雷*")&gt;0,J$17*(J$13*0.25+J$16*(J$10+属性开关!$X$56)+1-J$16-J$13-J$12),J$11*(J$13*0.25+J$9*J$10+1-J$9-J$13-J$12))</f>
        <v>176031.33345218113</v>
      </c>
      <c r="K20">
        <f ca="1">INT(K$6*$E20+K$7*($C$8+$C$9)/2+K$8)*(K$14+K$15)*$D$21*IF(COUNTIF($F20,"*雷*")&gt;0,K$17*(K$13*0.25+K$16*(K$10+属性开关!$X$56)+1-K$16-K$13-K$12),K$11*(K$13*0.25+K$9*K$10+1-K$9-K$13-K$12))</f>
        <v>183535.01929412651</v>
      </c>
      <c r="L20">
        <f ca="1">INT(L$6*$E20+L$7*($C$8+$C$9)/2+L$8)*(L$14+L$15)*$D$21*IF(COUNTIF($F20,"*雷*")&gt;0,L$17*(L$13*0.25+L$16*(L$10+属性开关!$X$56)+1-L$16-L$13-L$12),L$11*(L$13*0.25+L$9*L$10+1-L$9-L$13-L$12))</f>
        <v>129162.49000049166</v>
      </c>
      <c r="M20">
        <f ca="1">INT(M$6*$E20+M$7*($C$8+$C$9)/2+M$8)*(M$14+M$15)*$D$21*IF(COUNTIF($F20,"*雷*")&gt;0,M$17*(M$13*0.25+M$16*(M$10+属性开关!$X$56)+1-M$16-M$13-M$12),M$11*(M$13*0.25+M$9*M$10+1-M$9-M$13-M$12))</f>
        <v>56098.202953654538</v>
      </c>
      <c r="N20">
        <f ca="1">INT(N$6*$E20+N$7*($C$8+$C$9)/2+N$8)*(N$14+N$15)*$D$21*IF(COUNTIF($F20,"*雷*")&gt;0,N$17*(N$13*0.25+N$16*(N$10+属性开关!$X$56)+1-N$16-N$13-N$12),N$11*(N$13*0.25+N$9*N$10+1-N$9-N$13-N$12))</f>
        <v>66343.00289042879</v>
      </c>
      <c r="O20">
        <f ca="1">INT(O$6*$E20+O$7*($C$8+$C$9)/2+O$8)*(O$14+O$15)*$D$21*IF(COUNTIF($F20,"*雷*")&gt;0,O$17*(O$13*0.25+O$16*(O$10+属性开关!$X$56)+1-O$16-O$13-O$12),O$11*(O$13*0.25+O$9*O$10+1-O$9-O$13-O$12))</f>
        <v>24004.076830231541</v>
      </c>
      <c r="P20">
        <f ca="1">INT(P$6*$E20+P$7*($C$8+$C$9)/2+P$8)*(P$14+P$15)*$D$21*IF(COUNTIF($F20,"*雷*")&gt;0,P$17*(P$13*0.25+P$16*(P$10+属性开关!$X$56)+1-P$16-P$13-P$12),P$11*(P$13*0.25+P$9*P$10+1-P$9-P$13-P$12))</f>
        <v>40697.498411721492</v>
      </c>
      <c r="Q20">
        <f ca="1">INT(Q$6*$E20+Q$7*($C$8+$C$9)/2+Q$8)*(Q$14+Q$15)*$D$21*IF(COUNTIF($F20,"*雷*")&gt;0,Q$17*(Q$13*0.25+Q$16*(Q$10+属性开关!$X$56)+1-Q$16-Q$13-Q$12),Q$11*(Q$13*0.25+Q$9*Q$10+1-Q$9-Q$13-Q$12))</f>
        <v>32573.079601576119</v>
      </c>
      <c r="R20">
        <f ca="1">INT(R$6*$E20+R$7*($C$8+$C$9)/2+R$8)*(R$14+R$15)*$D$21*IF(COUNTIF($F20,"*雷*")&gt;0,R$17*(R$13*0.25+R$16*(R$10+属性开关!$X$56)+1-R$16-R$13-R$12),R$11*(R$13*0.25+R$9*R$10+1-R$9-R$13-R$12))</f>
        <v>9239.4862732202382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30804.99699897079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72961.811439958503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90059.041296495227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73001.234938436275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196545.15701029828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90206.806992997794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81408.937040559162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244512.3807823341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10740.843180118793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18251.11753518445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194413.80740743209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251620.13229379512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187221.86893900469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81314.709874846929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252588.9876036763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189934.54222293859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24841.0541038376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100076.18121327288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38529.638687872604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7617.2898386062679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375387.23040133191</v>
      </c>
      <c r="H21">
        <f ca="1">INT(H$6*$E21+H$7*($C$8+$C$9)/2+H$8)*(H$14+H$15)*$D$21*IF(COUNTIF($F21,"*雷*")&gt;0,H$17*(H$13*0.25+H$16*(H$10+属性开关!$X$56)+1-H$16-H$13-H$12),H$11*(H$13*0.25+H$9*H$10+1-H$9-H$13-H$12))</f>
        <v>203290.8332109036</v>
      </c>
      <c r="I21">
        <f ca="1">INT(I$6*$E21+I$7*($C$8+$C$9)/2+I$8)*(I$14+I$15)*$D$21*IF(COUNTIF($F21,"*雷*")&gt;0,I$17*(I$13*0.25+I$16*(I$10+属性开关!$X$56)+1-I$16-I$13-I$12),I$11*(I$13*0.25+I$9*I$10+1-I$9-I$13-I$12))</f>
        <v>121323.78129604478</v>
      </c>
      <c r="J21">
        <f ca="1">INT(J$6*$E21+J$7*($C$8+$C$9)/2+J$8)*(J$14+J$15)*$D$21*IF(COUNTIF($F21,"*雷*")&gt;0,J$17*(J$13*0.25+J$16*(J$10+属性开关!$X$56)+1-J$16-J$13-J$12),J$11*(J$13*0.25+J$9*J$10+1-J$9-J$13-J$12))</f>
        <v>220982.95464204054</v>
      </c>
      <c r="K21">
        <f ca="1">INT(K$6*$E21+K$7*($C$8+$C$9)/2+K$8)*(K$14+K$15)*$D$21*IF(COUNTIF($F21,"*雷*")&gt;0,K$17*(K$13*0.25+K$16*(K$10+属性开关!$X$56)+1-K$16-K$13-K$12),K$11*(K$13*0.25+K$9*K$10+1-K$9-K$13-K$12))</f>
        <v>226990.5123204499</v>
      </c>
      <c r="L21">
        <f ca="1">INT(L$6*$E21+L$7*($C$8+$C$9)/2+L$8)*(L$14+L$15)*$D$21*IF(COUNTIF($F21,"*雷*")&gt;0,L$17*(L$13*0.25+L$16*(L$10+属性开关!$X$56)+1-L$16-L$13-L$12),L$11*(L$13*0.25+L$9*L$10+1-L$9-L$13-L$12))</f>
        <v>161324.32477200995</v>
      </c>
      <c r="M21">
        <f ca="1">INT(M$6*$E21+M$7*($C$8+$C$9)/2+M$8)*(M$14+M$15)*$D$21*IF(COUNTIF($F21,"*雷*")&gt;0,M$17*(M$13*0.25+M$16*(M$10+属性开关!$X$56)+1-M$16-M$13-M$12),M$11*(M$13*0.25+M$9*M$10+1-M$9-M$13-M$12))</f>
        <v>70066.818256500352</v>
      </c>
      <c r="N21">
        <f ca="1">INT(N$6*$E21+N$7*($C$8+$C$9)/2+N$8)*(N$14+N$15)*$D$21*IF(COUNTIF($F21,"*雷*")&gt;0,N$17*(N$13*0.25+N$16*(N$10+属性开关!$X$56)+1-N$16-N$13-N$12),N$11*(N$13*0.25+N$9*N$10+1-N$9-N$13-N$12))</f>
        <v>83284.450052382032</v>
      </c>
      <c r="O21">
        <f ca="1">INT(O$6*$E21+O$7*($C$8+$C$9)/2+O$8)*(O$14+O$15)*$D$21*IF(COUNTIF($F21,"*雷*")&gt;0,O$17*(O$13*0.25+O$16*(O$10+属性开关!$X$56)+1-O$16-O$13-O$12),O$11*(O$13*0.25+O$9*O$10+1-O$9-O$13-O$12))</f>
        <v>30133.79332742529</v>
      </c>
      <c r="P21">
        <f ca="1">INT(P$6*$E21+P$7*($C$8+$C$9)/2+P$8)*(P$14+P$15)*$D$21*IF(COUNTIF($F21,"*雷*")&gt;0,P$17*(P$13*0.25+P$16*(P$10+属性开关!$X$56)+1-P$16-P$13-P$12),P$11*(P$13*0.25+P$9*P$10+1-P$9-P$13-P$12))</f>
        <v>51090.071688885073</v>
      </c>
      <c r="Q21">
        <f ca="1">INT(Q$6*$E21+Q$7*($C$8+$C$9)/2+Q$8)*(Q$14+Q$15)*$D$21*IF(COUNTIF($F21,"*雷*")&gt;0,Q$17*(Q$13*0.25+Q$16*(Q$10+属性开关!$X$56)+1-Q$16-Q$13-Q$12),Q$11*(Q$13*0.25+Q$9*Q$10+1-Q$9-Q$13-Q$12))</f>
        <v>40890.98929709597</v>
      </c>
      <c r="R21">
        <f ca="1">INT(R$6*$E21+R$7*($C$8+$C$9)/2+R$8)*(R$14+R$15)*$D$21*IF(COUNTIF($F21,"*雷*")&gt;0,R$17*(R$13*0.25+R$16*(R$10+属性开关!$X$56)+1-R$16-R$13-R$12),R$11*(R$13*0.25+R$9*R$10+1-R$9-R$13-R$12))</f>
        <v>11598.895128437061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49622.492228578543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91593.447324634151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145072.37501103728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117594.66211050824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246735.21846903508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145310.40464391123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131138.28077201097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393874.85464023874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17668.265834808157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22911.749853555648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313173.14030337305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405324.43680224725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300060.36132813827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130323.02991424786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406885.12564395706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301426.4245107281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40015.423934583232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161208.57030719297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62065.797195915206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277542.06608534983</v>
      </c>
      <c r="H22">
        <f ca="1">INT(H$6*$E22+H$7*($C$8+$C$9)/2+H$8)*(H$14+H$15)*$D$21*IF(COUNTIF($F22,"*雷*")&gt;0,H$17*(H$13*0.25+H$16*(H$10+属性开关!$X$56)+1-H$16-H$13-H$12),H$11*(H$13*0.25+H$9*H$10+1-H$9-H$13-H$12))</f>
        <v>161938.08480245722</v>
      </c>
      <c r="I22">
        <f ca="1">INT(I$6*$E22+I$7*($C$8+$C$9)/2+I$8)*(I$14+I$15)*$D$21*IF(COUNTIF($F22,"*雷*")&gt;0,I$17*(I$13*0.25+I$16*(I$10+属性开关!$X$56)+1-I$16-I$13-I$12),I$11*(I$13*0.25+I$9*I$10+1-I$9-I$13-I$12))</f>
        <v>89453.884970578874</v>
      </c>
      <c r="J22">
        <f ca="1">INT(J$6*$E22+J$7*($C$8+$C$9)/2+J$8)*(J$14+J$15)*$D$21*IF(COUNTIF($F22,"*雷*")&gt;0,J$17*(J$13*0.25+J$16*(J$10+属性开关!$X$56)+1-J$16-J$13-J$12),J$11*(J$13*0.25+J$9*J$10+1-J$9-J$13-J$12))</f>
        <v>160642.83686575934</v>
      </c>
      <c r="K22">
        <f ca="1">INT(K$6*$E22+K$7*($C$8+$C$9)/2+K$8)*(K$14+K$15)*$D$21*IF(COUNTIF($F22,"*雷*")&gt;0,K$17*(K$13*0.25+K$16*(K$10+属性开关!$X$56)+1-K$16-K$13-K$12),K$11*(K$13*0.25+K$9*K$10+1-K$9-K$13-K$12))</f>
        <v>167613.67747593913</v>
      </c>
      <c r="L22">
        <f ca="1">INT(L$6*$E22+L$7*($C$8+$C$9)/2+L$8)*(L$14+L$15)*$D$21*IF(COUNTIF($F22,"*雷*")&gt;0,L$17*(L$13*0.25+L$16*(L$10+属性开关!$X$56)+1-L$16-L$13-L$12),L$11*(L$13*0.25+L$9*L$10+1-L$9-L$13-L$12))</f>
        <v>118078.5329799344</v>
      </c>
      <c r="M22">
        <f ca="1">INT(M$6*$E22+M$7*($C$8+$C$9)/2+M$8)*(M$14+M$15)*$D$21*IF(COUNTIF($F22,"*雷*")&gt;0,M$17*(M$13*0.25+M$16*(M$10+属性开关!$X$56)+1-M$16-M$13-M$12),M$11*(M$13*0.25+M$9*M$10+1-M$9-M$13-M$12))</f>
        <v>51140.678602988206</v>
      </c>
      <c r="N22">
        <f ca="1">INT(N$6*$E22+N$7*($C$8+$C$9)/2+N$8)*(N$14+N$15)*$D$21*IF(COUNTIF($F22,"*雷*")&gt;0,N$17*(N$13*0.25+N$16*(N$10+属性开关!$X$56)+1-N$16-N$13-N$12),N$11*(N$13*0.25+N$9*N$10+1-N$9-N$13-N$12))</f>
        <v>60262.523567669909</v>
      </c>
      <c r="O22">
        <f ca="1">INT(O$6*$E22+O$7*($C$8+$C$9)/2+O$8)*(O$14+O$15)*$D$21*IF(COUNTIF($F22,"*雷*")&gt;0,O$17*(O$13*0.25+O$16*(O$10+属性开关!$X$56)+1-O$16-O$13-O$12),O$11*(O$13*0.25+O$9*O$10+1-O$9-O$13-O$12))</f>
        <v>22550.533044023214</v>
      </c>
      <c r="P22">
        <f ca="1">INT(P$6*$E22+P$7*($C$8+$C$9)/2+P$8)*(P$14+P$15)*$D$21*IF(COUNTIF($F22,"*雷*")&gt;0,P$17*(P$13*0.25+P$16*(P$10+属性开关!$X$56)+1-P$16-P$13-P$12),P$11*(P$13*0.25+P$9*P$10+1-P$9-P$13-P$12))</f>
        <v>36962.576020327644</v>
      </c>
      <c r="Q22">
        <f ca="1">INT(Q$6*$E22+Q$7*($C$8+$C$9)/2+Q$8)*(Q$14+Q$15)*$D$21*IF(COUNTIF($F22,"*雷*")&gt;0,Q$17*(Q$13*0.25+Q$16*(Q$10+属性开关!$X$56)+1-Q$16-Q$13-Q$12),Q$11*(Q$13*0.25+Q$9*Q$10+1-Q$9-Q$13-Q$12))</f>
        <v>29585.783427703554</v>
      </c>
      <c r="R22">
        <f ca="1">INT(R$6*$E22+R$7*($C$8+$C$9)/2+R$8)*(R$14+R$15)*$D$21*IF(COUNTIF($F22,"*雷*")&gt;0,R$17*(R$13*0.25+R$16*(R$10+属性开关!$X$56)+1-R$16-R$13-R$12),R$11*(R$13*0.25+R$9*R$10+1-R$9-R$13-R$12))</f>
        <v>8396.9076390012196</v>
      </c>
      <c r="T22" s="34">
        <f ca="1">(G21+I21)/(G14+G15)*(G14+D38)</f>
        <v>481578.83989902074</v>
      </c>
      <c r="U22">
        <f ca="1">K20/(K14+K15)*(K14+D35)</f>
        <v>164700.45923436759</v>
      </c>
      <c r="V22">
        <f ca="1">T22+U22</f>
        <v>646279.29913338833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28639.980501899652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66302.569424614427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81812.387200672878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66300.309645354137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178483.24160827376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81960.152897175431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73934.317201744547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222040.37289287255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9754.7038774655484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16574.35985105269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177516.9518284284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229580.79370733807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171155.60118107876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74128.746099769167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230507.89160060138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173458.05298702786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23336.8279638003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90903.98333171205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34996.06299773723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344715.49003016885</v>
      </c>
      <c r="H23">
        <f ca="1">INT(H$6*$E23+H$7*($C$8+$C$9)/2+H$8)*(H$14+H$15)*$D$21*IF(COUNTIF($F23,"*雷*")&gt;0,H$17*(H$13*0.25+H$16*(H$10+属性开关!$X$56)+1-H$16-H$13-H$12),H$11*(H$13*0.25+H$9*H$10+1-H$9-H$13-H$12))</f>
        <v>161938.08480245722</v>
      </c>
      <c r="I23">
        <f ca="1">INT(I$6*$E23+I$7*($C$8+$C$9)/2+I$8)*(I$14+I$15)*$D$21*IF(COUNTIF($F23,"*雷*")&gt;0,I$17*(I$13*0.25+I$16*(I$10+属性开关!$X$56)+1-I$16-I$13-I$12),I$11*(I$13*0.25+I$9*I$10+1-I$9-I$13-I$12))</f>
        <v>111778.4451740588</v>
      </c>
      <c r="J23">
        <f ca="1">INT(J$6*$E23+J$7*($C$8+$C$9)/2+J$8)*(J$14+J$15)*$D$21*IF(COUNTIF($F23,"*雷*")&gt;0,J$17*(J$13*0.25+J$16*(J$10+属性开关!$X$56)+1-J$16-J$13-J$12),J$11*(J$13*0.25+J$9*J$10+1-J$9-J$13-J$12))</f>
        <v>199077.99076884886</v>
      </c>
      <c r="K23">
        <f ca="1">INT(K$6*$E23+K$7*($C$8+$C$9)/2+K$8)*(K$14+K$15)*$D$21*IF(COUNTIF($F23,"*雷*")&gt;0,K$17*(K$13*0.25+K$16*(K$10+属性开关!$X$56)+1-K$16-K$13-K$12),K$11*(K$13*0.25+K$9*K$10+1-K$9-K$13-K$12))</f>
        <v>207375.82061031656</v>
      </c>
      <c r="L23">
        <f ca="1">INT(L$6*$E23+L$7*($C$8+$C$9)/2+L$8)*(L$14+L$15)*$D$21*IF(COUNTIF($F23,"*雷*")&gt;0,L$17*(L$13*0.25+L$16*(L$10+属性开关!$X$56)+1-L$16-L$13-L$12),L$11*(L$13*0.25+L$9*L$10+1-L$9-L$13-L$12))</f>
        <v>145762.11569777585</v>
      </c>
      <c r="M23">
        <f ca="1">INT(M$6*$E23+M$7*($C$8+$C$9)/2+M$8)*(M$14+M$15)*$D$21*IF(COUNTIF($F23,"*雷*")&gt;0,M$17*(M$13*0.25+M$16*(M$10+属性开关!$X$56)+1-M$16-M$13-M$12),M$11*(M$13*0.25+M$9*M$10+1-M$9-M$13-M$12))</f>
        <v>63525.093110528433</v>
      </c>
      <c r="N23">
        <f ca="1">INT(N$6*$E23+N$7*($C$8+$C$9)/2+N$8)*(N$14+N$15)*$D$21*IF(COUNTIF($F23,"*雷*")&gt;0,N$17*(N$13*0.25+N$16*(N$10+属性开关!$X$56)+1-N$16-N$13-N$12),N$11*(N$13*0.25+N$9*N$10+1-N$9-N$13-N$12))</f>
        <v>75455.700134035767</v>
      </c>
      <c r="O23">
        <f ca="1">INT(O$6*$E23+O$7*($C$8+$C$9)/2+O$8)*(O$14+O$15)*$D$21*IF(COUNTIF($F23,"*雷*")&gt;0,O$17*(O$13*0.25+O$16*(O$10+属性开关!$X$56)+1-O$16-O$13-O$12),O$11*(O$13*0.25+O$9*O$10+1-O$9-O$13-O$12))</f>
        <v>26180.646262672351</v>
      </c>
      <c r="P23">
        <f ca="1">INT(P$6*$E23+P$7*($C$8+$C$9)/2+P$8)*(P$14+P$15)*$D$21*IF(COUNTIF($F23,"*雷*")&gt;0,P$17*(P$13*0.25+P$16*(P$10+属性开关!$X$56)+1-P$16-P$13-P$12),P$11*(P$13*0.25+P$9*P$10+1-P$9-P$13-P$12))</f>
        <v>46291.860258280911</v>
      </c>
      <c r="Q23">
        <f ca="1">INT(Q$6*$E23+Q$7*($C$8+$C$9)/2+Q$8)*(Q$14+Q$15)*$D$21*IF(COUNTIF($F23,"*雷*")&gt;0,Q$17*(Q$13*0.25+Q$16*(Q$10+属性开关!$X$56)+1-Q$16-Q$13-Q$12),Q$11*(Q$13*0.25+Q$9*Q$10+1-Q$9-Q$13-Q$12))</f>
        <v>37049.21081806616</v>
      </c>
      <c r="R23">
        <f ca="1">INT(R$6*$E23+R$7*($C$8+$C$9)/2+R$8)*(R$14+R$15)*$D$21*IF(COUNTIF($F23,"*雷*")&gt;0,R$17*(R$13*0.25+R$16*(R$10+属性开关!$X$56)+1-R$16-R$13-R$12),R$11*(R$13*0.25+R$9*R$10+1-R$9-R$13-R$12))</f>
        <v>10503.354224548764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34047.540878403255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82933.932182609176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102408.26883116942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83034.359702087269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223594.39058618914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102556.03452767197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92599.283045359363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278163.11265552265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12217.592133669044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20762.082756305805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219714.66044309776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284624.32893350965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211283.13430112062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92080.035439330357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285658.84923059697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214606.62770087057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27093.516442398603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113822.37751070445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43824.309029160329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425052.25418682327</v>
      </c>
      <c r="H24">
        <f ca="1">INT(H$6*$E24+H$7*($C$8+$C$9)/2+H$8)*(H$14+H$15)*$D$21*IF(COUNTIF($F24,"*雷*")&gt;0,H$17*(H$13*0.25+H$16*(H$10+属性开关!$X$56)+1-H$16-H$13-H$12),H$11*(H$13*0.25+H$9*H$10+1-H$9-H$13-H$12))</f>
        <v>203290.8332109036</v>
      </c>
      <c r="I24">
        <f ca="1">INT(I$6*$E24+I$7*($C$8+$C$9)/2+I$8)*(I$14+I$15)*$D$21*IF(COUNTIF($F24,"*雷*")&gt;0,I$17*(I$13*0.25+I$16*(I$10+属性开关!$X$56)+1-I$16-I$13-I$12),I$11*(I$13*0.25+I$9*I$10+1-I$9-I$13-I$12))</f>
        <v>137828.6774597039</v>
      </c>
      <c r="J24">
        <f ca="1">INT(J$6*$E24+J$7*($C$8+$C$9)/2+J$8)*(J$14+J$15)*$D$21*IF(COUNTIF($F24,"*雷*")&gt;0,J$17*(J$13*0.25+J$16*(J$10+属性开关!$X$56)+1-J$16-J$13-J$12),J$11*(J$13*0.25+J$9*J$10+1-J$9-J$13-J$12))</f>
        <v>249914.84039545571</v>
      </c>
      <c r="K24">
        <f ca="1">INT(K$6*$E24+K$7*($C$8+$C$9)/2+K$8)*(K$14+K$15)*$D$21*IF(COUNTIF($F24,"*雷*")&gt;0,K$17*(K$13*0.25+K$16*(K$10+属性开关!$X$56)+1-K$16-K$13-K$12),K$11*(K$13*0.25+K$9*K$10+1-K$9-K$13-K$12))</f>
        <v>256476.0880198729</v>
      </c>
      <c r="L24">
        <f ca="1">INT(L$6*$E24+L$7*($C$8+$C$9)/2+L$8)*(L$14+L$15)*$D$21*IF(COUNTIF($F24,"*雷*")&gt;0,L$17*(L$13*0.25+L$16*(L$10+属性开关!$X$56)+1-L$16-L$13-L$12),L$11*(L$13*0.25+L$9*L$10+1-L$9-L$13-L$12))</f>
        <v>182057.30543127321</v>
      </c>
      <c r="M24">
        <f ca="1">INT(M$6*$E24+M$7*($C$8+$C$9)/2+M$8)*(M$14+M$15)*$D$21*IF(COUNTIF($F24,"*雷*")&gt;0,M$17*(M$13*0.25+M$16*(M$10+属性开关!$X$56)+1-M$16-M$13-M$12),M$11*(M$13*0.25+M$9*M$10+1-M$9-M$13-M$12))</f>
        <v>79343.025611352423</v>
      </c>
      <c r="N24">
        <f ca="1">INT(N$6*$E24+N$7*($C$8+$C$9)/2+N$8)*(N$14+N$15)*$D$21*IF(COUNTIF($F24,"*雷*")&gt;0,N$17*(N$13*0.25+N$16*(N$10+属性开关!$X$56)+1-N$16-N$13-N$12),N$11*(N$13*0.25+N$9*N$10+1-N$9-N$13-N$12))</f>
        <v>94724.179117421954</v>
      </c>
      <c r="O24">
        <f ca="1">INT(O$6*$E24+O$7*($C$8+$C$9)/2+O$8)*(O$14+O$15)*$D$21*IF(COUNTIF($F24,"*雷*")&gt;0,O$17*(O$13*0.25+O$16*(O$10+属性开关!$X$56)+1-O$16-O$13-O$12),O$11*(O$13*0.25+O$9*O$10+1-O$9-O$13-O$12))</f>
        <v>32866.174743458701</v>
      </c>
      <c r="P24">
        <f ca="1">INT(P$6*$E24+P$7*($C$8+$C$9)/2+P$8)*(P$14+P$15)*$D$21*IF(COUNTIF($F24,"*雷*")&gt;0,P$17*(P$13*0.25+P$16*(P$10+属性开关!$X$56)+1-P$16-P$13-P$12),P$11*(P$13*0.25+P$9*P$10+1-P$9-P$13-P$12))</f>
        <v>58113.018035679801</v>
      </c>
      <c r="Q24">
        <f ca="1">INT(Q$6*$E24+Q$7*($C$8+$C$9)/2+Q$8)*(Q$14+Q$15)*$D$21*IF(COUNTIF($F24,"*雷*")&gt;0,Q$17*(Q$13*0.25+Q$16*(Q$10+属性开关!$X$56)+1-Q$16-Q$13-Q$12),Q$11*(Q$13*0.25+Q$9*Q$10+1-Q$9-Q$13-Q$12))</f>
        <v>46510.151989254649</v>
      </c>
      <c r="R24">
        <f ca="1">INT(R$6*$E24+R$7*($C$8+$C$9)/2+R$8)*(R$14+R$15)*$D$21*IF(COUNTIF($F24,"*雷*")&gt;0,R$17*(R$13*0.25+R$16*(R$10+属性开关!$X$56)+1-R$16-R$13-R$12),R$11*(R$13*0.25+R$9*R$10+1-R$9-R$13-R$12))</f>
        <v>13185.506265697068</v>
      </c>
      <c r="T24">
        <f ca="1">K21</f>
        <v>226990.5123204499</v>
      </c>
      <c r="U24">
        <f ca="1">G20+I20</f>
        <v>402830.42405742436</v>
      </c>
      <c r="V24">
        <f ca="1">T24+U24</f>
        <v>629820.93637787423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54845.771700520643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104112.0635422222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164965.23354268368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133756.60673362456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280691.7842643332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165203.26317555766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149164.3451042638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448081.42316933384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20097.459953468777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26063.918860544018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353929.23527006543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458489.52853458637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338623.33487115364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147576.60983522562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460155.99438115786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340581.06391332293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43643.822109533336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183351.74788856407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70594.762086650735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257466.56394559488</v>
      </c>
      <c r="H25">
        <f ca="1">INT(H$6*$E25+H$7*($C$8+$C$9)/2+H$8)*(H$14+H$15)*$D$21*IF(COUNTIF($F25,"*雷*")&gt;0,H$17*(H$13*0.25+H$16*(H$10+属性开关!$X$56)+1-H$16-H$13-H$12),H$11*(H$13*0.25+H$9*H$10+1-H$9-H$13-H$12))</f>
        <v>161938.08480245722</v>
      </c>
      <c r="I25">
        <f ca="1">INT(I$6*$E25+I$7*($C$8+$C$9)/2+I$8)*(I$14+I$15)*$D$21*IF(COUNTIF($F25,"*雷*")&gt;0,I$17*(I$13*0.25+I$16*(I$10+属性开关!$X$56)+1-I$16-I$13-I$12),I$11*(I$13*0.25+I$9*I$10+1-I$9-I$13-I$12))</f>
        <v>82784.532857733531</v>
      </c>
      <c r="J25">
        <f ca="1">INT(J$6*$E25+J$7*($C$8+$C$9)/2+J$8)*(J$14+J$15)*$D$21*IF(COUNTIF($F25,"*雷*")&gt;0,J$17*(J$13*0.25+J$16*(J$10+属性开关!$X$56)+1-J$16-J$13-J$12),J$11*(J$13*0.25+J$9*J$10+1-J$9-J$13-J$12))</f>
        <v>149157.49511580964</v>
      </c>
      <c r="K25">
        <f ca="1">INT(K$6*$E25+K$7*($C$8+$C$9)/2+K$8)*(K$14+K$15)*$D$21*IF(COUNTIF($F25,"*雷*")&gt;0,K$17*(K$13*0.25+K$16*(K$10+属性开关!$X$56)+1-K$16-K$13-K$12),K$11*(K$13*0.25+K$9*K$10+1-K$9-K$13-K$12))</f>
        <v>155731.05394467764</v>
      </c>
      <c r="L25">
        <f ca="1">INT(L$6*$E25+L$7*($C$8+$C$9)/2+L$8)*(L$14+L$15)*$D$21*IF(COUNTIF($F25,"*雷*")&gt;0,L$17*(L$13*0.25+L$16*(L$10+属性开关!$X$56)+1-L$16-L$13-L$12),L$11*(L$13*0.25+L$9*L$10+1-L$9-L$13-L$12))</f>
        <v>109805.96960175654</v>
      </c>
      <c r="M25">
        <f ca="1">INT(M$6*$E25+M$7*($C$8+$C$9)/2+M$8)*(M$14+M$15)*$D$21*IF(COUNTIF($F25,"*雷*")&gt;0,M$17*(M$13*0.25+M$16*(M$10+属性开关!$X$56)+1-M$16-M$13-M$12),M$11*(M$13*0.25+M$9*M$10+1-M$9-M$13-M$12))</f>
        <v>47438.509167501972</v>
      </c>
      <c r="N25">
        <f ca="1">INT(N$6*$E25+N$7*($C$8+$C$9)/2+N$8)*(N$14+N$15)*$D$21*IF(COUNTIF($F25,"*雷*")&gt;0,N$17*(N$13*0.25+N$16*(N$10+属性开关!$X$56)+1-N$16-N$13-N$12),N$11*(N$13*0.25+N$9*N$10+1-N$9-N$13-N$12))</f>
        <v>55722.21842692911</v>
      </c>
      <c r="O25">
        <f ca="1">INT(O$6*$E25+O$7*($C$8+$C$9)/2+O$8)*(O$14+O$15)*$D$21*IF(COUNTIF($F25,"*雷*")&gt;0,O$17*(O$13*0.25+O$16*(O$10+属性开关!$X$56)+1-O$16-O$13-O$12),O$11*(O$13*0.25+O$9*O$10+1-O$9-O$13-O$12))</f>
        <v>21465.994574674478</v>
      </c>
      <c r="P25">
        <f ca="1">INT(P$6*$E25+P$7*($C$8+$C$9)/2+P$8)*(P$14+P$15)*$D$21*IF(COUNTIF($F25,"*雷*")&gt;0,P$17*(P$13*0.25+P$16*(P$10+属性开关!$X$56)+1-P$16-P$13-P$12),P$11*(P$13*0.25+P$9*P$10+1-P$9-P$13-P$12))</f>
        <v>34174.219011632413</v>
      </c>
      <c r="Q25">
        <f ca="1">INT(Q$6*$E25+Q$7*($C$8+$C$9)/2+Q$8)*(Q$14+Q$15)*$D$21*IF(COUNTIF($F25,"*雷*")&gt;0,Q$17*(Q$13*0.25+Q$16*(Q$10+属性开关!$X$56)+1-Q$16-Q$13-Q$12),Q$11*(Q$13*0.25+Q$9*Q$10+1-Q$9-Q$13-Q$12))</f>
        <v>27355.73955998987</v>
      </c>
      <c r="R25">
        <f ca="1">INT(R$6*$E25+R$7*($C$8+$C$9)/2+R$8)*(R$14+R$15)*$D$21*IF(COUNTIF($F25,"*雷*")&gt;0,R$17*(R$13*0.25+R$16*(R$10+属性开关!$X$56)+1-R$16-R$13-R$12),R$11*(R$13*0.25+R$9*R$10+1-R$9-R$13-R$12))</f>
        <v>7766.6724105833664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34677.404663391564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83233.69143704437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97082.672059107354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78658.503260863799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165001.05213838682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97272.282491929232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87715.0644959856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263396.58709551842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16046.105352875011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27264.172000222003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211606.66232154999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273490.97147856391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204237.14130682815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88234.779360059285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274636.41365119233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206799.19304099685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28505.235426211624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107858.05947329353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41521.513978024144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3.3130613835199337E-2</v>
      </c>
      <c r="M26" s="40">
        <f t="shared" ca="1" si="38"/>
        <v>0</v>
      </c>
      <c r="N26" s="40">
        <f t="shared" ca="1" si="38"/>
        <v>7.3953655365809376E-2</v>
      </c>
      <c r="O26" s="40">
        <f t="shared" ca="1" si="38"/>
        <v>3.1514477566782537E-2</v>
      </c>
      <c r="P26" s="40">
        <f t="shared" ca="1" si="38"/>
        <v>3.513783964290891E-3</v>
      </c>
      <c r="Q26" s="40">
        <f t="shared" ca="1" si="38"/>
        <v>5.5678117293732109E-3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4000.8681104918878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273900.47110527364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19611.621129736657</v>
      </c>
      <c r="BH26">
        <f ca="1">SUMPRODUCT(BH18:BH25,$BY$18:$BY$25)</f>
        <v>25433.485059146347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85451.345454999755</v>
      </c>
      <c r="H27">
        <f ca="1">(H18*$AC$38)/$AD$37/$E$2*$D$22+(H18*$AF$42)/$AF$41/$E$2*$C$22</f>
        <v>55957.020143578156</v>
      </c>
      <c r="I27">
        <f t="shared" ca="1" si="41"/>
        <v>27396.30077541342</v>
      </c>
      <c r="J27">
        <f ca="1">J18*$AC$39/$AD$37/$E$2*$D$22+J18*$AE$43/$AF$41/$E$2*$C$22</f>
        <v>16413.520655545417</v>
      </c>
      <c r="K27">
        <f t="shared" ref="K27:K33" ca="1" si="42">K18*$AC$40/$AD$37/$E$2*$D$22+K18*$AE$44/$AF$41/$E$2*$C$22</f>
        <v>17150.087352341339</v>
      </c>
      <c r="L27">
        <f ca="1">L18*$AC$37/$AD$37/$E$2*$D$22+L18*$AE$41/$AF$41/$E$2*$C$22</f>
        <v>12440.914844608134</v>
      </c>
      <c r="M27">
        <f ca="1">M18*$AE$41/$AF$41/$E$2*$C$22</f>
        <v>0</v>
      </c>
      <c r="N27">
        <f ca="1">N18/$E$3</f>
        <v>27281.618677480252</v>
      </c>
      <c r="O27">
        <f ca="1">O18/$F$3</f>
        <v>12537.823760973784</v>
      </c>
      <c r="P27">
        <f ca="1">P18/$E$45*大附魔数值!$S$9</f>
        <v>1295.9131965379588</v>
      </c>
      <c r="Q27">
        <f ca="1">Q18/$E$47*大附魔数值!$S$10</f>
        <v>2053.660410929805</v>
      </c>
      <c r="R27">
        <f ca="1">R18/45</f>
        <v>158.51199305939321</v>
      </c>
      <c r="S27">
        <f ca="1">SUM(G27:R27,AS27)*IF(COUNTIF(F27,"*雷*")&gt;0,$B$21/$D$21,1)</f>
        <v>258136.71726546742</v>
      </c>
      <c r="T27" s="15">
        <f ca="1">AQ27</f>
        <v>0.45454545454545447</v>
      </c>
      <c r="U27">
        <f ca="1">U28*(1+非侠士/1024)*(1+C14)*(1-B24*0.05)+AQ9</f>
        <v>538921.6552584403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105365.98458562403</v>
      </c>
      <c r="H28">
        <f t="shared" ref="H28:H33" ca="1" si="45">(H19*$AC$38)/$AD$37/$E$2*$D$22+(H19*$AF$42)/$AF$41/$E$2*$C$22</f>
        <v>70246.287418206572</v>
      </c>
      <c r="I28">
        <f t="shared" ca="1" si="41"/>
        <v>33781.073777539117</v>
      </c>
      <c r="J28">
        <f t="shared" ref="J28:J33" ca="1" si="46">J19*$AC$39/$AD$37/$E$2*$D$22+J19*$AE$43/$AF$41/$E$2*$C$22</f>
        <v>20604.901521841228</v>
      </c>
      <c r="K28">
        <f t="shared" ca="1" si="42"/>
        <v>21210.704798574694</v>
      </c>
      <c r="L28">
        <f t="shared" ref="L28:L33" ca="1" si="47">L19*$AC$37/$AD$37/$E$2*$D$22+L19*$AE$41/$AF$41/$E$2*$C$22</f>
        <v>15538.738737886231</v>
      </c>
      <c r="M28">
        <f t="shared" ref="M28:M33" ca="1" si="48">M19*$AE$41/$AF$41/$E$2*$C$22</f>
        <v>0</v>
      </c>
      <c r="N28">
        <f t="shared" ref="N28:N33" ca="1" si="49">N19/$E$3</f>
        <v>34248.293099505368</v>
      </c>
      <c r="O28">
        <f t="shared" ref="O28:O33" ca="1" si="50">O19/$F$3</f>
        <v>15739.50094648242</v>
      </c>
      <c r="P28">
        <f ca="1">P19/$E$45*大附魔数值!$S$9</f>
        <v>1626.8395035953249</v>
      </c>
      <c r="Q28">
        <f ca="1">Q19/$E$47*大附魔数值!$S$10</f>
        <v>2578.0861653356533</v>
      </c>
      <c r="R28">
        <f t="shared" ref="R28:R33" ca="1" si="51">R19/45</f>
        <v>198.98984962230486</v>
      </c>
      <c r="S28">
        <f t="shared" ref="S28:S33" ca="1" si="52">SUM(G28:R28,AS28)*IF(COUNTIF(F28,"*雷*")&gt;0,$B$21/$D$21,1)</f>
        <v>420804.46972089895</v>
      </c>
      <c r="T28" s="15">
        <f t="shared" ref="T28:T33" ca="1" si="53">AQ28</f>
        <v>0</v>
      </c>
      <c r="U28">
        <f ca="1">U33+U39+AW29+BI26+AT32+BB3+BC3+AY26+AZ26+BF27+CL26+AR26+AM8+AL8+CQ24</f>
        <v>409843.79324265529</v>
      </c>
      <c r="V28">
        <f ca="1">U28-U33</f>
        <v>24803.435536208854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109644.0616117086</v>
      </c>
      <c r="H29">
        <f t="shared" ca="1" si="45"/>
        <v>55957.020143578156</v>
      </c>
      <c r="I29">
        <f t="shared" ca="1" si="41"/>
        <v>35436.56010133103</v>
      </c>
      <c r="J29">
        <f t="shared" ca="1" si="46"/>
        <v>20998.0688019318</v>
      </c>
      <c r="K29">
        <f t="shared" ca="1" si="42"/>
        <v>21893.153264949018</v>
      </c>
      <c r="L29">
        <f t="shared" ca="1" si="47"/>
        <v>15834.81318672415</v>
      </c>
      <c r="M29">
        <f t="shared" ca="1" si="48"/>
        <v>0</v>
      </c>
      <c r="N29">
        <f t="shared" ca="1" si="49"/>
        <v>35382.934874895356</v>
      </c>
      <c r="O29">
        <f t="shared" ca="1" si="50"/>
        <v>14771.739587834794</v>
      </c>
      <c r="P29">
        <f ca="1">P20/$E$45*大附魔数值!$S$9</f>
        <v>1681.3333703241817</v>
      </c>
      <c r="Q29">
        <f ca="1">Q20/$E$47*大附魔数值!$S$10</f>
        <v>2664.0768847426898</v>
      </c>
      <c r="R29">
        <f t="shared" ca="1" si="51"/>
        <v>205.32191718267197</v>
      </c>
      <c r="S29">
        <f t="shared" ca="1" si="52"/>
        <v>314469.08374520246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135196.87073585507</v>
      </c>
      <c r="H30">
        <f t="shared" ca="1" si="45"/>
        <v>70246.287418206572</v>
      </c>
      <c r="I30">
        <f t="shared" ca="1" si="41"/>
        <v>43695.134646775987</v>
      </c>
      <c r="J30">
        <f t="shared" ca="1" si="46"/>
        <v>26360.166651173244</v>
      </c>
      <c r="K30">
        <f t="shared" ca="1" si="42"/>
        <v>27076.784011213189</v>
      </c>
      <c r="L30">
        <f t="shared" ca="1" si="47"/>
        <v>19777.727614491396</v>
      </c>
      <c r="M30">
        <f t="shared" ca="1" si="48"/>
        <v>0</v>
      </c>
      <c r="N30">
        <f t="shared" ca="1" si="49"/>
        <v>44418.373361270416</v>
      </c>
      <c r="O30">
        <f t="shared" ca="1" si="50"/>
        <v>18543.872816877101</v>
      </c>
      <c r="P30">
        <f ca="1">P21/$E$45*大附魔数值!$S$9</f>
        <v>2110.6811419651503</v>
      </c>
      <c r="Q30">
        <f ca="1">Q21/$E$47*大附魔数值!$S$10</f>
        <v>3344.3794910746774</v>
      </c>
      <c r="R30">
        <f t="shared" ca="1" si="51"/>
        <v>257.75322507637912</v>
      </c>
      <c r="S30">
        <f t="shared" ca="1" si="52"/>
        <v>512382.91866962868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99957.632528381422</v>
      </c>
      <c r="H31">
        <f t="shared" ca="1" si="45"/>
        <v>55957.020143578156</v>
      </c>
      <c r="I31">
        <f t="shared" ca="1" si="41"/>
        <v>32217.093027532275</v>
      </c>
      <c r="J31">
        <f t="shared" ca="1" si="46"/>
        <v>19162.437021253645</v>
      </c>
      <c r="K31">
        <f t="shared" ca="1" si="42"/>
        <v>19993.960522605852</v>
      </c>
      <c r="L31">
        <f t="shared" ca="1" si="47"/>
        <v>14475.963657038435</v>
      </c>
      <c r="M31">
        <f t="shared" ca="1" si="48"/>
        <v>0</v>
      </c>
      <c r="N31">
        <f t="shared" ca="1" si="49"/>
        <v>32140.01256942395</v>
      </c>
      <c r="O31">
        <f t="shared" ca="1" si="50"/>
        <v>13877.251104014285</v>
      </c>
      <c r="P31">
        <f ca="1">P22/$E$45*大附魔数值!$S$9</f>
        <v>1527.0327401308323</v>
      </c>
      <c r="Q31">
        <f ca="1">Q22/$E$47*大附魔数值!$S$10</f>
        <v>2419.7528361099316</v>
      </c>
      <c r="R31">
        <f t="shared" ca="1" si="51"/>
        <v>186.59794753336044</v>
      </c>
      <c r="S31">
        <f t="shared" ca="1" si="52"/>
        <v>291914.75409760221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124150.34868509028</v>
      </c>
      <c r="H32">
        <f t="shared" ca="1" si="45"/>
        <v>55957.020143578156</v>
      </c>
      <c r="I32">
        <f t="shared" ca="1" si="41"/>
        <v>40257.352353449874</v>
      </c>
      <c r="J32">
        <f ca="1">J24*$AC$39/$AD$37/$E$2*$D$22+J24*$AE$43/$AF$41/$E$2*$C$22</f>
        <v>29811.334779629604</v>
      </c>
      <c r="K32">
        <f t="shared" ca="1" si="42"/>
        <v>24737.026435213538</v>
      </c>
      <c r="L32">
        <f t="shared" ca="1" si="47"/>
        <v>17869.861999154447</v>
      </c>
      <c r="M32">
        <f t="shared" ca="1" si="48"/>
        <v>0</v>
      </c>
      <c r="N32">
        <f t="shared" ca="1" si="49"/>
        <v>40243.040071485746</v>
      </c>
      <c r="O32">
        <f t="shared" ca="1" si="50"/>
        <v>16111.166930875293</v>
      </c>
      <c r="P32">
        <f ca="1">P23/$E$45*大附魔数值!$S$9</f>
        <v>1912.4529139170552</v>
      </c>
      <c r="Q32">
        <f ca="1">Q23/$E$47*大附魔数值!$S$10</f>
        <v>3030.169309922816</v>
      </c>
      <c r="R32">
        <f t="shared" ca="1" si="51"/>
        <v>233.4078716566392</v>
      </c>
      <c r="S32">
        <f t="shared" ca="1" si="52"/>
        <v>354313.18149397348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153083.88248540665</v>
      </c>
      <c r="H33">
        <f t="shared" ca="1" si="45"/>
        <v>70246.287418206572</v>
      </c>
      <c r="I33">
        <f t="shared" ca="1" si="41"/>
        <v>49639.423989706745</v>
      </c>
      <c r="J33">
        <f t="shared" ca="1" si="46"/>
        <v>29811.334779629604</v>
      </c>
      <c r="K33">
        <f t="shared" ca="1" si="42"/>
        <v>30593.99958334451</v>
      </c>
      <c r="L33">
        <f t="shared" ca="1" si="47"/>
        <v>22319.509485854738</v>
      </c>
      <c r="M33">
        <f t="shared" ca="1" si="48"/>
        <v>0</v>
      </c>
      <c r="N33">
        <f t="shared" ca="1" si="49"/>
        <v>50519.562195958373</v>
      </c>
      <c r="O33">
        <f t="shared" ca="1" si="50"/>
        <v>20225.338303666893</v>
      </c>
      <c r="P33">
        <f ca="1">P24/$E$45*大附魔数值!$S$9</f>
        <v>2400.819713417528</v>
      </c>
      <c r="Q33">
        <f ca="1">Q24/$E$47*大附魔数值!$S$10</f>
        <v>3803.9578184203083</v>
      </c>
      <c r="R33">
        <f t="shared" ca="1" si="51"/>
        <v>293.01125034882375</v>
      </c>
      <c r="S33">
        <f t="shared" ca="1" si="52"/>
        <v>567298.43155495054</v>
      </c>
      <c r="T33" s="15">
        <f t="shared" ca="1" si="53"/>
        <v>0.31818181818181818</v>
      </c>
      <c r="U33">
        <f ca="1">(S48*T48+SUMPRODUCT(S27:S33,T27:T33))*(1+大附魔数值!$O$10*21/1024)</f>
        <v>385040.35770644643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60973.71084671159</v>
      </c>
      <c r="H34">
        <f ca="1">H18*2*$D$33/(5+2*$D$33)/$E$2</f>
        <v>41615.954962687931</v>
      </c>
      <c r="I34">
        <f ca="1">I18*2*$D$33/(5+2*$D$33)/$E$2</f>
        <v>19548.599414731158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37476.674041929233</v>
      </c>
      <c r="L34">
        <f ca="1">L18/(5+2*$D$33)/$E$2</f>
        <v>9127.5599243643046</v>
      </c>
      <c r="M34">
        <v>0</v>
      </c>
      <c r="N34">
        <f ca="1">N27</f>
        <v>27281.618677480252</v>
      </c>
      <c r="O34">
        <f ca="1">O27</f>
        <v>12537.823760973784</v>
      </c>
      <c r="P34">
        <f ca="1">P27</f>
        <v>1295.9131965379588</v>
      </c>
      <c r="Q34">
        <f ca="1">Q27</f>
        <v>2053.660410929805</v>
      </c>
      <c r="R34">
        <f ca="1">R27</f>
        <v>158.51199305939321</v>
      </c>
      <c r="S34">
        <f ca="1">SUM(G34:R34,AS34)</f>
        <v>212070.02722940539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44125.711794643437</v>
      </c>
      <c r="H35">
        <f ca="1">H18*$D$33/(4+$D$33)/$E$2</f>
        <v>30116.80951088883</v>
      </c>
      <c r="I35">
        <f ca="1">I18*$D$33/(4+$D$33)/$E$2</f>
        <v>14147.012733601461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17432.285588145533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13742.785363463438</v>
      </c>
      <c r="N35">
        <f ca="1">N27</f>
        <v>27281.618677480252</v>
      </c>
      <c r="O35">
        <f t="shared" ref="O35:R35" ca="1" si="57">O27</f>
        <v>12537.823760973784</v>
      </c>
      <c r="P35">
        <f t="shared" ca="1" si="57"/>
        <v>1295.9131965379588</v>
      </c>
      <c r="Q35">
        <f t="shared" ca="1" si="57"/>
        <v>2053.660410929805</v>
      </c>
      <c r="R35">
        <f t="shared" ca="1" si="57"/>
        <v>158.51199305939321</v>
      </c>
      <c r="S35">
        <f t="shared" ref="S35:S36" ca="1" si="58">SUM(G35:R35,AS35)</f>
        <v>162892.13302972389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88758.618935317703</v>
      </c>
      <c r="H36">
        <f ca="1">H25*$D$33*2/(3+2*$D$33)/$E$2</f>
        <v>55826.281051133694</v>
      </c>
      <c r="I36">
        <f ca="1">I25*$D$33*2/(3+2*$D$33)/$E$2</f>
        <v>28539.009854539898</v>
      </c>
      <c r="J36">
        <f ca="1">J25/(3+2*$D$33)/$E$2</f>
        <v>17997.1122309239</v>
      </c>
      <c r="K36">
        <f ca="1">K25/(3+2*$D$33)/$E$2</f>
        <v>18790.267653035691</v>
      </c>
      <c r="L36">
        <f ca="1">L25/(3+2*$D$33)/$E$2</f>
        <v>13249.018140280958</v>
      </c>
      <c r="M36">
        <v>0</v>
      </c>
      <c r="N36">
        <f ca="1">N25/E3</f>
        <v>29718.516494362193</v>
      </c>
      <c r="O36">
        <f ca="1">O25/F3</f>
        <v>13209.842815184295</v>
      </c>
      <c r="P36">
        <f ca="1">P25/$E$45*大附魔数值!$S$9</f>
        <v>1411.8375102012612</v>
      </c>
      <c r="Q36">
        <f ca="1">Q25/$E$47*大附魔数值!$S$10</f>
        <v>2237.3627031348865</v>
      </c>
      <c r="R36">
        <f ca="1">R25/45</f>
        <v>172.59272023518591</v>
      </c>
      <c r="S36">
        <f t="shared" ca="1" si="58"/>
        <v>269910.46010834968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0.25860701639722078</v>
      </c>
      <c r="H37" s="15">
        <f t="shared" ref="H37" ca="1" si="59">SUMPRODUCT(H38:H45,$S$38:$S$45)/$T$38</f>
        <v>0.14115247801716357</v>
      </c>
      <c r="I37" s="15">
        <f t="shared" ref="I37:Q37" ca="1" si="60">SUMPRODUCT(I38:I45,$S$38:$S$45)/$T$38</f>
        <v>8.3437218548423106E-2</v>
      </c>
      <c r="J37" s="15">
        <f t="shared" ca="1" si="60"/>
        <v>1.2642502723809828E-2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4.6504402690092636E-2</v>
      </c>
      <c r="O37" s="15">
        <f t="shared" ca="1" si="60"/>
        <v>1.9817302445486851E-2</v>
      </c>
      <c r="P37" s="15">
        <f t="shared" ca="1" si="60"/>
        <v>2.2095787372928225E-3</v>
      </c>
      <c r="Q37" s="15">
        <f t="shared" ca="1" si="60"/>
        <v>3.5012165049126379E-3</v>
      </c>
      <c r="R37">
        <v>0</v>
      </c>
      <c r="S37">
        <f ca="1">(S35*(4+D33)+S36*11)/(15+D33)</f>
        <v>234547.88246823658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154552.04028022478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101207.64502387997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49550.468262675058</v>
      </c>
      <c r="J38">
        <f ca="1">J18/$E$2*(3-属性开关!$X$37)/(3+2*$D$33)/(3+$D$33)</f>
        <v>7497.8449607734692</v>
      </c>
      <c r="N38">
        <f ca="1">N27</f>
        <v>27281.618677480252</v>
      </c>
      <c r="O38">
        <f ca="1">O27</f>
        <v>12537.823760973784</v>
      </c>
      <c r="P38">
        <f ca="1">P27</f>
        <v>1295.9131965379588</v>
      </c>
      <c r="Q38">
        <f ca="1">Q27</f>
        <v>2053.660410929805</v>
      </c>
      <c r="R38">
        <f ca="1">SUM(G38:Q38,AS38,AU18*属性开关!$X$37)*IF(COUNTIF(F38,"*雷*")&gt;0,$B$21/$D$21,1)*(1+大附魔数值!$O$10*21/1024)</f>
        <v>412307.46325543878</v>
      </c>
      <c r="S38" s="36">
        <f t="shared" ref="S38:S45" ca="1" si="61">T27</f>
        <v>0.45454545454545447</v>
      </c>
      <c r="T38">
        <f ca="1">SUMPRODUCT(S38:S46,R38:R46)</f>
        <v>612310.66885236849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190570.76055541617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127052.17867258443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61098.322646363842</v>
      </c>
      <c r="J39">
        <f ca="1">J19/$E$2*(3-属性开关!$X$37)/(3+2*$D$33)/(3+$D$33)</f>
        <v>9412.5057192147615</v>
      </c>
      <c r="N39">
        <f t="shared" ref="N39:Q45" ca="1" si="63">N28</f>
        <v>34248.293099505368</v>
      </c>
      <c r="O39">
        <f t="shared" ca="1" si="63"/>
        <v>15739.50094648242</v>
      </c>
      <c r="P39">
        <f t="shared" ca="1" si="63"/>
        <v>1626.8395035953249</v>
      </c>
      <c r="Q39">
        <f t="shared" ca="1" si="63"/>
        <v>2578.0861653356533</v>
      </c>
      <c r="R39">
        <f ca="1">SUM(G39:Q39,AS39,AU19*属性开关!$X$37)*IF(COUNTIF(F39,"*雷*")&gt;0,$B$21/$D$21,1)*(1+大附魔数值!$O$10*21/1024)</f>
        <v>672263.1430233093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198308.32781473477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101207.64502387997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64092.52698142358</v>
      </c>
      <c r="J40">
        <f ca="1">J20/$E$2*(3-属性开关!$X$37)/(3+2*$D$33)/(3+$D$33)</f>
        <v>9592.1080953065812</v>
      </c>
      <c r="N40">
        <f t="shared" ca="1" si="63"/>
        <v>35382.934874895356</v>
      </c>
      <c r="O40">
        <f t="shared" ca="1" si="63"/>
        <v>14771.739587834794</v>
      </c>
      <c r="P40">
        <f t="shared" ca="1" si="63"/>
        <v>1681.3333703241817</v>
      </c>
      <c r="Q40">
        <f t="shared" ca="1" si="63"/>
        <v>2664.0768847426898</v>
      </c>
      <c r="R40">
        <f ca="1">SUM(G40:Q40,AS40,AU20*属性开关!$X$37)*IF(COUNTIF(F40,"*雷*")&gt;0,$B$21/$D$21,1)*(1+大附魔数值!$O$10*21/1024)</f>
        <v>500662.50407310046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244524.55488523445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127052.17867258443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79029.442708245144</v>
      </c>
      <c r="J41">
        <f ca="1">J21/$E$2*(3-属性开关!$X$37)/(3+2*$D$33)/(3+$D$33)</f>
        <v>12041.56297959589</v>
      </c>
      <c r="N41">
        <f t="shared" ca="1" si="63"/>
        <v>44418.373361270416</v>
      </c>
      <c r="O41">
        <f t="shared" ca="1" si="63"/>
        <v>18543.872816877101</v>
      </c>
      <c r="P41">
        <f t="shared" ca="1" si="63"/>
        <v>2110.6811419651503</v>
      </c>
      <c r="Q41">
        <f t="shared" ca="1" si="63"/>
        <v>3344.3794910746774</v>
      </c>
      <c r="R41">
        <f ca="1">SUM(G41:Q41,AS41,AU21*属性开关!$X$37)*IF(COUNTIF(F41,"*雷*")&gt;0,$B$21/$D$21,1)*(1+大附魔数值!$O$10*21/1024)</f>
        <v>815899.50281656825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180788.91521933797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101207.64502387997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58269.620364550778</v>
      </c>
      <c r="J42">
        <f ca="1">J22/$E$2*(3-属性开关!$X$37)/(3+2*$D$33)/(3+$D$33)</f>
        <v>8753.5748649637462</v>
      </c>
      <c r="N42">
        <f t="shared" ca="1" si="63"/>
        <v>32140.01256942395</v>
      </c>
      <c r="O42">
        <f t="shared" ca="1" si="63"/>
        <v>13877.251104014285</v>
      </c>
      <c r="P42">
        <f t="shared" ca="1" si="63"/>
        <v>1527.0327401308323</v>
      </c>
      <c r="Q42">
        <f t="shared" ca="1" si="63"/>
        <v>2419.7528361099316</v>
      </c>
      <c r="R42">
        <f ca="1">SUM(G42:Q42,AS42,AU22*属性开关!$X$37)*IF(COUNTIF(F42,"*雷*")&gt;0,$B$21/$D$21,1)*(1+大附魔数值!$O$10*21/1024)</f>
        <v>465286.37414702598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224545.20275384793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101207.64502387997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72811.679083299299</v>
      </c>
      <c r="J43">
        <f ca="1">J23/$E$2*(3-属性开关!$X$37)/(3+2*$D$33)/(3+$D$33)</f>
        <v>10847.941496563053</v>
      </c>
      <c r="N43">
        <f t="shared" ca="1" si="63"/>
        <v>40243.040071485746</v>
      </c>
      <c r="O43">
        <f t="shared" ca="1" si="63"/>
        <v>16111.166930875293</v>
      </c>
      <c r="P43">
        <f t="shared" ca="1" si="63"/>
        <v>1912.4529139170552</v>
      </c>
      <c r="Q43">
        <f t="shared" ca="1" si="63"/>
        <v>3030.169309922816</v>
      </c>
      <c r="R43">
        <f ca="1">SUM(G43:Q43,AS43,AU23*属性开关!$X$37)*IF(COUNTIF(F43,"*雷*")&gt;0,$B$21/$D$21,1)*(1+大附魔数值!$O$10*21/1024)</f>
        <v>553643.2297664003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276875.99587998592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127052.17867258443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89780.613928243692</v>
      </c>
      <c r="J44">
        <f ca="1">J24/$E$2*(3-属性开关!$X$37)/(3+2*$D$33)/(3+$D$33)</f>
        <v>13618.087852215833</v>
      </c>
      <c r="N44">
        <f t="shared" ca="1" si="63"/>
        <v>50519.562195958373</v>
      </c>
      <c r="O44">
        <f t="shared" ca="1" si="63"/>
        <v>20225.338303666893</v>
      </c>
      <c r="P44">
        <f t="shared" ca="1" si="63"/>
        <v>2400.819713417528</v>
      </c>
      <c r="Q44">
        <f t="shared" ca="1" si="63"/>
        <v>3803.9578184203083</v>
      </c>
      <c r="R44">
        <f ca="1">SUM(G44:Q44,AS44,AU24*属性开关!$X$37)*IF(COUNTIF(F44,"*雷*")&gt;0,$B$21/$D$21,1)*(1+大附魔数值!$O$10*21/1024)</f>
        <v>902028.8602255783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167711.87682468368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101207.64502387997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53925.252137046416</v>
      </c>
      <c r="J45">
        <f ca="1">J25/$E$2*(3-属性开关!$X$37)/(3+2*$D$33)/(3+$D$33)</f>
        <v>8127.7281056594857</v>
      </c>
      <c r="N45">
        <f ca="1">N34</f>
        <v>27281.618677480252</v>
      </c>
      <c r="O45">
        <f t="shared" ca="1" si="63"/>
        <v>12537.823760973784</v>
      </c>
      <c r="P45">
        <f t="shared" ca="1" si="63"/>
        <v>1295.9131965379588</v>
      </c>
      <c r="Q45">
        <f t="shared" ca="1" si="63"/>
        <v>2053.660410929805</v>
      </c>
      <c r="R45">
        <f ca="1">SUM(G45:Q45,AS45,AU22*属性开关!$X$37)*IF(COUNTIF(F45,"*雷*")&gt;0,$B$21/$D$21,1)*(1+大附魔数值!$O$10*21/1024)</f>
        <v>440444.08756180579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222922.20155016758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127052.17867258443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71849.493866362391</v>
      </c>
      <c r="J46">
        <f ca="1">J47/$E$2*(3-属性开关!X37)/(3+2*$D$33)/(3+$D$33)</f>
        <v>10988.900665604886</v>
      </c>
      <c r="N46">
        <f ca="1">N48</f>
        <v>40347.333628265616</v>
      </c>
      <c r="O46">
        <f t="shared" ref="O46:Q46" ca="1" si="65">O48</f>
        <v>17420.96643327221</v>
      </c>
      <c r="P46">
        <f t="shared" ca="1" si="65"/>
        <v>1916.9780750477032</v>
      </c>
      <c r="Q46">
        <f t="shared" ca="1" si="65"/>
        <v>3037.6644926812851</v>
      </c>
      <c r="R46">
        <f ca="1">SUM(G46:Q46,AS46,AU25*属性开关!$X$37)*IF(COUNTIF(F46,"*雷*")&gt;0,$B$21/$D$21,1)*(1+大附魔数值!$O$10*21/1024)</f>
        <v>758389.51515466801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342223.90415621211</v>
      </c>
      <c r="H47">
        <f ca="1">INT(H$6*$E26+H$7*($C$8+$C$9)/2+H$8)*(H$14+H$15)*$D$21*IF(COUNTIF($F47,"*雷*")&gt;0,H$17*(H$13*0.25+H$16*(H$10+属性开关!$X$56)+1-H$16-H$13-H$12),H$11*(H$13*0.25+H$9*H$10+1-H$9-H$13-H$12))</f>
        <v>203290.8332109036</v>
      </c>
      <c r="I47">
        <f ca="1">INT(I$6*$E26+I$7*($C$8+$C$9)/2+I$8)*(I$14+I$15)*$D$21*IF(COUNTIF($F47,"*雷*")&gt;0,I$17*(I$13*0.25+I$16*(I$10+属性开关!$X$56)+1-I$16-I$13-I$12),I$11*(I$13*0.25+I$9*I$10+1-I$9-I$13-I$12))</f>
        <v>110301.3254472135</v>
      </c>
      <c r="J47">
        <f ca="1">INT(J$6*$E26+J$7*($C$8+$C$9)/2+J$8)*(J$14+J$15)*$D$21*IF(COUNTIF($F47,"*雷*")&gt;0,J$17*(J$13*0.25+J$16*(J$10+属性开关!$X$56)+1-J$16-J$13-J$12),J$11*(J$13*0.25+J$9*J$10+1-J$9-J$13-J$12))</f>
        <v>201664.82884888328</v>
      </c>
      <c r="K47">
        <f ca="1">INT(K$6*$E26+K$7*($C$8+$C$9)/2+K$8)*(K$14+K$15)*$D$21*IF(COUNTIF($F47,"*雷*")&gt;0,K$17*(K$13*0.25+K$16*(K$10+属性开关!$X$56)+1-K$16-K$13-K$12),K$11*(K$13*0.25+K$9*K$10+1-K$9-K$13-K$12))</f>
        <v>207299.48251023312</v>
      </c>
      <c r="L47">
        <f ca="1">INT(L$6*$E26+L$7*($C$8+$C$9)/2+L$8)*(L$14+L$15)*$D$21*IF(COUNTIF($F47,"*雷*")&gt;0,L$17*(L$13*0.25+L$16*(L$10+属性开关!$X$56)+1-L$16-L$13-L$12),L$11*(L$13*0.25+L$9*L$10+1-L$9-L$13-L$12))</f>
        <v>147480.4302935389</v>
      </c>
      <c r="M47">
        <f ca="1">INT(M$6*$E26+M$7*($C$8+$C$9)/2+M$8)*(M$14+M$15)*$D$21*IF(COUNTIF($F47,"*雷*")&gt;0,M$17*(M$13*0.25+M$16*(M$10+属性开关!$X$56)+1-M$16-M$13-M$12),M$11*(M$13*0.25+M$9*M$10+1-M$9-M$13-M$12))</f>
        <v>63874.855958398177</v>
      </c>
      <c r="N47">
        <f ca="1">INT(N$6*$E26+N$7*($C$8+$C$9)/2+N$8)*(N$14+N$15)*$D$21*IF(COUNTIF($F47,"*雷*")&gt;0,N$17*(N$13*0.25+N$16*(N$10+属性开关!$X$56)+1-N$16-N$13-N$12),N$11*(N$13*0.25+N$9*N$10+1-N$9-N$13-N$12))</f>
        <v>75651.250552998026</v>
      </c>
      <c r="O47">
        <f ca="1">INT(O$6*$E26+O$7*($C$8+$C$9)/2+O$8)*(O$14+O$15)*$D$21*IF(COUNTIF($F47,"*雷*")&gt;0,O$17*(O$13*0.25+O$16*(O$10+属性开关!$X$56)+1-O$16-O$13-O$12),O$11*(O$13*0.25+O$9*O$10+1-O$9-O$13-O$12))</f>
        <v>28309.070454067343</v>
      </c>
      <c r="P47">
        <f ca="1">INT(P$6*$E26+P$7*($C$8+$C$9)/2+P$8)*(P$14+P$15)*$D$21*IF(COUNTIF($F47,"*雷*")&gt;0,P$17*(P$13*0.25+P$16*(P$10+属性开关!$X$56)+1-P$16-P$13-P$12),P$11*(P$13*0.25+P$9*P$10+1-P$9-P$13-P$12))</f>
        <v>46401.394001664485</v>
      </c>
      <c r="Q47">
        <f ca="1">INT(Q$6*$E26+Q$7*($C$8+$C$9)/2+Q$8)*(Q$14+Q$15)*$D$21*IF(COUNTIF($F47,"*雷*")&gt;0,Q$17*(Q$13*0.25+Q$16*(Q$10+属性开关!$X$56)+1-Q$16-Q$13-Q$12),Q$11*(Q$13*0.25+Q$9*Q$10+1-Q$9-Q$13-Q$12))</f>
        <v>37140.852762042399</v>
      </c>
      <c r="R47">
        <f ca="1">INT(R$6*$E26+R$7*($C$8+$C$9)/2+R$8)*(R$14+R$15)*$D$21*IF(COUNTIF($F47,"*雷*")&gt;0,R$17*(R$13*0.25+R$16*(R$10+属性开关!$X$56)+1-R$16-R$13-R$12),R$11*(R$13*0.25+R$9*R$10+1-R$9-R$13-R$12))</f>
        <v>10541.154370263725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123252.99633517554</v>
      </c>
      <c r="H48">
        <f ca="1">(H47*$AD$38)/$AD$37/$E$2*$D$22+(H47*$AE$42)/$AF$41/$E$2*$C$22</f>
        <v>73215.821619757713</v>
      </c>
      <c r="I48">
        <f ca="1">(I47*$AD$38)/$AD$37/$E$2*$D$22+(I47*$AE$42)/$AF$41/$E$2*$C$22</f>
        <v>39725.36312046989</v>
      </c>
      <c r="J48">
        <f ca="1">J47*$AC$39/$AD$37/$E$2*$D$22+J47*$AE$43/$AF$41/$E$2*$C$22</f>
        <v>24055.785228991477</v>
      </c>
      <c r="K48">
        <f ca="1">K47*$AC$40/$AD$37/$E$2*$D$22+K47*$AE$44/$AF$41/$E$2*$C$22</f>
        <v>24727.920370706015</v>
      </c>
      <c r="L48">
        <f ca="1">L47*$AC$37/$AD$37/$E$2*$D$22+L47*$AE$41/$AF$41/$E$2*$C$22</f>
        <v>18080.520609249576</v>
      </c>
      <c r="M48">
        <f ca="1">M47*$AE$41/$AF$41/$E$2*$C$22</f>
        <v>0</v>
      </c>
      <c r="N48">
        <f ca="1">N47/$E$3</f>
        <v>40347.333628265616</v>
      </c>
      <c r="O48">
        <f ca="1">O47/$F$3</f>
        <v>17420.96643327221</v>
      </c>
      <c r="P48">
        <f ca="1">P47/$E$45*大附魔数值!$S$9</f>
        <v>1916.9780750477032</v>
      </c>
      <c r="Q48">
        <f ca="1">Q47/$E$47*大附魔数值!$S$10</f>
        <v>3037.6644926812851</v>
      </c>
      <c r="R48">
        <f ca="1">R47/45</f>
        <v>234.24787489474943</v>
      </c>
      <c r="S48">
        <f ca="1">SUM(G48:R48,AS48)*IF(COUNTIF(F48,"*雷*")&gt;0,$B$21/$D$21,1)</f>
        <v>479607.91900062346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55957.020143578156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92047.103811222289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55957.020143578156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92047.103811222289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55957.020143578156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55957.020143578156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92047.103811222289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95938.227925637897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101207.64502387997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127052.17867258443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101207.64502387997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127052.17867258443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101207.64502387997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101207.64502387997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127052.17867258443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101207.64502387997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127052.17867258443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22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96"/>
  <sheetViews>
    <sheetView topLeftCell="Q17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29" max="29" width="20.36328125" bestFit="1" customWidth="1"/>
    <col min="30" max="30" width="12.81640625" bestFit="1" customWidth="1"/>
    <col min="45" max="46" width="12.6328125" customWidth="1"/>
    <col min="47" max="47" width="11.54296875" customWidth="1"/>
    <col min="54" max="58" width="12.81640625" customWidth="1"/>
    <col min="59" max="59" width="9.453125" bestFit="1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20752.958776025291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126749.19265670721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236957.3132850189</v>
      </c>
      <c r="U7">
        <f ca="1">INT(I$6*($E18+$E$19)/2+I$7*($C$8+$C$9)/2+I$8)*(I$14+I$15)*$D$21*IF(COUNTIF($S7,"*雷*")&gt;0,I$17*(I$13*0.25+I$9*I$10+1-I$9-I$13-I$12),I$11*(I$13*0.25+I$9*I$10+1-I$9-I$13-I$12))</f>
        <v>75970.176843019042</v>
      </c>
      <c r="V7">
        <f ca="1">INT(J$6*($E18+$E$19)/2+J$7*($C$8+$C$9)/2+J$8)*(J$14+J$15)*$D$21*IF(COUNTIF($S7,"*雷*")&gt;0,J$17*(J$13*0.25+J$9*J$10+1-J$9-J$13-J$12),J$11*(J$13*0.25+J$9*J$10+1-J$9-J$13-J$12))</f>
        <v>137587.30322285142</v>
      </c>
      <c r="W7">
        <f ca="1">INT(K$6*($E18+$E$19)/2+K$7*($C$8+$C$9)/2+K$8)*(K$14+K$15)*$D$21*IF(COUNTIF($S7,"*雷*")&gt;0,K$17*(K$13*0.25+K$9*K$10+1-K$9-K$13-K$12),K$11*(K$13*0.25+K$9*K$10+1-K$9-K$13-K$12))</f>
        <v>143607.36058748598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534125.60981206724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1.3706190975865686</v>
      </c>
      <c r="H11" s="21">
        <f ca="1">O11</f>
        <v>1.3706190975865686</v>
      </c>
      <c r="I11" s="21">
        <f ca="1">G11</f>
        <v>1.3706190975865686</v>
      </c>
      <c r="J11" s="21">
        <f ca="1">$C$12+1</f>
        <v>1.3706190975865686</v>
      </c>
      <c r="K11" s="21">
        <f ca="1">$C$12+1</f>
        <v>1.3706190975865686</v>
      </c>
      <c r="L11" s="21">
        <f t="shared" ref="L11" ca="1" si="21">$C$12+1</f>
        <v>1.3706190975865686</v>
      </c>
      <c r="M11" s="21">
        <f t="shared" ca="1" si="6"/>
        <v>1.3706190975865686</v>
      </c>
      <c r="N11" s="21">
        <f ca="1">C12+1</f>
        <v>1.3706190975865686</v>
      </c>
      <c r="O11" s="21">
        <f t="shared" ca="1" si="13"/>
        <v>1.3706190975865686</v>
      </c>
      <c r="P11" s="21">
        <f ca="1">O11</f>
        <v>1.3706190975865686</v>
      </c>
      <c r="Q11" s="21">
        <f t="shared" ca="1" si="7"/>
        <v>1.3706190975865686</v>
      </c>
      <c r="R11" s="21">
        <f ca="1">Q11</f>
        <v>1.3706190975865686</v>
      </c>
      <c r="AL11" s="34"/>
      <c r="AM11">
        <f ca="1">G33+H33+I33+J33+K33+L33</f>
        <v>354707.6807436698</v>
      </c>
      <c r="AR11" s="21">
        <f t="shared" ca="1" si="9"/>
        <v>1.3706190975865686</v>
      </c>
      <c r="AS11" s="21">
        <f ca="1">($C$12+1)*AS4</f>
        <v>0</v>
      </c>
      <c r="AT11" s="22">
        <f t="shared" ca="1" si="14"/>
        <v>1.3706190975865686</v>
      </c>
      <c r="AU11" s="22">
        <f t="shared" ca="1" si="15"/>
        <v>1.3706190975865686</v>
      </c>
      <c r="AV11" s="21">
        <f t="shared" ca="1" si="10"/>
        <v>1.3706190975865686</v>
      </c>
      <c r="AX11" s="21">
        <f t="shared" ca="1" si="11"/>
        <v>1.3706190975865686</v>
      </c>
      <c r="AZ11" s="21">
        <f t="shared" ca="1" si="11"/>
        <v>1.3706190975865686</v>
      </c>
      <c r="BB11" s="21">
        <f t="shared" ca="1" si="16"/>
        <v>1.3706190975865686</v>
      </c>
      <c r="BC11" s="21">
        <f t="shared" ca="1" si="17"/>
        <v>1.3706190975865686</v>
      </c>
      <c r="BD11" s="21">
        <f t="shared" ca="1" si="12"/>
        <v>1.3706190975865686</v>
      </c>
      <c r="BE11" s="21">
        <f t="shared" ca="1" si="18"/>
        <v>1.3706190975865686</v>
      </c>
      <c r="BF11" s="21">
        <f t="shared" ca="1" si="18"/>
        <v>1.3706190975865686</v>
      </c>
      <c r="BG11" s="21">
        <f ca="1">$C$12+1</f>
        <v>1.3706190975865686</v>
      </c>
      <c r="BH11">
        <f t="shared" ca="1" si="5"/>
        <v>1.3706190975865686</v>
      </c>
      <c r="CA11" s="21">
        <f t="shared" ca="1" si="19"/>
        <v>1.3706190975865686</v>
      </c>
      <c r="CB11" s="21">
        <f t="shared" ca="1" si="20"/>
        <v>1.3706190975865686</v>
      </c>
      <c r="CC11">
        <f t="shared" ca="1" si="2"/>
        <v>1.3706190975865686</v>
      </c>
      <c r="CD11">
        <f t="shared" ca="1" si="2"/>
        <v>1.3706190975865686</v>
      </c>
      <c r="CE11">
        <f t="shared" ca="1" si="0"/>
        <v>1.3706190975865686</v>
      </c>
      <c r="CF11">
        <f t="shared" ca="1" si="0"/>
        <v>1.3706190975865686</v>
      </c>
      <c r="CG11">
        <f t="shared" ca="1" si="3"/>
        <v>1.3706190975865686</v>
      </c>
      <c r="CH11">
        <f t="shared" ca="1" si="1"/>
        <v>1.3706190975865686</v>
      </c>
      <c r="CI11">
        <f t="shared" ca="1" si="4"/>
        <v>1.3706190975865686</v>
      </c>
      <c r="CN11" s="21">
        <f ca="1">$R$11</f>
        <v>1.3706190975865686</v>
      </c>
      <c r="CO11" s="21">
        <v>1</v>
      </c>
      <c r="CP11" s="21">
        <v>1</v>
      </c>
      <c r="CQ11" s="21">
        <f t="shared" ref="CQ11" ca="1" si="22">$R$11</f>
        <v>1.3706190975865686</v>
      </c>
    </row>
    <row r="12" spans="2:95" x14ac:dyDescent="0.35">
      <c r="B12" t="s">
        <v>20</v>
      </c>
      <c r="C12" s="21">
        <f ca="1">((属性开关!K31+属性开关!$AJ$26*(1+属性开关!K40/1024))/属性开关!U25)</f>
        <v>0.37061909758656875</v>
      </c>
      <c r="D12" s="22">
        <f ca="1">((属性开关!K32+属性开关!$AJ$26*(1+属性开关!K40/1024))/属性开关!U25)</f>
        <v>0.37061909758656875</v>
      </c>
      <c r="E12">
        <f ca="1">D12*属性开关!U25</f>
        <v>29139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462180.71342982556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302224.24074956158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1.3706190975865686</v>
      </c>
      <c r="H17" s="22">
        <f ca="1">$D$12+1</f>
        <v>1.3706190975865686</v>
      </c>
      <c r="I17" s="21">
        <f ca="1">G17</f>
        <v>1.3706190975865686</v>
      </c>
      <c r="J17" s="22">
        <f ca="1">$D$12+1</f>
        <v>1.3706190975865686</v>
      </c>
      <c r="K17" s="22">
        <f ca="1">$D$12+1</f>
        <v>1.3706190975865686</v>
      </c>
      <c r="L17" s="21">
        <f ca="1">$D$12+1</f>
        <v>1.3706190975865686</v>
      </c>
      <c r="M17" s="21">
        <f ca="1">$D$12+1</f>
        <v>1.3706190975865686</v>
      </c>
      <c r="N17" s="22">
        <f ca="1">D12+1</f>
        <v>1.3706190975865686</v>
      </c>
      <c r="O17" s="22">
        <f ca="1">N17</f>
        <v>1.3706190975865686</v>
      </c>
      <c r="P17" s="22">
        <f t="shared" ref="P17:R17" ca="1" si="30">O17</f>
        <v>1.3706190975865686</v>
      </c>
      <c r="Q17" s="22">
        <f t="shared" ca="1" si="30"/>
        <v>1.3706190975865686</v>
      </c>
      <c r="R17" s="22">
        <f t="shared" ca="1" si="30"/>
        <v>1.3706190975865686</v>
      </c>
      <c r="AR17" s="21">
        <f ca="1">AT17</f>
        <v>1.3706190975865686</v>
      </c>
      <c r="AS17" s="22">
        <f ca="1">($D$12+1)*AS4</f>
        <v>0</v>
      </c>
      <c r="AT17" s="22">
        <f t="shared" ca="1" si="14"/>
        <v>1.3706190975865686</v>
      </c>
      <c r="AU17" s="22">
        <f t="shared" ca="1" si="15"/>
        <v>1.3706190975865686</v>
      </c>
      <c r="AV17" s="22">
        <f ca="1">P17</f>
        <v>1.3706190975865686</v>
      </c>
      <c r="AX17" s="21">
        <f t="shared" ca="1" si="11"/>
        <v>1.3706190975865686</v>
      </c>
      <c r="AZ17" s="21">
        <f t="shared" ca="1" si="11"/>
        <v>1.3706190975865686</v>
      </c>
      <c r="BB17" s="21">
        <f ca="1">AV17</f>
        <v>1.3706190975865686</v>
      </c>
      <c r="BC17" s="21">
        <f ca="1">AV17</f>
        <v>1.3706190975865686</v>
      </c>
      <c r="BD17" s="21">
        <f t="shared" ca="1" si="12"/>
        <v>1.3706190975865686</v>
      </c>
      <c r="BE17" s="21">
        <f t="shared" ca="1" si="18"/>
        <v>1.3706190975865686</v>
      </c>
      <c r="BF17" s="21">
        <f t="shared" ca="1" si="18"/>
        <v>1.3706190975865686</v>
      </c>
      <c r="BG17" s="22">
        <f ca="1">$D$12+1</f>
        <v>1.3706190975865686</v>
      </c>
      <c r="BH17" s="21">
        <f ca="1">BG17</f>
        <v>1.3706190975865686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1.3706190975865686</v>
      </c>
      <c r="CB17" s="21">
        <f t="shared" ca="1" si="20"/>
        <v>1.3706190975865686</v>
      </c>
      <c r="CC17">
        <f t="shared" ca="1" si="2"/>
        <v>1.3706190975865686</v>
      </c>
      <c r="CD17">
        <f t="shared" ca="1" si="2"/>
        <v>1.3706190975865686</v>
      </c>
      <c r="CE17">
        <f t="shared" ca="1" si="27"/>
        <v>1.3706190975865686</v>
      </c>
      <c r="CF17">
        <f t="shared" ca="1" si="27"/>
        <v>1.3706190975865686</v>
      </c>
      <c r="CG17">
        <f t="shared" ca="1" si="3"/>
        <v>1.3706190975865686</v>
      </c>
      <c r="CH17">
        <f ca="1">N17</f>
        <v>1.3706190975865686</v>
      </c>
      <c r="CI17">
        <f t="shared" ca="1" si="4"/>
        <v>1.3706190975865686</v>
      </c>
      <c r="CN17" s="21">
        <f ca="1">$R$17</f>
        <v>1.3706190975865686</v>
      </c>
      <c r="CO17" s="21">
        <f t="shared" ref="CO17:CQ17" ca="1" si="31">$R$17</f>
        <v>1.3706190975865686</v>
      </c>
      <c r="CP17" s="21">
        <f t="shared" ca="1" si="31"/>
        <v>1.3706190975865686</v>
      </c>
      <c r="CQ17" s="21">
        <f t="shared" ca="1" si="31"/>
        <v>1.3706190975865686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236957.3132850189</v>
      </c>
      <c r="H18">
        <f ca="1">INT(H$6*$E18+H$7*($C$8+$C$9)/2+H$8)*(H$14+H$15)*$D$21*IF(COUNTIF($F18,"*雷*")&gt;0,H$17*(H$13*0.25+H$16*(H$10+属性开关!$X$56)+1-H$16-H$13-H$12),H$11*(H$13*0.25+H$9*H$10+1-H$9-H$13-H$12))</f>
        <v>161925.40300017479</v>
      </c>
      <c r="I18">
        <f ca="1">INT(I$6*$E18+I$7*($C$8+$C$9)/2+I$8)*(I$14+I$15)*$D$21*IF(COUNTIF($F18,"*雷*")&gt;0,I$17*(I$13*0.25+I$16*(I$10+属性开关!$X$56)+1-I$16-I$13-I$12),I$11*(I$13*0.25+I$9*I$10+1-I$9-I$13-I$12))</f>
        <v>75970.176843019042</v>
      </c>
      <c r="J18">
        <f ca="1">INT(J$6*$E18+J$7*($C$8+$C$9)/2+J$8)*(J$14+J$15)*$D$21*IF(COUNTIF($F18,"*雷*")&gt;0,J$17*(J$13*0.25+J$16*(J$10+属性开关!$X$56)+1-J$16-J$13-J$12),J$11*(J$13*0.25+J$9*J$10+1-J$9-J$13-J$12))</f>
        <v>137587.30322285142</v>
      </c>
      <c r="K18">
        <f ca="1">INT(K$6*$E18+K$7*($C$8+$C$9)/2+K$8)*(K$14+K$15)*$D$21*IF(COUNTIF($F18,"*雷*")&gt;0,K$17*(K$13*0.25+K$16*(K$10+属性开关!$X$56)+1-K$16-K$13-K$12),K$11*(K$13*0.25+K$9*K$10+1-K$9-K$13-K$12))</f>
        <v>143607.36058748598</v>
      </c>
      <c r="L18">
        <f ca="1">INT(L$6*$E18+L$7*($C$8+$C$9)/2+L$8)*(L$14+L$15)*$D$21*IF(COUNTIF($F18,"*雷*")&gt;0,L$17*(L$13*0.25+L$16*(L$10+属性开关!$X$56)+1-L$16-L$13-L$12),L$11*(L$13*0.25+L$9*L$10+1-L$9-L$13-L$12))</f>
        <v>101442.30966047157</v>
      </c>
      <c r="M18">
        <f ca="1">INT(M$6*$E18+M$7*($C$8+$C$9)/2+M$8)*(M$14+M$15)*$D$21*IF(COUNTIF($F18,"*雷*")&gt;0,M$17*(M$13*0.25+M$16*(M$10+属性开关!$X$56)+1-M$16-M$13-M$12),M$11*(M$13*0.25+M$9*M$10+1-M$9-M$13-M$12))</f>
        <v>43698.0233895485</v>
      </c>
      <c r="N18">
        <f ca="1">INT(N$6*$E18+N$7*($C$8+$C$9)/2+N$8)*(N$14+N$15)*$D$21*IF(COUNTIF($F18,"*雷*")&gt;0,N$17*(N$13*0.25+N$16*(N$10+属性开关!$X$56)+1-N$16-N$13-N$12),N$11*(N$13*0.25+N$9*N$10+1-N$9-N$13-N$12))</f>
        <v>51149.029090002397</v>
      </c>
      <c r="O18">
        <f ca="1">INT(O$6*$E18+O$7*($C$8+$C$9)/2+O$8)*(O$14+O$15)*$D$21*IF(COUNTIF($F18,"*雷*")&gt;0,O$17*(O$13*0.25+O$16*(O$10+属性开关!$X$56)+1-O$16-O$13-O$12),O$11*(O$13*0.25+O$9*O$10+1-O$9-O$13-O$12))</f>
        <v>20372.368072283865</v>
      </c>
      <c r="P18">
        <f ca="1">INT(P$6*$E18+P$7*($C$8+$C$9)/2+P$8)*(P$14+P$15)*$D$21*IF(COUNTIF($F18,"*雷*")&gt;0,P$17*(P$13*0.25+P$16*(P$10+属性开关!$X$56)+1-P$16-P$13-P$12),P$11*(P$13*0.25+P$9*P$10+1-P$9-P$13-P$12))</f>
        <v>31365.757645456248</v>
      </c>
      <c r="Q18">
        <f ca="1">INT(Q$6*$E18+Q$7*($C$8+$C$9)/2+Q$8)*(Q$14+Q$15)*$D$21*IF(COUNTIF($F18,"*雷*")&gt;0,Q$17*(Q$13*0.25+Q$16*(Q$10+属性开关!$X$56)+1-Q$16-Q$13-Q$12),Q$11*(Q$13*0.25+Q$9*Q$10+1-Q$9-Q$13-Q$12))</f>
        <v>25107.685807540696</v>
      </c>
      <c r="R18">
        <f ca="1">INT(R$6*$E18+R$7*($C$8+$C$9)/2+R$8)*(R$14+R$15)*$D$21*IF(COUNTIF($F18,"*雷*")&gt;0,R$17*(R$13*0.25+R$16*(R$10+属性开关!$X$56)+1-R$16-R$13-R$12),R$11*(R$13*0.25+R$9*R$10+1-R$9-R$13-R$12))</f>
        <v>7132.4810803561868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25397.107840334556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56326.037294651498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69457.719821147679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56262.77844874742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151422.1488323001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69605.473945725389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62739.057549619771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188373.22756695261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8277.3066552404161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14062.346762162195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152204.17834507162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196563.81248593004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147041.28732769433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63340.568983305209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197425.29325110593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148614.68071832714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21082.714452468939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77156.584433601645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29699.066661365381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9243.9665180491702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2366782.1283424897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291688.97309426841</v>
      </c>
      <c r="H19">
        <f ca="1">INT(H$6*$E19+H$7*($C$8+$C$9)/2+H$8)*(H$14+H$15)*$D$21*IF(COUNTIF($F19,"*雷*")&gt;0,H$17*(H$13*0.25+H$16*(H$10+属性开关!$X$56)+1-H$16-H$13-H$12),H$11*(H$13*0.25+H$9*H$10+1-H$9-H$13-H$12))</f>
        <v>202806.03806403989</v>
      </c>
      <c r="I19">
        <f ca="1">INT(I$6*$E19+I$7*($C$8+$C$9)/2+I$8)*(I$14+I$15)*$D$21*IF(COUNTIF($F19,"*雷*")&gt;0,I$17*(I$13*0.25+I$16*(I$10+属性开关!$X$56)+1-I$16-I$13-I$12),I$11*(I$13*0.25+I$9*I$10+1-I$9-I$13-I$12))</f>
        <v>93517.530908514032</v>
      </c>
      <c r="J19">
        <f ca="1">INT(J$6*$E19+J$7*($C$8+$C$9)/2+J$8)*(J$14+J$15)*$D$21*IF(COUNTIF($F19,"*雷*")&gt;0,J$17*(J$13*0.25+J$16*(J$10+属性开关!$X$56)+1-J$16-J$13-J$12),J$11*(J$13*0.25+J$9*J$10+1-J$9-J$13-J$12))</f>
        <v>172323.39915505465</v>
      </c>
      <c r="K19">
        <f ca="1">INT(K$6*$E19+K$7*($C$8+$C$9)/2+K$8)*(K$14+K$15)*$D$21*IF(COUNTIF($F19,"*雷*")&gt;0,K$17*(K$13*0.25+K$16*(K$10+属性开关!$X$56)+1-K$16-K$13-K$12),K$11*(K$13*0.25+K$9*K$10+1-K$9-K$13-K$12))</f>
        <v>177301.78056019827</v>
      </c>
      <c r="L19">
        <f ca="1">INT(L$6*$E19+L$7*($C$8+$C$9)/2+L$8)*(L$14+L$15)*$D$21*IF(COUNTIF($F19,"*雷*")&gt;0,L$17*(L$13*0.25+L$16*(L$10+属性开关!$X$56)+1-L$16-L$13-L$12),L$11*(L$13*0.25+L$9*L$10+1-L$9-L$13-L$12))</f>
        <v>126422.36777582593</v>
      </c>
      <c r="M19">
        <f ca="1">INT(M$6*$E19+M$7*($C$8+$C$9)/2+M$8)*(M$14+M$15)*$D$21*IF(COUNTIF($F19,"*雷*")&gt;0,M$17*(M$13*0.25+M$16*(M$10+属性开关!$X$56)+1-M$16-M$13-M$12),M$11*(M$13*0.25+M$9*M$10+1-M$9-M$13-M$12))</f>
        <v>54458.613989768091</v>
      </c>
      <c r="N19">
        <f ca="1">INT(N$6*$E19+N$7*($C$8+$C$9)/2+N$8)*(N$14+N$15)*$D$21*IF(COUNTIF($F19,"*雷*")&gt;0,N$17*(N$13*0.25+N$16*(N$10+属性开关!$X$56)+1-N$16-N$13-N$12),N$11*(N$13*0.25+N$9*N$10+1-N$9-N$13-N$12))</f>
        <v>64062.412372408995</v>
      </c>
      <c r="O19">
        <f ca="1">INT(O$6*$E19+O$7*($C$8+$C$9)/2+O$8)*(O$14+O$15)*$D$21*IF(COUNTIF($F19,"*雷*")&gt;0,O$17*(O$13*0.25+O$16*(O$10+属性开关!$X$56)+1-O$16-O$13-O$12),O$11*(O$13*0.25+O$9*O$10+1-O$9-O$13-O$12))</f>
        <v>25515.695364474548</v>
      </c>
      <c r="P19">
        <f ca="1">INT(P$6*$E19+P$7*($C$8+$C$9)/2+P$8)*(P$14+P$15)*$D$21*IF(COUNTIF($F19,"*雷*")&gt;0,P$17*(P$13*0.25+P$16*(P$10+属性开关!$X$56)+1-P$16-P$13-P$12),P$11*(P$13*0.25+P$9*P$10+1-P$9-P$13-P$12))</f>
        <v>39284.540418559176</v>
      </c>
      <c r="Q19">
        <f ca="1">INT(Q$6*$E19+Q$7*($C$8+$C$9)/2+Q$8)*(Q$14+Q$15)*$D$21*IF(COUNTIF($F19,"*雷*")&gt;0,Q$17*(Q$13*0.25+Q$16*(Q$10+属性开关!$X$56)+1-Q$16-Q$13-Q$12),Q$11*(Q$13*0.25+Q$9*Q$10+1-Q$9-Q$13-Q$12))</f>
        <v>31446.519133125494</v>
      </c>
      <c r="R19">
        <f ca="1">INT(R$6*$E19+R$7*($C$8+$C$9)/2+R$8)*(R$14+R$15)*$D$21*IF(COUNTIF($F19,"*雷*")&gt;0,R$17*(R$13*0.25+R$16*(R$10+属性开关!$X$56)+1-R$16-R$13-R$12),R$11*(R$13*0.25+R$9*R$10+1-R$9-R$13-R$12))</f>
        <v>8933.1890035326924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40816.781987823335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70546.438371768585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111628.48246872485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90422.325896674913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189651.07086865808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111865.94446355531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100830.63198469288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302742.69851041643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13584.438483833301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17612.609138997886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244613.86722468366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315906.13905224513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235143.34498770387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101292.04888533083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317290.6617624666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235443.50478489793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33882.935211674128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124001.65820258677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47730.64463795317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304043.92252488993</v>
      </c>
      <c r="H20">
        <f ca="1">INT(H$6*$E20+H$7*($C$8+$C$9)/2+H$8)*(H$14+H$15)*$D$21*IF(COUNTIF($F20,"*雷*")&gt;0,H$17*(H$13*0.25+H$16*(H$10+属性开关!$X$56)+1-H$16-H$13-H$12),H$11*(H$13*0.25+H$9*H$10+1-H$9-H$13-H$12))</f>
        <v>161925.40300017479</v>
      </c>
      <c r="I20">
        <f ca="1">INT(I$6*$E20+I$7*($C$8+$C$9)/2+I$8)*(I$14+I$15)*$D$21*IF(COUNTIF($F20,"*雷*")&gt;0,I$17*(I$13*0.25+I$16*(I$10+属性开关!$X$56)+1-I$16-I$13-I$12),I$11*(I$13*0.25+I$9*I$10+1-I$9-I$13-I$12))</f>
        <v>98265.884860718608</v>
      </c>
      <c r="J20">
        <f ca="1">INT(J$6*$E20+J$7*($C$8+$C$9)/2+J$8)*(J$14+J$15)*$D$21*IF(COUNTIF($F20,"*雷*")&gt;0,J$17*(J$13*0.25+J$16*(J$10+属性开关!$X$56)+1-J$16-J$13-J$12),J$11*(J$13*0.25+J$9*J$10+1-J$9-J$13-J$12))</f>
        <v>176017.54797009967</v>
      </c>
      <c r="K20">
        <f ca="1">INT(K$6*$E20+K$7*($C$8+$C$9)/2+K$8)*(K$14+K$15)*$D$21*IF(COUNTIF($F20,"*雷*")&gt;0,K$17*(K$13*0.25+K$16*(K$10+属性开关!$X$56)+1-K$16-K$13-K$12),K$11*(K$13*0.25+K$9*K$10+1-K$9-K$13-K$12))</f>
        <v>183323.72837082998</v>
      </c>
      <c r="L20">
        <f ca="1">INT(L$6*$E20+L$7*($C$8+$C$9)/2+L$8)*(L$14+L$15)*$D$21*IF(COUNTIF($F20,"*雷*")&gt;0,L$17*(L$13*0.25+L$16*(L$10+属性开关!$X$56)+1-L$16-L$13-L$12),L$11*(L$13*0.25+L$9*L$10+1-L$9-L$13-L$12))</f>
        <v>129115.90849764277</v>
      </c>
      <c r="M20">
        <f ca="1">INT(M$6*$E20+M$7*($C$8+$C$9)/2+M$8)*(M$14+M$15)*$D$21*IF(COUNTIF($F20,"*雷*")&gt;0,M$17*(M$13*0.25+M$16*(M$10+属性开关!$X$56)+1-M$16-M$13-M$12),M$11*(M$13*0.25+M$9*M$10+1-M$9-M$13-M$12))</f>
        <v>56077.971549005299</v>
      </c>
      <c r="N20">
        <f ca="1">INT(N$6*$E20+N$7*($C$8+$C$9)/2+N$8)*(N$14+N$15)*$D$21*IF(COUNTIF($F20,"*雷*")&gt;0,N$17*(N$13*0.25+N$16*(N$10+属性开关!$X$56)+1-N$16-N$13-N$12),N$11*(N$13*0.25+N$9*N$10+1-N$9-N$13-N$12))</f>
        <v>66337.807393356532</v>
      </c>
      <c r="O20">
        <f ca="1">INT(O$6*$E20+O$7*($C$8+$C$9)/2+O$8)*(O$14+O$15)*$D$21*IF(COUNTIF($F20,"*雷*")&gt;0,O$17*(O$13*0.25+O$16*(O$10+属性开关!$X$56)+1-O$16-O$13-O$12),O$11*(O$13*0.25+O$9*O$10+1-O$9-O$13-O$12))</f>
        <v>24002.197007108371</v>
      </c>
      <c r="P20">
        <f ca="1">INT(P$6*$E20+P$7*($C$8+$C$9)/2+P$8)*(P$14+P$15)*$D$21*IF(COUNTIF($F20,"*雷*")&gt;0,P$17*(P$13*0.25+P$16*(P$10+属性开关!$X$56)+1-P$16-P$13-P$12),P$11*(P$13*0.25+P$9*P$10+1-P$9-P$13-P$12))</f>
        <v>40694.311282338829</v>
      </c>
      <c r="Q20">
        <f ca="1">INT(Q$6*$E20+Q$7*($C$8+$C$9)/2+Q$8)*(Q$14+Q$15)*$D$21*IF(COUNTIF($F20,"*雷*")&gt;0,Q$17*(Q$13*0.25+Q$16*(Q$10+属性开关!$X$56)+1-Q$16-Q$13-Q$12),Q$11*(Q$13*0.25+Q$9*Q$10+1-Q$9-Q$13-Q$12))</f>
        <v>32570.52871704676</v>
      </c>
      <c r="R20">
        <f ca="1">INT(R$6*$E20+R$7*($C$8+$C$9)/2+R$8)*(R$14+R$15)*$D$21*IF(COUNTIF($F20,"*雷*")&gt;0,R$17*(R$13*0.25+R$16*(R$10+属性开关!$X$56)+1-R$16-R$13-R$12),R$11*(R$13*0.25+R$9*R$10+1-R$9-R$13-R$12))</f>
        <v>9238.7627044670862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30802.584577694299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72956.097606378346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90051.988533355165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72995.518017497074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196529.76503611373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90199.742657932875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81402.561690098344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244493.23236723171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10740.002036111668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18249.688241610325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194398.58234490574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251600.42725176056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187154.34874779964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81285.384322283819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252569.20668800463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189715.88398024172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24839.108734797224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100068.34398125377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38526.621329352842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7637.614367725082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374271.03771287331</v>
      </c>
      <c r="H21">
        <f ca="1">INT(H$6*$E21+H$7*($C$8+$C$9)/2+H$8)*(H$14+H$15)*$D$21*IF(COUNTIF($F21,"*雷*")&gt;0,H$17*(H$13*0.25+H$16*(H$10+属性开关!$X$56)+1-H$16-H$13-H$12),H$11*(H$13*0.25+H$9*H$10+1-H$9-H$13-H$12))</f>
        <v>202806.03806403989</v>
      </c>
      <c r="I21">
        <f ca="1">INT(I$6*$E21+I$7*($C$8+$C$9)/2+I$8)*(I$14+I$15)*$D$21*IF(COUNTIF($F21,"*雷*")&gt;0,I$17*(I$13*0.25+I$16*(I$10+属性开关!$X$56)+1-I$16-I$13-I$12),I$11*(I$13*0.25+I$9*I$10+1-I$9-I$13-I$12))</f>
        <v>120963.03189741977</v>
      </c>
      <c r="J21">
        <f ca="1">INT(J$6*$E21+J$7*($C$8+$C$9)/2+J$8)*(J$14+J$15)*$D$21*IF(COUNTIF($F21,"*雷*")&gt;0,J$17*(J$13*0.25+J$16*(J$10+属性开关!$X$56)+1-J$16-J$13-J$12),J$11*(J$13*0.25+J$9*J$10+1-J$9-J$13-J$12))</f>
        <v>220455.9684407546</v>
      </c>
      <c r="K21">
        <f ca="1">INT(K$6*$E21+K$7*($C$8+$C$9)/2+K$8)*(K$14+K$15)*$D$21*IF(COUNTIF($F21,"*雷*")&gt;0,K$17*(K$13*0.25+K$16*(K$10+属性开关!$X$56)+1-K$16-K$13-K$12),K$11*(K$13*0.25+K$9*K$10+1-K$9-K$13-K$12))</f>
        <v>226336.75130656688</v>
      </c>
      <c r="L21">
        <f ca="1">INT(L$6*$E21+L$7*($C$8+$C$9)/2+L$8)*(L$14+L$15)*$D$21*IF(COUNTIF($F21,"*雷*")&gt;0,L$17*(L$13*0.25+L$16*(L$10+属性开关!$X$56)+1-L$16-L$13-L$12),L$11*(L$13*0.25+L$9*L$10+1-L$9-L$13-L$12))</f>
        <v>160910.56014430855</v>
      </c>
      <c r="M21">
        <f ca="1">INT(M$6*$E21+M$7*($C$8+$C$9)/2+M$8)*(M$14+M$15)*$D$21*IF(COUNTIF($F21,"*雷*")&gt;0,M$17*(M$13*0.25+M$16*(M$10+属性开关!$X$56)+1-M$16-M$13-M$12),M$11*(M$13*0.25+M$9*M$10+1-M$9-M$13-M$12))</f>
        <v>69887.110881241882</v>
      </c>
      <c r="N21">
        <f ca="1">INT(N$6*$E21+N$7*($C$8+$C$9)/2+N$8)*(N$14+N$15)*$D$21*IF(COUNTIF($F21,"*雷*")&gt;0,N$17*(N$13*0.25+N$16*(N$10+属性开关!$X$56)+1-N$16-N$13-N$12),N$11*(N$13*0.25+N$9*N$10+1-N$9-N$13-N$12))</f>
        <v>83085.838553000169</v>
      </c>
      <c r="O21">
        <f ca="1">INT(O$6*$E21+O$7*($C$8+$C$9)/2+O$8)*(O$14+O$15)*$D$21*IF(COUNTIF($F21,"*雷*")&gt;0,O$17*(O$13*0.25+O$16*(O$10+属性开关!$X$56)+1-O$16-O$13-O$12),O$11*(O$13*0.25+O$9*O$10+1-O$9-O$13-O$12))</f>
        <v>30061.932159211301</v>
      </c>
      <c r="P21">
        <f ca="1">INT(P$6*$E21+P$7*($C$8+$C$9)/2+P$8)*(P$14+P$15)*$D$21*IF(COUNTIF($F21,"*雷*")&gt;0,P$17*(P$13*0.25+P$16*(P$10+属性开关!$X$56)+1-P$16-P$13-P$12),P$11*(P$13*0.25+P$9*P$10+1-P$9-P$13-P$12))</f>
        <v>50968.235310842414</v>
      </c>
      <c r="Q21">
        <f ca="1">INT(Q$6*$E21+Q$7*($C$8+$C$9)/2+Q$8)*(Q$14+Q$15)*$D$21*IF(COUNTIF($F21,"*雷*")&gt;0,Q$17*(Q$13*0.25+Q$16*(Q$10+属性开关!$X$56)+1-Q$16-Q$13-Q$12),Q$11*(Q$13*0.25+Q$9*Q$10+1-Q$9-Q$13-Q$12))</f>
        <v>40793.47504695208</v>
      </c>
      <c r="R21">
        <f ca="1">INT(R$6*$E21+R$7*($C$8+$C$9)/2+R$8)*(R$14+R$15)*$D$21*IF(COUNTIF($F21,"*雷*")&gt;0,R$17*(R$13*0.25+R$16*(R$10+属性开关!$X$56)+1-R$16-R$13-R$12),R$11*(R$13*0.25+R$9*R$10+1-R$9-R$13-R$12))</f>
        <v>11571.234815483285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49504.155641395882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91375.021053040109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144726.41556840771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117314.2297831484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246146.81989451571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144963.87756323817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130825.55047777106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392935.5667491653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17626.131669706243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22857.11135874641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312426.30476657522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404357.84467035736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299290.76651428518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129988.77740750658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405914.81167983171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300558.27877686115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39919.997677448191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160824.13028457432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61917.786600496031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277183.37166182819</v>
      </c>
      <c r="H22">
        <f ca="1">INT(H$6*$E22+H$7*($C$8+$C$9)/2+H$8)*(H$14+H$15)*$D$21*IF(COUNTIF($F22,"*雷*")&gt;0,H$17*(H$13*0.25+H$16*(H$10+属性开关!$X$56)+1-H$16-H$13-H$12),H$11*(H$13*0.25+H$9*H$10+1-H$9-H$13-H$12))</f>
        <v>161925.40300017479</v>
      </c>
      <c r="I22">
        <f ca="1">INT(I$6*$E22+I$7*($C$8+$C$9)/2+I$8)*(I$14+I$15)*$D$21*IF(COUNTIF($F22,"*雷*")&gt;0,I$17*(I$13*0.25+I$16*(I$10+属性开关!$X$56)+1-I$16-I$13-I$12),I$11*(I$13*0.25+I$9*I$10+1-I$9-I$13-I$12))</f>
        <v>89338.275073477998</v>
      </c>
      <c r="J22">
        <f ca="1">INT(J$6*$E22+J$7*($C$8+$C$9)/2+J$8)*(J$14+J$15)*$D$21*IF(COUNTIF($F22,"*雷*")&gt;0,J$17*(J$13*0.25+J$16*(J$10+属性开关!$X$56)+1-J$16-J$13-J$12),J$11*(J$13*0.25+J$9*J$10+1-J$9-J$13-J$12))</f>
        <v>160630.25649778906</v>
      </c>
      <c r="K22">
        <f ca="1">INT(K$6*$E22+K$7*($C$8+$C$9)/2+K$8)*(K$14+K$15)*$D$21*IF(COUNTIF($F22,"*雷*")&gt;0,K$17*(K$13*0.25+K$16*(K$10+属性开关!$X$56)+1-K$16-K$13-K$12),K$11*(K$13*0.25+K$9*K$10+1-K$9-K$13-K$12))</f>
        <v>167420.71567057236</v>
      </c>
      <c r="L22">
        <f ca="1">INT(L$6*$E22+L$7*($C$8+$C$9)/2+L$8)*(L$14+L$15)*$D$21*IF(COUNTIF($F22,"*雷*")&gt;0,L$17*(L$13*0.25+L$16*(L$10+属性开关!$X$56)+1-L$16-L$13-L$12),L$11*(L$13*0.25+L$9*L$10+1-L$9-L$13-L$12))</f>
        <v>118035.94882473287</v>
      </c>
      <c r="M22">
        <f ca="1">INT(M$6*$E22+M$7*($C$8+$C$9)/2+M$8)*(M$14+M$15)*$D$21*IF(COUNTIF($F22,"*雷*")&gt;0,M$17*(M$13*0.25+M$16*(M$10+属性开关!$X$56)+1-M$16-M$13-M$12),M$11*(M$13*0.25+M$9*M$10+1-M$9-M$13-M$12))</f>
        <v>51122.235093064934</v>
      </c>
      <c r="N22">
        <f ca="1">INT(N$6*$E22+N$7*($C$8+$C$9)/2+N$8)*(N$14+N$15)*$D$21*IF(COUNTIF($F22,"*雷*")&gt;0,N$17*(N$13*0.25+N$16*(N$10+属性开关!$X$56)+1-N$16-N$13-N$12),N$11*(N$13*0.25+N$9*N$10+1-N$9-N$13-N$12))</f>
        <v>60257.804249111476</v>
      </c>
      <c r="O22">
        <f ca="1">INT(O$6*$E22+O$7*($C$8+$C$9)/2+O$8)*(O$14+O$15)*$D$21*IF(COUNTIF($F22,"*雷*")&gt;0,O$17*(O$13*0.25+O$16*(O$10+属性开关!$X$56)+1-O$16-O$13-O$12),O$11*(O$13*0.25+O$9*O$10+1-O$9-O$13-O$12))</f>
        <v>22548.767051781324</v>
      </c>
      <c r="P22">
        <f ca="1">INT(P$6*$E22+P$7*($C$8+$C$9)/2+P$8)*(P$14+P$15)*$D$21*IF(COUNTIF($F22,"*雷*")&gt;0,P$17*(P$13*0.25+P$16*(P$10+属性开关!$X$56)+1-P$16-P$13-P$12),P$11*(P$13*0.25+P$9*P$10+1-P$9-P$13-P$12))</f>
        <v>36959.681382654795</v>
      </c>
      <c r="Q22">
        <f ca="1">INT(Q$6*$E22+Q$7*($C$8+$C$9)/2+Q$8)*(Q$14+Q$15)*$D$21*IF(COUNTIF($F22,"*雷*")&gt;0,Q$17*(Q$13*0.25+Q$16*(Q$10+属性开关!$X$56)+1-Q$16-Q$13-Q$12),Q$11*(Q$13*0.25+Q$9*Q$10+1-Q$9-Q$13-Q$12))</f>
        <v>29583.466486285735</v>
      </c>
      <c r="R22">
        <f ca="1">INT(R$6*$E22+R$7*($C$8+$C$9)/2+R$8)*(R$14+R$15)*$D$21*IF(COUNTIF($F22,"*雷*")&gt;0,R$17*(R$13*0.25+R$16*(R$10+属性开关!$X$56)+1-R$16-R$13-R$12),R$11*(R$13*0.25+R$9*R$10+1-R$9-R$13-R$12))</f>
        <v>8396.2500548227272</v>
      </c>
      <c r="T22" s="34">
        <f ca="1">(G21+I21)/(G14+G15)*(G14+D38)</f>
        <v>480146.89246853156</v>
      </c>
      <c r="U22">
        <f ca="1">K20/(K14+K15)*(K14+D35)</f>
        <v>164510.85121169797</v>
      </c>
      <c r="V22">
        <f ca="1">T22+U22</f>
        <v>644657.74368022953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28637.737628825409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66297.377093994466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81805.980254956565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66295.11749170348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178469.26411074091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81953.734379534275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73928.527208650688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222022.98432049825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9753.9399606509924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16573.061868834084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177503.05000361917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229562.81462454732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171093.87517127523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74102.012112234414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230489.83991430793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173258.36296432916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23335.00039471118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90896.864398913109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34993.322362931387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344269.98090169922</v>
      </c>
      <c r="H23">
        <f ca="1">INT(H$6*$E23+H$7*($C$8+$C$9)/2+H$8)*(H$14+H$15)*$D$21*IF(COUNTIF($F23,"*雷*")&gt;0,H$17*(H$13*0.25+H$16*(H$10+属性开关!$X$56)+1-H$16-H$13-H$12),H$11*(H$13*0.25+H$9*H$10+1-H$9-H$13-H$12))</f>
        <v>161925.40300017479</v>
      </c>
      <c r="I23">
        <f ca="1">INT(I$6*$E23+I$7*($C$8+$C$9)/2+I$8)*(I$14+I$15)*$D$21*IF(COUNTIF($F23,"*雷*")&gt;0,I$17*(I$13*0.25+I$16*(I$10+属性开关!$X$56)+1-I$16-I$13-I$12),I$11*(I$13*0.25+I$9*I$10+1-I$9-I$13-I$12))</f>
        <v>111633.98309117755</v>
      </c>
      <c r="J23">
        <f ca="1">INT(J$6*$E23+J$7*($C$8+$C$9)/2+J$8)*(J$14+J$15)*$D$21*IF(COUNTIF($F23,"*雷*")&gt;0,J$17*(J$13*0.25+J$16*(J$10+属性开关!$X$56)+1-J$16-J$13-J$12),J$11*(J$13*0.25+J$9*J$10+1-J$9-J$13-J$12))</f>
        <v>199062.40044171372</v>
      </c>
      <c r="K23">
        <f ca="1">INT(K$6*$E23+K$7*($C$8+$C$9)/2+K$8)*(K$14+K$15)*$D$21*IF(COUNTIF($F23,"*雷*")&gt;0,K$17*(K$13*0.25+K$16*(K$10+属性开关!$X$56)+1-K$16-K$13-K$12),K$11*(K$13*0.25+K$9*K$10+1-K$9-K$13-K$12))</f>
        <v>207137.08345391636</v>
      </c>
      <c r="L23">
        <f ca="1">INT(L$6*$E23+L$7*($C$8+$C$9)/2+L$8)*(L$14+L$15)*$D$21*IF(COUNTIF($F23,"*雷*")&gt;0,L$17*(L$13*0.25+L$16*(L$10+属性开关!$X$56)+1-L$16-L$13-L$12),L$11*(L$13*0.25+L$9*L$10+1-L$9-L$13-L$12))</f>
        <v>145709.54766190407</v>
      </c>
      <c r="M23">
        <f ca="1">INT(M$6*$E23+M$7*($C$8+$C$9)/2+M$8)*(M$14+M$15)*$D$21*IF(COUNTIF($F23,"*雷*")&gt;0,M$17*(M$13*0.25+M$16*(M$10+属性开关!$X$56)+1-M$16-M$13-M$12),M$11*(M$13*0.25+M$9*M$10+1-M$9-M$13-M$12))</f>
        <v>63502.183252521725</v>
      </c>
      <c r="N23">
        <f ca="1">INT(N$6*$E23+N$7*($C$8+$C$9)/2+N$8)*(N$14+N$15)*$D$21*IF(COUNTIF($F23,"*雷*")&gt;0,N$17*(N$13*0.25+N$16*(N$10+属性开关!$X$56)+1-N$16-N$13-N$12),N$11*(N$13*0.25+N$9*N$10+1-N$9-N$13-N$12))</f>
        <v>75449.790997396602</v>
      </c>
      <c r="O23">
        <f ca="1">INT(O$6*$E23+O$7*($C$8+$C$9)/2+O$8)*(O$14+O$15)*$D$21*IF(COUNTIF($F23,"*雷*")&gt;0,O$17*(O$13*0.25+O$16*(O$10+属性开关!$X$56)+1-O$16-O$13-O$12),O$11*(O$13*0.25+O$9*O$10+1-O$9-O$13-O$12))</f>
        <v>26178.595986605829</v>
      </c>
      <c r="P23">
        <f ca="1">INT(P$6*$E23+P$7*($C$8+$C$9)/2+P$8)*(P$14+P$15)*$D$21*IF(COUNTIF($F23,"*雷*")&gt;0,P$17*(P$13*0.25+P$16*(P$10+属性开关!$X$56)+1-P$16-P$13-P$12),P$11*(P$13*0.25+P$9*P$10+1-P$9-P$13-P$12))</f>
        <v>46288.235019537366</v>
      </c>
      <c r="Q23">
        <f ca="1">INT(Q$6*$E23+Q$7*($C$8+$C$9)/2+Q$8)*(Q$14+Q$15)*$D$21*IF(COUNTIF($F23,"*雷*")&gt;0,Q$17*(Q$13*0.25+Q$16*(Q$10+属性开关!$X$56)+1-Q$16-Q$13-Q$12),Q$11*(Q$13*0.25+Q$9*Q$10+1-Q$9-Q$13-Q$12))</f>
        <v>37046.309395791795</v>
      </c>
      <c r="R23">
        <f ca="1">INT(R$6*$E23+R$7*($C$8+$C$9)/2+R$8)*(R$14+R$15)*$D$21*IF(COUNTIF($F23,"*雷*")&gt;0,R$17*(R$13*0.25+R$16*(R$10+属性开关!$X$56)+1-R$16-R$13-R$12),R$11*(R$13*0.25+R$9*R$10+1-R$9-R$13-R$12))</f>
        <v>10502.531678933627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34044.87452488827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82927.437405721284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102400.24896716407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83027.857060453127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223576.88031455458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102548.00309174178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92592.031349129233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278141.32896207419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12216.635341522247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20760.456822364398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219697.45400345334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284602.03924502345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211206.93659138051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92046.827451213016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285636.4785260738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214359.56622624371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27091.394677039469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113813.4637774794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43820.877030918848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423788.38536041451</v>
      </c>
      <c r="H24">
        <f ca="1">INT(H$6*$E24+H$7*($C$8+$C$9)/2+H$8)*(H$14+H$15)*$D$21*IF(COUNTIF($F24,"*雷*")&gt;0,H$17*(H$13*0.25+H$16*(H$10+属性开关!$X$56)+1-H$16-H$13-H$12),H$11*(H$13*0.25+H$9*H$10+1-H$9-H$13-H$12))</f>
        <v>202806.03806403989</v>
      </c>
      <c r="I24">
        <f ca="1">INT(I$6*$E24+I$7*($C$8+$C$9)/2+I$8)*(I$14+I$15)*$D$21*IF(COUNTIF($F24,"*雷*")&gt;0,I$17*(I$13*0.25+I$16*(I$10+属性开关!$X$56)+1-I$16-I$13-I$12),I$11*(I$13*0.25+I$9*I$10+1-I$9-I$13-I$12))</f>
        <v>137418.85168625935</v>
      </c>
      <c r="J24">
        <f ca="1">INT(J$6*$E24+J$7*($C$8+$C$9)/2+J$8)*(J$14+J$15)*$D$21*IF(COUNTIF($F24,"*雷*")&gt;0,J$17*(J$13*0.25+J$16*(J$10+属性开关!$X$56)+1-J$16-J$13-J$12),J$11*(J$13*0.25+J$9*J$10+1-J$9-J$13-J$12))</f>
        <v>249318.85925927115</v>
      </c>
      <c r="K24">
        <f ca="1">INT(K$6*$E24+K$7*($C$8+$C$9)/2+K$8)*(K$14+K$15)*$D$21*IF(COUNTIF($F24,"*雷*")&gt;0,K$17*(K$13*0.25+K$16*(K$10+属性开关!$X$56)+1-K$16-K$13-K$12),K$11*(K$13*0.25+K$9*K$10+1-K$9-K$13-K$12))</f>
        <v>255737.40486687879</v>
      </c>
      <c r="L24">
        <f ca="1">INT(L$6*$E24+L$7*($C$8+$C$9)/2+L$8)*(L$14+L$15)*$D$21*IF(COUNTIF($F24,"*雷*")&gt;0,L$17*(L$13*0.25+L$16*(L$10+属性开关!$X$56)+1-L$16-L$13-L$12),L$11*(L$13*0.25+L$9*L$10+1-L$9-L$13-L$12))</f>
        <v>181590.36485483783</v>
      </c>
      <c r="M24">
        <f ca="1">INT(M$6*$E24+M$7*($C$8+$C$9)/2+M$8)*(M$14+M$15)*$D$21*IF(COUNTIF($F24,"*雷*")&gt;0,M$17*(M$13*0.25+M$16*(M$10+属性开关!$X$56)+1-M$16-M$13-M$12),M$11*(M$13*0.25+M$9*M$10+1-M$9-M$13-M$12))</f>
        <v>79139.526619497468</v>
      </c>
      <c r="N24">
        <f ca="1">INT(N$6*$E24+N$7*($C$8+$C$9)/2+N$8)*(N$14+N$15)*$D$21*IF(COUNTIF($F24,"*雷*")&gt;0,N$17*(N$13*0.25+N$16*(N$10+属性开关!$X$56)+1-N$16-N$13-N$12),N$11*(N$13*0.25+N$9*N$10+1-N$9-N$13-N$12))</f>
        <v>94498.28687426736</v>
      </c>
      <c r="O24">
        <f ca="1">INT(O$6*$E24+O$7*($C$8+$C$9)/2+O$8)*(O$14+O$15)*$D$21*IF(COUNTIF($F24,"*雷*")&gt;0,O$17*(O$13*0.25+O$16*(O$10+属性开关!$X$56)+1-O$16-O$13-O$12),O$11*(O$13*0.25+O$9*O$10+1-O$9-O$13-O$12))</f>
        <v>32787.797564517859</v>
      </c>
      <c r="P24">
        <f ca="1">INT(P$6*$E24+P$7*($C$8+$C$9)/2+P$8)*(P$14+P$15)*$D$21*IF(COUNTIF($F24,"*雷*")&gt;0,P$17*(P$13*0.25+P$16*(P$10+属性开关!$X$56)+1-P$16-P$13-P$12),P$11*(P$13*0.25+P$9*P$10+1-P$9-P$13-P$12))</f>
        <v>57974.433778493578</v>
      </c>
      <c r="Q24">
        <f ca="1">INT(Q$6*$E24+Q$7*($C$8+$C$9)/2+Q$8)*(Q$14+Q$15)*$D$21*IF(COUNTIF($F24,"*雷*")&gt;0,Q$17*(Q$13*0.25+Q$16*(Q$10+属性开关!$X$56)+1-Q$16-Q$13-Q$12),Q$11*(Q$13*0.25+Q$9*Q$10+1-Q$9-Q$13-Q$12))</f>
        <v>46399.237514616769</v>
      </c>
      <c r="R24">
        <f ca="1">INT(R$6*$E24+R$7*($C$8+$C$9)/2+R$8)*(R$14+R$15)*$D$21*IF(COUNTIF($F24,"*雷*")&gt;0,R$17*(R$13*0.25+R$16*(R$10+属性开关!$X$56)+1-R$16-R$13-R$12),R$11*(R$13*0.25+R$9*R$10+1-R$9-R$13-R$12))</f>
        <v>13154.062302653641</v>
      </c>
      <c r="T24">
        <f ca="1">K21</f>
        <v>226336.75130656688</v>
      </c>
      <c r="U24">
        <f ca="1">G20+I20</f>
        <v>402309.80738560855</v>
      </c>
      <c r="V24">
        <f ca="1">T24+U24</f>
        <v>628646.55869217543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54714.978966158524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103863.78366487588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164571.83486671012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133437.63242090604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280022.40821512055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164809.29686154058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148808.62738965033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447012.86687527352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20049.532799568919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26001.763272058961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353085.20717060805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457396.15164783417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337754.83374287072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147198.1053467537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459058.64341184584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339600.14792975533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43539.743077463383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182914.50221377687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70426.412154127698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257133.81503285113</v>
      </c>
      <c r="H25">
        <f ca="1">INT(H$6*$E25+H$7*($C$8+$C$9)/2+H$8)*(H$14+H$15)*$D$21*IF(COUNTIF($F25,"*雷*")&gt;0,H$17*(H$13*0.25+H$16*(H$10+属性开关!$X$56)+1-H$16-H$13-H$12),H$11*(H$13*0.25+H$9*H$10+1-H$9-H$13-H$12))</f>
        <v>161925.40300017479</v>
      </c>
      <c r="I25">
        <f ca="1">INT(I$6*$E25+I$7*($C$8+$C$9)/2+I$8)*(I$14+I$15)*$D$21*IF(COUNTIF($F25,"*雷*")&gt;0,I$17*(I$13*0.25+I$16*(I$10+属性开关!$X$56)+1-I$16-I$13-I$12),I$11*(I$13*0.25+I$9*I$10+1-I$9-I$13-I$12))</f>
        <v>82677.542408650479</v>
      </c>
      <c r="J25">
        <f ca="1">INT(J$6*$E25+J$7*($C$8+$C$9)/2+J$8)*(J$14+J$15)*$D$21*IF(COUNTIF($F25,"*雷*")&gt;0,J$17*(J$13*0.25+J$16*(J$10+属性开关!$X$56)+1-J$16-J$13-J$12),J$11*(J$13*0.25+J$9*J$10+1-J$9-J$13-J$12))</f>
        <v>149145.81419551032</v>
      </c>
      <c r="K25">
        <f ca="1">INT(K$6*$E25+K$7*($C$8+$C$9)/2+K$8)*(K$14+K$15)*$D$21*IF(COUNTIF($F25,"*雷*")&gt;0,K$17*(K$13*0.25+K$16*(K$10+属性开关!$X$56)+1-K$16-K$13-K$12),K$11*(K$13*0.25+K$9*K$10+1-K$9-K$13-K$12))</f>
        <v>155551.77176572091</v>
      </c>
      <c r="L25">
        <f ca="1">INT(L$6*$E25+L$7*($C$8+$C$9)/2+L$8)*(L$14+L$15)*$D$21*IF(COUNTIF($F25,"*雷*")&gt;0,L$17*(L$13*0.25+L$16*(L$10+属性开关!$X$56)+1-L$16-L$13-L$12),L$11*(L$13*0.25+L$9*L$10+1-L$9-L$13-L$12))</f>
        <v>109766.36888574519</v>
      </c>
      <c r="M25">
        <f ca="1">INT(M$6*$E25+M$7*($C$8+$C$9)/2+M$8)*(M$14+M$15)*$D$21*IF(COUNTIF($F25,"*雷*")&gt;0,M$17*(M$13*0.25+M$16*(M$10+属性开关!$X$56)+1-M$16-M$13-M$12),M$11*(M$13*0.25+M$9*M$10+1-M$9-M$13-M$12))</f>
        <v>47421.400817779657</v>
      </c>
      <c r="N25">
        <f ca="1">INT(N$6*$E25+N$7*($C$8+$C$9)/2+N$8)*(N$14+N$15)*$D$21*IF(COUNTIF($F25,"*雷*")&gt;0,N$17*(N$13*0.25+N$16*(N$10+属性开关!$X$56)+1-N$16-N$13-N$12),N$11*(N$13*0.25+N$9*N$10+1-N$9-N$13-N$12))</f>
        <v>55717.854671746434</v>
      </c>
      <c r="O25">
        <f ca="1">INT(O$6*$E25+O$7*($C$8+$C$9)/2+O$8)*(O$14+O$15)*$D$21*IF(COUNTIF($F25,"*雷*")&gt;0,O$17*(O$13*0.25+O$16*(O$10+属性开关!$X$56)+1-O$16-O$13-O$12),O$11*(O$13*0.25+O$9*O$10+1-O$9-O$13-O$12))</f>
        <v>21464.313515525708</v>
      </c>
      <c r="P25">
        <f ca="1">INT(P$6*$E25+P$7*($C$8+$C$9)/2+P$8)*(P$14+P$15)*$D$21*IF(COUNTIF($F25,"*雷*")&gt;0,P$17*(P$13*0.25+P$16*(P$10+属性开关!$X$56)+1-P$16-P$13-P$12),P$11*(P$13*0.25+P$9*P$10+1-P$9-P$13-P$12))</f>
        <v>34171.542737615768</v>
      </c>
      <c r="Q25">
        <f ca="1">INT(Q$6*$E25+Q$7*($C$8+$C$9)/2+Q$8)*(Q$14+Q$15)*$D$21*IF(COUNTIF($F25,"*雷*")&gt;0,Q$17*(Q$13*0.25+Q$16*(Q$10+属性开关!$X$56)+1-Q$16-Q$13-Q$12),Q$11*(Q$13*0.25+Q$9*Q$10+1-Q$9-Q$13-Q$12))</f>
        <v>27353.597259240716</v>
      </c>
      <c r="R25">
        <f ca="1">INT(R$6*$E25+R$7*($C$8+$C$9)/2+R$8)*(R$14+R$15)*$D$21*IF(COUNTIF($F25,"*雷*")&gt;0,R$17*(R$13*0.25+R$16*(R$10+属性开关!$X$56)+1-R$16-R$13-R$12),R$11*(R$13*0.25+R$9*R$10+1-R$9-R$13-R$12))</f>
        <v>7766.0641818024496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34674.688983567728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83035.200983604358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97075.06925675481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78652.343304190217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164988.13046698281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97264.664840679208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87708.195295905301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263375.95980797522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16007.839613695973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27199.154123812132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211590.09084081103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273469.55367292202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204163.4846826829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88202.958135289489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274614.90614292625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206561.11971524864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28503.00310538277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107849.61282168297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41518.26231779006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3.3147238541030889E-2</v>
      </c>
      <c r="M26" s="40">
        <f t="shared" ca="1" si="38"/>
        <v>0</v>
      </c>
      <c r="N26" s="40">
        <f t="shared" ca="1" si="38"/>
        <v>7.4006134963893092E-2</v>
      </c>
      <c r="O26" s="40">
        <f t="shared" ca="1" si="38"/>
        <v>3.1539329716177629E-2</v>
      </c>
      <c r="P26" s="40">
        <f t="shared" ca="1" si="38"/>
        <v>3.516276551716554E-3</v>
      </c>
      <c r="Q26" s="40">
        <f t="shared" ca="1" si="38"/>
        <v>5.5717619487286084E-3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3995.9931047694477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273247.29055099963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19564.852573596385</v>
      </c>
      <c r="BH26">
        <f ca="1">SUMPRODUCT(BH18:BH25,$BY$18:$BY$25)</f>
        <v>25372.832889396457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85340.908426373964</v>
      </c>
      <c r="H27">
        <f ca="1">(H18*$AC$38)/$AD$37/$E$2*$D$22+(H18*$AF$42)/$AF$41/$E$2*$C$22</f>
        <v>55952.638000448322</v>
      </c>
      <c r="I27">
        <f t="shared" ca="1" si="41"/>
        <v>27360.893889344334</v>
      </c>
      <c r="J27">
        <f ca="1">J18*$AC$39/$AD$37/$E$2*$D$22+J18*$AE$43/$AF$41/$E$2*$C$22</f>
        <v>16412.235269072149</v>
      </c>
      <c r="K27">
        <f t="shared" ref="K27:K33" ca="1" si="42">K18*$AC$40/$AD$37/$E$2*$D$22+K18*$AE$44/$AF$41/$E$2*$C$22</f>
        <v>17130.343666339453</v>
      </c>
      <c r="L27">
        <f ca="1">L18*$AC$37/$AD$37/$E$2*$D$22+L18*$AE$41/$AF$41/$E$2*$C$22</f>
        <v>12436.428120093344</v>
      </c>
      <c r="M27">
        <f ca="1">M18*$AE$41/$AF$41/$E$2*$C$22</f>
        <v>0</v>
      </c>
      <c r="N27">
        <f ca="1">N18/$E$3</f>
        <v>27279.482181334613</v>
      </c>
      <c r="O27">
        <f ca="1">O18/$F$3</f>
        <v>12536.841890636224</v>
      </c>
      <c r="P27">
        <f ca="1">P18/$E$45*大附魔数值!$S$9</f>
        <v>1295.8117101275586</v>
      </c>
      <c r="Q27">
        <f ca="1">Q18/$E$47*大附魔数值!$S$10</f>
        <v>2053.4995833189414</v>
      </c>
      <c r="R27">
        <f ca="1">R18/45</f>
        <v>158.49957956347083</v>
      </c>
      <c r="S27">
        <f ca="1">SUM(G27:R27,AS27)*IF(COUNTIF(F27,"*雷*")&gt;0,$B$21/$D$21,1)</f>
        <v>257957.58231665235</v>
      </c>
      <c r="T27" s="15">
        <f ca="1">AQ27</f>
        <v>0.45454545454545447</v>
      </c>
      <c r="U27">
        <f ca="1">U28*(1+非侠士/1024)*(1+C14)*(1-B24*0.05)+AQ9</f>
        <v>537799.88647154067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105052.68479255174</v>
      </c>
      <c r="H28">
        <f t="shared" ref="H28:H33" ca="1" si="45">(H19*$AC$38)/$AD$37/$E$2*$D$22+(H19*$AF$42)/$AF$41/$E$2*$C$22</f>
        <v>70078.768506076347</v>
      </c>
      <c r="I28">
        <f t="shared" ca="1" si="41"/>
        <v>33680.627666150474</v>
      </c>
      <c r="J28">
        <f t="shared" ref="J28:J33" ca="1" si="46">J19*$AC$39/$AD$37/$E$2*$D$22+J19*$AE$43/$AF$41/$E$2*$C$22</f>
        <v>20555.764253319976</v>
      </c>
      <c r="K28">
        <f t="shared" ca="1" si="42"/>
        <v>21149.615320725887</v>
      </c>
      <c r="L28">
        <f t="shared" ref="L28:L33" ca="1" si="47">L19*$AC$37/$AD$37/$E$2*$D$22+L19*$AE$41/$AF$41/$E$2*$C$22</f>
        <v>15498.88498081694</v>
      </c>
      <c r="M28">
        <f t="shared" ref="M28:M33" ca="1" si="48">M19*$AE$41/$AF$41/$E$2*$C$22</f>
        <v>0</v>
      </c>
      <c r="N28">
        <f t="shared" ref="N28:N33" ca="1" si="49">N19/$E$3</f>
        <v>34166.619931951464</v>
      </c>
      <c r="O28">
        <f t="shared" ref="O28:O33" ca="1" si="50">O19/$F$3</f>
        <v>15701.966378138184</v>
      </c>
      <c r="P28">
        <f ca="1">P19/$E$45*大附魔数值!$S$9</f>
        <v>1622.9599194369434</v>
      </c>
      <c r="Q28">
        <f ca="1">Q19/$E$47*大附魔数值!$S$10</f>
        <v>2571.9381081831966</v>
      </c>
      <c r="R28">
        <f t="shared" ref="R28:R33" ca="1" si="51">R19/45</f>
        <v>198.51531118961537</v>
      </c>
      <c r="S28">
        <f t="shared" ref="S28:S33" ca="1" si="52">SUM(G28:R28,AS28)*IF(COUNTIF(F28,"*雷*")&gt;0,$B$21/$D$21,1)</f>
        <v>419676.18745036045</v>
      </c>
      <c r="T28" s="15">
        <f t="shared" ref="T28:T33" ca="1" si="53">AQ28</f>
        <v>0</v>
      </c>
      <c r="U28">
        <f ca="1">U33+U39+AW29+BI26+AT32+BB3+BC3+AY26+AZ26+BF27+CL26+AR26+AM8+AL8+CQ24</f>
        <v>408985.17183568154</v>
      </c>
      <c r="V28">
        <f ca="1">U28-U33</f>
        <v>24748.951880794717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109502.3579988938</v>
      </c>
      <c r="H29">
        <f t="shared" ca="1" si="45"/>
        <v>55952.638000448322</v>
      </c>
      <c r="I29">
        <f t="shared" ca="1" si="41"/>
        <v>35390.762011418316</v>
      </c>
      <c r="J29">
        <f t="shared" ca="1" si="46"/>
        <v>20996.424387295283</v>
      </c>
      <c r="K29">
        <f t="shared" ca="1" si="42"/>
        <v>21867.949221682429</v>
      </c>
      <c r="L29">
        <f t="shared" ca="1" si="47"/>
        <v>15829.10247771284</v>
      </c>
      <c r="M29">
        <f t="shared" ca="1" si="48"/>
        <v>0</v>
      </c>
      <c r="N29">
        <f t="shared" ca="1" si="49"/>
        <v>35380.163943123487</v>
      </c>
      <c r="O29">
        <f t="shared" ca="1" si="50"/>
        <v>14770.582773605151</v>
      </c>
      <c r="P29">
        <f ca="1">P20/$E$45*大附魔数值!$S$9</f>
        <v>1681.201700634502</v>
      </c>
      <c r="Q29">
        <f ca="1">Q20/$E$47*大附魔数值!$S$10</f>
        <v>2663.8682537936534</v>
      </c>
      <c r="R29">
        <f t="shared" ca="1" si="51"/>
        <v>205.30583787704637</v>
      </c>
      <c r="S29">
        <f t="shared" ca="1" si="52"/>
        <v>314240.3566064848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134794.87049078409</v>
      </c>
      <c r="H30">
        <f t="shared" ca="1" si="45"/>
        <v>70078.768506076347</v>
      </c>
      <c r="I30">
        <f t="shared" ca="1" si="41"/>
        <v>43565.209636375919</v>
      </c>
      <c r="J30">
        <f t="shared" ca="1" si="46"/>
        <v>26297.304589656917</v>
      </c>
      <c r="K30">
        <f t="shared" ca="1" si="42"/>
        <v>26998.799492887276</v>
      </c>
      <c r="L30">
        <f t="shared" ca="1" si="47"/>
        <v>19727.001698763837</v>
      </c>
      <c r="M30">
        <f t="shared" ca="1" si="48"/>
        <v>0</v>
      </c>
      <c r="N30">
        <f t="shared" ca="1" si="49"/>
        <v>44312.447228266756</v>
      </c>
      <c r="O30">
        <f t="shared" ca="1" si="50"/>
        <v>18499.650559514648</v>
      </c>
      <c r="P30">
        <f ca="1">P21/$E$45*大附魔数值!$S$9</f>
        <v>2105.6477228087638</v>
      </c>
      <c r="Q30">
        <f ca="1">Q21/$E$47*大附魔数值!$S$10</f>
        <v>3336.4040259691683</v>
      </c>
      <c r="R30">
        <f t="shared" ca="1" si="51"/>
        <v>257.13855145518414</v>
      </c>
      <c r="S30">
        <f t="shared" ca="1" si="52"/>
        <v>511000.77819811483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99828.447623613392</v>
      </c>
      <c r="H31">
        <f t="shared" ca="1" si="45"/>
        <v>55952.638000448322</v>
      </c>
      <c r="I31">
        <f t="shared" ca="1" si="41"/>
        <v>32175.455765930641</v>
      </c>
      <c r="J31">
        <f t="shared" ca="1" si="46"/>
        <v>19160.936359825861</v>
      </c>
      <c r="K31">
        <f t="shared" ca="1" si="42"/>
        <v>19970.942885996643</v>
      </c>
      <c r="L31">
        <f t="shared" ca="1" si="47"/>
        <v>14470.7430071243</v>
      </c>
      <c r="M31">
        <f t="shared" ca="1" si="48"/>
        <v>0</v>
      </c>
      <c r="N31">
        <f t="shared" ca="1" si="49"/>
        <v>32137.495599526119</v>
      </c>
      <c r="O31">
        <f t="shared" ca="1" si="50"/>
        <v>13876.164339557738</v>
      </c>
      <c r="P31">
        <f ca="1">P22/$E$45*大附魔数值!$S$9</f>
        <v>1526.9131541340439</v>
      </c>
      <c r="Q31">
        <f ca="1">Q22/$E$47*大附魔数值!$S$10</f>
        <v>2419.5633388272058</v>
      </c>
      <c r="R31">
        <f t="shared" ca="1" si="51"/>
        <v>186.58333455161616</v>
      </c>
      <c r="S31">
        <f t="shared" ca="1" si="52"/>
        <v>291705.88340953586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123989.89719613323</v>
      </c>
      <c r="H32">
        <f t="shared" ca="1" si="45"/>
        <v>55952.638000448322</v>
      </c>
      <c r="I32">
        <f t="shared" ca="1" si="41"/>
        <v>40205.323888004612</v>
      </c>
      <c r="J32">
        <f ca="1">J24*$AC$39/$AD$37/$E$2*$D$22+J24*$AE$43/$AF$41/$E$2*$C$22</f>
        <v>29740.242590206086</v>
      </c>
      <c r="K32">
        <f t="shared" ca="1" si="42"/>
        <v>24708.548441339619</v>
      </c>
      <c r="L32">
        <f t="shared" ca="1" si="47"/>
        <v>17863.417364743793</v>
      </c>
      <c r="M32">
        <f t="shared" ca="1" si="48"/>
        <v>0</v>
      </c>
      <c r="N32">
        <f t="shared" ca="1" si="49"/>
        <v>40239.888531944853</v>
      </c>
      <c r="O32">
        <f t="shared" ca="1" si="50"/>
        <v>16109.905222526664</v>
      </c>
      <c r="P32">
        <f ca="1">P23/$E$45*大附魔数值!$S$9</f>
        <v>1912.3031446409868</v>
      </c>
      <c r="Q32">
        <f ca="1">Q23/$E$47*大附魔数值!$S$10</f>
        <v>3029.9320093019178</v>
      </c>
      <c r="R32">
        <f t="shared" ca="1" si="51"/>
        <v>233.3895928651917</v>
      </c>
      <c r="S32">
        <f t="shared" ca="1" si="52"/>
        <v>353985.48598215519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152628.69622302795</v>
      </c>
      <c r="H33">
        <f t="shared" ca="1" si="45"/>
        <v>70078.768506076347</v>
      </c>
      <c r="I33">
        <f t="shared" ca="1" si="41"/>
        <v>49491.823971300772</v>
      </c>
      <c r="J33">
        <f t="shared" ca="1" si="46"/>
        <v>29740.242590206086</v>
      </c>
      <c r="K33">
        <f t="shared" ca="1" si="42"/>
        <v>30505.885045067647</v>
      </c>
      <c r="L33">
        <f t="shared" ca="1" si="47"/>
        <v>22262.264407990973</v>
      </c>
      <c r="M33">
        <f t="shared" ca="1" si="48"/>
        <v>0</v>
      </c>
      <c r="N33">
        <f t="shared" ca="1" si="49"/>
        <v>50399.086332942592</v>
      </c>
      <c r="O33">
        <f t="shared" ca="1" si="50"/>
        <v>20177.106193549451</v>
      </c>
      <c r="P33">
        <f ca="1">P24/$E$45*大附魔数值!$S$9</f>
        <v>2395.0943901101455</v>
      </c>
      <c r="Q33">
        <f ca="1">Q24/$E$47*大附魔数值!$S$10</f>
        <v>3794.8863799293695</v>
      </c>
      <c r="R33">
        <f t="shared" ca="1" si="51"/>
        <v>292.31249561452535</v>
      </c>
      <c r="S33">
        <f t="shared" ca="1" si="52"/>
        <v>565764.06546141708</v>
      </c>
      <c r="T33" s="15">
        <f t="shared" ca="1" si="53"/>
        <v>0.31818181818181818</v>
      </c>
      <c r="U33">
        <f ca="1">(S48*T48+SUMPRODUCT(S27:S33,T27:T33))*(1+大附魔数值!$O$10*21/1024)</f>
        <v>384236.21995488682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60894.908629913902</v>
      </c>
      <c r="H34">
        <f ca="1">H18*2*$D$33/(5+2*$D$33)/$E$2</f>
        <v>41612.695906529065</v>
      </c>
      <c r="I34">
        <f ca="1">I18*2*$D$33/(5+2*$D$33)/$E$2</f>
        <v>19523.334871245464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37433.52979027167</v>
      </c>
      <c r="L34">
        <f ca="1">L18/(5+2*$D$33)/$E$2</f>
        <v>9124.2681369528163</v>
      </c>
      <c r="M34">
        <v>0</v>
      </c>
      <c r="N34">
        <f ca="1">N27</f>
        <v>27279.482181334613</v>
      </c>
      <c r="O34">
        <f ca="1">O27</f>
        <v>12536.841890636224</v>
      </c>
      <c r="P34">
        <f ca="1">P27</f>
        <v>1295.8117101275586</v>
      </c>
      <c r="Q34">
        <f ca="1">Q27</f>
        <v>2053.4995833189414</v>
      </c>
      <c r="R34">
        <f ca="1">R27</f>
        <v>158.49957956347083</v>
      </c>
      <c r="S34">
        <f ca="1">SUM(G34:R34,AS34)</f>
        <v>211912.87227989375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44068.683874595474</v>
      </c>
      <c r="H35">
        <f ca="1">H18*$D$33/(4+$D$33)/$E$2</f>
        <v>30114.450983405561</v>
      </c>
      <c r="I35">
        <f ca="1">I18*$D$33/(4+$D$33)/$E$2</f>
        <v>14128.729182395669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17412.217027217739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13737.829128913008</v>
      </c>
      <c r="N35">
        <f ca="1">N27</f>
        <v>27279.482181334613</v>
      </c>
      <c r="O35">
        <f t="shared" ref="O35:R35" ca="1" si="57">O27</f>
        <v>12536.841890636224</v>
      </c>
      <c r="P35">
        <f t="shared" ca="1" si="57"/>
        <v>1295.8117101275586</v>
      </c>
      <c r="Q35">
        <f t="shared" ca="1" si="57"/>
        <v>2053.4995833189414</v>
      </c>
      <c r="R35">
        <f t="shared" ca="1" si="57"/>
        <v>158.49957956347083</v>
      </c>
      <c r="S35">
        <f ca="1">SUM(G35:R35,AS35)</f>
        <v>162786.04514150828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88643.907597679296</v>
      </c>
      <c r="H36">
        <f ca="1">H25*$D$33*2/(3+2*$D$33)/$E$2</f>
        <v>55821.909146530044</v>
      </c>
      <c r="I36">
        <f ca="1">I25*$D$33*2/(3+2*$D$33)/$E$2</f>
        <v>28502.126135138224</v>
      </c>
      <c r="J36">
        <f ca="1">J25/(3+2*$D$33)/$E$2</f>
        <v>17995.702829180969</v>
      </c>
      <c r="K36">
        <f ca="1">K25/(3+2*$D$33)/$E$2</f>
        <v>18768.635743132785</v>
      </c>
      <c r="L36">
        <f ca="1">L25/(3+2*$D$33)/$E$2</f>
        <v>13244.23997925105</v>
      </c>
      <c r="M36">
        <v>0</v>
      </c>
      <c r="N36">
        <f ca="1">N25/E3</f>
        <v>29716.189158264766</v>
      </c>
      <c r="O36">
        <f ca="1">O25/F3</f>
        <v>13208.808317246589</v>
      </c>
      <c r="P36">
        <f ca="1">P25/$E$45*大附魔数值!$S$9</f>
        <v>1411.7269454494233</v>
      </c>
      <c r="Q36">
        <f ca="1">Q25/$E$47*大附魔数值!$S$10</f>
        <v>2237.1874893087515</v>
      </c>
      <c r="R36">
        <f ca="1">R25/45</f>
        <v>172.57920404005444</v>
      </c>
      <c r="S36">
        <f ca="1">SUM(G36:R36,AS36)</f>
        <v>269723.01254522201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0.25856804110951315</v>
      </c>
      <c r="H37" s="15">
        <f t="shared" ref="H37" ca="1" si="58">SUMPRODUCT(H38:H45,$S$38:$S$45)/$T$38</f>
        <v>0.14128262945732853</v>
      </c>
      <c r="I37" s="15">
        <f t="shared" ref="I37:Q37" ca="1" si="59">SUMPRODUCT(I38:I45,$S$38:$S$45)/$T$38</f>
        <v>8.342425042253182E-2</v>
      </c>
      <c r="J37" s="15">
        <f t="shared" ca="1" si="59"/>
        <v>1.2651471452871075E-2</v>
      </c>
      <c r="K37" s="15">
        <f t="shared" ca="1" si="59"/>
        <v>0</v>
      </c>
      <c r="L37" s="15">
        <f t="shared" ca="1" si="59"/>
        <v>0</v>
      </c>
      <c r="M37" s="15">
        <f t="shared" ca="1" si="59"/>
        <v>0</v>
      </c>
      <c r="N37" s="15">
        <f t="shared" ca="1" si="59"/>
        <v>4.6536881129606827E-2</v>
      </c>
      <c r="O37" s="15">
        <f t="shared" ca="1" si="59"/>
        <v>1.9832707634648564E-2</v>
      </c>
      <c r="P37" s="15">
        <f t="shared" ca="1" si="59"/>
        <v>2.2111213345473832E-3</v>
      </c>
      <c r="Q37" s="15">
        <f t="shared" ca="1" si="59"/>
        <v>3.5036611980473796E-3</v>
      </c>
      <c r="R37">
        <v>0</v>
      </c>
      <c r="S37">
        <f ca="1">(S35*(4+D33)+S36*11)/(15+D33)</f>
        <v>234387.3189715991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  <c r="BG37" s="15"/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154352.29774831122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101199.71918391943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49486.4294057933</v>
      </c>
      <c r="J38">
        <f ca="1">J18/$E$2*(3-属性开关!$X$37)/(3+2*$D$33)/(3+$D$33)</f>
        <v>7497.2577845854057</v>
      </c>
      <c r="N38">
        <f ca="1">N27</f>
        <v>27279.482181334613</v>
      </c>
      <c r="O38">
        <f ca="1">O27</f>
        <v>12536.841890636224</v>
      </c>
      <c r="P38">
        <f ca="1">P27</f>
        <v>1295.8117101275586</v>
      </c>
      <c r="Q38">
        <f ca="1">Q27</f>
        <v>2053.4995833189414</v>
      </c>
      <c r="R38">
        <f ca="1">SUM(G38:Q38,AS38,AU18*属性开关!$X$37)*IF(COUNTIF(F38,"*雷*")&gt;0,$B$21/$D$21,1)*(1+大附魔数值!$O$10*21/1024)</f>
        <v>412027.37678267824</v>
      </c>
      <c r="S38" s="36">
        <f t="shared" ref="S38:S45" ca="1" si="60">T27</f>
        <v>0.45454545454545447</v>
      </c>
      <c r="T38">
        <f ca="1">SUMPRODUCT(S38:S46,R38:R46)</f>
        <v>611038.74737120164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1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190004.10918227665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126749.19265670721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60916.650241199612</v>
      </c>
      <c r="J39">
        <f ca="1">J19/$E$2*(3-属性开关!$X$37)/(3+2*$D$33)/(3+$D$33)</f>
        <v>9390.0593697142504</v>
      </c>
      <c r="N39">
        <f t="shared" ref="N39:Q45" ca="1" si="62">N28</f>
        <v>34166.619931951464</v>
      </c>
      <c r="O39">
        <f t="shared" ca="1" si="62"/>
        <v>15701.966378138184</v>
      </c>
      <c r="P39">
        <f t="shared" ca="1" si="62"/>
        <v>1622.9599194369434</v>
      </c>
      <c r="Q39">
        <f t="shared" ca="1" si="62"/>
        <v>2571.9381081831966</v>
      </c>
      <c r="R39">
        <f ca="1">SUM(G39:Q39,AS39,AU19*属性开关!$X$37)*IF(COUNTIF(F39,"*雷*")&gt;0,$B$21/$D$21,1)*(1+大附魔数值!$O$10*21/1024)</f>
        <v>670465.83211232419</v>
      </c>
      <c r="S39" s="36">
        <f t="shared" ca="1" si="60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1"/>
        <v>0.16878965109245639</v>
      </c>
      <c r="AS39">
        <f t="shared" ref="AS39:AS45" ca="1" si="63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198052.03480543231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101199.71918391943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64009.69401724662</v>
      </c>
      <c r="J40">
        <f ca="1">J20/$E$2*(3-属性开关!$X$37)/(3+2*$D$33)/(3+$D$33)</f>
        <v>9591.3569118003361</v>
      </c>
      <c r="N40">
        <f t="shared" ca="1" si="62"/>
        <v>35380.163943123487</v>
      </c>
      <c r="O40">
        <f t="shared" ca="1" si="62"/>
        <v>14770.582773605151</v>
      </c>
      <c r="P40">
        <f t="shared" ca="1" si="62"/>
        <v>1681.201700634502</v>
      </c>
      <c r="Q40">
        <f t="shared" ca="1" si="62"/>
        <v>2663.8682537936534</v>
      </c>
      <c r="R40">
        <f ca="1">SUM(G40:Q40,AS40,AU20*属性开关!$X$37)*IF(COUNTIF(F40,"*雷*")&gt;0,$B$21/$D$21,1)*(1+大附魔数值!$O$10*21/1024)</f>
        <v>500304.71919593378</v>
      </c>
      <c r="S40" s="36">
        <f t="shared" ca="1" si="60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1"/>
        <v>0.16878965109245639</v>
      </c>
      <c r="AS40">
        <f t="shared" ca="1" si="63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243797.47495760961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126749.19265670721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78794.453132202339</v>
      </c>
      <c r="J41">
        <f ca="1">J21/$E$2*(3-属性开关!$X$37)/(3+2*$D$33)/(3+$D$33)</f>
        <v>12012.847020292867</v>
      </c>
      <c r="N41">
        <f t="shared" ca="1" si="62"/>
        <v>44312.447228266756</v>
      </c>
      <c r="O41">
        <f t="shared" ca="1" si="62"/>
        <v>18499.650559514648</v>
      </c>
      <c r="P41">
        <f t="shared" ca="1" si="62"/>
        <v>2105.6477228087638</v>
      </c>
      <c r="Q41">
        <f t="shared" ca="1" si="62"/>
        <v>3336.4040259691683</v>
      </c>
      <c r="R41">
        <f ca="1">SUM(G41:Q41,AS41,AU21*属性开关!$X$37)*IF(COUNTIF(F41,"*雷*")&gt;0,$B$21/$D$21,1)*(1+大附魔数值!$O$10*21/1024)</f>
        <v>813704.20419537323</v>
      </c>
      <c r="S41" s="36">
        <f t="shared" ca="1" si="60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3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180555.26423936812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101199.71918391943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58194.312905107639</v>
      </c>
      <c r="J42">
        <f ca="1">J22/$E$2*(3-属性开关!$X$37)/(3+2*$D$33)/(3+$D$33)</f>
        <v>8752.8893492258194</v>
      </c>
      <c r="N42">
        <f t="shared" ca="1" si="62"/>
        <v>32137.495599526119</v>
      </c>
      <c r="O42">
        <f t="shared" ca="1" si="62"/>
        <v>13876.164339557738</v>
      </c>
      <c r="P42">
        <f t="shared" ca="1" si="62"/>
        <v>1526.9131541340439</v>
      </c>
      <c r="Q42">
        <f t="shared" ca="1" si="62"/>
        <v>2419.5633388272058</v>
      </c>
      <c r="R42">
        <f ca="1">SUM(G42:Q42,AS42,AU22*属性开关!$X$37)*IF(COUNTIF(F42,"*雷*")&gt;0,$B$21/$D$21,1)*(1+大附魔数值!$O$10*21/1024)</f>
        <v>464959.69920366054</v>
      </c>
      <c r="S42" s="36">
        <f t="shared" ca="1" si="60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3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224255.00129648915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101199.71918391943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72717.577516560952</v>
      </c>
      <c r="J43">
        <f ca="1">J23/$E$2*(3-属性开关!$X$37)/(3+2*$D$33)/(3+$D$33)</f>
        <v>10847.091965401818</v>
      </c>
      <c r="N43">
        <f t="shared" ca="1" si="62"/>
        <v>40239.888531944853</v>
      </c>
      <c r="O43">
        <f t="shared" ca="1" si="62"/>
        <v>16109.905222526664</v>
      </c>
      <c r="P43">
        <f t="shared" ca="1" si="62"/>
        <v>1912.3031446409868</v>
      </c>
      <c r="Q43">
        <f t="shared" ca="1" si="62"/>
        <v>3029.9320093019178</v>
      </c>
      <c r="R43">
        <f ca="1">SUM(G43:Q43,AS43,AU23*属性开关!$X$37)*IF(COUNTIF(F43,"*雷*")&gt;0,$B$21/$D$21,1)*(1+大附魔数值!$O$10*21/1024)</f>
        <v>553238.85627650702</v>
      </c>
      <c r="S43" s="36">
        <f t="shared" ca="1" si="60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3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276052.72077315685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126749.19265670721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89513.656352929029</v>
      </c>
      <c r="J44">
        <f ca="1">J24/$E$2*(3-属性开关!$X$37)/(3+2*$D$33)/(3+$D$33)</f>
        <v>13585.612295910407</v>
      </c>
      <c r="N44">
        <f t="shared" ca="1" si="62"/>
        <v>50399.086332942592</v>
      </c>
      <c r="O44">
        <f t="shared" ca="1" si="62"/>
        <v>20177.106193549451</v>
      </c>
      <c r="P44">
        <f t="shared" ca="1" si="62"/>
        <v>2395.0943901101455</v>
      </c>
      <c r="Q44">
        <f t="shared" ca="1" si="62"/>
        <v>3794.8863799293695</v>
      </c>
      <c r="R44">
        <f ca="1">SUM(G44:Q44,AS44,AU24*属性开关!$X$37)*IF(COUNTIF(F44,"*雷*")&gt;0,$B$21/$D$21,1)*(1+大附魔数值!$O$10*21/1024)</f>
        <v>899594.91593691322</v>
      </c>
      <c r="S44" s="36">
        <f t="shared" ca="1" si="60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3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167495.12656471823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101199.71918391943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53855.55932434462</v>
      </c>
      <c r="J45">
        <f ca="1">J25/$E$2*(3-属性开关!$X$37)/(3+2*$D$33)/(3+$D$33)</f>
        <v>8127.0916016464425</v>
      </c>
      <c r="N45">
        <f ca="1">N34</f>
        <v>27279.482181334613</v>
      </c>
      <c r="O45">
        <f t="shared" ca="1" si="62"/>
        <v>12536.841890636224</v>
      </c>
      <c r="P45">
        <f t="shared" ca="1" si="62"/>
        <v>1295.8117101275586</v>
      </c>
      <c r="Q45">
        <f t="shared" ca="1" si="62"/>
        <v>2053.4995833189414</v>
      </c>
      <c r="R45">
        <f ca="1">SUM(G45:Q45,AS45,AU22*属性开关!$X$37)*IF(COUNTIF(F45,"*雷*")&gt;0,$B$21/$D$21,1)*(1+大附魔数值!$O$10*21/1024)</f>
        <v>440140.50913404062</v>
      </c>
      <c r="S45" s="36">
        <f t="shared" si="60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3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222259.35499782386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126749.19265670721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71635.853461926323</v>
      </c>
      <c r="J46">
        <f ca="1">J47/$E$2*(3-属性开关!X37)/(3+2*$D$33)/(3+$D$33)</f>
        <v>10962.695028941844</v>
      </c>
      <c r="N46">
        <f ca="1">N48</f>
        <v>40251.11585384397</v>
      </c>
      <c r="O46">
        <f t="shared" ref="O46:Q46" ca="1" si="64">O48</f>
        <v>17379.422012172985</v>
      </c>
      <c r="P46">
        <f t="shared" ca="1" si="64"/>
        <v>1912.4065867383254</v>
      </c>
      <c r="Q46">
        <f t="shared" ca="1" si="64"/>
        <v>3030.4204621433987</v>
      </c>
      <c r="R46">
        <f ca="1">SUM(G46:Q46,AS46,AU25*属性开关!$X$37)*IF(COUNTIF(F46,"*雷*")&gt;0,$B$21/$D$21,1)*(1+大附魔数值!$O$10*21/1024)</f>
        <v>756353.56569531502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341206.32074180956</v>
      </c>
      <c r="H47">
        <f ca="1">INT(H$6*$E26+H$7*($C$8+$C$9)/2+H$8)*(H$14+H$15)*$D$21*IF(COUNTIF($F47,"*雷*")&gt;0,H$17*(H$13*0.25+H$16*(H$10+属性开关!$X$56)+1-H$16-H$13-H$12),H$11*(H$13*0.25+H$9*H$10+1-H$9-H$13-H$12))</f>
        <v>202806.03806403989</v>
      </c>
      <c r="I47">
        <f ca="1">INT(I$6*$E26+I$7*($C$8+$C$9)/2+I$8)*(I$14+I$15)*$D$21*IF(COUNTIF($F47,"*雷*")&gt;0,I$17*(I$13*0.25+I$16*(I$10+属性开关!$X$56)+1-I$16-I$13-I$12),I$11*(I$13*0.25+I$9*I$10+1-I$9-I$13-I$12))</f>
        <v>109973.35069735363</v>
      </c>
      <c r="J47">
        <f ca="1">INT(J$6*$E26+J$7*($C$8+$C$9)/2+J$8)*(J$14+J$15)*$D$21*IF(COUNTIF($F47,"*雷*")&gt;0,J$17*(J$13*0.25+J$16*(J$10+属性开关!$X$56)+1-J$16-J$13-J$12),J$11*(J$13*0.25+J$9*J$10+1-J$9-J$13-J$12))</f>
        <v>201183.91129458504</v>
      </c>
      <c r="K47">
        <f ca="1">INT(K$6*$E26+K$7*($C$8+$C$9)/2+K$8)*(K$14+K$15)*$D$21*IF(COUNTIF($F47,"*雷*")&gt;0,K$17*(K$13*0.25+K$16*(K$10+属性开关!$X$56)+1-K$16-K$13-K$12),K$11*(K$13*0.25+K$9*K$10+1-K$9-K$13-K$12))</f>
        <v>206702.43412051015</v>
      </c>
      <c r="L47">
        <f ca="1">INT(L$6*$E26+L$7*($C$8+$C$9)/2+L$8)*(L$14+L$15)*$D$21*IF(COUNTIF($F47,"*雷*")&gt;0,L$17*(L$13*0.25+L$16*(L$10+属性开关!$X$56)+1-L$16-L$13-L$12),L$11*(L$13*0.25+L$9*L$10+1-L$9-L$13-L$12))</f>
        <v>147102.17248635521</v>
      </c>
      <c r="M47">
        <f ca="1">INT(M$6*$E26+M$7*($C$8+$C$9)/2+M$8)*(M$14+M$15)*$D$21*IF(COUNTIF($F47,"*雷*")&gt;0,M$17*(M$13*0.25+M$16*(M$10+属性开关!$X$56)+1-M$16-M$13-M$12),M$11*(M$13*0.25+M$9*M$10+1-M$9-M$13-M$12))</f>
        <v>63711.029728023692</v>
      </c>
      <c r="N47">
        <f ca="1">INT(N$6*$E26+N$7*($C$8+$C$9)/2+N$8)*(N$14+N$15)*$D$21*IF(COUNTIF($F47,"*雷*")&gt;0,N$17*(N$13*0.25+N$16*(N$10+属性开关!$X$56)+1-N$16-N$13-N$12),N$11*(N$13*0.25+N$9*N$10+1-N$9-N$13-N$12))</f>
        <v>75470.842225957444</v>
      </c>
      <c r="O47">
        <f ca="1">INT(O$6*$E26+O$7*($C$8+$C$9)/2+O$8)*(O$14+O$15)*$D$21*IF(COUNTIF($F47,"*雷*")&gt;0,O$17*(O$13*0.25+O$16*(O$10+属性开关!$X$56)+1-O$16-O$13-O$12),O$11*(O$13*0.25+O$9*O$10+1-O$9-O$13-O$12))</f>
        <v>28241.560769781103</v>
      </c>
      <c r="P47">
        <f ca="1">INT(P$6*$E26+P$7*($C$8+$C$9)/2+P$8)*(P$14+P$15)*$D$21*IF(COUNTIF($F47,"*雷*")&gt;0,P$17*(P$13*0.25+P$16*(P$10+属性开关!$X$56)+1-P$16-P$13-P$12),P$11*(P$13*0.25+P$9*P$10+1-P$9-P$13-P$12))</f>
        <v>46290.738886210354</v>
      </c>
      <c r="Q47">
        <f ca="1">INT(Q$6*$E26+Q$7*($C$8+$C$9)/2+Q$8)*(Q$14+Q$15)*$D$21*IF(COUNTIF($F47,"*雷*")&gt;0,Q$17*(Q$13*0.25+Q$16*(Q$10+属性开关!$X$56)+1-Q$16-Q$13-Q$12),Q$11*(Q$13*0.25+Q$9*Q$10+1-Q$9-Q$13-Q$12))</f>
        <v>37052.281600790193</v>
      </c>
      <c r="R47">
        <f ca="1">INT(R$6*$E26+R$7*($C$8+$C$9)/2+R$8)*(R$14+R$15)*$D$21*IF(COUNTIF($F47,"*雷*")&gt;0,R$17*(R$13*0.25+R$16*(R$10+属性开关!$X$56)+1-R$16-R$13-R$12),R$11*(R$13*0.25+R$9*R$10+1-R$9-R$13-R$12))</f>
        <v>10516.016490703048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122886.51052479558</v>
      </c>
      <c r="H48">
        <f ca="1">(H47*$AD$38)/$AD$37/$E$2*$D$22+(H47*$AE$42)/$AF$41/$E$2*$C$22</f>
        <v>73041.221149907346</v>
      </c>
      <c r="I48">
        <f ca="1">(I47*$AD$38)/$AD$37/$E$2*$D$22+(I47*$AE$42)/$AF$41/$E$2*$C$22</f>
        <v>39607.242001075327</v>
      </c>
      <c r="J48">
        <f ca="1">J47*$AC$39/$AD$37/$E$2*$D$22+J47*$AE$43/$AF$41/$E$2*$C$22</f>
        <v>23998.418510833006</v>
      </c>
      <c r="K48">
        <f ca="1">K47*$AC$40/$AD$37/$E$2*$D$22+K47*$AE$44/$AF$41/$E$2*$C$22</f>
        <v>24656.700872906258</v>
      </c>
      <c r="L48">
        <f ca="1">L47*$AC$37/$AD$37/$E$2*$D$22+L47*$AE$41/$AF$41/$E$2*$C$22</f>
        <v>18034.147690044076</v>
      </c>
      <c r="M48">
        <f ca="1">M47*$AE$41/$AF$41/$E$2*$C$22</f>
        <v>0</v>
      </c>
      <c r="N48">
        <f ca="1">N47/$E$3</f>
        <v>40251.11585384397</v>
      </c>
      <c r="O48">
        <f ca="1">O47/$F$3</f>
        <v>17379.422012172985</v>
      </c>
      <c r="P48">
        <f ca="1">P47/$E$45*大附魔数值!$S$9</f>
        <v>1912.4065867383254</v>
      </c>
      <c r="Q48">
        <f ca="1">Q47/$E$47*大附魔数值!$S$10</f>
        <v>3030.4204621433987</v>
      </c>
      <c r="R48">
        <f ca="1">R47/45</f>
        <v>233.68925534895664</v>
      </c>
      <c r="S48">
        <f ca="1">SUM(G48:R48,AS48)*IF(COUNTIF(F48,"*雷*")&gt;0,$B$21/$D$21,1)</f>
        <v>478318.13940276706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5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6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55952.638000448322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6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91827.595688274901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6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55952.638000448322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91827.595688274901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55952.638000448322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55952.638000448322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91827.595688274901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95709.440495518997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101199.71918391943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126749.19265670721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101199.71918391943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126749.19265670721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101199.71918391943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101199.71918391943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126749.19265670721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101199.71918391943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126749.19265670721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17">
      <selection activeCell="AA36" sqref="AA36:AF44"/>
      <pageMargins left="0.7" right="0.7" top="0.75" bottom="0.75" header="0.3" footer="0.3"/>
      <pageSetup paperSize="9" orientation="portrait"/>
    </customSheetView>
  </customSheetViews>
  <phoneticPr fontId="11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Q96"/>
  <sheetViews>
    <sheetView topLeftCell="Q16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5" max="45" width="10.54296875" bestFit="1" customWidth="1"/>
    <col min="46" max="46" width="10.54296875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20640.29812371463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129820.33073608828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235670.9537941828</v>
      </c>
      <c r="U7">
        <f ca="1">INT(I$6*($E18+$E$19)/2+I$7*($C$8+$C$9)/2+I$8)*(I$14+I$15)*$D$21*IF(COUNTIF($S7,"*雷*")&gt;0,I$17*(I$13*0.25+I$9*I$10+1-I$9-I$13-I$12),I$11*(I$13*0.25+I$9*I$10+1-I$9-I$13-I$12))</f>
        <v>75557.76096672588</v>
      </c>
      <c r="V7">
        <f ca="1">INT(J$6*($E18+$E$19)/2+J$7*($C$8+$C$9)/2+J$8)*(J$14+J$15)*$D$21*IF(COUNTIF($S7,"*雷*")&gt;0,J$17*(J$13*0.25+J$9*J$10+1-J$9-J$13-J$12),J$11*(J$13*0.25+J$9*J$10+1-J$9-J$13-J$12))</f>
        <v>136840.38922865712</v>
      </c>
      <c r="W7">
        <f ca="1">INT(K$6*($E18+$E$19)/2+K$7*($C$8+$C$9)/2+K$8)*(K$14+K$15)*$D$21*IF(COUNTIF($S7,"*雷*")&gt;0,K$17*(K$13*0.25+K$9*K$10+1-K$9-K$13-K$12),K$11*(K$13*0.25+K$9*K$10+1-K$9-K$13-K$12))</f>
        <v>142827.76577910193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INT((1+IF(属性开关!$U$32&lt;0,INT(属性开关!$U$32)+1,INT(属性开关!$U$32))/1048576)*(属性开关!$T$17+属性开关!$AJ$26)*属性开关!$U$31)</f>
        <v>103947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535304.47411221953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354860.53999487701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463922.55072568217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302749.87696781749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235670.9537941828</v>
      </c>
      <c r="H18">
        <f ca="1">INT(H$6*$E18+H$7*($C$8+$C$9)/2+H$8)*(H$14+H$15)*$D$21*IF(COUNTIF($F18,"*雷*")&gt;0,H$17*(H$13*0.25+H$16*(H$10+属性开关!$X$56)+1-H$16-H$13-H$12),H$11*(H$13*0.25+H$9*H$10+1-H$9-H$13-H$12))</f>
        <v>165848.86208302554</v>
      </c>
      <c r="I18">
        <f ca="1">INT(I$6*$E18+I$7*($C$8+$C$9)/2+I$8)*(I$14+I$15)*$D$21*IF(COUNTIF($F18,"*雷*")&gt;0,I$17*(I$13*0.25+I$16*(I$10+属性开关!$X$56)+1-I$16-I$13-I$12),I$11*(I$13*0.25+I$9*I$10+1-I$9-I$13-I$12))</f>
        <v>75557.76096672588</v>
      </c>
      <c r="J18">
        <f ca="1">INT(J$6*$E18+J$7*($C$8+$C$9)/2+J$8)*(J$14+J$15)*$D$21*IF(COUNTIF($F18,"*雷*")&gt;0,J$17*(J$13*0.25+J$16*(J$10+属性开关!$X$56)+1-J$16-J$13-J$12),J$11*(J$13*0.25+J$9*J$10+1-J$9-J$13-J$12))</f>
        <v>136840.38922865712</v>
      </c>
      <c r="K18">
        <f ca="1">INT(K$6*$E18+K$7*($C$8+$C$9)/2+K$8)*(K$14+K$15)*$D$21*IF(COUNTIF($F18,"*雷*")&gt;0,K$17*(K$13*0.25+K$16*(K$10+属性开关!$X$56)+1-K$16-K$13-K$12),K$11*(K$13*0.25+K$9*K$10+1-K$9-K$13-K$12))</f>
        <v>142827.76577910193</v>
      </c>
      <c r="L18">
        <f ca="1">INT(L$6*$E18+L$7*($C$8+$C$9)/2+L$8)*(L$14+L$15)*$D$21*IF(COUNTIF($F18,"*雷*")&gt;0,L$17*(L$13*0.25+L$16*(L$10+属性开关!$X$56)+1-L$16-L$13-L$12),L$11*(L$13*0.25+L$9*L$10+1-L$9-L$13-L$12))</f>
        <v>100891.61436436513</v>
      </c>
      <c r="M18">
        <f ca="1">INT(M$6*$E18+M$7*($C$8+$C$9)/2+M$8)*(M$14+M$15)*$D$21*IF(COUNTIF($F18,"*雷*")&gt;0,M$17*(M$13*0.25+M$16*(M$10+属性开关!$X$56)+1-M$16-M$13-M$12),M$11*(M$13*0.25+M$9*M$10+1-M$9-M$13-M$12))</f>
        <v>43460.801898729558</v>
      </c>
      <c r="N18">
        <f ca="1">INT(N$6*$E18+N$7*($C$8+$C$9)/2+N$8)*(N$14+N$15)*$D$21*IF(COUNTIF($F18,"*雷*")&gt;0,N$17*(N$13*0.25+N$16*(N$10+属性开关!$X$56)+1-N$16-N$13-N$12),N$11*(N$13*0.25+N$9*N$10+1-N$9-N$13-N$12))</f>
        <v>50871.358660232479</v>
      </c>
      <c r="O18">
        <f ca="1">INT(O$6*$E18+O$7*($C$8+$C$9)/2+O$8)*(O$14+O$15)*$D$21*IF(COUNTIF($F18,"*雷*")&gt;0,O$17*(O$13*0.25+O$16*(O$10+属性开关!$X$56)+1-O$16-O$13-O$12),O$11*(O$13*0.25+O$9*O$10+1-O$9-O$13-O$12))</f>
        <v>20261.773515579607</v>
      </c>
      <c r="P18">
        <f ca="1">INT(P$6*$E18+P$7*($C$8+$C$9)/2+P$8)*(P$14+P$15)*$D$21*IF(COUNTIF($F18,"*雷*")&gt;0,P$17*(P$13*0.25+P$16*(P$10+属性开关!$X$56)+1-P$16-P$13-P$12),P$11*(P$13*0.25+P$9*P$10+1-P$9-P$13-P$12))</f>
        <v>31195.483770068546</v>
      </c>
      <c r="Q18">
        <f ca="1">INT(Q$6*$E18+Q$7*($C$8+$C$9)/2+Q$8)*(Q$14+Q$15)*$D$21*IF(COUNTIF($F18,"*雷*")&gt;0,Q$17*(Q$13*0.25+Q$16*(Q$10+属性开关!$X$56)+1-Q$16-Q$13-Q$12),Q$11*(Q$13*0.25+Q$9*Q$10+1-Q$9-Q$13-Q$12))</f>
        <v>24971.384844790442</v>
      </c>
      <c r="R18">
        <f ca="1">INT(R$6*$E18+R$7*($C$8+$C$9)/2+R$8)*(R$14+R$15)*$D$21*IF(COUNTIF($F18,"*雷*")&gt;0,R$17*(R$13*0.25+R$16*(R$10+属性开关!$X$56)+1-R$16-R$13-R$12),R$11*(R$13*0.25+R$9*R$10+1-R$9-R$13-R$12))</f>
        <v>7093.761301659636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25259.235705234398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56020.262673684163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69080.657826879105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55957.347238226808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150600.13023505622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69227.6098452976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62398.468854524333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187350.61431336327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8232.3720135240728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13986.007133854637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151377.91437944505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195496.73537300687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146243.05091592669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62996.714890190022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196353.53945636572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147807.90289674691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20968.263670374272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76737.727959873489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29537.840676232485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290105.49430768745</v>
      </c>
      <c r="H19">
        <f ca="1">INT(H$6*$E19+H$7*($C$8+$C$9)/2+H$8)*(H$14+H$15)*$D$21*IF(COUNTIF($F19,"*雷*")&gt;0,H$17*(H$13*0.25+H$16*(H$10+属性开关!$X$56)+1-H$16-H$13-H$12),H$11*(H$13*0.25+H$9*H$10+1-H$9-H$13-H$12))</f>
        <v>207720.03659272337</v>
      </c>
      <c r="I19">
        <f ca="1">INT(I$6*$E19+I$7*($C$8+$C$9)/2+I$8)*(I$14+I$15)*$D$21*IF(COUNTIF($F19,"*雷*")&gt;0,I$17*(I$13*0.25+I$16*(I$10+属性开关!$X$56)+1-I$16-I$13-I$12),I$11*(I$13*0.25+I$9*I$10+1-I$9-I$13-I$12))</f>
        <v>93009.856501778035</v>
      </c>
      <c r="J19">
        <f ca="1">INT(J$6*$E19+J$7*($C$8+$C$9)/2+J$8)*(J$14+J$15)*$D$21*IF(COUNTIF($F19,"*雷*")&gt;0,J$17*(J$13*0.25+J$16*(J$10+属性开关!$X$56)+1-J$16-J$13-J$12),J$11*(J$13*0.25+J$9*J$10+1-J$9-J$13-J$12))</f>
        <v>171387.91488186148</v>
      </c>
      <c r="K19">
        <f ca="1">INT(K$6*$E19+K$7*($C$8+$C$9)/2+K$8)*(K$14+K$15)*$D$21*IF(COUNTIF($F19,"*雷*")&gt;0,K$17*(K$13*0.25+K$16*(K$10+属性开关!$X$56)+1-K$16-K$13-K$12),K$11*(K$13*0.25+K$9*K$10+1-K$9-K$13-K$12))</f>
        <v>176339.27037216531</v>
      </c>
      <c r="L19">
        <f ca="1">INT(L$6*$E19+L$7*($C$8+$C$9)/2+L$8)*(L$14+L$15)*$D$21*IF(COUNTIF($F19,"*雷*")&gt;0,L$17*(L$13*0.25+L$16*(L$10+属性开关!$X$56)+1-L$16-L$13-L$12),L$11*(L$13*0.25+L$9*L$10+1-L$9-L$13-L$12))</f>
        <v>125736.0643636717</v>
      </c>
      <c r="M19">
        <f ca="1">INT(M$6*$E19+M$7*($C$8+$C$9)/2+M$8)*(M$14+M$15)*$D$21*IF(COUNTIF($F19,"*雷*")&gt;0,M$17*(M$13*0.25+M$16*(M$10+属性开关!$X$56)+1-M$16-M$13-M$12),M$11*(M$13*0.25+M$9*M$10+1-M$9-M$13-M$12))</f>
        <v>54162.976965561727</v>
      </c>
      <c r="N19">
        <f ca="1">INT(N$6*$E19+N$7*($C$8+$C$9)/2+N$8)*(N$14+N$15)*$D$21*IF(COUNTIF($F19,"*雷*")&gt;0,N$17*(N$13*0.25+N$16*(N$10+属性开关!$X$56)+1-N$16-N$13-N$12),N$11*(N$13*0.25+N$9*N$10+1-N$9-N$13-N$12))</f>
        <v>63714.639640609064</v>
      </c>
      <c r="O19">
        <f ca="1">INT(O$6*$E19+O$7*($C$8+$C$9)/2+O$8)*(O$14+O$15)*$D$21*IF(COUNTIF($F19,"*雷*")&gt;0,O$17*(O$13*0.25+O$16*(O$10+属性开关!$X$56)+1-O$16-O$13-O$12),O$11*(O$13*0.25+O$9*O$10+1-O$9-O$13-O$12))</f>
        <v>25377.179458624898</v>
      </c>
      <c r="P19">
        <f ca="1">INT(P$6*$E19+P$7*($C$8+$C$9)/2+P$8)*(P$14+P$15)*$D$21*IF(COUNTIF($F19,"*雷*")&gt;0,P$17*(P$13*0.25+P$16*(P$10+属性开关!$X$56)+1-P$16-P$13-P$12),P$11*(P$13*0.25+P$9*P$10+1-P$9-P$13-P$12))</f>
        <v>39071.278203901282</v>
      </c>
      <c r="Q19">
        <f ca="1">INT(Q$6*$E19+Q$7*($C$8+$C$9)/2+Q$8)*(Q$14+Q$15)*$D$21*IF(COUNTIF($F19,"*雷*")&gt;0,Q$17*(Q$13*0.25+Q$16*(Q$10+属性开关!$X$56)+1-Q$16-Q$13-Q$12),Q$11*(Q$13*0.25+Q$9*Q$10+1-Q$9-Q$13-Q$12))</f>
        <v>31275.806831488284</v>
      </c>
      <c r="R19">
        <f ca="1">INT(R$6*$E19+R$7*($C$8+$C$9)/2+R$8)*(R$14+R$15)*$D$21*IF(COUNTIF($F19,"*雷*")&gt;0,R$17*(R$13*0.25+R$16*(R$10+属性开关!$X$56)+1-R$16-R$13-R$12),R$11*(R$13*0.25+R$9*R$10+1-R$9-R$13-R$12))</f>
        <v>8884.6938028620771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40595.201762391465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70163.466100155027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111022.4899552186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89931.454289936388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188621.5206447083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111258.66285081627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100283.25727562662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301099.21286267962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13510.693254664793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17516.996361277517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243285.9429444311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314191.19362790009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233866.83290483747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100742.1693031246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315568.20024206239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234165.36323806382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33698.996447840771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123328.49598743097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47471.531437847363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302393.3729809706</v>
      </c>
      <c r="H20">
        <f ca="1">INT(H$6*$E20+H$7*($C$8+$C$9)/2+H$8)*(H$14+H$15)*$D$21*IF(COUNTIF($F20,"*雷*")&gt;0,H$17*(H$13*0.25+H$16*(H$10+属性开关!$X$56)+1-H$16-H$13-H$12),H$11*(H$13*0.25+H$9*H$10+1-H$9-H$13-H$12))</f>
        <v>165848.86208302554</v>
      </c>
      <c r="I20">
        <f ca="1">INT(I$6*$E20+I$7*($C$8+$C$9)/2+I$8)*(I$14+I$15)*$D$21*IF(COUNTIF($F20,"*雷*")&gt;0,I$17*(I$13*0.25+I$16*(I$10+属性开关!$X$56)+1-I$16-I$13-I$12),I$11*(I$13*0.25+I$9*I$10+1-I$9-I$13-I$12))</f>
        <v>97732.433278813012</v>
      </c>
      <c r="J20">
        <f ca="1">INT(J$6*$E20+J$7*($C$8+$C$9)/2+J$8)*(J$14+J$15)*$D$21*IF(COUNTIF($F20,"*雷*")&gt;0,J$17*(J$13*0.25+J$16*(J$10+属性开关!$X$56)+1-J$16-J$13-J$12),J$11*(J$13*0.25+J$9*J$10+1-J$9-J$13-J$12))</f>
        <v>175062.00943766918</v>
      </c>
      <c r="K20">
        <f ca="1">INT(K$6*$E20+K$7*($C$8+$C$9)/2+K$8)*(K$14+K$15)*$D$21*IF(COUNTIF($F20,"*雷*")&gt;0,K$17*(K$13*0.25+K$16*(K$10+属性开关!$X$56)+1-K$16-K$13-K$12),K$11*(K$13*0.25+K$9*K$10+1-K$9-K$13-K$12))</f>
        <v>182328.52710602822</v>
      </c>
      <c r="L20">
        <f ca="1">INT(L$6*$E20+L$7*($C$8+$C$9)/2+L$8)*(L$14+L$15)*$D$21*IF(COUNTIF($F20,"*雷*")&gt;0,L$17*(L$13*0.25+L$16*(L$10+属性开关!$X$56)+1-L$16-L$13-L$12),L$11*(L$13*0.25+L$9*L$10+1-L$9-L$13-L$12))</f>
        <v>128414.9827823259</v>
      </c>
      <c r="M20">
        <f ca="1">INT(M$6*$E20+M$7*($C$8+$C$9)/2+M$8)*(M$14+M$15)*$D$21*IF(COUNTIF($F20,"*雷*")&gt;0,M$17*(M$13*0.25+M$16*(M$10+属性开关!$X$56)+1-M$16-M$13-M$12),M$11*(M$13*0.25+M$9*M$10+1-M$9-M$13-M$12))</f>
        <v>55773.543591375099</v>
      </c>
      <c r="N20">
        <f ca="1">INT(N$6*$E20+N$7*($C$8+$C$9)/2+N$8)*(N$14+N$15)*$D$21*IF(COUNTIF($F20,"*雷*")&gt;0,N$17*(N$13*0.25+N$16*(N$10+属性开关!$X$56)+1-N$16-N$13-N$12),N$11*(N$13*0.25+N$9*N$10+1-N$9-N$13-N$12))</f>
        <v>65977.682327121234</v>
      </c>
      <c r="O20">
        <f ca="1">INT(O$6*$E20+O$7*($C$8+$C$9)/2+O$8)*(O$14+O$15)*$D$21*IF(COUNTIF($F20,"*雷*")&gt;0,O$17*(O$13*0.25+O$16*(O$10+属性开关!$X$56)+1-O$16-O$13-O$12),O$11*(O$13*0.25+O$9*O$10+1-O$9-O$13-O$12))</f>
        <v>23871.897361602711</v>
      </c>
      <c r="P20">
        <f ca="1">INT(P$6*$E20+P$7*($C$8+$C$9)/2+P$8)*(P$14+P$15)*$D$21*IF(COUNTIF($F20,"*雷*")&gt;0,P$17*(P$13*0.25+P$16*(P$10+属性开关!$X$56)+1-P$16-P$13-P$12),P$11*(P$13*0.25+P$9*P$10+1-P$9-P$13-P$12))</f>
        <v>40473.395908108068</v>
      </c>
      <c r="Q20">
        <f ca="1">INT(Q$6*$E20+Q$7*($C$8+$C$9)/2+Q$8)*(Q$14+Q$15)*$D$21*IF(COUNTIF($F20,"*雷*")&gt;0,Q$17*(Q$13*0.25+Q$16*(Q$10+属性开关!$X$56)+1-Q$16-Q$13-Q$12),Q$11*(Q$13*0.25+Q$9*Q$10+1-Q$9-Q$13-Q$12))</f>
        <v>32393.714555222061</v>
      </c>
      <c r="R20">
        <f ca="1">INT(R$6*$E20+R$7*($C$8+$C$9)/2+R$8)*(R$14+R$15)*$D$21*IF(COUNTIF($F20,"*雷*")&gt;0,R$17*(R$13*0.25+R$16*(R$10+属性开关!$X$56)+1-R$16-R$13-R$12),R$11*(R$13*0.25+R$9*R$10+1-R$9-R$13-R$12))</f>
        <v>9188.6086496134212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30635.367974566547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72560.044126241832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89563.127360375831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72599.250537550746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195462.87275504743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89710.079378794311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80960.655270934658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243165.96297199471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10681.69827093463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18150.616981268347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193343.25951929763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250234.57534785906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186138.3523667409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80844.114018617533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251198.09561482468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188685.98190827318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24704.265784301395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99525.107470727904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38317.47359590749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372239.24939272163</v>
      </c>
      <c r="H21">
        <f ca="1">INT(H$6*$E21+H$7*($C$8+$C$9)/2+H$8)*(H$14+H$15)*$D$21*IF(COUNTIF($F21,"*雷*")&gt;0,H$17*(H$13*0.25+H$16*(H$10+属性开关!$X$56)+1-H$16-H$13-H$12),H$11*(H$13*0.25+H$9*H$10+1-H$9-H$13-H$12))</f>
        <v>207720.03659272337</v>
      </c>
      <c r="I21">
        <f ca="1">INT(I$6*$E21+I$7*($C$8+$C$9)/2+I$8)*(I$14+I$15)*$D$21*IF(COUNTIF($F21,"*雷*")&gt;0,I$17*(I$13*0.25+I$16*(I$10+属性开关!$X$56)+1-I$16-I$13-I$12),I$11*(I$13*0.25+I$9*I$10+1-I$9-I$13-I$12))</f>
        <v>120306.36533598558</v>
      </c>
      <c r="J21">
        <f ca="1">INT(J$6*$E21+J$7*($C$8+$C$9)/2+J$8)*(J$14+J$15)*$D$21*IF(COUNTIF($F21,"*雷*")&gt;0,J$17*(J$13*0.25+J$16*(J$10+属性开关!$X$56)+1-J$16-J$13-J$12),J$11*(J$13*0.25+J$9*J$10+1-J$9-J$13-J$12))</f>
        <v>219259.18905722859</v>
      </c>
      <c r="K21">
        <f ca="1">INT(K$6*$E21+K$7*($C$8+$C$9)/2+K$8)*(K$14+K$15)*$D$21*IF(COUNTIF($F21,"*雷*")&gt;0,K$17*(K$13*0.25+K$16*(K$10+属性开关!$X$56)+1-K$16-K$13-K$12),K$11*(K$13*0.25+K$9*K$10+1-K$9-K$13-K$12))</f>
        <v>225108.047182048</v>
      </c>
      <c r="L21">
        <f ca="1">INT(L$6*$E21+L$7*($C$8+$C$9)/2+L$8)*(L$14+L$15)*$D$21*IF(COUNTIF($F21,"*雷*")&gt;0,L$17*(L$13*0.25+L$16*(L$10+属性开关!$X$56)+1-L$16-L$13-L$12),L$11*(L$13*0.25+L$9*L$10+1-L$9-L$13-L$12))</f>
        <v>160037.03223606283</v>
      </c>
      <c r="M21">
        <f ca="1">INT(M$6*$E21+M$7*($C$8+$C$9)/2+M$8)*(M$14+M$15)*$D$21*IF(COUNTIF($F21,"*雷*")&gt;0,M$17*(M$13*0.25+M$16*(M$10+属性开关!$X$56)+1-M$16-M$13-M$12),M$11*(M$13*0.25+M$9*M$10+1-M$9-M$13-M$12))</f>
        <v>69507.717871071029</v>
      </c>
      <c r="N21">
        <f ca="1">INT(N$6*$E21+N$7*($C$8+$C$9)/2+N$8)*(N$14+N$15)*$D$21*IF(COUNTIF($F21,"*雷*")&gt;0,N$17*(N$13*0.25+N$16*(N$10+属性开关!$X$56)+1-N$16-N$13-N$12),N$11*(N$13*0.25+N$9*N$10+1-N$9-N$13-N$12))</f>
        <v>82634.794204568636</v>
      </c>
      <c r="O21">
        <f ca="1">INT(O$6*$E21+O$7*($C$8+$C$9)/2+O$8)*(O$14+O$15)*$D$21*IF(COUNTIF($F21,"*雷*")&gt;0,O$17*(O$13*0.25+O$16*(O$10+属性开关!$X$56)+1-O$16-O$13-O$12),O$11*(O$13*0.25+O$9*O$10+1-O$9-O$13-O$12))</f>
        <v>29898.73630249867</v>
      </c>
      <c r="P21">
        <f ca="1">INT(P$6*$E21+P$7*($C$8+$C$9)/2+P$8)*(P$14+P$15)*$D$21*IF(COUNTIF($F21,"*雷*")&gt;0,P$17*(P$13*0.25+P$16*(P$10+属性开关!$X$56)+1-P$16-P$13-P$12),P$11*(P$13*0.25+P$9*P$10+1-P$9-P$13-P$12))</f>
        <v>50691.546348115997</v>
      </c>
      <c r="Q21">
        <f ca="1">INT(Q$6*$E21+Q$7*($C$8+$C$9)/2+Q$8)*(Q$14+Q$15)*$D$21*IF(COUNTIF($F21,"*雷*")&gt;0,Q$17*(Q$13*0.25+Q$16*(Q$10+属性开关!$X$56)+1-Q$16-Q$13-Q$12),Q$11*(Q$13*0.25+Q$9*Q$10+1-Q$9-Q$13-Q$12))</f>
        <v>40572.021346860056</v>
      </c>
      <c r="R21">
        <f ca="1">INT(R$6*$E21+R$7*($C$8+$C$9)/2+R$8)*(R$14+R$15)*$D$21*IF(COUNTIF($F21,"*雷*")&gt;0,R$17*(R$13*0.25+R$16*(R$10+属性开关!$X$56)+1-R$16-R$13-R$12),R$11*(R$13*0.25+R$9*R$10+1-R$9-R$13-R$12))</f>
        <v>11508.418574366955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49235.41466200885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90878.977593028641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143940.74579666625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116677.37130936008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244810.57374316957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144176.91869226392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130115.3437060623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390802.45514113962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17530.44548283266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22733.027988109716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310730.2501618375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402162.72545679635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297666.02021425357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129283.11318806466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403711.24022961344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298926.6515901158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39703.285784598644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159951.07157421421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61581.65630200084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275678.63878021308</v>
      </c>
      <c r="H22">
        <f ca="1">INT(H$6*$E22+H$7*($C$8+$C$9)/2+H$8)*(H$14+H$15)*$D$21*IF(COUNTIF($F22,"*雷*")&gt;0,H$17*(H$13*0.25+H$16*(H$10+属性开关!$X$56)+1-H$16-H$13-H$12),H$11*(H$13*0.25+H$9*H$10+1-H$9-H$13-H$12))</f>
        <v>165848.86208302554</v>
      </c>
      <c r="I22">
        <f ca="1">INT(I$6*$E22+I$7*($C$8+$C$9)/2+I$8)*(I$14+I$15)*$D$21*IF(COUNTIF($F22,"*雷*")&gt;0,I$17*(I$13*0.25+I$16*(I$10+属性开关!$X$56)+1-I$16-I$13-I$12),I$11*(I$13*0.25+I$9*I$10+1-I$9-I$13-I$12))</f>
        <v>88853.288404602892</v>
      </c>
      <c r="J22">
        <f ca="1">INT(J$6*$E22+J$7*($C$8+$C$9)/2+J$8)*(J$14+J$15)*$D$21*IF(COUNTIF($F22,"*雷*")&gt;0,J$17*(J$13*0.25+J$16*(J$10+属性开关!$X$56)+1-J$16-J$13-J$12),J$11*(J$13*0.25+J$9*J$10+1-J$9-J$13-J$12))</f>
        <v>159758.2502613205</v>
      </c>
      <c r="K22">
        <f ca="1">INT(K$6*$E22+K$7*($C$8+$C$9)/2+K$8)*(K$14+K$15)*$D$21*IF(COUNTIF($F22,"*雷*")&gt;0,K$17*(K$13*0.25+K$16*(K$10+属性开关!$X$56)+1-K$16-K$13-K$12),K$11*(K$13*0.25+K$9*K$10+1-K$9-K$13-K$12))</f>
        <v>166511.84637432758</v>
      </c>
      <c r="L22">
        <f ca="1">INT(L$6*$E22+L$7*($C$8+$C$9)/2+L$8)*(L$14+L$15)*$D$21*IF(COUNTIF($F22,"*雷*")&gt;0,L$17*(L$13*0.25+L$16*(L$10+属性开关!$X$56)+1-L$16-L$13-L$12),L$11*(L$13*0.25+L$9*L$10+1-L$9-L$13-L$12))</f>
        <v>117395.17238729959</v>
      </c>
      <c r="M22">
        <f ca="1">INT(M$6*$E22+M$7*($C$8+$C$9)/2+M$8)*(M$14+M$15)*$D$21*IF(COUNTIF($F22,"*雷*")&gt;0,M$17*(M$13*0.25+M$16*(M$10+属性开关!$X$56)+1-M$16-M$13-M$12),M$11*(M$13*0.25+M$9*M$10+1-M$9-M$13-M$12))</f>
        <v>50844.710118659023</v>
      </c>
      <c r="N22">
        <f ca="1">INT(N$6*$E22+N$7*($C$8+$C$9)/2+N$8)*(N$14+N$15)*$D$21*IF(COUNTIF($F22,"*雷*")&gt;0,N$17*(N$13*0.25+N$16*(N$10+属性开关!$X$56)+1-N$16-N$13-N$12),N$11*(N$13*0.25+N$9*N$10+1-N$9-N$13-N$12))</f>
        <v>59930.685422018963</v>
      </c>
      <c r="O22">
        <f ca="1">INT(O$6*$E22+O$7*($C$8+$C$9)/2+O$8)*(O$14+O$15)*$D$21*IF(COUNTIF($F22,"*雷*")&gt;0,O$17*(O$13*0.25+O$16*(O$10+属性开关!$X$56)+1-O$16-O$13-O$12),O$11*(O$13*0.25+O$9*O$10+1-O$9-O$13-O$12))</f>
        <v>22426.357575991806</v>
      </c>
      <c r="P22">
        <f ca="1">INT(P$6*$E22+P$7*($C$8+$C$9)/2+P$8)*(P$14+P$15)*$D$21*IF(COUNTIF($F22,"*雷*")&gt;0,P$17*(P$13*0.25+P$16*(P$10+属性开关!$X$56)+1-P$16-P$13-P$12),P$11*(P$13*0.25+P$9*P$10+1-P$9-P$13-P$12))</f>
        <v>36759.040025501701</v>
      </c>
      <c r="Q22">
        <f ca="1">INT(Q$6*$E22+Q$7*($C$8+$C$9)/2+Q$8)*(Q$14+Q$15)*$D$21*IF(COUNTIF($F22,"*雷*")&gt;0,Q$17*(Q$13*0.25+Q$16*(Q$10+属性开关!$X$56)+1-Q$16-Q$13-Q$12),Q$11*(Q$13*0.25+Q$9*Q$10+1-Q$9-Q$13-Q$12))</f>
        <v>29422.868054615083</v>
      </c>
      <c r="R22">
        <f ca="1">INT(R$6*$E22+R$7*($C$8+$C$9)/2+R$8)*(R$14+R$15)*$D$21*IF(COUNTIF($F22,"*雷*")&gt;0,R$17*(R$13*0.25+R$16*(R$10+属性开关!$X$56)+1-R$16-R$13-R$12),R$11*(R$13*0.25+R$9*R$10+1-R$9-R$13-R$12))</f>
        <v>8350.6697104319064</v>
      </c>
      <c r="T22" s="34">
        <f ca="1">(G21+I21)/(G14+G15)*(G14+D38)</f>
        <v>477540.34066576266</v>
      </c>
      <c r="U22">
        <f ca="1">K20/(K14+K15)*(K14+D35)</f>
        <v>163617.77856554103</v>
      </c>
      <c r="V22">
        <f ca="1">T22+U22</f>
        <v>641158.11923130369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28482.273232794705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65937.471509903786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81361.88381560531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65935.224174213974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177500.41605735652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81508.835834023805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73527.194743743821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220817.69814846563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9700.9891862373042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16483.09243454384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176539.4471932266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228316.5973154401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170165.06555953826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73699.737857647604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229238.59010477603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172317.80309522816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23208.32272939559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90403.416686387165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34803.355690396995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342401.05796700093</v>
      </c>
      <c r="H23">
        <f ca="1">INT(H$6*$E23+H$7*($C$8+$C$9)/2+H$8)*(H$14+H$15)*$D$21*IF(COUNTIF($F23,"*雷*")&gt;0,H$17*(H$13*0.25+H$16*(H$10+属性开关!$X$56)+1-H$16-H$13-H$12),H$11*(H$13*0.25+H$9*H$10+1-H$9-H$13-H$12))</f>
        <v>165848.86208302554</v>
      </c>
      <c r="I23">
        <f ca="1">INT(I$6*$E23+I$7*($C$8+$C$9)/2+I$8)*(I$14+I$15)*$D$21*IF(COUNTIF($F23,"*雷*")&gt;0,I$17*(I$13*0.25+I$16*(I$10+属性开关!$X$56)+1-I$16-I$13-I$12),I$11*(I$13*0.25+I$9*I$10+1-I$9-I$13-I$12))</f>
        <v>111027.96071669002</v>
      </c>
      <c r="J23">
        <f ca="1">INT(J$6*$E23+J$7*($C$8+$C$9)/2+J$8)*(J$14+J$15)*$D$21*IF(COUNTIF($F23,"*雷*")&gt;0,J$17*(J$13*0.25+J$16*(J$10+属性开关!$X$56)+1-J$16-J$13-J$12),J$11*(J$13*0.25+J$9*J$10+1-J$9-J$13-J$12))</f>
        <v>197981.75935692553</v>
      </c>
      <c r="K23">
        <f ca="1">INT(K$6*$E23+K$7*($C$8+$C$9)/2+K$8)*(K$14+K$15)*$D$21*IF(COUNTIF($F23,"*雷*")&gt;0,K$17*(K$13*0.25+K$16*(K$10+属性开关!$X$56)+1-K$16-K$13-K$12),K$11*(K$13*0.25+K$9*K$10+1-K$9-K$13-K$12))</f>
        <v>206012.6077012539</v>
      </c>
      <c r="L23">
        <f ca="1">INT(L$6*$E23+L$7*($C$8+$C$9)/2+L$8)*(L$14+L$15)*$D$21*IF(COUNTIF($F23,"*雷*")&gt;0,L$17*(L$13*0.25+L$16*(L$10+属性开关!$X$56)+1-L$16-L$13-L$12),L$11*(L$13*0.25+L$9*L$10+1-L$9-L$13-L$12))</f>
        <v>144918.54080526036</v>
      </c>
      <c r="M23">
        <f ca="1">INT(M$6*$E23+M$7*($C$8+$C$9)/2+M$8)*(M$14+M$15)*$D$21*IF(COUNTIF($F23,"*雷*")&gt;0,M$17*(M$13*0.25+M$16*(M$10+属性开关!$X$56)+1-M$16-M$13-M$12),M$11*(M$13*0.25+M$9*M$10+1-M$9-M$13-M$12))</f>
        <v>63157.451811304556</v>
      </c>
      <c r="N23">
        <f ca="1">INT(N$6*$E23+N$7*($C$8+$C$9)/2+N$8)*(N$14+N$15)*$D$21*IF(COUNTIF($F23,"*雷*")&gt;0,N$17*(N$13*0.25+N$16*(N$10+属性开关!$X$56)+1-N$16-N$13-N$12),N$11*(N$13*0.25+N$9*N$10+1-N$9-N$13-N$12))</f>
        <v>75040.200116298278</v>
      </c>
      <c r="O23">
        <f ca="1">INT(O$6*$E23+O$7*($C$8+$C$9)/2+O$8)*(O$14+O$15)*$D$21*IF(COUNTIF($F23,"*雷*")&gt;0,O$17*(O$13*0.25+O$16*(O$10+属性开关!$X$56)+1-O$16-O$13-O$12),O$11*(O$13*0.25+O$9*O$10+1-O$9-O$13-O$12))</f>
        <v>26036.481422014909</v>
      </c>
      <c r="P23">
        <f ca="1">INT(P$6*$E23+P$7*($C$8+$C$9)/2+P$8)*(P$14+P$15)*$D$21*IF(COUNTIF($F23,"*雷*")&gt;0,P$17*(P$13*0.25+P$16*(P$10+属性开关!$X$56)+1-P$16-P$13-P$12),P$11*(P$13*0.25+P$9*P$10+1-P$9-P$13-P$12))</f>
        <v>46036.952163541209</v>
      </c>
      <c r="Q23">
        <f ca="1">INT(Q$6*$E23+Q$7*($C$8+$C$9)/2+Q$8)*(Q$14+Q$15)*$D$21*IF(COUNTIF($F23,"*雷*")&gt;0,Q$17*(Q$13*0.25+Q$16*(Q$10+属性开关!$X$56)+1-Q$16-Q$13-Q$12),Q$11*(Q$13*0.25+Q$9*Q$10+1-Q$9-Q$13-Q$12))</f>
        <v>36845.197765046694</v>
      </c>
      <c r="R23">
        <f ca="1">INT(R$6*$E23+R$7*($C$8+$C$9)/2+R$8)*(R$14+R$15)*$D$21*IF(COUNTIF($F23,"*雷*")&gt;0,R$17*(R$13*0.25+R$16*(R$10+属性开关!$X$56)+1-R$16-R$13-R$12),R$11*(R$13*0.25+R$9*R$10+1-R$9-R$13-R$12))</f>
        <v>10445.517058385693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33860.056648401216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82477.252962461425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101844.35334910205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82577.127473537912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222363.15857734776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101991.30536752052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92089.381160154138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276631.39566082269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12150.315443647862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20647.755465747392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218504.79233307921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283057.03297693754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210060.36701035246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91547.136986075115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284085.85664406815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213195.8821067544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26944.324843322713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113195.60975438371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43582.988610071996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421487.78444602631</v>
      </c>
      <c r="H24">
        <f ca="1">INT(H$6*$E24+H$7*($C$8+$C$9)/2+H$8)*(H$14+H$15)*$D$21*IF(COUNTIF($F24,"*雷*")&gt;0,H$17*(H$13*0.25+H$16*(H$10+属性开关!$X$56)+1-H$16-H$13-H$12),H$11*(H$13*0.25+H$9*H$10+1-H$9-H$13-H$12))</f>
        <v>207720.03659272337</v>
      </c>
      <c r="I24">
        <f ca="1">INT(I$6*$E24+I$7*($C$8+$C$9)/2+I$8)*(I$14+I$15)*$D$21*IF(COUNTIF($F24,"*雷*")&gt;0,I$17*(I$13*0.25+I$16*(I$10+属性开关!$X$56)+1-I$16-I$13-I$12),I$11*(I$13*0.25+I$9*I$10+1-I$9-I$13-I$12))</f>
        <v>136672.85215733241</v>
      </c>
      <c r="J24">
        <f ca="1">INT(J$6*$E24+J$7*($C$8+$C$9)/2+J$8)*(J$14+J$15)*$D$21*IF(COUNTIF($F24,"*雷*")&gt;0,J$17*(J$13*0.25+J$16*(J$10+属性开关!$X$56)+1-J$16-J$13-J$12),J$11*(J$13*0.25+J$9*J$10+1-J$9-J$13-J$12))</f>
        <v>247965.39320073754</v>
      </c>
      <c r="K24">
        <f ca="1">INT(K$6*$E24+K$7*($C$8+$C$9)/2+K$8)*(K$14+K$15)*$D$21*IF(COUNTIF($F24,"*雷*")&gt;0,K$17*(K$13*0.25+K$16*(K$10+属性开关!$X$56)+1-K$16-K$13-K$12),K$11*(K$13*0.25+K$9*K$10+1-K$9-K$13-K$12))</f>
        <v>254349.0947389841</v>
      </c>
      <c r="L24">
        <f ca="1">INT(L$6*$E24+L$7*($C$8+$C$9)/2+L$8)*(L$14+L$15)*$D$21*IF(COUNTIF($F24,"*雷*")&gt;0,L$17*(L$13*0.25+L$16*(L$10+属性开关!$X$56)+1-L$16-L$13-L$12),L$11*(L$13*0.25+L$9*L$10+1-L$9-L$13-L$12))</f>
        <v>180604.57342246096</v>
      </c>
      <c r="M24">
        <f ca="1">INT(M$6*$E24+M$7*($C$8+$C$9)/2+M$8)*(M$14+M$15)*$D$21*IF(COUNTIF($F24,"*雷*")&gt;0,M$17*(M$13*0.25+M$16*(M$10+属性开关!$X$56)+1-M$16-M$13-M$12),M$11*(M$13*0.25+M$9*M$10+1-M$9-M$13-M$12))</f>
        <v>78709.905436863555</v>
      </c>
      <c r="N24">
        <f ca="1">INT(N$6*$E24+N$7*($C$8+$C$9)/2+N$8)*(N$14+N$15)*$D$21*IF(COUNTIF($F24,"*雷*")&gt;0,N$17*(N$13*0.25+N$16*(N$10+属性开关!$X$56)+1-N$16-N$13-N$12),N$11*(N$13*0.25+N$9*N$10+1-N$9-N$13-N$12))</f>
        <v>93985.288281806745</v>
      </c>
      <c r="O24">
        <f ca="1">INT(O$6*$E24+O$7*($C$8+$C$9)/2+O$8)*(O$14+O$15)*$D$21*IF(COUNTIF($F24,"*雷*")&gt;0,O$17*(O$13*0.25+O$16*(O$10+属性开关!$X$56)+1-O$16-O$13-O$12),O$11*(O$13*0.25+O$9*O$10+1-O$9-O$13-O$12))</f>
        <v>32609.803925089655</v>
      </c>
      <c r="P24">
        <f ca="1">INT(P$6*$E24+P$7*($C$8+$C$9)/2+P$8)*(P$14+P$15)*$D$21*IF(COUNTIF($F24,"*雷*")&gt;0,P$17*(P$13*0.25+P$16*(P$10+属性开关!$X$56)+1-P$16-P$13-P$12),P$11*(P$13*0.25+P$9*P$10+1-P$9-P$13-P$12))</f>
        <v>57659.710581800719</v>
      </c>
      <c r="Q24">
        <f ca="1">INT(Q$6*$E24+Q$7*($C$8+$C$9)/2+Q$8)*(Q$14+Q$15)*$D$21*IF(COUNTIF($F24,"*雷*")&gt;0,Q$17*(Q$13*0.25+Q$16*(Q$10+属性开关!$X$56)+1-Q$16-Q$13-Q$12),Q$11*(Q$13*0.25+Q$9*Q$10+1-Q$9-Q$13-Q$12))</f>
        <v>46147.352064376653</v>
      </c>
      <c r="R24">
        <f ca="1">INT(R$6*$E24+R$7*($C$8+$C$9)/2+R$8)*(R$14+R$15)*$D$21*IF(COUNTIF($F24,"*雷*")&gt;0,R$17*(R$13*0.25+R$16*(R$10+属性开关!$X$56)+1-R$16-R$13-R$12),R$11*(R$13*0.25+R$9*R$10+1-R$9-R$13-R$12))</f>
        <v>13082.653437269881</v>
      </c>
      <c r="T24">
        <f ca="1">K21</f>
        <v>225108.047182048</v>
      </c>
      <c r="U24">
        <f ca="1">G20+I20</f>
        <v>400125.80625978363</v>
      </c>
      <c r="V24">
        <f ca="1">T24+U24</f>
        <v>625233.85344183166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54417.950224955013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103299.94302193799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163678.43116133276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132713.24555763643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278502.26318367757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163914.6040569304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148000.7966985135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444586.18826443359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19940.690804164737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25860.608671258542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351168.4294142219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454913.10576675442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335921.2792940223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146399.01762407122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456566.57243662811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337756.57590691873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43303.380835843556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181921.52249657677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70044.091463434233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255737.92427600184</v>
      </c>
      <c r="H25">
        <f ca="1">INT(H$6*$E25+H$7*($C$8+$C$9)/2+H$8)*(H$14+H$15)*$D$21*IF(COUNTIF($F25,"*雷*")&gt;0,H$17*(H$13*0.25+H$16*(H$10+属性开关!$X$56)+1-H$16-H$13-H$12),H$11*(H$13*0.25+H$9*H$10+1-H$9-H$13-H$12))</f>
        <v>165848.86208302554</v>
      </c>
      <c r="I25">
        <f ca="1">INT(I$6*$E25+I$7*($C$8+$C$9)/2+I$8)*(I$14+I$15)*$D$21*IF(COUNTIF($F25,"*雷*")&gt;0,I$17*(I$13*0.25+I$16*(I$10+属性开关!$X$56)+1-I$16-I$13-I$12),I$11*(I$13*0.25+I$9*I$10+1-I$9-I$13-I$12))</f>
        <v>82228.714559102533</v>
      </c>
      <c r="J25">
        <f ca="1">INT(J$6*$E25+J$7*($C$8+$C$9)/2+J$8)*(J$14+J$15)*$D$21*IF(COUNTIF($F25,"*雷*")&gt;0,J$17*(J$13*0.25+J$16*(J$10+属性开关!$X$56)+1-J$16-J$13-J$12),J$11*(J$13*0.25+J$9*J$10+1-J$9-J$13-J$12))</f>
        <v>148336.15303355196</v>
      </c>
      <c r="K25">
        <f ca="1">INT(K$6*$E25+K$7*($C$8+$C$9)/2+K$8)*(K$14+K$15)*$D$21*IF(COUNTIF($F25,"*雷*")&gt;0,K$17*(K$13*0.25+K$16*(K$10+属性开关!$X$56)+1-K$16-K$13-K$12),K$11*(K$13*0.25+K$9*K$10+1-K$9-K$13-K$12))</f>
        <v>154707.33487051303</v>
      </c>
      <c r="L25">
        <f ca="1">INT(L$6*$E25+L$7*($C$8+$C$9)/2+L$8)*(L$14+L$15)*$D$21*IF(COUNTIF($F25,"*雷*")&gt;0,L$17*(L$13*0.25+L$16*(L$10+属性开关!$X$56)+1-L$16-L$13-L$12),L$11*(L$13*0.25+L$9*L$10+1-L$9-L$13-L$12))</f>
        <v>109170.48514435184</v>
      </c>
      <c r="M25">
        <f ca="1">INT(M$6*$E25+M$7*($C$8+$C$9)/2+M$8)*(M$14+M$15)*$D$21*IF(COUNTIF($F25,"*雷*")&gt;0,M$17*(M$13*0.25+M$16*(M$10+属性开关!$X$56)+1-M$16-M$13-M$12),M$11*(M$13*0.25+M$9*M$10+1-M$9-M$13-M$12))</f>
        <v>47163.966395667863</v>
      </c>
      <c r="N25">
        <f ca="1">INT(N$6*$E25+N$7*($C$8+$C$9)/2+N$8)*(N$14+N$15)*$D$21*IF(COUNTIF($F25,"*雷*")&gt;0,N$17*(N$13*0.25+N$16*(N$10+属性开关!$X$56)+1-N$16-N$13-N$12),N$11*(N$13*0.25+N$9*N$10+1-N$9-N$13-N$12))</f>
        <v>55415.381664383218</v>
      </c>
      <c r="O25">
        <f ca="1">INT(O$6*$E25+O$7*($C$8+$C$9)/2+O$8)*(O$14+O$15)*$D$21*IF(COUNTIF($F25,"*雷*")&gt;0,O$17*(O$13*0.25+O$16*(O$10+属性开关!$X$56)+1-O$16-O$13-O$12),O$11*(O$13*0.25+O$9*O$10+1-O$9-O$13-O$12))</f>
        <v>21347.791163789861</v>
      </c>
      <c r="P25">
        <f ca="1">INT(P$6*$E25+P$7*($C$8+$C$9)/2+P$8)*(P$14+P$15)*$D$21*IF(COUNTIF($F25,"*雷*")&gt;0,P$17*(P$13*0.25+P$16*(P$10+属性开关!$X$56)+1-P$16-P$13-P$12),P$11*(P$13*0.25+P$9*P$10+1-P$9-P$13-P$12))</f>
        <v>33986.037223109153</v>
      </c>
      <c r="Q25">
        <f ca="1">INT(Q$6*$E25+Q$7*($C$8+$C$9)/2+Q$8)*(Q$14+Q$15)*$D$21*IF(COUNTIF($F25,"*雷*")&gt;0,Q$17*(Q$13*0.25+Q$16*(Q$10+属性开关!$X$56)+1-Q$16-Q$13-Q$12),Q$11*(Q$13*0.25+Q$9*Q$10+1-Q$9-Q$13-Q$12))</f>
        <v>27205.10401817915</v>
      </c>
      <c r="R25">
        <f ca="1">INT(R$6*$E25+R$7*($C$8+$C$9)/2+R$8)*(R$14+R$15)*$D$21*IF(COUNTIF($F25,"*雷*")&gt;0,R$17*(R$13*0.25+R$16*(R$10+属性开关!$X$56)+1-R$16-R$13-R$12),R$11*(R$13*0.25+R$9*R$10+1-R$9-R$13-R$12))</f>
        <v>7723.904899068315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34486.452061704287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82584.431529064401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96548.082201867845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78225.366871670718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164092.46683643587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96736.648536787761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87232.057767677645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261946.18260101666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15920.938575996868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27051.499301241645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210441.44124757158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271984.9818277022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203055.15157169831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87724.134710326558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273124.11657435482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205439.77067098499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28348.270136589195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107264.1344875777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41292.873997695155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3.2962909810798774E-2</v>
      </c>
      <c r="M26" s="40">
        <f t="shared" ca="1" si="38"/>
        <v>0</v>
      </c>
      <c r="N26" s="40">
        <f t="shared" ca="1" si="38"/>
        <v>7.3594593686619122E-2</v>
      </c>
      <c r="O26" s="40">
        <f t="shared" ca="1" si="38"/>
        <v>3.1363942418325998E-2</v>
      </c>
      <c r="P26" s="40">
        <f t="shared" ca="1" si="38"/>
        <v>3.4967228627683614E-3</v>
      </c>
      <c r="Q26" s="40">
        <f t="shared" ca="1" si="38"/>
        <v>5.5407778954448487E-3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3974.3002370357017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271763.92529557599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19458.641739898325</v>
      </c>
      <c r="BH26">
        <f ca="1">SUMPRODUCT(BH18:BH25,$BY$18:$BY$25)</f>
        <v>25235.09253462878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84877.622081720008</v>
      </c>
      <c r="H27">
        <f ca="1">(H18*$AC$38)/$AD$37/$E$2*$D$22+(H18*$AF$42)/$AF$41/$E$2*$C$22</f>
        <v>57308.372688797885</v>
      </c>
      <c r="I27">
        <f t="shared" ca="1" si="41"/>
        <v>27212.361037395669</v>
      </c>
      <c r="J27">
        <f ca="1">J18*$AC$39/$AD$37/$E$2*$D$22+J18*$AE$43/$AF$41/$E$2*$C$22</f>
        <v>16323.138906898206</v>
      </c>
      <c r="K27">
        <f t="shared" ref="K27:K33" ca="1" si="42">K18*$AC$40/$AD$37/$E$2*$D$22+K18*$AE$44/$AF$41/$E$2*$C$22</f>
        <v>17037.348941462682</v>
      </c>
      <c r="L27">
        <f ca="1">L18*$AC$37/$AD$37/$E$2*$D$22+L18*$AE$41/$AF$41/$E$2*$C$22</f>
        <v>12368.9150430644</v>
      </c>
      <c r="M27">
        <f ca="1">M18*$AE$41/$AF$41/$E$2*$C$22</f>
        <v>0</v>
      </c>
      <c r="N27">
        <f ca="1">N18/$E$3</f>
        <v>27131.391285457321</v>
      </c>
      <c r="O27">
        <f ca="1">O18/$F$3</f>
        <v>12468.783701895143</v>
      </c>
      <c r="P27">
        <f ca="1">P18/$E$45*大附魔数值!$S$9</f>
        <v>1288.7771954778495</v>
      </c>
      <c r="Q27">
        <f ca="1">Q18/$E$47*大附魔数值!$S$10</f>
        <v>2042.3518426486498</v>
      </c>
      <c r="R27">
        <f ca="1">R18/45</f>
        <v>157.6391400368808</v>
      </c>
      <c r="S27">
        <f ca="1">SUM(G27:R27,AS27)*IF(COUNTIF(F27,"*雷*")&gt;0,$B$21/$D$21,1)</f>
        <v>258216.70186485469</v>
      </c>
      <c r="T27" s="15">
        <f ca="1">AQ27</f>
        <v>0.45454545454545447</v>
      </c>
      <c r="U27">
        <f ca="1">U28*(1+非侠士/1024)*(1+C14)*(1-B24*0.05)+AQ9</f>
        <v>537691.1182418121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104482.39001562638</v>
      </c>
      <c r="H28">
        <f t="shared" ref="H28:H33" ca="1" si="45">(H19*$AC$38)/$AD$37/$E$2*$D$22+(H19*$AF$42)/$AF$41/$E$2*$C$22</f>
        <v>71776.779909573437</v>
      </c>
      <c r="I28">
        <f t="shared" ca="1" si="41"/>
        <v>33497.78716017479</v>
      </c>
      <c r="J28">
        <f t="shared" ref="J28:J33" ca="1" si="46">J19*$AC$39/$AD$37/$E$2*$D$22+J19*$AE$43/$AF$41/$E$2*$C$22</f>
        <v>20444.174102030396</v>
      </c>
      <c r="K28">
        <f t="shared" ca="1" si="42"/>
        <v>21034.801356901848</v>
      </c>
      <c r="L28">
        <f t="shared" ref="L28:L33" ca="1" si="47">L19*$AC$37/$AD$37/$E$2*$D$22+L19*$AE$41/$AF$41/$E$2*$C$22</f>
        <v>15414.746882203079</v>
      </c>
      <c r="M28">
        <f t="shared" ref="M28:M33" ca="1" si="48">M19*$AE$41/$AF$41/$E$2*$C$22</f>
        <v>0</v>
      </c>
      <c r="N28">
        <f t="shared" ref="N28:N33" ca="1" si="49">N19/$E$3</f>
        <v>33981.141141658169</v>
      </c>
      <c r="O28">
        <f t="shared" ref="O28:O33" ca="1" si="50">O19/$F$3</f>
        <v>15616.725820692245</v>
      </c>
      <c r="P28">
        <f ca="1">P19/$E$45*大附魔数值!$S$9</f>
        <v>1614.1494300425809</v>
      </c>
      <c r="Q28">
        <f ca="1">Q19/$E$47*大附魔数值!$S$10</f>
        <v>2557.9759436505283</v>
      </c>
      <c r="R28">
        <f t="shared" ref="R28:R33" ca="1" si="51">R19/45</f>
        <v>197.43764006360172</v>
      </c>
      <c r="S28">
        <f t="shared" ref="S28:S33" ca="1" si="52">SUM(G28:R28,AS28)*IF(COUNTIF(F28,"*雷*")&gt;0,$B$21/$D$21,1)</f>
        <v>420121.39693935699</v>
      </c>
      <c r="T28" s="15">
        <f t="shared" ref="T28:T33" ca="1" si="53">AQ28</f>
        <v>0</v>
      </c>
      <c r="U28">
        <f ca="1">U33+U39+AW29+BI26+AT32+BB3+BC3+AY26+AZ26+BF27+CL26+AR26+AM8+AL8+CQ24</f>
        <v>408901.91873438813</v>
      </c>
      <c r="V28">
        <f ca="1">U28-U33</f>
        <v>24614.598360750359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108907.90748150724</v>
      </c>
      <c r="H29">
        <f t="shared" ca="1" si="45"/>
        <v>57308.372688797885</v>
      </c>
      <c r="I29">
        <f t="shared" ca="1" si="41"/>
        <v>35198.637776170297</v>
      </c>
      <c r="J29">
        <f t="shared" ca="1" si="46"/>
        <v>20882.442044189742</v>
      </c>
      <c r="K29">
        <f t="shared" ca="1" si="42"/>
        <v>21749.235670973834</v>
      </c>
      <c r="L29">
        <f t="shared" ca="1" si="47"/>
        <v>15743.171742251086</v>
      </c>
      <c r="M29">
        <f t="shared" ca="1" si="48"/>
        <v>0</v>
      </c>
      <c r="N29">
        <f t="shared" ca="1" si="49"/>
        <v>35188.097241131327</v>
      </c>
      <c r="O29">
        <f t="shared" ca="1" si="50"/>
        <v>14690.398376370898</v>
      </c>
      <c r="P29">
        <f ca="1">P20/$E$45*大附魔数值!$S$9</f>
        <v>1672.0750367065577</v>
      </c>
      <c r="Q29">
        <f ca="1">Q20/$E$47*大附魔数值!$S$10</f>
        <v>2649.4070322212988</v>
      </c>
      <c r="R29">
        <f t="shared" ca="1" si="51"/>
        <v>204.19130332474271</v>
      </c>
      <c r="S29">
        <f t="shared" ca="1" si="52"/>
        <v>314193.93639364495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134063.11565035311</v>
      </c>
      <c r="H30">
        <f t="shared" ca="1" si="45"/>
        <v>71776.779909573437</v>
      </c>
      <c r="I30">
        <f t="shared" ca="1" si="41"/>
        <v>43328.709145595079</v>
      </c>
      <c r="J30">
        <f t="shared" ca="1" si="46"/>
        <v>26154.545597020879</v>
      </c>
      <c r="K30">
        <f t="shared" ca="1" si="42"/>
        <v>26852.232326474976</v>
      </c>
      <c r="L30">
        <f t="shared" ca="1" si="47"/>
        <v>19619.910613415392</v>
      </c>
      <c r="M30">
        <f t="shared" ca="1" si="48"/>
        <v>0</v>
      </c>
      <c r="N30">
        <f t="shared" ca="1" si="49"/>
        <v>44071.890242436602</v>
      </c>
      <c r="O30">
        <f t="shared" ca="1" si="50"/>
        <v>18399.222339999182</v>
      </c>
      <c r="P30">
        <f ca="1">P21/$E$45*大附魔数值!$S$9</f>
        <v>2094.2168878830889</v>
      </c>
      <c r="Q30">
        <f ca="1">Q21/$E$47*大附魔数值!$S$10</f>
        <v>3318.2918397506028</v>
      </c>
      <c r="R30">
        <f t="shared" ca="1" si="51"/>
        <v>255.74263498593234</v>
      </c>
      <c r="S30">
        <f t="shared" ca="1" si="52"/>
        <v>510950.21799582621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99286.513427636062</v>
      </c>
      <c r="H31">
        <f t="shared" ca="1" si="45"/>
        <v>57308.372688797885</v>
      </c>
      <c r="I31">
        <f t="shared" ca="1" si="41"/>
        <v>32000.786318836181</v>
      </c>
      <c r="J31">
        <f t="shared" ca="1" si="46"/>
        <v>19056.918247879585</v>
      </c>
      <c r="K31">
        <f t="shared" ca="1" si="42"/>
        <v>19862.527528115512</v>
      </c>
      <c r="L31">
        <f t="shared" ca="1" si="47"/>
        <v>14392.186336521465</v>
      </c>
      <c r="M31">
        <f t="shared" ca="1" si="48"/>
        <v>0</v>
      </c>
      <c r="N31">
        <f t="shared" ca="1" si="49"/>
        <v>31963.032225076782</v>
      </c>
      <c r="O31">
        <f t="shared" ca="1" si="50"/>
        <v>13800.835431379573</v>
      </c>
      <c r="P31">
        <f ca="1">P22/$E$45*大附魔数值!$S$9</f>
        <v>1518.6240694872226</v>
      </c>
      <c r="Q31">
        <f ca="1">Q22/$E$47*大附魔数值!$S$10</f>
        <v>2406.428364339899</v>
      </c>
      <c r="R31">
        <f t="shared" ca="1" si="51"/>
        <v>185.57043800959792</v>
      </c>
      <c r="S31">
        <f t="shared" ca="1" si="52"/>
        <v>291781.79507607972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123316.79882742329</v>
      </c>
      <c r="H32">
        <f t="shared" ca="1" si="45"/>
        <v>57308.372688797885</v>
      </c>
      <c r="I32">
        <f t="shared" ca="1" si="41"/>
        <v>39987.063057610809</v>
      </c>
      <c r="J32">
        <f ca="1">J24*$AC$39/$AD$37/$E$2*$D$22+J24*$AE$43/$AF$41/$E$2*$C$22</f>
        <v>29578.793075163423</v>
      </c>
      <c r="K32">
        <f t="shared" ca="1" si="42"/>
        <v>24574.414257626668</v>
      </c>
      <c r="L32">
        <f t="shared" ca="1" si="47"/>
        <v>17766.443035708147</v>
      </c>
      <c r="M32">
        <f t="shared" ca="1" si="48"/>
        <v>0</v>
      </c>
      <c r="N32">
        <f t="shared" ca="1" si="49"/>
        <v>40021.440062025751</v>
      </c>
      <c r="O32">
        <f t="shared" ca="1" si="50"/>
        <v>16022.450105855329</v>
      </c>
      <c r="P32">
        <f ca="1">P23/$E$45*大附魔数值!$S$9</f>
        <v>1901.9219107159302</v>
      </c>
      <c r="Q32">
        <f ca="1">Q23/$E$47*大附魔数值!$S$10</f>
        <v>3013.4835539125474</v>
      </c>
      <c r="R32">
        <f t="shared" ca="1" si="51"/>
        <v>232.12260129745982</v>
      </c>
      <c r="S32">
        <f t="shared" ca="1" si="52"/>
        <v>353723.30317613727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151800.12769632341</v>
      </c>
      <c r="H33">
        <f t="shared" ca="1" si="45"/>
        <v>71776.779909573437</v>
      </c>
      <c r="I33">
        <f t="shared" ca="1" si="41"/>
        <v>49223.149936295595</v>
      </c>
      <c r="J33">
        <f t="shared" ca="1" si="46"/>
        <v>29578.793075163423</v>
      </c>
      <c r="K33">
        <f t="shared" ca="1" si="42"/>
        <v>30340.279121325268</v>
      </c>
      <c r="L33">
        <f t="shared" ca="1" si="47"/>
        <v>22141.41025619581</v>
      </c>
      <c r="M33">
        <f t="shared" ca="1" si="48"/>
        <v>0</v>
      </c>
      <c r="N33">
        <f t="shared" ca="1" si="49"/>
        <v>50125.487083630265</v>
      </c>
      <c r="O33">
        <f t="shared" ca="1" si="50"/>
        <v>20067.571646209017</v>
      </c>
      <c r="P33">
        <f ca="1">P24/$E$45*大附魔数值!$S$9</f>
        <v>2382.0922491023234</v>
      </c>
      <c r="Q33">
        <f ca="1">Q24/$E$47*大附魔数值!$S$10</f>
        <v>3774.2852512121685</v>
      </c>
      <c r="R33">
        <f t="shared" ca="1" si="51"/>
        <v>290.7256319393307</v>
      </c>
      <c r="S33">
        <f t="shared" ca="1" si="52"/>
        <v>565416.21426884853</v>
      </c>
      <c r="T33" s="15">
        <f t="shared" ca="1" si="53"/>
        <v>0.31818181818181818</v>
      </c>
      <c r="U33">
        <f ca="1">(S48*T48+SUMPRODUCT(S27:S33,T27:T33))*(1+大附魔数值!$O$10*21/1024)</f>
        <v>384287.32037363778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60564.331182973212</v>
      </c>
      <c r="H34">
        <f ca="1">H18*2*$D$33/(5+2*$D$33)/$E$2</f>
        <v>42620.973216273975</v>
      </c>
      <c r="I34">
        <f ca="1">I18*2*$D$33/(5+2*$D$33)/$E$2</f>
        <v>19417.349422827629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37230.316073616756</v>
      </c>
      <c r="L34">
        <f ca="1">L18/(5+2*$D$33)/$E$2</f>
        <v>9074.7356335994173</v>
      </c>
      <c r="M34">
        <v>0</v>
      </c>
      <c r="N34">
        <f ca="1">N27</f>
        <v>27131.391285457321</v>
      </c>
      <c r="O34">
        <f ca="1">O27</f>
        <v>12468.783701895143</v>
      </c>
      <c r="P34">
        <f ca="1">P27</f>
        <v>1288.7771954778495</v>
      </c>
      <c r="Q34">
        <f ca="1">Q27</f>
        <v>2042.3518426486498</v>
      </c>
      <c r="R34">
        <f ca="1">R27</f>
        <v>157.6391400368808</v>
      </c>
      <c r="S34">
        <f ca="1">SUM(G34:R34,AS34)</f>
        <v>211996.64869480688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43829.450195900972</v>
      </c>
      <c r="H35">
        <f ca="1">H18*$D$33/(4+$D$33)/$E$2</f>
        <v>30844.125352261559</v>
      </c>
      <c r="I35">
        <f ca="1">I18*$D$33/(4+$D$33)/$E$2</f>
        <v>14052.029186834163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17317.69210912619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13663.251194860366</v>
      </c>
      <c r="N35">
        <f ca="1">N27</f>
        <v>27131.391285457321</v>
      </c>
      <c r="O35">
        <f t="shared" ref="O35:R35" ca="1" si="57">O27</f>
        <v>12468.783701895143</v>
      </c>
      <c r="P35">
        <f t="shared" ca="1" si="57"/>
        <v>1288.7771954778495</v>
      </c>
      <c r="Q35">
        <f t="shared" ca="1" si="57"/>
        <v>2042.3518426486498</v>
      </c>
      <c r="R35">
        <f t="shared" ca="1" si="57"/>
        <v>157.6391400368808</v>
      </c>
      <c r="S35">
        <f t="shared" ref="S35:S36" ca="1" si="58">SUM(G35:R35,AS35)</f>
        <v>162795.49120449912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88162.690410236275</v>
      </c>
      <c r="H36">
        <f ca="1">H25*$D$33*2/(3+2*$D$33)/$E$2</f>
        <v>57174.476269446423</v>
      </c>
      <c r="I36">
        <f ca="1">I25*$D$33*2/(3+2*$D$33)/$E$2</f>
        <v>28347.397927113507</v>
      </c>
      <c r="J36">
        <f ca="1">J25/(3+2*$D$33)/$E$2</f>
        <v>17898.01036800447</v>
      </c>
      <c r="K36">
        <f ca="1">K25/(3+2*$D$33)/$E$2</f>
        <v>18666.74729586978</v>
      </c>
      <c r="L36">
        <f ca="1">L25/(3+2*$D$33)/$E$2</f>
        <v>13172.341570377179</v>
      </c>
      <c r="M36">
        <v>0</v>
      </c>
      <c r="N36">
        <f ca="1">N25/E3</f>
        <v>29554.870221004381</v>
      </c>
      <c r="O36">
        <f ca="1">O25/F3</f>
        <v>13137.102254639914</v>
      </c>
      <c r="P36">
        <f ca="1">P25/$E$45*大附魔数值!$S$9</f>
        <v>1404.0631669841282</v>
      </c>
      <c r="Q36">
        <f ca="1">Q25/$E$47*大附魔数值!$S$10</f>
        <v>2225.0425703790256</v>
      </c>
      <c r="R36">
        <f ca="1">R25/45</f>
        <v>171.642331090407</v>
      </c>
      <c r="S36">
        <f t="shared" ca="1" si="58"/>
        <v>269914.3843851455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0.25694985280873489</v>
      </c>
      <c r="H37" s="15">
        <f t="shared" ref="H37" ca="1" si="59">SUMPRODUCT(H38:H45,$S$38:$S$45)/$T$38</f>
        <v>0.14458520800412564</v>
      </c>
      <c r="I37" s="15">
        <f t="shared" ref="I37:Q37" ca="1" si="60">SUMPRODUCT(I38:I45,$S$38:$S$45)/$T$38</f>
        <v>8.2902159040102383E-2</v>
      </c>
      <c r="J37" s="15">
        <f t="shared" ca="1" si="60"/>
        <v>1.257229514397838E-2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4.6245640819027441E-2</v>
      </c>
      <c r="O37" s="15">
        <f t="shared" ca="1" si="60"/>
        <v>1.9708589219513298E-2</v>
      </c>
      <c r="P37" s="15">
        <f t="shared" ca="1" si="60"/>
        <v>2.1972835429169388E-3</v>
      </c>
      <c r="Q37" s="15">
        <f t="shared" ca="1" si="60"/>
        <v>3.4817343445343045E-3</v>
      </c>
      <c r="R37">
        <v>0</v>
      </c>
      <c r="S37">
        <f ca="1">(S35*(4+D33)+S36*11)/(15+D33)</f>
        <v>234518.57620697652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153514.37238366096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103651.79248469524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49217.78465602285</v>
      </c>
      <c r="J38">
        <f ca="1">J18/$E$2*(3-属性开关!$X$37)/(3+2*$D$33)/(3+$D$33)</f>
        <v>7456.5577590291305</v>
      </c>
      <c r="N38">
        <f ca="1">N27</f>
        <v>27131.391285457321</v>
      </c>
      <c r="O38">
        <f ca="1">O27</f>
        <v>12468.783701895143</v>
      </c>
      <c r="P38">
        <f ca="1">P27</f>
        <v>1288.7771954778495</v>
      </c>
      <c r="Q38">
        <f ca="1">Q27</f>
        <v>2042.3518426486498</v>
      </c>
      <c r="R38">
        <f ca="1">SUM(G38:Q38,AS38,AU18*属性开关!$X$37)*IF(COUNTIF(F38,"*雷*")&gt;0,$B$21/$D$21,1)*(1+大附魔数值!$O$10*21/1024)</f>
        <v>412792.07398257131</v>
      </c>
      <c r="S38" s="36">
        <f t="shared" ref="S38:S45" ca="1" si="61">T27</f>
        <v>0.45454545454545447</v>
      </c>
      <c r="T38">
        <f ca="1">SUMPRODUCT(S38:S46,R38:R46)</f>
        <v>611548.86603239132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188972.64243513939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129820.33073608828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60585.954766553259</v>
      </c>
      <c r="J39">
        <f ca="1">J19/$E$2*(3-属性开关!$X$37)/(3+2*$D$33)/(3+$D$33)</f>
        <v>9339.0839774704255</v>
      </c>
      <c r="N39">
        <f t="shared" ref="N39:Q45" ca="1" si="63">N28</f>
        <v>33981.141141658169</v>
      </c>
      <c r="O39">
        <f t="shared" ca="1" si="63"/>
        <v>15616.725820692245</v>
      </c>
      <c r="P39">
        <f t="shared" ca="1" si="63"/>
        <v>1614.1494300425809</v>
      </c>
      <c r="Q39">
        <f t="shared" ca="1" si="63"/>
        <v>2557.9759436505283</v>
      </c>
      <c r="R39">
        <f ca="1">SUM(G39:Q39,AS39,AU19*属性开关!$X$37)*IF(COUNTIF(F39,"*雷*")&gt;0,$B$21/$D$21,1)*(1+大附魔数值!$O$10*21/1024)</f>
        <v>671751.98640014324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196976.87864705309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103651.79248469524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63662.207475206204</v>
      </c>
      <c r="J40">
        <f ca="1">J20/$E$2*(3-属性开关!$X$37)/(3+2*$D$33)/(3+$D$33)</f>
        <v>9539.2887446589812</v>
      </c>
      <c r="N40">
        <f t="shared" ca="1" si="63"/>
        <v>35188.097241131327</v>
      </c>
      <c r="O40">
        <f t="shared" ca="1" si="63"/>
        <v>14690.398376370898</v>
      </c>
      <c r="P40">
        <f t="shared" ca="1" si="63"/>
        <v>1672.0750367065577</v>
      </c>
      <c r="Q40">
        <f t="shared" ca="1" si="63"/>
        <v>2649.4070322212988</v>
      </c>
      <c r="R40">
        <f ca="1">SUM(G40:Q40,AS40,AU20*属性开关!$X$37)*IF(COUNTIF(F40,"*雷*")&gt;0,$B$21/$D$21,1)*(1+大附魔数值!$O$10*21/1024)</f>
        <v>500590.18916428549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242473.98258927587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129820.33073608828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78366.705234462061</v>
      </c>
      <c r="J41">
        <f ca="1">J21/$E$2*(3-属性开关!$X$37)/(3+2*$D$33)/(3+$D$33)</f>
        <v>11947.633418896532</v>
      </c>
      <c r="N41">
        <f t="shared" ca="1" si="63"/>
        <v>44071.890242436602</v>
      </c>
      <c r="O41">
        <f t="shared" ca="1" si="63"/>
        <v>18399.222339999182</v>
      </c>
      <c r="P41">
        <f t="shared" ca="1" si="63"/>
        <v>2094.2168878830889</v>
      </c>
      <c r="Q41">
        <f t="shared" ca="1" si="63"/>
        <v>3318.2918397506028</v>
      </c>
      <c r="R41">
        <f ca="1">SUM(G41:Q41,AS41,AU21*属性开关!$X$37)*IF(COUNTIF(F41,"*雷*")&gt;0,$B$21/$D$21,1)*(1+大附魔数值!$O$10*21/1024)</f>
        <v>814212.76678607787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179575.09201106741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103651.79248469524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57878.396060506479</v>
      </c>
      <c r="J42">
        <f ca="1">J22/$E$2*(3-属性开关!$X$37)/(3+2*$D$33)/(3+$D$33)</f>
        <v>8705.3729331653776</v>
      </c>
      <c r="N42">
        <f t="shared" ca="1" si="63"/>
        <v>31963.032225076782</v>
      </c>
      <c r="O42">
        <f t="shared" ca="1" si="63"/>
        <v>13800.835431379573</v>
      </c>
      <c r="P42">
        <f t="shared" ca="1" si="63"/>
        <v>1518.6240694872226</v>
      </c>
      <c r="Q42">
        <f t="shared" ca="1" si="63"/>
        <v>2406.428364339899</v>
      </c>
      <c r="R42">
        <f ca="1">SUM(G42:Q42,AS42,AU22*属性开关!$X$37)*IF(COUNTIF(F42,"*雷*")&gt;0,$B$21/$D$21,1)*(1+大附魔数值!$O$10*21/1024)</f>
        <v>465437.0450896218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223037.59827445957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103651.79248469524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72322.818879689832</v>
      </c>
      <c r="J43">
        <f ca="1">J23/$E$2*(3-属性开关!$X$37)/(3+2*$D$33)/(3+$D$33)</f>
        <v>10788.206845950437</v>
      </c>
      <c r="N43">
        <f t="shared" ca="1" si="63"/>
        <v>40021.440062025751</v>
      </c>
      <c r="O43">
        <f t="shared" ca="1" si="63"/>
        <v>16022.450105855329</v>
      </c>
      <c r="P43">
        <f t="shared" ca="1" si="63"/>
        <v>1901.9219107159302</v>
      </c>
      <c r="Q43">
        <f t="shared" ca="1" si="63"/>
        <v>3013.4835539125474</v>
      </c>
      <c r="R43">
        <f ca="1">SUM(G43:Q43,AS43,AU23*属性开关!$X$37)*IF(COUNTIF(F43,"*雷*")&gt;0,$B$21/$D$21,1)*(1+大附魔数值!$O$10*21/1024)</f>
        <v>553236.96507976612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274554.1258050811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129820.33073608828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89027.71759960374</v>
      </c>
      <c r="J44">
        <f ca="1">J24/$E$2*(3-属性开关!$X$37)/(3+2*$D$33)/(3+$D$33)</f>
        <v>13511.86069452116</v>
      </c>
      <c r="N44">
        <f t="shared" ca="1" si="63"/>
        <v>50125.487083630265</v>
      </c>
      <c r="O44">
        <f t="shared" ca="1" si="63"/>
        <v>20067.571646209017</v>
      </c>
      <c r="P44">
        <f t="shared" ca="1" si="63"/>
        <v>2382.0922491023234</v>
      </c>
      <c r="Q44">
        <f t="shared" ca="1" si="63"/>
        <v>3774.2852512121685</v>
      </c>
      <c r="R44">
        <f ca="1">SUM(G44:Q44,AS44,AU24*属性开关!$X$37)*IF(COUNTIF(F44,"*雷*")&gt;0,$B$21/$D$21,1)*(1+大附魔数值!$O$10*21/1024)</f>
        <v>899637.20749047736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166585.85331740486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103651.79248469524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53563.196075830609</v>
      </c>
      <c r="J45">
        <f ca="1">J25/$E$2*(3-属性开关!$X$37)/(3+2*$D$33)/(3+$D$33)</f>
        <v>8082.9724256238051</v>
      </c>
      <c r="N45">
        <f ca="1">N34</f>
        <v>27131.391285457321</v>
      </c>
      <c r="O45">
        <f t="shared" ca="1" si="63"/>
        <v>12468.783701895143</v>
      </c>
      <c r="P45">
        <f t="shared" ca="1" si="63"/>
        <v>1288.7771954778495</v>
      </c>
      <c r="Q45">
        <f t="shared" ca="1" si="63"/>
        <v>2042.3518426486498</v>
      </c>
      <c r="R45">
        <f ca="1">SUM(G45:Q45,AS45,AU22*属性开关!$X$37)*IF(COUNTIF(F45,"*雷*")&gt;0,$B$21/$D$21,1)*(1+大附魔数值!$O$10*21/1024)</f>
        <v>440752.58983893722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221052.78565094463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129820.33073608828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71246.967131694968</v>
      </c>
      <c r="J46">
        <f ca="1">J47/$E$2*(3-属性开关!X37)/(3+2*$D$33)/(3+$D$33)</f>
        <v>10903.182340347765</v>
      </c>
      <c r="N46">
        <f ca="1">N48</f>
        <v>40032.606434668305</v>
      </c>
      <c r="O46">
        <f t="shared" ref="O46:Q46" ca="1" si="65">O48</f>
        <v>17285.07512690208</v>
      </c>
      <c r="P46">
        <f t="shared" ca="1" si="65"/>
        <v>1902.0247912618158</v>
      </c>
      <c r="Q46">
        <f t="shared" ca="1" si="65"/>
        <v>3013.9693551120954</v>
      </c>
      <c r="R46">
        <f ca="1">SUM(G46:Q46,AS46,AU25*属性开关!$X$37)*IF(COUNTIF(F46,"*雷*")&gt;0,$B$21/$D$21,1)*(1+大附魔数值!$O$10*21/1024)</f>
        <v>757173.46511338872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339354.02936099214</v>
      </c>
      <c r="H47">
        <f ca="1">INT(H$6*$E26+H$7*($C$8+$C$9)/2+H$8)*(H$14+H$15)*$D$21*IF(COUNTIF($F47,"*雷*")&gt;0,H$17*(H$13*0.25+H$16*(H$10+属性开关!$X$56)+1-H$16-H$13-H$12),H$11*(H$13*0.25+H$9*H$10+1-H$9-H$13-H$12))</f>
        <v>207720.03659272337</v>
      </c>
      <c r="I47">
        <f ca="1">INT(I$6*$E26+I$7*($C$8+$C$9)/2+I$8)*(I$14+I$15)*$D$21*IF(COUNTIF($F47,"*雷*")&gt;0,I$17*(I$13*0.25+I$16*(I$10+属性开关!$X$56)+1-I$16-I$13-I$12),I$11*(I$13*0.25+I$9*I$10+1-I$9-I$13-I$12))</f>
        <v>109376.34332312488</v>
      </c>
      <c r="J47">
        <f ca="1">INT(J$6*$E26+J$7*($C$8+$C$9)/2+J$8)*(J$14+J$15)*$D$21*IF(COUNTIF($F47,"*雷*")&gt;0,J$17*(J$13*0.25+J$16*(J$10+属性开关!$X$56)+1-J$16-J$13-J$12),J$11*(J$13*0.25+J$9*J$10+1-J$9-J$13-J$12))</f>
        <v>200091.75325941172</v>
      </c>
      <c r="K47">
        <f ca="1">INT(K$6*$E26+K$7*($C$8+$C$9)/2+K$8)*(K$14+K$15)*$D$21*IF(COUNTIF($F47,"*雷*")&gt;0,K$17*(K$13*0.25+K$16*(K$10+属性开关!$X$56)+1-K$16-K$13-K$12),K$11*(K$13*0.25+K$9*K$10+1-K$9-K$13-K$12))</f>
        <v>205580.31792910138</v>
      </c>
      <c r="L47">
        <f ca="1">INT(L$6*$E26+L$7*($C$8+$C$9)/2+L$8)*(L$14+L$15)*$D$21*IF(COUNTIF($F47,"*雷*")&gt;0,L$17*(L$13*0.25+L$16*(L$10+属性开关!$X$56)+1-L$16-L$13-L$12),L$11*(L$13*0.25+L$9*L$10+1-L$9-L$13-L$12))</f>
        <v>146303.60555006983</v>
      </c>
      <c r="M47">
        <f ca="1">INT(M$6*$E26+M$7*($C$8+$C$9)/2+M$8)*(M$14+M$15)*$D$21*IF(COUNTIF($F47,"*雷*")&gt;0,M$17*(M$13*0.25+M$16*(M$10+属性开关!$X$56)+1-M$16-M$13-M$12),M$11*(M$13*0.25+M$9*M$10+1-M$9-M$13-M$12))</f>
        <v>63365.164531354254</v>
      </c>
      <c r="N47">
        <f ca="1">INT(N$6*$E26+N$7*($C$8+$C$9)/2+N$8)*(N$14+N$15)*$D$21*IF(COUNTIF($F47,"*雷*")&gt;0,N$17*(N$13*0.25+N$16*(N$10+属性开关!$X$56)+1-N$16-N$13-N$12),N$11*(N$13*0.25+N$9*N$10+1-N$9-N$13-N$12))</f>
        <v>75061.137065003073</v>
      </c>
      <c r="O47">
        <f ca="1">INT(O$6*$E26+O$7*($C$8+$C$9)/2+O$8)*(O$14+O$15)*$D$21*IF(COUNTIF($F47,"*雷*")&gt;0,O$17*(O$13*0.25+O$16*(O$10+属性开关!$X$56)+1-O$16-O$13-O$12),O$11*(O$13*0.25+O$9*O$10+1-O$9-O$13-O$12))</f>
        <v>28088.247081215879</v>
      </c>
      <c r="P47">
        <f ca="1">INT(P$6*$E26+P$7*($C$8+$C$9)/2+P$8)*(P$14+P$15)*$D$21*IF(COUNTIF($F47,"*雷*")&gt;0,P$17*(P$13*0.25+P$16*(P$10+属性开关!$X$56)+1-P$16-P$13-P$12),P$11*(P$13*0.25+P$9*P$10+1-P$9-P$13-P$12))</f>
        <v>46039.442437586011</v>
      </c>
      <c r="Q47">
        <f ca="1">INT(Q$6*$E26+Q$7*($C$8+$C$9)/2+Q$8)*(Q$14+Q$15)*$D$21*IF(COUNTIF($F47,"*雷*")&gt;0,Q$17*(Q$13*0.25+Q$16*(Q$10+属性开关!$X$56)+1-Q$16-Q$13-Q$12),Q$11*(Q$13*0.25+Q$9*Q$10+1-Q$9-Q$13-Q$12))</f>
        <v>36851.137549004896</v>
      </c>
      <c r="R47">
        <f ca="1">INT(R$6*$E26+R$7*($C$8+$C$9)/2+R$8)*(R$14+R$15)*$D$21*IF(COUNTIF($F47,"*雷*")&gt;0,R$17*(R$13*0.25+R$16*(R$10+属性开关!$X$56)+1-R$16-R$13-R$12),R$11*(R$13*0.25+R$9*R$10+1-R$9-R$13-R$12))</f>
        <v>10458.928665765003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122219.40206159669</v>
      </c>
      <c r="H48">
        <f ca="1">(H47*$AD$38)/$AD$37/$E$2*$D$22+(H47*$AE$42)/$AF$41/$E$2*$C$22</f>
        <v>74811.012901130001</v>
      </c>
      <c r="I48">
        <f ca="1">(I47*$AD$38)/$AD$37/$E$2*$D$22+(I47*$AE$42)/$AF$41/$E$2*$C$22</f>
        <v>39392.227950875313</v>
      </c>
      <c r="J48">
        <f ca="1">J47*$AC$39/$AD$37/$E$2*$D$22+J47*$AE$43/$AF$41/$E$2*$C$22</f>
        <v>23868.139377479842</v>
      </c>
      <c r="K48">
        <f ca="1">K47*$AC$40/$AD$37/$E$2*$D$22+K47*$AE$44/$AF$41/$E$2*$C$22</f>
        <v>24522.848151752136</v>
      </c>
      <c r="L48">
        <f ca="1">L47*$AC$37/$AD$37/$E$2*$D$22+L47*$AE$41/$AF$41/$E$2*$C$22</f>
        <v>17936.246524983497</v>
      </c>
      <c r="M48">
        <f ca="1">M47*$AE$41/$AF$41/$E$2*$C$22</f>
        <v>0</v>
      </c>
      <c r="N48">
        <f ca="1">N47/$E$3</f>
        <v>40032.606434668305</v>
      </c>
      <c r="O48">
        <f ca="1">O47/$F$3</f>
        <v>17285.07512690208</v>
      </c>
      <c r="P48">
        <f ca="1">P47/$E$45*大附魔数值!$S$9</f>
        <v>1902.0247912618158</v>
      </c>
      <c r="Q48">
        <f ca="1">Q47/$E$47*大附魔数值!$S$10</f>
        <v>3013.9693551120954</v>
      </c>
      <c r="R48">
        <f ca="1">R47/45</f>
        <v>232.42063701700005</v>
      </c>
      <c r="S48">
        <f ca="1">SUM(G48:R48,AS48)*IF(COUNTIF(F48,"*雷*")&gt;0,$B$21/$D$21,1)</f>
        <v>478560.13242238626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57308.372688797885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94052.582056591156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57308.372688797885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94052.582056591156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57308.372688797885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57308.372688797885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94052.582056591156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98028.484120973502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103651.79248469524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129820.33073608828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103651.79248469524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129820.33073608828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103651.79248469524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103651.79248469524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129820.33073608828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103651.79248469524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129820.33073608828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16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Q96"/>
  <sheetViews>
    <sheetView topLeftCell="Q19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AC37/SUM(AC37:AC40)*循环!Y12*循环!V9*D22</f>
        <v>34.000793025818552</v>
      </c>
      <c r="CN1" s="34" t="s">
        <v>1521</v>
      </c>
    </row>
    <row r="2" spans="2:95" x14ac:dyDescent="0.35">
      <c r="D2">
        <v>0</v>
      </c>
      <c r="E2">
        <f ca="1">MAX(IF(F2&lt;1.375,0,1.4),(FLOOR(1.5*16*1024/(1024+FLOOR(装备库!E1114/属性开关!U28*1024,1)),1)/16)+MAX(0,大附魔数值!I18)/1000)</f>
        <v>1.415</v>
      </c>
      <c r="F2">
        <f ca="1">(FLOOR(1.5*16*1024/(1024+FLOOR(装备库!E1114/属性开关!U28*1024,1)),1)/16)</f>
        <v>1.375</v>
      </c>
      <c r="AR2">
        <f ca="1">AE41/SUM(AE41:AE44)*循环!Y12*循环!V9*C22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(FLOOR((2*16-4*属性开关!$AB$25)*1024/(1024+FLOOR(装备库!E1114/属性开关!U28*1024,1)),1)/16)</f>
        <v>1.875</v>
      </c>
      <c r="F3">
        <f ca="1">(FLOOR(1.75*16*1024/(1024+FLOOR(装备库!E1114/属性开关!U28*1024,1)),1)/16)</f>
        <v>1.625</v>
      </c>
      <c r="H3" s="51"/>
      <c r="AR3">
        <f ca="1">AR1+AR2</f>
        <v>34.000793025818552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20640.29812371463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0.15625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126061.11502504679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0.15625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235670.9537941828</v>
      </c>
      <c r="U7">
        <f ca="1">INT(I$6*($E18+$E$19)/2+I$7*($C$8+$C$9)/2+I$8)*(I$14+I$15)*$D$21*IF(COUNTIF($S7,"*雷*")&gt;0,I$17*(I$13*0.25+I$9*I$10+1-I$9-I$13-I$12),I$11*(I$13*0.25+I$9*I$10+1-I$9-I$13-I$12))</f>
        <v>75557.76096672588</v>
      </c>
      <c r="V7">
        <f ca="1">INT(J$6*($E18+$E$19)/2+J$7*($C$8+$C$9)/2+J$8)*(J$14+J$15)*$D$21*IF(COUNTIF($S7,"*雷*")&gt;0,J$17*(J$13*0.25+J$9*J$10+1-J$9-J$13-J$12),J$11*(J$13*0.25+J$9*J$10+1-J$9-J$13-J$12))</f>
        <v>136840.38922865712</v>
      </c>
      <c r="W7">
        <f ca="1">INT(K$6*($E18+$E$19)/2+K$7*($C$8+$C$9)/2+K$8)*(K$14+K$15)*$D$21*IF(COUNTIF($S7,"*雷*")&gt;0,K$17*(K$13*0.25+K$9*K$10+1-K$9-K$13-K$12),K$11*(K$13*0.25+K$9*K$10+1-K$9-K$13-K$12))</f>
        <v>142827.76577910193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循环!V14*3*循环!V8</f>
        <v>30</v>
      </c>
      <c r="AQ7">
        <f ca="1">(循环!V17-循环!V14)*(AC37/SUM(AC37:AC40)*D22+AE41/SUM(AE41:AE44)*C22)</f>
        <v>36.429421099091307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672106.42603873997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(AP8+AQ8)/循环!X1</f>
        <v>3470.3247534624666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Z17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531226.0261783941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ca="1" si="11"/>
        <v>2.2455897486586527</v>
      </c>
      <c r="BB10" s="21">
        <f t="shared" ref="BB10:BB14" ca="1" si="16">AV10</f>
        <v>2.2455897486586527</v>
      </c>
      <c r="BC10" s="21">
        <f t="shared" ref="BC10:BC14" ca="1" si="17">AV10</f>
        <v>2.2455897486586527</v>
      </c>
      <c r="BD10" s="21">
        <f t="shared" ca="1" si="12"/>
        <v>2.2455897486586527</v>
      </c>
      <c r="BE10" s="21">
        <f t="shared" ref="BE10:BF17" ca="1" si="18">BD10</f>
        <v>2.2455897486586527</v>
      </c>
      <c r="BF10" s="21">
        <f t="shared" ca="1" si="18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19">AZ10</f>
        <v>2.2455897486586527</v>
      </c>
      <c r="CB10" s="21">
        <f t="shared" ref="CB10:CB17" ca="1" si="20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1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352782.09513809596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1"/>
        <v>1.3631784794429076</v>
      </c>
      <c r="BB11" s="21">
        <f t="shared" ca="1" si="16"/>
        <v>1.3631784794429076</v>
      </c>
      <c r="BC11" s="21">
        <f t="shared" ca="1" si="17"/>
        <v>1.3631784794429076</v>
      </c>
      <c r="BD11" s="21">
        <f t="shared" ca="1" si="12"/>
        <v>1.3631784794429076</v>
      </c>
      <c r="BE11" s="21">
        <f t="shared" ca="1" si="18"/>
        <v>1.3631784794429076</v>
      </c>
      <c r="BF11" s="21">
        <f t="shared" ca="1" si="18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19"/>
        <v>1.3631784794429076</v>
      </c>
      <c r="CB11" s="21">
        <f t="shared" ca="1" si="20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2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3">MAX(0,$C$15-$C$13)</f>
        <v>0</v>
      </c>
      <c r="L12" s="21">
        <f t="shared" si="23"/>
        <v>0</v>
      </c>
      <c r="M12" s="21">
        <f t="shared" si="6"/>
        <v>0</v>
      </c>
      <c r="N12" s="21">
        <f t="shared" si="23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459671.69381376175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1"/>
        <v>0</v>
      </c>
      <c r="BB12" s="21">
        <f t="shared" si="16"/>
        <v>0</v>
      </c>
      <c r="BC12" s="21">
        <f t="shared" si="17"/>
        <v>0</v>
      </c>
      <c r="BD12" s="21">
        <f t="shared" si="12"/>
        <v>0</v>
      </c>
      <c r="BE12" s="21">
        <f t="shared" si="18"/>
        <v>0</v>
      </c>
      <c r="BF12" s="21">
        <f t="shared" si="18"/>
        <v>0</v>
      </c>
      <c r="BG12" s="21">
        <f>MAX(0,$C$15-$C$13-属性开关!BG62)</f>
        <v>0</v>
      </c>
      <c r="BH12">
        <f t="shared" si="5"/>
        <v>0</v>
      </c>
      <c r="CA12" s="21">
        <f t="shared" si="19"/>
        <v>0</v>
      </c>
      <c r="CB12" s="21">
        <f t="shared" si="20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4">$R$12</f>
        <v>0</v>
      </c>
      <c r="CP12" s="21">
        <f t="shared" si="24"/>
        <v>0</v>
      </c>
      <c r="CQ12" s="21">
        <f t="shared" si="24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5">MAX(0,$C$16-$C$14)</f>
        <v>0</v>
      </c>
      <c r="L13" s="21">
        <f t="shared" ca="1" si="25"/>
        <v>0</v>
      </c>
      <c r="M13" s="21">
        <f t="shared" ca="1" si="6"/>
        <v>0</v>
      </c>
      <c r="N13" s="21">
        <f t="shared" ca="1" si="25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300583.56963011267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1"/>
        <v>0</v>
      </c>
      <c r="BB13" s="21">
        <f t="shared" ca="1" si="16"/>
        <v>0</v>
      </c>
      <c r="BC13" s="21">
        <f t="shared" ca="1" si="17"/>
        <v>0</v>
      </c>
      <c r="BD13" s="21">
        <f t="shared" ca="1" si="12"/>
        <v>0</v>
      </c>
      <c r="BE13" s="21">
        <f t="shared" ca="1" si="18"/>
        <v>0</v>
      </c>
      <c r="BF13" s="21">
        <f t="shared" ca="1" si="18"/>
        <v>0</v>
      </c>
      <c r="BG13" s="21">
        <f ca="1">MAX(0,$C$16-$C$14)</f>
        <v>0</v>
      </c>
      <c r="BH13">
        <f t="shared" ca="1" si="5"/>
        <v>0</v>
      </c>
      <c r="CA13" s="21">
        <f t="shared" ca="1" si="19"/>
        <v>0</v>
      </c>
      <c r="CB13" s="21">
        <f t="shared" ca="1" si="20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6">$R$13</f>
        <v>0</v>
      </c>
      <c r="CP13" s="21">
        <f t="shared" ca="1" si="26"/>
        <v>0</v>
      </c>
      <c r="CQ13" s="21">
        <f t="shared" ca="1" si="26"/>
        <v>0</v>
      </c>
    </row>
    <row r="14" spans="2:95" x14ac:dyDescent="0.35">
      <c r="B14" t="s">
        <v>24</v>
      </c>
      <c r="C14" s="21">
        <f ca="1">属性开关!M31+属性开关!$AJ$26/属性开关!U27</f>
        <v>0.40361829196305199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1"/>
        <v>1.1949867981229385</v>
      </c>
      <c r="BB14" s="21">
        <f t="shared" ca="1" si="16"/>
        <v>1.1949867981229385</v>
      </c>
      <c r="BC14" s="21">
        <f t="shared" ca="1" si="17"/>
        <v>1.1949867981229385</v>
      </c>
      <c r="BD14" s="21">
        <f t="shared" ca="1" si="12"/>
        <v>1.1949867981229385</v>
      </c>
      <c r="BE14" s="21">
        <f t="shared" ca="1" si="18"/>
        <v>1.1949867981229385</v>
      </c>
      <c r="BF14" s="21">
        <f t="shared" ca="1" si="18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si="11"/>
        <v>0</v>
      </c>
      <c r="AZ15" s="21">
        <f t="shared" si="11"/>
        <v>0</v>
      </c>
      <c r="BD15" s="21">
        <f t="shared" si="12"/>
        <v>0</v>
      </c>
      <c r="BE15" s="21">
        <f t="shared" si="18"/>
        <v>0</v>
      </c>
      <c r="BF15" s="21">
        <f t="shared" si="18"/>
        <v>0</v>
      </c>
      <c r="BG15" s="36"/>
      <c r="CA15" s="21">
        <f t="shared" si="19"/>
        <v>0</v>
      </c>
      <c r="CB15" s="21">
        <f t="shared" si="20"/>
        <v>0</v>
      </c>
      <c r="CC15">
        <f t="shared" si="2"/>
        <v>9.9609375E-2</v>
      </c>
      <c r="CD15">
        <f t="shared" si="2"/>
        <v>9.9609375E-2</v>
      </c>
      <c r="CE15">
        <f t="shared" ref="CE15:CF17" si="27">J15</f>
        <v>9.9609375E-2</v>
      </c>
      <c r="CF15">
        <f t="shared" si="27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28">$R$15</f>
        <v>0</v>
      </c>
      <c r="CP15" s="21">
        <f t="shared" si="28"/>
        <v>0</v>
      </c>
      <c r="CQ15" s="21">
        <f t="shared" si="28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11"/>
        <v>0.6854469528209215</v>
      </c>
      <c r="AZ16" s="21">
        <f t="shared" ca="1" si="11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8"/>
        <v>0.6854469528209215</v>
      </c>
      <c r="BF16" s="21">
        <f t="shared" ca="1" si="18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19"/>
        <v>0.6854469528209215</v>
      </c>
      <c r="CB16" s="21">
        <f t="shared" ca="1" si="20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7"/>
        <v>0.6854469528209215</v>
      </c>
      <c r="CF16">
        <f t="shared" ca="1" si="27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29">$R$16</f>
        <v>0.6854469528209215</v>
      </c>
      <c r="CP16" s="21">
        <f t="shared" ca="1" si="29"/>
        <v>0.6854469528209215</v>
      </c>
      <c r="CQ16" s="21">
        <f t="shared" ca="1" si="29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0">O17</f>
        <v>1.3631784794429076</v>
      </c>
      <c r="Q17" s="22">
        <f t="shared" ca="1" si="30"/>
        <v>1.3631784794429076</v>
      </c>
      <c r="R17" s="22">
        <f t="shared" ca="1" si="30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11"/>
        <v>1.3631784794429076</v>
      </c>
      <c r="AZ17" s="21">
        <f t="shared" ca="1" si="11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8"/>
        <v>1.3631784794429076</v>
      </c>
      <c r="BF17" s="21">
        <f t="shared" ca="1" si="18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19"/>
        <v>1.3631784794429076</v>
      </c>
      <c r="CB17" s="21">
        <f t="shared" ca="1" si="20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7"/>
        <v>1.3631784794429076</v>
      </c>
      <c r="CF17">
        <f t="shared" ca="1" si="27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1">$R$17</f>
        <v>1.3631784794429076</v>
      </c>
      <c r="CP17" s="21">
        <f t="shared" ca="1" si="31"/>
        <v>1.3631784794429076</v>
      </c>
      <c r="CQ17" s="21">
        <f t="shared" ca="1" si="31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235670.9537941828</v>
      </c>
      <c r="H18">
        <f ca="1">INT(H$6*$E18+H$7*($C$8+$C$9)/2+H$8)*(H$14+H$15)*$D$21*IF(COUNTIF($F18,"*雷*")&gt;0,H$17*(H$13*0.25+H$16*(H$10+属性开关!$X$56)+1-H$16-H$13-H$12),H$11*(H$13*0.25+H$9*H$10+1-H$9-H$13-H$12))</f>
        <v>161046.36586023981</v>
      </c>
      <c r="I18">
        <f ca="1">INT(I$6*$E18+I$7*($C$8+$C$9)/2+I$8)*(I$14+I$15)*$D$21*IF(COUNTIF($F18,"*雷*")&gt;0,I$17*(I$13*0.25+I$16*(I$10+属性开关!$X$56)+1-I$16-I$13-I$12),I$11*(I$13*0.25+I$9*I$10+1-I$9-I$13-I$12))</f>
        <v>75557.76096672588</v>
      </c>
      <c r="J18">
        <f ca="1">INT(J$6*$E18+J$7*($C$8+$C$9)/2+J$8)*(J$14+J$15)*$D$21*IF(COUNTIF($F18,"*雷*")&gt;0,J$17*(J$13*0.25+J$16*(J$10+属性开关!$X$56)+1-J$16-J$13-J$12),J$11*(J$13*0.25+J$9*J$10+1-J$9-J$13-J$12))</f>
        <v>136840.38922865712</v>
      </c>
      <c r="K18">
        <f ca="1">INT(K$6*$E18+K$7*($C$8+$C$9)/2+K$8)*(K$14+K$15)*$D$21*IF(COUNTIF($F18,"*雷*")&gt;0,K$17*(K$13*0.25+K$16*(K$10+属性开关!$X$56)+1-K$16-K$13-K$12),K$11*(K$13*0.25+K$9*K$10+1-K$9-K$13-K$12))</f>
        <v>142827.76577910193</v>
      </c>
      <c r="L18">
        <f ca="1">INT(L$6*$E18+L$7*($C$8+$C$9)/2+L$8)*(L$14+L$15)*$D$21*IF(COUNTIF($F18,"*雷*")&gt;0,L$17*(L$13*0.25+L$16*(L$10+属性开关!$X$56)+1-L$16-L$13-L$12),L$11*(L$13*0.25+L$9*L$10+1-L$9-L$13-L$12))</f>
        <v>100891.61436436513</v>
      </c>
      <c r="M18">
        <f ca="1">INT(M$6*$E18+M$7*($C$8+$C$9)/2+M$8)*(M$14+M$15)*$D$21*IF(COUNTIF($F18,"*雷*")&gt;0,M$17*(M$13*0.25+M$16*(M$10+属性开关!$X$56)+1-M$16-M$13-M$12),M$11*(M$13*0.25+M$9*M$10+1-M$9-M$13-M$12))</f>
        <v>43460.801898729558</v>
      </c>
      <c r="N18">
        <f ca="1">INT(N$6*$E18+N$7*($C$8+$C$9)/2+N$8)*(N$14+N$15)*$D$21*IF(COUNTIF($F18,"*雷*")&gt;0,N$17*(N$13*0.25+N$16*(N$10+属性开关!$X$56)+1-N$16-N$13-N$12),N$11*(N$13*0.25+N$9*N$10+1-N$9-N$13-N$12))</f>
        <v>50871.358660232479</v>
      </c>
      <c r="O18">
        <f ca="1">INT(O$6*$E18+O$7*($C$8+$C$9)/2+O$8)*(O$14+O$15)*$D$21*IF(COUNTIF($F18,"*雷*")&gt;0,O$17*(O$13*0.25+O$16*(O$10+属性开关!$X$56)+1-O$16-O$13-O$12),O$11*(O$13*0.25+O$9*O$10+1-O$9-O$13-O$12))</f>
        <v>20261.773515579607</v>
      </c>
      <c r="P18">
        <f ca="1">INT(P$6*$E18+P$7*($C$8+$C$9)/2+P$8)*(P$14+P$15)*$D$21*IF(COUNTIF($F18,"*雷*")&gt;0,P$17*(P$13*0.25+P$16*(P$10+属性开关!$X$56)+1-P$16-P$13-P$12),P$11*(P$13*0.25+P$9*P$10+1-P$9-P$13-P$12))</f>
        <v>31195.483770068546</v>
      </c>
      <c r="Q18">
        <f ca="1">INT(Q$6*$E18+Q$7*($C$8+$C$9)/2+Q$8)*(Q$14+Q$15)*$D$21*IF(COUNTIF($F18,"*雷*")&gt;0,Q$17*(Q$13*0.25+Q$16*(Q$10+属性开关!$X$56)+1-Q$16-Q$13-Q$12),Q$11*(Q$13*0.25+Q$9*Q$10+1-Q$9-Q$13-Q$12))</f>
        <v>24971.384844790442</v>
      </c>
      <c r="R18">
        <f ca="1">INT(R$6*$E18+R$7*($C$8+$C$9)/2+R$8)*(R$14+R$15)*$D$21*IF(COUNTIF($F18,"*雷*")&gt;0,R$17*(R$13*0.25+R$16*(R$10+属性开关!$X$56)+1-R$16-R$13-R$12),R$11*(R$13*0.25+R$9*R$10+1-R$9-R$13-R$12))</f>
        <v>7093.761301659636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25259.235705234398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56020.262673684163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69080.657826879105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55957.347238226808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150600.13023505622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69227.6098452976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62398.468854524333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187350.61431336327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8232.3720135240728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13986.007133854637</v>
      </c>
      <c r="BI18">
        <f>IF($BH$3=40,1,0)</f>
        <v>0</v>
      </c>
      <c r="BJ18">
        <f>IF($BH$3=40,2,0)</f>
        <v>0</v>
      </c>
      <c r="BK18">
        <f t="shared" ref="BK18:BO18" si="32">IF($BH$3=40,1,0)</f>
        <v>0</v>
      </c>
      <c r="BL18">
        <f>IF($BH$3=40,2,0)</f>
        <v>0</v>
      </c>
      <c r="BM18">
        <f t="shared" si="32"/>
        <v>0</v>
      </c>
      <c r="BN18">
        <f>IF($BH$3=40,2,0)</f>
        <v>0</v>
      </c>
      <c r="BO18">
        <f t="shared" si="32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3">IF($BH$3=40,1,0)</f>
        <v>0</v>
      </c>
      <c r="BT18">
        <f>IF($BH$3=40,2,0)</f>
        <v>0</v>
      </c>
      <c r="BU18">
        <f t="shared" si="33"/>
        <v>0</v>
      </c>
      <c r="BV18">
        <f>IF($BH$3=40,2,0)</f>
        <v>0</v>
      </c>
      <c r="BW18">
        <f t="shared" si="33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151377.91437944505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195496.73537300687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146243.05091592669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62996.714890190022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196353.53945636572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147807.90289674691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20968.263670374272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76737.727959873489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29537.840676232485</v>
      </c>
      <c r="CK18" s="20">
        <f ca="1">((CA18*$CB$30+CB18)*$CB$31+CC18+CE18+CF18+CD18*$CD$3)/(3*$E$2+8)*$E$2/MAX(循环!$X$1,循环!$X$2)*循环!$AD$17</f>
        <v>0</v>
      </c>
      <c r="CL18">
        <f ca="1">循环!AE19</f>
        <v>0.39090909090909093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290105.49430768745</v>
      </c>
      <c r="H19">
        <f ca="1">INT(H$6*$E19+H$7*($C$8+$C$9)/2+H$8)*(H$14+H$15)*$D$21*IF(COUNTIF($F19,"*雷*")&gt;0,H$17*(H$13*0.25+H$16*(H$10+属性开关!$X$56)+1-H$16-H$13-H$12),H$11*(H$13*0.25+H$9*H$10+1-H$9-H$13-H$12))</f>
        <v>201705.07406235597</v>
      </c>
      <c r="I19">
        <f ca="1">INT(I$6*$E19+I$7*($C$8+$C$9)/2+I$8)*(I$14+I$15)*$D$21*IF(COUNTIF($F19,"*雷*")&gt;0,I$17*(I$13*0.25+I$16*(I$10+属性开关!$X$56)+1-I$16-I$13-I$12),I$11*(I$13*0.25+I$9*I$10+1-I$9-I$13-I$12))</f>
        <v>93009.856501778035</v>
      </c>
      <c r="J19">
        <f ca="1">INT(J$6*$E19+J$7*($C$8+$C$9)/2+J$8)*(J$14+J$15)*$D$21*IF(COUNTIF($F19,"*雷*")&gt;0,J$17*(J$13*0.25+J$16*(J$10+属性开关!$X$56)+1-J$16-J$13-J$12),J$11*(J$13*0.25+J$9*J$10+1-J$9-J$13-J$12))</f>
        <v>171387.91488186148</v>
      </c>
      <c r="K19">
        <f ca="1">INT(K$6*$E19+K$7*($C$8+$C$9)/2+K$8)*(K$14+K$15)*$D$21*IF(COUNTIF($F19,"*雷*")&gt;0,K$17*(K$13*0.25+K$16*(K$10+属性开关!$X$56)+1-K$16-K$13-K$12),K$11*(K$13*0.25+K$9*K$10+1-K$9-K$13-K$12))</f>
        <v>176339.27037216531</v>
      </c>
      <c r="L19">
        <f ca="1">INT(L$6*$E19+L$7*($C$8+$C$9)/2+L$8)*(L$14+L$15)*$D$21*IF(COUNTIF($F19,"*雷*")&gt;0,L$17*(L$13*0.25+L$16*(L$10+属性开关!$X$56)+1-L$16-L$13-L$12),L$11*(L$13*0.25+L$9*L$10+1-L$9-L$13-L$12))</f>
        <v>125736.0643636717</v>
      </c>
      <c r="M19">
        <f ca="1">INT(M$6*$E19+M$7*($C$8+$C$9)/2+M$8)*(M$14+M$15)*$D$21*IF(COUNTIF($F19,"*雷*")&gt;0,M$17*(M$13*0.25+M$16*(M$10+属性开关!$X$56)+1-M$16-M$13-M$12),M$11*(M$13*0.25+M$9*M$10+1-M$9-M$13-M$12))</f>
        <v>54162.976965561727</v>
      </c>
      <c r="N19">
        <f ca="1">INT(N$6*$E19+N$7*($C$8+$C$9)/2+N$8)*(N$14+N$15)*$D$21*IF(COUNTIF($F19,"*雷*")&gt;0,N$17*(N$13*0.25+N$16*(N$10+属性开关!$X$56)+1-N$16-N$13-N$12),N$11*(N$13*0.25+N$9*N$10+1-N$9-N$13-N$12))</f>
        <v>63714.639640609064</v>
      </c>
      <c r="O19">
        <f ca="1">INT(O$6*$E19+O$7*($C$8+$C$9)/2+O$8)*(O$14+O$15)*$D$21*IF(COUNTIF($F19,"*雷*")&gt;0,O$17*(O$13*0.25+O$16*(O$10+属性开关!$X$56)+1-O$16-O$13-O$12),O$11*(O$13*0.25+O$9*O$10+1-O$9-O$13-O$12))</f>
        <v>25377.179458624898</v>
      </c>
      <c r="P19">
        <f ca="1">INT(P$6*$E19+P$7*($C$8+$C$9)/2+P$8)*(P$14+P$15)*$D$21*IF(COUNTIF($F19,"*雷*")&gt;0,P$17*(P$13*0.25+P$16*(P$10+属性开关!$X$56)+1-P$16-P$13-P$12),P$11*(P$13*0.25+P$9*P$10+1-P$9-P$13-P$12))</f>
        <v>39071.278203901282</v>
      </c>
      <c r="Q19">
        <f ca="1">INT(Q$6*$E19+Q$7*($C$8+$C$9)/2+Q$8)*(Q$14+Q$15)*$D$21*IF(COUNTIF($F19,"*雷*")&gt;0,Q$17*(Q$13*0.25+Q$16*(Q$10+属性开关!$X$56)+1-Q$16-Q$13-Q$12),Q$11*(Q$13*0.25+Q$9*Q$10+1-Q$9-Q$13-Q$12))</f>
        <v>31275.806831488284</v>
      </c>
      <c r="R19">
        <f ca="1">INT(R$6*$E19+R$7*($C$8+$C$9)/2+R$8)*(R$14+R$15)*$D$21*IF(COUNTIF($F19,"*雷*")&gt;0,R$17*(R$13*0.25+R$16*(R$10+属性开关!$X$56)+1-R$16-R$13-R$12),R$11*(R$13*0.25+R$9*R$10+1-R$9-R$13-R$12))</f>
        <v>8884.6938028620771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40595.201762391465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70163.466100155027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111022.4899552186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89931.454289936388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188621.5206447083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111258.66285081627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100283.25727562662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301099.21286267962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13510.693254664793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17516.996361277517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4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243285.9429444311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314191.19362790009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233866.83290483747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100742.1693031246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315568.20024206239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234165.36323806382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33698.996447840771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123328.49598743097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47471.531437847363</v>
      </c>
      <c r="CK19" s="20">
        <f ca="1">((CA19*$CB$30+CB19)*$CB$31+CC19+CE19+CF19+CD19*$CD$3)/(3*$E$2+8)*$E$2/MAX(循环!$X$1,循环!$X$2)*循环!$AD$17</f>
        <v>0</v>
      </c>
      <c r="CL19">
        <f ca="1">循环!AE20</f>
        <v>0</v>
      </c>
      <c r="CN19">
        <f ca="1">IF($CP$2&gt;=CN4,1,0)*CN3</f>
        <v>0</v>
      </c>
      <c r="CO19">
        <f t="shared" ref="CO19:CP19" ca="1" si="35">IF($CP$2&gt;=CO4,1,0)*CO3</f>
        <v>0</v>
      </c>
      <c r="CP19">
        <f t="shared" si="35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302393.3729809706</v>
      </c>
      <c r="H20">
        <f ca="1">INT(H$6*$E20+H$7*($C$8+$C$9)/2+H$8)*(H$14+H$15)*$D$21*IF(COUNTIF($F20,"*雷*")&gt;0,H$17*(H$13*0.25+H$16*(H$10+属性开关!$X$56)+1-H$16-H$13-H$12),H$11*(H$13*0.25+H$9*H$10+1-H$9-H$13-H$12))</f>
        <v>161046.36586023981</v>
      </c>
      <c r="I20">
        <f ca="1">INT(I$6*$E20+I$7*($C$8+$C$9)/2+I$8)*(I$14+I$15)*$D$21*IF(COUNTIF($F20,"*雷*")&gt;0,I$17*(I$13*0.25+I$16*(I$10+属性开关!$X$56)+1-I$16-I$13-I$12),I$11*(I$13*0.25+I$9*I$10+1-I$9-I$13-I$12))</f>
        <v>97732.433278813012</v>
      </c>
      <c r="J20">
        <f ca="1">INT(J$6*$E20+J$7*($C$8+$C$9)/2+J$8)*(J$14+J$15)*$D$21*IF(COUNTIF($F20,"*雷*")&gt;0,J$17*(J$13*0.25+J$16*(J$10+属性开关!$X$56)+1-J$16-J$13-J$12),J$11*(J$13*0.25+J$9*J$10+1-J$9-J$13-J$12))</f>
        <v>175062.00943766918</v>
      </c>
      <c r="K20">
        <f ca="1">INT(K$6*$E20+K$7*($C$8+$C$9)/2+K$8)*(K$14+K$15)*$D$21*IF(COUNTIF($F20,"*雷*")&gt;0,K$17*(K$13*0.25+K$16*(K$10+属性开关!$X$56)+1-K$16-K$13-K$12),K$11*(K$13*0.25+K$9*K$10+1-K$9-K$13-K$12))</f>
        <v>182328.52710602822</v>
      </c>
      <c r="L20">
        <f ca="1">INT(L$6*$E20+L$7*($C$8+$C$9)/2+L$8)*(L$14+L$15)*$D$21*IF(COUNTIF($F20,"*雷*")&gt;0,L$17*(L$13*0.25+L$16*(L$10+属性开关!$X$56)+1-L$16-L$13-L$12),L$11*(L$13*0.25+L$9*L$10+1-L$9-L$13-L$12))</f>
        <v>128414.9827823259</v>
      </c>
      <c r="M20">
        <f ca="1">INT(M$6*$E20+M$7*($C$8+$C$9)/2+M$8)*(M$14+M$15)*$D$21*IF(COUNTIF($F20,"*雷*")&gt;0,M$17*(M$13*0.25+M$16*(M$10+属性开关!$X$56)+1-M$16-M$13-M$12),M$11*(M$13*0.25+M$9*M$10+1-M$9-M$13-M$12))</f>
        <v>55773.543591375099</v>
      </c>
      <c r="N20">
        <f ca="1">INT(N$6*$E20+N$7*($C$8+$C$9)/2+N$8)*(N$14+N$15)*$D$21*IF(COUNTIF($F20,"*雷*")&gt;0,N$17*(N$13*0.25+N$16*(N$10+属性开关!$X$56)+1-N$16-N$13-N$12),N$11*(N$13*0.25+N$9*N$10+1-N$9-N$13-N$12))</f>
        <v>65977.682327121234</v>
      </c>
      <c r="O20">
        <f ca="1">INT(O$6*$E20+O$7*($C$8+$C$9)/2+O$8)*(O$14+O$15)*$D$21*IF(COUNTIF($F20,"*雷*")&gt;0,O$17*(O$13*0.25+O$16*(O$10+属性开关!$X$56)+1-O$16-O$13-O$12),O$11*(O$13*0.25+O$9*O$10+1-O$9-O$13-O$12))</f>
        <v>23871.897361602711</v>
      </c>
      <c r="P20">
        <f ca="1">INT(P$6*$E20+P$7*($C$8+$C$9)/2+P$8)*(P$14+P$15)*$D$21*IF(COUNTIF($F20,"*雷*")&gt;0,P$17*(P$13*0.25+P$16*(P$10+属性开关!$X$56)+1-P$16-P$13-P$12),P$11*(P$13*0.25+P$9*P$10+1-P$9-P$13-P$12))</f>
        <v>40473.395908108068</v>
      </c>
      <c r="Q20">
        <f ca="1">INT(Q$6*$E20+Q$7*($C$8+$C$9)/2+Q$8)*(Q$14+Q$15)*$D$21*IF(COUNTIF($F20,"*雷*")&gt;0,Q$17*(Q$13*0.25+Q$16*(Q$10+属性开关!$X$56)+1-Q$16-Q$13-Q$12),Q$11*(Q$13*0.25+Q$9*Q$10+1-Q$9-Q$13-Q$12))</f>
        <v>32393.714555222061</v>
      </c>
      <c r="R20">
        <f ca="1">INT(R$6*$E20+R$7*($C$8+$C$9)/2+R$8)*(R$14+R$15)*$D$21*IF(COUNTIF($F20,"*雷*")&gt;0,R$17*(R$13*0.25+R$16*(R$10+属性开关!$X$56)+1-R$16-R$13-R$12),R$11*(R$13*0.25+R$9*R$10+1-R$9-R$13-R$12))</f>
        <v>9188.6086496134212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30635.367974566547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72560.044126241832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89563.127360375831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72599.250537550746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195462.87275504743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89710.079378794311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80960.655270934658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243165.96297199471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10681.69827093463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18150.616981268347</v>
      </c>
      <c r="BY20">
        <f t="shared" si="34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193343.25951929763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250234.57534785906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186138.3523667409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80844.114018617533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251198.09561482468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188685.98190827318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24704.265784301395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99525.107470727904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38317.47359590749</v>
      </c>
      <c r="CK20" s="20">
        <f ca="1">((CA20*$CB$30+CB20)*$CB$31+CC20+CE20+CF20+CD20*$CD$3)/(3*$E$2+8)*$E$2/MAX(循环!$X$1,循环!$X$2)*循环!$AD$17</f>
        <v>0</v>
      </c>
      <c r="CL20">
        <f ca="1">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372239.24939272163</v>
      </c>
      <c r="H21">
        <f ca="1">INT(H$6*$E21+H$7*($C$8+$C$9)/2+H$8)*(H$14+H$15)*$D$21*IF(COUNTIF($F21,"*雷*")&gt;0,H$17*(H$13*0.25+H$16*(H$10+属性开关!$X$56)+1-H$16-H$13-H$12),H$11*(H$13*0.25+H$9*H$10+1-H$9-H$13-H$12))</f>
        <v>201705.07406235597</v>
      </c>
      <c r="I21">
        <f ca="1">INT(I$6*$E21+I$7*($C$8+$C$9)/2+I$8)*(I$14+I$15)*$D$21*IF(COUNTIF($F21,"*雷*")&gt;0,I$17*(I$13*0.25+I$16*(I$10+属性开关!$X$56)+1-I$16-I$13-I$12),I$11*(I$13*0.25+I$9*I$10+1-I$9-I$13-I$12))</f>
        <v>120306.36533598558</v>
      </c>
      <c r="J21">
        <f ca="1">INT(J$6*$E21+J$7*($C$8+$C$9)/2+J$8)*(J$14+J$15)*$D$21*IF(COUNTIF($F21,"*雷*")&gt;0,J$17*(J$13*0.25+J$16*(J$10+属性开关!$X$56)+1-J$16-J$13-J$12),J$11*(J$13*0.25+J$9*J$10+1-J$9-J$13-J$12))</f>
        <v>219259.18905722859</v>
      </c>
      <c r="K21">
        <f ca="1">INT(K$6*$E21+K$7*($C$8+$C$9)/2+K$8)*(K$14+K$15)*$D$21*IF(COUNTIF($F21,"*雷*")&gt;0,K$17*(K$13*0.25+K$16*(K$10+属性开关!$X$56)+1-K$16-K$13-K$12),K$11*(K$13*0.25+K$9*K$10+1-K$9-K$13-K$12))</f>
        <v>225108.047182048</v>
      </c>
      <c r="L21">
        <f ca="1">INT(L$6*$E21+L$7*($C$8+$C$9)/2+L$8)*(L$14+L$15)*$D$21*IF(COUNTIF($F21,"*雷*")&gt;0,L$17*(L$13*0.25+L$16*(L$10+属性开关!$X$56)+1-L$16-L$13-L$12),L$11*(L$13*0.25+L$9*L$10+1-L$9-L$13-L$12))</f>
        <v>160037.03223606283</v>
      </c>
      <c r="M21">
        <f ca="1">INT(M$6*$E21+M$7*($C$8+$C$9)/2+M$8)*(M$14+M$15)*$D$21*IF(COUNTIF($F21,"*雷*")&gt;0,M$17*(M$13*0.25+M$16*(M$10+属性开关!$X$56)+1-M$16-M$13-M$12),M$11*(M$13*0.25+M$9*M$10+1-M$9-M$13-M$12))</f>
        <v>69507.717871071029</v>
      </c>
      <c r="N21">
        <f ca="1">INT(N$6*$E21+N$7*($C$8+$C$9)/2+N$8)*(N$14+N$15)*$D$21*IF(COUNTIF($F21,"*雷*")&gt;0,N$17*(N$13*0.25+N$16*(N$10+属性开关!$X$56)+1-N$16-N$13-N$12),N$11*(N$13*0.25+N$9*N$10+1-N$9-N$13-N$12))</f>
        <v>82634.794204568636</v>
      </c>
      <c r="O21">
        <f ca="1">INT(O$6*$E21+O$7*($C$8+$C$9)/2+O$8)*(O$14+O$15)*$D$21*IF(COUNTIF($F21,"*雷*")&gt;0,O$17*(O$13*0.25+O$16*(O$10+属性开关!$X$56)+1-O$16-O$13-O$12),O$11*(O$13*0.25+O$9*O$10+1-O$9-O$13-O$12))</f>
        <v>29898.73630249867</v>
      </c>
      <c r="P21">
        <f ca="1">INT(P$6*$E21+P$7*($C$8+$C$9)/2+P$8)*(P$14+P$15)*$D$21*IF(COUNTIF($F21,"*雷*")&gt;0,P$17*(P$13*0.25+P$16*(P$10+属性开关!$X$56)+1-P$16-P$13-P$12),P$11*(P$13*0.25+P$9*P$10+1-P$9-P$13-P$12))</f>
        <v>50691.546348115997</v>
      </c>
      <c r="Q21">
        <f ca="1">INT(Q$6*$E21+Q$7*($C$8+$C$9)/2+Q$8)*(Q$14+Q$15)*$D$21*IF(COUNTIF($F21,"*雷*")&gt;0,Q$17*(Q$13*0.25+Q$16*(Q$10+属性开关!$X$56)+1-Q$16-Q$13-Q$12),Q$11*(Q$13*0.25+Q$9*Q$10+1-Q$9-Q$13-Q$12))</f>
        <v>40572.021346860056</v>
      </c>
      <c r="R21">
        <f ca="1">INT(R$6*$E21+R$7*($C$8+$C$9)/2+R$8)*(R$14+R$15)*$D$21*IF(COUNTIF($F21,"*雷*")&gt;0,R$17*(R$13*0.25+R$16*(R$10+属性开关!$X$56)+1-R$16-R$13-R$12),R$11*(R$13*0.25+R$9*R$10+1-R$9-R$13-R$12))</f>
        <v>11508.418574366955</v>
      </c>
      <c r="T21" s="34" t="s">
        <v>248</v>
      </c>
      <c r="U21" s="34" t="s">
        <v>249</v>
      </c>
      <c r="AA21">
        <f ca="1">10*(30+E53)</f>
        <v>320.91976977721833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49235.41466200885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90878.977593028641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143940.74579666625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116677.37130936008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244810.57374316957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144176.91869226392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130115.3437060623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390802.45514113962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17530.44548283266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22733.027988109716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4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310730.2501618375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402162.72545679635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297666.02021425357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129283.11318806466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403711.24022961344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298926.6515901158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39703.285784598644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159951.07157421421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61581.65630200084</v>
      </c>
      <c r="CK21" s="20">
        <f ca="1">((CA21*$CB$30+CB21)*$CB$31+CC21+CE21+CF21+CD21*$CD$3)/(3*$E$2+8)*$E$2/MAX(循环!$X$1,循环!$X$2)*循环!$AD$17</f>
        <v>0</v>
      </c>
      <c r="CL21">
        <f ca="1">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275678.63878021308</v>
      </c>
      <c r="H22">
        <f ca="1">INT(H$6*$E22+H$7*($C$8+$C$9)/2+H$8)*(H$14+H$15)*$D$21*IF(COUNTIF($F22,"*雷*")&gt;0,H$17*(H$13*0.25+H$16*(H$10+属性开关!$X$56)+1-H$16-H$13-H$12),H$11*(H$13*0.25+H$9*H$10+1-H$9-H$13-H$12))</f>
        <v>161046.36586023981</v>
      </c>
      <c r="I22">
        <f ca="1">INT(I$6*$E22+I$7*($C$8+$C$9)/2+I$8)*(I$14+I$15)*$D$21*IF(COUNTIF($F22,"*雷*")&gt;0,I$17*(I$13*0.25+I$16*(I$10+属性开关!$X$56)+1-I$16-I$13-I$12),I$11*(I$13*0.25+I$9*I$10+1-I$9-I$13-I$12))</f>
        <v>88853.288404602892</v>
      </c>
      <c r="J22">
        <f ca="1">INT(J$6*$E22+J$7*($C$8+$C$9)/2+J$8)*(J$14+J$15)*$D$21*IF(COUNTIF($F22,"*雷*")&gt;0,J$17*(J$13*0.25+J$16*(J$10+属性开关!$X$56)+1-J$16-J$13-J$12),J$11*(J$13*0.25+J$9*J$10+1-J$9-J$13-J$12))</f>
        <v>159758.2502613205</v>
      </c>
      <c r="K22">
        <f ca="1">INT(K$6*$E22+K$7*($C$8+$C$9)/2+K$8)*(K$14+K$15)*$D$21*IF(COUNTIF($F22,"*雷*")&gt;0,K$17*(K$13*0.25+K$16*(K$10+属性开关!$X$56)+1-K$16-K$13-K$12),K$11*(K$13*0.25+K$9*K$10+1-K$9-K$13-K$12))</f>
        <v>166511.84637432758</v>
      </c>
      <c r="L22">
        <f ca="1">INT(L$6*$E22+L$7*($C$8+$C$9)/2+L$8)*(L$14+L$15)*$D$21*IF(COUNTIF($F22,"*雷*")&gt;0,L$17*(L$13*0.25+L$16*(L$10+属性开关!$X$56)+1-L$16-L$13-L$12),L$11*(L$13*0.25+L$9*L$10+1-L$9-L$13-L$12))</f>
        <v>117395.17238729959</v>
      </c>
      <c r="M22">
        <f ca="1">INT(M$6*$E22+M$7*($C$8+$C$9)/2+M$8)*(M$14+M$15)*$D$21*IF(COUNTIF($F22,"*雷*")&gt;0,M$17*(M$13*0.25+M$16*(M$10+属性开关!$X$56)+1-M$16-M$13-M$12),M$11*(M$13*0.25+M$9*M$10+1-M$9-M$13-M$12))</f>
        <v>50844.710118659023</v>
      </c>
      <c r="N22">
        <f ca="1">INT(N$6*$E22+N$7*($C$8+$C$9)/2+N$8)*(N$14+N$15)*$D$21*IF(COUNTIF($F22,"*雷*")&gt;0,N$17*(N$13*0.25+N$16*(N$10+属性开关!$X$56)+1-N$16-N$13-N$12),N$11*(N$13*0.25+N$9*N$10+1-N$9-N$13-N$12))</f>
        <v>59930.685422018963</v>
      </c>
      <c r="O22">
        <f ca="1">INT(O$6*$E22+O$7*($C$8+$C$9)/2+O$8)*(O$14+O$15)*$D$21*IF(COUNTIF($F22,"*雷*")&gt;0,O$17*(O$13*0.25+O$16*(O$10+属性开关!$X$56)+1-O$16-O$13-O$12),O$11*(O$13*0.25+O$9*O$10+1-O$9-O$13-O$12))</f>
        <v>22426.357575991806</v>
      </c>
      <c r="P22">
        <f ca="1">INT(P$6*$E22+P$7*($C$8+$C$9)/2+P$8)*(P$14+P$15)*$D$21*IF(COUNTIF($F22,"*雷*")&gt;0,P$17*(P$13*0.25+P$16*(P$10+属性开关!$X$56)+1-P$16-P$13-P$12),P$11*(P$13*0.25+P$9*P$10+1-P$9-P$13-P$12))</f>
        <v>36759.040025501701</v>
      </c>
      <c r="Q22">
        <f ca="1">INT(Q$6*$E22+Q$7*($C$8+$C$9)/2+Q$8)*(Q$14+Q$15)*$D$21*IF(COUNTIF($F22,"*雷*")&gt;0,Q$17*(Q$13*0.25+Q$16*(Q$10+属性开关!$X$56)+1-Q$16-Q$13-Q$12),Q$11*(Q$13*0.25+Q$9*Q$10+1-Q$9-Q$13-Q$12))</f>
        <v>29422.868054615083</v>
      </c>
      <c r="R22">
        <f ca="1">INT(R$6*$E22+R$7*($C$8+$C$9)/2+R$8)*(R$14+R$15)*$D$21*IF(COUNTIF($F22,"*雷*")&gt;0,R$17*(R$13*0.25+R$16*(R$10+属性开关!$X$56)+1-R$16-R$13-R$12),R$11*(R$13*0.25+R$9*R$10+1-R$9-R$13-R$12))</f>
        <v>8350.6697104319064</v>
      </c>
      <c r="T22" s="34">
        <f ca="1">(G21+I21)/(G14+G15)*(G14+D38)</f>
        <v>477540.34066576266</v>
      </c>
      <c r="U22">
        <f ca="1">K20/(K14+K15)*(K14+D35)</f>
        <v>163617.77856554103</v>
      </c>
      <c r="V22">
        <f ca="1">T22+U22</f>
        <v>641158.11923130369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28482.273232794705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65937.471509903786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81361.88381560531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65935.224174213974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177500.41605735652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81508.835834023805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73527.194743743821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220817.69814846563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9700.9891862373042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16483.09243454384</v>
      </c>
      <c r="BY22">
        <f t="shared" si="34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176539.4471932266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228316.5973154401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170165.06555953826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73699.737857647604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229238.59010477603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172317.80309522816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23208.32272939559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90403.416686387165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34803.355690396995</v>
      </c>
      <c r="CK22" s="20">
        <f ca="1">((CA22*$CB$30+CB22)*$CB$31+CC22+CE22+CF22+CD22*$CD$3)/(3*$E$2+8)*$E$2/MAX(循环!$X$1,循环!$X$2)*循环!$AD$17</f>
        <v>0</v>
      </c>
      <c r="CL22">
        <f ca="1">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342401.05796700093</v>
      </c>
      <c r="H23">
        <f ca="1">INT(H$6*$E23+H$7*($C$8+$C$9)/2+H$8)*(H$14+H$15)*$D$21*IF(COUNTIF($F23,"*雷*")&gt;0,H$17*(H$13*0.25+H$16*(H$10+属性开关!$X$56)+1-H$16-H$13-H$12),H$11*(H$13*0.25+H$9*H$10+1-H$9-H$13-H$12))</f>
        <v>161046.36586023981</v>
      </c>
      <c r="I23">
        <f ca="1">INT(I$6*$E23+I$7*($C$8+$C$9)/2+I$8)*(I$14+I$15)*$D$21*IF(COUNTIF($F23,"*雷*")&gt;0,I$17*(I$13*0.25+I$16*(I$10+属性开关!$X$56)+1-I$16-I$13-I$12),I$11*(I$13*0.25+I$9*I$10+1-I$9-I$13-I$12))</f>
        <v>111027.96071669002</v>
      </c>
      <c r="J23">
        <f ca="1">INT(J$6*$E23+J$7*($C$8+$C$9)/2+J$8)*(J$14+J$15)*$D$21*IF(COUNTIF($F23,"*雷*")&gt;0,J$17*(J$13*0.25+J$16*(J$10+属性开关!$X$56)+1-J$16-J$13-J$12),J$11*(J$13*0.25+J$9*J$10+1-J$9-J$13-J$12))</f>
        <v>197981.75935692553</v>
      </c>
      <c r="K23">
        <f ca="1">INT(K$6*$E23+K$7*($C$8+$C$9)/2+K$8)*(K$14+K$15)*$D$21*IF(COUNTIF($F23,"*雷*")&gt;0,K$17*(K$13*0.25+K$16*(K$10+属性开关!$X$56)+1-K$16-K$13-K$12),K$11*(K$13*0.25+K$9*K$10+1-K$9-K$13-K$12))</f>
        <v>206012.6077012539</v>
      </c>
      <c r="L23">
        <f ca="1">INT(L$6*$E23+L$7*($C$8+$C$9)/2+L$8)*(L$14+L$15)*$D$21*IF(COUNTIF($F23,"*雷*")&gt;0,L$17*(L$13*0.25+L$16*(L$10+属性开关!$X$56)+1-L$16-L$13-L$12),L$11*(L$13*0.25+L$9*L$10+1-L$9-L$13-L$12))</f>
        <v>144918.54080526036</v>
      </c>
      <c r="M23">
        <f ca="1">INT(M$6*$E23+M$7*($C$8+$C$9)/2+M$8)*(M$14+M$15)*$D$21*IF(COUNTIF($F23,"*雷*")&gt;0,M$17*(M$13*0.25+M$16*(M$10+属性开关!$X$56)+1-M$16-M$13-M$12),M$11*(M$13*0.25+M$9*M$10+1-M$9-M$13-M$12))</f>
        <v>63157.451811304556</v>
      </c>
      <c r="N23">
        <f ca="1">INT(N$6*$E23+N$7*($C$8+$C$9)/2+N$8)*(N$14+N$15)*$D$21*IF(COUNTIF($F23,"*雷*")&gt;0,N$17*(N$13*0.25+N$16*(N$10+属性开关!$X$56)+1-N$16-N$13-N$12),N$11*(N$13*0.25+N$9*N$10+1-N$9-N$13-N$12))</f>
        <v>75040.200116298278</v>
      </c>
      <c r="O23">
        <f ca="1">INT(O$6*$E23+O$7*($C$8+$C$9)/2+O$8)*(O$14+O$15)*$D$21*IF(COUNTIF($F23,"*雷*")&gt;0,O$17*(O$13*0.25+O$16*(O$10+属性开关!$X$56)+1-O$16-O$13-O$12),O$11*(O$13*0.25+O$9*O$10+1-O$9-O$13-O$12))</f>
        <v>26036.481422014909</v>
      </c>
      <c r="P23">
        <f ca="1">INT(P$6*$E23+P$7*($C$8+$C$9)/2+P$8)*(P$14+P$15)*$D$21*IF(COUNTIF($F23,"*雷*")&gt;0,P$17*(P$13*0.25+P$16*(P$10+属性开关!$X$56)+1-P$16-P$13-P$12),P$11*(P$13*0.25+P$9*P$10+1-P$9-P$13-P$12))</f>
        <v>46036.952163541209</v>
      </c>
      <c r="Q23">
        <f ca="1">INT(Q$6*$E23+Q$7*($C$8+$C$9)/2+Q$8)*(Q$14+Q$15)*$D$21*IF(COUNTIF($F23,"*雷*")&gt;0,Q$17*(Q$13*0.25+Q$16*(Q$10+属性开关!$X$56)+1-Q$16-Q$13-Q$12),Q$11*(Q$13*0.25+Q$9*Q$10+1-Q$9-Q$13-Q$12))</f>
        <v>36845.197765046694</v>
      </c>
      <c r="R23">
        <f ca="1">INT(R$6*$E23+R$7*($C$8+$C$9)/2+R$8)*(R$14+R$15)*$D$21*IF(COUNTIF($F23,"*雷*")&gt;0,R$17*(R$13*0.25+R$16*(R$10+属性开关!$X$56)+1-R$16-R$13-R$12),R$11*(R$13*0.25+R$9*R$10+1-R$9-R$13-R$12))</f>
        <v>10445.517058385693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33860.056648401216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82477.252962461425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101844.35334910205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82577.127473537912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222363.15857734776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101991.30536752052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92089.381160154138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276631.39566082269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12150.315443647862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20647.755465747392</v>
      </c>
      <c r="BY23">
        <f t="shared" si="34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218504.79233307921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283057.03297693754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210060.36701035246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91547.136986075115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284085.85664406815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213195.8821067544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26944.324843322713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113195.60975438371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43582.988610071996</v>
      </c>
      <c r="CK23" s="20">
        <f ca="1">((CA23*$CB$30+CB23)*$CB$31+CC23+CE23+CF23+CD23*$CD$3)/(3*$E$2+8)*$E$2/MAX(循环!$X$1,循环!$X$2)*循环!$AD$17</f>
        <v>0</v>
      </c>
      <c r="CL23">
        <f ca="1">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421487.78444602631</v>
      </c>
      <c r="H24">
        <f ca="1">INT(H$6*$E24+H$7*($C$8+$C$9)/2+H$8)*(H$14+H$15)*$D$21*IF(COUNTIF($F24,"*雷*")&gt;0,H$17*(H$13*0.25+H$16*(H$10+属性开关!$X$56)+1-H$16-H$13-H$12),H$11*(H$13*0.25+H$9*H$10+1-H$9-H$13-H$12))</f>
        <v>201705.07406235597</v>
      </c>
      <c r="I24">
        <f ca="1">INT(I$6*$E24+I$7*($C$8+$C$9)/2+I$8)*(I$14+I$15)*$D$21*IF(COUNTIF($F24,"*雷*")&gt;0,I$17*(I$13*0.25+I$16*(I$10+属性开关!$X$56)+1-I$16-I$13-I$12),I$11*(I$13*0.25+I$9*I$10+1-I$9-I$13-I$12))</f>
        <v>136672.85215733241</v>
      </c>
      <c r="J24">
        <f ca="1">INT(J$6*$E24+J$7*($C$8+$C$9)/2+J$8)*(J$14+J$15)*$D$21*IF(COUNTIF($F24,"*雷*")&gt;0,J$17*(J$13*0.25+J$16*(J$10+属性开关!$X$56)+1-J$16-J$13-J$12),J$11*(J$13*0.25+J$9*J$10+1-J$9-J$13-J$12))</f>
        <v>247965.39320073754</v>
      </c>
      <c r="K24">
        <f ca="1">INT(K$6*$E24+K$7*($C$8+$C$9)/2+K$8)*(K$14+K$15)*$D$21*IF(COUNTIF($F24,"*雷*")&gt;0,K$17*(K$13*0.25+K$16*(K$10+属性开关!$X$56)+1-K$16-K$13-K$12),K$11*(K$13*0.25+K$9*K$10+1-K$9-K$13-K$12))</f>
        <v>254349.0947389841</v>
      </c>
      <c r="L24">
        <f ca="1">INT(L$6*$E24+L$7*($C$8+$C$9)/2+L$8)*(L$14+L$15)*$D$21*IF(COUNTIF($F24,"*雷*")&gt;0,L$17*(L$13*0.25+L$16*(L$10+属性开关!$X$56)+1-L$16-L$13-L$12),L$11*(L$13*0.25+L$9*L$10+1-L$9-L$13-L$12))</f>
        <v>180604.57342246096</v>
      </c>
      <c r="M24">
        <f ca="1">INT(M$6*$E24+M$7*($C$8+$C$9)/2+M$8)*(M$14+M$15)*$D$21*IF(COUNTIF($F24,"*雷*")&gt;0,M$17*(M$13*0.25+M$16*(M$10+属性开关!$X$56)+1-M$16-M$13-M$12),M$11*(M$13*0.25+M$9*M$10+1-M$9-M$13-M$12))</f>
        <v>78709.905436863555</v>
      </c>
      <c r="N24">
        <f ca="1">INT(N$6*$E24+N$7*($C$8+$C$9)/2+N$8)*(N$14+N$15)*$D$21*IF(COUNTIF($F24,"*雷*")&gt;0,N$17*(N$13*0.25+N$16*(N$10+属性开关!$X$56)+1-N$16-N$13-N$12),N$11*(N$13*0.25+N$9*N$10+1-N$9-N$13-N$12))</f>
        <v>93985.288281806745</v>
      </c>
      <c r="O24">
        <f ca="1">INT(O$6*$E24+O$7*($C$8+$C$9)/2+O$8)*(O$14+O$15)*$D$21*IF(COUNTIF($F24,"*雷*")&gt;0,O$17*(O$13*0.25+O$16*(O$10+属性开关!$X$56)+1-O$16-O$13-O$12),O$11*(O$13*0.25+O$9*O$10+1-O$9-O$13-O$12))</f>
        <v>32609.803925089655</v>
      </c>
      <c r="P24">
        <f ca="1">INT(P$6*$E24+P$7*($C$8+$C$9)/2+P$8)*(P$14+P$15)*$D$21*IF(COUNTIF($F24,"*雷*")&gt;0,P$17*(P$13*0.25+P$16*(P$10+属性开关!$X$56)+1-P$16-P$13-P$12),P$11*(P$13*0.25+P$9*P$10+1-P$9-P$13-P$12))</f>
        <v>57659.710581800719</v>
      </c>
      <c r="Q24">
        <f ca="1">INT(Q$6*$E24+Q$7*($C$8+$C$9)/2+Q$8)*(Q$14+Q$15)*$D$21*IF(COUNTIF($F24,"*雷*")&gt;0,Q$17*(Q$13*0.25+Q$16*(Q$10+属性开关!$X$56)+1-Q$16-Q$13-Q$12),Q$11*(Q$13*0.25+Q$9*Q$10+1-Q$9-Q$13-Q$12))</f>
        <v>46147.352064376653</v>
      </c>
      <c r="R24">
        <f ca="1">INT(R$6*$E24+R$7*($C$8+$C$9)/2+R$8)*(R$14+R$15)*$D$21*IF(COUNTIF($F24,"*雷*")&gt;0,R$17*(R$13*0.25+R$16*(R$10+属性开关!$X$56)+1-R$16-R$13-R$12),R$11*(R$13*0.25+R$9*R$10+1-R$9-R$13-R$12))</f>
        <v>13082.653437269881</v>
      </c>
      <c r="T24">
        <f ca="1">K21</f>
        <v>225108.047182048</v>
      </c>
      <c r="U24">
        <f ca="1">G20+I20</f>
        <v>400125.80625978363</v>
      </c>
      <c r="V24">
        <f ca="1">T24+U24</f>
        <v>625233.85344183166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54417.950224955013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103299.94302193799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163678.43116133276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132713.24555763643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278502.26318367757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163914.6040569304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148000.7966985135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444586.18826443359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19940.690804164737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25860.608671258542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4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351168.4294142219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454913.10576675442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335921.2792940223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146399.01762407122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456566.57243662811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337756.57590691873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43303.380835843556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181921.52249657677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70044.091463434233</v>
      </c>
      <c r="CK24" s="20">
        <f ca="1">((CA24*$CB$30+CB24)*$CB$31+CC24+CE24+CF24+CD24*$CD$3)/(3*$E$2+8)*$E$2/MAX(循环!$X$1,循环!$X$2)*循环!$AD$17</f>
        <v>0</v>
      </c>
      <c r="CL24">
        <f ca="1">循环!AE25</f>
        <v>0.31818181818181818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255737.92427600184</v>
      </c>
      <c r="H25">
        <f ca="1">INT(H$6*$E25+H$7*($C$8+$C$9)/2+H$8)*(H$14+H$15)*$D$21*IF(COUNTIF($F25,"*雷*")&gt;0,H$17*(H$13*0.25+H$16*(H$10+属性开关!$X$56)+1-H$16-H$13-H$12),H$11*(H$13*0.25+H$9*H$10+1-H$9-H$13-H$12))</f>
        <v>161046.36586023981</v>
      </c>
      <c r="I25">
        <f ca="1">INT(I$6*$E25+I$7*($C$8+$C$9)/2+I$8)*(I$14+I$15)*$D$21*IF(COUNTIF($F25,"*雷*")&gt;0,I$17*(I$13*0.25+I$16*(I$10+属性开关!$X$56)+1-I$16-I$13-I$12),I$11*(I$13*0.25+I$9*I$10+1-I$9-I$13-I$12))</f>
        <v>82228.714559102533</v>
      </c>
      <c r="J25">
        <f ca="1">INT(J$6*$E25+J$7*($C$8+$C$9)/2+J$8)*(J$14+J$15)*$D$21*IF(COUNTIF($F25,"*雷*")&gt;0,J$17*(J$13*0.25+J$16*(J$10+属性开关!$X$56)+1-J$16-J$13-J$12),J$11*(J$13*0.25+J$9*J$10+1-J$9-J$13-J$12))</f>
        <v>148336.15303355196</v>
      </c>
      <c r="K25">
        <f ca="1">INT(K$6*$E25+K$7*($C$8+$C$9)/2+K$8)*(K$14+K$15)*$D$21*IF(COUNTIF($F25,"*雷*")&gt;0,K$17*(K$13*0.25+K$16*(K$10+属性开关!$X$56)+1-K$16-K$13-K$12),K$11*(K$13*0.25+K$9*K$10+1-K$9-K$13-K$12))</f>
        <v>154707.33487051303</v>
      </c>
      <c r="L25">
        <f ca="1">INT(L$6*$E25+L$7*($C$8+$C$9)/2+L$8)*(L$14+L$15)*$D$21*IF(COUNTIF($F25,"*雷*")&gt;0,L$17*(L$13*0.25+L$16*(L$10+属性开关!$X$56)+1-L$16-L$13-L$12),L$11*(L$13*0.25+L$9*L$10+1-L$9-L$13-L$12))</f>
        <v>109170.48514435184</v>
      </c>
      <c r="M25">
        <f ca="1">INT(M$6*$E25+M$7*($C$8+$C$9)/2+M$8)*(M$14+M$15)*$D$21*IF(COUNTIF($F25,"*雷*")&gt;0,M$17*(M$13*0.25+M$16*(M$10+属性开关!$X$56)+1-M$16-M$13-M$12),M$11*(M$13*0.25+M$9*M$10+1-M$9-M$13-M$12))</f>
        <v>47163.966395667863</v>
      </c>
      <c r="N25">
        <f ca="1">INT(N$6*$E25+N$7*($C$8+$C$9)/2+N$8)*(N$14+N$15)*$D$21*IF(COUNTIF($F25,"*雷*")&gt;0,N$17*(N$13*0.25+N$16*(N$10+属性开关!$X$56)+1-N$16-N$13-N$12),N$11*(N$13*0.25+N$9*N$10+1-N$9-N$13-N$12))</f>
        <v>55415.381664383218</v>
      </c>
      <c r="O25">
        <f ca="1">INT(O$6*$E25+O$7*($C$8+$C$9)/2+O$8)*(O$14+O$15)*$D$21*IF(COUNTIF($F25,"*雷*")&gt;0,O$17*(O$13*0.25+O$16*(O$10+属性开关!$X$56)+1-O$16-O$13-O$12),O$11*(O$13*0.25+O$9*O$10+1-O$9-O$13-O$12))</f>
        <v>21347.791163789861</v>
      </c>
      <c r="P25">
        <f ca="1">INT(P$6*$E25+P$7*($C$8+$C$9)/2+P$8)*(P$14+P$15)*$D$21*IF(COUNTIF($F25,"*雷*")&gt;0,P$17*(P$13*0.25+P$16*(P$10+属性开关!$X$56)+1-P$16-P$13-P$12),P$11*(P$13*0.25+P$9*P$10+1-P$9-P$13-P$12))</f>
        <v>33986.037223109153</v>
      </c>
      <c r="Q25">
        <f ca="1">INT(Q$6*$E25+Q$7*($C$8+$C$9)/2+Q$8)*(Q$14+Q$15)*$D$21*IF(COUNTIF($F25,"*雷*")&gt;0,Q$17*(Q$13*0.25+Q$16*(Q$10+属性开关!$X$56)+1-Q$16-Q$13-Q$12),Q$11*(Q$13*0.25+Q$9*Q$10+1-Q$9-Q$13-Q$12))</f>
        <v>27205.10401817915</v>
      </c>
      <c r="R25">
        <f ca="1">INT(R$6*$E25+R$7*($C$8+$C$9)/2+R$8)*(R$14+R$15)*$D$21*IF(COUNTIF($F25,"*雷*")&gt;0,R$17*(R$13*0.25+R$16*(R$10+属性开关!$X$56)+1-R$16-R$13-R$12),R$11*(R$13*0.25+R$9*R$10+1-R$9-R$13-R$12))</f>
        <v>7723.904899068315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34486.452061704287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82584.431529064401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96548.082201867845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78225.366871670718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164092.46683643587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96736.648536787761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87232.057767677645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261946.18260101666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15920.938575996868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27051.499301241645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4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210441.44124757158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271984.9818277022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203055.15157169831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87724.134710326558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273124.11657435482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205439.77067098499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28348.270136589195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107264.1344875777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41292.873997695155</v>
      </c>
      <c r="CK25" s="20">
        <f ca="1">((CA25*$CB$30+CB25)*$CB$31+CC25+CE25+CF25+CD25*$CD$3)/(3*$E$2+8)*$E$2/MAX(循环!$X$1,循环!$X$2)*循环!$AD$17</f>
        <v>0</v>
      </c>
      <c r="CL25">
        <f ca="1">循环!AE26</f>
        <v>0.18181818181818182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6">SUMPRODUCT(H51:H58,$T$51:$T$58)/$U$33</f>
        <v>0</v>
      </c>
      <c r="I26" s="40">
        <f t="shared" ref="I26:K26" ca="1" si="37">SUMPRODUCT(I51:I58,$T$51:$T$58)/$U$33</f>
        <v>0</v>
      </c>
      <c r="J26" s="40">
        <f t="shared" ca="1" si="37"/>
        <v>0</v>
      </c>
      <c r="K26" s="40">
        <f t="shared" ca="1" si="37"/>
        <v>0</v>
      </c>
      <c r="L26" s="40">
        <f t="shared" ref="L26:Q26" ca="1" si="38">SUMPRODUCT(L27:L36,$T$27:$T$36)/$U$33</f>
        <v>3.3147238541030882E-2</v>
      </c>
      <c r="M26" s="40">
        <f t="shared" ca="1" si="38"/>
        <v>0</v>
      </c>
      <c r="N26" s="40">
        <f t="shared" ca="1" si="38"/>
        <v>7.4006134963893078E-2</v>
      </c>
      <c r="O26" s="40">
        <f t="shared" ca="1" si="38"/>
        <v>3.1539329716177622E-2</v>
      </c>
      <c r="P26" s="40">
        <f t="shared" ca="1" si="38"/>
        <v>3.5162765517165536E-3</v>
      </c>
      <c r="Q26" s="40">
        <f t="shared" ca="1" si="38"/>
        <v>5.5717619487286067E-3</v>
      </c>
      <c r="R26" s="40">
        <f t="shared" ref="R26" ca="1" si="39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212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SUMPRODUCT(AR18:AR25,AQ27:AQ34)*AR3/循环!X1</f>
        <v>3974.3002370357017</v>
      </c>
      <c r="AS26" s="40">
        <f t="shared" ref="AS26" ca="1" si="40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SUMPRODUCT($AX$18:$AX$25,AY18:AY25)*(1+大附魔数值!$O$10*21/1024)*循环!$X$17/MAX(循环!$X$1,循环!$X$2)</f>
        <v>0</v>
      </c>
      <c r="AZ26" s="34">
        <f ca="1">SUMPRODUCT(AQ27:AQ34,AZ18:AZ25)*(1+大附魔数值!$O$10*21/1024)*(2+群侠万变*(1-属性开关!AB32))*(循环!V14-1)/MAX(循环!$X$1,循环!$X$2)*属性开关!R35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271763.92529557599</v>
      </c>
      <c r="BD26">
        <f ca="1">SUMPRODUCT(BD18:BD25,循环!$AB$19:$AB$26)*(1+大附魔数值!$O$10*21/1024)*循环!$V$15*属性开关!$AB$30/MAX(循环!$X$1,循环!$X$2)</f>
        <v>0</v>
      </c>
      <c r="BE26">
        <f ca="1">SUMPRODUCT(BE18:BE25,循环!$AB$19:$AB$26)*(1+大附魔数值!$O$10*21/1024)*循环!$V$15*属性开关!$AB$30/MAX(循环!$X$1,循环!$X$2)</f>
        <v>0</v>
      </c>
      <c r="BF26">
        <f ca="1">SUMPRODUCT(BF18:BF25,循环!$AC$19:$AC$26)*(1+大附魔数值!$O$10*21/1024)*循环!$V$15*属性开关!$AB$30/MAX(循环!$X$1,循环!$X$2)</f>
        <v>0</v>
      </c>
      <c r="BG26">
        <f ca="1">SUMPRODUCT(BG18:BG25,$BY$18:$BY$25)</f>
        <v>19458.641739898325</v>
      </c>
      <c r="BH26">
        <f ca="1">SUMPRODUCT(BH18:BH25,$BY$18:$BY$25)</f>
        <v>25235.09253462878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SUMPRODUCT(CG18:CG25,$CL$18:$CL$25)*(1+大附魔数值!$O$10*21/1024)/E3*4/(3*$E$2+8)*循环!$V$11</f>
        <v>0</v>
      </c>
      <c r="CH26">
        <f ca="1">SUMPRODUCT(CH18:CH25,$CL$18:$CL$25)*(1+大附魔数值!$O$10*21/1024)/F3*循环!$V$11</f>
        <v>0</v>
      </c>
      <c r="CI26">
        <f ca="1">SUMPRODUCT(CI18:CI25,$CL$18:$CL$25)*(1+大附魔数值!$O$10*21/1024)/E45*循环!$V$11</f>
        <v>0</v>
      </c>
      <c r="CL26">
        <f ca="1">(SUMPRODUCT(CK18:CK25,CL18:CL25)*(1+大附魔数值!$O$10*21/1024)+CG26+CH26+CI26)*循环!$V$11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1">(G18*$AD$38)/$AD$37/$E$2*$D$22+(G18*$AE$42)/$AF$41/$E$2*$C$22</f>
        <v>84877.622081720008</v>
      </c>
      <c r="H27">
        <f ca="1">(H18*$AC$38)/$AD$37/$E$2*$D$22+(H18*$AF$42)/$AF$41/$E$2*$C$22</f>
        <v>55648.890435406429</v>
      </c>
      <c r="I27">
        <f t="shared" ca="1" si="41"/>
        <v>27212.361037395669</v>
      </c>
      <c r="J27">
        <f ca="1">J18*$AC$39/$AD$37/$E$2*$D$22+J18*$AE$43/$AF$41/$E$2*$C$22</f>
        <v>16323.138906898206</v>
      </c>
      <c r="K27">
        <f t="shared" ref="K27:K33" ca="1" si="42">K18*$AC$40/$AD$37/$E$2*$D$22+K18*$AE$44/$AF$41/$E$2*$C$22</f>
        <v>17037.348941462682</v>
      </c>
      <c r="L27">
        <f ca="1">L18*$AC$37/$AD$37/$E$2*$D$22+L18*$AE$41/$AF$41/$E$2*$C$22</f>
        <v>12368.9150430644</v>
      </c>
      <c r="M27">
        <f ca="1">M18*$AE$41/$AF$41/$E$2*$C$22</f>
        <v>0</v>
      </c>
      <c r="N27">
        <f ca="1">N18/$E$3</f>
        <v>27131.391285457321</v>
      </c>
      <c r="O27">
        <f ca="1">O18/$F$3</f>
        <v>12468.783701895143</v>
      </c>
      <c r="P27">
        <f ca="1">P18/$E$45*大附魔数值!$S$9</f>
        <v>1288.7771954778495</v>
      </c>
      <c r="Q27">
        <f ca="1">Q18/$E$47*大附魔数值!$S$10</f>
        <v>2042.3518426486498</v>
      </c>
      <c r="R27">
        <f ca="1">R18/45</f>
        <v>157.6391400368808</v>
      </c>
      <c r="S27">
        <f ca="1">SUM(G27:R27,AS27)*IF(COUNTIF(F27,"*雷*")&gt;0,$B$21/$D$21,1)</f>
        <v>256557.21961146328</v>
      </c>
      <c r="T27" s="15">
        <f ca="1">AQ27</f>
        <v>0.45454545454545447</v>
      </c>
      <c r="U27">
        <f ca="1">U28*(1+非侠士/1024)*(1+C14)*(1-B24*0.05)+AQ9</f>
        <v>537837.00778147846</v>
      </c>
      <c r="Y27" s="34" t="s">
        <v>223</v>
      </c>
      <c r="AA27">
        <f ca="1">$Z$26-SUM(AA28:AA34)-IF(COUNTIF(AA26,"*驰骋*")&gt;0,8,0)</f>
        <v>122</v>
      </c>
      <c r="AB27">
        <f t="shared" ref="AB27:AF27" ca="1" si="43">$Z$26-SUM(AB28:AB34)-IF(COUNTIF(AB26,"*驰骋*")&gt;0,8,0)</f>
        <v>162</v>
      </c>
      <c r="AC27">
        <f t="shared" ca="1" si="43"/>
        <v>122</v>
      </c>
      <c r="AD27">
        <f t="shared" ca="1" si="43"/>
        <v>132</v>
      </c>
      <c r="AE27">
        <f t="shared" ca="1" si="43"/>
        <v>98</v>
      </c>
      <c r="AF27">
        <f t="shared" ca="1" si="43"/>
        <v>110</v>
      </c>
      <c r="AG27">
        <f ca="1">$Z$26-SUM(AG28:AG34)-IF(COUNTIF(AG26,"*驰骋*")&gt;0,8,0)</f>
        <v>98</v>
      </c>
      <c r="AH27">
        <f ca="1">$Z$26-SUM(AH28:AH34)-IF(COUNTIF(AH26,"*驰骋*")&gt;0,8,0)</f>
        <v>100</v>
      </c>
      <c r="AI27">
        <f ca="1">$Z$26-7-SUM(AI28:AI34)</f>
        <v>56</v>
      </c>
      <c r="AJ27">
        <f t="shared" ref="AJ27" ca="1" si="44">$Z$26-SUM(AJ28:AJ34)</f>
        <v>113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80</v>
      </c>
      <c r="AP27">
        <f ca="1">(Z26-10)-SUM(AO28:AO34)</f>
        <v>80</v>
      </c>
      <c r="AQ27" s="50">
        <f ca="1">循环!W19*AY32</f>
        <v>0.45454545454545447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0.5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SUMPRODUCT(CA18:CA25,$CL$18:$CL$25)*$CB$30*$CB$31/(3*$E$2+8)*(1+大附魔数值!$O$10*21/1024)*循环!$V$11*$E$2/MAX(循环!$X$1,循环!$X$2)*循环!$AD$17</f>
        <v>0</v>
      </c>
      <c r="CB27">
        <f ca="1">SUMPRODUCT(CB18:CB25,$CL$18:$CL$25)*$CB$31/(3*$E$2+8)*(1+大附魔数值!$O$10*21/1024)*循环!$V$11*$E$2/MAX(循环!$X$1,循环!$X$2)*循环!$AD$17</f>
        <v>0</v>
      </c>
      <c r="CC27">
        <f ca="1">SUMPRODUCT(CC18:CC25,$CL$18:$CL$25)*$CB$29/(3*$E$2+8)*(1+大附魔数值!$O$10*21/1024)*循环!$V$11*$E$2/MAX(循环!$X$1,循环!$X$2)*循环!$AD$17</f>
        <v>0</v>
      </c>
      <c r="CD27">
        <f ca="1">SUMPRODUCT(CD18:CD25,$CL$18:$CL$25)*$CB$29/(3*$E$2+8)*(1+大附魔数值!$O$10*21/1024)*循环!$V$11*$E$2/MAX(循环!$X$1,循环!$X$2)*循环!$AD$17*$CD$3</f>
        <v>0</v>
      </c>
      <c r="CE27">
        <f ca="1">SUMPRODUCT(CE18:CE25,$CL$18:$CL$25)*$CB$29/(3*$E$2+8)*(1+大附魔数值!$O$10*21/1024)*循环!$V$11*$E$2/MAX(循环!$X$1,循环!$X$2)*循环!$AD$17</f>
        <v>0</v>
      </c>
      <c r="CF27">
        <f ca="1">SUMPRODUCT(CF18:CF25,$CL$18:$CL$25)*$CB$29/(3*$E$2+8)*(1+大附魔数值!$O$10*21/1024)*循环!$V$11*$E$2/MAX(循环!$X$1,循环!$X$2)*循环!$AD$17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1"/>
        <v>104482.39001562638</v>
      </c>
      <c r="H28">
        <f t="shared" ref="H28:H33" ca="1" si="45">(H19*$AC$38)/$AD$37/$E$2*$D$22+(H19*$AF$42)/$AF$41/$E$2*$C$22</f>
        <v>69698.335052792434</v>
      </c>
      <c r="I28">
        <f t="shared" ca="1" si="41"/>
        <v>33497.78716017479</v>
      </c>
      <c r="J28">
        <f t="shared" ref="J28:J33" ca="1" si="46">J19*$AC$39/$AD$37/$E$2*$D$22+J19*$AE$43/$AF$41/$E$2*$C$22</f>
        <v>20444.174102030396</v>
      </c>
      <c r="K28">
        <f t="shared" ca="1" si="42"/>
        <v>21034.801356901848</v>
      </c>
      <c r="L28">
        <f t="shared" ref="L28:L33" ca="1" si="47">L19*$AC$37/$AD$37/$E$2*$D$22+L19*$AE$41/$AF$41/$E$2*$C$22</f>
        <v>15414.746882203079</v>
      </c>
      <c r="M28">
        <f t="shared" ref="M28:M33" ca="1" si="48">M19*$AE$41/$AF$41/$E$2*$C$22</f>
        <v>0</v>
      </c>
      <c r="N28">
        <f t="shared" ref="N28:N33" ca="1" si="49">N19/$E$3</f>
        <v>33981.141141658169</v>
      </c>
      <c r="O28">
        <f t="shared" ref="O28:O33" ca="1" si="50">O19/$F$3</f>
        <v>15616.725820692245</v>
      </c>
      <c r="P28">
        <f ca="1">P19/$E$45*大附魔数值!$S$9</f>
        <v>1614.1494300425809</v>
      </c>
      <c r="Q28">
        <f ca="1">Q19/$E$47*大附魔数值!$S$10</f>
        <v>2557.9759436505283</v>
      </c>
      <c r="R28">
        <f t="shared" ref="R28:R33" ca="1" si="51">R19/45</f>
        <v>197.43764006360172</v>
      </c>
      <c r="S28">
        <f t="shared" ref="S28:S33" ca="1" si="52">SUM(G28:R28,AS28)*IF(COUNTIF(F28,"*雷*")&gt;0,$B$21/$D$21,1)</f>
        <v>417397.91023949708</v>
      </c>
      <c r="T28" s="15">
        <f t="shared" ref="T28:T33" ca="1" si="53">AQ28</f>
        <v>0</v>
      </c>
      <c r="U28">
        <f ca="1">U33+U39+AW29+BI26+AT32+BB3+BC3+AY26+AZ26+BF27+CL26+AR26+AM8+AL8+CQ24</f>
        <v>406764.93245961628</v>
      </c>
      <c r="V28">
        <f ca="1">U28-U33</f>
        <v>24614.598360750359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循环!W20*AY33</f>
        <v>0</v>
      </c>
      <c r="AS28">
        <f t="shared" ref="AS28:AS33" ca="1" si="54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5">CB27/$V$51</f>
        <v>#DIV/0!</v>
      </c>
      <c r="CC28" t="e">
        <f t="shared" ca="1" si="55"/>
        <v>#DIV/0!</v>
      </c>
      <c r="CE28" t="e">
        <f t="shared" ca="1" si="55"/>
        <v>#DIV/0!</v>
      </c>
      <c r="CF28" t="e">
        <f t="shared" ca="1" si="55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1"/>
        <v>108907.90748150724</v>
      </c>
      <c r="H29">
        <f t="shared" ca="1" si="45"/>
        <v>55648.890435406429</v>
      </c>
      <c r="I29">
        <f t="shared" ca="1" si="41"/>
        <v>35198.637776170297</v>
      </c>
      <c r="J29">
        <f t="shared" ca="1" si="46"/>
        <v>20882.442044189742</v>
      </c>
      <c r="K29">
        <f t="shared" ca="1" si="42"/>
        <v>21749.235670973834</v>
      </c>
      <c r="L29">
        <f t="shared" ca="1" si="47"/>
        <v>15743.171742251086</v>
      </c>
      <c r="M29">
        <f t="shared" ca="1" si="48"/>
        <v>0</v>
      </c>
      <c r="N29">
        <f t="shared" ca="1" si="49"/>
        <v>35188.097241131327</v>
      </c>
      <c r="O29">
        <f t="shared" ca="1" si="50"/>
        <v>14690.398376370898</v>
      </c>
      <c r="P29">
        <f ca="1">P20/$E$45*大附魔数值!$S$9</f>
        <v>1672.0750367065577</v>
      </c>
      <c r="Q29">
        <f ca="1">Q20/$E$47*大附魔数值!$S$10</f>
        <v>2649.4070322212988</v>
      </c>
      <c r="R29">
        <f t="shared" ca="1" si="51"/>
        <v>204.19130332474271</v>
      </c>
      <c r="S29">
        <f t="shared" ca="1" si="52"/>
        <v>312534.45414025354</v>
      </c>
      <c r="T29" s="15">
        <f t="shared" ca="1" si="53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循环!W21*AY34</f>
        <v>0</v>
      </c>
      <c r="AS29">
        <f t="shared" ca="1" si="54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1"/>
        <v>134063.11565035311</v>
      </c>
      <c r="H30">
        <f t="shared" ca="1" si="45"/>
        <v>69698.335052792434</v>
      </c>
      <c r="I30">
        <f t="shared" ca="1" si="41"/>
        <v>43328.709145595079</v>
      </c>
      <c r="J30">
        <f t="shared" ca="1" si="46"/>
        <v>26154.545597020879</v>
      </c>
      <c r="K30">
        <f t="shared" ca="1" si="42"/>
        <v>26852.232326474976</v>
      </c>
      <c r="L30">
        <f t="shared" ca="1" si="47"/>
        <v>19619.910613415392</v>
      </c>
      <c r="M30">
        <f t="shared" ca="1" si="48"/>
        <v>0</v>
      </c>
      <c r="N30">
        <f t="shared" ca="1" si="49"/>
        <v>44071.890242436602</v>
      </c>
      <c r="O30">
        <f t="shared" ca="1" si="50"/>
        <v>18399.222339999182</v>
      </c>
      <c r="P30">
        <f ca="1">P21/$E$45*大附魔数值!$S$9</f>
        <v>2094.2168878830889</v>
      </c>
      <c r="Q30">
        <f ca="1">Q21/$E$47*大附魔数值!$S$10</f>
        <v>3318.2918397506028</v>
      </c>
      <c r="R30">
        <f t="shared" ca="1" si="51"/>
        <v>255.74263498593234</v>
      </c>
      <c r="S30">
        <f t="shared" ca="1" si="52"/>
        <v>508226.73129596631</v>
      </c>
      <c r="T30" s="15">
        <f t="shared" ca="1" si="53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循环!W22*AY35</f>
        <v>0</v>
      </c>
      <c r="AS30">
        <f t="shared" ca="1" si="54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1"/>
        <v>99286.513427636062</v>
      </c>
      <c r="H31">
        <f t="shared" ca="1" si="45"/>
        <v>55648.890435406429</v>
      </c>
      <c r="I31">
        <f t="shared" ca="1" si="41"/>
        <v>32000.786318836181</v>
      </c>
      <c r="J31">
        <f t="shared" ca="1" si="46"/>
        <v>19056.918247879585</v>
      </c>
      <c r="K31">
        <f t="shared" ca="1" si="42"/>
        <v>19862.527528115512</v>
      </c>
      <c r="L31">
        <f t="shared" ca="1" si="47"/>
        <v>14392.186336521465</v>
      </c>
      <c r="M31">
        <f t="shared" ca="1" si="48"/>
        <v>0</v>
      </c>
      <c r="N31">
        <f t="shared" ca="1" si="49"/>
        <v>31963.032225076782</v>
      </c>
      <c r="O31">
        <f t="shared" ca="1" si="50"/>
        <v>13800.835431379573</v>
      </c>
      <c r="P31">
        <f ca="1">P22/$E$45*大附魔数值!$S$9</f>
        <v>1518.6240694872226</v>
      </c>
      <c r="Q31">
        <f ca="1">Q22/$E$47*大附魔数值!$S$10</f>
        <v>2406.428364339899</v>
      </c>
      <c r="R31">
        <f t="shared" ca="1" si="51"/>
        <v>185.57043800959792</v>
      </c>
      <c r="S31">
        <f t="shared" ca="1" si="52"/>
        <v>290122.31282268825</v>
      </c>
      <c r="T31" s="15">
        <f t="shared" ca="1" si="53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循环!W23*AY36</f>
        <v>0</v>
      </c>
      <c r="AS31">
        <f t="shared" ca="1" si="54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正常!$CB$31</f>
        <v>-1.0612500000000002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1"/>
        <v>123316.79882742329</v>
      </c>
      <c r="H32">
        <f t="shared" ca="1" si="45"/>
        <v>55648.890435406429</v>
      </c>
      <c r="I32">
        <f t="shared" ca="1" si="41"/>
        <v>39987.063057610809</v>
      </c>
      <c r="J32">
        <f ca="1">J24*$AC$39/$AD$37/$E$2*$D$22+J24*$AE$43/$AF$41/$E$2*$C$22</f>
        <v>29578.793075163423</v>
      </c>
      <c r="K32">
        <f t="shared" ca="1" si="42"/>
        <v>24574.414257626668</v>
      </c>
      <c r="L32">
        <f t="shared" ca="1" si="47"/>
        <v>17766.443035708147</v>
      </c>
      <c r="M32">
        <f t="shared" ca="1" si="48"/>
        <v>0</v>
      </c>
      <c r="N32">
        <f t="shared" ca="1" si="49"/>
        <v>40021.440062025751</v>
      </c>
      <c r="O32">
        <f t="shared" ca="1" si="50"/>
        <v>16022.450105855329</v>
      </c>
      <c r="P32">
        <f ca="1">P23/$E$45*大附魔数值!$S$9</f>
        <v>1901.9219107159302</v>
      </c>
      <c r="Q32">
        <f ca="1">Q23/$E$47*大附魔数值!$S$10</f>
        <v>3013.4835539125474</v>
      </c>
      <c r="R32">
        <f t="shared" ca="1" si="51"/>
        <v>232.12260129745982</v>
      </c>
      <c r="S32">
        <f t="shared" ca="1" si="52"/>
        <v>352063.82092274574</v>
      </c>
      <c r="T32" s="15">
        <f t="shared" ca="1" si="53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循环!W24*AY37</f>
        <v>0</v>
      </c>
      <c r="AS32">
        <f t="shared" ca="1" si="54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1"/>
        <v>151800.12769632341</v>
      </c>
      <c r="H33">
        <f t="shared" ca="1" si="45"/>
        <v>69698.335052792434</v>
      </c>
      <c r="I33">
        <f t="shared" ca="1" si="41"/>
        <v>49223.149936295595</v>
      </c>
      <c r="J33">
        <f t="shared" ca="1" si="46"/>
        <v>29578.793075163423</v>
      </c>
      <c r="K33">
        <f t="shared" ca="1" si="42"/>
        <v>30340.279121325268</v>
      </c>
      <c r="L33">
        <f t="shared" ca="1" si="47"/>
        <v>22141.41025619581</v>
      </c>
      <c r="M33">
        <f t="shared" ca="1" si="48"/>
        <v>0</v>
      </c>
      <c r="N33">
        <f t="shared" ca="1" si="49"/>
        <v>50125.487083630265</v>
      </c>
      <c r="O33">
        <f t="shared" ca="1" si="50"/>
        <v>20067.571646209017</v>
      </c>
      <c r="P33">
        <f ca="1">P24/$E$45*大附魔数值!$S$9</f>
        <v>2382.0922491023234</v>
      </c>
      <c r="Q33">
        <f ca="1">Q24/$E$47*大附魔数值!$S$10</f>
        <v>3774.2852512121685</v>
      </c>
      <c r="R33">
        <f t="shared" ca="1" si="51"/>
        <v>290.7256319393307</v>
      </c>
      <c r="S33">
        <f t="shared" ca="1" si="52"/>
        <v>562692.72756898857</v>
      </c>
      <c r="T33" s="15">
        <f t="shared" ca="1" si="53"/>
        <v>0.31818181818181818</v>
      </c>
      <c r="U33">
        <f ca="1">(S48*T48+SUMPRODUCT(S27:S33,T27:T33))*(1+大附魔数值!$O$10*21/1024)</f>
        <v>382150.33409886592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循环!W25*AY38</f>
        <v>0.31818181818181818</v>
      </c>
      <c r="AS33">
        <f t="shared" ca="1" si="54"/>
        <v>0</v>
      </c>
      <c r="AX33" s="21">
        <f ca="1">循环!Z20</f>
        <v>0</v>
      </c>
      <c r="AY33">
        <f t="shared" ref="AY33:AY39" ca="1" si="56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60564.331182973212</v>
      </c>
      <c r="H34">
        <f ca="1">H18*2*$D$33/(5+2*$D$33)/$E$2</f>
        <v>41386.794939065541</v>
      </c>
      <c r="I34">
        <f ca="1">I18*2*$D$33/(5+2*$D$33)/$E$2</f>
        <v>19417.349422827629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37230.316073616756</v>
      </c>
      <c r="L34">
        <f ca="1">L18/(5+2*$D$33)/$E$2</f>
        <v>9074.7356335994173</v>
      </c>
      <c r="M34">
        <v>0</v>
      </c>
      <c r="N34">
        <f ca="1">N27</f>
        <v>27131.391285457321</v>
      </c>
      <c r="O34">
        <f ca="1">O27</f>
        <v>12468.783701895143</v>
      </c>
      <c r="P34">
        <f ca="1">P27</f>
        <v>1288.7771954778495</v>
      </c>
      <c r="Q34">
        <f ca="1">Q27</f>
        <v>2042.3518426486498</v>
      </c>
      <c r="R34">
        <f ca="1">R27</f>
        <v>157.6391400368808</v>
      </c>
      <c r="S34">
        <f ca="1">SUM(G34:R34,AS34)</f>
        <v>210762.47041759844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循环!W26*AY39</f>
        <v>0.18181818181818182</v>
      </c>
      <c r="AS34">
        <f ca="1">AS18*2*$D$33/(5+2*$D$33)/$E$2</f>
        <v>0</v>
      </c>
      <c r="AX34" s="21">
        <f ca="1">循环!Z21</f>
        <v>0</v>
      </c>
      <c r="AY34">
        <f t="shared" ca="1" si="56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43829.450195900972</v>
      </c>
      <c r="H35">
        <f ca="1">H18*$D$33/(4+$D$33)/$E$2</f>
        <v>29950.97002011818</v>
      </c>
      <c r="I35">
        <f ca="1">I18*$D$33/(4+$D$33)/$E$2</f>
        <v>14052.029186834163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17317.69210912619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13663.251194860366</v>
      </c>
      <c r="N35">
        <f ca="1">N27</f>
        <v>27131.391285457321</v>
      </c>
      <c r="O35">
        <f t="shared" ref="O35:R35" ca="1" si="57">O27</f>
        <v>12468.783701895143</v>
      </c>
      <c r="P35">
        <f t="shared" ca="1" si="57"/>
        <v>1288.7771954778495</v>
      </c>
      <c r="Q35">
        <f t="shared" ca="1" si="57"/>
        <v>2042.3518426486498</v>
      </c>
      <c r="R35">
        <f t="shared" ca="1" si="57"/>
        <v>157.6391400368808</v>
      </c>
      <c r="S35">
        <f t="shared" ref="S35:S36" ca="1" si="58">SUM(G35:R35,AS35)</f>
        <v>161902.33587235573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6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88162.690410236275</v>
      </c>
      <c r="H36">
        <f ca="1">H25*$D$33*2/(3+2*$D$33)/$E$2</f>
        <v>55518.871263327594</v>
      </c>
      <c r="I36">
        <f ca="1">I25*$D$33*2/(3+2*$D$33)/$E$2</f>
        <v>28347.397927113507</v>
      </c>
      <c r="J36">
        <f ca="1">J25/(3+2*$D$33)/$E$2</f>
        <v>17898.01036800447</v>
      </c>
      <c r="K36">
        <f ca="1">K25/(3+2*$D$33)/$E$2</f>
        <v>18666.74729586978</v>
      </c>
      <c r="L36">
        <f ca="1">L25/(3+2*$D$33)/$E$2</f>
        <v>13172.341570377179</v>
      </c>
      <c r="M36">
        <v>0</v>
      </c>
      <c r="N36">
        <f ca="1">N25/E3</f>
        <v>29554.870221004381</v>
      </c>
      <c r="O36">
        <f ca="1">O25/F3</f>
        <v>13137.102254639914</v>
      </c>
      <c r="P36">
        <f ca="1">P25/$E$45*大附魔数值!$S$9</f>
        <v>1404.0631669841282</v>
      </c>
      <c r="Q36">
        <f ca="1">Q25/$E$47*大附魔数值!$S$10</f>
        <v>2225.0425703790256</v>
      </c>
      <c r="R36">
        <f ca="1">R25/45</f>
        <v>171.642331090407</v>
      </c>
      <c r="S36">
        <f t="shared" ca="1" si="58"/>
        <v>268258.77937902667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0</v>
      </c>
      <c r="AS36">
        <f ca="1">AS25*$D$33*2/(3+2*$D$33)/$E$2</f>
        <v>0</v>
      </c>
      <c r="AX36" s="21">
        <f ca="1">循环!Z23</f>
        <v>0</v>
      </c>
      <c r="AY36">
        <f t="shared" ca="1" si="56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0.25856804110951326</v>
      </c>
      <c r="H37" s="15">
        <f t="shared" ref="H37" ca="1" si="59">SUMPRODUCT(H38:H45,$S$38:$S$45)/$T$38</f>
        <v>0.14128262945732856</v>
      </c>
      <c r="I37" s="15">
        <f t="shared" ref="I37:Q37" ca="1" si="60">SUMPRODUCT(I38:I45,$S$38:$S$45)/$T$38</f>
        <v>8.3424250422531848E-2</v>
      </c>
      <c r="J37" s="15">
        <f t="shared" ca="1" si="60"/>
        <v>1.2651471452871078E-2</v>
      </c>
      <c r="K37" s="15">
        <f t="shared" ca="1" si="60"/>
        <v>0</v>
      </c>
      <c r="L37" s="15">
        <f t="shared" ca="1" si="60"/>
        <v>0</v>
      </c>
      <c r="M37" s="15">
        <f t="shared" ca="1" si="60"/>
        <v>0</v>
      </c>
      <c r="N37" s="15">
        <f t="shared" ca="1" si="60"/>
        <v>4.6536881129606841E-2</v>
      </c>
      <c r="O37" s="15">
        <f t="shared" ca="1" si="60"/>
        <v>1.9832707634648571E-2</v>
      </c>
      <c r="P37" s="15">
        <f t="shared" ca="1" si="60"/>
        <v>2.2111213345473841E-3</v>
      </c>
      <c r="Q37" s="15">
        <f t="shared" ca="1" si="60"/>
        <v>3.5036611980473801E-3</v>
      </c>
      <c r="R37">
        <v>0</v>
      </c>
      <c r="S37">
        <f ca="1">(S35*(4+D33)+S36*11)/(15+D33)</f>
        <v>233114.91109310457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0.7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5.7645714278242597</v>
      </c>
      <c r="AE37">
        <f ca="1">AC37/$AD$37</f>
        <v>0.1734734338051967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6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153514.37238366096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100650.34082780342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49217.78465602285</v>
      </c>
      <c r="J38">
        <f ca="1">J18/$E$2*(3-属性开关!$X$37)/(3+2*$D$33)/(3+$D$33)</f>
        <v>7456.5577590291305</v>
      </c>
      <c r="N38">
        <f ca="1">N27</f>
        <v>27131.391285457321</v>
      </c>
      <c r="O38">
        <f ca="1">O27</f>
        <v>12468.783701895143</v>
      </c>
      <c r="P38">
        <f ca="1">P27</f>
        <v>1288.7771954778495</v>
      </c>
      <c r="Q38">
        <f ca="1">Q27</f>
        <v>2042.3518426486498</v>
      </c>
      <c r="R38">
        <f ca="1">SUM(G38:Q38,AS38,AU18*属性开关!$X$37)*IF(COUNTIF(F38,"*雷*")&gt;0,$B$21/$D$21,1)*(1+大附魔数值!$O$10*21/1024)</f>
        <v>409790.62232567952</v>
      </c>
      <c r="S38" s="36">
        <f t="shared" ref="S38:S45" ca="1" si="61">T27</f>
        <v>0.45454545454545447</v>
      </c>
      <c r="T38">
        <f ca="1">SUMPRODUCT(S38:S46,R38:R46)</f>
        <v>607721.62885287951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2.81857142782426</v>
      </c>
      <c r="AD38" s="69">
        <f ca="1">((AC38-AC39)*(G14+G15)+(G15+G14+205/1024*属性开关!X52)*AC39)/(G14+G15)*(1-大附魔数值!O21)+AC69*大附魔数值!O21</f>
        <v>2.9377214151340469</v>
      </c>
      <c r="AE38">
        <f t="shared" ref="AE38:AE40" ca="1" si="62">AC38/$AD$37</f>
        <v>0.48894726400989053</v>
      </c>
      <c r="AS38">
        <f ca="1">AS18/$E$2*(1-3/(3+2*$D$33)/(3+$D$33))</f>
        <v>0</v>
      </c>
      <c r="AX38" s="21">
        <f ca="1">循环!Z25</f>
        <v>0</v>
      </c>
      <c r="AY38">
        <f t="shared" ca="1" si="56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188972.64243513939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126061.11502504679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60585.954766553259</v>
      </c>
      <c r="J39">
        <f ca="1">J19/$E$2*(3-属性开关!$X$37)/(3+2*$D$33)/(3+$D$33)</f>
        <v>9339.0839774704255</v>
      </c>
      <c r="N39">
        <f t="shared" ref="N39:Q45" ca="1" si="63">N28</f>
        <v>33981.141141658169</v>
      </c>
      <c r="O39">
        <f t="shared" ca="1" si="63"/>
        <v>15616.725820692245</v>
      </c>
      <c r="P39">
        <f t="shared" ca="1" si="63"/>
        <v>1614.1494300425809</v>
      </c>
      <c r="Q39">
        <f t="shared" ca="1" si="63"/>
        <v>2557.9759436505283</v>
      </c>
      <c r="R39">
        <f ca="1">SUM(G39:Q39,AS39,AU19*属性开关!$X$37)*IF(COUNTIF(F39,"*雷*")&gt;0,$B$21/$D$21,1)*(1+大附魔数值!$O$10*21/1024)</f>
        <v>666826.10445647594</v>
      </c>
      <c r="S39" s="36">
        <f t="shared" ca="1" si="61"/>
        <v>0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0.97299999999999986</v>
      </c>
      <c r="AD39" s="68"/>
      <c r="AE39">
        <f t="shared" ca="1" si="62"/>
        <v>0.16878965109245639</v>
      </c>
      <c r="AS39">
        <f t="shared" ref="AS39:AS45" ca="1" si="64">AS19/$E$2*(1-3/(3+2*$D$33)/(3+$D$33))</f>
        <v>0</v>
      </c>
      <c r="AX39" s="21">
        <f ca="1">循环!Z26</f>
        <v>0</v>
      </c>
      <c r="AY39">
        <f t="shared" ca="1" si="56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196976.87864705309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100650.34082780342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63662.207475206204</v>
      </c>
      <c r="J40">
        <f ca="1">J20/$E$2*(3-属性开关!$X$37)/(3+2*$D$33)/(3+$D$33)</f>
        <v>9539.2887446589812</v>
      </c>
      <c r="N40">
        <f t="shared" ca="1" si="63"/>
        <v>35188.097241131327</v>
      </c>
      <c r="O40">
        <f t="shared" ca="1" si="63"/>
        <v>14690.398376370898</v>
      </c>
      <c r="P40">
        <f t="shared" ca="1" si="63"/>
        <v>1672.0750367065577</v>
      </c>
      <c r="Q40">
        <f t="shared" ca="1" si="63"/>
        <v>2649.4070322212988</v>
      </c>
      <c r="R40">
        <f ca="1">SUM(G40:Q40,AS40,AU20*属性开关!$X$37)*IF(COUNTIF(F40,"*雷*")&gt;0,$B$21/$D$21,1)*(1+大附魔数值!$O$10*21/1024)</f>
        <v>497588.73750739364</v>
      </c>
      <c r="S40" s="36">
        <f t="shared" ca="1" si="61"/>
        <v>0</v>
      </c>
      <c r="Y40" s="34" t="s">
        <v>273</v>
      </c>
      <c r="Z40" s="34"/>
      <c r="AA40" s="21">
        <f ca="1">1-AA37-AA38-AA39-AD36*$AB$36*$AB$36</f>
        <v>2.7000000000000052E-2</v>
      </c>
      <c r="AB40" s="47" t="s">
        <v>279</v>
      </c>
      <c r="AC40" s="65">
        <f ca="1">(AA37+AA38+AA39*(1-大附魔数值!O21)+AD36*2*AB36*AB36)*(1-大附魔数值!O21)+AC71*大附魔数值!O21</f>
        <v>0.97299999999999986</v>
      </c>
      <c r="AE40">
        <f t="shared" ca="1" si="62"/>
        <v>0.16878965109245639</v>
      </c>
      <c r="AS40">
        <f t="shared" ca="1" si="64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242473.98258927587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126061.11502504679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78366.705234462061</v>
      </c>
      <c r="J41">
        <f ca="1">J21/$E$2*(3-属性开关!$X$37)/(3+2*$D$33)/(3+$D$33)</f>
        <v>11947.633418896532</v>
      </c>
      <c r="N41">
        <f t="shared" ca="1" si="63"/>
        <v>44071.890242436602</v>
      </c>
      <c r="O41">
        <f t="shared" ca="1" si="63"/>
        <v>18399.222339999182</v>
      </c>
      <c r="P41">
        <f t="shared" ca="1" si="63"/>
        <v>2094.2168878830889</v>
      </c>
      <c r="Q41">
        <f t="shared" ca="1" si="63"/>
        <v>3318.2918397506028</v>
      </c>
      <c r="R41">
        <f ca="1">SUM(G41:Q41,AS41,AU21*属性开关!$X$37)*IF(COUNTIF(F41,"*雷*")&gt;0,$B$21/$D$21,1)*(1+大附魔数值!$O$10*21/1024)</f>
        <v>809286.88484241045</v>
      </c>
      <c r="S41" s="36">
        <f t="shared" ca="1" si="61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0.48999999999999994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8.1545714278242603</v>
      </c>
      <c r="AS41">
        <f t="shared" ca="1" si="64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179575.09201106741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100650.34082780342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57878.396060506479</v>
      </c>
      <c r="J42">
        <f ca="1">J22/$E$2*(3-属性开关!$X$37)/(3+2*$D$33)/(3+$D$33)</f>
        <v>8705.3729331653776</v>
      </c>
      <c r="N42">
        <f t="shared" ca="1" si="63"/>
        <v>31963.032225076782</v>
      </c>
      <c r="O42">
        <f t="shared" ca="1" si="63"/>
        <v>13800.835431379573</v>
      </c>
      <c r="P42">
        <f t="shared" ca="1" si="63"/>
        <v>1518.6240694872226</v>
      </c>
      <c r="Q42">
        <f t="shared" ca="1" si="63"/>
        <v>2406.428364339899</v>
      </c>
      <c r="R42">
        <f ca="1">SUM(G42:Q42,AS42,AU22*属性开关!$X$37)*IF(COUNTIF(F42,"*雷*")&gt;0,$B$21/$D$21,1)*(1+大附魔数值!$O$10*21/1024)</f>
        <v>462435.59343272995</v>
      </c>
      <c r="S42" s="36">
        <f t="shared" ca="1" si="61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4.3277214151340475</v>
      </c>
      <c r="AF42">
        <f ca="1">AC41*(1+1)+AC42*3+AC43*(4-大附魔数值!O21)+AC44*4+AC45*3+AC46*4+AC47*(5-大附魔数值!O21)+AC48*5+AC49*4+AC50*5+AC51*(6-大附魔数值!O21)+AC52*6+D33*SUM(AC41:AC52)+2*AD36*AB36*AB36</f>
        <v>4.2085714278242605</v>
      </c>
      <c r="AS42">
        <f t="shared" ca="1" si="64"/>
        <v>0</v>
      </c>
    </row>
    <row r="43" spans="1:80" x14ac:dyDescent="0.35">
      <c r="D43" t="s">
        <v>34</v>
      </c>
      <c r="E43">
        <f ca="1">(3+2*D33)/((3+2*D33)*E2)</f>
        <v>0.70671378091872783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223037.59827445957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100650.34082780342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72322.818879689832</v>
      </c>
      <c r="J43">
        <f ca="1">J23/$E$2*(3-属性开关!$X$37)/(3+2*$D$33)/(3+$D$33)</f>
        <v>10788.206845950437</v>
      </c>
      <c r="N43">
        <f t="shared" ca="1" si="63"/>
        <v>40021.440062025751</v>
      </c>
      <c r="O43">
        <f t="shared" ca="1" si="63"/>
        <v>16022.450105855329</v>
      </c>
      <c r="P43">
        <f t="shared" ca="1" si="63"/>
        <v>1901.9219107159302</v>
      </c>
      <c r="Q43">
        <f t="shared" ca="1" si="63"/>
        <v>3013.4835539125474</v>
      </c>
      <c r="R43">
        <f ca="1">SUM(G43:Q43,AS43,AU23*属性开关!$X$37)*IF(COUNTIF(F43,"*雷*")&gt;0,$B$21/$D$21,1)*(1+大附魔数值!$O$10*21/1024)</f>
        <v>550235.51342287427</v>
      </c>
      <c r="S43" s="36">
        <f t="shared" ca="1" si="61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4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274554.1258050811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126061.11502504679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89027.71759960374</v>
      </c>
      <c r="J44">
        <f ca="1">J24/$E$2*(3-属性开关!$X$37)/(3+2*$D$33)/(3+$D$33)</f>
        <v>13511.86069452116</v>
      </c>
      <c r="N44">
        <f t="shared" ca="1" si="63"/>
        <v>50125.487083630265</v>
      </c>
      <c r="O44">
        <f t="shared" ca="1" si="63"/>
        <v>20067.571646209017</v>
      </c>
      <c r="P44">
        <f t="shared" ca="1" si="63"/>
        <v>2382.0922491023234</v>
      </c>
      <c r="Q44">
        <f t="shared" ca="1" si="63"/>
        <v>3774.2852512121685</v>
      </c>
      <c r="R44">
        <f ca="1">SUM(G44:Q44,AS44,AU24*属性开关!$X$37)*IF(COUNTIF(F44,"*雷*")&gt;0,$B$21/$D$21,1)*(1+大附魔数值!$O$10*21/1024)</f>
        <v>894711.32554681005</v>
      </c>
      <c r="S44" s="36">
        <f t="shared" ca="1" si="61"/>
        <v>0.31818181818181818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0.97299999999999998</v>
      </c>
      <c r="AS44">
        <f t="shared" ca="1" si="64"/>
        <v>0</v>
      </c>
    </row>
    <row r="45" spans="1:80" x14ac:dyDescent="0.35">
      <c r="D45" t="s">
        <v>36</v>
      </c>
      <c r="E45">
        <f ca="1">10+1024/102/(E43/(3+2*D33)*(3+2*D33))</f>
        <v>24.205490196078433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166585.85331740486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100650.34082780342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53563.196075830609</v>
      </c>
      <c r="J45">
        <f ca="1">J25/$E$2*(3-属性开关!$X$37)/(3+2*$D$33)/(3+$D$33)</f>
        <v>8082.9724256238051</v>
      </c>
      <c r="N45">
        <f ca="1">N34</f>
        <v>27131.391285457321</v>
      </c>
      <c r="O45">
        <f t="shared" ca="1" si="63"/>
        <v>12468.783701895143</v>
      </c>
      <c r="P45">
        <f t="shared" ca="1" si="63"/>
        <v>1288.7771954778495</v>
      </c>
      <c r="Q45">
        <f t="shared" ca="1" si="63"/>
        <v>2042.3518426486498</v>
      </c>
      <c r="R45">
        <f ca="1">SUM(G45:Q45,AS45,AU22*属性开关!$X$37)*IF(COUNTIF(F45,"*雷*")&gt;0,$B$21/$D$21,1)*(1+大附魔数值!$O$10*21/1024)</f>
        <v>437751.13818204543</v>
      </c>
      <c r="S45" s="36">
        <f t="shared" si="61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0.14699999999999999</v>
      </c>
      <c r="AS45">
        <f t="shared" ca="1" si="64"/>
        <v>0</v>
      </c>
    </row>
    <row r="46" spans="1:80" x14ac:dyDescent="0.35">
      <c r="D46" t="s">
        <v>37</v>
      </c>
      <c r="E46">
        <f ca="1">30+1024/205/(E43/(3+2*D33)*(3+2*D33))</f>
        <v>37.068097560975609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221052.78565094463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126061.11502504679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71246.967131694968</v>
      </c>
      <c r="J46">
        <f ca="1">J47/$E$2*(3-属性开关!X37)/(3+2*$D$33)/(3+$D$33)</f>
        <v>10903.182340347765</v>
      </c>
      <c r="N46">
        <f ca="1">N48</f>
        <v>40032.606434668305</v>
      </c>
      <c r="O46">
        <f t="shared" ref="O46:Q46" ca="1" si="65">O48</f>
        <v>17285.07512690208</v>
      </c>
      <c r="P46">
        <f t="shared" ca="1" si="65"/>
        <v>1902.0247912618158</v>
      </c>
      <c r="Q46">
        <f t="shared" ca="1" si="65"/>
        <v>3013.9693551120954</v>
      </c>
      <c r="R46">
        <f ca="1">SUM(G46:Q46,AS46,AU25*属性开关!$X$37)*IF(COUNTIF(F46,"*雷*")&gt;0,$B$21/$D$21,1)*(1+大附魔数值!$O$10*21/1024)</f>
        <v>752247.5831697213</v>
      </c>
      <c r="S46" s="21">
        <f ca="1">T48</f>
        <v>0.18181818181818182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12.226779109913787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339354.02936099214</v>
      </c>
      <c r="H47">
        <f ca="1">INT(H$6*$E26+H$7*($C$8+$C$9)/2+H$8)*(H$14+H$15)*$D$21*IF(COUNTIF($F47,"*雷*")&gt;0,H$17*(H$13*0.25+H$16*(H$10+属性开关!$X$56)+1-H$16-H$13-H$12),H$11*(H$13*0.25+H$9*H$10+1-H$9-H$13-H$12))</f>
        <v>201705.07406235597</v>
      </c>
      <c r="I47">
        <f ca="1">INT(I$6*$E26+I$7*($C$8+$C$9)/2+I$8)*(I$14+I$15)*$D$21*IF(COUNTIF($F47,"*雷*")&gt;0,I$17*(I$13*0.25+I$16*(I$10+属性开关!$X$56)+1-I$16-I$13-I$12),I$11*(I$13*0.25+I$9*I$10+1-I$9-I$13-I$12))</f>
        <v>109376.34332312488</v>
      </c>
      <c r="J47">
        <f ca="1">INT(J$6*$E26+J$7*($C$8+$C$9)/2+J$8)*(J$14+J$15)*$D$21*IF(COUNTIF($F47,"*雷*")&gt;0,J$17*(J$13*0.25+J$16*(J$10+属性开关!$X$56)+1-J$16-J$13-J$12),J$11*(J$13*0.25+J$9*J$10+1-J$9-J$13-J$12))</f>
        <v>200091.75325941172</v>
      </c>
      <c r="K47">
        <f ca="1">INT(K$6*$E26+K$7*($C$8+$C$9)/2+K$8)*(K$14+K$15)*$D$21*IF(COUNTIF($F47,"*雷*")&gt;0,K$17*(K$13*0.25+K$16*(K$10+属性开关!$X$56)+1-K$16-K$13-K$12),K$11*(K$13*0.25+K$9*K$10+1-K$9-K$13-K$12))</f>
        <v>205580.31792910138</v>
      </c>
      <c r="L47">
        <f ca="1">INT(L$6*$E26+L$7*($C$8+$C$9)/2+L$8)*(L$14+L$15)*$D$21*IF(COUNTIF($F47,"*雷*")&gt;0,L$17*(L$13*0.25+L$16*(L$10+属性开关!$X$56)+1-L$16-L$13-L$12),L$11*(L$13*0.25+L$9*L$10+1-L$9-L$13-L$12))</f>
        <v>146303.60555006983</v>
      </c>
      <c r="M47">
        <f ca="1">INT(M$6*$E26+M$7*($C$8+$C$9)/2+M$8)*(M$14+M$15)*$D$21*IF(COUNTIF($F47,"*雷*")&gt;0,M$17*(M$13*0.25+M$16*(M$10+属性开关!$X$56)+1-M$16-M$13-M$12),M$11*(M$13*0.25+M$9*M$10+1-M$9-M$13-M$12))</f>
        <v>63365.164531354254</v>
      </c>
      <c r="N47">
        <f ca="1">INT(N$6*$E26+N$7*($C$8+$C$9)/2+N$8)*(N$14+N$15)*$D$21*IF(COUNTIF($F47,"*雷*")&gt;0,N$17*(N$13*0.25+N$16*(N$10+属性开关!$X$56)+1-N$16-N$13-N$12),N$11*(N$13*0.25+N$9*N$10+1-N$9-N$13-N$12))</f>
        <v>75061.137065003073</v>
      </c>
      <c r="O47">
        <f ca="1">INT(O$6*$E26+O$7*($C$8+$C$9)/2+O$8)*(O$14+O$15)*$D$21*IF(COUNTIF($F47,"*雷*")&gt;0,O$17*(O$13*0.25+O$16*(O$10+属性开关!$X$56)+1-O$16-O$13-O$12),O$11*(O$13*0.25+O$9*O$10+1-O$9-O$13-O$12))</f>
        <v>28088.247081215879</v>
      </c>
      <c r="P47">
        <f ca="1">INT(P$6*$E26+P$7*($C$8+$C$9)/2+P$8)*(P$14+P$15)*$D$21*IF(COUNTIF($F47,"*雷*")&gt;0,P$17*(P$13*0.25+P$16*(P$10+属性开关!$X$56)+1-P$16-P$13-P$12),P$11*(P$13*0.25+P$9*P$10+1-P$9-P$13-P$12))</f>
        <v>46039.442437586011</v>
      </c>
      <c r="Q47">
        <f ca="1">INT(Q$6*$E26+Q$7*($C$8+$C$9)/2+Q$8)*(Q$14+Q$15)*$D$21*IF(COUNTIF($F47,"*雷*")&gt;0,Q$17*(Q$13*0.25+Q$16*(Q$10+属性开关!$X$56)+1-Q$16-Q$13-Q$12),Q$11*(Q$13*0.25+Q$9*Q$10+1-Q$9-Q$13-Q$12))</f>
        <v>36851.137549004896</v>
      </c>
      <c r="R47">
        <f ca="1">INT(R$6*$E26+R$7*($C$8+$C$9)/2+R$8)*(R$14+R$15)*$D$21*IF(COUNTIF($F47,"*雷*")&gt;0,R$17*(R$13*0.25+R$16*(R$10+属性开关!$X$56)+1-R$16-R$13-R$12),R$11*(R$13*0.25+R$9*R$10+1-R$9-R$13-R$12))</f>
        <v>10458.928665765003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47.670243902439026</v>
      </c>
      <c r="F48" s="34" t="s">
        <v>288</v>
      </c>
      <c r="G48">
        <f ca="1">(G47*$AD$38)/$AD$37/$E$2*$D$22+(G47*$AE$42)/$AF$41/$E$2*$C$22</f>
        <v>122219.40206159669</v>
      </c>
      <c r="H48">
        <f ca="1">(H47*$AD$38)/$AD$37/$E$2*$D$22+(H47*$AE$42)/$AF$41/$E$2*$C$22</f>
        <v>72644.705563425203</v>
      </c>
      <c r="I48">
        <f ca="1">(I47*$AD$38)/$AD$37/$E$2*$D$22+(I47*$AE$42)/$AF$41/$E$2*$C$22</f>
        <v>39392.227950875313</v>
      </c>
      <c r="J48">
        <f ca="1">J47*$AC$39/$AD$37/$E$2*$D$22+J47*$AE$43/$AF$41/$E$2*$C$22</f>
        <v>23868.139377479842</v>
      </c>
      <c r="K48">
        <f ca="1">K47*$AC$40/$AD$37/$E$2*$D$22+K47*$AE$44/$AF$41/$E$2*$C$22</f>
        <v>24522.848151752136</v>
      </c>
      <c r="L48">
        <f ca="1">L47*$AC$37/$AD$37/$E$2*$D$22+L47*$AE$41/$AF$41/$E$2*$C$22</f>
        <v>17936.246524983497</v>
      </c>
      <c r="M48">
        <f ca="1">M47*$AE$41/$AF$41/$E$2*$C$22</f>
        <v>0</v>
      </c>
      <c r="N48">
        <f ca="1">N47/$E$3</f>
        <v>40032.606434668305</v>
      </c>
      <c r="O48">
        <f ca="1">O47/$F$3</f>
        <v>17285.07512690208</v>
      </c>
      <c r="P48">
        <f ca="1">P47/$E$45*大附魔数值!$S$9</f>
        <v>1902.0247912618158</v>
      </c>
      <c r="Q48">
        <f ca="1">Q47/$E$47*大附魔数值!$S$10</f>
        <v>3013.9693551120954</v>
      </c>
      <c r="R48">
        <f ca="1">R47/45</f>
        <v>232.42063701700005</v>
      </c>
      <c r="S48">
        <f ca="1">SUM(G48:R48,AS48)*IF(COUNTIF(F48,"*雷*")&gt;0,$B$21/$D$21,1)</f>
        <v>475721.5152693743</v>
      </c>
      <c r="T48" s="21">
        <f ca="1">AQ34</f>
        <v>0.18181818181818182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1.1300000000000026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6.3000000000000028E-2</v>
      </c>
    </row>
    <row r="50" spans="4:32" x14ac:dyDescent="0.35">
      <c r="D50">
        <v>0</v>
      </c>
      <c r="E50">
        <f ca="1">AC38/AD37</f>
        <v>0.48894726400989053</v>
      </c>
      <c r="H50" t="e">
        <f t="shared" ref="H50" ca="1" si="66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7">AB50*(1-$AB$36-$AA$38)</f>
        <v>1.8900000000000011E-2</v>
      </c>
    </row>
    <row r="51" spans="4:32" x14ac:dyDescent="0.35">
      <c r="D51">
        <v>1</v>
      </c>
      <c r="E51" s="34">
        <f ca="1">(AC37+AC40)/AD37</f>
        <v>0.34226308489765311</v>
      </c>
      <c r="F51" s="34"/>
      <c r="G51" s="21"/>
      <c r="H51">
        <f ca="1">H27*IF(COUNTIF($F27,"*雷*")&gt;0,$B$21/$D$21,1)*(1+大附魔数值!$O$10*21/1024)</f>
        <v>55648.890435406429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7"/>
        <v>5.6700000000000032E-3</v>
      </c>
    </row>
    <row r="52" spans="4:32" x14ac:dyDescent="0.35">
      <c r="D52">
        <v>2</v>
      </c>
      <c r="E52" s="34">
        <f ca="1">AC39/AD37</f>
        <v>0.16878965109245639</v>
      </c>
      <c r="F52" s="34"/>
      <c r="G52" s="43"/>
      <c r="H52">
        <f ca="1">H28*IF(COUNTIF($F28,"*雷*")&gt;0,$B$21/$D$21,1)*(1+大附魔数值!$O$10*21/1024)</f>
        <v>91329.095356731254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7"/>
        <v>2.4300000000000059E-3</v>
      </c>
    </row>
    <row r="53" spans="4:32" x14ac:dyDescent="0.35">
      <c r="E53">
        <f ca="1">SUMPRODUCT(D50:D52,E50:E52)*E2+E49</f>
        <v>2.0919769777218331</v>
      </c>
      <c r="F53" s="34"/>
      <c r="H53">
        <f ca="1">H29*IF(COUNTIF($F29,"*雷*")&gt;0,$B$21/$D$21,1)*(1+大附魔数值!$O$10*21/1024)</f>
        <v>55648.890435406429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9.9139581217282604</v>
      </c>
      <c r="F54" s="34"/>
      <c r="G54" s="21"/>
      <c r="H54">
        <f ca="1">H30*IF(COUNTIF($F30,"*雷*")&gt;0,$B$21/$D$21,1)*(1+大附魔数值!$O$10*21/1024)</f>
        <v>91329.095356731254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0.56496969997558799</v>
      </c>
      <c r="F55" s="34"/>
      <c r="H55">
        <f ca="1">H31*IF(COUNTIF($F31,"*雷*")&gt;0,$B$21/$D$21,1)*(1+大附魔数值!$O$10*21/1024)</f>
        <v>55648.890435406429</v>
      </c>
    </row>
    <row r="56" spans="4:32" x14ac:dyDescent="0.35">
      <c r="D56" s="34" t="s">
        <v>508</v>
      </c>
      <c r="E56">
        <f ca="1">6/E48</f>
        <v>0.12586468011952029</v>
      </c>
      <c r="F56" s="34"/>
      <c r="H56">
        <f ca="1">H32*IF(COUNTIF($F32,"*雷*")&gt;0,$B$21/$D$21,1)*(1+大附魔数值!$O$10*21/1024)</f>
        <v>55648.890435406429</v>
      </c>
    </row>
    <row r="57" spans="4:32" x14ac:dyDescent="0.35">
      <c r="D57" s="34" t="s">
        <v>535</v>
      </c>
      <c r="E57">
        <f ca="1">6+1/(1/F3+1/E2)</f>
        <v>6.7563733552631575</v>
      </c>
      <c r="F57" s="34"/>
      <c r="G57" s="21"/>
      <c r="H57">
        <f ca="1">H33*IF(COUNTIF($F33,"*雷*")&gt;0,$B$21/$D$21,1)*(1+大附魔数值!$O$10*21/1024)</f>
        <v>91329.095356731254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95189.866967961585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100650.34082780342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126061.11502504679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19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3966-7170-48BC-A39C-D9AD48B9D3C0}">
  <dimension ref="A1:AG635"/>
  <sheetViews>
    <sheetView topLeftCell="C1" workbookViewId="0">
      <selection activeCell="G34" sqref="G34:K34"/>
    </sheetView>
  </sheetViews>
  <sheetFormatPr defaultColWidth="8.90625" defaultRowHeight="14.4" x14ac:dyDescent="0.35"/>
  <cols>
    <col min="1" max="10" width="8.90625" style="105"/>
    <col min="11" max="11" width="9.81640625" style="105" bestFit="1" customWidth="1"/>
    <col min="12" max="12" width="9.81640625" style="105" customWidth="1"/>
    <col min="13" max="23" width="8.90625" style="105"/>
    <col min="24" max="24" width="9.36328125" style="105" bestFit="1" customWidth="1"/>
    <col min="25" max="25" width="8.453125" style="105" bestFit="1" customWidth="1"/>
    <col min="26" max="16384" width="8.90625" style="105"/>
  </cols>
  <sheetData>
    <row r="1" spans="1:30" x14ac:dyDescent="0.35">
      <c r="A1" s="105" t="s">
        <v>655</v>
      </c>
      <c r="B1" s="105" t="s">
        <v>656</v>
      </c>
      <c r="C1" s="105" t="s">
        <v>657</v>
      </c>
      <c r="D1" s="105" t="s">
        <v>658</v>
      </c>
      <c r="E1" s="105" t="s">
        <v>659</v>
      </c>
      <c r="F1" s="105" t="s">
        <v>660</v>
      </c>
      <c r="G1" s="105" t="s">
        <v>661</v>
      </c>
      <c r="H1" s="105" t="s">
        <v>662</v>
      </c>
      <c r="I1" s="105" t="s">
        <v>663</v>
      </c>
      <c r="J1" s="105" t="s">
        <v>746</v>
      </c>
      <c r="K1" s="105" t="s">
        <v>664</v>
      </c>
      <c r="L1" s="105" t="s">
        <v>665</v>
      </c>
      <c r="M1" s="105" t="s">
        <v>666</v>
      </c>
      <c r="N1" s="105" t="s">
        <v>667</v>
      </c>
      <c r="O1" s="105" t="s">
        <v>668</v>
      </c>
      <c r="P1" s="105" t="s">
        <v>669</v>
      </c>
      <c r="Q1" s="105" t="s">
        <v>670</v>
      </c>
      <c r="R1" s="105" t="s">
        <v>671</v>
      </c>
      <c r="S1" s="105" t="s">
        <v>1327</v>
      </c>
      <c r="U1" s="105" t="s">
        <v>672</v>
      </c>
      <c r="V1" s="105" t="s">
        <v>673</v>
      </c>
      <c r="W1" s="105">
        <v>180</v>
      </c>
      <c r="X1" s="105">
        <f>IFERROR(INDEX(循环!$W$1:$W$3,MATCH(配装页面!$AE$14,循环!V1:V3,0),1),300)</f>
        <v>300</v>
      </c>
      <c r="Y1" s="105">
        <v>5</v>
      </c>
      <c r="AB1" s="105">
        <f>MAX(0,(IF(AND(CHOOSE(大附魔数值!F19,COUNTIF(配装页面!G34,"*炎枪重黎*"),COUNTIF(导出数据处理!D22,"*炎枪重黎*"))=0,配装页面!AE19="全程用"),1,MATCH(配装页面!AE19,属性开关!Y102:Y104,0))-2)*INT((IFERROR(INDEX(循环!$W$1:$W$3,MATCH(配装页面!$AE$14,循环!V1:V3,0),1),300)-20)/120))*(3+1.5+8)</f>
        <v>0</v>
      </c>
    </row>
    <row r="2" spans="1:30" x14ac:dyDescent="0.35">
      <c r="C2" s="105">
        <v>2</v>
      </c>
      <c r="D2" s="105">
        <v>0</v>
      </c>
      <c r="E2" s="105">
        <v>0</v>
      </c>
      <c r="F2" s="105">
        <v>0</v>
      </c>
      <c r="G2" s="105">
        <v>0</v>
      </c>
      <c r="H2" s="105">
        <v>0</v>
      </c>
      <c r="I2" s="105">
        <v>0</v>
      </c>
      <c r="J2" s="105">
        <f>V11</f>
        <v>0</v>
      </c>
      <c r="K2" s="105">
        <v>0</v>
      </c>
      <c r="L2" s="105">
        <v>0</v>
      </c>
      <c r="M2" s="105">
        <v>0</v>
      </c>
      <c r="N2" s="105">
        <v>0</v>
      </c>
      <c r="O2" s="105">
        <v>0</v>
      </c>
      <c r="P2" s="105">
        <v>0</v>
      </c>
      <c r="Q2" s="105">
        <v>0</v>
      </c>
      <c r="R2" s="105">
        <v>0</v>
      </c>
      <c r="S2" s="105">
        <v>0</v>
      </c>
      <c r="U2" s="105" t="str">
        <f>IF(AND(A2&gt;$X$1,S2&gt;$X$3,P2=0,R2=0),0,IF($V$8=1,IF(H2=0,IF(AND($V$8=1,$V$6=1),"突渊","突"),"")&amp;IF(AND(E2=0,$V$6=1,$V$8=0,OR(AND(C2&gt;0,OR(H2&gt;14,H2=0),O2=0),F2=0)),"渊","")&amp;IF(AND(OR(AND(G2=0,OR(C2=0,AND(H2&gt;0,H2&lt;=14))),AND(G2=1,OR($V$7=0,N2=1))),F2=0),"雷","")&amp;IF(AND(S2&lt;=$X$3,K2=0,C2&gt;0,G2=0,AND(OR(E2&gt;14,E2=0),OR(H2&gt;14,H2=0)),O2=0,J2=0),"任",IF(AND(OR($V$6=0,R2=1),F2&lt;$V$4,G2=1,I2=0,$V$7=1),"乘","循环")),IF(AND(OR(C2=0,N2&gt;0,AND($V$7=0,L2&gt;0),$V$13=0),F2=0),IF($V$6=1,"渊雷","雷"),"")&amp;IF(AND(C2&gt;0,F2&lt;($V$4+$V$7*$V$4),L2=0,$V$13=1),"任",IF(AND(COUNTIF(B2,"*任*")&gt;0,F2&lt;$V$4,$V$7=1),"乘","循环"))))</f>
        <v>突渊任</v>
      </c>
      <c r="V2" s="105" t="s">
        <v>674</v>
      </c>
      <c r="W2" s="105">
        <v>300</v>
      </c>
      <c r="X2" s="105">
        <f ca="1">INDEX($A$3:$A$635,MATCH(0,$B$3:$B$635,0)-1,1)</f>
        <v>309.88500000000033</v>
      </c>
      <c r="Y2" s="105">
        <v>9</v>
      </c>
    </row>
    <row r="3" spans="1:30" x14ac:dyDescent="0.35">
      <c r="A3" s="105">
        <v>0</v>
      </c>
      <c r="B3" s="105" t="str">
        <f>IF(AND(A2&gt;$X$1,P2=0,R2=0),0,IF(AND(G2=0,H2=0),"突","")&amp;IF($V$8=0,IF(AND(OR($V$13=0,AND(K2=0,C2&lt;1),AND(K2&gt;0,OR(M2&gt;0,$V$7=0))),$V$6=1,E2=0),"渊","")&amp;IF(AND(OR($V$13=0,AND(K2=0,C2&lt;1),AND(K2&gt;0,OR(M2&gt;0,$V$7=0))),F2=0),"雷","")&amp;IF(AND(C2&gt;0,$V$13=1,E2=0,F2=0,K2=0),"任",IF(AND(G2=1,$V$7=1,I2=0),"乘","循环")),IF(AND($V$6=1,E2=0),"渊","")&amp;IF(AND(OR($V$13=0,AND(K2=0,C2&lt;1),AND(K2&gt;0,OR(M2&gt;0,$V$7=0))),F2=0),"雷","")&amp;IF(AND(C2&gt;0,L2=0,E2=0),"任",IF(AND(G2=1,$V$7=1,I2=0),"乘","循环"))))</f>
        <v>突渊任</v>
      </c>
      <c r="C3" s="105">
        <f>IF(COUNTIF(B3,"*任*"),C2-1,IF(AND(D2&lt;&gt;0,D2&lt;$V$4),MIN(2,C2+1),C2))</f>
        <v>1</v>
      </c>
      <c r="D3" s="105">
        <f ca="1">IF(AND(D2&lt;$V$4,C2&lt;2),D2+$Y$6-$V$4,IF(AND(C2=2,COUNTIF(B3,"*任*")&gt;0),$Y$6-$V$4,MAX(0,D2-$V$4)))</f>
        <v>34.585000000000001</v>
      </c>
      <c r="E3" s="105">
        <f ca="1">IF(COUNTIF(B3,"*渊*")&gt;0,$Y$8-$V$4,MAX(0,E2-$V$4))</f>
        <v>30.585000000000001</v>
      </c>
      <c r="F3" s="105">
        <f ca="1">IF(COUNTIF(B3,"*雷*")&gt;0,$Y$9-$V$4,MAX(0,F2-$V$4))</f>
        <v>0</v>
      </c>
      <c r="G3" s="105">
        <f>IF(RIGHT(B3,1)="任",1,G2)</f>
        <v>1</v>
      </c>
      <c r="H3" s="105">
        <f ca="1">$Y$5-V4</f>
        <v>60.585000000000001</v>
      </c>
      <c r="I3" s="105">
        <f ca="1">IF(COUNTIF(B3,"*乘*")&gt;0,$Y$7-$V$4,MAX(0,I2-$V$4))</f>
        <v>0</v>
      </c>
      <c r="J3" s="105">
        <f>IF(H2&lt;1,$V$16,MAX(0,J2-1))*$V$11</f>
        <v>0</v>
      </c>
      <c r="K3" s="105">
        <f ca="1">IF(COUNTIF(B3,"*任*")&gt;0,$Z$6-$V$4+0.6875,MAX(0,K2-$V$4))</f>
        <v>14.272500000000001</v>
      </c>
      <c r="L3" s="105">
        <f ca="1">IF(K3+K2&gt;0,1,0)</f>
        <v>1</v>
      </c>
      <c r="M3" s="105">
        <f ca="1">IF(COUNTIF(B3,"*乘*")&gt;0,$Z$7-$V$4,MAX(0,M2-$V$4))</f>
        <v>0</v>
      </c>
      <c r="N3" s="105">
        <f ca="1">IF(M3+M2&gt;0,1,0)</f>
        <v>0</v>
      </c>
      <c r="O3" s="105">
        <f ca="1">IF(COUNTIF(B3,"*雷*")&gt;0,$Z$9-$V$4,MAX(0,O2-$V$4))</f>
        <v>0</v>
      </c>
      <c r="P3" s="105">
        <f ca="1">IF(O3+O2&gt;0,1,0)</f>
        <v>0</v>
      </c>
      <c r="Q3" s="105">
        <f ca="1">IF(COUNTIF(B3,"*渊*")&gt;0,$Z$8-$V$4,MAX(0,Q2-$V$4))</f>
        <v>8.5850000000000009</v>
      </c>
      <c r="R3" s="105">
        <f ca="1">IF(Q3+Q2&gt;0,1,0)</f>
        <v>1</v>
      </c>
      <c r="S3" s="105">
        <f>IF(COUNTIF(B3,"*雷*")&gt;0,S2+1,S2)</f>
        <v>0</v>
      </c>
      <c r="V3" s="105" t="s">
        <v>675</v>
      </c>
      <c r="W3" s="105">
        <v>600</v>
      </c>
      <c r="X3" s="105">
        <f>INDEX($Y$1:$Y$3,MATCH($X$1,$W$1:$W$3,0),1)</f>
        <v>9</v>
      </c>
      <c r="Y3" s="105">
        <v>18</v>
      </c>
    </row>
    <row r="4" spans="1:30" x14ac:dyDescent="0.35">
      <c r="A4" s="105">
        <f t="shared" ref="A4:A67" ca="1" si="0">$V$4+A3</f>
        <v>1.415</v>
      </c>
      <c r="B4" s="105" t="str">
        <f t="shared" ref="B4:B67" ca="1" si="1">IF(AND(A3&gt;$X$1,P3=0,R3=0),0,IF(AND(G3=0,H3=0),"突","")&amp;IF($V$8=0,IF(AND(OR($V$13=0,AND(K3=0,C3&lt;1),AND(K3&gt;0,OR(M3&gt;0,$V$7=0))),$V$6=1,E3=0),"渊","")&amp;IF(AND(OR($V$13=0,AND(K3=0,C3&lt;1),AND(K3&gt;0,OR(M3&gt;0,$V$7=0))),F3=0),"雷","")&amp;IF(AND(C3&gt;0,$V$13=1,E3=0,F3=0,K3=0),"任",IF(AND(G3=1,$V$7=1,I3=0),"乘","循环")),IF(AND($V$6=1,E3=0),"渊","")&amp;IF(AND(OR($V$13=0,AND(K3=0,C3&lt;1),AND(K3&gt;0,OR(M3&gt;0,$V$7=0))),F3=0),"雷","")&amp;IF(AND(C3&gt;0,L3=0,E3=0),"任",IF(AND(G3=1,$V$7=1,I3=0),"乘","循环"))))</f>
        <v>雷循环</v>
      </c>
      <c r="C4" s="105">
        <f t="shared" ref="C4:C67" ca="1" si="2">IF(COUNTIF(B4,"*任*"),C3-1,IF(AND(D3&lt;&gt;0,D3&lt;$V$4),MIN(2,C3+1),C3))</f>
        <v>1</v>
      </c>
      <c r="D4" s="105">
        <f t="shared" ref="D4:D67" ca="1" si="3">IF(AND(D3&lt;$V$4,C3&lt;2),D3+$Y$6-$V$4,IF(AND(C3=2,COUNTIF(B4,"*任*")&gt;0),$Y$6-$V$4,MAX(0,D3-$V$4)))</f>
        <v>33.17</v>
      </c>
      <c r="E4" s="105">
        <f t="shared" ref="E4:E67" ca="1" si="4">IF(COUNTIF(B4,"*渊*")&gt;0,$Y$8-$V$4,MAX(0,E3-$V$4))</f>
        <v>29.17</v>
      </c>
      <c r="F4" s="105">
        <f t="shared" ref="F4:F67" ca="1" si="5">IF(COUNTIF(B4,"*雷*")&gt;0,$Y$9-$V$4,MAX(0,F3-$V$4))</f>
        <v>30.585000000000001</v>
      </c>
      <c r="G4" s="105">
        <f ca="1">IF(RIGHT(B4,1)="任",1,IF(OR($V$9=0,AND(K3&lt;$V$4,H3=0)),0,G3))</f>
        <v>1</v>
      </c>
      <c r="H4" s="105">
        <f ca="1">IF(COUNTIF(B4,"*突*")&gt;0,$Y$5-$V$4,MAX(0,H3-$V$4))</f>
        <v>59.17</v>
      </c>
      <c r="I4" s="105">
        <f t="shared" ref="I4:I67" ca="1" si="6">IF(COUNTIF(B4,"*乘*")&gt;0,$Y$7-$V$4,MAX(0,I3-$V$4))</f>
        <v>0</v>
      </c>
      <c r="J4" s="105">
        <f t="shared" ref="J4:J67" ca="1" si="7">IF(H3&lt;1,$V$16,MAX(0,J3-1))*$V$11</f>
        <v>0</v>
      </c>
      <c r="K4" s="105">
        <f t="shared" ref="K4:K67" ca="1" si="8">IF(COUNTIF(B4,"*任*")&gt;0,$Z$6-$V$4+0.6875,MAX(0,K3-$V$4))</f>
        <v>12.857500000000002</v>
      </c>
      <c r="L4" s="105">
        <f t="shared" ref="L4:N67" ca="1" si="9">IF(K4+K3&gt;0,1,0)</f>
        <v>1</v>
      </c>
      <c r="M4" s="105">
        <f t="shared" ref="M4:M67" ca="1" si="10">IF(COUNTIF(B4,"*乘*")&gt;0,$Z$7-$V$4,MAX(0,M3-$V$4))</f>
        <v>0</v>
      </c>
      <c r="N4" s="105">
        <f t="shared" ca="1" si="9"/>
        <v>0</v>
      </c>
      <c r="O4" s="105">
        <f t="shared" ref="O4:O67" ca="1" si="11">IF(COUNTIF(B4,"*雷*")&gt;0,$Z$9-$V$4,MAX(0,O3-$V$4))</f>
        <v>13.585000000000001</v>
      </c>
      <c r="P4" s="105">
        <f t="shared" ref="P4:P67" ca="1" si="12">IF(O4+O3&gt;0,1,0)</f>
        <v>1</v>
      </c>
      <c r="Q4" s="105">
        <f t="shared" ref="Q4:Q67" ca="1" si="13">IF(COUNTIF(B4,"*渊*")&gt;0,$Z$8-$V$4,MAX(0,Q3-$V$4))</f>
        <v>7.1700000000000008</v>
      </c>
      <c r="R4" s="105">
        <f t="shared" ref="R4:R67" ca="1" si="14">IF(Q4+Q3&gt;0,1,0)</f>
        <v>1</v>
      </c>
      <c r="S4" s="105">
        <f t="shared" ref="S4:S67" ca="1" si="15">IF(COUNTIF(B4,"*雷*")&gt;0,S3+1,S3)</f>
        <v>1</v>
      </c>
      <c r="U4" s="105" t="s">
        <v>676</v>
      </c>
      <c r="V4" s="105">
        <f ca="1">正常!E2</f>
        <v>1.415</v>
      </c>
    </row>
    <row r="5" spans="1:30" x14ac:dyDescent="0.35">
      <c r="A5" s="105">
        <f t="shared" ca="1" si="0"/>
        <v>2.83</v>
      </c>
      <c r="B5" s="105" t="str">
        <f t="shared" ca="1" si="1"/>
        <v>循环</v>
      </c>
      <c r="C5" s="105">
        <f t="shared" ca="1" si="2"/>
        <v>1</v>
      </c>
      <c r="D5" s="105">
        <f t="shared" ca="1" si="3"/>
        <v>31.755000000000003</v>
      </c>
      <c r="E5" s="105">
        <f t="shared" ca="1" si="4"/>
        <v>27.755000000000003</v>
      </c>
      <c r="F5" s="105">
        <f t="shared" ca="1" si="5"/>
        <v>29.17</v>
      </c>
      <c r="G5" s="105">
        <f t="shared" ref="G5:G68" ca="1" si="16">IF(RIGHT(B5,1)="任",1,IF(OR($V$9=0,AND(K4&lt;$V$4,H4=0)),0,G4))</f>
        <v>1</v>
      </c>
      <c r="H5" s="105">
        <f t="shared" ref="H5:H68" ca="1" si="17">IF(COUNTIF(B5,"*突*")&gt;0,$Y$5-$V$4,MAX(0,H4-$V$4))</f>
        <v>57.755000000000003</v>
      </c>
      <c r="I5" s="105">
        <f t="shared" ca="1" si="6"/>
        <v>0</v>
      </c>
      <c r="J5" s="105">
        <f t="shared" ca="1" si="7"/>
        <v>0</v>
      </c>
      <c r="K5" s="105">
        <f t="shared" ca="1" si="8"/>
        <v>11.442500000000003</v>
      </c>
      <c r="L5" s="105">
        <f t="shared" ca="1" si="9"/>
        <v>1</v>
      </c>
      <c r="M5" s="105">
        <f t="shared" ca="1" si="10"/>
        <v>0</v>
      </c>
      <c r="N5" s="105">
        <f t="shared" ca="1" si="9"/>
        <v>0</v>
      </c>
      <c r="O5" s="105">
        <f t="shared" ca="1" si="11"/>
        <v>12.170000000000002</v>
      </c>
      <c r="P5" s="105">
        <f t="shared" ca="1" si="12"/>
        <v>1</v>
      </c>
      <c r="Q5" s="105">
        <f t="shared" ca="1" si="13"/>
        <v>5.7550000000000008</v>
      </c>
      <c r="R5" s="105">
        <f t="shared" ca="1" si="14"/>
        <v>1</v>
      </c>
      <c r="S5" s="105">
        <f t="shared" ca="1" si="15"/>
        <v>1</v>
      </c>
      <c r="X5" s="105" t="s">
        <v>341</v>
      </c>
      <c r="Y5" s="105">
        <f>45+群侠万变*(15+2)</f>
        <v>62</v>
      </c>
    </row>
    <row r="6" spans="1:30" x14ac:dyDescent="0.35">
      <c r="A6" s="105">
        <f t="shared" ca="1" si="0"/>
        <v>4.2450000000000001</v>
      </c>
      <c r="B6" s="105" t="str">
        <f t="shared" ca="1" si="1"/>
        <v>循环</v>
      </c>
      <c r="C6" s="105">
        <f t="shared" ca="1" si="2"/>
        <v>1</v>
      </c>
      <c r="D6" s="105">
        <f t="shared" ca="1" si="3"/>
        <v>30.340000000000003</v>
      </c>
      <c r="E6" s="105">
        <f t="shared" ca="1" si="4"/>
        <v>26.340000000000003</v>
      </c>
      <c r="F6" s="105">
        <f t="shared" ca="1" si="5"/>
        <v>27.755000000000003</v>
      </c>
      <c r="G6" s="105">
        <f t="shared" ca="1" si="16"/>
        <v>1</v>
      </c>
      <c r="H6" s="105">
        <f t="shared" ca="1" si="17"/>
        <v>56.34</v>
      </c>
      <c r="I6" s="105">
        <f t="shared" ca="1" si="6"/>
        <v>0</v>
      </c>
      <c r="J6" s="105">
        <f t="shared" ca="1" si="7"/>
        <v>0</v>
      </c>
      <c r="K6" s="105">
        <f t="shared" ca="1" si="8"/>
        <v>10.027500000000003</v>
      </c>
      <c r="L6" s="105">
        <f t="shared" ca="1" si="9"/>
        <v>1</v>
      </c>
      <c r="M6" s="105">
        <f t="shared" ca="1" si="10"/>
        <v>0</v>
      </c>
      <c r="N6" s="105">
        <f t="shared" ca="1" si="9"/>
        <v>0</v>
      </c>
      <c r="O6" s="105">
        <f t="shared" ca="1" si="11"/>
        <v>10.755000000000003</v>
      </c>
      <c r="P6" s="105">
        <f t="shared" ca="1" si="12"/>
        <v>1</v>
      </c>
      <c r="Q6" s="105">
        <f t="shared" ca="1" si="13"/>
        <v>4.3400000000000007</v>
      </c>
      <c r="R6" s="105">
        <f t="shared" ca="1" si="14"/>
        <v>1</v>
      </c>
      <c r="S6" s="105">
        <f t="shared" ca="1" si="15"/>
        <v>1</v>
      </c>
      <c r="U6" s="105" t="s">
        <v>677</v>
      </c>
      <c r="V6" s="105">
        <f>属性开关!AB33+属性开关!AB30</f>
        <v>1</v>
      </c>
      <c r="X6" s="105" t="s">
        <v>678</v>
      </c>
      <c r="Y6" s="105">
        <f>40-V8*4</f>
        <v>36</v>
      </c>
      <c r="Z6" s="105">
        <v>15</v>
      </c>
    </row>
    <row r="7" spans="1:30" x14ac:dyDescent="0.35">
      <c r="A7" s="105">
        <f t="shared" ca="1" si="0"/>
        <v>5.66</v>
      </c>
      <c r="B7" s="105" t="str">
        <f t="shared" ca="1" si="1"/>
        <v>循环</v>
      </c>
      <c r="C7" s="105">
        <f t="shared" ca="1" si="2"/>
        <v>1</v>
      </c>
      <c r="D7" s="105">
        <f t="shared" ca="1" si="3"/>
        <v>28.925000000000004</v>
      </c>
      <c r="E7" s="105">
        <f t="shared" ca="1" si="4"/>
        <v>24.925000000000004</v>
      </c>
      <c r="F7" s="105">
        <f t="shared" ca="1" si="5"/>
        <v>26.340000000000003</v>
      </c>
      <c r="G7" s="105">
        <f t="shared" ca="1" si="16"/>
        <v>1</v>
      </c>
      <c r="H7" s="105">
        <f t="shared" ca="1" si="17"/>
        <v>54.925000000000004</v>
      </c>
      <c r="I7" s="105">
        <f t="shared" ca="1" si="6"/>
        <v>0</v>
      </c>
      <c r="J7" s="105">
        <f t="shared" ca="1" si="7"/>
        <v>0</v>
      </c>
      <c r="K7" s="105">
        <f t="shared" ca="1" si="8"/>
        <v>8.6125000000000043</v>
      </c>
      <c r="L7" s="105">
        <f t="shared" ca="1" si="9"/>
        <v>1</v>
      </c>
      <c r="M7" s="105">
        <f t="shared" ca="1" si="10"/>
        <v>0</v>
      </c>
      <c r="N7" s="105">
        <f t="shared" ca="1" si="9"/>
        <v>0</v>
      </c>
      <c r="O7" s="105">
        <f t="shared" ca="1" si="11"/>
        <v>9.3400000000000034</v>
      </c>
      <c r="P7" s="105">
        <f t="shared" ca="1" si="12"/>
        <v>1</v>
      </c>
      <c r="Q7" s="105">
        <f t="shared" ca="1" si="13"/>
        <v>2.9250000000000007</v>
      </c>
      <c r="R7" s="105">
        <f t="shared" ca="1" si="14"/>
        <v>1</v>
      </c>
      <c r="S7" s="105">
        <f t="shared" ca="1" si="15"/>
        <v>1</v>
      </c>
      <c r="U7" s="105" t="s">
        <v>679</v>
      </c>
      <c r="V7" s="105">
        <f>属性开关!AB31</f>
        <v>0</v>
      </c>
      <c r="X7" s="105" t="s">
        <v>680</v>
      </c>
      <c r="Y7" s="105">
        <v>30</v>
      </c>
      <c r="Z7" s="105">
        <v>10</v>
      </c>
    </row>
    <row r="8" spans="1:30" x14ac:dyDescent="0.35">
      <c r="A8" s="105">
        <f t="shared" ca="1" si="0"/>
        <v>7.0750000000000002</v>
      </c>
      <c r="B8" s="105" t="str">
        <f t="shared" ca="1" si="1"/>
        <v>循环</v>
      </c>
      <c r="C8" s="105">
        <f t="shared" ca="1" si="2"/>
        <v>1</v>
      </c>
      <c r="D8" s="105">
        <f t="shared" ca="1" si="3"/>
        <v>27.510000000000005</v>
      </c>
      <c r="E8" s="105">
        <f t="shared" ca="1" si="4"/>
        <v>23.510000000000005</v>
      </c>
      <c r="F8" s="105">
        <f t="shared" ca="1" si="5"/>
        <v>24.925000000000004</v>
      </c>
      <c r="G8" s="105">
        <f t="shared" ca="1" si="16"/>
        <v>1</v>
      </c>
      <c r="H8" s="105">
        <f t="shared" ca="1" si="17"/>
        <v>53.510000000000005</v>
      </c>
      <c r="I8" s="105">
        <f t="shared" ca="1" si="6"/>
        <v>0</v>
      </c>
      <c r="J8" s="105">
        <f t="shared" ca="1" si="7"/>
        <v>0</v>
      </c>
      <c r="K8" s="105">
        <f t="shared" ca="1" si="8"/>
        <v>7.1975000000000042</v>
      </c>
      <c r="L8" s="105">
        <f t="shared" ca="1" si="9"/>
        <v>1</v>
      </c>
      <c r="M8" s="105">
        <f t="shared" ca="1" si="10"/>
        <v>0</v>
      </c>
      <c r="N8" s="105">
        <f t="shared" ca="1" si="9"/>
        <v>0</v>
      </c>
      <c r="O8" s="105">
        <f t="shared" ca="1" si="11"/>
        <v>7.9250000000000034</v>
      </c>
      <c r="P8" s="105">
        <f t="shared" ca="1" si="12"/>
        <v>1</v>
      </c>
      <c r="Q8" s="105">
        <f t="shared" ca="1" si="13"/>
        <v>1.5100000000000007</v>
      </c>
      <c r="R8" s="105">
        <f t="shared" ca="1" si="14"/>
        <v>1</v>
      </c>
      <c r="S8" s="105">
        <f t="shared" ca="1" si="15"/>
        <v>1</v>
      </c>
      <c r="U8" s="105" t="s">
        <v>681</v>
      </c>
      <c r="V8" s="105">
        <f>IF(属性开关!AB32+属性开关!AB27&gt;0,1,0)</f>
        <v>1</v>
      </c>
      <c r="X8" s="105" t="s">
        <v>671</v>
      </c>
      <c r="Y8" s="105">
        <v>32</v>
      </c>
      <c r="Z8" s="105">
        <f ca="1">10-大附魔数值!S21*(循环!V4-0.02)-属性开关!$AB$28*0.5</f>
        <v>10</v>
      </c>
    </row>
    <row r="9" spans="1:30" x14ac:dyDescent="0.35">
      <c r="A9" s="105">
        <f t="shared" ca="1" si="0"/>
        <v>8.49</v>
      </c>
      <c r="B9" s="105" t="str">
        <f t="shared" ca="1" si="1"/>
        <v>循环</v>
      </c>
      <c r="C9" s="105">
        <f t="shared" ca="1" si="2"/>
        <v>1</v>
      </c>
      <c r="D9" s="105">
        <f t="shared" ca="1" si="3"/>
        <v>26.095000000000006</v>
      </c>
      <c r="E9" s="105">
        <f t="shared" ca="1" si="4"/>
        <v>22.095000000000006</v>
      </c>
      <c r="F9" s="105">
        <f t="shared" ca="1" si="5"/>
        <v>23.510000000000005</v>
      </c>
      <c r="G9" s="105">
        <f t="shared" ca="1" si="16"/>
        <v>1</v>
      </c>
      <c r="H9" s="105">
        <f t="shared" ca="1" si="17"/>
        <v>52.095000000000006</v>
      </c>
      <c r="I9" s="105">
        <f t="shared" ca="1" si="6"/>
        <v>0</v>
      </c>
      <c r="J9" s="105">
        <f t="shared" ca="1" si="7"/>
        <v>0</v>
      </c>
      <c r="K9" s="105">
        <f t="shared" ca="1" si="8"/>
        <v>5.7825000000000042</v>
      </c>
      <c r="L9" s="105">
        <f t="shared" ca="1" si="9"/>
        <v>1</v>
      </c>
      <c r="M9" s="105">
        <f t="shared" ca="1" si="10"/>
        <v>0</v>
      </c>
      <c r="N9" s="105">
        <f t="shared" ca="1" si="9"/>
        <v>0</v>
      </c>
      <c r="O9" s="105">
        <f t="shared" ca="1" si="11"/>
        <v>6.5100000000000033</v>
      </c>
      <c r="P9" s="105">
        <f t="shared" ca="1" si="12"/>
        <v>1</v>
      </c>
      <c r="Q9" s="105">
        <f t="shared" ca="1" si="13"/>
        <v>9.5000000000000639E-2</v>
      </c>
      <c r="R9" s="105">
        <f t="shared" ca="1" si="14"/>
        <v>1</v>
      </c>
      <c r="S9" s="105">
        <f t="shared" ca="1" si="15"/>
        <v>1</v>
      </c>
      <c r="U9" s="105" t="s">
        <v>682</v>
      </c>
      <c r="V9" s="105">
        <f>1-属性开关!AB34</f>
        <v>1</v>
      </c>
      <c r="X9" s="105" t="s">
        <v>683</v>
      </c>
      <c r="Y9" s="105">
        <v>32</v>
      </c>
      <c r="Z9" s="105">
        <f ca="1">6+V10*9-大附魔数值!S21*(循环!V4-0.02)-属性开关!$AB$28*0.5</f>
        <v>15</v>
      </c>
    </row>
    <row r="10" spans="1:30" x14ac:dyDescent="0.35">
      <c r="A10" s="105">
        <f t="shared" ca="1" si="0"/>
        <v>9.9050000000000011</v>
      </c>
      <c r="B10" s="105" t="str">
        <f t="shared" ca="1" si="1"/>
        <v>循环</v>
      </c>
      <c r="C10" s="105">
        <f t="shared" ca="1" si="2"/>
        <v>1</v>
      </c>
      <c r="D10" s="105">
        <f t="shared" ca="1" si="3"/>
        <v>24.680000000000007</v>
      </c>
      <c r="E10" s="105">
        <f t="shared" ca="1" si="4"/>
        <v>20.680000000000007</v>
      </c>
      <c r="F10" s="105">
        <f t="shared" ca="1" si="5"/>
        <v>22.095000000000006</v>
      </c>
      <c r="G10" s="105">
        <f t="shared" ca="1" si="16"/>
        <v>1</v>
      </c>
      <c r="H10" s="105">
        <f t="shared" ca="1" si="17"/>
        <v>50.680000000000007</v>
      </c>
      <c r="I10" s="105">
        <f t="shared" ca="1" si="6"/>
        <v>0</v>
      </c>
      <c r="J10" s="105">
        <f t="shared" ca="1" si="7"/>
        <v>0</v>
      </c>
      <c r="K10" s="105">
        <f t="shared" ca="1" si="8"/>
        <v>4.3675000000000042</v>
      </c>
      <c r="L10" s="105">
        <f t="shared" ca="1" si="9"/>
        <v>1</v>
      </c>
      <c r="M10" s="105">
        <f t="shared" ca="1" si="10"/>
        <v>0</v>
      </c>
      <c r="N10" s="105">
        <f t="shared" ca="1" si="9"/>
        <v>0</v>
      </c>
      <c r="O10" s="105">
        <f t="shared" ca="1" si="11"/>
        <v>5.0950000000000033</v>
      </c>
      <c r="P10" s="105">
        <f t="shared" ca="1" si="12"/>
        <v>1</v>
      </c>
      <c r="Q10" s="105">
        <f t="shared" ca="1" si="13"/>
        <v>0</v>
      </c>
      <c r="R10" s="105">
        <f t="shared" ca="1" si="14"/>
        <v>1</v>
      </c>
      <c r="S10" s="105">
        <f t="shared" ca="1" si="15"/>
        <v>1</v>
      </c>
      <c r="U10" s="105" t="s">
        <v>684</v>
      </c>
      <c r="V10" s="105">
        <f>属性开关!AB35</f>
        <v>1</v>
      </c>
    </row>
    <row r="11" spans="1:30" x14ac:dyDescent="0.35">
      <c r="A11" s="105">
        <f t="shared" ca="1" si="0"/>
        <v>11.32</v>
      </c>
      <c r="B11" s="105" t="str">
        <f t="shared" ca="1" si="1"/>
        <v>循环</v>
      </c>
      <c r="C11" s="105">
        <f t="shared" ca="1" si="2"/>
        <v>1</v>
      </c>
      <c r="D11" s="105">
        <f t="shared" ca="1" si="3"/>
        <v>23.265000000000008</v>
      </c>
      <c r="E11" s="105">
        <f t="shared" ca="1" si="4"/>
        <v>19.265000000000008</v>
      </c>
      <c r="F11" s="105">
        <f t="shared" ca="1" si="5"/>
        <v>20.680000000000007</v>
      </c>
      <c r="G11" s="105">
        <f t="shared" ca="1" si="16"/>
        <v>1</v>
      </c>
      <c r="H11" s="105">
        <f t="shared" ca="1" si="17"/>
        <v>49.265000000000008</v>
      </c>
      <c r="I11" s="105">
        <f t="shared" ca="1" si="6"/>
        <v>0</v>
      </c>
      <c r="J11" s="105">
        <f t="shared" ca="1" si="7"/>
        <v>0</v>
      </c>
      <c r="K11" s="105">
        <f t="shared" ca="1" si="8"/>
        <v>2.9525000000000041</v>
      </c>
      <c r="L11" s="105">
        <f t="shared" ca="1" si="9"/>
        <v>1</v>
      </c>
      <c r="M11" s="105">
        <f t="shared" ca="1" si="10"/>
        <v>0</v>
      </c>
      <c r="N11" s="105">
        <f t="shared" ca="1" si="9"/>
        <v>0</v>
      </c>
      <c r="O11" s="105">
        <f t="shared" ca="1" si="11"/>
        <v>3.6800000000000033</v>
      </c>
      <c r="P11" s="105">
        <f t="shared" ca="1" si="12"/>
        <v>1</v>
      </c>
      <c r="Q11" s="105">
        <f t="shared" ca="1" si="13"/>
        <v>0</v>
      </c>
      <c r="R11" s="105">
        <f t="shared" ca="1" si="14"/>
        <v>0</v>
      </c>
      <c r="S11" s="105">
        <f t="shared" ca="1" si="15"/>
        <v>1</v>
      </c>
      <c r="U11" s="105" t="s">
        <v>741</v>
      </c>
      <c r="V11" s="105">
        <f>属性开关!AB27</f>
        <v>0</v>
      </c>
      <c r="X11" s="105" t="s">
        <v>685</v>
      </c>
      <c r="Y11" s="105">
        <f ca="1">((COUNTIF($B$3:$B$635,"*突*")*(1-V6)+SUMIFS($G$3:$G$635,$B$3:$B$635,"*循环*"))*V8-0*V14/(3+20/7)-V14*2/3-V14/3-Y13)/SUM(V19:V26)*属性开关!$AB$32</f>
        <v>0.88571428571428568</v>
      </c>
    </row>
    <row r="12" spans="1:30" x14ac:dyDescent="0.35">
      <c r="A12" s="105">
        <f t="shared" ca="1" si="0"/>
        <v>12.734999999999999</v>
      </c>
      <c r="B12" s="105" t="str">
        <f t="shared" ca="1" si="1"/>
        <v>循环</v>
      </c>
      <c r="C12" s="105">
        <f t="shared" ca="1" si="2"/>
        <v>1</v>
      </c>
      <c r="D12" s="105">
        <f t="shared" ca="1" si="3"/>
        <v>21.850000000000009</v>
      </c>
      <c r="E12" s="105">
        <f t="shared" ca="1" si="4"/>
        <v>17.850000000000009</v>
      </c>
      <c r="F12" s="105">
        <f t="shared" ca="1" si="5"/>
        <v>19.265000000000008</v>
      </c>
      <c r="G12" s="105">
        <f t="shared" ca="1" si="16"/>
        <v>1</v>
      </c>
      <c r="H12" s="105">
        <f t="shared" ca="1" si="17"/>
        <v>47.850000000000009</v>
      </c>
      <c r="I12" s="105">
        <f t="shared" ca="1" si="6"/>
        <v>0</v>
      </c>
      <c r="J12" s="105">
        <f t="shared" ca="1" si="7"/>
        <v>0</v>
      </c>
      <c r="K12" s="105">
        <f t="shared" ca="1" si="8"/>
        <v>1.5375000000000041</v>
      </c>
      <c r="L12" s="105">
        <f t="shared" ca="1" si="9"/>
        <v>1</v>
      </c>
      <c r="M12" s="105">
        <f t="shared" ca="1" si="10"/>
        <v>0</v>
      </c>
      <c r="N12" s="105">
        <f t="shared" ca="1" si="9"/>
        <v>0</v>
      </c>
      <c r="O12" s="105">
        <f t="shared" ca="1" si="11"/>
        <v>2.2650000000000032</v>
      </c>
      <c r="P12" s="105">
        <f t="shared" ca="1" si="12"/>
        <v>1</v>
      </c>
      <c r="Q12" s="105">
        <f t="shared" ca="1" si="13"/>
        <v>0</v>
      </c>
      <c r="R12" s="105">
        <f t="shared" ca="1" si="14"/>
        <v>0</v>
      </c>
      <c r="S12" s="105">
        <f t="shared" ca="1" si="15"/>
        <v>1</v>
      </c>
      <c r="U12" s="105" t="s">
        <v>1506</v>
      </c>
      <c r="V12" s="105">
        <v>0</v>
      </c>
      <c r="X12" s="105" t="s">
        <v>1380</v>
      </c>
      <c r="Y12" s="105">
        <f ca="1">COUNTIF($B$3:$B$635,"*突*")*(1-V6)+SUMIFS($G$3:$G$635,$B$3:$B$635,"*循环*")</f>
        <v>196</v>
      </c>
      <c r="AB12" s="105">
        <f ca="1">SUM(V19:V26)</f>
        <v>210</v>
      </c>
      <c r="AC12" s="105">
        <f ca="1">SUM(AD19:AD26)</f>
        <v>196</v>
      </c>
    </row>
    <row r="13" spans="1:30" x14ac:dyDescent="0.35">
      <c r="A13" s="105">
        <f t="shared" ca="1" si="0"/>
        <v>14.149999999999999</v>
      </c>
      <c r="B13" s="105" t="str">
        <f t="shared" ca="1" si="1"/>
        <v>循环</v>
      </c>
      <c r="C13" s="105">
        <f t="shared" ca="1" si="2"/>
        <v>1</v>
      </c>
      <c r="D13" s="105">
        <f t="shared" ca="1" si="3"/>
        <v>20.435000000000009</v>
      </c>
      <c r="E13" s="105">
        <f t="shared" ca="1" si="4"/>
        <v>16.435000000000009</v>
      </c>
      <c r="F13" s="105">
        <f t="shared" ca="1" si="5"/>
        <v>17.850000000000009</v>
      </c>
      <c r="G13" s="105">
        <f t="shared" ca="1" si="16"/>
        <v>1</v>
      </c>
      <c r="H13" s="105">
        <f t="shared" ca="1" si="17"/>
        <v>46.435000000000009</v>
      </c>
      <c r="I13" s="105">
        <f t="shared" ca="1" si="6"/>
        <v>0</v>
      </c>
      <c r="J13" s="105">
        <f t="shared" ca="1" si="7"/>
        <v>0</v>
      </c>
      <c r="K13" s="105">
        <f t="shared" ca="1" si="8"/>
        <v>0.12250000000000405</v>
      </c>
      <c r="L13" s="105">
        <f t="shared" ca="1" si="9"/>
        <v>1</v>
      </c>
      <c r="M13" s="105">
        <f t="shared" ca="1" si="10"/>
        <v>0</v>
      </c>
      <c r="N13" s="105">
        <f t="shared" ca="1" si="9"/>
        <v>0</v>
      </c>
      <c r="O13" s="105">
        <f t="shared" ca="1" si="11"/>
        <v>0.8500000000000032</v>
      </c>
      <c r="P13" s="105">
        <f t="shared" ca="1" si="12"/>
        <v>1</v>
      </c>
      <c r="Q13" s="105">
        <f t="shared" ca="1" si="13"/>
        <v>0</v>
      </c>
      <c r="R13" s="105">
        <f t="shared" ca="1" si="14"/>
        <v>0</v>
      </c>
      <c r="S13" s="105">
        <f t="shared" ca="1" si="15"/>
        <v>1</v>
      </c>
      <c r="U13" s="105" t="s">
        <v>686</v>
      </c>
      <c r="V13" s="105">
        <f>MAX(V7,V8,V9)</f>
        <v>1</v>
      </c>
      <c r="X13" s="105" t="s">
        <v>1526</v>
      </c>
      <c r="Y13" s="105">
        <f ca="1">AB1/V4</f>
        <v>0</v>
      </c>
      <c r="AC13" s="105">
        <f ca="1">SUM(AF19:AF26)</f>
        <v>14</v>
      </c>
    </row>
    <row r="14" spans="1:30" x14ac:dyDescent="0.35">
      <c r="A14" s="105">
        <f t="shared" ca="1" si="0"/>
        <v>15.564999999999998</v>
      </c>
      <c r="B14" s="105" t="str">
        <f t="shared" ca="1" si="1"/>
        <v>循环</v>
      </c>
      <c r="C14" s="105">
        <f t="shared" ca="1" si="2"/>
        <v>1</v>
      </c>
      <c r="D14" s="105">
        <f t="shared" ca="1" si="3"/>
        <v>19.02000000000001</v>
      </c>
      <c r="E14" s="105">
        <f t="shared" ca="1" si="4"/>
        <v>15.02000000000001</v>
      </c>
      <c r="F14" s="105">
        <f t="shared" ca="1" si="5"/>
        <v>16.435000000000009</v>
      </c>
      <c r="G14" s="105">
        <f t="shared" ca="1" si="16"/>
        <v>1</v>
      </c>
      <c r="H14" s="105">
        <f t="shared" ca="1" si="17"/>
        <v>45.02000000000001</v>
      </c>
      <c r="I14" s="105">
        <f t="shared" ca="1" si="6"/>
        <v>0</v>
      </c>
      <c r="J14" s="105">
        <f t="shared" ca="1" si="7"/>
        <v>0</v>
      </c>
      <c r="K14" s="105">
        <f t="shared" ca="1" si="8"/>
        <v>0</v>
      </c>
      <c r="L14" s="105">
        <f t="shared" ca="1" si="9"/>
        <v>1</v>
      </c>
      <c r="M14" s="105">
        <f t="shared" ca="1" si="10"/>
        <v>0</v>
      </c>
      <c r="N14" s="105">
        <f t="shared" ca="1" si="9"/>
        <v>0</v>
      </c>
      <c r="O14" s="105">
        <f t="shared" ca="1" si="11"/>
        <v>0</v>
      </c>
      <c r="P14" s="105">
        <f t="shared" ca="1" si="12"/>
        <v>1</v>
      </c>
      <c r="Q14" s="105">
        <f t="shared" ca="1" si="13"/>
        <v>0</v>
      </c>
      <c r="R14" s="105">
        <f t="shared" ca="1" si="14"/>
        <v>0</v>
      </c>
      <c r="S14" s="105">
        <f t="shared" ca="1" si="15"/>
        <v>1</v>
      </c>
      <c r="U14" s="105" t="s">
        <v>718</v>
      </c>
      <c r="V14" s="105">
        <f ca="1">COUNTIF($B$3:$B$635,"*任*")</f>
        <v>10</v>
      </c>
      <c r="AC14" s="105">
        <f ca="1">SUM(AD19:AD26,AF19:AF26)</f>
        <v>210</v>
      </c>
    </row>
    <row r="15" spans="1:30" x14ac:dyDescent="0.35">
      <c r="A15" s="105">
        <f t="shared" ca="1" si="0"/>
        <v>16.979999999999997</v>
      </c>
      <c r="B15" s="105" t="str">
        <f t="shared" ca="1" si="1"/>
        <v>循环</v>
      </c>
      <c r="C15" s="105">
        <f t="shared" ca="1" si="2"/>
        <v>1</v>
      </c>
      <c r="D15" s="105">
        <f t="shared" ca="1" si="3"/>
        <v>17.605000000000011</v>
      </c>
      <c r="E15" s="105">
        <f t="shared" ca="1" si="4"/>
        <v>13.605000000000011</v>
      </c>
      <c r="F15" s="105">
        <f t="shared" ca="1" si="5"/>
        <v>15.02000000000001</v>
      </c>
      <c r="G15" s="105">
        <f t="shared" ca="1" si="16"/>
        <v>1</v>
      </c>
      <c r="H15" s="105">
        <f t="shared" ca="1" si="17"/>
        <v>43.605000000000011</v>
      </c>
      <c r="I15" s="105">
        <f t="shared" ca="1" si="6"/>
        <v>0</v>
      </c>
      <c r="J15" s="105">
        <f t="shared" ca="1" si="7"/>
        <v>0</v>
      </c>
      <c r="K15" s="105">
        <f t="shared" ca="1" si="8"/>
        <v>0</v>
      </c>
      <c r="L15" s="105">
        <f t="shared" ca="1" si="9"/>
        <v>0</v>
      </c>
      <c r="M15" s="105">
        <f t="shared" ca="1" si="10"/>
        <v>0</v>
      </c>
      <c r="N15" s="105">
        <f t="shared" ca="1" si="9"/>
        <v>0</v>
      </c>
      <c r="O15" s="105">
        <f t="shared" ca="1" si="11"/>
        <v>0</v>
      </c>
      <c r="P15" s="105">
        <f t="shared" ca="1" si="12"/>
        <v>0</v>
      </c>
      <c r="Q15" s="105">
        <f t="shared" ca="1" si="13"/>
        <v>0</v>
      </c>
      <c r="R15" s="105">
        <f t="shared" ca="1" si="14"/>
        <v>0</v>
      </c>
      <c r="S15" s="105">
        <f t="shared" ca="1" si="15"/>
        <v>1</v>
      </c>
      <c r="U15" s="105" t="s">
        <v>723</v>
      </c>
      <c r="V15" s="105">
        <f ca="1">COUNTIF($B$3:$B$635,"*渊*")*属性开关!$AB$30</f>
        <v>0</v>
      </c>
      <c r="AC15" s="105">
        <f ca="1">SUM(AE19:AE26,AG19:AG26)</f>
        <v>0.95454545454545447</v>
      </c>
    </row>
    <row r="16" spans="1:30" x14ac:dyDescent="0.35">
      <c r="A16" s="105">
        <f t="shared" ca="1" si="0"/>
        <v>18.394999999999996</v>
      </c>
      <c r="B16" s="105" t="str">
        <f t="shared" ca="1" si="1"/>
        <v>循环</v>
      </c>
      <c r="C16" s="105">
        <f t="shared" ca="1" si="2"/>
        <v>1</v>
      </c>
      <c r="D16" s="105">
        <f t="shared" ca="1" si="3"/>
        <v>16.190000000000012</v>
      </c>
      <c r="E16" s="105">
        <f t="shared" ca="1" si="4"/>
        <v>12.190000000000012</v>
      </c>
      <c r="F16" s="105">
        <f t="shared" ca="1" si="5"/>
        <v>13.605000000000011</v>
      </c>
      <c r="G16" s="105">
        <f t="shared" ca="1" si="16"/>
        <v>1</v>
      </c>
      <c r="H16" s="105">
        <f t="shared" ca="1" si="17"/>
        <v>42.190000000000012</v>
      </c>
      <c r="I16" s="105">
        <f t="shared" ca="1" si="6"/>
        <v>0</v>
      </c>
      <c r="J16" s="105">
        <f t="shared" ca="1" si="7"/>
        <v>0</v>
      </c>
      <c r="K16" s="105">
        <f t="shared" ca="1" si="8"/>
        <v>0</v>
      </c>
      <c r="L16" s="105">
        <f t="shared" ca="1" si="9"/>
        <v>0</v>
      </c>
      <c r="M16" s="105">
        <f t="shared" ca="1" si="10"/>
        <v>0</v>
      </c>
      <c r="N16" s="105">
        <f t="shared" ca="1" si="9"/>
        <v>0</v>
      </c>
      <c r="O16" s="105">
        <f t="shared" ca="1" si="11"/>
        <v>0</v>
      </c>
      <c r="P16" s="105">
        <f t="shared" ca="1" si="12"/>
        <v>0</v>
      </c>
      <c r="Q16" s="105">
        <f t="shared" ca="1" si="13"/>
        <v>0</v>
      </c>
      <c r="R16" s="105">
        <f t="shared" ca="1" si="14"/>
        <v>0</v>
      </c>
      <c r="S16" s="105">
        <f t="shared" ca="1" si="15"/>
        <v>1</v>
      </c>
      <c r="U16" s="105" t="s">
        <v>746</v>
      </c>
      <c r="V16" s="105">
        <f>ROUND((6+7+7+6+8)/5,0)-2</f>
        <v>5</v>
      </c>
      <c r="AD16" s="105">
        <f ca="1">INT(X2/35)</f>
        <v>8</v>
      </c>
    </row>
    <row r="17" spans="1:33" x14ac:dyDescent="0.35">
      <c r="A17" s="105">
        <f t="shared" ca="1" si="0"/>
        <v>19.809999999999995</v>
      </c>
      <c r="B17" s="105" t="str">
        <f t="shared" ca="1" si="1"/>
        <v>循环</v>
      </c>
      <c r="C17" s="105">
        <f t="shared" ca="1" si="2"/>
        <v>1</v>
      </c>
      <c r="D17" s="105">
        <f t="shared" ca="1" si="3"/>
        <v>14.775000000000013</v>
      </c>
      <c r="E17" s="105">
        <f t="shared" ca="1" si="4"/>
        <v>10.775000000000013</v>
      </c>
      <c r="F17" s="105">
        <f t="shared" ca="1" si="5"/>
        <v>12.190000000000012</v>
      </c>
      <c r="G17" s="105">
        <f t="shared" ca="1" si="16"/>
        <v>1</v>
      </c>
      <c r="H17" s="105">
        <f t="shared" ca="1" si="17"/>
        <v>40.775000000000013</v>
      </c>
      <c r="I17" s="105">
        <f t="shared" ca="1" si="6"/>
        <v>0</v>
      </c>
      <c r="J17" s="105">
        <f t="shared" ca="1" si="7"/>
        <v>0</v>
      </c>
      <c r="K17" s="105">
        <f t="shared" ca="1" si="8"/>
        <v>0</v>
      </c>
      <c r="L17" s="105">
        <f t="shared" ca="1" si="9"/>
        <v>0</v>
      </c>
      <c r="M17" s="105">
        <f t="shared" ca="1" si="10"/>
        <v>0</v>
      </c>
      <c r="N17" s="105">
        <f t="shared" ca="1" si="9"/>
        <v>0</v>
      </c>
      <c r="O17" s="105">
        <f t="shared" ca="1" si="11"/>
        <v>0</v>
      </c>
      <c r="P17" s="105">
        <f t="shared" ca="1" si="12"/>
        <v>0</v>
      </c>
      <c r="Q17" s="105">
        <f t="shared" ca="1" si="13"/>
        <v>0</v>
      </c>
      <c r="R17" s="105">
        <f t="shared" ca="1" si="14"/>
        <v>0</v>
      </c>
      <c r="S17" s="105">
        <f t="shared" ca="1" si="15"/>
        <v>1</v>
      </c>
      <c r="U17" s="105" t="s">
        <v>687</v>
      </c>
      <c r="V17" s="105">
        <f ca="1">COUNTIF($B$3:$B$432,"&lt;&gt;0")-V27</f>
        <v>220</v>
      </c>
      <c r="W17" s="105">
        <f ca="1">COUNTIF(B3:B432,"*任*")+COUNTIF(B3:B432,"*乘*")+SUM(V19:V26)+Y13</f>
        <v>220</v>
      </c>
      <c r="X17" s="105">
        <f ca="1">COUNTIF($B$3:$B$635,"*乘*")</f>
        <v>0</v>
      </c>
      <c r="AD17" s="105">
        <f ca="1">COUNTIFS($B$3:$B$432,"*循环*",$G$3:$G$432,"&gt;0")*V11</f>
        <v>0</v>
      </c>
      <c r="AF17" s="105">
        <f ca="1">V17-AD17</f>
        <v>220</v>
      </c>
    </row>
    <row r="18" spans="1:33" x14ac:dyDescent="0.35">
      <c r="A18" s="105">
        <f t="shared" ca="1" si="0"/>
        <v>21.224999999999994</v>
      </c>
      <c r="B18" s="105" t="str">
        <f t="shared" ca="1" si="1"/>
        <v>循环</v>
      </c>
      <c r="C18" s="105">
        <f t="shared" ca="1" si="2"/>
        <v>1</v>
      </c>
      <c r="D18" s="105">
        <f t="shared" ca="1" si="3"/>
        <v>13.360000000000014</v>
      </c>
      <c r="E18" s="105">
        <f t="shared" ca="1" si="4"/>
        <v>9.3600000000000136</v>
      </c>
      <c r="F18" s="105">
        <f t="shared" ca="1" si="5"/>
        <v>10.775000000000013</v>
      </c>
      <c r="G18" s="105">
        <f t="shared" ca="1" si="16"/>
        <v>1</v>
      </c>
      <c r="H18" s="105">
        <f t="shared" ca="1" si="17"/>
        <v>39.360000000000014</v>
      </c>
      <c r="I18" s="105">
        <f t="shared" ca="1" si="6"/>
        <v>0</v>
      </c>
      <c r="J18" s="105">
        <f t="shared" ca="1" si="7"/>
        <v>0</v>
      </c>
      <c r="K18" s="105">
        <f t="shared" ca="1" si="8"/>
        <v>0</v>
      </c>
      <c r="L18" s="105">
        <f t="shared" ca="1" si="9"/>
        <v>0</v>
      </c>
      <c r="M18" s="105">
        <f t="shared" ca="1" si="10"/>
        <v>0</v>
      </c>
      <c r="N18" s="105">
        <f t="shared" ca="1" si="9"/>
        <v>0</v>
      </c>
      <c r="O18" s="105">
        <f t="shared" ca="1" si="11"/>
        <v>0</v>
      </c>
      <c r="P18" s="105">
        <f t="shared" ca="1" si="12"/>
        <v>0</v>
      </c>
      <c r="Q18" s="105">
        <f t="shared" ca="1" si="13"/>
        <v>0</v>
      </c>
      <c r="R18" s="105">
        <f t="shared" ca="1" si="14"/>
        <v>0</v>
      </c>
      <c r="S18" s="105">
        <f t="shared" ca="1" si="15"/>
        <v>1</v>
      </c>
      <c r="U18" s="105" t="s">
        <v>688</v>
      </c>
      <c r="V18" s="105" t="s">
        <v>689</v>
      </c>
      <c r="W18" s="105" t="s">
        <v>690</v>
      </c>
      <c r="X18" s="105" t="s">
        <v>691</v>
      </c>
      <c r="Y18" s="105" t="s">
        <v>692</v>
      </c>
      <c r="Z18" s="105" t="s">
        <v>693</v>
      </c>
      <c r="AA18" s="105" t="s">
        <v>726</v>
      </c>
      <c r="AB18" s="105" t="s">
        <v>727</v>
      </c>
      <c r="AC18" s="105" t="s">
        <v>728</v>
      </c>
      <c r="AD18" s="105" t="s">
        <v>740</v>
      </c>
      <c r="AE18" s="105" t="s">
        <v>243</v>
      </c>
      <c r="AF18" s="105" t="s">
        <v>742</v>
      </c>
      <c r="AG18" s="105" t="s">
        <v>243</v>
      </c>
    </row>
    <row r="19" spans="1:33" ht="15.6" x14ac:dyDescent="0.35">
      <c r="A19" s="105">
        <f t="shared" ca="1" si="0"/>
        <v>22.639999999999993</v>
      </c>
      <c r="B19" s="105" t="str">
        <f t="shared" ca="1" si="1"/>
        <v>循环</v>
      </c>
      <c r="C19" s="105">
        <f t="shared" ca="1" si="2"/>
        <v>1</v>
      </c>
      <c r="D19" s="105">
        <f t="shared" ca="1" si="3"/>
        <v>11.945000000000014</v>
      </c>
      <c r="E19" s="105">
        <f t="shared" ca="1" si="4"/>
        <v>7.9450000000000136</v>
      </c>
      <c r="F19" s="105">
        <f t="shared" ca="1" si="5"/>
        <v>9.3600000000000136</v>
      </c>
      <c r="G19" s="105">
        <f t="shared" ca="1" si="16"/>
        <v>1</v>
      </c>
      <c r="H19" s="105">
        <f t="shared" ca="1" si="17"/>
        <v>37.945000000000014</v>
      </c>
      <c r="I19" s="105">
        <f t="shared" ca="1" si="6"/>
        <v>0</v>
      </c>
      <c r="J19" s="105">
        <f t="shared" ca="1" si="7"/>
        <v>0</v>
      </c>
      <c r="K19" s="105">
        <f t="shared" ca="1" si="8"/>
        <v>0</v>
      </c>
      <c r="L19" s="105">
        <f t="shared" ca="1" si="9"/>
        <v>0</v>
      </c>
      <c r="M19" s="105">
        <f t="shared" ca="1" si="10"/>
        <v>0</v>
      </c>
      <c r="N19" s="105">
        <f t="shared" ca="1" si="9"/>
        <v>0</v>
      </c>
      <c r="O19" s="105">
        <f t="shared" ca="1" si="11"/>
        <v>0</v>
      </c>
      <c r="P19" s="105">
        <f t="shared" ca="1" si="12"/>
        <v>0</v>
      </c>
      <c r="Q19" s="105">
        <f t="shared" ca="1" si="13"/>
        <v>0</v>
      </c>
      <c r="R19" s="105">
        <f t="shared" ca="1" si="14"/>
        <v>0</v>
      </c>
      <c r="S19" s="105">
        <f t="shared" ca="1" si="15"/>
        <v>1</v>
      </c>
      <c r="U19" s="106" t="s">
        <v>223</v>
      </c>
      <c r="V19" s="105">
        <f ca="1">COUNTIF($B$3:$B$432,"*循环*")-SUM(V20:V27)-Y13</f>
        <v>100</v>
      </c>
      <c r="W19" s="107">
        <f ca="1">CHOOSE($V$11+1,V19/$V$17,AG19)</f>
        <v>0.45454545454545453</v>
      </c>
      <c r="X19" s="105">
        <f ca="1">COUNTIFS($B$3:$B$432,"*循环*",$N$3:$N$432,"&gt;0",$L$3:$L$432,IF(COUNTIF(U19,"*任*")&gt;0,"&gt;0","&gt;=0"),$P$3:$P$432,IF(COUNTIF(U19,"*雷*")&gt;0,"&gt;0","&gt;=0"),$R$3:$R$432,IF(COUNTIF(U19,"*渊*")&gt;0,"&gt;0","&gt;=0"))-SUM(X20:X26)</f>
        <v>0</v>
      </c>
      <c r="Y19" s="107">
        <f ca="1">IFERROR(X19/SUM($X$19:$X$26),0)</f>
        <v>0</v>
      </c>
      <c r="Z19" s="107">
        <f ca="1">IFERROR(X19/V19,0)</f>
        <v>0</v>
      </c>
      <c r="AA19" s="105">
        <f ca="1">V15-SUM(AA20:AA26)</f>
        <v>0</v>
      </c>
      <c r="AB19" s="105">
        <f ca="1">IFERROR(AA19/$V$15,0)</f>
        <v>0</v>
      </c>
      <c r="AC19" s="105">
        <v>0</v>
      </c>
      <c r="AD19" s="105">
        <f ca="1">COUNTIFS($B$3:$B$432,"*循环*",$G$3:$G$432,"&gt;0")-SUM(AD20:AD26)</f>
        <v>86</v>
      </c>
      <c r="AE19" s="105">
        <f ca="1">IFERROR(AD19/$V$17,0)</f>
        <v>0.39090909090909093</v>
      </c>
      <c r="AF19" s="105">
        <f t="shared" ref="AF19:AF26" ca="1" si="18">V19-AD19</f>
        <v>14</v>
      </c>
      <c r="AG19" s="105">
        <f ca="1">AF19/$V$17</f>
        <v>6.363636363636363E-2</v>
      </c>
    </row>
    <row r="20" spans="1:33" ht="15.6" x14ac:dyDescent="0.35">
      <c r="A20" s="105">
        <f t="shared" ca="1" si="0"/>
        <v>24.054999999999993</v>
      </c>
      <c r="B20" s="105" t="str">
        <f t="shared" ca="1" si="1"/>
        <v>循环</v>
      </c>
      <c r="C20" s="105">
        <f t="shared" ca="1" si="2"/>
        <v>1</v>
      </c>
      <c r="D20" s="105">
        <f t="shared" ca="1" si="3"/>
        <v>10.530000000000015</v>
      </c>
      <c r="E20" s="105">
        <f t="shared" ca="1" si="4"/>
        <v>6.5300000000000136</v>
      </c>
      <c r="F20" s="105">
        <f t="shared" ca="1" si="5"/>
        <v>7.9450000000000136</v>
      </c>
      <c r="G20" s="105">
        <f t="shared" ca="1" si="16"/>
        <v>1</v>
      </c>
      <c r="H20" s="105">
        <f t="shared" ca="1" si="17"/>
        <v>36.530000000000015</v>
      </c>
      <c r="I20" s="105">
        <f t="shared" ca="1" si="6"/>
        <v>0</v>
      </c>
      <c r="J20" s="105">
        <f t="shared" ca="1" si="7"/>
        <v>0</v>
      </c>
      <c r="K20" s="105">
        <f t="shared" ca="1" si="8"/>
        <v>0</v>
      </c>
      <c r="L20" s="105">
        <f t="shared" ca="1" si="9"/>
        <v>0</v>
      </c>
      <c r="M20" s="105">
        <f t="shared" ca="1" si="10"/>
        <v>0</v>
      </c>
      <c r="N20" s="105">
        <f t="shared" ca="1" si="9"/>
        <v>0</v>
      </c>
      <c r="O20" s="105">
        <f t="shared" ca="1" si="11"/>
        <v>0</v>
      </c>
      <c r="P20" s="105">
        <f t="shared" ca="1" si="12"/>
        <v>0</v>
      </c>
      <c r="Q20" s="105">
        <f t="shared" ca="1" si="13"/>
        <v>0</v>
      </c>
      <c r="R20" s="105">
        <f t="shared" ca="1" si="14"/>
        <v>0</v>
      </c>
      <c r="S20" s="105">
        <f t="shared" ca="1" si="15"/>
        <v>1</v>
      </c>
      <c r="U20" s="106" t="s">
        <v>224</v>
      </c>
      <c r="V20" s="105">
        <f ca="1">COUNTIFS($B$3:$B$432,"*循环*",$P$3:$P$432,"&gt;0")-V22-V25-V26-V27</f>
        <v>0</v>
      </c>
      <c r="W20" s="107">
        <f t="shared" ref="W20:W24" ca="1" si="19">CHOOSE($V$11+1,V20/$V$17,AG20)</f>
        <v>0</v>
      </c>
      <c r="X20" s="105">
        <f ca="1">COUNTIFS($B$3:$B$432,"*循环*",$N$3:$N$432,"&gt;0",$L$3:$L$432,IF(COUNTIF(U20,"*任*")&gt;0,"&gt;0","&gt;=0"),$P$3:$P$432,IF(COUNTIF(U20,"*雷*")&gt;0,"&gt;0","&gt;=0"),$R$3:$R$432,IF(COUNTIF(U20,"*渊*")&gt;0,"&gt;0","&gt;=0"))-X22-X25-X26</f>
        <v>0</v>
      </c>
      <c r="Y20" s="107">
        <f t="shared" ref="Y20:Y26" ca="1" si="20">IFERROR(X20/SUM($X$19:$X$26),0)</f>
        <v>0</v>
      </c>
      <c r="Z20" s="107">
        <f t="shared" ref="Z20:Z26" ca="1" si="21">IFERROR(X20/V20,0)</f>
        <v>0</v>
      </c>
      <c r="AA20" s="105">
        <v>0</v>
      </c>
      <c r="AB20" s="105">
        <f t="shared" ref="AB20:AB26" ca="1" si="22">IFERROR(AA20/$V$15,0)</f>
        <v>0</v>
      </c>
      <c r="AC20" s="105">
        <f ca="1">AB19</f>
        <v>0</v>
      </c>
      <c r="AD20" s="105">
        <f ca="1">COUNTIFS($B$3:$B$432,"*循环*",$P$3:$P$432,"&gt;0",$G$3:$G$432,"&gt;0")-AD22-AD25-AD26</f>
        <v>0</v>
      </c>
      <c r="AE20" s="105">
        <f t="shared" ref="AE20:AE26" ca="1" si="23">IFERROR(AD20/$V$17,0)</f>
        <v>0</v>
      </c>
      <c r="AF20" s="105">
        <f t="shared" ca="1" si="18"/>
        <v>0</v>
      </c>
      <c r="AG20" s="105">
        <f t="shared" ref="AG20:AG26" ca="1" si="24">AF20/$V$17</f>
        <v>0</v>
      </c>
    </row>
    <row r="21" spans="1:33" ht="15.6" x14ac:dyDescent="0.35">
      <c r="A21" s="105">
        <f t="shared" ca="1" si="0"/>
        <v>25.469999999999992</v>
      </c>
      <c r="B21" s="105" t="str">
        <f t="shared" ca="1" si="1"/>
        <v>循环</v>
      </c>
      <c r="C21" s="105">
        <f t="shared" ca="1" si="2"/>
        <v>1</v>
      </c>
      <c r="D21" s="105">
        <f t="shared" ca="1" si="3"/>
        <v>9.1150000000000162</v>
      </c>
      <c r="E21" s="105">
        <f t="shared" ca="1" si="4"/>
        <v>5.1150000000000135</v>
      </c>
      <c r="F21" s="105">
        <f t="shared" ca="1" si="5"/>
        <v>6.5300000000000136</v>
      </c>
      <c r="G21" s="105">
        <f t="shared" ca="1" si="16"/>
        <v>1</v>
      </c>
      <c r="H21" s="105">
        <f t="shared" ca="1" si="17"/>
        <v>35.115000000000016</v>
      </c>
      <c r="I21" s="105">
        <f t="shared" ca="1" si="6"/>
        <v>0</v>
      </c>
      <c r="J21" s="105">
        <f t="shared" ca="1" si="7"/>
        <v>0</v>
      </c>
      <c r="K21" s="105">
        <f t="shared" ca="1" si="8"/>
        <v>0</v>
      </c>
      <c r="L21" s="105">
        <f t="shared" ca="1" si="9"/>
        <v>0</v>
      </c>
      <c r="M21" s="105">
        <f t="shared" ca="1" si="10"/>
        <v>0</v>
      </c>
      <c r="N21" s="105">
        <f t="shared" ca="1" si="9"/>
        <v>0</v>
      </c>
      <c r="O21" s="105">
        <f t="shared" ca="1" si="11"/>
        <v>0</v>
      </c>
      <c r="P21" s="105">
        <f t="shared" ca="1" si="12"/>
        <v>0</v>
      </c>
      <c r="Q21" s="105">
        <f t="shared" ca="1" si="13"/>
        <v>0</v>
      </c>
      <c r="R21" s="105">
        <f t="shared" ca="1" si="14"/>
        <v>0</v>
      </c>
      <c r="S21" s="105">
        <f t="shared" ca="1" si="15"/>
        <v>1</v>
      </c>
      <c r="U21" s="106" t="s">
        <v>225</v>
      </c>
      <c r="V21" s="105">
        <f ca="1">属性开关!$AB$33*COUNTIFS($B$3:$B$432,"*循环*",$R$3:$R$432,"&gt;0")-V22-V24-V25-V27</f>
        <v>0</v>
      </c>
      <c r="W21" s="107">
        <f t="shared" ca="1" si="19"/>
        <v>0</v>
      </c>
      <c r="X21" s="105">
        <f ca="1">COUNTIFS($B$3:$B$432,"*循环*",$N$3:$N$432,"&gt;0",$L$3:$L$432,IF(COUNTIF(U21,"*任*")&gt;0,"&gt;0","&gt;=0"),$P$3:$P$432,IF(COUNTIF(U21,"*雷*")&gt;0,"&gt;0","&gt;=0"),$R$3:$R$432,IF(COUNTIF(U21,"*渊*")&gt;0,"&gt;0","&gt;=0"))-X22-X24-X25</f>
        <v>0</v>
      </c>
      <c r="Y21" s="107">
        <f t="shared" ca="1" si="20"/>
        <v>0</v>
      </c>
      <c r="Z21" s="107">
        <f t="shared" ca="1" si="21"/>
        <v>0</v>
      </c>
      <c r="AA21" s="105">
        <v>0</v>
      </c>
      <c r="AB21" s="105">
        <f t="shared" ca="1" si="22"/>
        <v>0</v>
      </c>
      <c r="AC21" s="105">
        <v>0</v>
      </c>
      <c r="AD21" s="105">
        <f ca="1">属性开关!$AB$33*COUNTIFS($B$3:$B$432,"*循环*",$R$3:$R$432,"&gt;0",$G$3:$G$432,"&gt;0")-AD22-AD24-AD25</f>
        <v>0</v>
      </c>
      <c r="AE21" s="105">
        <f t="shared" ca="1" si="23"/>
        <v>0</v>
      </c>
      <c r="AF21" s="105">
        <f t="shared" ca="1" si="18"/>
        <v>0</v>
      </c>
      <c r="AG21" s="105">
        <f t="shared" ca="1" si="24"/>
        <v>0</v>
      </c>
    </row>
    <row r="22" spans="1:33" ht="15.6" x14ac:dyDescent="0.35">
      <c r="A22" s="105">
        <f t="shared" ca="1" si="0"/>
        <v>26.884999999999991</v>
      </c>
      <c r="B22" s="105" t="str">
        <f t="shared" ca="1" si="1"/>
        <v>循环</v>
      </c>
      <c r="C22" s="105">
        <f t="shared" ca="1" si="2"/>
        <v>1</v>
      </c>
      <c r="D22" s="105">
        <f t="shared" ca="1" si="3"/>
        <v>7.7000000000000162</v>
      </c>
      <c r="E22" s="105">
        <f t="shared" ca="1" si="4"/>
        <v>3.7000000000000135</v>
      </c>
      <c r="F22" s="105">
        <f t="shared" ca="1" si="5"/>
        <v>5.1150000000000135</v>
      </c>
      <c r="G22" s="105">
        <f t="shared" ca="1" si="16"/>
        <v>1</v>
      </c>
      <c r="H22" s="105">
        <f t="shared" ca="1" si="17"/>
        <v>33.700000000000017</v>
      </c>
      <c r="I22" s="105">
        <f t="shared" ca="1" si="6"/>
        <v>0</v>
      </c>
      <c r="J22" s="105">
        <f t="shared" ca="1" si="7"/>
        <v>0</v>
      </c>
      <c r="K22" s="105">
        <f t="shared" ca="1" si="8"/>
        <v>0</v>
      </c>
      <c r="L22" s="105">
        <f t="shared" ca="1" si="9"/>
        <v>0</v>
      </c>
      <c r="M22" s="105">
        <f t="shared" ca="1" si="10"/>
        <v>0</v>
      </c>
      <c r="N22" s="105">
        <f t="shared" ca="1" si="9"/>
        <v>0</v>
      </c>
      <c r="O22" s="105">
        <f t="shared" ca="1" si="11"/>
        <v>0</v>
      </c>
      <c r="P22" s="105">
        <f t="shared" ca="1" si="12"/>
        <v>0</v>
      </c>
      <c r="Q22" s="105">
        <f t="shared" ca="1" si="13"/>
        <v>0</v>
      </c>
      <c r="R22" s="105">
        <f t="shared" ca="1" si="14"/>
        <v>0</v>
      </c>
      <c r="S22" s="105">
        <f t="shared" ca="1" si="15"/>
        <v>1</v>
      </c>
      <c r="U22" s="106" t="s">
        <v>226</v>
      </c>
      <c r="V22" s="105">
        <f ca="1">属性开关!$AB$33*COUNTIFS($B$3:$B$432,"*循环*",$P$3:$P$432,"&gt;0",$R$3:$R$432,"&gt;0")-V25-V27</f>
        <v>0</v>
      </c>
      <c r="W22" s="107">
        <f t="shared" ca="1" si="19"/>
        <v>0</v>
      </c>
      <c r="X22" s="105">
        <f ca="1">COUNTIFS($B$3:$B$432,"*循环*",$N$3:$N$432,"&gt;0",$L$3:$L$432,IF(COUNTIF(U22,"*任*")&gt;0,"&gt;0","&gt;=0"),$P$3:$P$432,IF(COUNTIF(U22,"*雷*")&gt;0,"&gt;0","&gt;=0"),$R$3:$R$432,IF(COUNTIF(U22,"*渊*")&gt;0,"&gt;0","&gt;=0"))-X25</f>
        <v>0</v>
      </c>
      <c r="Y22" s="107">
        <f t="shared" ca="1" si="20"/>
        <v>0</v>
      </c>
      <c r="Z22" s="107">
        <f t="shared" ca="1" si="21"/>
        <v>0</v>
      </c>
      <c r="AA22" s="105">
        <v>0</v>
      </c>
      <c r="AB22" s="105">
        <f t="shared" ca="1" si="22"/>
        <v>0</v>
      </c>
      <c r="AC22" s="105">
        <v>0</v>
      </c>
      <c r="AD22" s="105">
        <f ca="1">属性开关!$AB$33*COUNTIFS($B$3:$B$432,"*循环*",$P$3:$P$432,"&gt;0",$R$3:$R$432,"&gt;0",$G$3:$G$432,"&gt;0")-AD25</f>
        <v>0</v>
      </c>
      <c r="AE22" s="105">
        <f t="shared" ca="1" si="23"/>
        <v>0</v>
      </c>
      <c r="AF22" s="105">
        <f t="shared" ca="1" si="18"/>
        <v>0</v>
      </c>
      <c r="AG22" s="105">
        <f t="shared" ca="1" si="24"/>
        <v>0</v>
      </c>
    </row>
    <row r="23" spans="1:33" ht="15.6" x14ac:dyDescent="0.35">
      <c r="A23" s="105">
        <f t="shared" ca="1" si="0"/>
        <v>28.29999999999999</v>
      </c>
      <c r="B23" s="105" t="str">
        <f t="shared" ca="1" si="1"/>
        <v>循环</v>
      </c>
      <c r="C23" s="105">
        <f t="shared" ca="1" si="2"/>
        <v>1</v>
      </c>
      <c r="D23" s="105">
        <f t="shared" ca="1" si="3"/>
        <v>6.2850000000000161</v>
      </c>
      <c r="E23" s="105">
        <f t="shared" ca="1" si="4"/>
        <v>2.2850000000000135</v>
      </c>
      <c r="F23" s="105">
        <f t="shared" ca="1" si="5"/>
        <v>3.7000000000000135</v>
      </c>
      <c r="G23" s="105">
        <f t="shared" ca="1" si="16"/>
        <v>1</v>
      </c>
      <c r="H23" s="105">
        <f t="shared" ca="1" si="17"/>
        <v>32.285000000000018</v>
      </c>
      <c r="I23" s="105">
        <f t="shared" ca="1" si="6"/>
        <v>0</v>
      </c>
      <c r="J23" s="105">
        <f t="shared" ca="1" si="7"/>
        <v>0</v>
      </c>
      <c r="K23" s="105">
        <f t="shared" ca="1" si="8"/>
        <v>0</v>
      </c>
      <c r="L23" s="105">
        <f t="shared" ca="1" si="9"/>
        <v>0</v>
      </c>
      <c r="M23" s="105">
        <f t="shared" ca="1" si="10"/>
        <v>0</v>
      </c>
      <c r="N23" s="105">
        <f t="shared" ca="1" si="9"/>
        <v>0</v>
      </c>
      <c r="O23" s="105">
        <f t="shared" ca="1" si="11"/>
        <v>0</v>
      </c>
      <c r="P23" s="105">
        <f t="shared" ca="1" si="12"/>
        <v>0</v>
      </c>
      <c r="Q23" s="105">
        <f t="shared" ca="1" si="13"/>
        <v>0</v>
      </c>
      <c r="R23" s="105">
        <f t="shared" ca="1" si="14"/>
        <v>0</v>
      </c>
      <c r="S23" s="105">
        <f t="shared" ca="1" si="15"/>
        <v>1</v>
      </c>
      <c r="U23" s="106" t="s">
        <v>694</v>
      </c>
      <c r="V23" s="105">
        <f ca="1">COUNTIFS($B$3:$B$432,"*循环*",$L$3:$L$432,"&gt;0")-(V24+V25+V26)-V27</f>
        <v>0</v>
      </c>
      <c r="W23" s="107">
        <f t="shared" ca="1" si="19"/>
        <v>0</v>
      </c>
      <c r="X23" s="105">
        <f ca="1">COUNTIFS($B$3:$B$432,"*循环*",$N$3:$N$432,"&gt;0",$L$3:$L$432,IF(COUNTIF(U23,"*任*")&gt;0,"&gt;0","&gt;=0"),$P$3:$P$432,IF(COUNTIF(U23,"*雷*")&gt;0,"&gt;0","&gt;=0"),$R$3:$R$432,IF(COUNTIF(U23,"*渊*")&gt;0,"&gt;0","&gt;=0"))-X24-X25-X26</f>
        <v>0</v>
      </c>
      <c r="Y23" s="107">
        <f t="shared" ca="1" si="20"/>
        <v>0</v>
      </c>
      <c r="Z23" s="107">
        <f t="shared" ca="1" si="21"/>
        <v>0</v>
      </c>
      <c r="AA23" s="105">
        <f ca="1">COUNTIFS($B$3:$B$635,"*渊*",$L$3:$L$635,"&gt;0")*属性开关!AB30</f>
        <v>0</v>
      </c>
      <c r="AB23" s="105">
        <f t="shared" ca="1" si="22"/>
        <v>0</v>
      </c>
      <c r="AC23" s="105">
        <v>0</v>
      </c>
      <c r="AD23" s="105">
        <f ca="1">COUNTIFS($B$3:$B$432,"*循环*",$L$3:$L$432,"&gt;0",$G$3:$G$432,"&gt;0")-(AD24+AD25+AD26)</f>
        <v>0</v>
      </c>
      <c r="AE23" s="105">
        <f t="shared" ca="1" si="23"/>
        <v>0</v>
      </c>
      <c r="AF23" s="105">
        <f t="shared" ca="1" si="18"/>
        <v>0</v>
      </c>
      <c r="AG23" s="105">
        <f t="shared" ca="1" si="24"/>
        <v>0</v>
      </c>
    </row>
    <row r="24" spans="1:33" ht="15.6" x14ac:dyDescent="0.35">
      <c r="A24" s="105">
        <f t="shared" ca="1" si="0"/>
        <v>29.714999999999989</v>
      </c>
      <c r="B24" s="105" t="str">
        <f t="shared" ca="1" si="1"/>
        <v>循环</v>
      </c>
      <c r="C24" s="105">
        <f t="shared" ca="1" si="2"/>
        <v>1</v>
      </c>
      <c r="D24" s="105">
        <f t="shared" ca="1" si="3"/>
        <v>4.8700000000000161</v>
      </c>
      <c r="E24" s="105">
        <f t="shared" ca="1" si="4"/>
        <v>0.87000000000001343</v>
      </c>
      <c r="F24" s="105">
        <f t="shared" ca="1" si="5"/>
        <v>2.2850000000000135</v>
      </c>
      <c r="G24" s="105">
        <f t="shared" ca="1" si="16"/>
        <v>1</v>
      </c>
      <c r="H24" s="105">
        <f t="shared" ca="1" si="17"/>
        <v>30.870000000000019</v>
      </c>
      <c r="I24" s="105">
        <f t="shared" ca="1" si="6"/>
        <v>0</v>
      </c>
      <c r="J24" s="105">
        <f t="shared" ca="1" si="7"/>
        <v>0</v>
      </c>
      <c r="K24" s="105">
        <f t="shared" ca="1" si="8"/>
        <v>0</v>
      </c>
      <c r="L24" s="105">
        <f t="shared" ca="1" si="9"/>
        <v>0</v>
      </c>
      <c r="M24" s="105">
        <f t="shared" ca="1" si="10"/>
        <v>0</v>
      </c>
      <c r="N24" s="105">
        <f t="shared" ca="1" si="9"/>
        <v>0</v>
      </c>
      <c r="O24" s="105">
        <f t="shared" ca="1" si="11"/>
        <v>0</v>
      </c>
      <c r="P24" s="105">
        <f t="shared" ca="1" si="12"/>
        <v>0</v>
      </c>
      <c r="Q24" s="105">
        <f t="shared" ca="1" si="13"/>
        <v>0</v>
      </c>
      <c r="R24" s="105">
        <f t="shared" ca="1" si="14"/>
        <v>0</v>
      </c>
      <c r="S24" s="105">
        <f t="shared" ca="1" si="15"/>
        <v>1</v>
      </c>
      <c r="U24" s="106" t="s">
        <v>695</v>
      </c>
      <c r="V24" s="105">
        <f ca="1">属性开关!$AB$33*COUNTIFS($B$3:$B$432,"*循环*",$L$3:$L$432,"&gt;0",$R$3:$R$432,"&gt;0")-V25-V27</f>
        <v>0</v>
      </c>
      <c r="W24" s="107">
        <f t="shared" ca="1" si="19"/>
        <v>0</v>
      </c>
      <c r="X24" s="105">
        <f ca="1">COUNTIFS($B$3:$B$432,"*循环*",$N$3:$N$432,"&gt;0",$L$3:$L$432,IF(COUNTIF(U24,"*任*")&gt;0,"&gt;0","&gt;=0"),$P$3:$P$432,IF(COUNTIF(U24,"*雷*")&gt;0,"&gt;0","&gt;=0"),$R$3:$R$432,IF(COUNTIF(U24,"*渊*")&gt;0,"&gt;0","&gt;=0"))-X25</f>
        <v>0</v>
      </c>
      <c r="Y24" s="107">
        <f t="shared" ca="1" si="20"/>
        <v>0</v>
      </c>
      <c r="Z24" s="107">
        <f t="shared" ca="1" si="21"/>
        <v>0</v>
      </c>
      <c r="AA24" s="105">
        <v>0</v>
      </c>
      <c r="AB24" s="105">
        <f t="shared" ca="1" si="22"/>
        <v>0</v>
      </c>
      <c r="AC24" s="105">
        <v>0</v>
      </c>
      <c r="AD24" s="105">
        <f ca="1">属性开关!$AB$33*COUNTIFS($B$3:$B$432,"*循环*",$L$3:$L$432,"&gt;0",$R$3:$R$432,"&gt;0",$G$3:$G$432,"&gt;0")-AD25</f>
        <v>0</v>
      </c>
      <c r="AE24" s="105">
        <f t="shared" ca="1" si="23"/>
        <v>0</v>
      </c>
      <c r="AF24" s="105">
        <f t="shared" ca="1" si="18"/>
        <v>0</v>
      </c>
      <c r="AG24" s="105">
        <f t="shared" ca="1" si="24"/>
        <v>0</v>
      </c>
    </row>
    <row r="25" spans="1:33" ht="15.6" x14ac:dyDescent="0.35">
      <c r="A25" s="105">
        <f t="shared" ca="1" si="0"/>
        <v>31.129999999999988</v>
      </c>
      <c r="B25" s="105" t="str">
        <f t="shared" ca="1" si="1"/>
        <v>循环</v>
      </c>
      <c r="C25" s="105">
        <f t="shared" ca="1" si="2"/>
        <v>1</v>
      </c>
      <c r="D25" s="105">
        <f t="shared" ca="1" si="3"/>
        <v>3.4550000000000161</v>
      </c>
      <c r="E25" s="105">
        <f t="shared" ca="1" si="4"/>
        <v>0</v>
      </c>
      <c r="F25" s="105">
        <f t="shared" ca="1" si="5"/>
        <v>0.87000000000001343</v>
      </c>
      <c r="G25" s="105">
        <f t="shared" ca="1" si="16"/>
        <v>1</v>
      </c>
      <c r="H25" s="105">
        <f t="shared" ca="1" si="17"/>
        <v>29.45500000000002</v>
      </c>
      <c r="I25" s="105">
        <f t="shared" ca="1" si="6"/>
        <v>0</v>
      </c>
      <c r="J25" s="105">
        <f t="shared" ca="1" si="7"/>
        <v>0</v>
      </c>
      <c r="K25" s="105">
        <f t="shared" ca="1" si="8"/>
        <v>0</v>
      </c>
      <c r="L25" s="105">
        <f t="shared" ca="1" si="9"/>
        <v>0</v>
      </c>
      <c r="M25" s="105">
        <f t="shared" ca="1" si="10"/>
        <v>0</v>
      </c>
      <c r="N25" s="105">
        <f t="shared" ca="1" si="9"/>
        <v>0</v>
      </c>
      <c r="O25" s="105">
        <f t="shared" ca="1" si="11"/>
        <v>0</v>
      </c>
      <c r="P25" s="105">
        <f t="shared" ca="1" si="12"/>
        <v>0</v>
      </c>
      <c r="Q25" s="105">
        <f t="shared" ca="1" si="13"/>
        <v>0</v>
      </c>
      <c r="R25" s="105">
        <f t="shared" ca="1" si="14"/>
        <v>0</v>
      </c>
      <c r="S25" s="105">
        <f t="shared" ca="1" si="15"/>
        <v>1</v>
      </c>
      <c r="U25" s="106" t="s">
        <v>696</v>
      </c>
      <c r="V25" s="105">
        <f ca="1">属性开关!$AB$33*COUNTIFS($B$3:$B$432,"*循环*",$L$3:$L$432,"&gt;0",$P$3:$P$432,"&gt;0",$R$3:$R$432,"&gt;0")-V27</f>
        <v>70</v>
      </c>
      <c r="W25" s="107">
        <f ca="1">CHOOSE($V$11+1,V25/$V$17,AG25)</f>
        <v>0.31818181818181818</v>
      </c>
      <c r="X25" s="105">
        <f t="shared" ref="X25" ca="1" si="25">COUNTIFS($B$3:$B$432,"*循环*",$N$3:$N$432,"&gt;0",$L$3:$L$432,IF(COUNTIF(U25,"*任*")&gt;0,"&gt;0","&gt;=0"),$P$3:$P$432,IF(COUNTIF(U25,"*雷*")&gt;0,"&gt;0","&gt;=0"),$R$3:$R$432,IF(COUNTIF(U25,"*渊*")&gt;0,"&gt;0","&gt;=0"))</f>
        <v>0</v>
      </c>
      <c r="Y25" s="107">
        <f t="shared" ca="1" si="20"/>
        <v>0</v>
      </c>
      <c r="Z25" s="107">
        <f t="shared" ca="1" si="21"/>
        <v>0</v>
      </c>
      <c r="AA25" s="105">
        <v>0</v>
      </c>
      <c r="AB25" s="105">
        <f t="shared" ca="1" si="22"/>
        <v>0</v>
      </c>
      <c r="AC25" s="105">
        <v>0</v>
      </c>
      <c r="AD25" s="105">
        <f ca="1">属性开关!$AB$33*COUNTIFS($B$3:$B$432,"*循环*",$L$3:$L$432,"&gt;0",$P$3:$P$432,"&gt;0",$R$3:$R$432,"&gt;0",$G$3:$G$432,"&gt;0")</f>
        <v>70</v>
      </c>
      <c r="AE25" s="105">
        <f t="shared" ca="1" si="23"/>
        <v>0.31818181818181818</v>
      </c>
      <c r="AF25" s="105">
        <f t="shared" ca="1" si="18"/>
        <v>0</v>
      </c>
      <c r="AG25" s="105">
        <f t="shared" ca="1" si="24"/>
        <v>0</v>
      </c>
    </row>
    <row r="26" spans="1:33" ht="15.6" x14ac:dyDescent="0.35">
      <c r="A26" s="105">
        <f t="shared" ca="1" si="0"/>
        <v>32.544999999999987</v>
      </c>
      <c r="B26" s="105" t="str">
        <f t="shared" ca="1" si="1"/>
        <v>渊任</v>
      </c>
      <c r="C26" s="105">
        <f t="shared" ca="1" si="2"/>
        <v>0</v>
      </c>
      <c r="D26" s="105">
        <f t="shared" ca="1" si="3"/>
        <v>2.040000000000016</v>
      </c>
      <c r="E26" s="105">
        <f t="shared" ca="1" si="4"/>
        <v>30.585000000000001</v>
      </c>
      <c r="F26" s="105">
        <f t="shared" ca="1" si="5"/>
        <v>0</v>
      </c>
      <c r="G26" s="105">
        <f t="shared" ca="1" si="16"/>
        <v>1</v>
      </c>
      <c r="H26" s="105">
        <f t="shared" ca="1" si="17"/>
        <v>28.04000000000002</v>
      </c>
      <c r="I26" s="105">
        <f t="shared" ca="1" si="6"/>
        <v>0</v>
      </c>
      <c r="J26" s="105">
        <f t="shared" ca="1" si="7"/>
        <v>0</v>
      </c>
      <c r="K26" s="105">
        <f t="shared" ca="1" si="8"/>
        <v>14.272500000000001</v>
      </c>
      <c r="L26" s="105">
        <f t="shared" ca="1" si="9"/>
        <v>1</v>
      </c>
      <c r="M26" s="105">
        <f t="shared" ca="1" si="10"/>
        <v>0</v>
      </c>
      <c r="N26" s="105">
        <f t="shared" ca="1" si="9"/>
        <v>0</v>
      </c>
      <c r="O26" s="105">
        <f t="shared" ca="1" si="11"/>
        <v>0</v>
      </c>
      <c r="P26" s="105">
        <f t="shared" ca="1" si="12"/>
        <v>0</v>
      </c>
      <c r="Q26" s="105">
        <f t="shared" ca="1" si="13"/>
        <v>8.5850000000000009</v>
      </c>
      <c r="R26" s="105">
        <f t="shared" ca="1" si="14"/>
        <v>1</v>
      </c>
      <c r="S26" s="105">
        <f t="shared" ca="1" si="15"/>
        <v>1</v>
      </c>
      <c r="U26" s="106" t="s">
        <v>288</v>
      </c>
      <c r="V26" s="105">
        <f ca="1">COUNTIFS($B$3:$B$432,"*循环*",$L$3:$L$432,"&gt;0",$P$3:$P$432,"&gt;0")-V25-V27</f>
        <v>40</v>
      </c>
      <c r="W26" s="107">
        <f ca="1">CHOOSE($V$11+1,V26/$V$17,AG26)</f>
        <v>0.18181818181818182</v>
      </c>
      <c r="X26" s="105">
        <f ca="1">COUNTIFS($B$3:$B$432,"*循环*",$N$3:$N$432,"&gt;0",$L$3:$L$432,IF(COUNTIF(U26,"*任*")&gt;0,"&gt;0","&gt;=0"),$P$3:$P$432,IF(COUNTIF(U26,"*雷*")&gt;0,"&gt;0","&gt;=0"),$R$3:$R$432,IF(COUNTIF(U26,"*渊*")&gt;0,"&gt;0","&gt;=0"))-X25</f>
        <v>0</v>
      </c>
      <c r="Y26" s="107">
        <f t="shared" ca="1" si="20"/>
        <v>0</v>
      </c>
      <c r="Z26" s="107">
        <f t="shared" ca="1" si="21"/>
        <v>0</v>
      </c>
      <c r="AA26" s="105">
        <v>0</v>
      </c>
      <c r="AB26" s="105">
        <f t="shared" ca="1" si="22"/>
        <v>0</v>
      </c>
      <c r="AC26" s="105">
        <f ca="1">AB23</f>
        <v>0</v>
      </c>
      <c r="AD26" s="105">
        <f ca="1">COUNTIFS($B$3:$B$432,"*循环*",$L$3:$L$432,"&gt;0",$P$3:$P$432,"&gt;0",$G$3:$G$432,"&gt;0")-AD25</f>
        <v>40</v>
      </c>
      <c r="AE26" s="105">
        <f t="shared" ca="1" si="23"/>
        <v>0.18181818181818182</v>
      </c>
      <c r="AF26" s="105">
        <f t="shared" ca="1" si="18"/>
        <v>0</v>
      </c>
      <c r="AG26" s="105">
        <f t="shared" ca="1" si="24"/>
        <v>0</v>
      </c>
    </row>
    <row r="27" spans="1:33" x14ac:dyDescent="0.35">
      <c r="A27" s="105">
        <f t="shared" ca="1" si="0"/>
        <v>33.959999999999987</v>
      </c>
      <c r="B27" s="105" t="str">
        <f t="shared" ca="1" si="1"/>
        <v>雷循环</v>
      </c>
      <c r="C27" s="105">
        <f t="shared" ca="1" si="2"/>
        <v>0</v>
      </c>
      <c r="D27" s="105">
        <f t="shared" ca="1" si="3"/>
        <v>0.62500000000001599</v>
      </c>
      <c r="E27" s="105">
        <f t="shared" ca="1" si="4"/>
        <v>29.17</v>
      </c>
      <c r="F27" s="105">
        <f t="shared" ca="1" si="5"/>
        <v>30.585000000000001</v>
      </c>
      <c r="G27" s="105">
        <f t="shared" ca="1" si="16"/>
        <v>1</v>
      </c>
      <c r="H27" s="105">
        <f t="shared" ca="1" si="17"/>
        <v>26.625000000000021</v>
      </c>
      <c r="I27" s="105">
        <f t="shared" ca="1" si="6"/>
        <v>0</v>
      </c>
      <c r="J27" s="105">
        <f t="shared" ca="1" si="7"/>
        <v>0</v>
      </c>
      <c r="K27" s="105">
        <f t="shared" ca="1" si="8"/>
        <v>12.857500000000002</v>
      </c>
      <c r="L27" s="105">
        <f t="shared" ca="1" si="9"/>
        <v>1</v>
      </c>
      <c r="M27" s="105">
        <f t="shared" ca="1" si="10"/>
        <v>0</v>
      </c>
      <c r="N27" s="105">
        <f t="shared" ca="1" si="9"/>
        <v>0</v>
      </c>
      <c r="O27" s="105">
        <f t="shared" ca="1" si="11"/>
        <v>13.585000000000001</v>
      </c>
      <c r="P27" s="105">
        <f t="shared" ca="1" si="12"/>
        <v>1</v>
      </c>
      <c r="Q27" s="105">
        <f t="shared" ca="1" si="13"/>
        <v>7.1700000000000008</v>
      </c>
      <c r="R27" s="105">
        <f t="shared" ca="1" si="14"/>
        <v>1</v>
      </c>
      <c r="S27" s="105">
        <f t="shared" ca="1" si="15"/>
        <v>2</v>
      </c>
      <c r="U27" s="105" t="s">
        <v>1507</v>
      </c>
      <c r="V27" s="105">
        <f ca="1">V14*10/7*V12/2</f>
        <v>0</v>
      </c>
    </row>
    <row r="28" spans="1:33" x14ac:dyDescent="0.35">
      <c r="A28" s="105">
        <f t="shared" ca="1" si="0"/>
        <v>35.374999999999986</v>
      </c>
      <c r="B28" s="105" t="str">
        <f t="shared" ca="1" si="1"/>
        <v>循环</v>
      </c>
      <c r="C28" s="105">
        <f t="shared" ca="1" si="2"/>
        <v>1</v>
      </c>
      <c r="D28" s="105">
        <f t="shared" ca="1" si="3"/>
        <v>35.210000000000015</v>
      </c>
      <c r="E28" s="105">
        <f t="shared" ca="1" si="4"/>
        <v>27.755000000000003</v>
      </c>
      <c r="F28" s="105">
        <f t="shared" ca="1" si="5"/>
        <v>29.17</v>
      </c>
      <c r="G28" s="105">
        <f t="shared" ca="1" si="16"/>
        <v>1</v>
      </c>
      <c r="H28" s="105">
        <f t="shared" ca="1" si="17"/>
        <v>25.210000000000022</v>
      </c>
      <c r="I28" s="105">
        <f t="shared" ca="1" si="6"/>
        <v>0</v>
      </c>
      <c r="J28" s="105">
        <f t="shared" ca="1" si="7"/>
        <v>0</v>
      </c>
      <c r="K28" s="105">
        <f t="shared" ca="1" si="8"/>
        <v>11.442500000000003</v>
      </c>
      <c r="L28" s="105">
        <f t="shared" ca="1" si="9"/>
        <v>1</v>
      </c>
      <c r="M28" s="105">
        <f t="shared" ca="1" si="10"/>
        <v>0</v>
      </c>
      <c r="N28" s="105">
        <f t="shared" ca="1" si="9"/>
        <v>0</v>
      </c>
      <c r="O28" s="105">
        <f t="shared" ca="1" si="11"/>
        <v>12.170000000000002</v>
      </c>
      <c r="P28" s="105">
        <f t="shared" ca="1" si="12"/>
        <v>1</v>
      </c>
      <c r="Q28" s="105">
        <f t="shared" ca="1" si="13"/>
        <v>5.7550000000000008</v>
      </c>
      <c r="R28" s="105">
        <f t="shared" ca="1" si="14"/>
        <v>1</v>
      </c>
      <c r="S28" s="105">
        <f t="shared" ca="1" si="15"/>
        <v>2</v>
      </c>
      <c r="V28" s="105">
        <f ca="1">SUM(R2:R635)</f>
        <v>80</v>
      </c>
    </row>
    <row r="29" spans="1:33" x14ac:dyDescent="0.35">
      <c r="A29" s="105">
        <f t="shared" ca="1" si="0"/>
        <v>36.789999999999985</v>
      </c>
      <c r="B29" s="105" t="str">
        <f t="shared" ca="1" si="1"/>
        <v>循环</v>
      </c>
      <c r="C29" s="105">
        <f t="shared" ca="1" si="2"/>
        <v>1</v>
      </c>
      <c r="D29" s="105">
        <f t="shared" ca="1" si="3"/>
        <v>33.795000000000016</v>
      </c>
      <c r="E29" s="105">
        <f t="shared" ca="1" si="4"/>
        <v>26.340000000000003</v>
      </c>
      <c r="F29" s="105">
        <f t="shared" ca="1" si="5"/>
        <v>27.755000000000003</v>
      </c>
      <c r="G29" s="105">
        <f t="shared" ca="1" si="16"/>
        <v>1</v>
      </c>
      <c r="H29" s="105">
        <f t="shared" ca="1" si="17"/>
        <v>23.795000000000023</v>
      </c>
      <c r="I29" s="105">
        <f t="shared" ca="1" si="6"/>
        <v>0</v>
      </c>
      <c r="J29" s="105">
        <f t="shared" ca="1" si="7"/>
        <v>0</v>
      </c>
      <c r="K29" s="105">
        <f t="shared" ca="1" si="8"/>
        <v>10.027500000000003</v>
      </c>
      <c r="L29" s="105">
        <f t="shared" ca="1" si="9"/>
        <v>1</v>
      </c>
      <c r="M29" s="105">
        <f t="shared" ca="1" si="10"/>
        <v>0</v>
      </c>
      <c r="N29" s="105">
        <f t="shared" ca="1" si="9"/>
        <v>0</v>
      </c>
      <c r="O29" s="105">
        <f t="shared" ca="1" si="11"/>
        <v>10.755000000000003</v>
      </c>
      <c r="P29" s="105">
        <f t="shared" ca="1" si="12"/>
        <v>1</v>
      </c>
      <c r="Q29" s="105">
        <f t="shared" ca="1" si="13"/>
        <v>4.3400000000000007</v>
      </c>
      <c r="R29" s="105">
        <f t="shared" ca="1" si="14"/>
        <v>1</v>
      </c>
      <c r="S29" s="105">
        <f t="shared" ca="1" si="15"/>
        <v>2</v>
      </c>
      <c r="V29" s="105">
        <f ca="1">SUM(P2:P635)</f>
        <v>110</v>
      </c>
    </row>
    <row r="30" spans="1:33" x14ac:dyDescent="0.35">
      <c r="A30" s="105">
        <f t="shared" ca="1" si="0"/>
        <v>38.204999999999984</v>
      </c>
      <c r="B30" s="105" t="str">
        <f t="shared" ca="1" si="1"/>
        <v>循环</v>
      </c>
      <c r="C30" s="105">
        <f t="shared" ca="1" si="2"/>
        <v>1</v>
      </c>
      <c r="D30" s="105">
        <f t="shared" ca="1" si="3"/>
        <v>32.380000000000017</v>
      </c>
      <c r="E30" s="105">
        <f t="shared" ca="1" si="4"/>
        <v>24.925000000000004</v>
      </c>
      <c r="F30" s="105">
        <f t="shared" ca="1" si="5"/>
        <v>26.340000000000003</v>
      </c>
      <c r="G30" s="105">
        <f t="shared" ca="1" si="16"/>
        <v>1</v>
      </c>
      <c r="H30" s="105">
        <f t="shared" ca="1" si="17"/>
        <v>22.380000000000024</v>
      </c>
      <c r="I30" s="105">
        <f t="shared" ca="1" si="6"/>
        <v>0</v>
      </c>
      <c r="J30" s="105">
        <f t="shared" ca="1" si="7"/>
        <v>0</v>
      </c>
      <c r="K30" s="105">
        <f t="shared" ca="1" si="8"/>
        <v>8.6125000000000043</v>
      </c>
      <c r="L30" s="105">
        <f t="shared" ca="1" si="9"/>
        <v>1</v>
      </c>
      <c r="M30" s="105">
        <f t="shared" ca="1" si="10"/>
        <v>0</v>
      </c>
      <c r="N30" s="105">
        <f t="shared" ca="1" si="9"/>
        <v>0</v>
      </c>
      <c r="O30" s="105">
        <f t="shared" ca="1" si="11"/>
        <v>9.3400000000000034</v>
      </c>
      <c r="P30" s="105">
        <f t="shared" ca="1" si="12"/>
        <v>1</v>
      </c>
      <c r="Q30" s="105">
        <f t="shared" ca="1" si="13"/>
        <v>2.9250000000000007</v>
      </c>
      <c r="R30" s="105">
        <f t="shared" ca="1" si="14"/>
        <v>1</v>
      </c>
      <c r="S30" s="105">
        <f t="shared" ca="1" si="15"/>
        <v>2</v>
      </c>
    </row>
    <row r="31" spans="1:33" x14ac:dyDescent="0.35">
      <c r="A31" s="105">
        <f t="shared" ca="1" si="0"/>
        <v>39.619999999999983</v>
      </c>
      <c r="B31" s="105" t="str">
        <f t="shared" ca="1" si="1"/>
        <v>循环</v>
      </c>
      <c r="C31" s="105">
        <f t="shared" ca="1" si="2"/>
        <v>1</v>
      </c>
      <c r="D31" s="105">
        <f t="shared" ca="1" si="3"/>
        <v>30.965000000000018</v>
      </c>
      <c r="E31" s="105">
        <f t="shared" ca="1" si="4"/>
        <v>23.510000000000005</v>
      </c>
      <c r="F31" s="105">
        <f t="shared" ca="1" si="5"/>
        <v>24.925000000000004</v>
      </c>
      <c r="G31" s="105">
        <f t="shared" ca="1" si="16"/>
        <v>1</v>
      </c>
      <c r="H31" s="105">
        <f t="shared" ca="1" si="17"/>
        <v>20.965000000000025</v>
      </c>
      <c r="I31" s="105">
        <f t="shared" ca="1" si="6"/>
        <v>0</v>
      </c>
      <c r="J31" s="105">
        <f t="shared" ca="1" si="7"/>
        <v>0</v>
      </c>
      <c r="K31" s="105">
        <f t="shared" ca="1" si="8"/>
        <v>7.1975000000000042</v>
      </c>
      <c r="L31" s="105">
        <f t="shared" ca="1" si="9"/>
        <v>1</v>
      </c>
      <c r="M31" s="105">
        <f t="shared" ca="1" si="10"/>
        <v>0</v>
      </c>
      <c r="N31" s="105">
        <f t="shared" ca="1" si="9"/>
        <v>0</v>
      </c>
      <c r="O31" s="105">
        <f t="shared" ca="1" si="11"/>
        <v>7.9250000000000034</v>
      </c>
      <c r="P31" s="105">
        <f t="shared" ca="1" si="12"/>
        <v>1</v>
      </c>
      <c r="Q31" s="105">
        <f t="shared" ca="1" si="13"/>
        <v>1.5100000000000007</v>
      </c>
      <c r="R31" s="105">
        <f t="shared" ca="1" si="14"/>
        <v>1</v>
      </c>
      <c r="S31" s="105">
        <f t="shared" ca="1" si="15"/>
        <v>2</v>
      </c>
    </row>
    <row r="32" spans="1:33" x14ac:dyDescent="0.35">
      <c r="A32" s="105">
        <f t="shared" ca="1" si="0"/>
        <v>41.034999999999982</v>
      </c>
      <c r="B32" s="105" t="str">
        <f t="shared" ca="1" si="1"/>
        <v>循环</v>
      </c>
      <c r="C32" s="105">
        <f t="shared" ca="1" si="2"/>
        <v>1</v>
      </c>
      <c r="D32" s="105">
        <f t="shared" ca="1" si="3"/>
        <v>29.550000000000018</v>
      </c>
      <c r="E32" s="105">
        <f t="shared" ca="1" si="4"/>
        <v>22.095000000000006</v>
      </c>
      <c r="F32" s="105">
        <f t="shared" ca="1" si="5"/>
        <v>23.510000000000005</v>
      </c>
      <c r="G32" s="105">
        <f t="shared" ca="1" si="16"/>
        <v>1</v>
      </c>
      <c r="H32" s="105">
        <f t="shared" ca="1" si="17"/>
        <v>19.550000000000026</v>
      </c>
      <c r="I32" s="105">
        <f t="shared" ca="1" si="6"/>
        <v>0</v>
      </c>
      <c r="J32" s="105">
        <f t="shared" ca="1" si="7"/>
        <v>0</v>
      </c>
      <c r="K32" s="105">
        <f t="shared" ca="1" si="8"/>
        <v>5.7825000000000042</v>
      </c>
      <c r="L32" s="105">
        <f t="shared" ca="1" si="9"/>
        <v>1</v>
      </c>
      <c r="M32" s="105">
        <f t="shared" ca="1" si="10"/>
        <v>0</v>
      </c>
      <c r="N32" s="105">
        <f t="shared" ca="1" si="9"/>
        <v>0</v>
      </c>
      <c r="O32" s="105">
        <f t="shared" ca="1" si="11"/>
        <v>6.5100000000000033</v>
      </c>
      <c r="P32" s="105">
        <f t="shared" ca="1" si="12"/>
        <v>1</v>
      </c>
      <c r="Q32" s="105">
        <f t="shared" ca="1" si="13"/>
        <v>9.5000000000000639E-2</v>
      </c>
      <c r="R32" s="105">
        <f t="shared" ca="1" si="14"/>
        <v>1</v>
      </c>
      <c r="S32" s="105">
        <f t="shared" ca="1" si="15"/>
        <v>2</v>
      </c>
    </row>
    <row r="33" spans="1:24" x14ac:dyDescent="0.35">
      <c r="A33" s="105">
        <f t="shared" ca="1" si="0"/>
        <v>42.449999999999982</v>
      </c>
      <c r="B33" s="105" t="str">
        <f t="shared" ca="1" si="1"/>
        <v>循环</v>
      </c>
      <c r="C33" s="105">
        <f t="shared" ca="1" si="2"/>
        <v>1</v>
      </c>
      <c r="D33" s="105">
        <f t="shared" ca="1" si="3"/>
        <v>28.135000000000019</v>
      </c>
      <c r="E33" s="105">
        <f t="shared" ca="1" si="4"/>
        <v>20.680000000000007</v>
      </c>
      <c r="F33" s="105">
        <f t="shared" ca="1" si="5"/>
        <v>22.095000000000006</v>
      </c>
      <c r="G33" s="105">
        <f t="shared" ca="1" si="16"/>
        <v>1</v>
      </c>
      <c r="H33" s="105">
        <f t="shared" ca="1" si="17"/>
        <v>18.135000000000026</v>
      </c>
      <c r="I33" s="105">
        <f t="shared" ca="1" si="6"/>
        <v>0</v>
      </c>
      <c r="J33" s="105">
        <f t="shared" ca="1" si="7"/>
        <v>0</v>
      </c>
      <c r="K33" s="105">
        <f t="shared" ca="1" si="8"/>
        <v>4.3675000000000042</v>
      </c>
      <c r="L33" s="105">
        <f t="shared" ca="1" si="9"/>
        <v>1</v>
      </c>
      <c r="M33" s="105">
        <f t="shared" ca="1" si="10"/>
        <v>0</v>
      </c>
      <c r="N33" s="105">
        <f t="shared" ca="1" si="9"/>
        <v>0</v>
      </c>
      <c r="O33" s="105">
        <f t="shared" ca="1" si="11"/>
        <v>5.0950000000000033</v>
      </c>
      <c r="P33" s="105">
        <f t="shared" ca="1" si="12"/>
        <v>1</v>
      </c>
      <c r="Q33" s="105">
        <f t="shared" ca="1" si="13"/>
        <v>0</v>
      </c>
      <c r="R33" s="105">
        <f t="shared" ca="1" si="14"/>
        <v>1</v>
      </c>
      <c r="S33" s="105">
        <f t="shared" ca="1" si="15"/>
        <v>2</v>
      </c>
      <c r="X33" s="125"/>
    </row>
    <row r="34" spans="1:24" x14ac:dyDescent="0.35">
      <c r="A34" s="105">
        <f t="shared" ca="1" si="0"/>
        <v>43.864999999999981</v>
      </c>
      <c r="B34" s="105" t="str">
        <f t="shared" ca="1" si="1"/>
        <v>循环</v>
      </c>
      <c r="C34" s="105">
        <f t="shared" ca="1" si="2"/>
        <v>1</v>
      </c>
      <c r="D34" s="105">
        <f t="shared" ca="1" si="3"/>
        <v>26.72000000000002</v>
      </c>
      <c r="E34" s="105">
        <f t="shared" ca="1" si="4"/>
        <v>19.265000000000008</v>
      </c>
      <c r="F34" s="105">
        <f t="shared" ca="1" si="5"/>
        <v>20.680000000000007</v>
      </c>
      <c r="G34" s="105">
        <f t="shared" ca="1" si="16"/>
        <v>1</v>
      </c>
      <c r="H34" s="105">
        <f t="shared" ca="1" si="17"/>
        <v>16.720000000000027</v>
      </c>
      <c r="I34" s="105">
        <f t="shared" ca="1" si="6"/>
        <v>0</v>
      </c>
      <c r="J34" s="105">
        <f t="shared" ca="1" si="7"/>
        <v>0</v>
      </c>
      <c r="K34" s="105">
        <f t="shared" ca="1" si="8"/>
        <v>2.9525000000000041</v>
      </c>
      <c r="L34" s="105">
        <f t="shared" ca="1" si="9"/>
        <v>1</v>
      </c>
      <c r="M34" s="105">
        <f t="shared" ca="1" si="10"/>
        <v>0</v>
      </c>
      <c r="N34" s="105">
        <f t="shared" ca="1" si="9"/>
        <v>0</v>
      </c>
      <c r="O34" s="105">
        <f t="shared" ca="1" si="11"/>
        <v>3.6800000000000033</v>
      </c>
      <c r="P34" s="105">
        <f t="shared" ca="1" si="12"/>
        <v>1</v>
      </c>
      <c r="Q34" s="105">
        <f t="shared" ca="1" si="13"/>
        <v>0</v>
      </c>
      <c r="R34" s="105">
        <f t="shared" ca="1" si="14"/>
        <v>0</v>
      </c>
      <c r="S34" s="105">
        <f t="shared" ca="1" si="15"/>
        <v>2</v>
      </c>
    </row>
    <row r="35" spans="1:24" x14ac:dyDescent="0.35">
      <c r="A35" s="105">
        <f t="shared" ca="1" si="0"/>
        <v>45.27999999999998</v>
      </c>
      <c r="B35" s="105" t="str">
        <f t="shared" ca="1" si="1"/>
        <v>循环</v>
      </c>
      <c r="C35" s="105">
        <f t="shared" ca="1" si="2"/>
        <v>1</v>
      </c>
      <c r="D35" s="105">
        <f t="shared" ca="1" si="3"/>
        <v>25.305000000000021</v>
      </c>
      <c r="E35" s="105">
        <f t="shared" ca="1" si="4"/>
        <v>17.850000000000009</v>
      </c>
      <c r="F35" s="105">
        <f t="shared" ca="1" si="5"/>
        <v>19.265000000000008</v>
      </c>
      <c r="G35" s="105">
        <f t="shared" ca="1" si="16"/>
        <v>1</v>
      </c>
      <c r="H35" s="105">
        <f t="shared" ca="1" si="17"/>
        <v>15.305000000000028</v>
      </c>
      <c r="I35" s="105">
        <f t="shared" ca="1" si="6"/>
        <v>0</v>
      </c>
      <c r="J35" s="105">
        <f t="shared" ca="1" si="7"/>
        <v>0</v>
      </c>
      <c r="K35" s="105">
        <f t="shared" ca="1" si="8"/>
        <v>1.5375000000000041</v>
      </c>
      <c r="L35" s="105">
        <f t="shared" ca="1" si="9"/>
        <v>1</v>
      </c>
      <c r="M35" s="105">
        <f t="shared" ca="1" si="10"/>
        <v>0</v>
      </c>
      <c r="N35" s="105">
        <f t="shared" ca="1" si="9"/>
        <v>0</v>
      </c>
      <c r="O35" s="105">
        <f t="shared" ca="1" si="11"/>
        <v>2.2650000000000032</v>
      </c>
      <c r="P35" s="105">
        <f t="shared" ca="1" si="12"/>
        <v>1</v>
      </c>
      <c r="Q35" s="105">
        <f t="shared" ca="1" si="13"/>
        <v>0</v>
      </c>
      <c r="R35" s="105">
        <f t="shared" ca="1" si="14"/>
        <v>0</v>
      </c>
      <c r="S35" s="105">
        <f t="shared" ca="1" si="15"/>
        <v>2</v>
      </c>
    </row>
    <row r="36" spans="1:24" x14ac:dyDescent="0.35">
      <c r="A36" s="105">
        <f t="shared" ca="1" si="0"/>
        <v>46.694999999999979</v>
      </c>
      <c r="B36" s="105" t="str">
        <f t="shared" ca="1" si="1"/>
        <v>循环</v>
      </c>
      <c r="C36" s="105">
        <f t="shared" ca="1" si="2"/>
        <v>1</v>
      </c>
      <c r="D36" s="105">
        <f t="shared" ca="1" si="3"/>
        <v>23.890000000000022</v>
      </c>
      <c r="E36" s="105">
        <f t="shared" ca="1" si="4"/>
        <v>16.435000000000009</v>
      </c>
      <c r="F36" s="105">
        <f t="shared" ca="1" si="5"/>
        <v>17.850000000000009</v>
      </c>
      <c r="G36" s="105">
        <f t="shared" ca="1" si="16"/>
        <v>1</v>
      </c>
      <c r="H36" s="105">
        <f t="shared" ca="1" si="17"/>
        <v>13.890000000000029</v>
      </c>
      <c r="I36" s="105">
        <f t="shared" ca="1" si="6"/>
        <v>0</v>
      </c>
      <c r="J36" s="105">
        <f t="shared" ca="1" si="7"/>
        <v>0</v>
      </c>
      <c r="K36" s="105">
        <f t="shared" ca="1" si="8"/>
        <v>0.12250000000000405</v>
      </c>
      <c r="L36" s="105">
        <f t="shared" ca="1" si="9"/>
        <v>1</v>
      </c>
      <c r="M36" s="105">
        <f t="shared" ca="1" si="10"/>
        <v>0</v>
      </c>
      <c r="N36" s="105">
        <f t="shared" ca="1" si="9"/>
        <v>0</v>
      </c>
      <c r="O36" s="105">
        <f t="shared" ca="1" si="11"/>
        <v>0.8500000000000032</v>
      </c>
      <c r="P36" s="105">
        <f t="shared" ca="1" si="12"/>
        <v>1</v>
      </c>
      <c r="Q36" s="105">
        <f t="shared" ca="1" si="13"/>
        <v>0</v>
      </c>
      <c r="R36" s="105">
        <f t="shared" ca="1" si="14"/>
        <v>0</v>
      </c>
      <c r="S36" s="105">
        <f t="shared" ca="1" si="15"/>
        <v>2</v>
      </c>
    </row>
    <row r="37" spans="1:24" x14ac:dyDescent="0.35">
      <c r="A37" s="105">
        <f t="shared" ca="1" si="0"/>
        <v>48.109999999999978</v>
      </c>
      <c r="B37" s="105" t="str">
        <f t="shared" ca="1" si="1"/>
        <v>循环</v>
      </c>
      <c r="C37" s="105">
        <f t="shared" ca="1" si="2"/>
        <v>1</v>
      </c>
      <c r="D37" s="105">
        <f t="shared" ca="1" si="3"/>
        <v>22.475000000000023</v>
      </c>
      <c r="E37" s="105">
        <f t="shared" ca="1" si="4"/>
        <v>15.02000000000001</v>
      </c>
      <c r="F37" s="105">
        <f t="shared" ca="1" si="5"/>
        <v>16.435000000000009</v>
      </c>
      <c r="G37" s="105">
        <f t="shared" ca="1" si="16"/>
        <v>1</v>
      </c>
      <c r="H37" s="105">
        <f t="shared" ca="1" si="17"/>
        <v>12.47500000000003</v>
      </c>
      <c r="I37" s="105">
        <f t="shared" ca="1" si="6"/>
        <v>0</v>
      </c>
      <c r="J37" s="105">
        <f t="shared" ca="1" si="7"/>
        <v>0</v>
      </c>
      <c r="K37" s="105">
        <f t="shared" ca="1" si="8"/>
        <v>0</v>
      </c>
      <c r="L37" s="105">
        <f t="shared" ca="1" si="9"/>
        <v>1</v>
      </c>
      <c r="M37" s="105">
        <f t="shared" ca="1" si="10"/>
        <v>0</v>
      </c>
      <c r="N37" s="105">
        <f t="shared" ca="1" si="9"/>
        <v>0</v>
      </c>
      <c r="O37" s="105">
        <f t="shared" ca="1" si="11"/>
        <v>0</v>
      </c>
      <c r="P37" s="105">
        <f t="shared" ca="1" si="12"/>
        <v>1</v>
      </c>
      <c r="Q37" s="105">
        <f t="shared" ca="1" si="13"/>
        <v>0</v>
      </c>
      <c r="R37" s="105">
        <f t="shared" ca="1" si="14"/>
        <v>0</v>
      </c>
      <c r="S37" s="105">
        <f t="shared" ca="1" si="15"/>
        <v>2</v>
      </c>
    </row>
    <row r="38" spans="1:24" x14ac:dyDescent="0.35">
      <c r="A38" s="105">
        <f t="shared" ca="1" si="0"/>
        <v>49.524999999999977</v>
      </c>
      <c r="B38" s="105" t="str">
        <f t="shared" ca="1" si="1"/>
        <v>循环</v>
      </c>
      <c r="C38" s="105">
        <f t="shared" ca="1" si="2"/>
        <v>1</v>
      </c>
      <c r="D38" s="105">
        <f t="shared" ca="1" si="3"/>
        <v>21.060000000000024</v>
      </c>
      <c r="E38" s="105">
        <f t="shared" ca="1" si="4"/>
        <v>13.605000000000011</v>
      </c>
      <c r="F38" s="105">
        <f t="shared" ca="1" si="5"/>
        <v>15.02000000000001</v>
      </c>
      <c r="G38" s="105">
        <f t="shared" ca="1" si="16"/>
        <v>1</v>
      </c>
      <c r="H38" s="105">
        <f t="shared" ca="1" si="17"/>
        <v>11.060000000000031</v>
      </c>
      <c r="I38" s="105">
        <f t="shared" ca="1" si="6"/>
        <v>0</v>
      </c>
      <c r="J38" s="105">
        <f t="shared" ca="1" si="7"/>
        <v>0</v>
      </c>
      <c r="K38" s="105">
        <f t="shared" ca="1" si="8"/>
        <v>0</v>
      </c>
      <c r="L38" s="105">
        <f t="shared" ca="1" si="9"/>
        <v>0</v>
      </c>
      <c r="M38" s="105">
        <f t="shared" ca="1" si="10"/>
        <v>0</v>
      </c>
      <c r="N38" s="105">
        <f t="shared" ca="1" si="9"/>
        <v>0</v>
      </c>
      <c r="O38" s="105">
        <f t="shared" ca="1" si="11"/>
        <v>0</v>
      </c>
      <c r="P38" s="105">
        <f t="shared" ca="1" si="12"/>
        <v>0</v>
      </c>
      <c r="Q38" s="105">
        <f t="shared" ca="1" si="13"/>
        <v>0</v>
      </c>
      <c r="R38" s="105">
        <f t="shared" ca="1" si="14"/>
        <v>0</v>
      </c>
      <c r="S38" s="105">
        <f t="shared" ca="1" si="15"/>
        <v>2</v>
      </c>
    </row>
    <row r="39" spans="1:24" x14ac:dyDescent="0.35">
      <c r="A39" s="105">
        <f t="shared" ca="1" si="0"/>
        <v>50.939999999999976</v>
      </c>
      <c r="B39" s="105" t="str">
        <f t="shared" ca="1" si="1"/>
        <v>循环</v>
      </c>
      <c r="C39" s="105">
        <f t="shared" ca="1" si="2"/>
        <v>1</v>
      </c>
      <c r="D39" s="105">
        <f t="shared" ca="1" si="3"/>
        <v>19.645000000000024</v>
      </c>
      <c r="E39" s="105">
        <f t="shared" ca="1" si="4"/>
        <v>12.190000000000012</v>
      </c>
      <c r="F39" s="105">
        <f t="shared" ca="1" si="5"/>
        <v>13.605000000000011</v>
      </c>
      <c r="G39" s="105">
        <f t="shared" ca="1" si="16"/>
        <v>1</v>
      </c>
      <c r="H39" s="105">
        <f t="shared" ca="1" si="17"/>
        <v>9.6450000000000315</v>
      </c>
      <c r="I39" s="105">
        <f t="shared" ca="1" si="6"/>
        <v>0</v>
      </c>
      <c r="J39" s="105">
        <f t="shared" ca="1" si="7"/>
        <v>0</v>
      </c>
      <c r="K39" s="105">
        <f t="shared" ca="1" si="8"/>
        <v>0</v>
      </c>
      <c r="L39" s="105">
        <f t="shared" ca="1" si="9"/>
        <v>0</v>
      </c>
      <c r="M39" s="105">
        <f t="shared" ca="1" si="10"/>
        <v>0</v>
      </c>
      <c r="N39" s="105">
        <f t="shared" ca="1" si="9"/>
        <v>0</v>
      </c>
      <c r="O39" s="105">
        <f t="shared" ca="1" si="11"/>
        <v>0</v>
      </c>
      <c r="P39" s="105">
        <f t="shared" ca="1" si="12"/>
        <v>0</v>
      </c>
      <c r="Q39" s="105">
        <f t="shared" ca="1" si="13"/>
        <v>0</v>
      </c>
      <c r="R39" s="105">
        <f t="shared" ca="1" si="14"/>
        <v>0</v>
      </c>
      <c r="S39" s="105">
        <f t="shared" ca="1" si="15"/>
        <v>2</v>
      </c>
    </row>
    <row r="40" spans="1:24" x14ac:dyDescent="0.35">
      <c r="A40" s="105">
        <f t="shared" ca="1" si="0"/>
        <v>52.354999999999976</v>
      </c>
      <c r="B40" s="105" t="str">
        <f t="shared" ca="1" si="1"/>
        <v>循环</v>
      </c>
      <c r="C40" s="105">
        <f t="shared" ca="1" si="2"/>
        <v>1</v>
      </c>
      <c r="D40" s="105">
        <f t="shared" ca="1" si="3"/>
        <v>18.230000000000025</v>
      </c>
      <c r="E40" s="105">
        <f t="shared" ca="1" si="4"/>
        <v>10.775000000000013</v>
      </c>
      <c r="F40" s="105">
        <f t="shared" ca="1" si="5"/>
        <v>12.190000000000012</v>
      </c>
      <c r="G40" s="105">
        <f t="shared" ca="1" si="16"/>
        <v>1</v>
      </c>
      <c r="H40" s="105">
        <f t="shared" ca="1" si="17"/>
        <v>8.2300000000000324</v>
      </c>
      <c r="I40" s="105">
        <f t="shared" ca="1" si="6"/>
        <v>0</v>
      </c>
      <c r="J40" s="105">
        <f t="shared" ca="1" si="7"/>
        <v>0</v>
      </c>
      <c r="K40" s="105">
        <f t="shared" ca="1" si="8"/>
        <v>0</v>
      </c>
      <c r="L40" s="105">
        <f t="shared" ca="1" si="9"/>
        <v>0</v>
      </c>
      <c r="M40" s="105">
        <f t="shared" ca="1" si="10"/>
        <v>0</v>
      </c>
      <c r="N40" s="105">
        <f t="shared" ca="1" si="9"/>
        <v>0</v>
      </c>
      <c r="O40" s="105">
        <f t="shared" ca="1" si="11"/>
        <v>0</v>
      </c>
      <c r="P40" s="105">
        <f t="shared" ca="1" si="12"/>
        <v>0</v>
      </c>
      <c r="Q40" s="105">
        <f t="shared" ca="1" si="13"/>
        <v>0</v>
      </c>
      <c r="R40" s="105">
        <f t="shared" ca="1" si="14"/>
        <v>0</v>
      </c>
      <c r="S40" s="105">
        <f t="shared" ca="1" si="15"/>
        <v>2</v>
      </c>
    </row>
    <row r="41" spans="1:24" x14ac:dyDescent="0.35">
      <c r="A41" s="105">
        <f t="shared" ca="1" si="0"/>
        <v>53.769999999999975</v>
      </c>
      <c r="B41" s="105" t="str">
        <f t="shared" ca="1" si="1"/>
        <v>循环</v>
      </c>
      <c r="C41" s="105">
        <f t="shared" ca="1" si="2"/>
        <v>1</v>
      </c>
      <c r="D41" s="105">
        <f t="shared" ca="1" si="3"/>
        <v>16.815000000000026</v>
      </c>
      <c r="E41" s="105">
        <f t="shared" ca="1" si="4"/>
        <v>9.3600000000000136</v>
      </c>
      <c r="F41" s="105">
        <f t="shared" ca="1" si="5"/>
        <v>10.775000000000013</v>
      </c>
      <c r="G41" s="105">
        <f t="shared" ca="1" si="16"/>
        <v>1</v>
      </c>
      <c r="H41" s="105">
        <f t="shared" ca="1" si="17"/>
        <v>6.8150000000000324</v>
      </c>
      <c r="I41" s="105">
        <f t="shared" ca="1" si="6"/>
        <v>0</v>
      </c>
      <c r="J41" s="105">
        <f t="shared" ca="1" si="7"/>
        <v>0</v>
      </c>
      <c r="K41" s="105">
        <f t="shared" ca="1" si="8"/>
        <v>0</v>
      </c>
      <c r="L41" s="105">
        <f t="shared" ca="1" si="9"/>
        <v>0</v>
      </c>
      <c r="M41" s="105">
        <f t="shared" ca="1" si="10"/>
        <v>0</v>
      </c>
      <c r="N41" s="105">
        <f t="shared" ca="1" si="9"/>
        <v>0</v>
      </c>
      <c r="O41" s="105">
        <f t="shared" ca="1" si="11"/>
        <v>0</v>
      </c>
      <c r="P41" s="105">
        <f t="shared" ca="1" si="12"/>
        <v>0</v>
      </c>
      <c r="Q41" s="105">
        <f t="shared" ca="1" si="13"/>
        <v>0</v>
      </c>
      <c r="R41" s="105">
        <f t="shared" ca="1" si="14"/>
        <v>0</v>
      </c>
      <c r="S41" s="105">
        <f t="shared" ca="1" si="15"/>
        <v>2</v>
      </c>
    </row>
    <row r="42" spans="1:24" x14ac:dyDescent="0.35">
      <c r="A42" s="105">
        <f t="shared" ca="1" si="0"/>
        <v>55.184999999999974</v>
      </c>
      <c r="B42" s="105" t="str">
        <f t="shared" ca="1" si="1"/>
        <v>循环</v>
      </c>
      <c r="C42" s="105">
        <f t="shared" ca="1" si="2"/>
        <v>1</v>
      </c>
      <c r="D42" s="105">
        <f t="shared" ca="1" si="3"/>
        <v>15.400000000000027</v>
      </c>
      <c r="E42" s="105">
        <f t="shared" ca="1" si="4"/>
        <v>7.9450000000000136</v>
      </c>
      <c r="F42" s="105">
        <f t="shared" ca="1" si="5"/>
        <v>9.3600000000000136</v>
      </c>
      <c r="G42" s="105">
        <f t="shared" ca="1" si="16"/>
        <v>1</v>
      </c>
      <c r="H42" s="105">
        <f t="shared" ca="1" si="17"/>
        <v>5.4000000000000323</v>
      </c>
      <c r="I42" s="105">
        <f t="shared" ca="1" si="6"/>
        <v>0</v>
      </c>
      <c r="J42" s="105">
        <f t="shared" ca="1" si="7"/>
        <v>0</v>
      </c>
      <c r="K42" s="105">
        <f t="shared" ca="1" si="8"/>
        <v>0</v>
      </c>
      <c r="L42" s="105">
        <f t="shared" ca="1" si="9"/>
        <v>0</v>
      </c>
      <c r="M42" s="105">
        <f t="shared" ca="1" si="10"/>
        <v>0</v>
      </c>
      <c r="N42" s="105">
        <f t="shared" ca="1" si="9"/>
        <v>0</v>
      </c>
      <c r="O42" s="105">
        <f t="shared" ca="1" si="11"/>
        <v>0</v>
      </c>
      <c r="P42" s="105">
        <f t="shared" ca="1" si="12"/>
        <v>0</v>
      </c>
      <c r="Q42" s="105">
        <f t="shared" ca="1" si="13"/>
        <v>0</v>
      </c>
      <c r="R42" s="105">
        <f t="shared" ca="1" si="14"/>
        <v>0</v>
      </c>
      <c r="S42" s="105">
        <f t="shared" ca="1" si="15"/>
        <v>2</v>
      </c>
    </row>
    <row r="43" spans="1:24" x14ac:dyDescent="0.35">
      <c r="A43" s="105">
        <f t="shared" ca="1" si="0"/>
        <v>56.599999999999973</v>
      </c>
      <c r="B43" s="105" t="str">
        <f t="shared" ca="1" si="1"/>
        <v>循环</v>
      </c>
      <c r="C43" s="105">
        <f t="shared" ca="1" si="2"/>
        <v>1</v>
      </c>
      <c r="D43" s="105">
        <f t="shared" ca="1" si="3"/>
        <v>13.985000000000028</v>
      </c>
      <c r="E43" s="105">
        <f t="shared" ca="1" si="4"/>
        <v>6.5300000000000136</v>
      </c>
      <c r="F43" s="105">
        <f t="shared" ca="1" si="5"/>
        <v>7.9450000000000136</v>
      </c>
      <c r="G43" s="105">
        <f t="shared" ca="1" si="16"/>
        <v>1</v>
      </c>
      <c r="H43" s="105">
        <f t="shared" ca="1" si="17"/>
        <v>3.9850000000000323</v>
      </c>
      <c r="I43" s="105">
        <f t="shared" ca="1" si="6"/>
        <v>0</v>
      </c>
      <c r="J43" s="105">
        <f t="shared" ca="1" si="7"/>
        <v>0</v>
      </c>
      <c r="K43" s="105">
        <f t="shared" ca="1" si="8"/>
        <v>0</v>
      </c>
      <c r="L43" s="105">
        <f t="shared" ca="1" si="9"/>
        <v>0</v>
      </c>
      <c r="M43" s="105">
        <f t="shared" ca="1" si="10"/>
        <v>0</v>
      </c>
      <c r="N43" s="105">
        <f t="shared" ca="1" si="9"/>
        <v>0</v>
      </c>
      <c r="O43" s="105">
        <f t="shared" ca="1" si="11"/>
        <v>0</v>
      </c>
      <c r="P43" s="105">
        <f t="shared" ca="1" si="12"/>
        <v>0</v>
      </c>
      <c r="Q43" s="105">
        <f t="shared" ca="1" si="13"/>
        <v>0</v>
      </c>
      <c r="R43" s="105">
        <f t="shared" ca="1" si="14"/>
        <v>0</v>
      </c>
      <c r="S43" s="105">
        <f t="shared" ca="1" si="15"/>
        <v>2</v>
      </c>
    </row>
    <row r="44" spans="1:24" x14ac:dyDescent="0.35">
      <c r="A44" s="105">
        <f t="shared" ca="1" si="0"/>
        <v>58.014999999999972</v>
      </c>
      <c r="B44" s="105" t="str">
        <f t="shared" ca="1" si="1"/>
        <v>循环</v>
      </c>
      <c r="C44" s="105">
        <f t="shared" ca="1" si="2"/>
        <v>1</v>
      </c>
      <c r="D44" s="105">
        <f t="shared" ca="1" si="3"/>
        <v>12.570000000000029</v>
      </c>
      <c r="E44" s="105">
        <f t="shared" ca="1" si="4"/>
        <v>5.1150000000000135</v>
      </c>
      <c r="F44" s="105">
        <f t="shared" ca="1" si="5"/>
        <v>6.5300000000000136</v>
      </c>
      <c r="G44" s="105">
        <f t="shared" ca="1" si="16"/>
        <v>1</v>
      </c>
      <c r="H44" s="105">
        <f t="shared" ca="1" si="17"/>
        <v>2.5700000000000323</v>
      </c>
      <c r="I44" s="105">
        <f t="shared" ca="1" si="6"/>
        <v>0</v>
      </c>
      <c r="J44" s="105">
        <f t="shared" ca="1" si="7"/>
        <v>0</v>
      </c>
      <c r="K44" s="105">
        <f t="shared" ca="1" si="8"/>
        <v>0</v>
      </c>
      <c r="L44" s="105">
        <f t="shared" ca="1" si="9"/>
        <v>0</v>
      </c>
      <c r="M44" s="105">
        <f t="shared" ca="1" si="10"/>
        <v>0</v>
      </c>
      <c r="N44" s="105">
        <f t="shared" ca="1" si="9"/>
        <v>0</v>
      </c>
      <c r="O44" s="105">
        <f t="shared" ca="1" si="11"/>
        <v>0</v>
      </c>
      <c r="P44" s="105">
        <f t="shared" ca="1" si="12"/>
        <v>0</v>
      </c>
      <c r="Q44" s="105">
        <f t="shared" ca="1" si="13"/>
        <v>0</v>
      </c>
      <c r="R44" s="105">
        <f t="shared" ca="1" si="14"/>
        <v>0</v>
      </c>
      <c r="S44" s="105">
        <f t="shared" ca="1" si="15"/>
        <v>2</v>
      </c>
    </row>
    <row r="45" spans="1:24" x14ac:dyDescent="0.35">
      <c r="A45" s="105">
        <f t="shared" ca="1" si="0"/>
        <v>59.429999999999971</v>
      </c>
      <c r="B45" s="105" t="str">
        <f t="shared" ca="1" si="1"/>
        <v>循环</v>
      </c>
      <c r="C45" s="105">
        <f t="shared" ca="1" si="2"/>
        <v>1</v>
      </c>
      <c r="D45" s="105">
        <f t="shared" ca="1" si="3"/>
        <v>11.15500000000003</v>
      </c>
      <c r="E45" s="105">
        <f t="shared" ca="1" si="4"/>
        <v>3.7000000000000135</v>
      </c>
      <c r="F45" s="105">
        <f t="shared" ca="1" si="5"/>
        <v>5.1150000000000135</v>
      </c>
      <c r="G45" s="105">
        <f t="shared" ca="1" si="16"/>
        <v>1</v>
      </c>
      <c r="H45" s="105">
        <f t="shared" ca="1" si="17"/>
        <v>1.1550000000000322</v>
      </c>
      <c r="I45" s="105">
        <f t="shared" ca="1" si="6"/>
        <v>0</v>
      </c>
      <c r="J45" s="105">
        <f t="shared" ca="1" si="7"/>
        <v>0</v>
      </c>
      <c r="K45" s="105">
        <f t="shared" ca="1" si="8"/>
        <v>0</v>
      </c>
      <c r="L45" s="105">
        <f t="shared" ca="1" si="9"/>
        <v>0</v>
      </c>
      <c r="M45" s="105">
        <f t="shared" ca="1" si="10"/>
        <v>0</v>
      </c>
      <c r="N45" s="105">
        <f t="shared" ca="1" si="9"/>
        <v>0</v>
      </c>
      <c r="O45" s="105">
        <f t="shared" ca="1" si="11"/>
        <v>0</v>
      </c>
      <c r="P45" s="105">
        <f t="shared" ca="1" si="12"/>
        <v>0</v>
      </c>
      <c r="Q45" s="105">
        <f t="shared" ca="1" si="13"/>
        <v>0</v>
      </c>
      <c r="R45" s="105">
        <f t="shared" ca="1" si="14"/>
        <v>0</v>
      </c>
      <c r="S45" s="105">
        <f t="shared" ca="1" si="15"/>
        <v>2</v>
      </c>
    </row>
    <row r="46" spans="1:24" x14ac:dyDescent="0.35">
      <c r="A46" s="105">
        <f t="shared" ca="1" si="0"/>
        <v>60.84499999999997</v>
      </c>
      <c r="B46" s="105" t="str">
        <f t="shared" ca="1" si="1"/>
        <v>循环</v>
      </c>
      <c r="C46" s="105">
        <f t="shared" ca="1" si="2"/>
        <v>1</v>
      </c>
      <c r="D46" s="105">
        <f t="shared" ca="1" si="3"/>
        <v>9.7400000000000304</v>
      </c>
      <c r="E46" s="105">
        <f t="shared" ca="1" si="4"/>
        <v>2.2850000000000135</v>
      </c>
      <c r="F46" s="105">
        <f t="shared" ca="1" si="5"/>
        <v>3.7000000000000135</v>
      </c>
      <c r="G46" s="105">
        <f t="shared" ca="1" si="16"/>
        <v>1</v>
      </c>
      <c r="H46" s="105">
        <f t="shared" ca="1" si="17"/>
        <v>0</v>
      </c>
      <c r="I46" s="105">
        <f t="shared" ca="1" si="6"/>
        <v>0</v>
      </c>
      <c r="J46" s="105">
        <f t="shared" ca="1" si="7"/>
        <v>0</v>
      </c>
      <c r="K46" s="105">
        <f t="shared" ca="1" si="8"/>
        <v>0</v>
      </c>
      <c r="L46" s="105">
        <f t="shared" ca="1" si="9"/>
        <v>0</v>
      </c>
      <c r="M46" s="105">
        <f t="shared" ca="1" si="10"/>
        <v>0</v>
      </c>
      <c r="N46" s="105">
        <f t="shared" ca="1" si="9"/>
        <v>0</v>
      </c>
      <c r="O46" s="105">
        <f t="shared" ca="1" si="11"/>
        <v>0</v>
      </c>
      <c r="P46" s="105">
        <f t="shared" ca="1" si="12"/>
        <v>0</v>
      </c>
      <c r="Q46" s="105">
        <f t="shared" ca="1" si="13"/>
        <v>0</v>
      </c>
      <c r="R46" s="105">
        <f t="shared" ca="1" si="14"/>
        <v>0</v>
      </c>
      <c r="S46" s="105">
        <f t="shared" ca="1" si="15"/>
        <v>2</v>
      </c>
    </row>
    <row r="47" spans="1:24" x14ac:dyDescent="0.35">
      <c r="A47" s="105">
        <f t="shared" ca="1" si="0"/>
        <v>62.25999999999997</v>
      </c>
      <c r="B47" s="105" t="str">
        <f t="shared" ca="1" si="1"/>
        <v>循环</v>
      </c>
      <c r="C47" s="105">
        <f t="shared" ca="1" si="2"/>
        <v>1</v>
      </c>
      <c r="D47" s="105">
        <f t="shared" ca="1" si="3"/>
        <v>8.3250000000000313</v>
      </c>
      <c r="E47" s="105">
        <f t="shared" ca="1" si="4"/>
        <v>0.87000000000001343</v>
      </c>
      <c r="F47" s="105">
        <f t="shared" ca="1" si="5"/>
        <v>2.2850000000000135</v>
      </c>
      <c r="G47" s="105">
        <f t="shared" ca="1" si="16"/>
        <v>0</v>
      </c>
      <c r="H47" s="105">
        <f t="shared" ca="1" si="17"/>
        <v>0</v>
      </c>
      <c r="I47" s="105">
        <f t="shared" ca="1" si="6"/>
        <v>0</v>
      </c>
      <c r="J47" s="105">
        <f t="shared" ca="1" si="7"/>
        <v>0</v>
      </c>
      <c r="K47" s="105">
        <f t="shared" ca="1" si="8"/>
        <v>0</v>
      </c>
      <c r="L47" s="105">
        <f t="shared" ca="1" si="9"/>
        <v>0</v>
      </c>
      <c r="M47" s="105">
        <f t="shared" ca="1" si="10"/>
        <v>0</v>
      </c>
      <c r="N47" s="105">
        <f t="shared" ca="1" si="9"/>
        <v>0</v>
      </c>
      <c r="O47" s="105">
        <f t="shared" ca="1" si="11"/>
        <v>0</v>
      </c>
      <c r="P47" s="105">
        <f t="shared" ca="1" si="12"/>
        <v>0</v>
      </c>
      <c r="Q47" s="105">
        <f t="shared" ca="1" si="13"/>
        <v>0</v>
      </c>
      <c r="R47" s="105">
        <f t="shared" ca="1" si="14"/>
        <v>0</v>
      </c>
      <c r="S47" s="105">
        <f t="shared" ca="1" si="15"/>
        <v>2</v>
      </c>
    </row>
    <row r="48" spans="1:24" x14ac:dyDescent="0.35">
      <c r="A48" s="105">
        <f t="shared" ca="1" si="0"/>
        <v>63.674999999999969</v>
      </c>
      <c r="B48" s="105" t="str">
        <f t="shared" ca="1" si="1"/>
        <v>突循环</v>
      </c>
      <c r="C48" s="105">
        <f t="shared" ca="1" si="2"/>
        <v>1</v>
      </c>
      <c r="D48" s="105">
        <f t="shared" ca="1" si="3"/>
        <v>6.9100000000000312</v>
      </c>
      <c r="E48" s="105">
        <f t="shared" ca="1" si="4"/>
        <v>0</v>
      </c>
      <c r="F48" s="105">
        <f t="shared" ca="1" si="5"/>
        <v>0.87000000000001343</v>
      </c>
      <c r="G48" s="105">
        <f t="shared" ca="1" si="16"/>
        <v>0</v>
      </c>
      <c r="H48" s="105">
        <f t="shared" ca="1" si="17"/>
        <v>60.585000000000001</v>
      </c>
      <c r="I48" s="105">
        <f t="shared" ca="1" si="6"/>
        <v>0</v>
      </c>
      <c r="J48" s="105">
        <f t="shared" ca="1" si="7"/>
        <v>0</v>
      </c>
      <c r="K48" s="105">
        <f t="shared" ca="1" si="8"/>
        <v>0</v>
      </c>
      <c r="L48" s="105">
        <f t="shared" ca="1" si="9"/>
        <v>0</v>
      </c>
      <c r="M48" s="105">
        <f t="shared" ca="1" si="10"/>
        <v>0</v>
      </c>
      <c r="N48" s="105">
        <f t="shared" ca="1" si="9"/>
        <v>0</v>
      </c>
      <c r="O48" s="105">
        <f t="shared" ca="1" si="11"/>
        <v>0</v>
      </c>
      <c r="P48" s="105">
        <f t="shared" ca="1" si="12"/>
        <v>0</v>
      </c>
      <c r="Q48" s="105">
        <f t="shared" ca="1" si="13"/>
        <v>0</v>
      </c>
      <c r="R48" s="105">
        <f t="shared" ca="1" si="14"/>
        <v>0</v>
      </c>
      <c r="S48" s="105">
        <f t="shared" ca="1" si="15"/>
        <v>2</v>
      </c>
    </row>
    <row r="49" spans="1:19" x14ac:dyDescent="0.35">
      <c r="A49" s="105">
        <f t="shared" ca="1" si="0"/>
        <v>65.089999999999975</v>
      </c>
      <c r="B49" s="105" t="str">
        <f ca="1">IF(AND(A48&gt;$X$1,P48=0,R48=0),0,IF(AND(G48=0,H48=0),"突","")&amp;IF($V$8=0,IF(AND(OR($V$13=0,AND(K48=0,C48&lt;1),AND(K48&gt;0,OR(M48&gt;0,$V$7=0))),$V$6=1,E48=0),"渊","")&amp;IF(AND(OR($V$13=0,AND(K48=0,C48&lt;1),AND(K48&gt;0,OR(M48&gt;0,$V$7=0))),F48=0),"雷","")&amp;IF(AND(C48&gt;0,$V$13=1,E48=0,F48=0,K48=0),"任",IF(AND(G48=1,$V$7=1,I48=0),"乘","循环")),IF(AND($V$6=1,E48=0),"渊","")&amp;IF(AND(OR($V$13=0,AND(K48=0,C48&lt;1),AND(K48&gt;0,OR(M48&gt;0,$V$7=0))),F48=0),"雷","")&amp;IF(AND(C48&gt;0,L48=0,E48=0),"任",IF(AND(G48=1,$V$7=1,I48=0),"乘","循环"))))</f>
        <v>渊任</v>
      </c>
      <c r="C49" s="105">
        <f t="shared" ca="1" si="2"/>
        <v>0</v>
      </c>
      <c r="D49" s="105">
        <f t="shared" ca="1" si="3"/>
        <v>5.4950000000000312</v>
      </c>
      <c r="E49" s="105">
        <f t="shared" ca="1" si="4"/>
        <v>30.585000000000001</v>
      </c>
      <c r="F49" s="105">
        <f t="shared" ca="1" si="5"/>
        <v>0</v>
      </c>
      <c r="G49" s="105">
        <f t="shared" ca="1" si="16"/>
        <v>1</v>
      </c>
      <c r="H49" s="105">
        <f t="shared" ca="1" si="17"/>
        <v>59.17</v>
      </c>
      <c r="I49" s="105">
        <f t="shared" ca="1" si="6"/>
        <v>0</v>
      </c>
      <c r="J49" s="105">
        <f t="shared" ca="1" si="7"/>
        <v>0</v>
      </c>
      <c r="K49" s="105">
        <f t="shared" ca="1" si="8"/>
        <v>14.272500000000001</v>
      </c>
      <c r="L49" s="105">
        <f t="shared" ca="1" si="9"/>
        <v>1</v>
      </c>
      <c r="M49" s="105">
        <f t="shared" ca="1" si="10"/>
        <v>0</v>
      </c>
      <c r="N49" s="105">
        <f t="shared" ca="1" si="9"/>
        <v>0</v>
      </c>
      <c r="O49" s="105">
        <f t="shared" ca="1" si="11"/>
        <v>0</v>
      </c>
      <c r="P49" s="105">
        <f t="shared" ca="1" si="12"/>
        <v>0</v>
      </c>
      <c r="Q49" s="105">
        <f t="shared" ca="1" si="13"/>
        <v>8.5850000000000009</v>
      </c>
      <c r="R49" s="105">
        <f t="shared" ca="1" si="14"/>
        <v>1</v>
      </c>
      <c r="S49" s="105">
        <f t="shared" ca="1" si="15"/>
        <v>2</v>
      </c>
    </row>
    <row r="50" spans="1:19" x14ac:dyDescent="0.35">
      <c r="A50" s="105">
        <f t="shared" ca="1" si="0"/>
        <v>66.504999999999981</v>
      </c>
      <c r="B50" s="105" t="str">
        <f t="shared" ca="1" si="1"/>
        <v>雷循环</v>
      </c>
      <c r="C50" s="105">
        <f t="shared" ca="1" si="2"/>
        <v>0</v>
      </c>
      <c r="D50" s="105">
        <f t="shared" ca="1" si="3"/>
        <v>4.0800000000000312</v>
      </c>
      <c r="E50" s="105">
        <f t="shared" ca="1" si="4"/>
        <v>29.17</v>
      </c>
      <c r="F50" s="105">
        <f t="shared" ca="1" si="5"/>
        <v>30.585000000000001</v>
      </c>
      <c r="G50" s="105">
        <f t="shared" ca="1" si="16"/>
        <v>1</v>
      </c>
      <c r="H50" s="105">
        <f t="shared" ca="1" si="17"/>
        <v>57.755000000000003</v>
      </c>
      <c r="I50" s="105">
        <f t="shared" ca="1" si="6"/>
        <v>0</v>
      </c>
      <c r="J50" s="105">
        <f t="shared" ca="1" si="7"/>
        <v>0</v>
      </c>
      <c r="K50" s="105">
        <f t="shared" ca="1" si="8"/>
        <v>12.857500000000002</v>
      </c>
      <c r="L50" s="105">
        <f t="shared" ca="1" si="9"/>
        <v>1</v>
      </c>
      <c r="M50" s="105">
        <f t="shared" ca="1" si="10"/>
        <v>0</v>
      </c>
      <c r="N50" s="105">
        <f t="shared" ca="1" si="9"/>
        <v>0</v>
      </c>
      <c r="O50" s="105">
        <f t="shared" ca="1" si="11"/>
        <v>13.585000000000001</v>
      </c>
      <c r="P50" s="105">
        <f t="shared" ca="1" si="12"/>
        <v>1</v>
      </c>
      <c r="Q50" s="105">
        <f t="shared" ca="1" si="13"/>
        <v>7.1700000000000008</v>
      </c>
      <c r="R50" s="105">
        <f t="shared" ca="1" si="14"/>
        <v>1</v>
      </c>
      <c r="S50" s="105">
        <f t="shared" ca="1" si="15"/>
        <v>3</v>
      </c>
    </row>
    <row r="51" spans="1:19" x14ac:dyDescent="0.35">
      <c r="A51" s="105">
        <f t="shared" ca="1" si="0"/>
        <v>67.919999999999987</v>
      </c>
      <c r="B51" s="105" t="str">
        <f t="shared" ca="1" si="1"/>
        <v>循环</v>
      </c>
      <c r="C51" s="105">
        <f t="shared" ca="1" si="2"/>
        <v>0</v>
      </c>
      <c r="D51" s="105">
        <f t="shared" ca="1" si="3"/>
        <v>2.6650000000000311</v>
      </c>
      <c r="E51" s="105">
        <f t="shared" ca="1" si="4"/>
        <v>27.755000000000003</v>
      </c>
      <c r="F51" s="105">
        <f t="shared" ca="1" si="5"/>
        <v>29.17</v>
      </c>
      <c r="G51" s="105">
        <f t="shared" ca="1" si="16"/>
        <v>1</v>
      </c>
      <c r="H51" s="105">
        <f t="shared" ca="1" si="17"/>
        <v>56.34</v>
      </c>
      <c r="I51" s="105">
        <f t="shared" ca="1" si="6"/>
        <v>0</v>
      </c>
      <c r="J51" s="105">
        <f t="shared" ca="1" si="7"/>
        <v>0</v>
      </c>
      <c r="K51" s="105">
        <f t="shared" ca="1" si="8"/>
        <v>11.442500000000003</v>
      </c>
      <c r="L51" s="105">
        <f t="shared" ca="1" si="9"/>
        <v>1</v>
      </c>
      <c r="M51" s="105">
        <f t="shared" ca="1" si="10"/>
        <v>0</v>
      </c>
      <c r="N51" s="105">
        <f t="shared" ca="1" si="9"/>
        <v>0</v>
      </c>
      <c r="O51" s="105">
        <f t="shared" ca="1" si="11"/>
        <v>12.170000000000002</v>
      </c>
      <c r="P51" s="105">
        <f t="shared" ca="1" si="12"/>
        <v>1</v>
      </c>
      <c r="Q51" s="105">
        <f t="shared" ca="1" si="13"/>
        <v>5.7550000000000008</v>
      </c>
      <c r="R51" s="105">
        <f t="shared" ca="1" si="14"/>
        <v>1</v>
      </c>
      <c r="S51" s="105">
        <f t="shared" ca="1" si="15"/>
        <v>3</v>
      </c>
    </row>
    <row r="52" spans="1:19" x14ac:dyDescent="0.35">
      <c r="A52" s="105">
        <f t="shared" ca="1" si="0"/>
        <v>69.334999999999994</v>
      </c>
      <c r="B52" s="105" t="str">
        <f t="shared" ca="1" si="1"/>
        <v>循环</v>
      </c>
      <c r="C52" s="105">
        <f t="shared" ca="1" si="2"/>
        <v>0</v>
      </c>
      <c r="D52" s="105">
        <f t="shared" ca="1" si="3"/>
        <v>1.2500000000000311</v>
      </c>
      <c r="E52" s="105">
        <f t="shared" ca="1" si="4"/>
        <v>26.340000000000003</v>
      </c>
      <c r="F52" s="105">
        <f t="shared" ca="1" si="5"/>
        <v>27.755000000000003</v>
      </c>
      <c r="G52" s="105">
        <f t="shared" ca="1" si="16"/>
        <v>1</v>
      </c>
      <c r="H52" s="105">
        <f t="shared" ca="1" si="17"/>
        <v>54.925000000000004</v>
      </c>
      <c r="I52" s="105">
        <f t="shared" ca="1" si="6"/>
        <v>0</v>
      </c>
      <c r="J52" s="105">
        <f t="shared" ca="1" si="7"/>
        <v>0</v>
      </c>
      <c r="K52" s="105">
        <f t="shared" ca="1" si="8"/>
        <v>10.027500000000003</v>
      </c>
      <c r="L52" s="105">
        <f t="shared" ca="1" si="9"/>
        <v>1</v>
      </c>
      <c r="M52" s="105">
        <f t="shared" ca="1" si="10"/>
        <v>0</v>
      </c>
      <c r="N52" s="105">
        <f t="shared" ca="1" si="9"/>
        <v>0</v>
      </c>
      <c r="O52" s="105">
        <f t="shared" ca="1" si="11"/>
        <v>10.755000000000003</v>
      </c>
      <c r="P52" s="105">
        <f t="shared" ca="1" si="12"/>
        <v>1</v>
      </c>
      <c r="Q52" s="105">
        <f t="shared" ca="1" si="13"/>
        <v>4.3400000000000007</v>
      </c>
      <c r="R52" s="105">
        <f t="shared" ca="1" si="14"/>
        <v>1</v>
      </c>
      <c r="S52" s="105">
        <f t="shared" ca="1" si="15"/>
        <v>3</v>
      </c>
    </row>
    <row r="53" spans="1:19" x14ac:dyDescent="0.35">
      <c r="A53" s="105">
        <f t="shared" ca="1" si="0"/>
        <v>70.75</v>
      </c>
      <c r="B53" s="105" t="str">
        <f t="shared" ca="1" si="1"/>
        <v>循环</v>
      </c>
      <c r="C53" s="105">
        <f t="shared" ca="1" si="2"/>
        <v>1</v>
      </c>
      <c r="D53" s="105">
        <f t="shared" ca="1" si="3"/>
        <v>35.835000000000029</v>
      </c>
      <c r="E53" s="105">
        <f t="shared" ca="1" si="4"/>
        <v>24.925000000000004</v>
      </c>
      <c r="F53" s="105">
        <f t="shared" ca="1" si="5"/>
        <v>26.340000000000003</v>
      </c>
      <c r="G53" s="105">
        <f t="shared" ca="1" si="16"/>
        <v>1</v>
      </c>
      <c r="H53" s="105">
        <f t="shared" ca="1" si="17"/>
        <v>53.510000000000005</v>
      </c>
      <c r="I53" s="105">
        <f t="shared" ca="1" si="6"/>
        <v>0</v>
      </c>
      <c r="J53" s="105">
        <f t="shared" ca="1" si="7"/>
        <v>0</v>
      </c>
      <c r="K53" s="105">
        <f t="shared" ca="1" si="8"/>
        <v>8.6125000000000043</v>
      </c>
      <c r="L53" s="105">
        <f t="shared" ca="1" si="9"/>
        <v>1</v>
      </c>
      <c r="M53" s="105">
        <f t="shared" ca="1" si="10"/>
        <v>0</v>
      </c>
      <c r="N53" s="105">
        <f t="shared" ca="1" si="9"/>
        <v>0</v>
      </c>
      <c r="O53" s="105">
        <f t="shared" ca="1" si="11"/>
        <v>9.3400000000000034</v>
      </c>
      <c r="P53" s="105">
        <f t="shared" ca="1" si="12"/>
        <v>1</v>
      </c>
      <c r="Q53" s="105">
        <f t="shared" ca="1" si="13"/>
        <v>2.9250000000000007</v>
      </c>
      <c r="R53" s="105">
        <f t="shared" ca="1" si="14"/>
        <v>1</v>
      </c>
      <c r="S53" s="105">
        <f t="shared" ca="1" si="15"/>
        <v>3</v>
      </c>
    </row>
    <row r="54" spans="1:19" x14ac:dyDescent="0.35">
      <c r="A54" s="105">
        <f t="shared" ca="1" si="0"/>
        <v>72.165000000000006</v>
      </c>
      <c r="B54" s="105" t="str">
        <f t="shared" ca="1" si="1"/>
        <v>循环</v>
      </c>
      <c r="C54" s="105">
        <f t="shared" ca="1" si="2"/>
        <v>1</v>
      </c>
      <c r="D54" s="105">
        <f t="shared" ca="1" si="3"/>
        <v>34.42000000000003</v>
      </c>
      <c r="E54" s="105">
        <f t="shared" ca="1" si="4"/>
        <v>23.510000000000005</v>
      </c>
      <c r="F54" s="105">
        <f t="shared" ca="1" si="5"/>
        <v>24.925000000000004</v>
      </c>
      <c r="G54" s="105">
        <f t="shared" ca="1" si="16"/>
        <v>1</v>
      </c>
      <c r="H54" s="105">
        <f t="shared" ca="1" si="17"/>
        <v>52.095000000000006</v>
      </c>
      <c r="I54" s="105">
        <f t="shared" ca="1" si="6"/>
        <v>0</v>
      </c>
      <c r="J54" s="105">
        <f t="shared" ca="1" si="7"/>
        <v>0</v>
      </c>
      <c r="K54" s="105">
        <f t="shared" ca="1" si="8"/>
        <v>7.1975000000000042</v>
      </c>
      <c r="L54" s="105">
        <f t="shared" ca="1" si="9"/>
        <v>1</v>
      </c>
      <c r="M54" s="105">
        <f t="shared" ca="1" si="10"/>
        <v>0</v>
      </c>
      <c r="N54" s="105">
        <f t="shared" ca="1" si="9"/>
        <v>0</v>
      </c>
      <c r="O54" s="105">
        <f t="shared" ca="1" si="11"/>
        <v>7.9250000000000034</v>
      </c>
      <c r="P54" s="105">
        <f t="shared" ca="1" si="12"/>
        <v>1</v>
      </c>
      <c r="Q54" s="105">
        <f t="shared" ca="1" si="13"/>
        <v>1.5100000000000007</v>
      </c>
      <c r="R54" s="105">
        <f t="shared" ca="1" si="14"/>
        <v>1</v>
      </c>
      <c r="S54" s="105">
        <f t="shared" ca="1" si="15"/>
        <v>3</v>
      </c>
    </row>
    <row r="55" spans="1:19" x14ac:dyDescent="0.35">
      <c r="A55" s="105">
        <f t="shared" ca="1" si="0"/>
        <v>73.580000000000013</v>
      </c>
      <c r="B55" s="105" t="str">
        <f t="shared" ca="1" si="1"/>
        <v>循环</v>
      </c>
      <c r="C55" s="105">
        <f t="shared" ca="1" si="2"/>
        <v>1</v>
      </c>
      <c r="D55" s="105">
        <f t="shared" ca="1" si="3"/>
        <v>33.005000000000031</v>
      </c>
      <c r="E55" s="105">
        <f t="shared" ca="1" si="4"/>
        <v>22.095000000000006</v>
      </c>
      <c r="F55" s="105">
        <f t="shared" ca="1" si="5"/>
        <v>23.510000000000005</v>
      </c>
      <c r="G55" s="105">
        <f t="shared" ca="1" si="16"/>
        <v>1</v>
      </c>
      <c r="H55" s="105">
        <f t="shared" ca="1" si="17"/>
        <v>50.680000000000007</v>
      </c>
      <c r="I55" s="105">
        <f t="shared" ca="1" si="6"/>
        <v>0</v>
      </c>
      <c r="J55" s="105">
        <f t="shared" ca="1" si="7"/>
        <v>0</v>
      </c>
      <c r="K55" s="105">
        <f t="shared" ca="1" si="8"/>
        <v>5.7825000000000042</v>
      </c>
      <c r="L55" s="105">
        <f t="shared" ca="1" si="9"/>
        <v>1</v>
      </c>
      <c r="M55" s="105">
        <f t="shared" ca="1" si="10"/>
        <v>0</v>
      </c>
      <c r="N55" s="105">
        <f t="shared" ca="1" si="9"/>
        <v>0</v>
      </c>
      <c r="O55" s="105">
        <f t="shared" ca="1" si="11"/>
        <v>6.5100000000000033</v>
      </c>
      <c r="P55" s="105">
        <f t="shared" ca="1" si="12"/>
        <v>1</v>
      </c>
      <c r="Q55" s="105">
        <f t="shared" ca="1" si="13"/>
        <v>9.5000000000000639E-2</v>
      </c>
      <c r="R55" s="105">
        <f t="shared" ca="1" si="14"/>
        <v>1</v>
      </c>
      <c r="S55" s="105">
        <f t="shared" ca="1" si="15"/>
        <v>3</v>
      </c>
    </row>
    <row r="56" spans="1:19" x14ac:dyDescent="0.35">
      <c r="A56" s="105">
        <f t="shared" ca="1" si="0"/>
        <v>74.995000000000019</v>
      </c>
      <c r="B56" s="105" t="str">
        <f t="shared" ca="1" si="1"/>
        <v>循环</v>
      </c>
      <c r="C56" s="105">
        <f t="shared" ca="1" si="2"/>
        <v>1</v>
      </c>
      <c r="D56" s="105">
        <f t="shared" ca="1" si="3"/>
        <v>31.590000000000032</v>
      </c>
      <c r="E56" s="105">
        <f t="shared" ca="1" si="4"/>
        <v>20.680000000000007</v>
      </c>
      <c r="F56" s="105">
        <f t="shared" ca="1" si="5"/>
        <v>22.095000000000006</v>
      </c>
      <c r="G56" s="105">
        <f t="shared" ca="1" si="16"/>
        <v>1</v>
      </c>
      <c r="H56" s="105">
        <f t="shared" ca="1" si="17"/>
        <v>49.265000000000008</v>
      </c>
      <c r="I56" s="105">
        <f t="shared" ca="1" si="6"/>
        <v>0</v>
      </c>
      <c r="J56" s="105">
        <f t="shared" ca="1" si="7"/>
        <v>0</v>
      </c>
      <c r="K56" s="105">
        <f t="shared" ca="1" si="8"/>
        <v>4.3675000000000042</v>
      </c>
      <c r="L56" s="105">
        <f t="shared" ca="1" si="9"/>
        <v>1</v>
      </c>
      <c r="M56" s="105">
        <f t="shared" ca="1" si="10"/>
        <v>0</v>
      </c>
      <c r="N56" s="105">
        <f t="shared" ca="1" si="9"/>
        <v>0</v>
      </c>
      <c r="O56" s="105">
        <f t="shared" ca="1" si="11"/>
        <v>5.0950000000000033</v>
      </c>
      <c r="P56" s="105">
        <f t="shared" ca="1" si="12"/>
        <v>1</v>
      </c>
      <c r="Q56" s="105">
        <f t="shared" ca="1" si="13"/>
        <v>0</v>
      </c>
      <c r="R56" s="105">
        <f t="shared" ca="1" si="14"/>
        <v>1</v>
      </c>
      <c r="S56" s="105">
        <f t="shared" ca="1" si="15"/>
        <v>3</v>
      </c>
    </row>
    <row r="57" spans="1:19" x14ac:dyDescent="0.35">
      <c r="A57" s="105">
        <f t="shared" ca="1" si="0"/>
        <v>76.410000000000025</v>
      </c>
      <c r="B57" s="105" t="str">
        <f t="shared" ca="1" si="1"/>
        <v>循环</v>
      </c>
      <c r="C57" s="105">
        <f t="shared" ca="1" si="2"/>
        <v>1</v>
      </c>
      <c r="D57" s="105">
        <f t="shared" ca="1" si="3"/>
        <v>30.175000000000033</v>
      </c>
      <c r="E57" s="105">
        <f t="shared" ca="1" si="4"/>
        <v>19.265000000000008</v>
      </c>
      <c r="F57" s="105">
        <f t="shared" ca="1" si="5"/>
        <v>20.680000000000007</v>
      </c>
      <c r="G57" s="105">
        <f t="shared" ca="1" si="16"/>
        <v>1</v>
      </c>
      <c r="H57" s="105">
        <f t="shared" ca="1" si="17"/>
        <v>47.850000000000009</v>
      </c>
      <c r="I57" s="105">
        <f t="shared" ca="1" si="6"/>
        <v>0</v>
      </c>
      <c r="J57" s="105">
        <f t="shared" ca="1" si="7"/>
        <v>0</v>
      </c>
      <c r="K57" s="105">
        <f t="shared" ca="1" si="8"/>
        <v>2.9525000000000041</v>
      </c>
      <c r="L57" s="105">
        <f t="shared" ca="1" si="9"/>
        <v>1</v>
      </c>
      <c r="M57" s="105">
        <f t="shared" ca="1" si="10"/>
        <v>0</v>
      </c>
      <c r="N57" s="105">
        <f t="shared" ca="1" si="9"/>
        <v>0</v>
      </c>
      <c r="O57" s="105">
        <f t="shared" ca="1" si="11"/>
        <v>3.6800000000000033</v>
      </c>
      <c r="P57" s="105">
        <f t="shared" ca="1" si="12"/>
        <v>1</v>
      </c>
      <c r="Q57" s="105">
        <f t="shared" ca="1" si="13"/>
        <v>0</v>
      </c>
      <c r="R57" s="105">
        <f t="shared" ca="1" si="14"/>
        <v>0</v>
      </c>
      <c r="S57" s="105">
        <f t="shared" ca="1" si="15"/>
        <v>3</v>
      </c>
    </row>
    <row r="58" spans="1:19" x14ac:dyDescent="0.35">
      <c r="A58" s="105">
        <f t="shared" ca="1" si="0"/>
        <v>77.825000000000031</v>
      </c>
      <c r="B58" s="105" t="str">
        <f t="shared" ca="1" si="1"/>
        <v>循环</v>
      </c>
      <c r="C58" s="105">
        <f t="shared" ca="1" si="2"/>
        <v>1</v>
      </c>
      <c r="D58" s="105">
        <f t="shared" ca="1" si="3"/>
        <v>28.760000000000034</v>
      </c>
      <c r="E58" s="105">
        <f t="shared" ca="1" si="4"/>
        <v>17.850000000000009</v>
      </c>
      <c r="F58" s="105">
        <f t="shared" ca="1" si="5"/>
        <v>19.265000000000008</v>
      </c>
      <c r="G58" s="105">
        <f t="shared" ca="1" si="16"/>
        <v>1</v>
      </c>
      <c r="H58" s="105">
        <f t="shared" ca="1" si="17"/>
        <v>46.435000000000009</v>
      </c>
      <c r="I58" s="105">
        <f t="shared" ca="1" si="6"/>
        <v>0</v>
      </c>
      <c r="J58" s="105">
        <f t="shared" ca="1" si="7"/>
        <v>0</v>
      </c>
      <c r="K58" s="105">
        <f t="shared" ca="1" si="8"/>
        <v>1.5375000000000041</v>
      </c>
      <c r="L58" s="105">
        <f t="shared" ca="1" si="9"/>
        <v>1</v>
      </c>
      <c r="M58" s="105">
        <f t="shared" ca="1" si="10"/>
        <v>0</v>
      </c>
      <c r="N58" s="105">
        <f t="shared" ca="1" si="9"/>
        <v>0</v>
      </c>
      <c r="O58" s="105">
        <f t="shared" ca="1" si="11"/>
        <v>2.2650000000000032</v>
      </c>
      <c r="P58" s="105">
        <f t="shared" ca="1" si="12"/>
        <v>1</v>
      </c>
      <c r="Q58" s="105">
        <f t="shared" ca="1" si="13"/>
        <v>0</v>
      </c>
      <c r="R58" s="105">
        <f t="shared" ca="1" si="14"/>
        <v>0</v>
      </c>
      <c r="S58" s="105">
        <f t="shared" ca="1" si="15"/>
        <v>3</v>
      </c>
    </row>
    <row r="59" spans="1:19" x14ac:dyDescent="0.35">
      <c r="A59" s="105">
        <f t="shared" ca="1" si="0"/>
        <v>79.240000000000038</v>
      </c>
      <c r="B59" s="105" t="str">
        <f t="shared" ca="1" si="1"/>
        <v>循环</v>
      </c>
      <c r="C59" s="105">
        <f t="shared" ca="1" si="2"/>
        <v>1</v>
      </c>
      <c r="D59" s="105">
        <f t="shared" ca="1" si="3"/>
        <v>27.345000000000034</v>
      </c>
      <c r="E59" s="105">
        <f t="shared" ca="1" si="4"/>
        <v>16.435000000000009</v>
      </c>
      <c r="F59" s="105">
        <f t="shared" ca="1" si="5"/>
        <v>17.850000000000009</v>
      </c>
      <c r="G59" s="105">
        <f t="shared" ca="1" si="16"/>
        <v>1</v>
      </c>
      <c r="H59" s="105">
        <f t="shared" ca="1" si="17"/>
        <v>45.02000000000001</v>
      </c>
      <c r="I59" s="105">
        <f t="shared" ca="1" si="6"/>
        <v>0</v>
      </c>
      <c r="J59" s="105">
        <f t="shared" ca="1" si="7"/>
        <v>0</v>
      </c>
      <c r="K59" s="105">
        <f t="shared" ca="1" si="8"/>
        <v>0.12250000000000405</v>
      </c>
      <c r="L59" s="105">
        <f t="shared" ca="1" si="9"/>
        <v>1</v>
      </c>
      <c r="M59" s="105">
        <f t="shared" ca="1" si="10"/>
        <v>0</v>
      </c>
      <c r="N59" s="105">
        <f t="shared" ca="1" si="9"/>
        <v>0</v>
      </c>
      <c r="O59" s="105">
        <f t="shared" ca="1" si="11"/>
        <v>0.8500000000000032</v>
      </c>
      <c r="P59" s="105">
        <f t="shared" ca="1" si="12"/>
        <v>1</v>
      </c>
      <c r="Q59" s="105">
        <f t="shared" ca="1" si="13"/>
        <v>0</v>
      </c>
      <c r="R59" s="105">
        <f t="shared" ca="1" si="14"/>
        <v>0</v>
      </c>
      <c r="S59" s="105">
        <f t="shared" ca="1" si="15"/>
        <v>3</v>
      </c>
    </row>
    <row r="60" spans="1:19" x14ac:dyDescent="0.35">
      <c r="A60" s="105">
        <f t="shared" ca="1" si="0"/>
        <v>80.655000000000044</v>
      </c>
      <c r="B60" s="105" t="str">
        <f t="shared" ca="1" si="1"/>
        <v>循环</v>
      </c>
      <c r="C60" s="105">
        <f t="shared" ca="1" si="2"/>
        <v>1</v>
      </c>
      <c r="D60" s="105">
        <f t="shared" ca="1" si="3"/>
        <v>25.930000000000035</v>
      </c>
      <c r="E60" s="105">
        <f t="shared" ca="1" si="4"/>
        <v>15.02000000000001</v>
      </c>
      <c r="F60" s="105">
        <f t="shared" ca="1" si="5"/>
        <v>16.435000000000009</v>
      </c>
      <c r="G60" s="105">
        <f t="shared" ca="1" si="16"/>
        <v>1</v>
      </c>
      <c r="H60" s="105">
        <f t="shared" ca="1" si="17"/>
        <v>43.605000000000011</v>
      </c>
      <c r="I60" s="105">
        <f t="shared" ca="1" si="6"/>
        <v>0</v>
      </c>
      <c r="J60" s="105">
        <f t="shared" ca="1" si="7"/>
        <v>0</v>
      </c>
      <c r="K60" s="105">
        <f t="shared" ca="1" si="8"/>
        <v>0</v>
      </c>
      <c r="L60" s="105">
        <f t="shared" ca="1" si="9"/>
        <v>1</v>
      </c>
      <c r="M60" s="105">
        <f t="shared" ca="1" si="10"/>
        <v>0</v>
      </c>
      <c r="N60" s="105">
        <f t="shared" ca="1" si="9"/>
        <v>0</v>
      </c>
      <c r="O60" s="105">
        <f t="shared" ca="1" si="11"/>
        <v>0</v>
      </c>
      <c r="P60" s="105">
        <f t="shared" ca="1" si="12"/>
        <v>1</v>
      </c>
      <c r="Q60" s="105">
        <f t="shared" ca="1" si="13"/>
        <v>0</v>
      </c>
      <c r="R60" s="105">
        <f t="shared" ca="1" si="14"/>
        <v>0</v>
      </c>
      <c r="S60" s="105">
        <f t="shared" ca="1" si="15"/>
        <v>3</v>
      </c>
    </row>
    <row r="61" spans="1:19" x14ac:dyDescent="0.35">
      <c r="A61" s="105">
        <f t="shared" ca="1" si="0"/>
        <v>82.07000000000005</v>
      </c>
      <c r="B61" s="105" t="str">
        <f t="shared" ca="1" si="1"/>
        <v>循环</v>
      </c>
      <c r="C61" s="105">
        <f t="shared" ca="1" si="2"/>
        <v>1</v>
      </c>
      <c r="D61" s="105">
        <f t="shared" ca="1" si="3"/>
        <v>24.515000000000036</v>
      </c>
      <c r="E61" s="105">
        <f t="shared" ca="1" si="4"/>
        <v>13.605000000000011</v>
      </c>
      <c r="F61" s="105">
        <f t="shared" ca="1" si="5"/>
        <v>15.02000000000001</v>
      </c>
      <c r="G61" s="105">
        <f t="shared" ca="1" si="16"/>
        <v>1</v>
      </c>
      <c r="H61" s="105">
        <f t="shared" ca="1" si="17"/>
        <v>42.190000000000012</v>
      </c>
      <c r="I61" s="105">
        <f t="shared" ca="1" si="6"/>
        <v>0</v>
      </c>
      <c r="J61" s="105">
        <f t="shared" ca="1" si="7"/>
        <v>0</v>
      </c>
      <c r="K61" s="105">
        <f t="shared" ca="1" si="8"/>
        <v>0</v>
      </c>
      <c r="L61" s="105">
        <f t="shared" ca="1" si="9"/>
        <v>0</v>
      </c>
      <c r="M61" s="105">
        <f t="shared" ca="1" si="10"/>
        <v>0</v>
      </c>
      <c r="N61" s="105">
        <f t="shared" ca="1" si="9"/>
        <v>0</v>
      </c>
      <c r="O61" s="105">
        <f t="shared" ca="1" si="11"/>
        <v>0</v>
      </c>
      <c r="P61" s="105">
        <f t="shared" ca="1" si="12"/>
        <v>0</v>
      </c>
      <c r="Q61" s="105">
        <f t="shared" ca="1" si="13"/>
        <v>0</v>
      </c>
      <c r="R61" s="105">
        <f t="shared" ca="1" si="14"/>
        <v>0</v>
      </c>
      <c r="S61" s="105">
        <f t="shared" ca="1" si="15"/>
        <v>3</v>
      </c>
    </row>
    <row r="62" spans="1:19" x14ac:dyDescent="0.35">
      <c r="A62" s="105">
        <f t="shared" ca="1" si="0"/>
        <v>83.485000000000056</v>
      </c>
      <c r="B62" s="105" t="str">
        <f t="shared" ca="1" si="1"/>
        <v>循环</v>
      </c>
      <c r="C62" s="105">
        <f t="shared" ca="1" si="2"/>
        <v>1</v>
      </c>
      <c r="D62" s="105">
        <f t="shared" ca="1" si="3"/>
        <v>23.100000000000037</v>
      </c>
      <c r="E62" s="105">
        <f t="shared" ca="1" si="4"/>
        <v>12.190000000000012</v>
      </c>
      <c r="F62" s="105">
        <f t="shared" ca="1" si="5"/>
        <v>13.605000000000011</v>
      </c>
      <c r="G62" s="105">
        <f t="shared" ca="1" si="16"/>
        <v>1</v>
      </c>
      <c r="H62" s="105">
        <f t="shared" ca="1" si="17"/>
        <v>40.775000000000013</v>
      </c>
      <c r="I62" s="105">
        <f t="shared" ca="1" si="6"/>
        <v>0</v>
      </c>
      <c r="J62" s="105">
        <f t="shared" ca="1" si="7"/>
        <v>0</v>
      </c>
      <c r="K62" s="105">
        <f t="shared" ca="1" si="8"/>
        <v>0</v>
      </c>
      <c r="L62" s="105">
        <f t="shared" ca="1" si="9"/>
        <v>0</v>
      </c>
      <c r="M62" s="105">
        <f t="shared" ca="1" si="10"/>
        <v>0</v>
      </c>
      <c r="N62" s="105">
        <f t="shared" ca="1" si="9"/>
        <v>0</v>
      </c>
      <c r="O62" s="105">
        <f t="shared" ca="1" si="11"/>
        <v>0</v>
      </c>
      <c r="P62" s="105">
        <f t="shared" ca="1" si="12"/>
        <v>0</v>
      </c>
      <c r="Q62" s="105">
        <f t="shared" ca="1" si="13"/>
        <v>0</v>
      </c>
      <c r="R62" s="105">
        <f t="shared" ca="1" si="14"/>
        <v>0</v>
      </c>
      <c r="S62" s="105">
        <f t="shared" ca="1" si="15"/>
        <v>3</v>
      </c>
    </row>
    <row r="63" spans="1:19" x14ac:dyDescent="0.35">
      <c r="A63" s="105">
        <f t="shared" ca="1" si="0"/>
        <v>84.900000000000063</v>
      </c>
      <c r="B63" s="105" t="str">
        <f t="shared" ca="1" si="1"/>
        <v>循环</v>
      </c>
      <c r="C63" s="105">
        <f t="shared" ca="1" si="2"/>
        <v>1</v>
      </c>
      <c r="D63" s="105">
        <f t="shared" ca="1" si="3"/>
        <v>21.685000000000038</v>
      </c>
      <c r="E63" s="105">
        <f t="shared" ca="1" si="4"/>
        <v>10.775000000000013</v>
      </c>
      <c r="F63" s="105">
        <f t="shared" ca="1" si="5"/>
        <v>12.190000000000012</v>
      </c>
      <c r="G63" s="105">
        <f t="shared" ca="1" si="16"/>
        <v>1</v>
      </c>
      <c r="H63" s="105">
        <f t="shared" ca="1" si="17"/>
        <v>39.360000000000014</v>
      </c>
      <c r="I63" s="105">
        <f t="shared" ca="1" si="6"/>
        <v>0</v>
      </c>
      <c r="J63" s="105">
        <f t="shared" ca="1" si="7"/>
        <v>0</v>
      </c>
      <c r="K63" s="105">
        <f t="shared" ca="1" si="8"/>
        <v>0</v>
      </c>
      <c r="L63" s="105">
        <f t="shared" ca="1" si="9"/>
        <v>0</v>
      </c>
      <c r="M63" s="105">
        <f t="shared" ca="1" si="10"/>
        <v>0</v>
      </c>
      <c r="N63" s="105">
        <f t="shared" ca="1" si="9"/>
        <v>0</v>
      </c>
      <c r="O63" s="105">
        <f t="shared" ca="1" si="11"/>
        <v>0</v>
      </c>
      <c r="P63" s="105">
        <f t="shared" ca="1" si="12"/>
        <v>0</v>
      </c>
      <c r="Q63" s="105">
        <f t="shared" ca="1" si="13"/>
        <v>0</v>
      </c>
      <c r="R63" s="105">
        <f t="shared" ca="1" si="14"/>
        <v>0</v>
      </c>
      <c r="S63" s="105">
        <f t="shared" ca="1" si="15"/>
        <v>3</v>
      </c>
    </row>
    <row r="64" spans="1:19" x14ac:dyDescent="0.35">
      <c r="A64" s="105">
        <f t="shared" ca="1" si="0"/>
        <v>86.315000000000069</v>
      </c>
      <c r="B64" s="105" t="str">
        <f t="shared" ca="1" si="1"/>
        <v>循环</v>
      </c>
      <c r="C64" s="105">
        <f t="shared" ca="1" si="2"/>
        <v>1</v>
      </c>
      <c r="D64" s="105">
        <f t="shared" ca="1" si="3"/>
        <v>20.270000000000039</v>
      </c>
      <c r="E64" s="105">
        <f t="shared" ca="1" si="4"/>
        <v>9.3600000000000136</v>
      </c>
      <c r="F64" s="105">
        <f t="shared" ca="1" si="5"/>
        <v>10.775000000000013</v>
      </c>
      <c r="G64" s="105">
        <f t="shared" ca="1" si="16"/>
        <v>1</v>
      </c>
      <c r="H64" s="105">
        <f t="shared" ca="1" si="17"/>
        <v>37.945000000000014</v>
      </c>
      <c r="I64" s="105">
        <f t="shared" ca="1" si="6"/>
        <v>0</v>
      </c>
      <c r="J64" s="105">
        <f t="shared" ca="1" si="7"/>
        <v>0</v>
      </c>
      <c r="K64" s="105">
        <f t="shared" ca="1" si="8"/>
        <v>0</v>
      </c>
      <c r="L64" s="105">
        <f t="shared" ca="1" si="9"/>
        <v>0</v>
      </c>
      <c r="M64" s="105">
        <f t="shared" ca="1" si="10"/>
        <v>0</v>
      </c>
      <c r="N64" s="105">
        <f t="shared" ca="1" si="9"/>
        <v>0</v>
      </c>
      <c r="O64" s="105">
        <f t="shared" ca="1" si="11"/>
        <v>0</v>
      </c>
      <c r="P64" s="105">
        <f t="shared" ca="1" si="12"/>
        <v>0</v>
      </c>
      <c r="Q64" s="105">
        <f t="shared" ca="1" si="13"/>
        <v>0</v>
      </c>
      <c r="R64" s="105">
        <f t="shared" ca="1" si="14"/>
        <v>0</v>
      </c>
      <c r="S64" s="105">
        <f t="shared" ca="1" si="15"/>
        <v>3</v>
      </c>
    </row>
    <row r="65" spans="1:19" x14ac:dyDescent="0.35">
      <c r="A65" s="105">
        <f t="shared" ca="1" si="0"/>
        <v>87.730000000000075</v>
      </c>
      <c r="B65" s="105" t="str">
        <f t="shared" ca="1" si="1"/>
        <v>循环</v>
      </c>
      <c r="C65" s="105">
        <f t="shared" ca="1" si="2"/>
        <v>1</v>
      </c>
      <c r="D65" s="105">
        <f t="shared" ca="1" si="3"/>
        <v>18.85500000000004</v>
      </c>
      <c r="E65" s="105">
        <f t="shared" ca="1" si="4"/>
        <v>7.9450000000000136</v>
      </c>
      <c r="F65" s="105">
        <f t="shared" ca="1" si="5"/>
        <v>9.3600000000000136</v>
      </c>
      <c r="G65" s="105">
        <f t="shared" ca="1" si="16"/>
        <v>1</v>
      </c>
      <c r="H65" s="105">
        <f t="shared" ca="1" si="17"/>
        <v>36.530000000000015</v>
      </c>
      <c r="I65" s="105">
        <f t="shared" ca="1" si="6"/>
        <v>0</v>
      </c>
      <c r="J65" s="105">
        <f t="shared" ca="1" si="7"/>
        <v>0</v>
      </c>
      <c r="K65" s="105">
        <f t="shared" ca="1" si="8"/>
        <v>0</v>
      </c>
      <c r="L65" s="105">
        <f t="shared" ca="1" si="9"/>
        <v>0</v>
      </c>
      <c r="M65" s="105">
        <f t="shared" ca="1" si="10"/>
        <v>0</v>
      </c>
      <c r="N65" s="105">
        <f t="shared" ca="1" si="9"/>
        <v>0</v>
      </c>
      <c r="O65" s="105">
        <f t="shared" ca="1" si="11"/>
        <v>0</v>
      </c>
      <c r="P65" s="105">
        <f t="shared" ca="1" si="12"/>
        <v>0</v>
      </c>
      <c r="Q65" s="105">
        <f t="shared" ca="1" si="13"/>
        <v>0</v>
      </c>
      <c r="R65" s="105">
        <f t="shared" ca="1" si="14"/>
        <v>0</v>
      </c>
      <c r="S65" s="105">
        <f t="shared" ca="1" si="15"/>
        <v>3</v>
      </c>
    </row>
    <row r="66" spans="1:19" x14ac:dyDescent="0.35">
      <c r="A66" s="105">
        <f t="shared" ca="1" si="0"/>
        <v>89.145000000000081</v>
      </c>
      <c r="B66" s="105" t="str">
        <f t="shared" ca="1" si="1"/>
        <v>循环</v>
      </c>
      <c r="C66" s="105">
        <f t="shared" ca="1" si="2"/>
        <v>1</v>
      </c>
      <c r="D66" s="105">
        <f t="shared" ca="1" si="3"/>
        <v>17.44000000000004</v>
      </c>
      <c r="E66" s="105">
        <f t="shared" ca="1" si="4"/>
        <v>6.5300000000000136</v>
      </c>
      <c r="F66" s="105">
        <f t="shared" ca="1" si="5"/>
        <v>7.9450000000000136</v>
      </c>
      <c r="G66" s="105">
        <f t="shared" ca="1" si="16"/>
        <v>1</v>
      </c>
      <c r="H66" s="105">
        <f t="shared" ca="1" si="17"/>
        <v>35.115000000000016</v>
      </c>
      <c r="I66" s="105">
        <f t="shared" ca="1" si="6"/>
        <v>0</v>
      </c>
      <c r="J66" s="105">
        <f t="shared" ca="1" si="7"/>
        <v>0</v>
      </c>
      <c r="K66" s="105">
        <f t="shared" ca="1" si="8"/>
        <v>0</v>
      </c>
      <c r="L66" s="105">
        <f t="shared" ca="1" si="9"/>
        <v>0</v>
      </c>
      <c r="M66" s="105">
        <f t="shared" ca="1" si="10"/>
        <v>0</v>
      </c>
      <c r="N66" s="105">
        <f t="shared" ca="1" si="9"/>
        <v>0</v>
      </c>
      <c r="O66" s="105">
        <f t="shared" ca="1" si="11"/>
        <v>0</v>
      </c>
      <c r="P66" s="105">
        <f t="shared" ca="1" si="12"/>
        <v>0</v>
      </c>
      <c r="Q66" s="105">
        <f t="shared" ca="1" si="13"/>
        <v>0</v>
      </c>
      <c r="R66" s="105">
        <f t="shared" ca="1" si="14"/>
        <v>0</v>
      </c>
      <c r="S66" s="105">
        <f t="shared" ca="1" si="15"/>
        <v>3</v>
      </c>
    </row>
    <row r="67" spans="1:19" x14ac:dyDescent="0.35">
      <c r="A67" s="105">
        <f t="shared" ca="1" si="0"/>
        <v>90.560000000000088</v>
      </c>
      <c r="B67" s="105" t="str">
        <f t="shared" ca="1" si="1"/>
        <v>循环</v>
      </c>
      <c r="C67" s="105">
        <f t="shared" ca="1" si="2"/>
        <v>1</v>
      </c>
      <c r="D67" s="105">
        <f t="shared" ca="1" si="3"/>
        <v>16.025000000000041</v>
      </c>
      <c r="E67" s="105">
        <f t="shared" ca="1" si="4"/>
        <v>5.1150000000000135</v>
      </c>
      <c r="F67" s="105">
        <f t="shared" ca="1" si="5"/>
        <v>6.5300000000000136</v>
      </c>
      <c r="G67" s="105">
        <f t="shared" ca="1" si="16"/>
        <v>1</v>
      </c>
      <c r="H67" s="105">
        <f t="shared" ca="1" si="17"/>
        <v>33.700000000000017</v>
      </c>
      <c r="I67" s="105">
        <f t="shared" ca="1" si="6"/>
        <v>0</v>
      </c>
      <c r="J67" s="105">
        <f t="shared" ca="1" si="7"/>
        <v>0</v>
      </c>
      <c r="K67" s="105">
        <f t="shared" ca="1" si="8"/>
        <v>0</v>
      </c>
      <c r="L67" s="105">
        <f t="shared" ca="1" si="9"/>
        <v>0</v>
      </c>
      <c r="M67" s="105">
        <f t="shared" ca="1" si="10"/>
        <v>0</v>
      </c>
      <c r="N67" s="105">
        <f t="shared" ca="1" si="9"/>
        <v>0</v>
      </c>
      <c r="O67" s="105">
        <f t="shared" ca="1" si="11"/>
        <v>0</v>
      </c>
      <c r="P67" s="105">
        <f t="shared" ca="1" si="12"/>
        <v>0</v>
      </c>
      <c r="Q67" s="105">
        <f t="shared" ca="1" si="13"/>
        <v>0</v>
      </c>
      <c r="R67" s="105">
        <f t="shared" ca="1" si="14"/>
        <v>0</v>
      </c>
      <c r="S67" s="105">
        <f t="shared" ca="1" si="15"/>
        <v>3</v>
      </c>
    </row>
    <row r="68" spans="1:19" x14ac:dyDescent="0.35">
      <c r="A68" s="105">
        <f t="shared" ref="A68:A131" ca="1" si="26">$V$4+A67</f>
        <v>91.975000000000094</v>
      </c>
      <c r="B68" s="105" t="str">
        <f t="shared" ref="B68:B131" ca="1" si="27">IF(AND(A67&gt;$X$1,P67=0,R67=0),0,IF(AND(G67=0,H67=0),"突","")&amp;IF($V$8=0,IF(AND(OR($V$13=0,AND(K67=0,C67&lt;1),AND(K67&gt;0,OR(M67&gt;0,$V$7=0))),$V$6=1,E67=0),"渊","")&amp;IF(AND(OR($V$13=0,AND(K67=0,C67&lt;1),AND(K67&gt;0,OR(M67&gt;0,$V$7=0))),F67=0),"雷","")&amp;IF(AND(C67&gt;0,$V$13=1,E67=0,F67=0,K67=0),"任",IF(AND(G67=1,$V$7=1,I67=0),"乘","循环")),IF(AND($V$6=1,E67=0),"渊","")&amp;IF(AND(OR($V$13=0,AND(K67=0,C67&lt;1),AND(K67&gt;0,OR(M67&gt;0,$V$7=0))),F67=0),"雷","")&amp;IF(AND(C67&gt;0,L67=0,E67=0),"任",IF(AND(G67=1,$V$7=1,I67=0),"乘","循环"))))</f>
        <v>循环</v>
      </c>
      <c r="C68" s="105">
        <f t="shared" ref="C68:C131" ca="1" si="28">IF(COUNTIF(B68,"*任*"),C67-1,IF(AND(D67&lt;&gt;0,D67&lt;$V$4),MIN(2,C67+1),C67))</f>
        <v>1</v>
      </c>
      <c r="D68" s="105">
        <f t="shared" ref="D68:D131" ca="1" si="29">IF(AND(D67&lt;$V$4,C67&lt;2),D67+$Y$6-$V$4,IF(AND(C67=2,COUNTIF(B68,"*任*")&gt;0),$Y$6-$V$4,MAX(0,D67-$V$4)))</f>
        <v>14.610000000000042</v>
      </c>
      <c r="E68" s="105">
        <f t="shared" ref="E68:E131" ca="1" si="30">IF(COUNTIF(B68,"*渊*")&gt;0,$Y$8-$V$4,MAX(0,E67-$V$4))</f>
        <v>3.7000000000000135</v>
      </c>
      <c r="F68" s="105">
        <f t="shared" ref="F68:F131" ca="1" si="31">IF(COUNTIF(B68,"*雷*")&gt;0,$Y$9-$V$4,MAX(0,F67-$V$4))</f>
        <v>5.1150000000000135</v>
      </c>
      <c r="G68" s="105">
        <f t="shared" ca="1" si="16"/>
        <v>1</v>
      </c>
      <c r="H68" s="105">
        <f t="shared" ca="1" si="17"/>
        <v>32.285000000000018</v>
      </c>
      <c r="I68" s="105">
        <f t="shared" ref="I68:I131" ca="1" si="32">IF(COUNTIF(B68,"*乘*")&gt;0,$Y$7-$V$4,MAX(0,I67-$V$4))</f>
        <v>0</v>
      </c>
      <c r="J68" s="105">
        <f t="shared" ref="J68:J131" ca="1" si="33">IF(H67&lt;1,$V$16,MAX(0,J67-1))*$V$11</f>
        <v>0</v>
      </c>
      <c r="K68" s="105">
        <f t="shared" ref="K68:K131" ca="1" si="34">IF(COUNTIF(B68,"*任*")&gt;0,$Z$6-$V$4+0.6875,MAX(0,K67-$V$4))</f>
        <v>0</v>
      </c>
      <c r="L68" s="105">
        <f t="shared" ref="L68:N131" ca="1" si="35">IF(K68+K67&gt;0,1,0)</f>
        <v>0</v>
      </c>
      <c r="M68" s="105">
        <f t="shared" ref="M68:M131" ca="1" si="36">IF(COUNTIF(B68,"*乘*")&gt;0,$Z$7-$V$4,MAX(0,M67-$V$4))</f>
        <v>0</v>
      </c>
      <c r="N68" s="105">
        <f t="shared" ca="1" si="35"/>
        <v>0</v>
      </c>
      <c r="O68" s="105">
        <f t="shared" ref="O68:O131" ca="1" si="37">IF(COUNTIF(B68,"*雷*")&gt;0,$Z$9-$V$4,MAX(0,O67-$V$4))</f>
        <v>0</v>
      </c>
      <c r="P68" s="105">
        <f t="shared" ref="P68:P131" ca="1" si="38">IF(O68+O67&gt;0,1,0)</f>
        <v>0</v>
      </c>
      <c r="Q68" s="105">
        <f t="shared" ref="Q68:Q131" ca="1" si="39">IF(COUNTIF(B68,"*渊*")&gt;0,$Z$8-$V$4,MAX(0,Q67-$V$4))</f>
        <v>0</v>
      </c>
      <c r="R68" s="105">
        <f t="shared" ref="R68:R131" ca="1" si="40">IF(Q68+Q67&gt;0,1,0)</f>
        <v>0</v>
      </c>
      <c r="S68" s="105">
        <f t="shared" ref="S68:S131" ca="1" si="41">IF(COUNTIF(B68,"*雷*")&gt;0,S67+1,S67)</f>
        <v>3</v>
      </c>
    </row>
    <row r="69" spans="1:19" x14ac:dyDescent="0.35">
      <c r="A69" s="105">
        <f t="shared" ca="1" si="26"/>
        <v>93.3900000000001</v>
      </c>
      <c r="B69" s="105" t="str">
        <f t="shared" ca="1" si="27"/>
        <v>循环</v>
      </c>
      <c r="C69" s="105">
        <f t="shared" ca="1" si="28"/>
        <v>1</v>
      </c>
      <c r="D69" s="105">
        <f t="shared" ca="1" si="29"/>
        <v>13.195000000000043</v>
      </c>
      <c r="E69" s="105">
        <f t="shared" ca="1" si="30"/>
        <v>2.2850000000000135</v>
      </c>
      <c r="F69" s="105">
        <f t="shared" ca="1" si="31"/>
        <v>3.7000000000000135</v>
      </c>
      <c r="G69" s="105">
        <f t="shared" ref="G69:G132" ca="1" si="42">IF(RIGHT(B69,1)="任",1,IF(OR($V$9=0,AND(K68&lt;$V$4,H68=0)),0,G68))</f>
        <v>1</v>
      </c>
      <c r="H69" s="105">
        <f t="shared" ref="H69:H132" ca="1" si="43">IF(COUNTIF(B69,"*突*")&gt;0,$Y$5-$V$4,MAX(0,H68-$V$4))</f>
        <v>30.870000000000019</v>
      </c>
      <c r="I69" s="105">
        <f t="shared" ca="1" si="32"/>
        <v>0</v>
      </c>
      <c r="J69" s="105">
        <f t="shared" ca="1" si="33"/>
        <v>0</v>
      </c>
      <c r="K69" s="105">
        <f t="shared" ca="1" si="34"/>
        <v>0</v>
      </c>
      <c r="L69" s="105">
        <f t="shared" ca="1" si="35"/>
        <v>0</v>
      </c>
      <c r="M69" s="105">
        <f t="shared" ca="1" si="36"/>
        <v>0</v>
      </c>
      <c r="N69" s="105">
        <f t="shared" ca="1" si="35"/>
        <v>0</v>
      </c>
      <c r="O69" s="105">
        <f t="shared" ca="1" si="37"/>
        <v>0</v>
      </c>
      <c r="P69" s="105">
        <f t="shared" ca="1" si="38"/>
        <v>0</v>
      </c>
      <c r="Q69" s="105">
        <f t="shared" ca="1" si="39"/>
        <v>0</v>
      </c>
      <c r="R69" s="105">
        <f t="shared" ca="1" si="40"/>
        <v>0</v>
      </c>
      <c r="S69" s="105">
        <f t="shared" ca="1" si="41"/>
        <v>3</v>
      </c>
    </row>
    <row r="70" spans="1:19" x14ac:dyDescent="0.35">
      <c r="A70" s="105">
        <f t="shared" ca="1" si="26"/>
        <v>94.805000000000106</v>
      </c>
      <c r="B70" s="105" t="str">
        <f t="shared" ca="1" si="27"/>
        <v>循环</v>
      </c>
      <c r="C70" s="105">
        <f t="shared" ca="1" si="28"/>
        <v>1</v>
      </c>
      <c r="D70" s="105">
        <f t="shared" ca="1" si="29"/>
        <v>11.780000000000044</v>
      </c>
      <c r="E70" s="105">
        <f t="shared" ca="1" si="30"/>
        <v>0.87000000000001343</v>
      </c>
      <c r="F70" s="105">
        <f t="shared" ca="1" si="31"/>
        <v>2.2850000000000135</v>
      </c>
      <c r="G70" s="105">
        <f t="shared" ca="1" si="42"/>
        <v>1</v>
      </c>
      <c r="H70" s="105">
        <f t="shared" ca="1" si="43"/>
        <v>29.45500000000002</v>
      </c>
      <c r="I70" s="105">
        <f t="shared" ca="1" si="32"/>
        <v>0</v>
      </c>
      <c r="J70" s="105">
        <f t="shared" ca="1" si="33"/>
        <v>0</v>
      </c>
      <c r="K70" s="105">
        <f t="shared" ca="1" si="34"/>
        <v>0</v>
      </c>
      <c r="L70" s="105">
        <f t="shared" ca="1" si="35"/>
        <v>0</v>
      </c>
      <c r="M70" s="105">
        <f t="shared" ca="1" si="36"/>
        <v>0</v>
      </c>
      <c r="N70" s="105">
        <f t="shared" ca="1" si="35"/>
        <v>0</v>
      </c>
      <c r="O70" s="105">
        <f t="shared" ca="1" si="37"/>
        <v>0</v>
      </c>
      <c r="P70" s="105">
        <f t="shared" ca="1" si="38"/>
        <v>0</v>
      </c>
      <c r="Q70" s="105">
        <f t="shared" ca="1" si="39"/>
        <v>0</v>
      </c>
      <c r="R70" s="105">
        <f t="shared" ca="1" si="40"/>
        <v>0</v>
      </c>
      <c r="S70" s="105">
        <f t="shared" ca="1" si="41"/>
        <v>3</v>
      </c>
    </row>
    <row r="71" spans="1:19" x14ac:dyDescent="0.35">
      <c r="A71" s="105">
        <f t="shared" ca="1" si="26"/>
        <v>96.220000000000113</v>
      </c>
      <c r="B71" s="105" t="str">
        <f t="shared" ca="1" si="27"/>
        <v>循环</v>
      </c>
      <c r="C71" s="105">
        <f t="shared" ca="1" si="28"/>
        <v>1</v>
      </c>
      <c r="D71" s="105">
        <f t="shared" ca="1" si="29"/>
        <v>10.365000000000045</v>
      </c>
      <c r="E71" s="105">
        <f t="shared" ca="1" si="30"/>
        <v>0</v>
      </c>
      <c r="F71" s="105">
        <f t="shared" ca="1" si="31"/>
        <v>0.87000000000001343</v>
      </c>
      <c r="G71" s="105">
        <f t="shared" ca="1" si="42"/>
        <v>1</v>
      </c>
      <c r="H71" s="105">
        <f t="shared" ca="1" si="43"/>
        <v>28.04000000000002</v>
      </c>
      <c r="I71" s="105">
        <f t="shared" ca="1" si="32"/>
        <v>0</v>
      </c>
      <c r="J71" s="105">
        <f t="shared" ca="1" si="33"/>
        <v>0</v>
      </c>
      <c r="K71" s="105">
        <f t="shared" ca="1" si="34"/>
        <v>0</v>
      </c>
      <c r="L71" s="105">
        <f t="shared" ca="1" si="35"/>
        <v>0</v>
      </c>
      <c r="M71" s="105">
        <f t="shared" ca="1" si="36"/>
        <v>0</v>
      </c>
      <c r="N71" s="105">
        <f t="shared" ca="1" si="35"/>
        <v>0</v>
      </c>
      <c r="O71" s="105">
        <f t="shared" ca="1" si="37"/>
        <v>0</v>
      </c>
      <c r="P71" s="105">
        <f t="shared" ca="1" si="38"/>
        <v>0</v>
      </c>
      <c r="Q71" s="105">
        <f t="shared" ca="1" si="39"/>
        <v>0</v>
      </c>
      <c r="R71" s="105">
        <f t="shared" ca="1" si="40"/>
        <v>0</v>
      </c>
      <c r="S71" s="105">
        <f t="shared" ca="1" si="41"/>
        <v>3</v>
      </c>
    </row>
    <row r="72" spans="1:19" x14ac:dyDescent="0.35">
      <c r="A72" s="105">
        <f t="shared" ca="1" si="26"/>
        <v>97.635000000000119</v>
      </c>
      <c r="B72" s="105" t="str">
        <f t="shared" ca="1" si="27"/>
        <v>渊任</v>
      </c>
      <c r="C72" s="105">
        <f t="shared" ca="1" si="28"/>
        <v>0</v>
      </c>
      <c r="D72" s="105">
        <f t="shared" ca="1" si="29"/>
        <v>8.9500000000000455</v>
      </c>
      <c r="E72" s="105">
        <f t="shared" ca="1" si="30"/>
        <v>30.585000000000001</v>
      </c>
      <c r="F72" s="105">
        <f t="shared" ca="1" si="31"/>
        <v>0</v>
      </c>
      <c r="G72" s="105">
        <f t="shared" ca="1" si="42"/>
        <v>1</v>
      </c>
      <c r="H72" s="105">
        <f t="shared" ca="1" si="43"/>
        <v>26.625000000000021</v>
      </c>
      <c r="I72" s="105">
        <f t="shared" ca="1" si="32"/>
        <v>0</v>
      </c>
      <c r="J72" s="105">
        <f t="shared" ca="1" si="33"/>
        <v>0</v>
      </c>
      <c r="K72" s="105">
        <f t="shared" ca="1" si="34"/>
        <v>14.272500000000001</v>
      </c>
      <c r="L72" s="105">
        <f t="shared" ca="1" si="35"/>
        <v>1</v>
      </c>
      <c r="M72" s="105">
        <f t="shared" ca="1" si="36"/>
        <v>0</v>
      </c>
      <c r="N72" s="105">
        <f t="shared" ca="1" si="35"/>
        <v>0</v>
      </c>
      <c r="O72" s="105">
        <f t="shared" ca="1" si="37"/>
        <v>0</v>
      </c>
      <c r="P72" s="105">
        <f t="shared" ca="1" si="38"/>
        <v>0</v>
      </c>
      <c r="Q72" s="105">
        <f t="shared" ca="1" si="39"/>
        <v>8.5850000000000009</v>
      </c>
      <c r="R72" s="105">
        <f t="shared" ca="1" si="40"/>
        <v>1</v>
      </c>
      <c r="S72" s="105">
        <f t="shared" ca="1" si="41"/>
        <v>3</v>
      </c>
    </row>
    <row r="73" spans="1:19" x14ac:dyDescent="0.35">
      <c r="A73" s="105">
        <f t="shared" ca="1" si="26"/>
        <v>99.050000000000125</v>
      </c>
      <c r="B73" s="105" t="str">
        <f t="shared" ca="1" si="27"/>
        <v>雷循环</v>
      </c>
      <c r="C73" s="105">
        <f t="shared" ca="1" si="28"/>
        <v>0</v>
      </c>
      <c r="D73" s="105">
        <f t="shared" ca="1" si="29"/>
        <v>7.5350000000000454</v>
      </c>
      <c r="E73" s="105">
        <f t="shared" ca="1" si="30"/>
        <v>29.17</v>
      </c>
      <c r="F73" s="105">
        <f t="shared" ca="1" si="31"/>
        <v>30.585000000000001</v>
      </c>
      <c r="G73" s="105">
        <f t="shared" ca="1" si="42"/>
        <v>1</v>
      </c>
      <c r="H73" s="105">
        <f t="shared" ca="1" si="43"/>
        <v>25.210000000000022</v>
      </c>
      <c r="I73" s="105">
        <f t="shared" ca="1" si="32"/>
        <v>0</v>
      </c>
      <c r="J73" s="105">
        <f t="shared" ca="1" si="33"/>
        <v>0</v>
      </c>
      <c r="K73" s="105">
        <f t="shared" ca="1" si="34"/>
        <v>12.857500000000002</v>
      </c>
      <c r="L73" s="105">
        <f t="shared" ca="1" si="35"/>
        <v>1</v>
      </c>
      <c r="M73" s="105">
        <f t="shared" ca="1" si="36"/>
        <v>0</v>
      </c>
      <c r="N73" s="105">
        <f t="shared" ca="1" si="35"/>
        <v>0</v>
      </c>
      <c r="O73" s="105">
        <f t="shared" ca="1" si="37"/>
        <v>13.585000000000001</v>
      </c>
      <c r="P73" s="105">
        <f t="shared" ca="1" si="38"/>
        <v>1</v>
      </c>
      <c r="Q73" s="105">
        <f t="shared" ca="1" si="39"/>
        <v>7.1700000000000008</v>
      </c>
      <c r="R73" s="105">
        <f t="shared" ca="1" si="40"/>
        <v>1</v>
      </c>
      <c r="S73" s="105">
        <f t="shared" ca="1" si="41"/>
        <v>4</v>
      </c>
    </row>
    <row r="74" spans="1:19" x14ac:dyDescent="0.35">
      <c r="A74" s="105">
        <f t="shared" ca="1" si="26"/>
        <v>100.46500000000013</v>
      </c>
      <c r="B74" s="105" t="str">
        <f t="shared" ca="1" si="27"/>
        <v>循环</v>
      </c>
      <c r="C74" s="105">
        <f t="shared" ca="1" si="28"/>
        <v>0</v>
      </c>
      <c r="D74" s="105">
        <f t="shared" ca="1" si="29"/>
        <v>6.1200000000000454</v>
      </c>
      <c r="E74" s="105">
        <f t="shared" ca="1" si="30"/>
        <v>27.755000000000003</v>
      </c>
      <c r="F74" s="105">
        <f t="shared" ca="1" si="31"/>
        <v>29.17</v>
      </c>
      <c r="G74" s="105">
        <f t="shared" ca="1" si="42"/>
        <v>1</v>
      </c>
      <c r="H74" s="105">
        <f t="shared" ca="1" si="43"/>
        <v>23.795000000000023</v>
      </c>
      <c r="I74" s="105">
        <f t="shared" ca="1" si="32"/>
        <v>0</v>
      </c>
      <c r="J74" s="105">
        <f t="shared" ca="1" si="33"/>
        <v>0</v>
      </c>
      <c r="K74" s="105">
        <f t="shared" ca="1" si="34"/>
        <v>11.442500000000003</v>
      </c>
      <c r="L74" s="105">
        <f t="shared" ca="1" si="35"/>
        <v>1</v>
      </c>
      <c r="M74" s="105">
        <f t="shared" ca="1" si="36"/>
        <v>0</v>
      </c>
      <c r="N74" s="105">
        <f t="shared" ca="1" si="35"/>
        <v>0</v>
      </c>
      <c r="O74" s="105">
        <f t="shared" ca="1" si="37"/>
        <v>12.170000000000002</v>
      </c>
      <c r="P74" s="105">
        <f t="shared" ca="1" si="38"/>
        <v>1</v>
      </c>
      <c r="Q74" s="105">
        <f t="shared" ca="1" si="39"/>
        <v>5.7550000000000008</v>
      </c>
      <c r="R74" s="105">
        <f t="shared" ca="1" si="40"/>
        <v>1</v>
      </c>
      <c r="S74" s="105">
        <f t="shared" ca="1" si="41"/>
        <v>4</v>
      </c>
    </row>
    <row r="75" spans="1:19" x14ac:dyDescent="0.35">
      <c r="A75" s="105">
        <f t="shared" ca="1" si="26"/>
        <v>101.88000000000014</v>
      </c>
      <c r="B75" s="105" t="str">
        <f t="shared" ca="1" si="27"/>
        <v>循环</v>
      </c>
      <c r="C75" s="105">
        <f t="shared" ca="1" si="28"/>
        <v>0</v>
      </c>
      <c r="D75" s="105">
        <f t="shared" ca="1" si="29"/>
        <v>4.7050000000000454</v>
      </c>
      <c r="E75" s="105">
        <f t="shared" ca="1" si="30"/>
        <v>26.340000000000003</v>
      </c>
      <c r="F75" s="105">
        <f t="shared" ca="1" si="31"/>
        <v>27.755000000000003</v>
      </c>
      <c r="G75" s="105">
        <f t="shared" ca="1" si="42"/>
        <v>1</v>
      </c>
      <c r="H75" s="105">
        <f t="shared" ca="1" si="43"/>
        <v>22.380000000000024</v>
      </c>
      <c r="I75" s="105">
        <f t="shared" ca="1" si="32"/>
        <v>0</v>
      </c>
      <c r="J75" s="105">
        <f t="shared" ca="1" si="33"/>
        <v>0</v>
      </c>
      <c r="K75" s="105">
        <f t="shared" ca="1" si="34"/>
        <v>10.027500000000003</v>
      </c>
      <c r="L75" s="105">
        <f t="shared" ca="1" si="35"/>
        <v>1</v>
      </c>
      <c r="M75" s="105">
        <f t="shared" ca="1" si="36"/>
        <v>0</v>
      </c>
      <c r="N75" s="105">
        <f t="shared" ca="1" si="35"/>
        <v>0</v>
      </c>
      <c r="O75" s="105">
        <f t="shared" ca="1" si="37"/>
        <v>10.755000000000003</v>
      </c>
      <c r="P75" s="105">
        <f t="shared" ca="1" si="38"/>
        <v>1</v>
      </c>
      <c r="Q75" s="105">
        <f t="shared" ca="1" si="39"/>
        <v>4.3400000000000007</v>
      </c>
      <c r="R75" s="105">
        <f t="shared" ca="1" si="40"/>
        <v>1</v>
      </c>
      <c r="S75" s="105">
        <f t="shared" ca="1" si="41"/>
        <v>4</v>
      </c>
    </row>
    <row r="76" spans="1:19" x14ac:dyDescent="0.35">
      <c r="A76" s="105">
        <f t="shared" ca="1" si="26"/>
        <v>103.29500000000014</v>
      </c>
      <c r="B76" s="105" t="str">
        <f t="shared" ca="1" si="27"/>
        <v>循环</v>
      </c>
      <c r="C76" s="105">
        <f t="shared" ca="1" si="28"/>
        <v>0</v>
      </c>
      <c r="D76" s="105">
        <f t="shared" ca="1" si="29"/>
        <v>3.2900000000000453</v>
      </c>
      <c r="E76" s="105">
        <f t="shared" ca="1" si="30"/>
        <v>24.925000000000004</v>
      </c>
      <c r="F76" s="105">
        <f t="shared" ca="1" si="31"/>
        <v>26.340000000000003</v>
      </c>
      <c r="G76" s="105">
        <f t="shared" ca="1" si="42"/>
        <v>1</v>
      </c>
      <c r="H76" s="105">
        <f t="shared" ca="1" si="43"/>
        <v>20.965000000000025</v>
      </c>
      <c r="I76" s="105">
        <f t="shared" ca="1" si="32"/>
        <v>0</v>
      </c>
      <c r="J76" s="105">
        <f t="shared" ca="1" si="33"/>
        <v>0</v>
      </c>
      <c r="K76" s="105">
        <f t="shared" ca="1" si="34"/>
        <v>8.6125000000000043</v>
      </c>
      <c r="L76" s="105">
        <f t="shared" ca="1" si="35"/>
        <v>1</v>
      </c>
      <c r="M76" s="105">
        <f t="shared" ca="1" si="36"/>
        <v>0</v>
      </c>
      <c r="N76" s="105">
        <f t="shared" ca="1" si="35"/>
        <v>0</v>
      </c>
      <c r="O76" s="105">
        <f t="shared" ca="1" si="37"/>
        <v>9.3400000000000034</v>
      </c>
      <c r="P76" s="105">
        <f t="shared" ca="1" si="38"/>
        <v>1</v>
      </c>
      <c r="Q76" s="105">
        <f t="shared" ca="1" si="39"/>
        <v>2.9250000000000007</v>
      </c>
      <c r="R76" s="105">
        <f t="shared" ca="1" si="40"/>
        <v>1</v>
      </c>
      <c r="S76" s="105">
        <f t="shared" ca="1" si="41"/>
        <v>4</v>
      </c>
    </row>
    <row r="77" spans="1:19" x14ac:dyDescent="0.35">
      <c r="A77" s="105">
        <f t="shared" ca="1" si="26"/>
        <v>104.71000000000015</v>
      </c>
      <c r="B77" s="105" t="str">
        <f t="shared" ca="1" si="27"/>
        <v>循环</v>
      </c>
      <c r="C77" s="105">
        <f t="shared" ca="1" si="28"/>
        <v>0</v>
      </c>
      <c r="D77" s="105">
        <f t="shared" ca="1" si="29"/>
        <v>1.8750000000000453</v>
      </c>
      <c r="E77" s="105">
        <f t="shared" ca="1" si="30"/>
        <v>23.510000000000005</v>
      </c>
      <c r="F77" s="105">
        <f t="shared" ca="1" si="31"/>
        <v>24.925000000000004</v>
      </c>
      <c r="G77" s="105">
        <f t="shared" ca="1" si="42"/>
        <v>1</v>
      </c>
      <c r="H77" s="105">
        <f t="shared" ca="1" si="43"/>
        <v>19.550000000000026</v>
      </c>
      <c r="I77" s="105">
        <f t="shared" ca="1" si="32"/>
        <v>0</v>
      </c>
      <c r="J77" s="105">
        <f t="shared" ca="1" si="33"/>
        <v>0</v>
      </c>
      <c r="K77" s="105">
        <f t="shared" ca="1" si="34"/>
        <v>7.1975000000000042</v>
      </c>
      <c r="L77" s="105">
        <f t="shared" ca="1" si="35"/>
        <v>1</v>
      </c>
      <c r="M77" s="105">
        <f t="shared" ca="1" si="36"/>
        <v>0</v>
      </c>
      <c r="N77" s="105">
        <f t="shared" ca="1" si="35"/>
        <v>0</v>
      </c>
      <c r="O77" s="105">
        <f t="shared" ca="1" si="37"/>
        <v>7.9250000000000034</v>
      </c>
      <c r="P77" s="105">
        <f t="shared" ca="1" si="38"/>
        <v>1</v>
      </c>
      <c r="Q77" s="105">
        <f t="shared" ca="1" si="39"/>
        <v>1.5100000000000007</v>
      </c>
      <c r="R77" s="105">
        <f t="shared" ca="1" si="40"/>
        <v>1</v>
      </c>
      <c r="S77" s="105">
        <f t="shared" ca="1" si="41"/>
        <v>4</v>
      </c>
    </row>
    <row r="78" spans="1:19" x14ac:dyDescent="0.35">
      <c r="A78" s="105">
        <f t="shared" ca="1" si="26"/>
        <v>106.12500000000016</v>
      </c>
      <c r="B78" s="105" t="str">
        <f t="shared" ca="1" si="27"/>
        <v>循环</v>
      </c>
      <c r="C78" s="105">
        <f t="shared" ca="1" si="28"/>
        <v>0</v>
      </c>
      <c r="D78" s="105">
        <f t="shared" ca="1" si="29"/>
        <v>0.46000000000004526</v>
      </c>
      <c r="E78" s="105">
        <f t="shared" ca="1" si="30"/>
        <v>22.095000000000006</v>
      </c>
      <c r="F78" s="105">
        <f t="shared" ca="1" si="31"/>
        <v>23.510000000000005</v>
      </c>
      <c r="G78" s="105">
        <f t="shared" ca="1" si="42"/>
        <v>1</v>
      </c>
      <c r="H78" s="105">
        <f t="shared" ca="1" si="43"/>
        <v>18.135000000000026</v>
      </c>
      <c r="I78" s="105">
        <f t="shared" ca="1" si="32"/>
        <v>0</v>
      </c>
      <c r="J78" s="105">
        <f t="shared" ca="1" si="33"/>
        <v>0</v>
      </c>
      <c r="K78" s="105">
        <f t="shared" ca="1" si="34"/>
        <v>5.7825000000000042</v>
      </c>
      <c r="L78" s="105">
        <f t="shared" ca="1" si="35"/>
        <v>1</v>
      </c>
      <c r="M78" s="105">
        <f t="shared" ca="1" si="36"/>
        <v>0</v>
      </c>
      <c r="N78" s="105">
        <f t="shared" ca="1" si="35"/>
        <v>0</v>
      </c>
      <c r="O78" s="105">
        <f t="shared" ca="1" si="37"/>
        <v>6.5100000000000033</v>
      </c>
      <c r="P78" s="105">
        <f t="shared" ca="1" si="38"/>
        <v>1</v>
      </c>
      <c r="Q78" s="105">
        <f t="shared" ca="1" si="39"/>
        <v>9.5000000000000639E-2</v>
      </c>
      <c r="R78" s="105">
        <f t="shared" ca="1" si="40"/>
        <v>1</v>
      </c>
      <c r="S78" s="105">
        <f t="shared" ca="1" si="41"/>
        <v>4</v>
      </c>
    </row>
    <row r="79" spans="1:19" x14ac:dyDescent="0.35">
      <c r="A79" s="105">
        <f t="shared" ca="1" si="26"/>
        <v>107.54000000000016</v>
      </c>
      <c r="B79" s="105" t="str">
        <f t="shared" ca="1" si="27"/>
        <v>循环</v>
      </c>
      <c r="C79" s="105">
        <f t="shared" ca="1" si="28"/>
        <v>1</v>
      </c>
      <c r="D79" s="105">
        <f t="shared" ca="1" si="29"/>
        <v>35.045000000000044</v>
      </c>
      <c r="E79" s="105">
        <f t="shared" ca="1" si="30"/>
        <v>20.680000000000007</v>
      </c>
      <c r="F79" s="105">
        <f t="shared" ca="1" si="31"/>
        <v>22.095000000000006</v>
      </c>
      <c r="G79" s="105">
        <f t="shared" ca="1" si="42"/>
        <v>1</v>
      </c>
      <c r="H79" s="105">
        <f t="shared" ca="1" si="43"/>
        <v>16.720000000000027</v>
      </c>
      <c r="I79" s="105">
        <f t="shared" ca="1" si="32"/>
        <v>0</v>
      </c>
      <c r="J79" s="105">
        <f t="shared" ca="1" si="33"/>
        <v>0</v>
      </c>
      <c r="K79" s="105">
        <f t="shared" ca="1" si="34"/>
        <v>4.3675000000000042</v>
      </c>
      <c r="L79" s="105">
        <f t="shared" ca="1" si="35"/>
        <v>1</v>
      </c>
      <c r="M79" s="105">
        <f t="shared" ca="1" si="36"/>
        <v>0</v>
      </c>
      <c r="N79" s="105">
        <f t="shared" ca="1" si="35"/>
        <v>0</v>
      </c>
      <c r="O79" s="105">
        <f t="shared" ca="1" si="37"/>
        <v>5.0950000000000033</v>
      </c>
      <c r="P79" s="105">
        <f t="shared" ca="1" si="38"/>
        <v>1</v>
      </c>
      <c r="Q79" s="105">
        <f t="shared" ca="1" si="39"/>
        <v>0</v>
      </c>
      <c r="R79" s="105">
        <f t="shared" ca="1" si="40"/>
        <v>1</v>
      </c>
      <c r="S79" s="105">
        <f t="shared" ca="1" si="41"/>
        <v>4</v>
      </c>
    </row>
    <row r="80" spans="1:19" x14ac:dyDescent="0.35">
      <c r="A80" s="105">
        <f t="shared" ca="1" si="26"/>
        <v>108.95500000000017</v>
      </c>
      <c r="B80" s="105" t="str">
        <f t="shared" ca="1" si="27"/>
        <v>循环</v>
      </c>
      <c r="C80" s="105">
        <f t="shared" ca="1" si="28"/>
        <v>1</v>
      </c>
      <c r="D80" s="105">
        <f t="shared" ca="1" si="29"/>
        <v>33.630000000000045</v>
      </c>
      <c r="E80" s="105">
        <f t="shared" ca="1" si="30"/>
        <v>19.265000000000008</v>
      </c>
      <c r="F80" s="105">
        <f t="shared" ca="1" si="31"/>
        <v>20.680000000000007</v>
      </c>
      <c r="G80" s="105">
        <f t="shared" ca="1" si="42"/>
        <v>1</v>
      </c>
      <c r="H80" s="105">
        <f t="shared" ca="1" si="43"/>
        <v>15.305000000000028</v>
      </c>
      <c r="I80" s="105">
        <f t="shared" ca="1" si="32"/>
        <v>0</v>
      </c>
      <c r="J80" s="105">
        <f t="shared" ca="1" si="33"/>
        <v>0</v>
      </c>
      <c r="K80" s="105">
        <f t="shared" ca="1" si="34"/>
        <v>2.9525000000000041</v>
      </c>
      <c r="L80" s="105">
        <f t="shared" ca="1" si="35"/>
        <v>1</v>
      </c>
      <c r="M80" s="105">
        <f t="shared" ca="1" si="36"/>
        <v>0</v>
      </c>
      <c r="N80" s="105">
        <f t="shared" ca="1" si="35"/>
        <v>0</v>
      </c>
      <c r="O80" s="105">
        <f t="shared" ca="1" si="37"/>
        <v>3.6800000000000033</v>
      </c>
      <c r="P80" s="105">
        <f t="shared" ca="1" si="38"/>
        <v>1</v>
      </c>
      <c r="Q80" s="105">
        <f t="shared" ca="1" si="39"/>
        <v>0</v>
      </c>
      <c r="R80" s="105">
        <f t="shared" ca="1" si="40"/>
        <v>0</v>
      </c>
      <c r="S80" s="105">
        <f t="shared" ca="1" si="41"/>
        <v>4</v>
      </c>
    </row>
    <row r="81" spans="1:19" x14ac:dyDescent="0.35">
      <c r="A81" s="105">
        <f t="shared" ca="1" si="26"/>
        <v>110.37000000000018</v>
      </c>
      <c r="B81" s="105" t="str">
        <f t="shared" ca="1" si="27"/>
        <v>循环</v>
      </c>
      <c r="C81" s="105">
        <f t="shared" ca="1" si="28"/>
        <v>1</v>
      </c>
      <c r="D81" s="105">
        <f t="shared" ca="1" si="29"/>
        <v>32.215000000000046</v>
      </c>
      <c r="E81" s="105">
        <f t="shared" ca="1" si="30"/>
        <v>17.850000000000009</v>
      </c>
      <c r="F81" s="105">
        <f t="shared" ca="1" si="31"/>
        <v>19.265000000000008</v>
      </c>
      <c r="G81" s="105">
        <f t="shared" ca="1" si="42"/>
        <v>1</v>
      </c>
      <c r="H81" s="105">
        <f t="shared" ca="1" si="43"/>
        <v>13.890000000000029</v>
      </c>
      <c r="I81" s="105">
        <f t="shared" ca="1" si="32"/>
        <v>0</v>
      </c>
      <c r="J81" s="105">
        <f t="shared" ca="1" si="33"/>
        <v>0</v>
      </c>
      <c r="K81" s="105">
        <f t="shared" ca="1" si="34"/>
        <v>1.5375000000000041</v>
      </c>
      <c r="L81" s="105">
        <f t="shared" ca="1" si="35"/>
        <v>1</v>
      </c>
      <c r="M81" s="105">
        <f t="shared" ca="1" si="36"/>
        <v>0</v>
      </c>
      <c r="N81" s="105">
        <f t="shared" ca="1" si="35"/>
        <v>0</v>
      </c>
      <c r="O81" s="105">
        <f t="shared" ca="1" si="37"/>
        <v>2.2650000000000032</v>
      </c>
      <c r="P81" s="105">
        <f t="shared" ca="1" si="38"/>
        <v>1</v>
      </c>
      <c r="Q81" s="105">
        <f t="shared" ca="1" si="39"/>
        <v>0</v>
      </c>
      <c r="R81" s="105">
        <f t="shared" ca="1" si="40"/>
        <v>0</v>
      </c>
      <c r="S81" s="105">
        <f t="shared" ca="1" si="41"/>
        <v>4</v>
      </c>
    </row>
    <row r="82" spans="1:19" x14ac:dyDescent="0.35">
      <c r="A82" s="105">
        <f t="shared" ca="1" si="26"/>
        <v>111.78500000000018</v>
      </c>
      <c r="B82" s="105" t="str">
        <f t="shared" ca="1" si="27"/>
        <v>循环</v>
      </c>
      <c r="C82" s="105">
        <f t="shared" ca="1" si="28"/>
        <v>1</v>
      </c>
      <c r="D82" s="105">
        <f t="shared" ca="1" si="29"/>
        <v>30.800000000000047</v>
      </c>
      <c r="E82" s="105">
        <f t="shared" ca="1" si="30"/>
        <v>16.435000000000009</v>
      </c>
      <c r="F82" s="105">
        <f t="shared" ca="1" si="31"/>
        <v>17.850000000000009</v>
      </c>
      <c r="G82" s="105">
        <f t="shared" ca="1" si="42"/>
        <v>1</v>
      </c>
      <c r="H82" s="105">
        <f t="shared" ca="1" si="43"/>
        <v>12.47500000000003</v>
      </c>
      <c r="I82" s="105">
        <f t="shared" ca="1" si="32"/>
        <v>0</v>
      </c>
      <c r="J82" s="105">
        <f t="shared" ca="1" si="33"/>
        <v>0</v>
      </c>
      <c r="K82" s="105">
        <f t="shared" ca="1" si="34"/>
        <v>0.12250000000000405</v>
      </c>
      <c r="L82" s="105">
        <f t="shared" ca="1" si="35"/>
        <v>1</v>
      </c>
      <c r="M82" s="105">
        <f t="shared" ca="1" si="36"/>
        <v>0</v>
      </c>
      <c r="N82" s="105">
        <f t="shared" ca="1" si="35"/>
        <v>0</v>
      </c>
      <c r="O82" s="105">
        <f t="shared" ca="1" si="37"/>
        <v>0.8500000000000032</v>
      </c>
      <c r="P82" s="105">
        <f t="shared" ca="1" si="38"/>
        <v>1</v>
      </c>
      <c r="Q82" s="105">
        <f t="shared" ca="1" si="39"/>
        <v>0</v>
      </c>
      <c r="R82" s="105">
        <f t="shared" ca="1" si="40"/>
        <v>0</v>
      </c>
      <c r="S82" s="105">
        <f t="shared" ca="1" si="41"/>
        <v>4</v>
      </c>
    </row>
    <row r="83" spans="1:19" x14ac:dyDescent="0.35">
      <c r="A83" s="105">
        <f t="shared" ca="1" si="26"/>
        <v>113.20000000000019</v>
      </c>
      <c r="B83" s="105" t="str">
        <f t="shared" ca="1" si="27"/>
        <v>循环</v>
      </c>
      <c r="C83" s="105">
        <f t="shared" ca="1" si="28"/>
        <v>1</v>
      </c>
      <c r="D83" s="105">
        <f t="shared" ca="1" si="29"/>
        <v>29.385000000000048</v>
      </c>
      <c r="E83" s="105">
        <f t="shared" ca="1" si="30"/>
        <v>15.02000000000001</v>
      </c>
      <c r="F83" s="105">
        <f t="shared" ca="1" si="31"/>
        <v>16.435000000000009</v>
      </c>
      <c r="G83" s="105">
        <f t="shared" ca="1" si="42"/>
        <v>1</v>
      </c>
      <c r="H83" s="105">
        <f t="shared" ca="1" si="43"/>
        <v>11.060000000000031</v>
      </c>
      <c r="I83" s="105">
        <f t="shared" ca="1" si="32"/>
        <v>0</v>
      </c>
      <c r="J83" s="105">
        <f t="shared" ca="1" si="33"/>
        <v>0</v>
      </c>
      <c r="K83" s="105">
        <f t="shared" ca="1" si="34"/>
        <v>0</v>
      </c>
      <c r="L83" s="105">
        <f t="shared" ca="1" si="35"/>
        <v>1</v>
      </c>
      <c r="M83" s="105">
        <f t="shared" ca="1" si="36"/>
        <v>0</v>
      </c>
      <c r="N83" s="105">
        <f t="shared" ca="1" si="35"/>
        <v>0</v>
      </c>
      <c r="O83" s="105">
        <f t="shared" ca="1" si="37"/>
        <v>0</v>
      </c>
      <c r="P83" s="105">
        <f t="shared" ca="1" si="38"/>
        <v>1</v>
      </c>
      <c r="Q83" s="105">
        <f t="shared" ca="1" si="39"/>
        <v>0</v>
      </c>
      <c r="R83" s="105">
        <f t="shared" ca="1" si="40"/>
        <v>0</v>
      </c>
      <c r="S83" s="105">
        <f t="shared" ca="1" si="41"/>
        <v>4</v>
      </c>
    </row>
    <row r="84" spans="1:19" x14ac:dyDescent="0.35">
      <c r="A84" s="105">
        <f t="shared" ca="1" si="26"/>
        <v>114.61500000000019</v>
      </c>
      <c r="B84" s="105" t="str">
        <f t="shared" ca="1" si="27"/>
        <v>循环</v>
      </c>
      <c r="C84" s="105">
        <f t="shared" ca="1" si="28"/>
        <v>1</v>
      </c>
      <c r="D84" s="105">
        <f t="shared" ca="1" si="29"/>
        <v>27.970000000000049</v>
      </c>
      <c r="E84" s="105">
        <f t="shared" ca="1" si="30"/>
        <v>13.605000000000011</v>
      </c>
      <c r="F84" s="105">
        <f t="shared" ca="1" si="31"/>
        <v>15.02000000000001</v>
      </c>
      <c r="G84" s="105">
        <f t="shared" ca="1" si="42"/>
        <v>1</v>
      </c>
      <c r="H84" s="105">
        <f t="shared" ca="1" si="43"/>
        <v>9.6450000000000315</v>
      </c>
      <c r="I84" s="105">
        <f t="shared" ca="1" si="32"/>
        <v>0</v>
      </c>
      <c r="J84" s="105">
        <f t="shared" ca="1" si="33"/>
        <v>0</v>
      </c>
      <c r="K84" s="105">
        <f t="shared" ca="1" si="34"/>
        <v>0</v>
      </c>
      <c r="L84" s="105">
        <f t="shared" ca="1" si="35"/>
        <v>0</v>
      </c>
      <c r="M84" s="105">
        <f t="shared" ca="1" si="36"/>
        <v>0</v>
      </c>
      <c r="N84" s="105">
        <f t="shared" ca="1" si="35"/>
        <v>0</v>
      </c>
      <c r="O84" s="105">
        <f t="shared" ca="1" si="37"/>
        <v>0</v>
      </c>
      <c r="P84" s="105">
        <f t="shared" ca="1" si="38"/>
        <v>0</v>
      </c>
      <c r="Q84" s="105">
        <f t="shared" ca="1" si="39"/>
        <v>0</v>
      </c>
      <c r="R84" s="105">
        <f t="shared" ca="1" si="40"/>
        <v>0</v>
      </c>
      <c r="S84" s="105">
        <f t="shared" ca="1" si="41"/>
        <v>4</v>
      </c>
    </row>
    <row r="85" spans="1:19" x14ac:dyDescent="0.35">
      <c r="A85" s="105">
        <f t="shared" ca="1" si="26"/>
        <v>116.0300000000002</v>
      </c>
      <c r="B85" s="105" t="str">
        <f t="shared" ca="1" si="27"/>
        <v>循环</v>
      </c>
      <c r="C85" s="105">
        <f t="shared" ca="1" si="28"/>
        <v>1</v>
      </c>
      <c r="D85" s="105">
        <f t="shared" ca="1" si="29"/>
        <v>26.555000000000049</v>
      </c>
      <c r="E85" s="105">
        <f t="shared" ca="1" si="30"/>
        <v>12.190000000000012</v>
      </c>
      <c r="F85" s="105">
        <f t="shared" ca="1" si="31"/>
        <v>13.605000000000011</v>
      </c>
      <c r="G85" s="105">
        <f t="shared" ca="1" si="42"/>
        <v>1</v>
      </c>
      <c r="H85" s="105">
        <f t="shared" ca="1" si="43"/>
        <v>8.2300000000000324</v>
      </c>
      <c r="I85" s="105">
        <f t="shared" ca="1" si="32"/>
        <v>0</v>
      </c>
      <c r="J85" s="105">
        <f t="shared" ca="1" si="33"/>
        <v>0</v>
      </c>
      <c r="K85" s="105">
        <f t="shared" ca="1" si="34"/>
        <v>0</v>
      </c>
      <c r="L85" s="105">
        <f t="shared" ca="1" si="35"/>
        <v>0</v>
      </c>
      <c r="M85" s="105">
        <f t="shared" ca="1" si="36"/>
        <v>0</v>
      </c>
      <c r="N85" s="105">
        <f t="shared" ca="1" si="35"/>
        <v>0</v>
      </c>
      <c r="O85" s="105">
        <f t="shared" ca="1" si="37"/>
        <v>0</v>
      </c>
      <c r="P85" s="105">
        <f t="shared" ca="1" si="38"/>
        <v>0</v>
      </c>
      <c r="Q85" s="105">
        <f t="shared" ca="1" si="39"/>
        <v>0</v>
      </c>
      <c r="R85" s="105">
        <f t="shared" ca="1" si="40"/>
        <v>0</v>
      </c>
      <c r="S85" s="105">
        <f t="shared" ca="1" si="41"/>
        <v>4</v>
      </c>
    </row>
    <row r="86" spans="1:19" x14ac:dyDescent="0.35">
      <c r="A86" s="105">
        <f t="shared" ca="1" si="26"/>
        <v>117.44500000000021</v>
      </c>
      <c r="B86" s="105" t="str">
        <f t="shared" ca="1" si="27"/>
        <v>循环</v>
      </c>
      <c r="C86" s="105">
        <f t="shared" ca="1" si="28"/>
        <v>1</v>
      </c>
      <c r="D86" s="105">
        <f t="shared" ca="1" si="29"/>
        <v>25.14000000000005</v>
      </c>
      <c r="E86" s="105">
        <f t="shared" ca="1" si="30"/>
        <v>10.775000000000013</v>
      </c>
      <c r="F86" s="105">
        <f t="shared" ca="1" si="31"/>
        <v>12.190000000000012</v>
      </c>
      <c r="G86" s="105">
        <f t="shared" ca="1" si="42"/>
        <v>1</v>
      </c>
      <c r="H86" s="105">
        <f t="shared" ca="1" si="43"/>
        <v>6.8150000000000324</v>
      </c>
      <c r="I86" s="105">
        <f t="shared" ca="1" si="32"/>
        <v>0</v>
      </c>
      <c r="J86" s="105">
        <f t="shared" ca="1" si="33"/>
        <v>0</v>
      </c>
      <c r="K86" s="105">
        <f t="shared" ca="1" si="34"/>
        <v>0</v>
      </c>
      <c r="L86" s="105">
        <f t="shared" ca="1" si="35"/>
        <v>0</v>
      </c>
      <c r="M86" s="105">
        <f t="shared" ca="1" si="36"/>
        <v>0</v>
      </c>
      <c r="N86" s="105">
        <f t="shared" ca="1" si="35"/>
        <v>0</v>
      </c>
      <c r="O86" s="105">
        <f t="shared" ca="1" si="37"/>
        <v>0</v>
      </c>
      <c r="P86" s="105">
        <f t="shared" ca="1" si="38"/>
        <v>0</v>
      </c>
      <c r="Q86" s="105">
        <f t="shared" ca="1" si="39"/>
        <v>0</v>
      </c>
      <c r="R86" s="105">
        <f t="shared" ca="1" si="40"/>
        <v>0</v>
      </c>
      <c r="S86" s="105">
        <f t="shared" ca="1" si="41"/>
        <v>4</v>
      </c>
    </row>
    <row r="87" spans="1:19" x14ac:dyDescent="0.35">
      <c r="A87" s="105">
        <f t="shared" ca="1" si="26"/>
        <v>118.86000000000021</v>
      </c>
      <c r="B87" s="105" t="str">
        <f t="shared" ca="1" si="27"/>
        <v>循环</v>
      </c>
      <c r="C87" s="105">
        <f t="shared" ca="1" si="28"/>
        <v>1</v>
      </c>
      <c r="D87" s="105">
        <f t="shared" ca="1" si="29"/>
        <v>23.725000000000051</v>
      </c>
      <c r="E87" s="105">
        <f t="shared" ca="1" si="30"/>
        <v>9.3600000000000136</v>
      </c>
      <c r="F87" s="105">
        <f t="shared" ca="1" si="31"/>
        <v>10.775000000000013</v>
      </c>
      <c r="G87" s="105">
        <f t="shared" ca="1" si="42"/>
        <v>1</v>
      </c>
      <c r="H87" s="105">
        <f t="shared" ca="1" si="43"/>
        <v>5.4000000000000323</v>
      </c>
      <c r="I87" s="105">
        <f t="shared" ca="1" si="32"/>
        <v>0</v>
      </c>
      <c r="J87" s="105">
        <f t="shared" ca="1" si="33"/>
        <v>0</v>
      </c>
      <c r="K87" s="105">
        <f t="shared" ca="1" si="34"/>
        <v>0</v>
      </c>
      <c r="L87" s="105">
        <f t="shared" ca="1" si="35"/>
        <v>0</v>
      </c>
      <c r="M87" s="105">
        <f t="shared" ca="1" si="36"/>
        <v>0</v>
      </c>
      <c r="N87" s="105">
        <f t="shared" ca="1" si="35"/>
        <v>0</v>
      </c>
      <c r="O87" s="105">
        <f t="shared" ca="1" si="37"/>
        <v>0</v>
      </c>
      <c r="P87" s="105">
        <f t="shared" ca="1" si="38"/>
        <v>0</v>
      </c>
      <c r="Q87" s="105">
        <f t="shared" ca="1" si="39"/>
        <v>0</v>
      </c>
      <c r="R87" s="105">
        <f t="shared" ca="1" si="40"/>
        <v>0</v>
      </c>
      <c r="S87" s="105">
        <f t="shared" ca="1" si="41"/>
        <v>4</v>
      </c>
    </row>
    <row r="88" spans="1:19" x14ac:dyDescent="0.35">
      <c r="A88" s="105">
        <f t="shared" ca="1" si="26"/>
        <v>120.27500000000022</v>
      </c>
      <c r="B88" s="105" t="str">
        <f t="shared" ca="1" si="27"/>
        <v>循环</v>
      </c>
      <c r="C88" s="105">
        <f t="shared" ca="1" si="28"/>
        <v>1</v>
      </c>
      <c r="D88" s="105">
        <f t="shared" ca="1" si="29"/>
        <v>22.310000000000052</v>
      </c>
      <c r="E88" s="105">
        <f t="shared" ca="1" si="30"/>
        <v>7.9450000000000136</v>
      </c>
      <c r="F88" s="105">
        <f t="shared" ca="1" si="31"/>
        <v>9.3600000000000136</v>
      </c>
      <c r="G88" s="105">
        <f t="shared" ca="1" si="42"/>
        <v>1</v>
      </c>
      <c r="H88" s="105">
        <f t="shared" ca="1" si="43"/>
        <v>3.9850000000000323</v>
      </c>
      <c r="I88" s="105">
        <f t="shared" ca="1" si="32"/>
        <v>0</v>
      </c>
      <c r="J88" s="105">
        <f t="shared" ca="1" si="33"/>
        <v>0</v>
      </c>
      <c r="K88" s="105">
        <f t="shared" ca="1" si="34"/>
        <v>0</v>
      </c>
      <c r="L88" s="105">
        <f t="shared" ca="1" si="35"/>
        <v>0</v>
      </c>
      <c r="M88" s="105">
        <f t="shared" ca="1" si="36"/>
        <v>0</v>
      </c>
      <c r="N88" s="105">
        <f t="shared" ca="1" si="35"/>
        <v>0</v>
      </c>
      <c r="O88" s="105">
        <f t="shared" ca="1" si="37"/>
        <v>0</v>
      </c>
      <c r="P88" s="105">
        <f t="shared" ca="1" si="38"/>
        <v>0</v>
      </c>
      <c r="Q88" s="105">
        <f t="shared" ca="1" si="39"/>
        <v>0</v>
      </c>
      <c r="R88" s="105">
        <f t="shared" ca="1" si="40"/>
        <v>0</v>
      </c>
      <c r="S88" s="105">
        <f t="shared" ca="1" si="41"/>
        <v>4</v>
      </c>
    </row>
    <row r="89" spans="1:19" x14ac:dyDescent="0.35">
      <c r="A89" s="105">
        <f t="shared" ca="1" si="26"/>
        <v>121.69000000000023</v>
      </c>
      <c r="B89" s="105" t="str">
        <f t="shared" ca="1" si="27"/>
        <v>循环</v>
      </c>
      <c r="C89" s="105">
        <f t="shared" ca="1" si="28"/>
        <v>1</v>
      </c>
      <c r="D89" s="105">
        <f t="shared" ca="1" si="29"/>
        <v>20.895000000000053</v>
      </c>
      <c r="E89" s="105">
        <f t="shared" ca="1" si="30"/>
        <v>6.5300000000000136</v>
      </c>
      <c r="F89" s="105">
        <f t="shared" ca="1" si="31"/>
        <v>7.9450000000000136</v>
      </c>
      <c r="G89" s="105">
        <f t="shared" ca="1" si="42"/>
        <v>1</v>
      </c>
      <c r="H89" s="105">
        <f t="shared" ca="1" si="43"/>
        <v>2.5700000000000323</v>
      </c>
      <c r="I89" s="105">
        <f t="shared" ca="1" si="32"/>
        <v>0</v>
      </c>
      <c r="J89" s="105">
        <f t="shared" ca="1" si="33"/>
        <v>0</v>
      </c>
      <c r="K89" s="105">
        <f t="shared" ca="1" si="34"/>
        <v>0</v>
      </c>
      <c r="L89" s="105">
        <f t="shared" ca="1" si="35"/>
        <v>0</v>
      </c>
      <c r="M89" s="105">
        <f t="shared" ca="1" si="36"/>
        <v>0</v>
      </c>
      <c r="N89" s="105">
        <f t="shared" ca="1" si="35"/>
        <v>0</v>
      </c>
      <c r="O89" s="105">
        <f t="shared" ca="1" si="37"/>
        <v>0</v>
      </c>
      <c r="P89" s="105">
        <f t="shared" ca="1" si="38"/>
        <v>0</v>
      </c>
      <c r="Q89" s="105">
        <f t="shared" ca="1" si="39"/>
        <v>0</v>
      </c>
      <c r="R89" s="105">
        <f t="shared" ca="1" si="40"/>
        <v>0</v>
      </c>
      <c r="S89" s="105">
        <f t="shared" ca="1" si="41"/>
        <v>4</v>
      </c>
    </row>
    <row r="90" spans="1:19" x14ac:dyDescent="0.35">
      <c r="A90" s="105">
        <f t="shared" ca="1" si="26"/>
        <v>123.10500000000023</v>
      </c>
      <c r="B90" s="105" t="str">
        <f t="shared" ca="1" si="27"/>
        <v>循环</v>
      </c>
      <c r="C90" s="105">
        <f t="shared" ca="1" si="28"/>
        <v>1</v>
      </c>
      <c r="D90" s="105">
        <f t="shared" ca="1" si="29"/>
        <v>19.480000000000054</v>
      </c>
      <c r="E90" s="105">
        <f t="shared" ca="1" si="30"/>
        <v>5.1150000000000135</v>
      </c>
      <c r="F90" s="105">
        <f t="shared" ca="1" si="31"/>
        <v>6.5300000000000136</v>
      </c>
      <c r="G90" s="105">
        <f t="shared" ca="1" si="42"/>
        <v>1</v>
      </c>
      <c r="H90" s="105">
        <f t="shared" ca="1" si="43"/>
        <v>1.1550000000000322</v>
      </c>
      <c r="I90" s="105">
        <f t="shared" ca="1" si="32"/>
        <v>0</v>
      </c>
      <c r="J90" s="105">
        <f t="shared" ca="1" si="33"/>
        <v>0</v>
      </c>
      <c r="K90" s="105">
        <f t="shared" ca="1" si="34"/>
        <v>0</v>
      </c>
      <c r="L90" s="105">
        <f t="shared" ca="1" si="35"/>
        <v>0</v>
      </c>
      <c r="M90" s="105">
        <f t="shared" ca="1" si="36"/>
        <v>0</v>
      </c>
      <c r="N90" s="105">
        <f t="shared" ca="1" si="35"/>
        <v>0</v>
      </c>
      <c r="O90" s="105">
        <f t="shared" ca="1" si="37"/>
        <v>0</v>
      </c>
      <c r="P90" s="105">
        <f t="shared" ca="1" si="38"/>
        <v>0</v>
      </c>
      <c r="Q90" s="105">
        <f t="shared" ca="1" si="39"/>
        <v>0</v>
      </c>
      <c r="R90" s="105">
        <f t="shared" ca="1" si="40"/>
        <v>0</v>
      </c>
      <c r="S90" s="105">
        <f t="shared" ca="1" si="41"/>
        <v>4</v>
      </c>
    </row>
    <row r="91" spans="1:19" x14ac:dyDescent="0.35">
      <c r="A91" s="105">
        <f t="shared" ca="1" si="26"/>
        <v>124.52000000000024</v>
      </c>
      <c r="B91" s="105" t="str">
        <f t="shared" ca="1" si="27"/>
        <v>循环</v>
      </c>
      <c r="C91" s="105">
        <f t="shared" ca="1" si="28"/>
        <v>1</v>
      </c>
      <c r="D91" s="105">
        <f t="shared" ca="1" si="29"/>
        <v>18.065000000000055</v>
      </c>
      <c r="E91" s="105">
        <f t="shared" ca="1" si="30"/>
        <v>3.7000000000000135</v>
      </c>
      <c r="F91" s="105">
        <f t="shared" ca="1" si="31"/>
        <v>5.1150000000000135</v>
      </c>
      <c r="G91" s="105">
        <f t="shared" ca="1" si="42"/>
        <v>1</v>
      </c>
      <c r="H91" s="105">
        <f t="shared" ca="1" si="43"/>
        <v>0</v>
      </c>
      <c r="I91" s="105">
        <f t="shared" ca="1" si="32"/>
        <v>0</v>
      </c>
      <c r="J91" s="105">
        <f t="shared" ca="1" si="33"/>
        <v>0</v>
      </c>
      <c r="K91" s="105">
        <f t="shared" ca="1" si="34"/>
        <v>0</v>
      </c>
      <c r="L91" s="105">
        <f t="shared" ca="1" si="35"/>
        <v>0</v>
      </c>
      <c r="M91" s="105">
        <f t="shared" ca="1" si="36"/>
        <v>0</v>
      </c>
      <c r="N91" s="105">
        <f t="shared" ca="1" si="35"/>
        <v>0</v>
      </c>
      <c r="O91" s="105">
        <f t="shared" ca="1" si="37"/>
        <v>0</v>
      </c>
      <c r="P91" s="105">
        <f t="shared" ca="1" si="38"/>
        <v>0</v>
      </c>
      <c r="Q91" s="105">
        <f t="shared" ca="1" si="39"/>
        <v>0</v>
      </c>
      <c r="R91" s="105">
        <f t="shared" ca="1" si="40"/>
        <v>0</v>
      </c>
      <c r="S91" s="105">
        <f t="shared" ca="1" si="41"/>
        <v>4</v>
      </c>
    </row>
    <row r="92" spans="1:19" x14ac:dyDescent="0.35">
      <c r="A92" s="105">
        <f t="shared" ca="1" si="26"/>
        <v>125.93500000000024</v>
      </c>
      <c r="B92" s="105" t="str">
        <f t="shared" ca="1" si="27"/>
        <v>循环</v>
      </c>
      <c r="C92" s="105">
        <f t="shared" ca="1" si="28"/>
        <v>1</v>
      </c>
      <c r="D92" s="105">
        <f t="shared" ca="1" si="29"/>
        <v>16.650000000000055</v>
      </c>
      <c r="E92" s="105">
        <f t="shared" ca="1" si="30"/>
        <v>2.2850000000000135</v>
      </c>
      <c r="F92" s="105">
        <f t="shared" ca="1" si="31"/>
        <v>3.7000000000000135</v>
      </c>
      <c r="G92" s="105">
        <f t="shared" ca="1" si="42"/>
        <v>0</v>
      </c>
      <c r="H92" s="105">
        <f t="shared" ca="1" si="43"/>
        <v>0</v>
      </c>
      <c r="I92" s="105">
        <f t="shared" ca="1" si="32"/>
        <v>0</v>
      </c>
      <c r="J92" s="105">
        <f t="shared" ca="1" si="33"/>
        <v>0</v>
      </c>
      <c r="K92" s="105">
        <f t="shared" ca="1" si="34"/>
        <v>0</v>
      </c>
      <c r="L92" s="105">
        <f t="shared" ca="1" si="35"/>
        <v>0</v>
      </c>
      <c r="M92" s="105">
        <f t="shared" ca="1" si="36"/>
        <v>0</v>
      </c>
      <c r="N92" s="105">
        <f t="shared" ca="1" si="35"/>
        <v>0</v>
      </c>
      <c r="O92" s="105">
        <f t="shared" ca="1" si="37"/>
        <v>0</v>
      </c>
      <c r="P92" s="105">
        <f t="shared" ca="1" si="38"/>
        <v>0</v>
      </c>
      <c r="Q92" s="105">
        <f t="shared" ca="1" si="39"/>
        <v>0</v>
      </c>
      <c r="R92" s="105">
        <f t="shared" ca="1" si="40"/>
        <v>0</v>
      </c>
      <c r="S92" s="105">
        <f t="shared" ca="1" si="41"/>
        <v>4</v>
      </c>
    </row>
    <row r="93" spans="1:19" x14ac:dyDescent="0.35">
      <c r="A93" s="105">
        <f t="shared" ca="1" si="26"/>
        <v>127.35000000000025</v>
      </c>
      <c r="B93" s="105" t="str">
        <f t="shared" ca="1" si="27"/>
        <v>突循环</v>
      </c>
      <c r="C93" s="105">
        <f t="shared" ca="1" si="28"/>
        <v>1</v>
      </c>
      <c r="D93" s="105">
        <f t="shared" ca="1" si="29"/>
        <v>15.235000000000056</v>
      </c>
      <c r="E93" s="105">
        <f t="shared" ca="1" si="30"/>
        <v>0.87000000000001343</v>
      </c>
      <c r="F93" s="105">
        <f t="shared" ca="1" si="31"/>
        <v>2.2850000000000135</v>
      </c>
      <c r="G93" s="105">
        <f t="shared" ca="1" si="42"/>
        <v>0</v>
      </c>
      <c r="H93" s="105">
        <f t="shared" ca="1" si="43"/>
        <v>60.585000000000001</v>
      </c>
      <c r="I93" s="105">
        <f t="shared" ca="1" si="32"/>
        <v>0</v>
      </c>
      <c r="J93" s="105">
        <f t="shared" ca="1" si="33"/>
        <v>0</v>
      </c>
      <c r="K93" s="105">
        <f t="shared" ca="1" si="34"/>
        <v>0</v>
      </c>
      <c r="L93" s="105">
        <f t="shared" ca="1" si="35"/>
        <v>0</v>
      </c>
      <c r="M93" s="105">
        <f t="shared" ca="1" si="36"/>
        <v>0</v>
      </c>
      <c r="N93" s="105">
        <f t="shared" ca="1" si="35"/>
        <v>0</v>
      </c>
      <c r="O93" s="105">
        <f t="shared" ca="1" si="37"/>
        <v>0</v>
      </c>
      <c r="P93" s="105">
        <f t="shared" ca="1" si="38"/>
        <v>0</v>
      </c>
      <c r="Q93" s="105">
        <f t="shared" ca="1" si="39"/>
        <v>0</v>
      </c>
      <c r="R93" s="105">
        <f t="shared" ca="1" si="40"/>
        <v>0</v>
      </c>
      <c r="S93" s="105">
        <f t="shared" ca="1" si="41"/>
        <v>4</v>
      </c>
    </row>
    <row r="94" spans="1:19" x14ac:dyDescent="0.35">
      <c r="A94" s="105">
        <f t="shared" ca="1" si="26"/>
        <v>128.76500000000024</v>
      </c>
      <c r="B94" s="105" t="str">
        <f t="shared" ca="1" si="27"/>
        <v>循环</v>
      </c>
      <c r="C94" s="105">
        <f t="shared" ca="1" si="28"/>
        <v>1</v>
      </c>
      <c r="D94" s="105">
        <f t="shared" ca="1" si="29"/>
        <v>13.820000000000057</v>
      </c>
      <c r="E94" s="105">
        <f t="shared" ca="1" si="30"/>
        <v>0</v>
      </c>
      <c r="F94" s="105">
        <f t="shared" ca="1" si="31"/>
        <v>0.87000000000001343</v>
      </c>
      <c r="G94" s="105">
        <f t="shared" ca="1" si="42"/>
        <v>0</v>
      </c>
      <c r="H94" s="105">
        <f t="shared" ca="1" si="43"/>
        <v>59.17</v>
      </c>
      <c r="I94" s="105">
        <f t="shared" ca="1" si="32"/>
        <v>0</v>
      </c>
      <c r="J94" s="105">
        <f t="shared" ca="1" si="33"/>
        <v>0</v>
      </c>
      <c r="K94" s="105">
        <f t="shared" ca="1" si="34"/>
        <v>0</v>
      </c>
      <c r="L94" s="105">
        <f t="shared" ca="1" si="35"/>
        <v>0</v>
      </c>
      <c r="M94" s="105">
        <f t="shared" ca="1" si="36"/>
        <v>0</v>
      </c>
      <c r="N94" s="105">
        <f t="shared" ca="1" si="35"/>
        <v>0</v>
      </c>
      <c r="O94" s="105">
        <f t="shared" ca="1" si="37"/>
        <v>0</v>
      </c>
      <c r="P94" s="105">
        <f t="shared" ca="1" si="38"/>
        <v>0</v>
      </c>
      <c r="Q94" s="105">
        <f t="shared" ca="1" si="39"/>
        <v>0</v>
      </c>
      <c r="R94" s="105">
        <f t="shared" ca="1" si="40"/>
        <v>0</v>
      </c>
      <c r="S94" s="105">
        <f t="shared" ca="1" si="41"/>
        <v>4</v>
      </c>
    </row>
    <row r="95" spans="1:19" x14ac:dyDescent="0.35">
      <c r="A95" s="105">
        <f t="shared" ca="1" si="26"/>
        <v>130.18000000000023</v>
      </c>
      <c r="B95" s="105" t="str">
        <f t="shared" ca="1" si="27"/>
        <v>渊任</v>
      </c>
      <c r="C95" s="105">
        <f t="shared" ca="1" si="28"/>
        <v>0</v>
      </c>
      <c r="D95" s="105">
        <f t="shared" ca="1" si="29"/>
        <v>12.405000000000058</v>
      </c>
      <c r="E95" s="105">
        <f t="shared" ca="1" si="30"/>
        <v>30.585000000000001</v>
      </c>
      <c r="F95" s="105">
        <f t="shared" ca="1" si="31"/>
        <v>0</v>
      </c>
      <c r="G95" s="105">
        <f t="shared" ca="1" si="42"/>
        <v>1</v>
      </c>
      <c r="H95" s="105">
        <f t="shared" ca="1" si="43"/>
        <v>57.755000000000003</v>
      </c>
      <c r="I95" s="105">
        <f t="shared" ca="1" si="32"/>
        <v>0</v>
      </c>
      <c r="J95" s="105">
        <f t="shared" ca="1" si="33"/>
        <v>0</v>
      </c>
      <c r="K95" s="105">
        <f t="shared" ca="1" si="34"/>
        <v>14.272500000000001</v>
      </c>
      <c r="L95" s="105">
        <f t="shared" ca="1" si="35"/>
        <v>1</v>
      </c>
      <c r="M95" s="105">
        <f t="shared" ca="1" si="36"/>
        <v>0</v>
      </c>
      <c r="N95" s="105">
        <f t="shared" ca="1" si="35"/>
        <v>0</v>
      </c>
      <c r="O95" s="105">
        <f t="shared" ca="1" si="37"/>
        <v>0</v>
      </c>
      <c r="P95" s="105">
        <f t="shared" ca="1" si="38"/>
        <v>0</v>
      </c>
      <c r="Q95" s="105">
        <f t="shared" ca="1" si="39"/>
        <v>8.5850000000000009</v>
      </c>
      <c r="R95" s="105">
        <f t="shared" ca="1" si="40"/>
        <v>1</v>
      </c>
      <c r="S95" s="105">
        <f t="shared" ca="1" si="41"/>
        <v>4</v>
      </c>
    </row>
    <row r="96" spans="1:19" x14ac:dyDescent="0.35">
      <c r="A96" s="105">
        <f t="shared" ca="1" si="26"/>
        <v>131.59500000000023</v>
      </c>
      <c r="B96" s="105" t="str">
        <f t="shared" ca="1" si="27"/>
        <v>雷循环</v>
      </c>
      <c r="C96" s="105">
        <f t="shared" ca="1" si="28"/>
        <v>0</v>
      </c>
      <c r="D96" s="105">
        <f t="shared" ca="1" si="29"/>
        <v>10.990000000000059</v>
      </c>
      <c r="E96" s="105">
        <f t="shared" ca="1" si="30"/>
        <v>29.17</v>
      </c>
      <c r="F96" s="105">
        <f t="shared" ca="1" si="31"/>
        <v>30.585000000000001</v>
      </c>
      <c r="G96" s="105">
        <f t="shared" ca="1" si="42"/>
        <v>1</v>
      </c>
      <c r="H96" s="105">
        <f t="shared" ca="1" si="43"/>
        <v>56.34</v>
      </c>
      <c r="I96" s="105">
        <f t="shared" ca="1" si="32"/>
        <v>0</v>
      </c>
      <c r="J96" s="105">
        <f t="shared" ca="1" si="33"/>
        <v>0</v>
      </c>
      <c r="K96" s="105">
        <f t="shared" ca="1" si="34"/>
        <v>12.857500000000002</v>
      </c>
      <c r="L96" s="105">
        <f t="shared" ca="1" si="35"/>
        <v>1</v>
      </c>
      <c r="M96" s="105">
        <f t="shared" ca="1" si="36"/>
        <v>0</v>
      </c>
      <c r="N96" s="105">
        <f t="shared" ca="1" si="35"/>
        <v>0</v>
      </c>
      <c r="O96" s="105">
        <f t="shared" ca="1" si="37"/>
        <v>13.585000000000001</v>
      </c>
      <c r="P96" s="105">
        <f t="shared" ca="1" si="38"/>
        <v>1</v>
      </c>
      <c r="Q96" s="105">
        <f t="shared" ca="1" si="39"/>
        <v>7.1700000000000008</v>
      </c>
      <c r="R96" s="105">
        <f t="shared" ca="1" si="40"/>
        <v>1</v>
      </c>
      <c r="S96" s="105">
        <f t="shared" ca="1" si="41"/>
        <v>5</v>
      </c>
    </row>
    <row r="97" spans="1:19" x14ac:dyDescent="0.35">
      <c r="A97" s="105">
        <f t="shared" ca="1" si="26"/>
        <v>133.01000000000022</v>
      </c>
      <c r="B97" s="105" t="str">
        <f t="shared" ca="1" si="27"/>
        <v>循环</v>
      </c>
      <c r="C97" s="105">
        <f t="shared" ca="1" si="28"/>
        <v>0</v>
      </c>
      <c r="D97" s="105">
        <f t="shared" ca="1" si="29"/>
        <v>9.5750000000000597</v>
      </c>
      <c r="E97" s="105">
        <f t="shared" ca="1" si="30"/>
        <v>27.755000000000003</v>
      </c>
      <c r="F97" s="105">
        <f t="shared" ca="1" si="31"/>
        <v>29.17</v>
      </c>
      <c r="G97" s="105">
        <f t="shared" ca="1" si="42"/>
        <v>1</v>
      </c>
      <c r="H97" s="105">
        <f t="shared" ca="1" si="43"/>
        <v>54.925000000000004</v>
      </c>
      <c r="I97" s="105">
        <f t="shared" ca="1" si="32"/>
        <v>0</v>
      </c>
      <c r="J97" s="105">
        <f t="shared" ca="1" si="33"/>
        <v>0</v>
      </c>
      <c r="K97" s="105">
        <f t="shared" ca="1" si="34"/>
        <v>11.442500000000003</v>
      </c>
      <c r="L97" s="105">
        <f t="shared" ca="1" si="35"/>
        <v>1</v>
      </c>
      <c r="M97" s="105">
        <f t="shared" ca="1" si="36"/>
        <v>0</v>
      </c>
      <c r="N97" s="105">
        <f t="shared" ca="1" si="35"/>
        <v>0</v>
      </c>
      <c r="O97" s="105">
        <f t="shared" ca="1" si="37"/>
        <v>12.170000000000002</v>
      </c>
      <c r="P97" s="105">
        <f t="shared" ca="1" si="38"/>
        <v>1</v>
      </c>
      <c r="Q97" s="105">
        <f t="shared" ca="1" si="39"/>
        <v>5.7550000000000008</v>
      </c>
      <c r="R97" s="105">
        <f t="shared" ca="1" si="40"/>
        <v>1</v>
      </c>
      <c r="S97" s="105">
        <f t="shared" ca="1" si="41"/>
        <v>5</v>
      </c>
    </row>
    <row r="98" spans="1:19" x14ac:dyDescent="0.35">
      <c r="A98" s="105">
        <f t="shared" ca="1" si="26"/>
        <v>134.42500000000021</v>
      </c>
      <c r="B98" s="105" t="str">
        <f t="shared" ca="1" si="27"/>
        <v>循环</v>
      </c>
      <c r="C98" s="105">
        <f t="shared" ca="1" si="28"/>
        <v>0</v>
      </c>
      <c r="D98" s="105">
        <f t="shared" ca="1" si="29"/>
        <v>8.1600000000000605</v>
      </c>
      <c r="E98" s="105">
        <f t="shared" ca="1" si="30"/>
        <v>26.340000000000003</v>
      </c>
      <c r="F98" s="105">
        <f t="shared" ca="1" si="31"/>
        <v>27.755000000000003</v>
      </c>
      <c r="G98" s="105">
        <f t="shared" ca="1" si="42"/>
        <v>1</v>
      </c>
      <c r="H98" s="105">
        <f t="shared" ca="1" si="43"/>
        <v>53.510000000000005</v>
      </c>
      <c r="I98" s="105">
        <f t="shared" ca="1" si="32"/>
        <v>0</v>
      </c>
      <c r="J98" s="105">
        <f t="shared" ca="1" si="33"/>
        <v>0</v>
      </c>
      <c r="K98" s="105">
        <f t="shared" ca="1" si="34"/>
        <v>10.027500000000003</v>
      </c>
      <c r="L98" s="105">
        <f t="shared" ca="1" si="35"/>
        <v>1</v>
      </c>
      <c r="M98" s="105">
        <f t="shared" ca="1" si="36"/>
        <v>0</v>
      </c>
      <c r="N98" s="105">
        <f t="shared" ca="1" si="35"/>
        <v>0</v>
      </c>
      <c r="O98" s="105">
        <f t="shared" ca="1" si="37"/>
        <v>10.755000000000003</v>
      </c>
      <c r="P98" s="105">
        <f t="shared" ca="1" si="38"/>
        <v>1</v>
      </c>
      <c r="Q98" s="105">
        <f t="shared" ca="1" si="39"/>
        <v>4.3400000000000007</v>
      </c>
      <c r="R98" s="105">
        <f t="shared" ca="1" si="40"/>
        <v>1</v>
      </c>
      <c r="S98" s="105">
        <f t="shared" ca="1" si="41"/>
        <v>5</v>
      </c>
    </row>
    <row r="99" spans="1:19" x14ac:dyDescent="0.35">
      <c r="A99" s="105">
        <f t="shared" ca="1" si="26"/>
        <v>135.8400000000002</v>
      </c>
      <c r="B99" s="105" t="str">
        <f t="shared" ca="1" si="27"/>
        <v>循环</v>
      </c>
      <c r="C99" s="105">
        <f t="shared" ca="1" si="28"/>
        <v>0</v>
      </c>
      <c r="D99" s="105">
        <f t="shared" ca="1" si="29"/>
        <v>6.7450000000000605</v>
      </c>
      <c r="E99" s="105">
        <f t="shared" ca="1" si="30"/>
        <v>24.925000000000004</v>
      </c>
      <c r="F99" s="105">
        <f t="shared" ca="1" si="31"/>
        <v>26.340000000000003</v>
      </c>
      <c r="G99" s="105">
        <f t="shared" ca="1" si="42"/>
        <v>1</v>
      </c>
      <c r="H99" s="105">
        <f t="shared" ca="1" si="43"/>
        <v>52.095000000000006</v>
      </c>
      <c r="I99" s="105">
        <f t="shared" ca="1" si="32"/>
        <v>0</v>
      </c>
      <c r="J99" s="105">
        <f t="shared" ca="1" si="33"/>
        <v>0</v>
      </c>
      <c r="K99" s="105">
        <f t="shared" ca="1" si="34"/>
        <v>8.6125000000000043</v>
      </c>
      <c r="L99" s="105">
        <f t="shared" ca="1" si="35"/>
        <v>1</v>
      </c>
      <c r="M99" s="105">
        <f t="shared" ca="1" si="36"/>
        <v>0</v>
      </c>
      <c r="N99" s="105">
        <f t="shared" ca="1" si="35"/>
        <v>0</v>
      </c>
      <c r="O99" s="105">
        <f t="shared" ca="1" si="37"/>
        <v>9.3400000000000034</v>
      </c>
      <c r="P99" s="105">
        <f t="shared" ca="1" si="38"/>
        <v>1</v>
      </c>
      <c r="Q99" s="105">
        <f t="shared" ca="1" si="39"/>
        <v>2.9250000000000007</v>
      </c>
      <c r="R99" s="105">
        <f t="shared" ca="1" si="40"/>
        <v>1</v>
      </c>
      <c r="S99" s="105">
        <f t="shared" ca="1" si="41"/>
        <v>5</v>
      </c>
    </row>
    <row r="100" spans="1:19" x14ac:dyDescent="0.35">
      <c r="A100" s="105">
        <f t="shared" ca="1" si="26"/>
        <v>137.25500000000019</v>
      </c>
      <c r="B100" s="105" t="str">
        <f t="shared" ca="1" si="27"/>
        <v>循环</v>
      </c>
      <c r="C100" s="105">
        <f t="shared" ca="1" si="28"/>
        <v>0</v>
      </c>
      <c r="D100" s="105">
        <f t="shared" ca="1" si="29"/>
        <v>5.3300000000000605</v>
      </c>
      <c r="E100" s="105">
        <f t="shared" ca="1" si="30"/>
        <v>23.510000000000005</v>
      </c>
      <c r="F100" s="105">
        <f t="shared" ca="1" si="31"/>
        <v>24.925000000000004</v>
      </c>
      <c r="G100" s="105">
        <f t="shared" ca="1" si="42"/>
        <v>1</v>
      </c>
      <c r="H100" s="105">
        <f t="shared" ca="1" si="43"/>
        <v>50.680000000000007</v>
      </c>
      <c r="I100" s="105">
        <f t="shared" ca="1" si="32"/>
        <v>0</v>
      </c>
      <c r="J100" s="105">
        <f t="shared" ca="1" si="33"/>
        <v>0</v>
      </c>
      <c r="K100" s="105">
        <f t="shared" ca="1" si="34"/>
        <v>7.1975000000000042</v>
      </c>
      <c r="L100" s="105">
        <f t="shared" ca="1" si="35"/>
        <v>1</v>
      </c>
      <c r="M100" s="105">
        <f t="shared" ca="1" si="36"/>
        <v>0</v>
      </c>
      <c r="N100" s="105">
        <f t="shared" ca="1" si="35"/>
        <v>0</v>
      </c>
      <c r="O100" s="105">
        <f t="shared" ca="1" si="37"/>
        <v>7.9250000000000034</v>
      </c>
      <c r="P100" s="105">
        <f t="shared" ca="1" si="38"/>
        <v>1</v>
      </c>
      <c r="Q100" s="105">
        <f t="shared" ca="1" si="39"/>
        <v>1.5100000000000007</v>
      </c>
      <c r="R100" s="105">
        <f t="shared" ca="1" si="40"/>
        <v>1</v>
      </c>
      <c r="S100" s="105">
        <f t="shared" ca="1" si="41"/>
        <v>5</v>
      </c>
    </row>
    <row r="101" spans="1:19" x14ac:dyDescent="0.35">
      <c r="A101" s="105">
        <f t="shared" ca="1" si="26"/>
        <v>138.67000000000019</v>
      </c>
      <c r="B101" s="105" t="str">
        <f t="shared" ca="1" si="27"/>
        <v>循环</v>
      </c>
      <c r="C101" s="105">
        <f t="shared" ca="1" si="28"/>
        <v>0</v>
      </c>
      <c r="D101" s="105">
        <f t="shared" ca="1" si="29"/>
        <v>3.9150000000000604</v>
      </c>
      <c r="E101" s="105">
        <f t="shared" ca="1" si="30"/>
        <v>22.095000000000006</v>
      </c>
      <c r="F101" s="105">
        <f t="shared" ca="1" si="31"/>
        <v>23.510000000000005</v>
      </c>
      <c r="G101" s="105">
        <f t="shared" ca="1" si="42"/>
        <v>1</v>
      </c>
      <c r="H101" s="105">
        <f t="shared" ca="1" si="43"/>
        <v>49.265000000000008</v>
      </c>
      <c r="I101" s="105">
        <f t="shared" ca="1" si="32"/>
        <v>0</v>
      </c>
      <c r="J101" s="105">
        <f t="shared" ca="1" si="33"/>
        <v>0</v>
      </c>
      <c r="K101" s="105">
        <f t="shared" ca="1" si="34"/>
        <v>5.7825000000000042</v>
      </c>
      <c r="L101" s="105">
        <f t="shared" ca="1" si="35"/>
        <v>1</v>
      </c>
      <c r="M101" s="105">
        <f t="shared" ca="1" si="36"/>
        <v>0</v>
      </c>
      <c r="N101" s="105">
        <f t="shared" ca="1" si="35"/>
        <v>0</v>
      </c>
      <c r="O101" s="105">
        <f t="shared" ca="1" si="37"/>
        <v>6.5100000000000033</v>
      </c>
      <c r="P101" s="105">
        <f t="shared" ca="1" si="38"/>
        <v>1</v>
      </c>
      <c r="Q101" s="105">
        <f t="shared" ca="1" si="39"/>
        <v>9.5000000000000639E-2</v>
      </c>
      <c r="R101" s="105">
        <f t="shared" ca="1" si="40"/>
        <v>1</v>
      </c>
      <c r="S101" s="105">
        <f t="shared" ca="1" si="41"/>
        <v>5</v>
      </c>
    </row>
    <row r="102" spans="1:19" x14ac:dyDescent="0.35">
      <c r="A102" s="105">
        <f t="shared" ca="1" si="26"/>
        <v>140.08500000000018</v>
      </c>
      <c r="B102" s="105" t="str">
        <f t="shared" ca="1" si="27"/>
        <v>循环</v>
      </c>
      <c r="C102" s="105">
        <f t="shared" ca="1" si="28"/>
        <v>0</v>
      </c>
      <c r="D102" s="105">
        <f t="shared" ca="1" si="29"/>
        <v>2.5000000000000604</v>
      </c>
      <c r="E102" s="105">
        <f t="shared" ca="1" si="30"/>
        <v>20.680000000000007</v>
      </c>
      <c r="F102" s="105">
        <f t="shared" ca="1" si="31"/>
        <v>22.095000000000006</v>
      </c>
      <c r="G102" s="105">
        <f t="shared" ca="1" si="42"/>
        <v>1</v>
      </c>
      <c r="H102" s="105">
        <f t="shared" ca="1" si="43"/>
        <v>47.850000000000009</v>
      </c>
      <c r="I102" s="105">
        <f t="shared" ca="1" si="32"/>
        <v>0</v>
      </c>
      <c r="J102" s="105">
        <f t="shared" ca="1" si="33"/>
        <v>0</v>
      </c>
      <c r="K102" s="105">
        <f t="shared" ca="1" si="34"/>
        <v>4.3675000000000042</v>
      </c>
      <c r="L102" s="105">
        <f t="shared" ca="1" si="35"/>
        <v>1</v>
      </c>
      <c r="M102" s="105">
        <f t="shared" ca="1" si="36"/>
        <v>0</v>
      </c>
      <c r="N102" s="105">
        <f t="shared" ca="1" si="35"/>
        <v>0</v>
      </c>
      <c r="O102" s="105">
        <f t="shared" ca="1" si="37"/>
        <v>5.0950000000000033</v>
      </c>
      <c r="P102" s="105">
        <f t="shared" ca="1" si="38"/>
        <v>1</v>
      </c>
      <c r="Q102" s="105">
        <f t="shared" ca="1" si="39"/>
        <v>0</v>
      </c>
      <c r="R102" s="105">
        <f t="shared" ca="1" si="40"/>
        <v>1</v>
      </c>
      <c r="S102" s="105">
        <f t="shared" ca="1" si="41"/>
        <v>5</v>
      </c>
    </row>
    <row r="103" spans="1:19" x14ac:dyDescent="0.35">
      <c r="A103" s="105">
        <f t="shared" ca="1" si="26"/>
        <v>141.50000000000017</v>
      </c>
      <c r="B103" s="105" t="str">
        <f t="shared" ca="1" si="27"/>
        <v>循环</v>
      </c>
      <c r="C103" s="105">
        <f t="shared" ca="1" si="28"/>
        <v>0</v>
      </c>
      <c r="D103" s="105">
        <f t="shared" ca="1" si="29"/>
        <v>1.0850000000000604</v>
      </c>
      <c r="E103" s="105">
        <f t="shared" ca="1" si="30"/>
        <v>19.265000000000008</v>
      </c>
      <c r="F103" s="105">
        <f t="shared" ca="1" si="31"/>
        <v>20.680000000000007</v>
      </c>
      <c r="G103" s="105">
        <f t="shared" ca="1" si="42"/>
        <v>1</v>
      </c>
      <c r="H103" s="105">
        <f t="shared" ca="1" si="43"/>
        <v>46.435000000000009</v>
      </c>
      <c r="I103" s="105">
        <f t="shared" ca="1" si="32"/>
        <v>0</v>
      </c>
      <c r="J103" s="105">
        <f t="shared" ca="1" si="33"/>
        <v>0</v>
      </c>
      <c r="K103" s="105">
        <f t="shared" ca="1" si="34"/>
        <v>2.9525000000000041</v>
      </c>
      <c r="L103" s="105">
        <f t="shared" ca="1" si="35"/>
        <v>1</v>
      </c>
      <c r="M103" s="105">
        <f t="shared" ca="1" si="36"/>
        <v>0</v>
      </c>
      <c r="N103" s="105">
        <f t="shared" ca="1" si="35"/>
        <v>0</v>
      </c>
      <c r="O103" s="105">
        <f t="shared" ca="1" si="37"/>
        <v>3.6800000000000033</v>
      </c>
      <c r="P103" s="105">
        <f t="shared" ca="1" si="38"/>
        <v>1</v>
      </c>
      <c r="Q103" s="105">
        <f t="shared" ca="1" si="39"/>
        <v>0</v>
      </c>
      <c r="R103" s="105">
        <f t="shared" ca="1" si="40"/>
        <v>0</v>
      </c>
      <c r="S103" s="105">
        <f t="shared" ca="1" si="41"/>
        <v>5</v>
      </c>
    </row>
    <row r="104" spans="1:19" x14ac:dyDescent="0.35">
      <c r="A104" s="105">
        <f t="shared" ca="1" si="26"/>
        <v>142.91500000000016</v>
      </c>
      <c r="B104" s="105" t="str">
        <f t="shared" ca="1" si="27"/>
        <v>循环</v>
      </c>
      <c r="C104" s="105">
        <f t="shared" ca="1" si="28"/>
        <v>1</v>
      </c>
      <c r="D104" s="105">
        <f t="shared" ca="1" si="29"/>
        <v>35.670000000000059</v>
      </c>
      <c r="E104" s="105">
        <f t="shared" ca="1" si="30"/>
        <v>17.850000000000009</v>
      </c>
      <c r="F104" s="105">
        <f t="shared" ca="1" si="31"/>
        <v>19.265000000000008</v>
      </c>
      <c r="G104" s="105">
        <f t="shared" ca="1" si="42"/>
        <v>1</v>
      </c>
      <c r="H104" s="105">
        <f t="shared" ca="1" si="43"/>
        <v>45.02000000000001</v>
      </c>
      <c r="I104" s="105">
        <f t="shared" ca="1" si="32"/>
        <v>0</v>
      </c>
      <c r="J104" s="105">
        <f t="shared" ca="1" si="33"/>
        <v>0</v>
      </c>
      <c r="K104" s="105">
        <f t="shared" ca="1" si="34"/>
        <v>1.5375000000000041</v>
      </c>
      <c r="L104" s="105">
        <f t="shared" ca="1" si="35"/>
        <v>1</v>
      </c>
      <c r="M104" s="105">
        <f t="shared" ca="1" si="36"/>
        <v>0</v>
      </c>
      <c r="N104" s="105">
        <f t="shared" ca="1" si="35"/>
        <v>0</v>
      </c>
      <c r="O104" s="105">
        <f t="shared" ca="1" si="37"/>
        <v>2.2650000000000032</v>
      </c>
      <c r="P104" s="105">
        <f t="shared" ca="1" si="38"/>
        <v>1</v>
      </c>
      <c r="Q104" s="105">
        <f t="shared" ca="1" si="39"/>
        <v>0</v>
      </c>
      <c r="R104" s="105">
        <f t="shared" ca="1" si="40"/>
        <v>0</v>
      </c>
      <c r="S104" s="105">
        <f t="shared" ca="1" si="41"/>
        <v>5</v>
      </c>
    </row>
    <row r="105" spans="1:19" x14ac:dyDescent="0.35">
      <c r="A105" s="105">
        <f t="shared" ca="1" si="26"/>
        <v>144.33000000000015</v>
      </c>
      <c r="B105" s="105" t="str">
        <f t="shared" ca="1" si="27"/>
        <v>循环</v>
      </c>
      <c r="C105" s="105">
        <f t="shared" ca="1" si="28"/>
        <v>1</v>
      </c>
      <c r="D105" s="105">
        <f t="shared" ca="1" si="29"/>
        <v>34.255000000000059</v>
      </c>
      <c r="E105" s="105">
        <f t="shared" ca="1" si="30"/>
        <v>16.435000000000009</v>
      </c>
      <c r="F105" s="105">
        <f t="shared" ca="1" si="31"/>
        <v>17.850000000000009</v>
      </c>
      <c r="G105" s="105">
        <f t="shared" ca="1" si="42"/>
        <v>1</v>
      </c>
      <c r="H105" s="105">
        <f t="shared" ca="1" si="43"/>
        <v>43.605000000000011</v>
      </c>
      <c r="I105" s="105">
        <f t="shared" ca="1" si="32"/>
        <v>0</v>
      </c>
      <c r="J105" s="105">
        <f t="shared" ca="1" si="33"/>
        <v>0</v>
      </c>
      <c r="K105" s="105">
        <f t="shared" ca="1" si="34"/>
        <v>0.12250000000000405</v>
      </c>
      <c r="L105" s="105">
        <f t="shared" ca="1" si="35"/>
        <v>1</v>
      </c>
      <c r="M105" s="105">
        <f t="shared" ca="1" si="36"/>
        <v>0</v>
      </c>
      <c r="N105" s="105">
        <f t="shared" ca="1" si="35"/>
        <v>0</v>
      </c>
      <c r="O105" s="105">
        <f t="shared" ca="1" si="37"/>
        <v>0.8500000000000032</v>
      </c>
      <c r="P105" s="105">
        <f t="shared" ca="1" si="38"/>
        <v>1</v>
      </c>
      <c r="Q105" s="105">
        <f t="shared" ca="1" si="39"/>
        <v>0</v>
      </c>
      <c r="R105" s="105">
        <f t="shared" ca="1" si="40"/>
        <v>0</v>
      </c>
      <c r="S105" s="105">
        <f t="shared" ca="1" si="41"/>
        <v>5</v>
      </c>
    </row>
    <row r="106" spans="1:19" x14ac:dyDescent="0.35">
      <c r="A106" s="105">
        <f t="shared" ca="1" si="26"/>
        <v>145.74500000000015</v>
      </c>
      <c r="B106" s="105" t="str">
        <f t="shared" ca="1" si="27"/>
        <v>循环</v>
      </c>
      <c r="C106" s="105">
        <f t="shared" ca="1" si="28"/>
        <v>1</v>
      </c>
      <c r="D106" s="105">
        <f t="shared" ca="1" si="29"/>
        <v>32.84000000000006</v>
      </c>
      <c r="E106" s="105">
        <f t="shared" ca="1" si="30"/>
        <v>15.02000000000001</v>
      </c>
      <c r="F106" s="105">
        <f t="shared" ca="1" si="31"/>
        <v>16.435000000000009</v>
      </c>
      <c r="G106" s="105">
        <f t="shared" ca="1" si="42"/>
        <v>1</v>
      </c>
      <c r="H106" s="105">
        <f t="shared" ca="1" si="43"/>
        <v>42.190000000000012</v>
      </c>
      <c r="I106" s="105">
        <f t="shared" ca="1" si="32"/>
        <v>0</v>
      </c>
      <c r="J106" s="105">
        <f t="shared" ca="1" si="33"/>
        <v>0</v>
      </c>
      <c r="K106" s="105">
        <f t="shared" ca="1" si="34"/>
        <v>0</v>
      </c>
      <c r="L106" s="105">
        <f t="shared" ca="1" si="35"/>
        <v>1</v>
      </c>
      <c r="M106" s="105">
        <f t="shared" ca="1" si="36"/>
        <v>0</v>
      </c>
      <c r="N106" s="105">
        <f t="shared" ca="1" si="35"/>
        <v>0</v>
      </c>
      <c r="O106" s="105">
        <f t="shared" ca="1" si="37"/>
        <v>0</v>
      </c>
      <c r="P106" s="105">
        <f t="shared" ca="1" si="38"/>
        <v>1</v>
      </c>
      <c r="Q106" s="105">
        <f t="shared" ca="1" si="39"/>
        <v>0</v>
      </c>
      <c r="R106" s="105">
        <f t="shared" ca="1" si="40"/>
        <v>0</v>
      </c>
      <c r="S106" s="105">
        <f t="shared" ca="1" si="41"/>
        <v>5</v>
      </c>
    </row>
    <row r="107" spans="1:19" x14ac:dyDescent="0.35">
      <c r="A107" s="105">
        <f t="shared" ca="1" si="26"/>
        <v>147.16000000000014</v>
      </c>
      <c r="B107" s="105" t="str">
        <f t="shared" ca="1" si="27"/>
        <v>循环</v>
      </c>
      <c r="C107" s="105">
        <f t="shared" ca="1" si="28"/>
        <v>1</v>
      </c>
      <c r="D107" s="105">
        <f t="shared" ca="1" si="29"/>
        <v>31.425000000000061</v>
      </c>
      <c r="E107" s="105">
        <f t="shared" ca="1" si="30"/>
        <v>13.605000000000011</v>
      </c>
      <c r="F107" s="105">
        <f t="shared" ca="1" si="31"/>
        <v>15.02000000000001</v>
      </c>
      <c r="G107" s="105">
        <f t="shared" ca="1" si="42"/>
        <v>1</v>
      </c>
      <c r="H107" s="105">
        <f t="shared" ca="1" si="43"/>
        <v>40.775000000000013</v>
      </c>
      <c r="I107" s="105">
        <f t="shared" ca="1" si="32"/>
        <v>0</v>
      </c>
      <c r="J107" s="105">
        <f t="shared" ca="1" si="33"/>
        <v>0</v>
      </c>
      <c r="K107" s="105">
        <f t="shared" ca="1" si="34"/>
        <v>0</v>
      </c>
      <c r="L107" s="105">
        <f t="shared" ca="1" si="35"/>
        <v>0</v>
      </c>
      <c r="M107" s="105">
        <f t="shared" ca="1" si="36"/>
        <v>0</v>
      </c>
      <c r="N107" s="105">
        <f t="shared" ca="1" si="35"/>
        <v>0</v>
      </c>
      <c r="O107" s="105">
        <f t="shared" ca="1" si="37"/>
        <v>0</v>
      </c>
      <c r="P107" s="105">
        <f t="shared" ca="1" si="38"/>
        <v>0</v>
      </c>
      <c r="Q107" s="105">
        <f t="shared" ca="1" si="39"/>
        <v>0</v>
      </c>
      <c r="R107" s="105">
        <f t="shared" ca="1" si="40"/>
        <v>0</v>
      </c>
      <c r="S107" s="105">
        <f t="shared" ca="1" si="41"/>
        <v>5</v>
      </c>
    </row>
    <row r="108" spans="1:19" x14ac:dyDescent="0.35">
      <c r="A108" s="105">
        <f t="shared" ca="1" si="26"/>
        <v>148.57500000000013</v>
      </c>
      <c r="B108" s="105" t="str">
        <f t="shared" ca="1" si="27"/>
        <v>循环</v>
      </c>
      <c r="C108" s="105">
        <f t="shared" ca="1" si="28"/>
        <v>1</v>
      </c>
      <c r="D108" s="105">
        <f t="shared" ca="1" si="29"/>
        <v>30.010000000000062</v>
      </c>
      <c r="E108" s="105">
        <f t="shared" ca="1" si="30"/>
        <v>12.190000000000012</v>
      </c>
      <c r="F108" s="105">
        <f t="shared" ca="1" si="31"/>
        <v>13.605000000000011</v>
      </c>
      <c r="G108" s="105">
        <f t="shared" ca="1" si="42"/>
        <v>1</v>
      </c>
      <c r="H108" s="105">
        <f t="shared" ca="1" si="43"/>
        <v>39.360000000000014</v>
      </c>
      <c r="I108" s="105">
        <f t="shared" ca="1" si="32"/>
        <v>0</v>
      </c>
      <c r="J108" s="105">
        <f t="shared" ca="1" si="33"/>
        <v>0</v>
      </c>
      <c r="K108" s="105">
        <f t="shared" ca="1" si="34"/>
        <v>0</v>
      </c>
      <c r="L108" s="105">
        <f t="shared" ca="1" si="35"/>
        <v>0</v>
      </c>
      <c r="M108" s="105">
        <f t="shared" ca="1" si="36"/>
        <v>0</v>
      </c>
      <c r="N108" s="105">
        <f t="shared" ca="1" si="35"/>
        <v>0</v>
      </c>
      <c r="O108" s="105">
        <f t="shared" ca="1" si="37"/>
        <v>0</v>
      </c>
      <c r="P108" s="105">
        <f t="shared" ca="1" si="38"/>
        <v>0</v>
      </c>
      <c r="Q108" s="105">
        <f t="shared" ca="1" si="39"/>
        <v>0</v>
      </c>
      <c r="R108" s="105">
        <f t="shared" ca="1" si="40"/>
        <v>0</v>
      </c>
      <c r="S108" s="105">
        <f t="shared" ca="1" si="41"/>
        <v>5</v>
      </c>
    </row>
    <row r="109" spans="1:19" x14ac:dyDescent="0.35">
      <c r="A109" s="105">
        <f t="shared" ca="1" si="26"/>
        <v>149.99000000000012</v>
      </c>
      <c r="B109" s="105" t="str">
        <f t="shared" ca="1" si="27"/>
        <v>循环</v>
      </c>
      <c r="C109" s="105">
        <f t="shared" ca="1" si="28"/>
        <v>1</v>
      </c>
      <c r="D109" s="105">
        <f t="shared" ca="1" si="29"/>
        <v>28.595000000000063</v>
      </c>
      <c r="E109" s="105">
        <f t="shared" ca="1" si="30"/>
        <v>10.775000000000013</v>
      </c>
      <c r="F109" s="105">
        <f t="shared" ca="1" si="31"/>
        <v>12.190000000000012</v>
      </c>
      <c r="G109" s="105">
        <f t="shared" ca="1" si="42"/>
        <v>1</v>
      </c>
      <c r="H109" s="105">
        <f t="shared" ca="1" si="43"/>
        <v>37.945000000000014</v>
      </c>
      <c r="I109" s="105">
        <f t="shared" ca="1" si="32"/>
        <v>0</v>
      </c>
      <c r="J109" s="105">
        <f t="shared" ca="1" si="33"/>
        <v>0</v>
      </c>
      <c r="K109" s="105">
        <f t="shared" ca="1" si="34"/>
        <v>0</v>
      </c>
      <c r="L109" s="105">
        <f t="shared" ca="1" si="35"/>
        <v>0</v>
      </c>
      <c r="M109" s="105">
        <f t="shared" ca="1" si="36"/>
        <v>0</v>
      </c>
      <c r="N109" s="105">
        <f t="shared" ca="1" si="35"/>
        <v>0</v>
      </c>
      <c r="O109" s="105">
        <f t="shared" ca="1" si="37"/>
        <v>0</v>
      </c>
      <c r="P109" s="105">
        <f t="shared" ca="1" si="38"/>
        <v>0</v>
      </c>
      <c r="Q109" s="105">
        <f t="shared" ca="1" si="39"/>
        <v>0</v>
      </c>
      <c r="R109" s="105">
        <f t="shared" ca="1" si="40"/>
        <v>0</v>
      </c>
      <c r="S109" s="105">
        <f t="shared" ca="1" si="41"/>
        <v>5</v>
      </c>
    </row>
    <row r="110" spans="1:19" x14ac:dyDescent="0.35">
      <c r="A110" s="105">
        <f t="shared" ca="1" si="26"/>
        <v>151.40500000000011</v>
      </c>
      <c r="B110" s="105" t="str">
        <f t="shared" ca="1" si="27"/>
        <v>循环</v>
      </c>
      <c r="C110" s="105">
        <f t="shared" ca="1" si="28"/>
        <v>1</v>
      </c>
      <c r="D110" s="105">
        <f t="shared" ca="1" si="29"/>
        <v>27.180000000000064</v>
      </c>
      <c r="E110" s="105">
        <f t="shared" ca="1" si="30"/>
        <v>9.3600000000000136</v>
      </c>
      <c r="F110" s="105">
        <f t="shared" ca="1" si="31"/>
        <v>10.775000000000013</v>
      </c>
      <c r="G110" s="105">
        <f t="shared" ca="1" si="42"/>
        <v>1</v>
      </c>
      <c r="H110" s="105">
        <f t="shared" ca="1" si="43"/>
        <v>36.530000000000015</v>
      </c>
      <c r="I110" s="105">
        <f t="shared" ca="1" si="32"/>
        <v>0</v>
      </c>
      <c r="J110" s="105">
        <f t="shared" ca="1" si="33"/>
        <v>0</v>
      </c>
      <c r="K110" s="105">
        <f t="shared" ca="1" si="34"/>
        <v>0</v>
      </c>
      <c r="L110" s="105">
        <f t="shared" ca="1" si="35"/>
        <v>0</v>
      </c>
      <c r="M110" s="105">
        <f t="shared" ca="1" si="36"/>
        <v>0</v>
      </c>
      <c r="N110" s="105">
        <f t="shared" ca="1" si="35"/>
        <v>0</v>
      </c>
      <c r="O110" s="105">
        <f t="shared" ca="1" si="37"/>
        <v>0</v>
      </c>
      <c r="P110" s="105">
        <f t="shared" ca="1" si="38"/>
        <v>0</v>
      </c>
      <c r="Q110" s="105">
        <f t="shared" ca="1" si="39"/>
        <v>0</v>
      </c>
      <c r="R110" s="105">
        <f t="shared" ca="1" si="40"/>
        <v>0</v>
      </c>
      <c r="S110" s="105">
        <f t="shared" ca="1" si="41"/>
        <v>5</v>
      </c>
    </row>
    <row r="111" spans="1:19" x14ac:dyDescent="0.35">
      <c r="A111" s="105">
        <f t="shared" ca="1" si="26"/>
        <v>152.82000000000011</v>
      </c>
      <c r="B111" s="105" t="str">
        <f t="shared" ca="1" si="27"/>
        <v>循环</v>
      </c>
      <c r="C111" s="105">
        <f t="shared" ca="1" si="28"/>
        <v>1</v>
      </c>
      <c r="D111" s="105">
        <f t="shared" ca="1" si="29"/>
        <v>25.765000000000065</v>
      </c>
      <c r="E111" s="105">
        <f t="shared" ca="1" si="30"/>
        <v>7.9450000000000136</v>
      </c>
      <c r="F111" s="105">
        <f t="shared" ca="1" si="31"/>
        <v>9.3600000000000136</v>
      </c>
      <c r="G111" s="105">
        <f t="shared" ca="1" si="42"/>
        <v>1</v>
      </c>
      <c r="H111" s="105">
        <f t="shared" ca="1" si="43"/>
        <v>35.115000000000016</v>
      </c>
      <c r="I111" s="105">
        <f t="shared" ca="1" si="32"/>
        <v>0</v>
      </c>
      <c r="J111" s="105">
        <f t="shared" ca="1" si="33"/>
        <v>0</v>
      </c>
      <c r="K111" s="105">
        <f t="shared" ca="1" si="34"/>
        <v>0</v>
      </c>
      <c r="L111" s="105">
        <f t="shared" ca="1" si="35"/>
        <v>0</v>
      </c>
      <c r="M111" s="105">
        <f t="shared" ca="1" si="36"/>
        <v>0</v>
      </c>
      <c r="N111" s="105">
        <f t="shared" ca="1" si="35"/>
        <v>0</v>
      </c>
      <c r="O111" s="105">
        <f t="shared" ca="1" si="37"/>
        <v>0</v>
      </c>
      <c r="P111" s="105">
        <f t="shared" ca="1" si="38"/>
        <v>0</v>
      </c>
      <c r="Q111" s="105">
        <f t="shared" ca="1" si="39"/>
        <v>0</v>
      </c>
      <c r="R111" s="105">
        <f t="shared" ca="1" si="40"/>
        <v>0</v>
      </c>
      <c r="S111" s="105">
        <f t="shared" ca="1" si="41"/>
        <v>5</v>
      </c>
    </row>
    <row r="112" spans="1:19" x14ac:dyDescent="0.35">
      <c r="A112" s="105">
        <f t="shared" ca="1" si="26"/>
        <v>154.2350000000001</v>
      </c>
      <c r="B112" s="105" t="str">
        <f t="shared" ca="1" si="27"/>
        <v>循环</v>
      </c>
      <c r="C112" s="105">
        <f t="shared" ca="1" si="28"/>
        <v>1</v>
      </c>
      <c r="D112" s="105">
        <f t="shared" ca="1" si="29"/>
        <v>24.350000000000065</v>
      </c>
      <c r="E112" s="105">
        <f t="shared" ca="1" si="30"/>
        <v>6.5300000000000136</v>
      </c>
      <c r="F112" s="105">
        <f t="shared" ca="1" si="31"/>
        <v>7.9450000000000136</v>
      </c>
      <c r="G112" s="105">
        <f t="shared" ca="1" si="42"/>
        <v>1</v>
      </c>
      <c r="H112" s="105">
        <f t="shared" ca="1" si="43"/>
        <v>33.700000000000017</v>
      </c>
      <c r="I112" s="105">
        <f t="shared" ca="1" si="32"/>
        <v>0</v>
      </c>
      <c r="J112" s="105">
        <f t="shared" ca="1" si="33"/>
        <v>0</v>
      </c>
      <c r="K112" s="105">
        <f t="shared" ca="1" si="34"/>
        <v>0</v>
      </c>
      <c r="L112" s="105">
        <f t="shared" ca="1" si="35"/>
        <v>0</v>
      </c>
      <c r="M112" s="105">
        <f t="shared" ca="1" si="36"/>
        <v>0</v>
      </c>
      <c r="N112" s="105">
        <f t="shared" ca="1" si="35"/>
        <v>0</v>
      </c>
      <c r="O112" s="105">
        <f t="shared" ca="1" si="37"/>
        <v>0</v>
      </c>
      <c r="P112" s="105">
        <f t="shared" ca="1" si="38"/>
        <v>0</v>
      </c>
      <c r="Q112" s="105">
        <f t="shared" ca="1" si="39"/>
        <v>0</v>
      </c>
      <c r="R112" s="105">
        <f t="shared" ca="1" si="40"/>
        <v>0</v>
      </c>
      <c r="S112" s="105">
        <f t="shared" ca="1" si="41"/>
        <v>5</v>
      </c>
    </row>
    <row r="113" spans="1:19" x14ac:dyDescent="0.35">
      <c r="A113" s="105">
        <f t="shared" ca="1" si="26"/>
        <v>155.65000000000009</v>
      </c>
      <c r="B113" s="105" t="str">
        <f t="shared" ca="1" si="27"/>
        <v>循环</v>
      </c>
      <c r="C113" s="105">
        <f t="shared" ca="1" si="28"/>
        <v>1</v>
      </c>
      <c r="D113" s="105">
        <f t="shared" ca="1" si="29"/>
        <v>22.935000000000066</v>
      </c>
      <c r="E113" s="105">
        <f t="shared" ca="1" si="30"/>
        <v>5.1150000000000135</v>
      </c>
      <c r="F113" s="105">
        <f t="shared" ca="1" si="31"/>
        <v>6.5300000000000136</v>
      </c>
      <c r="G113" s="105">
        <f t="shared" ca="1" si="42"/>
        <v>1</v>
      </c>
      <c r="H113" s="105">
        <f t="shared" ca="1" si="43"/>
        <v>32.285000000000018</v>
      </c>
      <c r="I113" s="105">
        <f t="shared" ca="1" si="32"/>
        <v>0</v>
      </c>
      <c r="J113" s="105">
        <f t="shared" ca="1" si="33"/>
        <v>0</v>
      </c>
      <c r="K113" s="105">
        <f t="shared" ca="1" si="34"/>
        <v>0</v>
      </c>
      <c r="L113" s="105">
        <f t="shared" ca="1" si="35"/>
        <v>0</v>
      </c>
      <c r="M113" s="105">
        <f t="shared" ca="1" si="36"/>
        <v>0</v>
      </c>
      <c r="N113" s="105">
        <f t="shared" ca="1" si="35"/>
        <v>0</v>
      </c>
      <c r="O113" s="105">
        <f t="shared" ca="1" si="37"/>
        <v>0</v>
      </c>
      <c r="P113" s="105">
        <f t="shared" ca="1" si="38"/>
        <v>0</v>
      </c>
      <c r="Q113" s="105">
        <f t="shared" ca="1" si="39"/>
        <v>0</v>
      </c>
      <c r="R113" s="105">
        <f t="shared" ca="1" si="40"/>
        <v>0</v>
      </c>
      <c r="S113" s="105">
        <f t="shared" ca="1" si="41"/>
        <v>5</v>
      </c>
    </row>
    <row r="114" spans="1:19" x14ac:dyDescent="0.35">
      <c r="A114" s="105">
        <f t="shared" ca="1" si="26"/>
        <v>157.06500000000008</v>
      </c>
      <c r="B114" s="105" t="str">
        <f t="shared" ca="1" si="27"/>
        <v>循环</v>
      </c>
      <c r="C114" s="105">
        <f t="shared" ca="1" si="28"/>
        <v>1</v>
      </c>
      <c r="D114" s="105">
        <f t="shared" ca="1" si="29"/>
        <v>21.520000000000067</v>
      </c>
      <c r="E114" s="105">
        <f t="shared" ca="1" si="30"/>
        <v>3.7000000000000135</v>
      </c>
      <c r="F114" s="105">
        <f t="shared" ca="1" si="31"/>
        <v>5.1150000000000135</v>
      </c>
      <c r="G114" s="105">
        <f t="shared" ca="1" si="42"/>
        <v>1</v>
      </c>
      <c r="H114" s="105">
        <f t="shared" ca="1" si="43"/>
        <v>30.870000000000019</v>
      </c>
      <c r="I114" s="105">
        <f t="shared" ca="1" si="32"/>
        <v>0</v>
      </c>
      <c r="J114" s="105">
        <f t="shared" ca="1" si="33"/>
        <v>0</v>
      </c>
      <c r="K114" s="105">
        <f t="shared" ca="1" si="34"/>
        <v>0</v>
      </c>
      <c r="L114" s="105">
        <f t="shared" ca="1" si="35"/>
        <v>0</v>
      </c>
      <c r="M114" s="105">
        <f t="shared" ca="1" si="36"/>
        <v>0</v>
      </c>
      <c r="N114" s="105">
        <f t="shared" ca="1" si="35"/>
        <v>0</v>
      </c>
      <c r="O114" s="105">
        <f t="shared" ca="1" si="37"/>
        <v>0</v>
      </c>
      <c r="P114" s="105">
        <f t="shared" ca="1" si="38"/>
        <v>0</v>
      </c>
      <c r="Q114" s="105">
        <f t="shared" ca="1" si="39"/>
        <v>0</v>
      </c>
      <c r="R114" s="105">
        <f t="shared" ca="1" si="40"/>
        <v>0</v>
      </c>
      <c r="S114" s="105">
        <f t="shared" ca="1" si="41"/>
        <v>5</v>
      </c>
    </row>
    <row r="115" spans="1:19" x14ac:dyDescent="0.35">
      <c r="A115" s="105">
        <f t="shared" ca="1" si="26"/>
        <v>158.48000000000008</v>
      </c>
      <c r="B115" s="105" t="str">
        <f t="shared" ca="1" si="27"/>
        <v>循环</v>
      </c>
      <c r="C115" s="105">
        <f t="shared" ca="1" si="28"/>
        <v>1</v>
      </c>
      <c r="D115" s="105">
        <f t="shared" ca="1" si="29"/>
        <v>20.105000000000068</v>
      </c>
      <c r="E115" s="105">
        <f t="shared" ca="1" si="30"/>
        <v>2.2850000000000135</v>
      </c>
      <c r="F115" s="105">
        <f t="shared" ca="1" si="31"/>
        <v>3.7000000000000135</v>
      </c>
      <c r="G115" s="105">
        <f t="shared" ca="1" si="42"/>
        <v>1</v>
      </c>
      <c r="H115" s="105">
        <f t="shared" ca="1" si="43"/>
        <v>29.45500000000002</v>
      </c>
      <c r="I115" s="105">
        <f t="shared" ca="1" si="32"/>
        <v>0</v>
      </c>
      <c r="J115" s="105">
        <f t="shared" ca="1" si="33"/>
        <v>0</v>
      </c>
      <c r="K115" s="105">
        <f t="shared" ca="1" si="34"/>
        <v>0</v>
      </c>
      <c r="L115" s="105">
        <f t="shared" ca="1" si="35"/>
        <v>0</v>
      </c>
      <c r="M115" s="105">
        <f t="shared" ca="1" si="36"/>
        <v>0</v>
      </c>
      <c r="N115" s="105">
        <f t="shared" ca="1" si="35"/>
        <v>0</v>
      </c>
      <c r="O115" s="105">
        <f t="shared" ca="1" si="37"/>
        <v>0</v>
      </c>
      <c r="P115" s="105">
        <f t="shared" ca="1" si="38"/>
        <v>0</v>
      </c>
      <c r="Q115" s="105">
        <f t="shared" ca="1" si="39"/>
        <v>0</v>
      </c>
      <c r="R115" s="105">
        <f t="shared" ca="1" si="40"/>
        <v>0</v>
      </c>
      <c r="S115" s="105">
        <f t="shared" ca="1" si="41"/>
        <v>5</v>
      </c>
    </row>
    <row r="116" spans="1:19" x14ac:dyDescent="0.35">
      <c r="A116" s="105">
        <f t="shared" ca="1" si="26"/>
        <v>159.89500000000007</v>
      </c>
      <c r="B116" s="105" t="str">
        <f t="shared" ca="1" si="27"/>
        <v>循环</v>
      </c>
      <c r="C116" s="105">
        <f t="shared" ca="1" si="28"/>
        <v>1</v>
      </c>
      <c r="D116" s="105">
        <f t="shared" ca="1" si="29"/>
        <v>18.690000000000069</v>
      </c>
      <c r="E116" s="105">
        <f t="shared" ca="1" si="30"/>
        <v>0.87000000000001343</v>
      </c>
      <c r="F116" s="105">
        <f t="shared" ca="1" si="31"/>
        <v>2.2850000000000135</v>
      </c>
      <c r="G116" s="105">
        <f t="shared" ca="1" si="42"/>
        <v>1</v>
      </c>
      <c r="H116" s="105">
        <f t="shared" ca="1" si="43"/>
        <v>28.04000000000002</v>
      </c>
      <c r="I116" s="105">
        <f t="shared" ca="1" si="32"/>
        <v>0</v>
      </c>
      <c r="J116" s="105">
        <f t="shared" ca="1" si="33"/>
        <v>0</v>
      </c>
      <c r="K116" s="105">
        <f t="shared" ca="1" si="34"/>
        <v>0</v>
      </c>
      <c r="L116" s="105">
        <f t="shared" ca="1" si="35"/>
        <v>0</v>
      </c>
      <c r="M116" s="105">
        <f t="shared" ca="1" si="36"/>
        <v>0</v>
      </c>
      <c r="N116" s="105">
        <f t="shared" ca="1" si="35"/>
        <v>0</v>
      </c>
      <c r="O116" s="105">
        <f t="shared" ca="1" si="37"/>
        <v>0</v>
      </c>
      <c r="P116" s="105">
        <f t="shared" ca="1" si="38"/>
        <v>0</v>
      </c>
      <c r="Q116" s="105">
        <f t="shared" ca="1" si="39"/>
        <v>0</v>
      </c>
      <c r="R116" s="105">
        <f t="shared" ca="1" si="40"/>
        <v>0</v>
      </c>
      <c r="S116" s="105">
        <f t="shared" ca="1" si="41"/>
        <v>5</v>
      </c>
    </row>
    <row r="117" spans="1:19" x14ac:dyDescent="0.35">
      <c r="A117" s="105">
        <f t="shared" ca="1" si="26"/>
        <v>161.31000000000006</v>
      </c>
      <c r="B117" s="105" t="str">
        <f t="shared" ca="1" si="27"/>
        <v>循环</v>
      </c>
      <c r="C117" s="105">
        <f t="shared" ca="1" si="28"/>
        <v>1</v>
      </c>
      <c r="D117" s="105">
        <f t="shared" ca="1" si="29"/>
        <v>17.27500000000007</v>
      </c>
      <c r="E117" s="105">
        <f t="shared" ca="1" si="30"/>
        <v>0</v>
      </c>
      <c r="F117" s="105">
        <f t="shared" ca="1" si="31"/>
        <v>0.87000000000001343</v>
      </c>
      <c r="G117" s="105">
        <f t="shared" ca="1" si="42"/>
        <v>1</v>
      </c>
      <c r="H117" s="105">
        <f t="shared" ca="1" si="43"/>
        <v>26.625000000000021</v>
      </c>
      <c r="I117" s="105">
        <f t="shared" ca="1" si="32"/>
        <v>0</v>
      </c>
      <c r="J117" s="105">
        <f t="shared" ca="1" si="33"/>
        <v>0</v>
      </c>
      <c r="K117" s="105">
        <f t="shared" ca="1" si="34"/>
        <v>0</v>
      </c>
      <c r="L117" s="105">
        <f t="shared" ca="1" si="35"/>
        <v>0</v>
      </c>
      <c r="M117" s="105">
        <f t="shared" ca="1" si="36"/>
        <v>0</v>
      </c>
      <c r="N117" s="105">
        <f t="shared" ca="1" si="35"/>
        <v>0</v>
      </c>
      <c r="O117" s="105">
        <f t="shared" ca="1" si="37"/>
        <v>0</v>
      </c>
      <c r="P117" s="105">
        <f t="shared" ca="1" si="38"/>
        <v>0</v>
      </c>
      <c r="Q117" s="105">
        <f t="shared" ca="1" si="39"/>
        <v>0</v>
      </c>
      <c r="R117" s="105">
        <f t="shared" ca="1" si="40"/>
        <v>0</v>
      </c>
      <c r="S117" s="105">
        <f t="shared" ca="1" si="41"/>
        <v>5</v>
      </c>
    </row>
    <row r="118" spans="1:19" x14ac:dyDescent="0.35">
      <c r="A118" s="105">
        <f t="shared" ca="1" si="26"/>
        <v>162.72500000000005</v>
      </c>
      <c r="B118" s="105" t="str">
        <f t="shared" ca="1" si="27"/>
        <v>渊任</v>
      </c>
      <c r="C118" s="105">
        <f t="shared" ca="1" si="28"/>
        <v>0</v>
      </c>
      <c r="D118" s="105">
        <f t="shared" ca="1" si="29"/>
        <v>15.86000000000007</v>
      </c>
      <c r="E118" s="105">
        <f t="shared" ca="1" si="30"/>
        <v>30.585000000000001</v>
      </c>
      <c r="F118" s="105">
        <f t="shared" ca="1" si="31"/>
        <v>0</v>
      </c>
      <c r="G118" s="105">
        <f t="shared" ca="1" si="42"/>
        <v>1</v>
      </c>
      <c r="H118" s="105">
        <f t="shared" ca="1" si="43"/>
        <v>25.210000000000022</v>
      </c>
      <c r="I118" s="105">
        <f t="shared" ca="1" si="32"/>
        <v>0</v>
      </c>
      <c r="J118" s="105">
        <f t="shared" ca="1" si="33"/>
        <v>0</v>
      </c>
      <c r="K118" s="105">
        <f t="shared" ca="1" si="34"/>
        <v>14.272500000000001</v>
      </c>
      <c r="L118" s="105">
        <f t="shared" ca="1" si="35"/>
        <v>1</v>
      </c>
      <c r="M118" s="105">
        <f t="shared" ca="1" si="36"/>
        <v>0</v>
      </c>
      <c r="N118" s="105">
        <f t="shared" ca="1" si="35"/>
        <v>0</v>
      </c>
      <c r="O118" s="105">
        <f t="shared" ca="1" si="37"/>
        <v>0</v>
      </c>
      <c r="P118" s="105">
        <f t="shared" ca="1" si="38"/>
        <v>0</v>
      </c>
      <c r="Q118" s="105">
        <f t="shared" ca="1" si="39"/>
        <v>8.5850000000000009</v>
      </c>
      <c r="R118" s="105">
        <f t="shared" ca="1" si="40"/>
        <v>1</v>
      </c>
      <c r="S118" s="105">
        <f t="shared" ca="1" si="41"/>
        <v>5</v>
      </c>
    </row>
    <row r="119" spans="1:19" x14ac:dyDescent="0.35">
      <c r="A119" s="105">
        <f t="shared" ca="1" si="26"/>
        <v>164.14000000000004</v>
      </c>
      <c r="B119" s="105" t="str">
        <f t="shared" ca="1" si="27"/>
        <v>雷循环</v>
      </c>
      <c r="C119" s="105">
        <f t="shared" ca="1" si="28"/>
        <v>0</v>
      </c>
      <c r="D119" s="105">
        <f t="shared" ca="1" si="29"/>
        <v>14.445000000000071</v>
      </c>
      <c r="E119" s="105">
        <f t="shared" ca="1" si="30"/>
        <v>29.17</v>
      </c>
      <c r="F119" s="105">
        <f t="shared" ca="1" si="31"/>
        <v>30.585000000000001</v>
      </c>
      <c r="G119" s="105">
        <f t="shared" ca="1" si="42"/>
        <v>1</v>
      </c>
      <c r="H119" s="105">
        <f t="shared" ca="1" si="43"/>
        <v>23.795000000000023</v>
      </c>
      <c r="I119" s="105">
        <f t="shared" ca="1" si="32"/>
        <v>0</v>
      </c>
      <c r="J119" s="105">
        <f t="shared" ca="1" si="33"/>
        <v>0</v>
      </c>
      <c r="K119" s="105">
        <f t="shared" ca="1" si="34"/>
        <v>12.857500000000002</v>
      </c>
      <c r="L119" s="105">
        <f t="shared" ca="1" si="35"/>
        <v>1</v>
      </c>
      <c r="M119" s="105">
        <f t="shared" ca="1" si="36"/>
        <v>0</v>
      </c>
      <c r="N119" s="105">
        <f t="shared" ca="1" si="35"/>
        <v>0</v>
      </c>
      <c r="O119" s="105">
        <f t="shared" ca="1" si="37"/>
        <v>13.585000000000001</v>
      </c>
      <c r="P119" s="105">
        <f t="shared" ca="1" si="38"/>
        <v>1</v>
      </c>
      <c r="Q119" s="105">
        <f t="shared" ca="1" si="39"/>
        <v>7.1700000000000008</v>
      </c>
      <c r="R119" s="105">
        <f t="shared" ca="1" si="40"/>
        <v>1</v>
      </c>
      <c r="S119" s="105">
        <f t="shared" ca="1" si="41"/>
        <v>6</v>
      </c>
    </row>
    <row r="120" spans="1:19" x14ac:dyDescent="0.35">
      <c r="A120" s="105">
        <f t="shared" ca="1" si="26"/>
        <v>165.55500000000004</v>
      </c>
      <c r="B120" s="105" t="str">
        <f t="shared" ca="1" si="27"/>
        <v>循环</v>
      </c>
      <c r="C120" s="105">
        <f t="shared" ca="1" si="28"/>
        <v>0</v>
      </c>
      <c r="D120" s="105">
        <f t="shared" ca="1" si="29"/>
        <v>13.030000000000072</v>
      </c>
      <c r="E120" s="105">
        <f t="shared" ca="1" si="30"/>
        <v>27.755000000000003</v>
      </c>
      <c r="F120" s="105">
        <f t="shared" ca="1" si="31"/>
        <v>29.17</v>
      </c>
      <c r="G120" s="105">
        <f t="shared" ca="1" si="42"/>
        <v>1</v>
      </c>
      <c r="H120" s="105">
        <f t="shared" ca="1" si="43"/>
        <v>22.380000000000024</v>
      </c>
      <c r="I120" s="105">
        <f t="shared" ca="1" si="32"/>
        <v>0</v>
      </c>
      <c r="J120" s="105">
        <f t="shared" ca="1" si="33"/>
        <v>0</v>
      </c>
      <c r="K120" s="105">
        <f t="shared" ca="1" si="34"/>
        <v>11.442500000000003</v>
      </c>
      <c r="L120" s="105">
        <f t="shared" ca="1" si="35"/>
        <v>1</v>
      </c>
      <c r="M120" s="105">
        <f t="shared" ca="1" si="36"/>
        <v>0</v>
      </c>
      <c r="N120" s="105">
        <f t="shared" ca="1" si="35"/>
        <v>0</v>
      </c>
      <c r="O120" s="105">
        <f t="shared" ca="1" si="37"/>
        <v>12.170000000000002</v>
      </c>
      <c r="P120" s="105">
        <f t="shared" ca="1" si="38"/>
        <v>1</v>
      </c>
      <c r="Q120" s="105">
        <f t="shared" ca="1" si="39"/>
        <v>5.7550000000000008</v>
      </c>
      <c r="R120" s="105">
        <f t="shared" ca="1" si="40"/>
        <v>1</v>
      </c>
      <c r="S120" s="105">
        <f t="shared" ca="1" si="41"/>
        <v>6</v>
      </c>
    </row>
    <row r="121" spans="1:19" x14ac:dyDescent="0.35">
      <c r="A121" s="105">
        <f t="shared" ca="1" si="26"/>
        <v>166.97000000000003</v>
      </c>
      <c r="B121" s="105" t="str">
        <f t="shared" ca="1" si="27"/>
        <v>循环</v>
      </c>
      <c r="C121" s="105">
        <f t="shared" ca="1" si="28"/>
        <v>0</v>
      </c>
      <c r="D121" s="105">
        <f t="shared" ca="1" si="29"/>
        <v>11.615000000000073</v>
      </c>
      <c r="E121" s="105">
        <f t="shared" ca="1" si="30"/>
        <v>26.340000000000003</v>
      </c>
      <c r="F121" s="105">
        <f t="shared" ca="1" si="31"/>
        <v>27.755000000000003</v>
      </c>
      <c r="G121" s="105">
        <f t="shared" ca="1" si="42"/>
        <v>1</v>
      </c>
      <c r="H121" s="105">
        <f t="shared" ca="1" si="43"/>
        <v>20.965000000000025</v>
      </c>
      <c r="I121" s="105">
        <f t="shared" ca="1" si="32"/>
        <v>0</v>
      </c>
      <c r="J121" s="105">
        <f t="shared" ca="1" si="33"/>
        <v>0</v>
      </c>
      <c r="K121" s="105">
        <f t="shared" ca="1" si="34"/>
        <v>10.027500000000003</v>
      </c>
      <c r="L121" s="105">
        <f t="shared" ca="1" si="35"/>
        <v>1</v>
      </c>
      <c r="M121" s="105">
        <f t="shared" ca="1" si="36"/>
        <v>0</v>
      </c>
      <c r="N121" s="105">
        <f t="shared" ca="1" si="35"/>
        <v>0</v>
      </c>
      <c r="O121" s="105">
        <f t="shared" ca="1" si="37"/>
        <v>10.755000000000003</v>
      </c>
      <c r="P121" s="105">
        <f t="shared" ca="1" si="38"/>
        <v>1</v>
      </c>
      <c r="Q121" s="105">
        <f t="shared" ca="1" si="39"/>
        <v>4.3400000000000007</v>
      </c>
      <c r="R121" s="105">
        <f t="shared" ca="1" si="40"/>
        <v>1</v>
      </c>
      <c r="S121" s="105">
        <f t="shared" ca="1" si="41"/>
        <v>6</v>
      </c>
    </row>
    <row r="122" spans="1:19" x14ac:dyDescent="0.35">
      <c r="A122" s="105">
        <f t="shared" ca="1" si="26"/>
        <v>168.38500000000002</v>
      </c>
      <c r="B122" s="105" t="str">
        <f t="shared" ca="1" si="27"/>
        <v>循环</v>
      </c>
      <c r="C122" s="105">
        <f t="shared" ca="1" si="28"/>
        <v>0</v>
      </c>
      <c r="D122" s="105">
        <f t="shared" ca="1" si="29"/>
        <v>10.200000000000074</v>
      </c>
      <c r="E122" s="105">
        <f t="shared" ca="1" si="30"/>
        <v>24.925000000000004</v>
      </c>
      <c r="F122" s="105">
        <f t="shared" ca="1" si="31"/>
        <v>26.340000000000003</v>
      </c>
      <c r="G122" s="105">
        <f t="shared" ca="1" si="42"/>
        <v>1</v>
      </c>
      <c r="H122" s="105">
        <f t="shared" ca="1" si="43"/>
        <v>19.550000000000026</v>
      </c>
      <c r="I122" s="105">
        <f t="shared" ca="1" si="32"/>
        <v>0</v>
      </c>
      <c r="J122" s="105">
        <f t="shared" ca="1" si="33"/>
        <v>0</v>
      </c>
      <c r="K122" s="105">
        <f t="shared" ca="1" si="34"/>
        <v>8.6125000000000043</v>
      </c>
      <c r="L122" s="105">
        <f t="shared" ca="1" si="35"/>
        <v>1</v>
      </c>
      <c r="M122" s="105">
        <f t="shared" ca="1" si="36"/>
        <v>0</v>
      </c>
      <c r="N122" s="105">
        <f t="shared" ca="1" si="35"/>
        <v>0</v>
      </c>
      <c r="O122" s="105">
        <f t="shared" ca="1" si="37"/>
        <v>9.3400000000000034</v>
      </c>
      <c r="P122" s="105">
        <f t="shared" ca="1" si="38"/>
        <v>1</v>
      </c>
      <c r="Q122" s="105">
        <f t="shared" ca="1" si="39"/>
        <v>2.9250000000000007</v>
      </c>
      <c r="R122" s="105">
        <f t="shared" ca="1" si="40"/>
        <v>1</v>
      </c>
      <c r="S122" s="105">
        <f t="shared" ca="1" si="41"/>
        <v>6</v>
      </c>
    </row>
    <row r="123" spans="1:19" x14ac:dyDescent="0.35">
      <c r="A123" s="105">
        <f t="shared" ca="1" si="26"/>
        <v>169.8</v>
      </c>
      <c r="B123" s="105" t="str">
        <f t="shared" ca="1" si="27"/>
        <v>循环</v>
      </c>
      <c r="C123" s="105">
        <f t="shared" ca="1" si="28"/>
        <v>0</v>
      </c>
      <c r="D123" s="105">
        <f t="shared" ca="1" si="29"/>
        <v>8.7850000000000747</v>
      </c>
      <c r="E123" s="105">
        <f t="shared" ca="1" si="30"/>
        <v>23.510000000000005</v>
      </c>
      <c r="F123" s="105">
        <f t="shared" ca="1" si="31"/>
        <v>24.925000000000004</v>
      </c>
      <c r="G123" s="105">
        <f t="shared" ca="1" si="42"/>
        <v>1</v>
      </c>
      <c r="H123" s="105">
        <f t="shared" ca="1" si="43"/>
        <v>18.135000000000026</v>
      </c>
      <c r="I123" s="105">
        <f t="shared" ca="1" si="32"/>
        <v>0</v>
      </c>
      <c r="J123" s="105">
        <f t="shared" ca="1" si="33"/>
        <v>0</v>
      </c>
      <c r="K123" s="105">
        <f t="shared" ca="1" si="34"/>
        <v>7.1975000000000042</v>
      </c>
      <c r="L123" s="105">
        <f t="shared" ca="1" si="35"/>
        <v>1</v>
      </c>
      <c r="M123" s="105">
        <f t="shared" ca="1" si="36"/>
        <v>0</v>
      </c>
      <c r="N123" s="105">
        <f t="shared" ca="1" si="35"/>
        <v>0</v>
      </c>
      <c r="O123" s="105">
        <f t="shared" ca="1" si="37"/>
        <v>7.9250000000000034</v>
      </c>
      <c r="P123" s="105">
        <f t="shared" ca="1" si="38"/>
        <v>1</v>
      </c>
      <c r="Q123" s="105">
        <f t="shared" ca="1" si="39"/>
        <v>1.5100000000000007</v>
      </c>
      <c r="R123" s="105">
        <f t="shared" ca="1" si="40"/>
        <v>1</v>
      </c>
      <c r="S123" s="105">
        <f t="shared" ca="1" si="41"/>
        <v>6</v>
      </c>
    </row>
    <row r="124" spans="1:19" x14ac:dyDescent="0.35">
      <c r="A124" s="105">
        <f t="shared" ca="1" si="26"/>
        <v>171.215</v>
      </c>
      <c r="B124" s="105" t="str">
        <f t="shared" ca="1" si="27"/>
        <v>循环</v>
      </c>
      <c r="C124" s="105">
        <f t="shared" ca="1" si="28"/>
        <v>0</v>
      </c>
      <c r="D124" s="105">
        <f t="shared" ca="1" si="29"/>
        <v>7.3700000000000747</v>
      </c>
      <c r="E124" s="105">
        <f t="shared" ca="1" si="30"/>
        <v>22.095000000000006</v>
      </c>
      <c r="F124" s="105">
        <f t="shared" ca="1" si="31"/>
        <v>23.510000000000005</v>
      </c>
      <c r="G124" s="105">
        <f t="shared" ca="1" si="42"/>
        <v>1</v>
      </c>
      <c r="H124" s="105">
        <f t="shared" ca="1" si="43"/>
        <v>16.720000000000027</v>
      </c>
      <c r="I124" s="105">
        <f t="shared" ca="1" si="32"/>
        <v>0</v>
      </c>
      <c r="J124" s="105">
        <f t="shared" ca="1" si="33"/>
        <v>0</v>
      </c>
      <c r="K124" s="105">
        <f t="shared" ca="1" si="34"/>
        <v>5.7825000000000042</v>
      </c>
      <c r="L124" s="105">
        <f t="shared" ca="1" si="35"/>
        <v>1</v>
      </c>
      <c r="M124" s="105">
        <f t="shared" ca="1" si="36"/>
        <v>0</v>
      </c>
      <c r="N124" s="105">
        <f t="shared" ca="1" si="35"/>
        <v>0</v>
      </c>
      <c r="O124" s="105">
        <f t="shared" ca="1" si="37"/>
        <v>6.5100000000000033</v>
      </c>
      <c r="P124" s="105">
        <f t="shared" ca="1" si="38"/>
        <v>1</v>
      </c>
      <c r="Q124" s="105">
        <f t="shared" ca="1" si="39"/>
        <v>9.5000000000000639E-2</v>
      </c>
      <c r="R124" s="105">
        <f t="shared" ca="1" si="40"/>
        <v>1</v>
      </c>
      <c r="S124" s="105">
        <f t="shared" ca="1" si="41"/>
        <v>6</v>
      </c>
    </row>
    <row r="125" spans="1:19" x14ac:dyDescent="0.35">
      <c r="A125" s="105">
        <f t="shared" ca="1" si="26"/>
        <v>172.63</v>
      </c>
      <c r="B125" s="105" t="str">
        <f t="shared" ca="1" si="27"/>
        <v>循环</v>
      </c>
      <c r="C125" s="105">
        <f t="shared" ca="1" si="28"/>
        <v>0</v>
      </c>
      <c r="D125" s="105">
        <f t="shared" ca="1" si="29"/>
        <v>5.9550000000000747</v>
      </c>
      <c r="E125" s="105">
        <f t="shared" ca="1" si="30"/>
        <v>20.680000000000007</v>
      </c>
      <c r="F125" s="105">
        <f t="shared" ca="1" si="31"/>
        <v>22.095000000000006</v>
      </c>
      <c r="G125" s="105">
        <f t="shared" ca="1" si="42"/>
        <v>1</v>
      </c>
      <c r="H125" s="105">
        <f t="shared" ca="1" si="43"/>
        <v>15.305000000000028</v>
      </c>
      <c r="I125" s="105">
        <f t="shared" ca="1" si="32"/>
        <v>0</v>
      </c>
      <c r="J125" s="105">
        <f t="shared" ca="1" si="33"/>
        <v>0</v>
      </c>
      <c r="K125" s="105">
        <f t="shared" ca="1" si="34"/>
        <v>4.3675000000000042</v>
      </c>
      <c r="L125" s="105">
        <f t="shared" ca="1" si="35"/>
        <v>1</v>
      </c>
      <c r="M125" s="105">
        <f t="shared" ca="1" si="36"/>
        <v>0</v>
      </c>
      <c r="N125" s="105">
        <f t="shared" ca="1" si="35"/>
        <v>0</v>
      </c>
      <c r="O125" s="105">
        <f t="shared" ca="1" si="37"/>
        <v>5.0950000000000033</v>
      </c>
      <c r="P125" s="105">
        <f t="shared" ca="1" si="38"/>
        <v>1</v>
      </c>
      <c r="Q125" s="105">
        <f t="shared" ca="1" si="39"/>
        <v>0</v>
      </c>
      <c r="R125" s="105">
        <f t="shared" ca="1" si="40"/>
        <v>1</v>
      </c>
      <c r="S125" s="105">
        <f t="shared" ca="1" si="41"/>
        <v>6</v>
      </c>
    </row>
    <row r="126" spans="1:19" x14ac:dyDescent="0.35">
      <c r="A126" s="105">
        <f t="shared" ca="1" si="26"/>
        <v>174.04499999999999</v>
      </c>
      <c r="B126" s="105" t="str">
        <f t="shared" ca="1" si="27"/>
        <v>循环</v>
      </c>
      <c r="C126" s="105">
        <f t="shared" ca="1" si="28"/>
        <v>0</v>
      </c>
      <c r="D126" s="105">
        <f t="shared" ca="1" si="29"/>
        <v>4.5400000000000746</v>
      </c>
      <c r="E126" s="105">
        <f t="shared" ca="1" si="30"/>
        <v>19.265000000000008</v>
      </c>
      <c r="F126" s="105">
        <f t="shared" ca="1" si="31"/>
        <v>20.680000000000007</v>
      </c>
      <c r="G126" s="105">
        <f t="shared" ca="1" si="42"/>
        <v>1</v>
      </c>
      <c r="H126" s="105">
        <f t="shared" ca="1" si="43"/>
        <v>13.890000000000029</v>
      </c>
      <c r="I126" s="105">
        <f t="shared" ca="1" si="32"/>
        <v>0</v>
      </c>
      <c r="J126" s="105">
        <f t="shared" ca="1" si="33"/>
        <v>0</v>
      </c>
      <c r="K126" s="105">
        <f t="shared" ca="1" si="34"/>
        <v>2.9525000000000041</v>
      </c>
      <c r="L126" s="105">
        <f t="shared" ca="1" si="35"/>
        <v>1</v>
      </c>
      <c r="M126" s="105">
        <f t="shared" ca="1" si="36"/>
        <v>0</v>
      </c>
      <c r="N126" s="105">
        <f t="shared" ca="1" si="35"/>
        <v>0</v>
      </c>
      <c r="O126" s="105">
        <f t="shared" ca="1" si="37"/>
        <v>3.6800000000000033</v>
      </c>
      <c r="P126" s="105">
        <f t="shared" ca="1" si="38"/>
        <v>1</v>
      </c>
      <c r="Q126" s="105">
        <f t="shared" ca="1" si="39"/>
        <v>0</v>
      </c>
      <c r="R126" s="105">
        <f t="shared" ca="1" si="40"/>
        <v>0</v>
      </c>
      <c r="S126" s="105">
        <f t="shared" ca="1" si="41"/>
        <v>6</v>
      </c>
    </row>
    <row r="127" spans="1:19" x14ac:dyDescent="0.35">
      <c r="A127" s="105">
        <f t="shared" ca="1" si="26"/>
        <v>175.45999999999998</v>
      </c>
      <c r="B127" s="105" t="str">
        <f t="shared" ca="1" si="27"/>
        <v>循环</v>
      </c>
      <c r="C127" s="105">
        <f t="shared" ca="1" si="28"/>
        <v>0</v>
      </c>
      <c r="D127" s="105">
        <f t="shared" ca="1" si="29"/>
        <v>3.1250000000000746</v>
      </c>
      <c r="E127" s="105">
        <f t="shared" ca="1" si="30"/>
        <v>17.850000000000009</v>
      </c>
      <c r="F127" s="105">
        <f t="shared" ca="1" si="31"/>
        <v>19.265000000000008</v>
      </c>
      <c r="G127" s="105">
        <f t="shared" ca="1" si="42"/>
        <v>1</v>
      </c>
      <c r="H127" s="105">
        <f t="shared" ca="1" si="43"/>
        <v>12.47500000000003</v>
      </c>
      <c r="I127" s="105">
        <f t="shared" ca="1" si="32"/>
        <v>0</v>
      </c>
      <c r="J127" s="105">
        <f t="shared" ca="1" si="33"/>
        <v>0</v>
      </c>
      <c r="K127" s="105">
        <f t="shared" ca="1" si="34"/>
        <v>1.5375000000000041</v>
      </c>
      <c r="L127" s="105">
        <f t="shared" ca="1" si="35"/>
        <v>1</v>
      </c>
      <c r="M127" s="105">
        <f t="shared" ca="1" si="36"/>
        <v>0</v>
      </c>
      <c r="N127" s="105">
        <f t="shared" ca="1" si="35"/>
        <v>0</v>
      </c>
      <c r="O127" s="105">
        <f t="shared" ca="1" si="37"/>
        <v>2.2650000000000032</v>
      </c>
      <c r="P127" s="105">
        <f t="shared" ca="1" si="38"/>
        <v>1</v>
      </c>
      <c r="Q127" s="105">
        <f t="shared" ca="1" si="39"/>
        <v>0</v>
      </c>
      <c r="R127" s="105">
        <f t="shared" ca="1" si="40"/>
        <v>0</v>
      </c>
      <c r="S127" s="105">
        <f t="shared" ca="1" si="41"/>
        <v>6</v>
      </c>
    </row>
    <row r="128" spans="1:19" x14ac:dyDescent="0.35">
      <c r="A128" s="105">
        <f t="shared" ca="1" si="26"/>
        <v>176.87499999999997</v>
      </c>
      <c r="B128" s="105" t="str">
        <f t="shared" ca="1" si="27"/>
        <v>循环</v>
      </c>
      <c r="C128" s="105">
        <f t="shared" ca="1" si="28"/>
        <v>0</v>
      </c>
      <c r="D128" s="105">
        <f t="shared" ca="1" si="29"/>
        <v>1.7100000000000746</v>
      </c>
      <c r="E128" s="105">
        <f t="shared" ca="1" si="30"/>
        <v>16.435000000000009</v>
      </c>
      <c r="F128" s="105">
        <f t="shared" ca="1" si="31"/>
        <v>17.850000000000009</v>
      </c>
      <c r="G128" s="105">
        <f t="shared" ca="1" si="42"/>
        <v>1</v>
      </c>
      <c r="H128" s="105">
        <f t="shared" ca="1" si="43"/>
        <v>11.060000000000031</v>
      </c>
      <c r="I128" s="105">
        <f t="shared" ca="1" si="32"/>
        <v>0</v>
      </c>
      <c r="J128" s="105">
        <f t="shared" ca="1" si="33"/>
        <v>0</v>
      </c>
      <c r="K128" s="105">
        <f t="shared" ca="1" si="34"/>
        <v>0.12250000000000405</v>
      </c>
      <c r="L128" s="105">
        <f t="shared" ca="1" si="35"/>
        <v>1</v>
      </c>
      <c r="M128" s="105">
        <f t="shared" ca="1" si="36"/>
        <v>0</v>
      </c>
      <c r="N128" s="105">
        <f t="shared" ca="1" si="35"/>
        <v>0</v>
      </c>
      <c r="O128" s="105">
        <f t="shared" ca="1" si="37"/>
        <v>0.8500000000000032</v>
      </c>
      <c r="P128" s="105">
        <f t="shared" ca="1" si="38"/>
        <v>1</v>
      </c>
      <c r="Q128" s="105">
        <f t="shared" ca="1" si="39"/>
        <v>0</v>
      </c>
      <c r="R128" s="105">
        <f t="shared" ca="1" si="40"/>
        <v>0</v>
      </c>
      <c r="S128" s="105">
        <f t="shared" ca="1" si="41"/>
        <v>6</v>
      </c>
    </row>
    <row r="129" spans="1:19" x14ac:dyDescent="0.35">
      <c r="A129" s="105">
        <f t="shared" ca="1" si="26"/>
        <v>178.28999999999996</v>
      </c>
      <c r="B129" s="105" t="str">
        <f t="shared" ca="1" si="27"/>
        <v>循环</v>
      </c>
      <c r="C129" s="105">
        <f t="shared" ca="1" si="28"/>
        <v>0</v>
      </c>
      <c r="D129" s="105">
        <f t="shared" ca="1" si="29"/>
        <v>0.29500000000007454</v>
      </c>
      <c r="E129" s="105">
        <f t="shared" ca="1" si="30"/>
        <v>15.02000000000001</v>
      </c>
      <c r="F129" s="105">
        <f t="shared" ca="1" si="31"/>
        <v>16.435000000000009</v>
      </c>
      <c r="G129" s="105">
        <f t="shared" ca="1" si="42"/>
        <v>1</v>
      </c>
      <c r="H129" s="105">
        <f t="shared" ca="1" si="43"/>
        <v>9.6450000000000315</v>
      </c>
      <c r="I129" s="105">
        <f t="shared" ca="1" si="32"/>
        <v>0</v>
      </c>
      <c r="J129" s="105">
        <f t="shared" ca="1" si="33"/>
        <v>0</v>
      </c>
      <c r="K129" s="105">
        <f t="shared" ca="1" si="34"/>
        <v>0</v>
      </c>
      <c r="L129" s="105">
        <f t="shared" ca="1" si="35"/>
        <v>1</v>
      </c>
      <c r="M129" s="105">
        <f t="shared" ca="1" si="36"/>
        <v>0</v>
      </c>
      <c r="N129" s="105">
        <f t="shared" ca="1" si="35"/>
        <v>0</v>
      </c>
      <c r="O129" s="105">
        <f t="shared" ca="1" si="37"/>
        <v>0</v>
      </c>
      <c r="P129" s="105">
        <f t="shared" ca="1" si="38"/>
        <v>1</v>
      </c>
      <c r="Q129" s="105">
        <f t="shared" ca="1" si="39"/>
        <v>0</v>
      </c>
      <c r="R129" s="105">
        <f t="shared" ca="1" si="40"/>
        <v>0</v>
      </c>
      <c r="S129" s="105">
        <f t="shared" ca="1" si="41"/>
        <v>6</v>
      </c>
    </row>
    <row r="130" spans="1:19" x14ac:dyDescent="0.35">
      <c r="A130" s="105">
        <f t="shared" ca="1" si="26"/>
        <v>179.70499999999996</v>
      </c>
      <c r="B130" s="105" t="str">
        <f t="shared" ca="1" si="27"/>
        <v>循环</v>
      </c>
      <c r="C130" s="105">
        <f t="shared" ca="1" si="28"/>
        <v>1</v>
      </c>
      <c r="D130" s="105">
        <f t="shared" ca="1" si="29"/>
        <v>34.880000000000074</v>
      </c>
      <c r="E130" s="105">
        <f t="shared" ca="1" si="30"/>
        <v>13.605000000000011</v>
      </c>
      <c r="F130" s="105">
        <f t="shared" ca="1" si="31"/>
        <v>15.02000000000001</v>
      </c>
      <c r="G130" s="105">
        <f t="shared" ca="1" si="42"/>
        <v>1</v>
      </c>
      <c r="H130" s="105">
        <f t="shared" ca="1" si="43"/>
        <v>8.2300000000000324</v>
      </c>
      <c r="I130" s="105">
        <f t="shared" ca="1" si="32"/>
        <v>0</v>
      </c>
      <c r="J130" s="105">
        <f t="shared" ca="1" si="33"/>
        <v>0</v>
      </c>
      <c r="K130" s="105">
        <f t="shared" ca="1" si="34"/>
        <v>0</v>
      </c>
      <c r="L130" s="105">
        <f t="shared" ca="1" si="35"/>
        <v>0</v>
      </c>
      <c r="M130" s="105">
        <f t="shared" ca="1" si="36"/>
        <v>0</v>
      </c>
      <c r="N130" s="105">
        <f t="shared" ca="1" si="35"/>
        <v>0</v>
      </c>
      <c r="O130" s="105">
        <f t="shared" ca="1" si="37"/>
        <v>0</v>
      </c>
      <c r="P130" s="105">
        <f t="shared" ca="1" si="38"/>
        <v>0</v>
      </c>
      <c r="Q130" s="105">
        <f t="shared" ca="1" si="39"/>
        <v>0</v>
      </c>
      <c r="R130" s="105">
        <f t="shared" ca="1" si="40"/>
        <v>0</v>
      </c>
      <c r="S130" s="105">
        <f t="shared" ca="1" si="41"/>
        <v>6</v>
      </c>
    </row>
    <row r="131" spans="1:19" x14ac:dyDescent="0.35">
      <c r="A131" s="105">
        <f t="shared" ca="1" si="26"/>
        <v>181.11999999999995</v>
      </c>
      <c r="B131" s="105" t="str">
        <f t="shared" ca="1" si="27"/>
        <v>循环</v>
      </c>
      <c r="C131" s="105">
        <f t="shared" ca="1" si="28"/>
        <v>1</v>
      </c>
      <c r="D131" s="105">
        <f t="shared" ca="1" si="29"/>
        <v>33.465000000000074</v>
      </c>
      <c r="E131" s="105">
        <f t="shared" ca="1" si="30"/>
        <v>12.190000000000012</v>
      </c>
      <c r="F131" s="105">
        <f t="shared" ca="1" si="31"/>
        <v>13.605000000000011</v>
      </c>
      <c r="G131" s="105">
        <f t="shared" ca="1" si="42"/>
        <v>1</v>
      </c>
      <c r="H131" s="105">
        <f t="shared" ca="1" si="43"/>
        <v>6.8150000000000324</v>
      </c>
      <c r="I131" s="105">
        <f t="shared" ca="1" si="32"/>
        <v>0</v>
      </c>
      <c r="J131" s="105">
        <f t="shared" ca="1" si="33"/>
        <v>0</v>
      </c>
      <c r="K131" s="105">
        <f t="shared" ca="1" si="34"/>
        <v>0</v>
      </c>
      <c r="L131" s="105">
        <f t="shared" ca="1" si="35"/>
        <v>0</v>
      </c>
      <c r="M131" s="105">
        <f t="shared" ca="1" si="36"/>
        <v>0</v>
      </c>
      <c r="N131" s="105">
        <f t="shared" ca="1" si="35"/>
        <v>0</v>
      </c>
      <c r="O131" s="105">
        <f t="shared" ca="1" si="37"/>
        <v>0</v>
      </c>
      <c r="P131" s="105">
        <f t="shared" ca="1" si="38"/>
        <v>0</v>
      </c>
      <c r="Q131" s="105">
        <f t="shared" ca="1" si="39"/>
        <v>0</v>
      </c>
      <c r="R131" s="105">
        <f t="shared" ca="1" si="40"/>
        <v>0</v>
      </c>
      <c r="S131" s="105">
        <f t="shared" ca="1" si="41"/>
        <v>6</v>
      </c>
    </row>
    <row r="132" spans="1:19" x14ac:dyDescent="0.35">
      <c r="A132" s="105">
        <f t="shared" ref="A132:A195" ca="1" si="44">$V$4+A131</f>
        <v>182.53499999999994</v>
      </c>
      <c r="B132" s="105" t="str">
        <f t="shared" ref="B132:B195" ca="1" si="45">IF(AND(A131&gt;$X$1,P131=0,R131=0),0,IF(AND(G131=0,H131=0),"突","")&amp;IF($V$8=0,IF(AND(OR($V$13=0,AND(K131=0,C131&lt;1),AND(K131&gt;0,OR(M131&gt;0,$V$7=0))),$V$6=1,E131=0),"渊","")&amp;IF(AND(OR($V$13=0,AND(K131=0,C131&lt;1),AND(K131&gt;0,OR(M131&gt;0,$V$7=0))),F131=0),"雷","")&amp;IF(AND(C131&gt;0,$V$13=1,E131=0,F131=0,K131=0),"任",IF(AND(G131=1,$V$7=1,I131=0),"乘","循环")),IF(AND($V$6=1,E131=0),"渊","")&amp;IF(AND(OR($V$13=0,AND(K131=0,C131&lt;1),AND(K131&gt;0,OR(M131&gt;0,$V$7=0))),F131=0),"雷","")&amp;IF(AND(C131&gt;0,L131=0,E131=0),"任",IF(AND(G131=1,$V$7=1,I131=0),"乘","循环"))))</f>
        <v>循环</v>
      </c>
      <c r="C132" s="105">
        <f t="shared" ref="C132:C195" ca="1" si="46">IF(COUNTIF(B132,"*任*"),C131-1,IF(AND(D131&lt;&gt;0,D131&lt;$V$4),MIN(2,C131+1),C131))</f>
        <v>1</v>
      </c>
      <c r="D132" s="105">
        <f t="shared" ref="D132:D195" ca="1" si="47">IF(AND(D131&lt;$V$4,C131&lt;2),D131+$Y$6-$V$4,IF(AND(C131=2,COUNTIF(B132,"*任*")&gt;0),$Y$6-$V$4,MAX(0,D131-$V$4)))</f>
        <v>32.050000000000075</v>
      </c>
      <c r="E132" s="105">
        <f t="shared" ref="E132:E195" ca="1" si="48">IF(COUNTIF(B132,"*渊*")&gt;0,$Y$8-$V$4,MAX(0,E131-$V$4))</f>
        <v>10.775000000000013</v>
      </c>
      <c r="F132" s="105">
        <f t="shared" ref="F132:F195" ca="1" si="49">IF(COUNTIF(B132,"*雷*")&gt;0,$Y$9-$V$4,MAX(0,F131-$V$4))</f>
        <v>12.190000000000012</v>
      </c>
      <c r="G132" s="105">
        <f t="shared" ca="1" si="42"/>
        <v>1</v>
      </c>
      <c r="H132" s="105">
        <f t="shared" ca="1" si="43"/>
        <v>5.4000000000000323</v>
      </c>
      <c r="I132" s="105">
        <f t="shared" ref="I132:I195" ca="1" si="50">IF(COUNTIF(B132,"*乘*")&gt;0,$Y$7-$V$4,MAX(0,I131-$V$4))</f>
        <v>0</v>
      </c>
      <c r="J132" s="105">
        <f t="shared" ref="J132:J195" ca="1" si="51">IF(H131&lt;1,$V$16,MAX(0,J131-1))*$V$11</f>
        <v>0</v>
      </c>
      <c r="K132" s="105">
        <f t="shared" ref="K132:K195" ca="1" si="52">IF(COUNTIF(B132,"*任*")&gt;0,$Z$6-$V$4+0.6875,MAX(0,K131-$V$4))</f>
        <v>0</v>
      </c>
      <c r="L132" s="105">
        <f t="shared" ref="L132:N195" ca="1" si="53">IF(K132+K131&gt;0,1,0)</f>
        <v>0</v>
      </c>
      <c r="M132" s="105">
        <f t="shared" ref="M132:M195" ca="1" si="54">IF(COUNTIF(B132,"*乘*")&gt;0,$Z$7-$V$4,MAX(0,M131-$V$4))</f>
        <v>0</v>
      </c>
      <c r="N132" s="105">
        <f t="shared" ca="1" si="53"/>
        <v>0</v>
      </c>
      <c r="O132" s="105">
        <f t="shared" ref="O132:O195" ca="1" si="55">IF(COUNTIF(B132,"*雷*")&gt;0,$Z$9-$V$4,MAX(0,O131-$V$4))</f>
        <v>0</v>
      </c>
      <c r="P132" s="105">
        <f t="shared" ref="P132:P195" ca="1" si="56">IF(O132+O131&gt;0,1,0)</f>
        <v>0</v>
      </c>
      <c r="Q132" s="105">
        <f t="shared" ref="Q132:Q195" ca="1" si="57">IF(COUNTIF(B132,"*渊*")&gt;0,$Z$8-$V$4,MAX(0,Q131-$V$4))</f>
        <v>0</v>
      </c>
      <c r="R132" s="105">
        <f t="shared" ref="R132:R195" ca="1" si="58">IF(Q132+Q131&gt;0,1,0)</f>
        <v>0</v>
      </c>
      <c r="S132" s="105">
        <f t="shared" ref="S132:S195" ca="1" si="59">IF(COUNTIF(B132,"*雷*")&gt;0,S131+1,S131)</f>
        <v>6</v>
      </c>
    </row>
    <row r="133" spans="1:19" x14ac:dyDescent="0.35">
      <c r="A133" s="105">
        <f t="shared" ca="1" si="44"/>
        <v>183.94999999999993</v>
      </c>
      <c r="B133" s="105" t="str">
        <f t="shared" ca="1" si="45"/>
        <v>循环</v>
      </c>
      <c r="C133" s="105">
        <f t="shared" ca="1" si="46"/>
        <v>1</v>
      </c>
      <c r="D133" s="105">
        <f t="shared" ca="1" si="47"/>
        <v>30.635000000000076</v>
      </c>
      <c r="E133" s="105">
        <f t="shared" ca="1" si="48"/>
        <v>9.3600000000000136</v>
      </c>
      <c r="F133" s="105">
        <f t="shared" ca="1" si="49"/>
        <v>10.775000000000013</v>
      </c>
      <c r="G133" s="105">
        <f t="shared" ref="G133:G196" ca="1" si="60">IF(RIGHT(B133,1)="任",1,IF(OR($V$9=0,AND(K132&lt;$V$4,H132=0)),0,G132))</f>
        <v>1</v>
      </c>
      <c r="H133" s="105">
        <f t="shared" ref="H133:H196" ca="1" si="61">IF(COUNTIF(B133,"*突*")&gt;0,$Y$5-$V$4,MAX(0,H132-$V$4))</f>
        <v>3.9850000000000323</v>
      </c>
      <c r="I133" s="105">
        <f t="shared" ca="1" si="50"/>
        <v>0</v>
      </c>
      <c r="J133" s="105">
        <f t="shared" ca="1" si="51"/>
        <v>0</v>
      </c>
      <c r="K133" s="105">
        <f t="shared" ca="1" si="52"/>
        <v>0</v>
      </c>
      <c r="L133" s="105">
        <f t="shared" ca="1" si="53"/>
        <v>0</v>
      </c>
      <c r="M133" s="105">
        <f t="shared" ca="1" si="54"/>
        <v>0</v>
      </c>
      <c r="N133" s="105">
        <f t="shared" ca="1" si="53"/>
        <v>0</v>
      </c>
      <c r="O133" s="105">
        <f t="shared" ca="1" si="55"/>
        <v>0</v>
      </c>
      <c r="P133" s="105">
        <f t="shared" ca="1" si="56"/>
        <v>0</v>
      </c>
      <c r="Q133" s="105">
        <f t="shared" ca="1" si="57"/>
        <v>0</v>
      </c>
      <c r="R133" s="105">
        <f t="shared" ca="1" si="58"/>
        <v>0</v>
      </c>
      <c r="S133" s="105">
        <f t="shared" ca="1" si="59"/>
        <v>6</v>
      </c>
    </row>
    <row r="134" spans="1:19" x14ac:dyDescent="0.35">
      <c r="A134" s="105">
        <f t="shared" ca="1" si="44"/>
        <v>185.36499999999992</v>
      </c>
      <c r="B134" s="105" t="str">
        <f t="shared" ca="1" si="45"/>
        <v>循环</v>
      </c>
      <c r="C134" s="105">
        <f t="shared" ca="1" si="46"/>
        <v>1</v>
      </c>
      <c r="D134" s="105">
        <f t="shared" ca="1" si="47"/>
        <v>29.220000000000077</v>
      </c>
      <c r="E134" s="105">
        <f t="shared" ca="1" si="48"/>
        <v>7.9450000000000136</v>
      </c>
      <c r="F134" s="105">
        <f t="shared" ca="1" si="49"/>
        <v>9.3600000000000136</v>
      </c>
      <c r="G134" s="105">
        <f t="shared" ca="1" si="60"/>
        <v>1</v>
      </c>
      <c r="H134" s="105">
        <f t="shared" ca="1" si="61"/>
        <v>2.5700000000000323</v>
      </c>
      <c r="I134" s="105">
        <f t="shared" ca="1" si="50"/>
        <v>0</v>
      </c>
      <c r="J134" s="105">
        <f t="shared" ca="1" si="51"/>
        <v>0</v>
      </c>
      <c r="K134" s="105">
        <f t="shared" ca="1" si="52"/>
        <v>0</v>
      </c>
      <c r="L134" s="105">
        <f t="shared" ca="1" si="53"/>
        <v>0</v>
      </c>
      <c r="M134" s="105">
        <f t="shared" ca="1" si="54"/>
        <v>0</v>
      </c>
      <c r="N134" s="105">
        <f t="shared" ca="1" si="53"/>
        <v>0</v>
      </c>
      <c r="O134" s="105">
        <f t="shared" ca="1" si="55"/>
        <v>0</v>
      </c>
      <c r="P134" s="105">
        <f t="shared" ca="1" si="56"/>
        <v>0</v>
      </c>
      <c r="Q134" s="105">
        <f t="shared" ca="1" si="57"/>
        <v>0</v>
      </c>
      <c r="R134" s="105">
        <f t="shared" ca="1" si="58"/>
        <v>0</v>
      </c>
      <c r="S134" s="105">
        <f t="shared" ca="1" si="59"/>
        <v>6</v>
      </c>
    </row>
    <row r="135" spans="1:19" x14ac:dyDescent="0.35">
      <c r="A135" s="105">
        <f t="shared" ca="1" si="44"/>
        <v>186.77999999999992</v>
      </c>
      <c r="B135" s="105" t="str">
        <f t="shared" ca="1" si="45"/>
        <v>循环</v>
      </c>
      <c r="C135" s="105">
        <f t="shared" ca="1" si="46"/>
        <v>1</v>
      </c>
      <c r="D135" s="105">
        <f t="shared" ca="1" si="47"/>
        <v>27.805000000000078</v>
      </c>
      <c r="E135" s="105">
        <f t="shared" ca="1" si="48"/>
        <v>6.5300000000000136</v>
      </c>
      <c r="F135" s="105">
        <f t="shared" ca="1" si="49"/>
        <v>7.9450000000000136</v>
      </c>
      <c r="G135" s="105">
        <f t="shared" ca="1" si="60"/>
        <v>1</v>
      </c>
      <c r="H135" s="105">
        <f t="shared" ca="1" si="61"/>
        <v>1.1550000000000322</v>
      </c>
      <c r="I135" s="105">
        <f t="shared" ca="1" si="50"/>
        <v>0</v>
      </c>
      <c r="J135" s="105">
        <f t="shared" ca="1" si="51"/>
        <v>0</v>
      </c>
      <c r="K135" s="105">
        <f t="shared" ca="1" si="52"/>
        <v>0</v>
      </c>
      <c r="L135" s="105">
        <f t="shared" ca="1" si="53"/>
        <v>0</v>
      </c>
      <c r="M135" s="105">
        <f t="shared" ca="1" si="54"/>
        <v>0</v>
      </c>
      <c r="N135" s="105">
        <f t="shared" ca="1" si="53"/>
        <v>0</v>
      </c>
      <c r="O135" s="105">
        <f t="shared" ca="1" si="55"/>
        <v>0</v>
      </c>
      <c r="P135" s="105">
        <f t="shared" ca="1" si="56"/>
        <v>0</v>
      </c>
      <c r="Q135" s="105">
        <f t="shared" ca="1" si="57"/>
        <v>0</v>
      </c>
      <c r="R135" s="105">
        <f t="shared" ca="1" si="58"/>
        <v>0</v>
      </c>
      <c r="S135" s="105">
        <f t="shared" ca="1" si="59"/>
        <v>6</v>
      </c>
    </row>
    <row r="136" spans="1:19" x14ac:dyDescent="0.35">
      <c r="A136" s="105">
        <f t="shared" ca="1" si="44"/>
        <v>188.19499999999991</v>
      </c>
      <c r="B136" s="105" t="str">
        <f t="shared" ca="1" si="45"/>
        <v>循环</v>
      </c>
      <c r="C136" s="105">
        <f t="shared" ca="1" si="46"/>
        <v>1</v>
      </c>
      <c r="D136" s="105">
        <f t="shared" ca="1" si="47"/>
        <v>26.390000000000079</v>
      </c>
      <c r="E136" s="105">
        <f t="shared" ca="1" si="48"/>
        <v>5.1150000000000135</v>
      </c>
      <c r="F136" s="105">
        <f t="shared" ca="1" si="49"/>
        <v>6.5300000000000136</v>
      </c>
      <c r="G136" s="105">
        <f t="shared" ca="1" si="60"/>
        <v>1</v>
      </c>
      <c r="H136" s="105">
        <f t="shared" ca="1" si="61"/>
        <v>0</v>
      </c>
      <c r="I136" s="105">
        <f t="shared" ca="1" si="50"/>
        <v>0</v>
      </c>
      <c r="J136" s="105">
        <f t="shared" ca="1" si="51"/>
        <v>0</v>
      </c>
      <c r="K136" s="105">
        <f t="shared" ca="1" si="52"/>
        <v>0</v>
      </c>
      <c r="L136" s="105">
        <f t="shared" ca="1" si="53"/>
        <v>0</v>
      </c>
      <c r="M136" s="105">
        <f t="shared" ca="1" si="54"/>
        <v>0</v>
      </c>
      <c r="N136" s="105">
        <f t="shared" ca="1" si="53"/>
        <v>0</v>
      </c>
      <c r="O136" s="105">
        <f t="shared" ca="1" si="55"/>
        <v>0</v>
      </c>
      <c r="P136" s="105">
        <f t="shared" ca="1" si="56"/>
        <v>0</v>
      </c>
      <c r="Q136" s="105">
        <f t="shared" ca="1" si="57"/>
        <v>0</v>
      </c>
      <c r="R136" s="105">
        <f t="shared" ca="1" si="58"/>
        <v>0</v>
      </c>
      <c r="S136" s="105">
        <f t="shared" ca="1" si="59"/>
        <v>6</v>
      </c>
    </row>
    <row r="137" spans="1:19" x14ac:dyDescent="0.35">
      <c r="A137" s="105">
        <f t="shared" ca="1" si="44"/>
        <v>189.6099999999999</v>
      </c>
      <c r="B137" s="105" t="str">
        <f t="shared" ca="1" si="45"/>
        <v>循环</v>
      </c>
      <c r="C137" s="105">
        <f t="shared" ca="1" si="46"/>
        <v>1</v>
      </c>
      <c r="D137" s="105">
        <f t="shared" ca="1" si="47"/>
        <v>24.97500000000008</v>
      </c>
      <c r="E137" s="105">
        <f t="shared" ca="1" si="48"/>
        <v>3.7000000000000135</v>
      </c>
      <c r="F137" s="105">
        <f t="shared" ca="1" si="49"/>
        <v>5.1150000000000135</v>
      </c>
      <c r="G137" s="105">
        <f t="shared" ca="1" si="60"/>
        <v>0</v>
      </c>
      <c r="H137" s="105">
        <f t="shared" ca="1" si="61"/>
        <v>0</v>
      </c>
      <c r="I137" s="105">
        <f t="shared" ca="1" si="50"/>
        <v>0</v>
      </c>
      <c r="J137" s="105">
        <f t="shared" ca="1" si="51"/>
        <v>0</v>
      </c>
      <c r="K137" s="105">
        <f t="shared" ca="1" si="52"/>
        <v>0</v>
      </c>
      <c r="L137" s="105">
        <f t="shared" ca="1" si="53"/>
        <v>0</v>
      </c>
      <c r="M137" s="105">
        <f t="shared" ca="1" si="54"/>
        <v>0</v>
      </c>
      <c r="N137" s="105">
        <f t="shared" ca="1" si="53"/>
        <v>0</v>
      </c>
      <c r="O137" s="105">
        <f t="shared" ca="1" si="55"/>
        <v>0</v>
      </c>
      <c r="P137" s="105">
        <f t="shared" ca="1" si="56"/>
        <v>0</v>
      </c>
      <c r="Q137" s="105">
        <f t="shared" ca="1" si="57"/>
        <v>0</v>
      </c>
      <c r="R137" s="105">
        <f t="shared" ca="1" si="58"/>
        <v>0</v>
      </c>
      <c r="S137" s="105">
        <f t="shared" ca="1" si="59"/>
        <v>6</v>
      </c>
    </row>
    <row r="138" spans="1:19" x14ac:dyDescent="0.35">
      <c r="A138" s="105">
        <f t="shared" ca="1" si="44"/>
        <v>191.02499999999989</v>
      </c>
      <c r="B138" s="105" t="str">
        <f t="shared" ca="1" si="45"/>
        <v>突循环</v>
      </c>
      <c r="C138" s="105">
        <f t="shared" ca="1" si="46"/>
        <v>1</v>
      </c>
      <c r="D138" s="105">
        <f t="shared" ca="1" si="47"/>
        <v>23.56000000000008</v>
      </c>
      <c r="E138" s="105">
        <f t="shared" ca="1" si="48"/>
        <v>2.2850000000000135</v>
      </c>
      <c r="F138" s="105">
        <f t="shared" ca="1" si="49"/>
        <v>3.7000000000000135</v>
      </c>
      <c r="G138" s="105">
        <f t="shared" ca="1" si="60"/>
        <v>0</v>
      </c>
      <c r="H138" s="105">
        <f t="shared" ca="1" si="61"/>
        <v>60.585000000000001</v>
      </c>
      <c r="I138" s="105">
        <f t="shared" ca="1" si="50"/>
        <v>0</v>
      </c>
      <c r="J138" s="105">
        <f t="shared" ca="1" si="51"/>
        <v>0</v>
      </c>
      <c r="K138" s="105">
        <f t="shared" ca="1" si="52"/>
        <v>0</v>
      </c>
      <c r="L138" s="105">
        <f t="shared" ca="1" si="53"/>
        <v>0</v>
      </c>
      <c r="M138" s="105">
        <f t="shared" ca="1" si="54"/>
        <v>0</v>
      </c>
      <c r="N138" s="105">
        <f t="shared" ca="1" si="53"/>
        <v>0</v>
      </c>
      <c r="O138" s="105">
        <f t="shared" ca="1" si="55"/>
        <v>0</v>
      </c>
      <c r="P138" s="105">
        <f t="shared" ca="1" si="56"/>
        <v>0</v>
      </c>
      <c r="Q138" s="105">
        <f t="shared" ca="1" si="57"/>
        <v>0</v>
      </c>
      <c r="R138" s="105">
        <f t="shared" ca="1" si="58"/>
        <v>0</v>
      </c>
      <c r="S138" s="105">
        <f t="shared" ca="1" si="59"/>
        <v>6</v>
      </c>
    </row>
    <row r="139" spans="1:19" x14ac:dyDescent="0.35">
      <c r="A139" s="105">
        <f t="shared" ca="1" si="44"/>
        <v>192.43999999999988</v>
      </c>
      <c r="B139" s="105" t="str">
        <f t="shared" ca="1" si="45"/>
        <v>循环</v>
      </c>
      <c r="C139" s="105">
        <f t="shared" ca="1" si="46"/>
        <v>1</v>
      </c>
      <c r="D139" s="105">
        <f t="shared" ca="1" si="47"/>
        <v>22.145000000000081</v>
      </c>
      <c r="E139" s="105">
        <f t="shared" ca="1" si="48"/>
        <v>0.87000000000001343</v>
      </c>
      <c r="F139" s="105">
        <f t="shared" ca="1" si="49"/>
        <v>2.2850000000000135</v>
      </c>
      <c r="G139" s="105">
        <f t="shared" ca="1" si="60"/>
        <v>0</v>
      </c>
      <c r="H139" s="105">
        <f t="shared" ca="1" si="61"/>
        <v>59.17</v>
      </c>
      <c r="I139" s="105">
        <f t="shared" ca="1" si="50"/>
        <v>0</v>
      </c>
      <c r="J139" s="105">
        <f t="shared" ca="1" si="51"/>
        <v>0</v>
      </c>
      <c r="K139" s="105">
        <f t="shared" ca="1" si="52"/>
        <v>0</v>
      </c>
      <c r="L139" s="105">
        <f t="shared" ca="1" si="53"/>
        <v>0</v>
      </c>
      <c r="M139" s="105">
        <f t="shared" ca="1" si="54"/>
        <v>0</v>
      </c>
      <c r="N139" s="105">
        <f t="shared" ca="1" si="53"/>
        <v>0</v>
      </c>
      <c r="O139" s="105">
        <f t="shared" ca="1" si="55"/>
        <v>0</v>
      </c>
      <c r="P139" s="105">
        <f t="shared" ca="1" si="56"/>
        <v>0</v>
      </c>
      <c r="Q139" s="105">
        <f t="shared" ca="1" si="57"/>
        <v>0</v>
      </c>
      <c r="R139" s="105">
        <f t="shared" ca="1" si="58"/>
        <v>0</v>
      </c>
      <c r="S139" s="105">
        <f t="shared" ca="1" si="59"/>
        <v>6</v>
      </c>
    </row>
    <row r="140" spans="1:19" x14ac:dyDescent="0.35">
      <c r="A140" s="105">
        <f t="shared" ca="1" si="44"/>
        <v>193.85499999999988</v>
      </c>
      <c r="B140" s="105" t="str">
        <f t="shared" ca="1" si="45"/>
        <v>循环</v>
      </c>
      <c r="C140" s="105">
        <f t="shared" ca="1" si="46"/>
        <v>1</v>
      </c>
      <c r="D140" s="105">
        <f t="shared" ca="1" si="47"/>
        <v>20.730000000000082</v>
      </c>
      <c r="E140" s="105">
        <f t="shared" ca="1" si="48"/>
        <v>0</v>
      </c>
      <c r="F140" s="105">
        <f t="shared" ca="1" si="49"/>
        <v>0.87000000000001343</v>
      </c>
      <c r="G140" s="105">
        <f t="shared" ca="1" si="60"/>
        <v>0</v>
      </c>
      <c r="H140" s="105">
        <f t="shared" ca="1" si="61"/>
        <v>57.755000000000003</v>
      </c>
      <c r="I140" s="105">
        <f t="shared" ca="1" si="50"/>
        <v>0</v>
      </c>
      <c r="J140" s="105">
        <f t="shared" ca="1" si="51"/>
        <v>0</v>
      </c>
      <c r="K140" s="105">
        <f t="shared" ca="1" si="52"/>
        <v>0</v>
      </c>
      <c r="L140" s="105">
        <f t="shared" ca="1" si="53"/>
        <v>0</v>
      </c>
      <c r="M140" s="105">
        <f t="shared" ca="1" si="54"/>
        <v>0</v>
      </c>
      <c r="N140" s="105">
        <f t="shared" ca="1" si="53"/>
        <v>0</v>
      </c>
      <c r="O140" s="105">
        <f t="shared" ca="1" si="55"/>
        <v>0</v>
      </c>
      <c r="P140" s="105">
        <f t="shared" ca="1" si="56"/>
        <v>0</v>
      </c>
      <c r="Q140" s="105">
        <f t="shared" ca="1" si="57"/>
        <v>0</v>
      </c>
      <c r="R140" s="105">
        <f t="shared" ca="1" si="58"/>
        <v>0</v>
      </c>
      <c r="S140" s="105">
        <f t="shared" ca="1" si="59"/>
        <v>6</v>
      </c>
    </row>
    <row r="141" spans="1:19" x14ac:dyDescent="0.35">
      <c r="A141" s="105">
        <f t="shared" ca="1" si="44"/>
        <v>195.26999999999987</v>
      </c>
      <c r="B141" s="105" t="str">
        <f t="shared" ca="1" si="45"/>
        <v>渊任</v>
      </c>
      <c r="C141" s="105">
        <f t="shared" ca="1" si="46"/>
        <v>0</v>
      </c>
      <c r="D141" s="105">
        <f t="shared" ca="1" si="47"/>
        <v>19.315000000000083</v>
      </c>
      <c r="E141" s="105">
        <f t="shared" ca="1" si="48"/>
        <v>30.585000000000001</v>
      </c>
      <c r="F141" s="105">
        <f t="shared" ca="1" si="49"/>
        <v>0</v>
      </c>
      <c r="G141" s="105">
        <f t="shared" ca="1" si="60"/>
        <v>1</v>
      </c>
      <c r="H141" s="105">
        <f t="shared" ca="1" si="61"/>
        <v>56.34</v>
      </c>
      <c r="I141" s="105">
        <f t="shared" ca="1" si="50"/>
        <v>0</v>
      </c>
      <c r="J141" s="105">
        <f t="shared" ca="1" si="51"/>
        <v>0</v>
      </c>
      <c r="K141" s="105">
        <f t="shared" ca="1" si="52"/>
        <v>14.272500000000001</v>
      </c>
      <c r="L141" s="105">
        <f t="shared" ca="1" si="53"/>
        <v>1</v>
      </c>
      <c r="M141" s="105">
        <f t="shared" ca="1" si="54"/>
        <v>0</v>
      </c>
      <c r="N141" s="105">
        <f t="shared" ca="1" si="53"/>
        <v>0</v>
      </c>
      <c r="O141" s="105">
        <f t="shared" ca="1" si="55"/>
        <v>0</v>
      </c>
      <c r="P141" s="105">
        <f t="shared" ca="1" si="56"/>
        <v>0</v>
      </c>
      <c r="Q141" s="105">
        <f t="shared" ca="1" si="57"/>
        <v>8.5850000000000009</v>
      </c>
      <c r="R141" s="105">
        <f t="shared" ca="1" si="58"/>
        <v>1</v>
      </c>
      <c r="S141" s="105">
        <f t="shared" ca="1" si="59"/>
        <v>6</v>
      </c>
    </row>
    <row r="142" spans="1:19" x14ac:dyDescent="0.35">
      <c r="A142" s="105">
        <f t="shared" ca="1" si="44"/>
        <v>196.68499999999986</v>
      </c>
      <c r="B142" s="105" t="str">
        <f t="shared" ca="1" si="45"/>
        <v>雷循环</v>
      </c>
      <c r="C142" s="105">
        <f t="shared" ca="1" si="46"/>
        <v>0</v>
      </c>
      <c r="D142" s="105">
        <f t="shared" ca="1" si="47"/>
        <v>17.900000000000084</v>
      </c>
      <c r="E142" s="105">
        <f t="shared" ca="1" si="48"/>
        <v>29.17</v>
      </c>
      <c r="F142" s="105">
        <f t="shared" ca="1" si="49"/>
        <v>30.585000000000001</v>
      </c>
      <c r="G142" s="105">
        <f t="shared" ca="1" si="60"/>
        <v>1</v>
      </c>
      <c r="H142" s="105">
        <f t="shared" ca="1" si="61"/>
        <v>54.925000000000004</v>
      </c>
      <c r="I142" s="105">
        <f t="shared" ca="1" si="50"/>
        <v>0</v>
      </c>
      <c r="J142" s="105">
        <f t="shared" ca="1" si="51"/>
        <v>0</v>
      </c>
      <c r="K142" s="105">
        <f t="shared" ca="1" si="52"/>
        <v>12.857500000000002</v>
      </c>
      <c r="L142" s="105">
        <f t="shared" ca="1" si="53"/>
        <v>1</v>
      </c>
      <c r="M142" s="105">
        <f t="shared" ca="1" si="54"/>
        <v>0</v>
      </c>
      <c r="N142" s="105">
        <f t="shared" ca="1" si="53"/>
        <v>0</v>
      </c>
      <c r="O142" s="105">
        <f t="shared" ca="1" si="55"/>
        <v>13.585000000000001</v>
      </c>
      <c r="P142" s="105">
        <f t="shared" ca="1" si="56"/>
        <v>1</v>
      </c>
      <c r="Q142" s="105">
        <f t="shared" ca="1" si="57"/>
        <v>7.1700000000000008</v>
      </c>
      <c r="R142" s="105">
        <f t="shared" ca="1" si="58"/>
        <v>1</v>
      </c>
      <c r="S142" s="105">
        <f t="shared" ca="1" si="59"/>
        <v>7</v>
      </c>
    </row>
    <row r="143" spans="1:19" x14ac:dyDescent="0.35">
      <c r="A143" s="105">
        <f t="shared" ca="1" si="44"/>
        <v>198.09999999999985</v>
      </c>
      <c r="B143" s="105" t="str">
        <f t="shared" ca="1" si="45"/>
        <v>循环</v>
      </c>
      <c r="C143" s="105">
        <f t="shared" ca="1" si="46"/>
        <v>0</v>
      </c>
      <c r="D143" s="105">
        <f t="shared" ca="1" si="47"/>
        <v>16.485000000000085</v>
      </c>
      <c r="E143" s="105">
        <f t="shared" ca="1" si="48"/>
        <v>27.755000000000003</v>
      </c>
      <c r="F143" s="105">
        <f t="shared" ca="1" si="49"/>
        <v>29.17</v>
      </c>
      <c r="G143" s="105">
        <f t="shared" ca="1" si="60"/>
        <v>1</v>
      </c>
      <c r="H143" s="105">
        <f t="shared" ca="1" si="61"/>
        <v>53.510000000000005</v>
      </c>
      <c r="I143" s="105">
        <f t="shared" ca="1" si="50"/>
        <v>0</v>
      </c>
      <c r="J143" s="105">
        <f t="shared" ca="1" si="51"/>
        <v>0</v>
      </c>
      <c r="K143" s="105">
        <f t="shared" ca="1" si="52"/>
        <v>11.442500000000003</v>
      </c>
      <c r="L143" s="105">
        <f t="shared" ca="1" si="53"/>
        <v>1</v>
      </c>
      <c r="M143" s="105">
        <f t="shared" ca="1" si="54"/>
        <v>0</v>
      </c>
      <c r="N143" s="105">
        <f t="shared" ca="1" si="53"/>
        <v>0</v>
      </c>
      <c r="O143" s="105">
        <f t="shared" ca="1" si="55"/>
        <v>12.170000000000002</v>
      </c>
      <c r="P143" s="105">
        <f t="shared" ca="1" si="56"/>
        <v>1</v>
      </c>
      <c r="Q143" s="105">
        <f t="shared" ca="1" si="57"/>
        <v>5.7550000000000008</v>
      </c>
      <c r="R143" s="105">
        <f t="shared" ca="1" si="58"/>
        <v>1</v>
      </c>
      <c r="S143" s="105">
        <f t="shared" ca="1" si="59"/>
        <v>7</v>
      </c>
    </row>
    <row r="144" spans="1:19" x14ac:dyDescent="0.35">
      <c r="A144" s="105">
        <f t="shared" ca="1" si="44"/>
        <v>199.51499999999984</v>
      </c>
      <c r="B144" s="105" t="str">
        <f t="shared" ca="1" si="45"/>
        <v>循环</v>
      </c>
      <c r="C144" s="105">
        <f t="shared" ca="1" si="46"/>
        <v>0</v>
      </c>
      <c r="D144" s="105">
        <f t="shared" ca="1" si="47"/>
        <v>15.070000000000086</v>
      </c>
      <c r="E144" s="105">
        <f t="shared" ca="1" si="48"/>
        <v>26.340000000000003</v>
      </c>
      <c r="F144" s="105">
        <f t="shared" ca="1" si="49"/>
        <v>27.755000000000003</v>
      </c>
      <c r="G144" s="105">
        <f t="shared" ca="1" si="60"/>
        <v>1</v>
      </c>
      <c r="H144" s="105">
        <f t="shared" ca="1" si="61"/>
        <v>52.095000000000006</v>
      </c>
      <c r="I144" s="105">
        <f t="shared" ca="1" si="50"/>
        <v>0</v>
      </c>
      <c r="J144" s="105">
        <f t="shared" ca="1" si="51"/>
        <v>0</v>
      </c>
      <c r="K144" s="105">
        <f t="shared" ca="1" si="52"/>
        <v>10.027500000000003</v>
      </c>
      <c r="L144" s="105">
        <f t="shared" ca="1" si="53"/>
        <v>1</v>
      </c>
      <c r="M144" s="105">
        <f t="shared" ca="1" si="54"/>
        <v>0</v>
      </c>
      <c r="N144" s="105">
        <f t="shared" ca="1" si="53"/>
        <v>0</v>
      </c>
      <c r="O144" s="105">
        <f t="shared" ca="1" si="55"/>
        <v>10.755000000000003</v>
      </c>
      <c r="P144" s="105">
        <f t="shared" ca="1" si="56"/>
        <v>1</v>
      </c>
      <c r="Q144" s="105">
        <f t="shared" ca="1" si="57"/>
        <v>4.3400000000000007</v>
      </c>
      <c r="R144" s="105">
        <f t="shared" ca="1" si="58"/>
        <v>1</v>
      </c>
      <c r="S144" s="105">
        <f t="shared" ca="1" si="59"/>
        <v>7</v>
      </c>
    </row>
    <row r="145" spans="1:19" x14ac:dyDescent="0.35">
      <c r="A145" s="105">
        <f t="shared" ca="1" si="44"/>
        <v>200.92999999999984</v>
      </c>
      <c r="B145" s="105" t="str">
        <f t="shared" ca="1" si="45"/>
        <v>循环</v>
      </c>
      <c r="C145" s="105">
        <f t="shared" ca="1" si="46"/>
        <v>0</v>
      </c>
      <c r="D145" s="105">
        <f t="shared" ca="1" si="47"/>
        <v>13.655000000000086</v>
      </c>
      <c r="E145" s="105">
        <f t="shared" ca="1" si="48"/>
        <v>24.925000000000004</v>
      </c>
      <c r="F145" s="105">
        <f t="shared" ca="1" si="49"/>
        <v>26.340000000000003</v>
      </c>
      <c r="G145" s="105">
        <f t="shared" ca="1" si="60"/>
        <v>1</v>
      </c>
      <c r="H145" s="105">
        <f t="shared" ca="1" si="61"/>
        <v>50.680000000000007</v>
      </c>
      <c r="I145" s="105">
        <f t="shared" ca="1" si="50"/>
        <v>0</v>
      </c>
      <c r="J145" s="105">
        <f t="shared" ca="1" si="51"/>
        <v>0</v>
      </c>
      <c r="K145" s="105">
        <f t="shared" ca="1" si="52"/>
        <v>8.6125000000000043</v>
      </c>
      <c r="L145" s="105">
        <f t="shared" ca="1" si="53"/>
        <v>1</v>
      </c>
      <c r="M145" s="105">
        <f t="shared" ca="1" si="54"/>
        <v>0</v>
      </c>
      <c r="N145" s="105">
        <f t="shared" ca="1" si="53"/>
        <v>0</v>
      </c>
      <c r="O145" s="105">
        <f t="shared" ca="1" si="55"/>
        <v>9.3400000000000034</v>
      </c>
      <c r="P145" s="105">
        <f t="shared" ca="1" si="56"/>
        <v>1</v>
      </c>
      <c r="Q145" s="105">
        <f t="shared" ca="1" si="57"/>
        <v>2.9250000000000007</v>
      </c>
      <c r="R145" s="105">
        <f t="shared" ca="1" si="58"/>
        <v>1</v>
      </c>
      <c r="S145" s="105">
        <f t="shared" ca="1" si="59"/>
        <v>7</v>
      </c>
    </row>
    <row r="146" spans="1:19" x14ac:dyDescent="0.35">
      <c r="A146" s="105">
        <f t="shared" ca="1" si="44"/>
        <v>202.34499999999983</v>
      </c>
      <c r="B146" s="105" t="str">
        <f t="shared" ca="1" si="45"/>
        <v>循环</v>
      </c>
      <c r="C146" s="105">
        <f t="shared" ca="1" si="46"/>
        <v>0</v>
      </c>
      <c r="D146" s="105">
        <f t="shared" ca="1" si="47"/>
        <v>12.240000000000087</v>
      </c>
      <c r="E146" s="105">
        <f t="shared" ca="1" si="48"/>
        <v>23.510000000000005</v>
      </c>
      <c r="F146" s="105">
        <f t="shared" ca="1" si="49"/>
        <v>24.925000000000004</v>
      </c>
      <c r="G146" s="105">
        <f t="shared" ca="1" si="60"/>
        <v>1</v>
      </c>
      <c r="H146" s="105">
        <f t="shared" ca="1" si="61"/>
        <v>49.265000000000008</v>
      </c>
      <c r="I146" s="105">
        <f t="shared" ca="1" si="50"/>
        <v>0</v>
      </c>
      <c r="J146" s="105">
        <f t="shared" ca="1" si="51"/>
        <v>0</v>
      </c>
      <c r="K146" s="105">
        <f t="shared" ca="1" si="52"/>
        <v>7.1975000000000042</v>
      </c>
      <c r="L146" s="105">
        <f t="shared" ca="1" si="53"/>
        <v>1</v>
      </c>
      <c r="M146" s="105">
        <f t="shared" ca="1" si="54"/>
        <v>0</v>
      </c>
      <c r="N146" s="105">
        <f t="shared" ca="1" si="53"/>
        <v>0</v>
      </c>
      <c r="O146" s="105">
        <f t="shared" ca="1" si="55"/>
        <v>7.9250000000000034</v>
      </c>
      <c r="P146" s="105">
        <f t="shared" ca="1" si="56"/>
        <v>1</v>
      </c>
      <c r="Q146" s="105">
        <f t="shared" ca="1" si="57"/>
        <v>1.5100000000000007</v>
      </c>
      <c r="R146" s="105">
        <f t="shared" ca="1" si="58"/>
        <v>1</v>
      </c>
      <c r="S146" s="105">
        <f t="shared" ca="1" si="59"/>
        <v>7</v>
      </c>
    </row>
    <row r="147" spans="1:19" x14ac:dyDescent="0.35">
      <c r="A147" s="105">
        <f t="shared" ca="1" si="44"/>
        <v>203.75999999999982</v>
      </c>
      <c r="B147" s="105" t="str">
        <f t="shared" ca="1" si="45"/>
        <v>循环</v>
      </c>
      <c r="C147" s="105">
        <f t="shared" ca="1" si="46"/>
        <v>0</v>
      </c>
      <c r="D147" s="105">
        <f t="shared" ca="1" si="47"/>
        <v>10.825000000000088</v>
      </c>
      <c r="E147" s="105">
        <f t="shared" ca="1" si="48"/>
        <v>22.095000000000006</v>
      </c>
      <c r="F147" s="105">
        <f t="shared" ca="1" si="49"/>
        <v>23.510000000000005</v>
      </c>
      <c r="G147" s="105">
        <f t="shared" ca="1" si="60"/>
        <v>1</v>
      </c>
      <c r="H147" s="105">
        <f t="shared" ca="1" si="61"/>
        <v>47.850000000000009</v>
      </c>
      <c r="I147" s="105">
        <f t="shared" ca="1" si="50"/>
        <v>0</v>
      </c>
      <c r="J147" s="105">
        <f t="shared" ca="1" si="51"/>
        <v>0</v>
      </c>
      <c r="K147" s="105">
        <f t="shared" ca="1" si="52"/>
        <v>5.7825000000000042</v>
      </c>
      <c r="L147" s="105">
        <f t="shared" ca="1" si="53"/>
        <v>1</v>
      </c>
      <c r="M147" s="105">
        <f t="shared" ca="1" si="54"/>
        <v>0</v>
      </c>
      <c r="N147" s="105">
        <f t="shared" ca="1" si="53"/>
        <v>0</v>
      </c>
      <c r="O147" s="105">
        <f t="shared" ca="1" si="55"/>
        <v>6.5100000000000033</v>
      </c>
      <c r="P147" s="105">
        <f t="shared" ca="1" si="56"/>
        <v>1</v>
      </c>
      <c r="Q147" s="105">
        <f t="shared" ca="1" si="57"/>
        <v>9.5000000000000639E-2</v>
      </c>
      <c r="R147" s="105">
        <f t="shared" ca="1" si="58"/>
        <v>1</v>
      </c>
      <c r="S147" s="105">
        <f t="shared" ca="1" si="59"/>
        <v>7</v>
      </c>
    </row>
    <row r="148" spans="1:19" x14ac:dyDescent="0.35">
      <c r="A148" s="105">
        <f t="shared" ca="1" si="44"/>
        <v>205.17499999999981</v>
      </c>
      <c r="B148" s="105" t="str">
        <f t="shared" ca="1" si="45"/>
        <v>循环</v>
      </c>
      <c r="C148" s="105">
        <f t="shared" ca="1" si="46"/>
        <v>0</v>
      </c>
      <c r="D148" s="105">
        <f t="shared" ca="1" si="47"/>
        <v>9.410000000000089</v>
      </c>
      <c r="E148" s="105">
        <f t="shared" ca="1" si="48"/>
        <v>20.680000000000007</v>
      </c>
      <c r="F148" s="105">
        <f t="shared" ca="1" si="49"/>
        <v>22.095000000000006</v>
      </c>
      <c r="G148" s="105">
        <f t="shared" ca="1" si="60"/>
        <v>1</v>
      </c>
      <c r="H148" s="105">
        <f t="shared" ca="1" si="61"/>
        <v>46.435000000000009</v>
      </c>
      <c r="I148" s="105">
        <f t="shared" ca="1" si="50"/>
        <v>0</v>
      </c>
      <c r="J148" s="105">
        <f t="shared" ca="1" si="51"/>
        <v>0</v>
      </c>
      <c r="K148" s="105">
        <f t="shared" ca="1" si="52"/>
        <v>4.3675000000000042</v>
      </c>
      <c r="L148" s="105">
        <f t="shared" ca="1" si="53"/>
        <v>1</v>
      </c>
      <c r="M148" s="105">
        <f t="shared" ca="1" si="54"/>
        <v>0</v>
      </c>
      <c r="N148" s="105">
        <f t="shared" ca="1" si="53"/>
        <v>0</v>
      </c>
      <c r="O148" s="105">
        <f t="shared" ca="1" si="55"/>
        <v>5.0950000000000033</v>
      </c>
      <c r="P148" s="105">
        <f t="shared" ca="1" si="56"/>
        <v>1</v>
      </c>
      <c r="Q148" s="105">
        <f t="shared" ca="1" si="57"/>
        <v>0</v>
      </c>
      <c r="R148" s="105">
        <f t="shared" ca="1" si="58"/>
        <v>1</v>
      </c>
      <c r="S148" s="105">
        <f t="shared" ca="1" si="59"/>
        <v>7</v>
      </c>
    </row>
    <row r="149" spans="1:19" x14ac:dyDescent="0.35">
      <c r="A149" s="105">
        <f t="shared" ca="1" si="44"/>
        <v>206.5899999999998</v>
      </c>
      <c r="B149" s="105" t="str">
        <f t="shared" ca="1" si="45"/>
        <v>循环</v>
      </c>
      <c r="C149" s="105">
        <f t="shared" ca="1" si="46"/>
        <v>0</v>
      </c>
      <c r="D149" s="105">
        <f t="shared" ca="1" si="47"/>
        <v>7.9950000000000889</v>
      </c>
      <c r="E149" s="105">
        <f t="shared" ca="1" si="48"/>
        <v>19.265000000000008</v>
      </c>
      <c r="F149" s="105">
        <f t="shared" ca="1" si="49"/>
        <v>20.680000000000007</v>
      </c>
      <c r="G149" s="105">
        <f t="shared" ca="1" si="60"/>
        <v>1</v>
      </c>
      <c r="H149" s="105">
        <f t="shared" ca="1" si="61"/>
        <v>45.02000000000001</v>
      </c>
      <c r="I149" s="105">
        <f t="shared" ca="1" si="50"/>
        <v>0</v>
      </c>
      <c r="J149" s="105">
        <f t="shared" ca="1" si="51"/>
        <v>0</v>
      </c>
      <c r="K149" s="105">
        <f t="shared" ca="1" si="52"/>
        <v>2.9525000000000041</v>
      </c>
      <c r="L149" s="105">
        <f t="shared" ca="1" si="53"/>
        <v>1</v>
      </c>
      <c r="M149" s="105">
        <f t="shared" ca="1" si="54"/>
        <v>0</v>
      </c>
      <c r="N149" s="105">
        <f t="shared" ca="1" si="53"/>
        <v>0</v>
      </c>
      <c r="O149" s="105">
        <f t="shared" ca="1" si="55"/>
        <v>3.6800000000000033</v>
      </c>
      <c r="P149" s="105">
        <f t="shared" ca="1" si="56"/>
        <v>1</v>
      </c>
      <c r="Q149" s="105">
        <f t="shared" ca="1" si="57"/>
        <v>0</v>
      </c>
      <c r="R149" s="105">
        <f t="shared" ca="1" si="58"/>
        <v>0</v>
      </c>
      <c r="S149" s="105">
        <f t="shared" ca="1" si="59"/>
        <v>7</v>
      </c>
    </row>
    <row r="150" spans="1:19" x14ac:dyDescent="0.35">
      <c r="A150" s="105">
        <f t="shared" ca="1" si="44"/>
        <v>208.0049999999998</v>
      </c>
      <c r="B150" s="105" t="str">
        <f t="shared" ca="1" si="45"/>
        <v>循环</v>
      </c>
      <c r="C150" s="105">
        <f t="shared" ca="1" si="46"/>
        <v>0</v>
      </c>
      <c r="D150" s="105">
        <f t="shared" ca="1" si="47"/>
        <v>6.5800000000000889</v>
      </c>
      <c r="E150" s="105">
        <f t="shared" ca="1" si="48"/>
        <v>17.850000000000009</v>
      </c>
      <c r="F150" s="105">
        <f t="shared" ca="1" si="49"/>
        <v>19.265000000000008</v>
      </c>
      <c r="G150" s="105">
        <f t="shared" ca="1" si="60"/>
        <v>1</v>
      </c>
      <c r="H150" s="105">
        <f t="shared" ca="1" si="61"/>
        <v>43.605000000000011</v>
      </c>
      <c r="I150" s="105">
        <f t="shared" ca="1" si="50"/>
        <v>0</v>
      </c>
      <c r="J150" s="105">
        <f t="shared" ca="1" si="51"/>
        <v>0</v>
      </c>
      <c r="K150" s="105">
        <f t="shared" ca="1" si="52"/>
        <v>1.5375000000000041</v>
      </c>
      <c r="L150" s="105">
        <f t="shared" ca="1" si="53"/>
        <v>1</v>
      </c>
      <c r="M150" s="105">
        <f t="shared" ca="1" si="54"/>
        <v>0</v>
      </c>
      <c r="N150" s="105">
        <f t="shared" ca="1" si="53"/>
        <v>0</v>
      </c>
      <c r="O150" s="105">
        <f t="shared" ca="1" si="55"/>
        <v>2.2650000000000032</v>
      </c>
      <c r="P150" s="105">
        <f t="shared" ca="1" si="56"/>
        <v>1</v>
      </c>
      <c r="Q150" s="105">
        <f t="shared" ca="1" si="57"/>
        <v>0</v>
      </c>
      <c r="R150" s="105">
        <f t="shared" ca="1" si="58"/>
        <v>0</v>
      </c>
      <c r="S150" s="105">
        <f t="shared" ca="1" si="59"/>
        <v>7</v>
      </c>
    </row>
    <row r="151" spans="1:19" x14ac:dyDescent="0.35">
      <c r="A151" s="105">
        <f t="shared" ca="1" si="44"/>
        <v>209.41999999999979</v>
      </c>
      <c r="B151" s="105" t="str">
        <f t="shared" ca="1" si="45"/>
        <v>循环</v>
      </c>
      <c r="C151" s="105">
        <f t="shared" ca="1" si="46"/>
        <v>0</v>
      </c>
      <c r="D151" s="105">
        <f t="shared" ca="1" si="47"/>
        <v>5.1650000000000889</v>
      </c>
      <c r="E151" s="105">
        <f t="shared" ca="1" si="48"/>
        <v>16.435000000000009</v>
      </c>
      <c r="F151" s="105">
        <f t="shared" ca="1" si="49"/>
        <v>17.850000000000009</v>
      </c>
      <c r="G151" s="105">
        <f t="shared" ca="1" si="60"/>
        <v>1</v>
      </c>
      <c r="H151" s="105">
        <f t="shared" ca="1" si="61"/>
        <v>42.190000000000012</v>
      </c>
      <c r="I151" s="105">
        <f t="shared" ca="1" si="50"/>
        <v>0</v>
      </c>
      <c r="J151" s="105">
        <f t="shared" ca="1" si="51"/>
        <v>0</v>
      </c>
      <c r="K151" s="105">
        <f t="shared" ca="1" si="52"/>
        <v>0.12250000000000405</v>
      </c>
      <c r="L151" s="105">
        <f t="shared" ca="1" si="53"/>
        <v>1</v>
      </c>
      <c r="M151" s="105">
        <f t="shared" ca="1" si="54"/>
        <v>0</v>
      </c>
      <c r="N151" s="105">
        <f t="shared" ca="1" si="53"/>
        <v>0</v>
      </c>
      <c r="O151" s="105">
        <f t="shared" ca="1" si="55"/>
        <v>0.8500000000000032</v>
      </c>
      <c r="P151" s="105">
        <f t="shared" ca="1" si="56"/>
        <v>1</v>
      </c>
      <c r="Q151" s="105">
        <f t="shared" ca="1" si="57"/>
        <v>0</v>
      </c>
      <c r="R151" s="105">
        <f t="shared" ca="1" si="58"/>
        <v>0</v>
      </c>
      <c r="S151" s="105">
        <f t="shared" ca="1" si="59"/>
        <v>7</v>
      </c>
    </row>
    <row r="152" spans="1:19" x14ac:dyDescent="0.35">
      <c r="A152" s="105">
        <f t="shared" ca="1" si="44"/>
        <v>210.83499999999978</v>
      </c>
      <c r="B152" s="105" t="str">
        <f t="shared" ca="1" si="45"/>
        <v>循环</v>
      </c>
      <c r="C152" s="105">
        <f t="shared" ca="1" si="46"/>
        <v>0</v>
      </c>
      <c r="D152" s="105">
        <f t="shared" ca="1" si="47"/>
        <v>3.7500000000000888</v>
      </c>
      <c r="E152" s="105">
        <f t="shared" ca="1" si="48"/>
        <v>15.02000000000001</v>
      </c>
      <c r="F152" s="105">
        <f t="shared" ca="1" si="49"/>
        <v>16.435000000000009</v>
      </c>
      <c r="G152" s="105">
        <f t="shared" ca="1" si="60"/>
        <v>1</v>
      </c>
      <c r="H152" s="105">
        <f t="shared" ca="1" si="61"/>
        <v>40.775000000000013</v>
      </c>
      <c r="I152" s="105">
        <f t="shared" ca="1" si="50"/>
        <v>0</v>
      </c>
      <c r="J152" s="105">
        <f t="shared" ca="1" si="51"/>
        <v>0</v>
      </c>
      <c r="K152" s="105">
        <f t="shared" ca="1" si="52"/>
        <v>0</v>
      </c>
      <c r="L152" s="105">
        <f t="shared" ca="1" si="53"/>
        <v>1</v>
      </c>
      <c r="M152" s="105">
        <f t="shared" ca="1" si="54"/>
        <v>0</v>
      </c>
      <c r="N152" s="105">
        <f t="shared" ca="1" si="53"/>
        <v>0</v>
      </c>
      <c r="O152" s="105">
        <f t="shared" ca="1" si="55"/>
        <v>0</v>
      </c>
      <c r="P152" s="105">
        <f t="shared" ca="1" si="56"/>
        <v>1</v>
      </c>
      <c r="Q152" s="105">
        <f t="shared" ca="1" si="57"/>
        <v>0</v>
      </c>
      <c r="R152" s="105">
        <f t="shared" ca="1" si="58"/>
        <v>0</v>
      </c>
      <c r="S152" s="105">
        <f t="shared" ca="1" si="59"/>
        <v>7</v>
      </c>
    </row>
    <row r="153" spans="1:19" x14ac:dyDescent="0.35">
      <c r="A153" s="105">
        <f t="shared" ca="1" si="44"/>
        <v>212.24999999999977</v>
      </c>
      <c r="B153" s="105" t="str">
        <f t="shared" ca="1" si="45"/>
        <v>循环</v>
      </c>
      <c r="C153" s="105">
        <f t="shared" ca="1" si="46"/>
        <v>0</v>
      </c>
      <c r="D153" s="105">
        <f t="shared" ca="1" si="47"/>
        <v>2.3350000000000888</v>
      </c>
      <c r="E153" s="105">
        <f t="shared" ca="1" si="48"/>
        <v>13.605000000000011</v>
      </c>
      <c r="F153" s="105">
        <f t="shared" ca="1" si="49"/>
        <v>15.02000000000001</v>
      </c>
      <c r="G153" s="105">
        <f t="shared" ca="1" si="60"/>
        <v>1</v>
      </c>
      <c r="H153" s="105">
        <f t="shared" ca="1" si="61"/>
        <v>39.360000000000014</v>
      </c>
      <c r="I153" s="105">
        <f t="shared" ca="1" si="50"/>
        <v>0</v>
      </c>
      <c r="J153" s="105">
        <f t="shared" ca="1" si="51"/>
        <v>0</v>
      </c>
      <c r="K153" s="105">
        <f t="shared" ca="1" si="52"/>
        <v>0</v>
      </c>
      <c r="L153" s="105">
        <f t="shared" ca="1" si="53"/>
        <v>0</v>
      </c>
      <c r="M153" s="105">
        <f t="shared" ca="1" si="54"/>
        <v>0</v>
      </c>
      <c r="N153" s="105">
        <f t="shared" ca="1" si="53"/>
        <v>0</v>
      </c>
      <c r="O153" s="105">
        <f t="shared" ca="1" si="55"/>
        <v>0</v>
      </c>
      <c r="P153" s="105">
        <f t="shared" ca="1" si="56"/>
        <v>0</v>
      </c>
      <c r="Q153" s="105">
        <f t="shared" ca="1" si="57"/>
        <v>0</v>
      </c>
      <c r="R153" s="105">
        <f t="shared" ca="1" si="58"/>
        <v>0</v>
      </c>
      <c r="S153" s="105">
        <f t="shared" ca="1" si="59"/>
        <v>7</v>
      </c>
    </row>
    <row r="154" spans="1:19" x14ac:dyDescent="0.35">
      <c r="A154" s="105">
        <f t="shared" ca="1" si="44"/>
        <v>213.66499999999976</v>
      </c>
      <c r="B154" s="105" t="str">
        <f t="shared" ca="1" si="45"/>
        <v>循环</v>
      </c>
      <c r="C154" s="105">
        <f t="shared" ca="1" si="46"/>
        <v>0</v>
      </c>
      <c r="D154" s="105">
        <f t="shared" ca="1" si="47"/>
        <v>0.92000000000008875</v>
      </c>
      <c r="E154" s="105">
        <f t="shared" ca="1" si="48"/>
        <v>12.190000000000012</v>
      </c>
      <c r="F154" s="105">
        <f t="shared" ca="1" si="49"/>
        <v>13.605000000000011</v>
      </c>
      <c r="G154" s="105">
        <f t="shared" ca="1" si="60"/>
        <v>1</v>
      </c>
      <c r="H154" s="105">
        <f t="shared" ca="1" si="61"/>
        <v>37.945000000000014</v>
      </c>
      <c r="I154" s="105">
        <f t="shared" ca="1" si="50"/>
        <v>0</v>
      </c>
      <c r="J154" s="105">
        <f t="shared" ca="1" si="51"/>
        <v>0</v>
      </c>
      <c r="K154" s="105">
        <f t="shared" ca="1" si="52"/>
        <v>0</v>
      </c>
      <c r="L154" s="105">
        <f t="shared" ca="1" si="53"/>
        <v>0</v>
      </c>
      <c r="M154" s="105">
        <f t="shared" ca="1" si="54"/>
        <v>0</v>
      </c>
      <c r="N154" s="105">
        <f t="shared" ca="1" si="53"/>
        <v>0</v>
      </c>
      <c r="O154" s="105">
        <f t="shared" ca="1" si="55"/>
        <v>0</v>
      </c>
      <c r="P154" s="105">
        <f t="shared" ca="1" si="56"/>
        <v>0</v>
      </c>
      <c r="Q154" s="105">
        <f t="shared" ca="1" si="57"/>
        <v>0</v>
      </c>
      <c r="R154" s="105">
        <f t="shared" ca="1" si="58"/>
        <v>0</v>
      </c>
      <c r="S154" s="105">
        <f t="shared" ca="1" si="59"/>
        <v>7</v>
      </c>
    </row>
    <row r="155" spans="1:19" x14ac:dyDescent="0.35">
      <c r="A155" s="105">
        <f t="shared" ca="1" si="44"/>
        <v>215.07999999999976</v>
      </c>
      <c r="B155" s="105" t="str">
        <f t="shared" ca="1" si="45"/>
        <v>循环</v>
      </c>
      <c r="C155" s="105">
        <f t="shared" ca="1" si="46"/>
        <v>1</v>
      </c>
      <c r="D155" s="105">
        <f t="shared" ca="1" si="47"/>
        <v>35.505000000000088</v>
      </c>
      <c r="E155" s="105">
        <f t="shared" ca="1" si="48"/>
        <v>10.775000000000013</v>
      </c>
      <c r="F155" s="105">
        <f t="shared" ca="1" si="49"/>
        <v>12.190000000000012</v>
      </c>
      <c r="G155" s="105">
        <f t="shared" ca="1" si="60"/>
        <v>1</v>
      </c>
      <c r="H155" s="105">
        <f t="shared" ca="1" si="61"/>
        <v>36.530000000000015</v>
      </c>
      <c r="I155" s="105">
        <f t="shared" ca="1" si="50"/>
        <v>0</v>
      </c>
      <c r="J155" s="105">
        <f t="shared" ca="1" si="51"/>
        <v>0</v>
      </c>
      <c r="K155" s="105">
        <f t="shared" ca="1" si="52"/>
        <v>0</v>
      </c>
      <c r="L155" s="105">
        <f t="shared" ca="1" si="53"/>
        <v>0</v>
      </c>
      <c r="M155" s="105">
        <f t="shared" ca="1" si="54"/>
        <v>0</v>
      </c>
      <c r="N155" s="105">
        <f t="shared" ca="1" si="53"/>
        <v>0</v>
      </c>
      <c r="O155" s="105">
        <f t="shared" ca="1" si="55"/>
        <v>0</v>
      </c>
      <c r="P155" s="105">
        <f t="shared" ca="1" si="56"/>
        <v>0</v>
      </c>
      <c r="Q155" s="105">
        <f t="shared" ca="1" si="57"/>
        <v>0</v>
      </c>
      <c r="R155" s="105">
        <f t="shared" ca="1" si="58"/>
        <v>0</v>
      </c>
      <c r="S155" s="105">
        <f t="shared" ca="1" si="59"/>
        <v>7</v>
      </c>
    </row>
    <row r="156" spans="1:19" x14ac:dyDescent="0.35">
      <c r="A156" s="105">
        <f t="shared" ca="1" si="44"/>
        <v>216.49499999999975</v>
      </c>
      <c r="B156" s="105" t="str">
        <f t="shared" ca="1" si="45"/>
        <v>循环</v>
      </c>
      <c r="C156" s="105">
        <f t="shared" ca="1" si="46"/>
        <v>1</v>
      </c>
      <c r="D156" s="105">
        <f t="shared" ca="1" si="47"/>
        <v>34.090000000000089</v>
      </c>
      <c r="E156" s="105">
        <f t="shared" ca="1" si="48"/>
        <v>9.3600000000000136</v>
      </c>
      <c r="F156" s="105">
        <f t="shared" ca="1" si="49"/>
        <v>10.775000000000013</v>
      </c>
      <c r="G156" s="105">
        <f t="shared" ca="1" si="60"/>
        <v>1</v>
      </c>
      <c r="H156" s="105">
        <f t="shared" ca="1" si="61"/>
        <v>35.115000000000016</v>
      </c>
      <c r="I156" s="105">
        <f t="shared" ca="1" si="50"/>
        <v>0</v>
      </c>
      <c r="J156" s="105">
        <f t="shared" ca="1" si="51"/>
        <v>0</v>
      </c>
      <c r="K156" s="105">
        <f t="shared" ca="1" si="52"/>
        <v>0</v>
      </c>
      <c r="L156" s="105">
        <f t="shared" ca="1" si="53"/>
        <v>0</v>
      </c>
      <c r="M156" s="105">
        <f t="shared" ca="1" si="54"/>
        <v>0</v>
      </c>
      <c r="N156" s="105">
        <f t="shared" ca="1" si="53"/>
        <v>0</v>
      </c>
      <c r="O156" s="105">
        <f t="shared" ca="1" si="55"/>
        <v>0</v>
      </c>
      <c r="P156" s="105">
        <f t="shared" ca="1" si="56"/>
        <v>0</v>
      </c>
      <c r="Q156" s="105">
        <f t="shared" ca="1" si="57"/>
        <v>0</v>
      </c>
      <c r="R156" s="105">
        <f t="shared" ca="1" si="58"/>
        <v>0</v>
      </c>
      <c r="S156" s="105">
        <f t="shared" ca="1" si="59"/>
        <v>7</v>
      </c>
    </row>
    <row r="157" spans="1:19" x14ac:dyDescent="0.35">
      <c r="A157" s="105">
        <f t="shared" ca="1" si="44"/>
        <v>217.90999999999974</v>
      </c>
      <c r="B157" s="105" t="str">
        <f t="shared" ca="1" si="45"/>
        <v>循环</v>
      </c>
      <c r="C157" s="105">
        <f t="shared" ca="1" si="46"/>
        <v>1</v>
      </c>
      <c r="D157" s="105">
        <f t="shared" ca="1" si="47"/>
        <v>32.67500000000009</v>
      </c>
      <c r="E157" s="105">
        <f t="shared" ca="1" si="48"/>
        <v>7.9450000000000136</v>
      </c>
      <c r="F157" s="105">
        <f t="shared" ca="1" si="49"/>
        <v>9.3600000000000136</v>
      </c>
      <c r="G157" s="105">
        <f t="shared" ca="1" si="60"/>
        <v>1</v>
      </c>
      <c r="H157" s="105">
        <f t="shared" ca="1" si="61"/>
        <v>33.700000000000017</v>
      </c>
      <c r="I157" s="105">
        <f t="shared" ca="1" si="50"/>
        <v>0</v>
      </c>
      <c r="J157" s="105">
        <f t="shared" ca="1" si="51"/>
        <v>0</v>
      </c>
      <c r="K157" s="105">
        <f t="shared" ca="1" si="52"/>
        <v>0</v>
      </c>
      <c r="L157" s="105">
        <f t="shared" ca="1" si="53"/>
        <v>0</v>
      </c>
      <c r="M157" s="105">
        <f t="shared" ca="1" si="54"/>
        <v>0</v>
      </c>
      <c r="N157" s="105">
        <f t="shared" ca="1" si="53"/>
        <v>0</v>
      </c>
      <c r="O157" s="105">
        <f t="shared" ca="1" si="55"/>
        <v>0</v>
      </c>
      <c r="P157" s="105">
        <f t="shared" ca="1" si="56"/>
        <v>0</v>
      </c>
      <c r="Q157" s="105">
        <f t="shared" ca="1" si="57"/>
        <v>0</v>
      </c>
      <c r="R157" s="105">
        <f t="shared" ca="1" si="58"/>
        <v>0</v>
      </c>
      <c r="S157" s="105">
        <f t="shared" ca="1" si="59"/>
        <v>7</v>
      </c>
    </row>
    <row r="158" spans="1:19" x14ac:dyDescent="0.35">
      <c r="A158" s="105">
        <f t="shared" ca="1" si="44"/>
        <v>219.32499999999973</v>
      </c>
      <c r="B158" s="105" t="str">
        <f t="shared" ca="1" si="45"/>
        <v>循环</v>
      </c>
      <c r="C158" s="105">
        <f t="shared" ca="1" si="46"/>
        <v>1</v>
      </c>
      <c r="D158" s="105">
        <f t="shared" ca="1" si="47"/>
        <v>31.26000000000009</v>
      </c>
      <c r="E158" s="105">
        <f t="shared" ca="1" si="48"/>
        <v>6.5300000000000136</v>
      </c>
      <c r="F158" s="105">
        <f t="shared" ca="1" si="49"/>
        <v>7.9450000000000136</v>
      </c>
      <c r="G158" s="105">
        <f t="shared" ca="1" si="60"/>
        <v>1</v>
      </c>
      <c r="H158" s="105">
        <f t="shared" ca="1" si="61"/>
        <v>32.285000000000018</v>
      </c>
      <c r="I158" s="105">
        <f t="shared" ca="1" si="50"/>
        <v>0</v>
      </c>
      <c r="J158" s="105">
        <f t="shared" ca="1" si="51"/>
        <v>0</v>
      </c>
      <c r="K158" s="105">
        <f t="shared" ca="1" si="52"/>
        <v>0</v>
      </c>
      <c r="L158" s="105">
        <f t="shared" ca="1" si="53"/>
        <v>0</v>
      </c>
      <c r="M158" s="105">
        <f t="shared" ca="1" si="54"/>
        <v>0</v>
      </c>
      <c r="N158" s="105">
        <f t="shared" ca="1" si="53"/>
        <v>0</v>
      </c>
      <c r="O158" s="105">
        <f t="shared" ca="1" si="55"/>
        <v>0</v>
      </c>
      <c r="P158" s="105">
        <f t="shared" ca="1" si="56"/>
        <v>0</v>
      </c>
      <c r="Q158" s="105">
        <f t="shared" ca="1" si="57"/>
        <v>0</v>
      </c>
      <c r="R158" s="105">
        <f t="shared" ca="1" si="58"/>
        <v>0</v>
      </c>
      <c r="S158" s="105">
        <f t="shared" ca="1" si="59"/>
        <v>7</v>
      </c>
    </row>
    <row r="159" spans="1:19" x14ac:dyDescent="0.35">
      <c r="A159" s="105">
        <f t="shared" ca="1" si="44"/>
        <v>220.73999999999972</v>
      </c>
      <c r="B159" s="105" t="str">
        <f t="shared" ca="1" si="45"/>
        <v>循环</v>
      </c>
      <c r="C159" s="105">
        <f t="shared" ca="1" si="46"/>
        <v>1</v>
      </c>
      <c r="D159" s="105">
        <f t="shared" ca="1" si="47"/>
        <v>29.845000000000091</v>
      </c>
      <c r="E159" s="105">
        <f t="shared" ca="1" si="48"/>
        <v>5.1150000000000135</v>
      </c>
      <c r="F159" s="105">
        <f t="shared" ca="1" si="49"/>
        <v>6.5300000000000136</v>
      </c>
      <c r="G159" s="105">
        <f t="shared" ca="1" si="60"/>
        <v>1</v>
      </c>
      <c r="H159" s="105">
        <f t="shared" ca="1" si="61"/>
        <v>30.870000000000019</v>
      </c>
      <c r="I159" s="105">
        <f t="shared" ca="1" si="50"/>
        <v>0</v>
      </c>
      <c r="J159" s="105">
        <f t="shared" ca="1" si="51"/>
        <v>0</v>
      </c>
      <c r="K159" s="105">
        <f t="shared" ca="1" si="52"/>
        <v>0</v>
      </c>
      <c r="L159" s="105">
        <f t="shared" ca="1" si="53"/>
        <v>0</v>
      </c>
      <c r="M159" s="105">
        <f t="shared" ca="1" si="54"/>
        <v>0</v>
      </c>
      <c r="N159" s="105">
        <f t="shared" ca="1" si="53"/>
        <v>0</v>
      </c>
      <c r="O159" s="105">
        <f t="shared" ca="1" si="55"/>
        <v>0</v>
      </c>
      <c r="P159" s="105">
        <f t="shared" ca="1" si="56"/>
        <v>0</v>
      </c>
      <c r="Q159" s="105">
        <f t="shared" ca="1" si="57"/>
        <v>0</v>
      </c>
      <c r="R159" s="105">
        <f t="shared" ca="1" si="58"/>
        <v>0</v>
      </c>
      <c r="S159" s="105">
        <f t="shared" ca="1" si="59"/>
        <v>7</v>
      </c>
    </row>
    <row r="160" spans="1:19" x14ac:dyDescent="0.35">
      <c r="A160" s="105">
        <f t="shared" ca="1" si="44"/>
        <v>222.15499999999972</v>
      </c>
      <c r="B160" s="105" t="str">
        <f t="shared" ca="1" si="45"/>
        <v>循环</v>
      </c>
      <c r="C160" s="105">
        <f t="shared" ca="1" si="46"/>
        <v>1</v>
      </c>
      <c r="D160" s="105">
        <f t="shared" ca="1" si="47"/>
        <v>28.430000000000092</v>
      </c>
      <c r="E160" s="105">
        <f t="shared" ca="1" si="48"/>
        <v>3.7000000000000135</v>
      </c>
      <c r="F160" s="105">
        <f t="shared" ca="1" si="49"/>
        <v>5.1150000000000135</v>
      </c>
      <c r="G160" s="105">
        <f t="shared" ca="1" si="60"/>
        <v>1</v>
      </c>
      <c r="H160" s="105">
        <f t="shared" ca="1" si="61"/>
        <v>29.45500000000002</v>
      </c>
      <c r="I160" s="105">
        <f t="shared" ca="1" si="50"/>
        <v>0</v>
      </c>
      <c r="J160" s="105">
        <f t="shared" ca="1" si="51"/>
        <v>0</v>
      </c>
      <c r="K160" s="105">
        <f t="shared" ca="1" si="52"/>
        <v>0</v>
      </c>
      <c r="L160" s="105">
        <f t="shared" ca="1" si="53"/>
        <v>0</v>
      </c>
      <c r="M160" s="105">
        <f t="shared" ca="1" si="54"/>
        <v>0</v>
      </c>
      <c r="N160" s="105">
        <f t="shared" ca="1" si="53"/>
        <v>0</v>
      </c>
      <c r="O160" s="105">
        <f t="shared" ca="1" si="55"/>
        <v>0</v>
      </c>
      <c r="P160" s="105">
        <f t="shared" ca="1" si="56"/>
        <v>0</v>
      </c>
      <c r="Q160" s="105">
        <f t="shared" ca="1" si="57"/>
        <v>0</v>
      </c>
      <c r="R160" s="105">
        <f t="shared" ca="1" si="58"/>
        <v>0</v>
      </c>
      <c r="S160" s="105">
        <f t="shared" ca="1" si="59"/>
        <v>7</v>
      </c>
    </row>
    <row r="161" spans="1:19" x14ac:dyDescent="0.35">
      <c r="A161" s="105">
        <f t="shared" ca="1" si="44"/>
        <v>223.56999999999971</v>
      </c>
      <c r="B161" s="105" t="str">
        <f t="shared" ca="1" si="45"/>
        <v>循环</v>
      </c>
      <c r="C161" s="105">
        <f t="shared" ca="1" si="46"/>
        <v>1</v>
      </c>
      <c r="D161" s="105">
        <f t="shared" ca="1" si="47"/>
        <v>27.015000000000093</v>
      </c>
      <c r="E161" s="105">
        <f t="shared" ca="1" si="48"/>
        <v>2.2850000000000135</v>
      </c>
      <c r="F161" s="105">
        <f t="shared" ca="1" si="49"/>
        <v>3.7000000000000135</v>
      </c>
      <c r="G161" s="105">
        <f t="shared" ca="1" si="60"/>
        <v>1</v>
      </c>
      <c r="H161" s="105">
        <f t="shared" ca="1" si="61"/>
        <v>28.04000000000002</v>
      </c>
      <c r="I161" s="105">
        <f t="shared" ca="1" si="50"/>
        <v>0</v>
      </c>
      <c r="J161" s="105">
        <f t="shared" ca="1" si="51"/>
        <v>0</v>
      </c>
      <c r="K161" s="105">
        <f t="shared" ca="1" si="52"/>
        <v>0</v>
      </c>
      <c r="L161" s="105">
        <f t="shared" ca="1" si="53"/>
        <v>0</v>
      </c>
      <c r="M161" s="105">
        <f t="shared" ca="1" si="54"/>
        <v>0</v>
      </c>
      <c r="N161" s="105">
        <f t="shared" ca="1" si="53"/>
        <v>0</v>
      </c>
      <c r="O161" s="105">
        <f t="shared" ca="1" si="55"/>
        <v>0</v>
      </c>
      <c r="P161" s="105">
        <f t="shared" ca="1" si="56"/>
        <v>0</v>
      </c>
      <c r="Q161" s="105">
        <f t="shared" ca="1" si="57"/>
        <v>0</v>
      </c>
      <c r="R161" s="105">
        <f t="shared" ca="1" si="58"/>
        <v>0</v>
      </c>
      <c r="S161" s="105">
        <f t="shared" ca="1" si="59"/>
        <v>7</v>
      </c>
    </row>
    <row r="162" spans="1:19" x14ac:dyDescent="0.35">
      <c r="A162" s="105">
        <f t="shared" ca="1" si="44"/>
        <v>224.9849999999997</v>
      </c>
      <c r="B162" s="105" t="str">
        <f t="shared" ca="1" si="45"/>
        <v>循环</v>
      </c>
      <c r="C162" s="105">
        <f t="shared" ca="1" si="46"/>
        <v>1</v>
      </c>
      <c r="D162" s="105">
        <f t="shared" ca="1" si="47"/>
        <v>25.600000000000094</v>
      </c>
      <c r="E162" s="105">
        <f t="shared" ca="1" si="48"/>
        <v>0.87000000000001343</v>
      </c>
      <c r="F162" s="105">
        <f t="shared" ca="1" si="49"/>
        <v>2.2850000000000135</v>
      </c>
      <c r="G162" s="105">
        <f t="shared" ca="1" si="60"/>
        <v>1</v>
      </c>
      <c r="H162" s="105">
        <f t="shared" ca="1" si="61"/>
        <v>26.625000000000021</v>
      </c>
      <c r="I162" s="105">
        <f t="shared" ca="1" si="50"/>
        <v>0</v>
      </c>
      <c r="J162" s="105">
        <f t="shared" ca="1" si="51"/>
        <v>0</v>
      </c>
      <c r="K162" s="105">
        <f t="shared" ca="1" si="52"/>
        <v>0</v>
      </c>
      <c r="L162" s="105">
        <f t="shared" ca="1" si="53"/>
        <v>0</v>
      </c>
      <c r="M162" s="105">
        <f t="shared" ca="1" si="54"/>
        <v>0</v>
      </c>
      <c r="N162" s="105">
        <f t="shared" ca="1" si="53"/>
        <v>0</v>
      </c>
      <c r="O162" s="105">
        <f t="shared" ca="1" si="55"/>
        <v>0</v>
      </c>
      <c r="P162" s="105">
        <f t="shared" ca="1" si="56"/>
        <v>0</v>
      </c>
      <c r="Q162" s="105">
        <f t="shared" ca="1" si="57"/>
        <v>0</v>
      </c>
      <c r="R162" s="105">
        <f t="shared" ca="1" si="58"/>
        <v>0</v>
      </c>
      <c r="S162" s="105">
        <f t="shared" ca="1" si="59"/>
        <v>7</v>
      </c>
    </row>
    <row r="163" spans="1:19" x14ac:dyDescent="0.35">
      <c r="A163" s="105">
        <f t="shared" ca="1" si="44"/>
        <v>226.39999999999969</v>
      </c>
      <c r="B163" s="105" t="str">
        <f t="shared" ca="1" si="45"/>
        <v>循环</v>
      </c>
      <c r="C163" s="105">
        <f t="shared" ca="1" si="46"/>
        <v>1</v>
      </c>
      <c r="D163" s="105">
        <f t="shared" ca="1" si="47"/>
        <v>24.185000000000095</v>
      </c>
      <c r="E163" s="105">
        <f t="shared" ca="1" si="48"/>
        <v>0</v>
      </c>
      <c r="F163" s="105">
        <f t="shared" ca="1" si="49"/>
        <v>0.87000000000001343</v>
      </c>
      <c r="G163" s="105">
        <f t="shared" ca="1" si="60"/>
        <v>1</v>
      </c>
      <c r="H163" s="105">
        <f t="shared" ca="1" si="61"/>
        <v>25.210000000000022</v>
      </c>
      <c r="I163" s="105">
        <f t="shared" ca="1" si="50"/>
        <v>0</v>
      </c>
      <c r="J163" s="105">
        <f t="shared" ca="1" si="51"/>
        <v>0</v>
      </c>
      <c r="K163" s="105">
        <f t="shared" ca="1" si="52"/>
        <v>0</v>
      </c>
      <c r="L163" s="105">
        <f t="shared" ca="1" si="53"/>
        <v>0</v>
      </c>
      <c r="M163" s="105">
        <f t="shared" ca="1" si="54"/>
        <v>0</v>
      </c>
      <c r="N163" s="105">
        <f t="shared" ca="1" si="53"/>
        <v>0</v>
      </c>
      <c r="O163" s="105">
        <f t="shared" ca="1" si="55"/>
        <v>0</v>
      </c>
      <c r="P163" s="105">
        <f t="shared" ca="1" si="56"/>
        <v>0</v>
      </c>
      <c r="Q163" s="105">
        <f t="shared" ca="1" si="57"/>
        <v>0</v>
      </c>
      <c r="R163" s="105">
        <f t="shared" ca="1" si="58"/>
        <v>0</v>
      </c>
      <c r="S163" s="105">
        <f t="shared" ca="1" si="59"/>
        <v>7</v>
      </c>
    </row>
    <row r="164" spans="1:19" x14ac:dyDescent="0.35">
      <c r="A164" s="105">
        <f t="shared" ca="1" si="44"/>
        <v>227.81499999999969</v>
      </c>
      <c r="B164" s="105" t="str">
        <f t="shared" ca="1" si="45"/>
        <v>渊任</v>
      </c>
      <c r="C164" s="105">
        <f t="shared" ca="1" si="46"/>
        <v>0</v>
      </c>
      <c r="D164" s="105">
        <f t="shared" ca="1" si="47"/>
        <v>22.770000000000095</v>
      </c>
      <c r="E164" s="105">
        <f t="shared" ca="1" si="48"/>
        <v>30.585000000000001</v>
      </c>
      <c r="F164" s="105">
        <f t="shared" ca="1" si="49"/>
        <v>0</v>
      </c>
      <c r="G164" s="105">
        <f t="shared" ca="1" si="60"/>
        <v>1</v>
      </c>
      <c r="H164" s="105">
        <f t="shared" ca="1" si="61"/>
        <v>23.795000000000023</v>
      </c>
      <c r="I164" s="105">
        <f t="shared" ca="1" si="50"/>
        <v>0</v>
      </c>
      <c r="J164" s="105">
        <f t="shared" ca="1" si="51"/>
        <v>0</v>
      </c>
      <c r="K164" s="105">
        <f t="shared" ca="1" si="52"/>
        <v>14.272500000000001</v>
      </c>
      <c r="L164" s="105">
        <f t="shared" ca="1" si="53"/>
        <v>1</v>
      </c>
      <c r="M164" s="105">
        <f t="shared" ca="1" si="54"/>
        <v>0</v>
      </c>
      <c r="N164" s="105">
        <f t="shared" ca="1" si="53"/>
        <v>0</v>
      </c>
      <c r="O164" s="105">
        <f t="shared" ca="1" si="55"/>
        <v>0</v>
      </c>
      <c r="P164" s="105">
        <f t="shared" ca="1" si="56"/>
        <v>0</v>
      </c>
      <c r="Q164" s="105">
        <f t="shared" ca="1" si="57"/>
        <v>8.5850000000000009</v>
      </c>
      <c r="R164" s="105">
        <f t="shared" ca="1" si="58"/>
        <v>1</v>
      </c>
      <c r="S164" s="105">
        <f t="shared" ca="1" si="59"/>
        <v>7</v>
      </c>
    </row>
    <row r="165" spans="1:19" x14ac:dyDescent="0.35">
      <c r="A165" s="105">
        <f t="shared" ca="1" si="44"/>
        <v>229.22999999999968</v>
      </c>
      <c r="B165" s="105" t="str">
        <f t="shared" ca="1" si="45"/>
        <v>雷循环</v>
      </c>
      <c r="C165" s="105">
        <f t="shared" ca="1" si="46"/>
        <v>0</v>
      </c>
      <c r="D165" s="105">
        <f t="shared" ca="1" si="47"/>
        <v>21.355000000000096</v>
      </c>
      <c r="E165" s="105">
        <f t="shared" ca="1" si="48"/>
        <v>29.17</v>
      </c>
      <c r="F165" s="105">
        <f t="shared" ca="1" si="49"/>
        <v>30.585000000000001</v>
      </c>
      <c r="G165" s="105">
        <f t="shared" ca="1" si="60"/>
        <v>1</v>
      </c>
      <c r="H165" s="105">
        <f t="shared" ca="1" si="61"/>
        <v>22.380000000000024</v>
      </c>
      <c r="I165" s="105">
        <f t="shared" ca="1" si="50"/>
        <v>0</v>
      </c>
      <c r="J165" s="105">
        <f t="shared" ca="1" si="51"/>
        <v>0</v>
      </c>
      <c r="K165" s="105">
        <f t="shared" ca="1" si="52"/>
        <v>12.857500000000002</v>
      </c>
      <c r="L165" s="105">
        <f t="shared" ca="1" si="53"/>
        <v>1</v>
      </c>
      <c r="M165" s="105">
        <f t="shared" ca="1" si="54"/>
        <v>0</v>
      </c>
      <c r="N165" s="105">
        <f t="shared" ca="1" si="53"/>
        <v>0</v>
      </c>
      <c r="O165" s="105">
        <f t="shared" ca="1" si="55"/>
        <v>13.585000000000001</v>
      </c>
      <c r="P165" s="105">
        <f t="shared" ca="1" si="56"/>
        <v>1</v>
      </c>
      <c r="Q165" s="105">
        <f t="shared" ca="1" si="57"/>
        <v>7.1700000000000008</v>
      </c>
      <c r="R165" s="105">
        <f t="shared" ca="1" si="58"/>
        <v>1</v>
      </c>
      <c r="S165" s="105">
        <f t="shared" ca="1" si="59"/>
        <v>8</v>
      </c>
    </row>
    <row r="166" spans="1:19" x14ac:dyDescent="0.35">
      <c r="A166" s="105">
        <f t="shared" ca="1" si="44"/>
        <v>230.64499999999967</v>
      </c>
      <c r="B166" s="105" t="str">
        <f t="shared" ca="1" si="45"/>
        <v>循环</v>
      </c>
      <c r="C166" s="105">
        <f t="shared" ca="1" si="46"/>
        <v>0</v>
      </c>
      <c r="D166" s="105">
        <f t="shared" ca="1" si="47"/>
        <v>19.940000000000097</v>
      </c>
      <c r="E166" s="105">
        <f t="shared" ca="1" si="48"/>
        <v>27.755000000000003</v>
      </c>
      <c r="F166" s="105">
        <f t="shared" ca="1" si="49"/>
        <v>29.17</v>
      </c>
      <c r="G166" s="105">
        <f t="shared" ca="1" si="60"/>
        <v>1</v>
      </c>
      <c r="H166" s="105">
        <f t="shared" ca="1" si="61"/>
        <v>20.965000000000025</v>
      </c>
      <c r="I166" s="105">
        <f t="shared" ca="1" si="50"/>
        <v>0</v>
      </c>
      <c r="J166" s="105">
        <f t="shared" ca="1" si="51"/>
        <v>0</v>
      </c>
      <c r="K166" s="105">
        <f t="shared" ca="1" si="52"/>
        <v>11.442500000000003</v>
      </c>
      <c r="L166" s="105">
        <f t="shared" ca="1" si="53"/>
        <v>1</v>
      </c>
      <c r="M166" s="105">
        <f t="shared" ca="1" si="54"/>
        <v>0</v>
      </c>
      <c r="N166" s="105">
        <f t="shared" ca="1" si="53"/>
        <v>0</v>
      </c>
      <c r="O166" s="105">
        <f t="shared" ca="1" si="55"/>
        <v>12.170000000000002</v>
      </c>
      <c r="P166" s="105">
        <f t="shared" ca="1" si="56"/>
        <v>1</v>
      </c>
      <c r="Q166" s="105">
        <f t="shared" ca="1" si="57"/>
        <v>5.7550000000000008</v>
      </c>
      <c r="R166" s="105">
        <f t="shared" ca="1" si="58"/>
        <v>1</v>
      </c>
      <c r="S166" s="105">
        <f t="shared" ca="1" si="59"/>
        <v>8</v>
      </c>
    </row>
    <row r="167" spans="1:19" x14ac:dyDescent="0.35">
      <c r="A167" s="105">
        <f t="shared" ca="1" si="44"/>
        <v>232.05999999999966</v>
      </c>
      <c r="B167" s="105" t="str">
        <f t="shared" ca="1" si="45"/>
        <v>循环</v>
      </c>
      <c r="C167" s="105">
        <f t="shared" ca="1" si="46"/>
        <v>0</v>
      </c>
      <c r="D167" s="105">
        <f t="shared" ca="1" si="47"/>
        <v>18.525000000000098</v>
      </c>
      <c r="E167" s="105">
        <f t="shared" ca="1" si="48"/>
        <v>26.340000000000003</v>
      </c>
      <c r="F167" s="105">
        <f t="shared" ca="1" si="49"/>
        <v>27.755000000000003</v>
      </c>
      <c r="G167" s="105">
        <f t="shared" ca="1" si="60"/>
        <v>1</v>
      </c>
      <c r="H167" s="105">
        <f t="shared" ca="1" si="61"/>
        <v>19.550000000000026</v>
      </c>
      <c r="I167" s="105">
        <f t="shared" ca="1" si="50"/>
        <v>0</v>
      </c>
      <c r="J167" s="105">
        <f t="shared" ca="1" si="51"/>
        <v>0</v>
      </c>
      <c r="K167" s="105">
        <f t="shared" ca="1" si="52"/>
        <v>10.027500000000003</v>
      </c>
      <c r="L167" s="105">
        <f t="shared" ca="1" si="53"/>
        <v>1</v>
      </c>
      <c r="M167" s="105">
        <f t="shared" ca="1" si="54"/>
        <v>0</v>
      </c>
      <c r="N167" s="105">
        <f t="shared" ca="1" si="53"/>
        <v>0</v>
      </c>
      <c r="O167" s="105">
        <f t="shared" ca="1" si="55"/>
        <v>10.755000000000003</v>
      </c>
      <c r="P167" s="105">
        <f t="shared" ca="1" si="56"/>
        <v>1</v>
      </c>
      <c r="Q167" s="105">
        <f t="shared" ca="1" si="57"/>
        <v>4.3400000000000007</v>
      </c>
      <c r="R167" s="105">
        <f t="shared" ca="1" si="58"/>
        <v>1</v>
      </c>
      <c r="S167" s="105">
        <f t="shared" ca="1" si="59"/>
        <v>8</v>
      </c>
    </row>
    <row r="168" spans="1:19" x14ac:dyDescent="0.35">
      <c r="A168" s="105">
        <f t="shared" ca="1" si="44"/>
        <v>233.47499999999965</v>
      </c>
      <c r="B168" s="105" t="str">
        <f t="shared" ca="1" si="45"/>
        <v>循环</v>
      </c>
      <c r="C168" s="105">
        <f t="shared" ca="1" si="46"/>
        <v>0</v>
      </c>
      <c r="D168" s="105">
        <f t="shared" ca="1" si="47"/>
        <v>17.110000000000099</v>
      </c>
      <c r="E168" s="105">
        <f t="shared" ca="1" si="48"/>
        <v>24.925000000000004</v>
      </c>
      <c r="F168" s="105">
        <f t="shared" ca="1" si="49"/>
        <v>26.340000000000003</v>
      </c>
      <c r="G168" s="105">
        <f t="shared" ca="1" si="60"/>
        <v>1</v>
      </c>
      <c r="H168" s="105">
        <f t="shared" ca="1" si="61"/>
        <v>18.135000000000026</v>
      </c>
      <c r="I168" s="105">
        <f t="shared" ca="1" si="50"/>
        <v>0</v>
      </c>
      <c r="J168" s="105">
        <f t="shared" ca="1" si="51"/>
        <v>0</v>
      </c>
      <c r="K168" s="105">
        <f t="shared" ca="1" si="52"/>
        <v>8.6125000000000043</v>
      </c>
      <c r="L168" s="105">
        <f t="shared" ca="1" si="53"/>
        <v>1</v>
      </c>
      <c r="M168" s="105">
        <f t="shared" ca="1" si="54"/>
        <v>0</v>
      </c>
      <c r="N168" s="105">
        <f t="shared" ca="1" si="53"/>
        <v>0</v>
      </c>
      <c r="O168" s="105">
        <f t="shared" ca="1" si="55"/>
        <v>9.3400000000000034</v>
      </c>
      <c r="P168" s="105">
        <f t="shared" ca="1" si="56"/>
        <v>1</v>
      </c>
      <c r="Q168" s="105">
        <f t="shared" ca="1" si="57"/>
        <v>2.9250000000000007</v>
      </c>
      <c r="R168" s="105">
        <f t="shared" ca="1" si="58"/>
        <v>1</v>
      </c>
      <c r="S168" s="105">
        <f t="shared" ca="1" si="59"/>
        <v>8</v>
      </c>
    </row>
    <row r="169" spans="1:19" x14ac:dyDescent="0.35">
      <c r="A169" s="105">
        <f t="shared" ca="1" si="44"/>
        <v>234.88999999999965</v>
      </c>
      <c r="B169" s="105" t="str">
        <f t="shared" ca="1" si="45"/>
        <v>循环</v>
      </c>
      <c r="C169" s="105">
        <f t="shared" ca="1" si="46"/>
        <v>0</v>
      </c>
      <c r="D169" s="105">
        <f t="shared" ca="1" si="47"/>
        <v>15.6950000000001</v>
      </c>
      <c r="E169" s="105">
        <f t="shared" ca="1" si="48"/>
        <v>23.510000000000005</v>
      </c>
      <c r="F169" s="105">
        <f t="shared" ca="1" si="49"/>
        <v>24.925000000000004</v>
      </c>
      <c r="G169" s="105">
        <f t="shared" ca="1" si="60"/>
        <v>1</v>
      </c>
      <c r="H169" s="105">
        <f t="shared" ca="1" si="61"/>
        <v>16.720000000000027</v>
      </c>
      <c r="I169" s="105">
        <f t="shared" ca="1" si="50"/>
        <v>0</v>
      </c>
      <c r="J169" s="105">
        <f t="shared" ca="1" si="51"/>
        <v>0</v>
      </c>
      <c r="K169" s="105">
        <f t="shared" ca="1" si="52"/>
        <v>7.1975000000000042</v>
      </c>
      <c r="L169" s="105">
        <f t="shared" ca="1" si="53"/>
        <v>1</v>
      </c>
      <c r="M169" s="105">
        <f t="shared" ca="1" si="54"/>
        <v>0</v>
      </c>
      <c r="N169" s="105">
        <f t="shared" ca="1" si="53"/>
        <v>0</v>
      </c>
      <c r="O169" s="105">
        <f t="shared" ca="1" si="55"/>
        <v>7.9250000000000034</v>
      </c>
      <c r="P169" s="105">
        <f t="shared" ca="1" si="56"/>
        <v>1</v>
      </c>
      <c r="Q169" s="105">
        <f t="shared" ca="1" si="57"/>
        <v>1.5100000000000007</v>
      </c>
      <c r="R169" s="105">
        <f t="shared" ca="1" si="58"/>
        <v>1</v>
      </c>
      <c r="S169" s="105">
        <f t="shared" ca="1" si="59"/>
        <v>8</v>
      </c>
    </row>
    <row r="170" spans="1:19" x14ac:dyDescent="0.35">
      <c r="A170" s="105">
        <f t="shared" ca="1" si="44"/>
        <v>236.30499999999964</v>
      </c>
      <c r="B170" s="105" t="str">
        <f t="shared" ca="1" si="45"/>
        <v>循环</v>
      </c>
      <c r="C170" s="105">
        <f t="shared" ca="1" si="46"/>
        <v>0</v>
      </c>
      <c r="D170" s="105">
        <f t="shared" ca="1" si="47"/>
        <v>14.280000000000101</v>
      </c>
      <c r="E170" s="105">
        <f t="shared" ca="1" si="48"/>
        <v>22.095000000000006</v>
      </c>
      <c r="F170" s="105">
        <f t="shared" ca="1" si="49"/>
        <v>23.510000000000005</v>
      </c>
      <c r="G170" s="105">
        <f t="shared" ca="1" si="60"/>
        <v>1</v>
      </c>
      <c r="H170" s="105">
        <f t="shared" ca="1" si="61"/>
        <v>15.305000000000028</v>
      </c>
      <c r="I170" s="105">
        <f t="shared" ca="1" si="50"/>
        <v>0</v>
      </c>
      <c r="J170" s="105">
        <f t="shared" ca="1" si="51"/>
        <v>0</v>
      </c>
      <c r="K170" s="105">
        <f t="shared" ca="1" si="52"/>
        <v>5.7825000000000042</v>
      </c>
      <c r="L170" s="105">
        <f t="shared" ca="1" si="53"/>
        <v>1</v>
      </c>
      <c r="M170" s="105">
        <f t="shared" ca="1" si="54"/>
        <v>0</v>
      </c>
      <c r="N170" s="105">
        <f t="shared" ca="1" si="53"/>
        <v>0</v>
      </c>
      <c r="O170" s="105">
        <f t="shared" ca="1" si="55"/>
        <v>6.5100000000000033</v>
      </c>
      <c r="P170" s="105">
        <f t="shared" ca="1" si="56"/>
        <v>1</v>
      </c>
      <c r="Q170" s="105">
        <f t="shared" ca="1" si="57"/>
        <v>9.5000000000000639E-2</v>
      </c>
      <c r="R170" s="105">
        <f t="shared" ca="1" si="58"/>
        <v>1</v>
      </c>
      <c r="S170" s="105">
        <f t="shared" ca="1" si="59"/>
        <v>8</v>
      </c>
    </row>
    <row r="171" spans="1:19" x14ac:dyDescent="0.35">
      <c r="A171" s="105">
        <f t="shared" ca="1" si="44"/>
        <v>237.71999999999963</v>
      </c>
      <c r="B171" s="105" t="str">
        <f t="shared" ca="1" si="45"/>
        <v>循环</v>
      </c>
      <c r="C171" s="105">
        <f t="shared" ca="1" si="46"/>
        <v>0</v>
      </c>
      <c r="D171" s="105">
        <f t="shared" ca="1" si="47"/>
        <v>12.865000000000101</v>
      </c>
      <c r="E171" s="105">
        <f t="shared" ca="1" si="48"/>
        <v>20.680000000000007</v>
      </c>
      <c r="F171" s="105">
        <f t="shared" ca="1" si="49"/>
        <v>22.095000000000006</v>
      </c>
      <c r="G171" s="105">
        <f t="shared" ca="1" si="60"/>
        <v>1</v>
      </c>
      <c r="H171" s="105">
        <f t="shared" ca="1" si="61"/>
        <v>13.890000000000029</v>
      </c>
      <c r="I171" s="105">
        <f t="shared" ca="1" si="50"/>
        <v>0</v>
      </c>
      <c r="J171" s="105">
        <f t="shared" ca="1" si="51"/>
        <v>0</v>
      </c>
      <c r="K171" s="105">
        <f t="shared" ca="1" si="52"/>
        <v>4.3675000000000042</v>
      </c>
      <c r="L171" s="105">
        <f t="shared" ca="1" si="53"/>
        <v>1</v>
      </c>
      <c r="M171" s="105">
        <f t="shared" ca="1" si="54"/>
        <v>0</v>
      </c>
      <c r="N171" s="105">
        <f t="shared" ca="1" si="53"/>
        <v>0</v>
      </c>
      <c r="O171" s="105">
        <f t="shared" ca="1" si="55"/>
        <v>5.0950000000000033</v>
      </c>
      <c r="P171" s="105">
        <f t="shared" ca="1" si="56"/>
        <v>1</v>
      </c>
      <c r="Q171" s="105">
        <f t="shared" ca="1" si="57"/>
        <v>0</v>
      </c>
      <c r="R171" s="105">
        <f t="shared" ca="1" si="58"/>
        <v>1</v>
      </c>
      <c r="S171" s="105">
        <f t="shared" ca="1" si="59"/>
        <v>8</v>
      </c>
    </row>
    <row r="172" spans="1:19" x14ac:dyDescent="0.35">
      <c r="A172" s="105">
        <f t="shared" ca="1" si="44"/>
        <v>239.13499999999962</v>
      </c>
      <c r="B172" s="105" t="str">
        <f t="shared" ca="1" si="45"/>
        <v>循环</v>
      </c>
      <c r="C172" s="105">
        <f t="shared" ca="1" si="46"/>
        <v>0</v>
      </c>
      <c r="D172" s="105">
        <f t="shared" ca="1" si="47"/>
        <v>11.450000000000102</v>
      </c>
      <c r="E172" s="105">
        <f t="shared" ca="1" si="48"/>
        <v>19.265000000000008</v>
      </c>
      <c r="F172" s="105">
        <f t="shared" ca="1" si="49"/>
        <v>20.680000000000007</v>
      </c>
      <c r="G172" s="105">
        <f t="shared" ca="1" si="60"/>
        <v>1</v>
      </c>
      <c r="H172" s="105">
        <f t="shared" ca="1" si="61"/>
        <v>12.47500000000003</v>
      </c>
      <c r="I172" s="105">
        <f t="shared" ca="1" si="50"/>
        <v>0</v>
      </c>
      <c r="J172" s="105">
        <f t="shared" ca="1" si="51"/>
        <v>0</v>
      </c>
      <c r="K172" s="105">
        <f t="shared" ca="1" si="52"/>
        <v>2.9525000000000041</v>
      </c>
      <c r="L172" s="105">
        <f t="shared" ca="1" si="53"/>
        <v>1</v>
      </c>
      <c r="M172" s="105">
        <f t="shared" ca="1" si="54"/>
        <v>0</v>
      </c>
      <c r="N172" s="105">
        <f t="shared" ca="1" si="53"/>
        <v>0</v>
      </c>
      <c r="O172" s="105">
        <f t="shared" ca="1" si="55"/>
        <v>3.6800000000000033</v>
      </c>
      <c r="P172" s="105">
        <f t="shared" ca="1" si="56"/>
        <v>1</v>
      </c>
      <c r="Q172" s="105">
        <f t="shared" ca="1" si="57"/>
        <v>0</v>
      </c>
      <c r="R172" s="105">
        <f t="shared" ca="1" si="58"/>
        <v>0</v>
      </c>
      <c r="S172" s="105">
        <f t="shared" ca="1" si="59"/>
        <v>8</v>
      </c>
    </row>
    <row r="173" spans="1:19" x14ac:dyDescent="0.35">
      <c r="A173" s="105">
        <f t="shared" ca="1" si="44"/>
        <v>240.54999999999961</v>
      </c>
      <c r="B173" s="105" t="str">
        <f t="shared" ca="1" si="45"/>
        <v>循环</v>
      </c>
      <c r="C173" s="105">
        <f t="shared" ca="1" si="46"/>
        <v>0</v>
      </c>
      <c r="D173" s="105">
        <f t="shared" ca="1" si="47"/>
        <v>10.035000000000103</v>
      </c>
      <c r="E173" s="105">
        <f t="shared" ca="1" si="48"/>
        <v>17.850000000000009</v>
      </c>
      <c r="F173" s="105">
        <f t="shared" ca="1" si="49"/>
        <v>19.265000000000008</v>
      </c>
      <c r="G173" s="105">
        <f t="shared" ca="1" si="60"/>
        <v>1</v>
      </c>
      <c r="H173" s="105">
        <f t="shared" ca="1" si="61"/>
        <v>11.060000000000031</v>
      </c>
      <c r="I173" s="105">
        <f t="shared" ca="1" si="50"/>
        <v>0</v>
      </c>
      <c r="J173" s="105">
        <f t="shared" ca="1" si="51"/>
        <v>0</v>
      </c>
      <c r="K173" s="105">
        <f t="shared" ca="1" si="52"/>
        <v>1.5375000000000041</v>
      </c>
      <c r="L173" s="105">
        <f t="shared" ca="1" si="53"/>
        <v>1</v>
      </c>
      <c r="M173" s="105">
        <f t="shared" ca="1" si="54"/>
        <v>0</v>
      </c>
      <c r="N173" s="105">
        <f t="shared" ca="1" si="53"/>
        <v>0</v>
      </c>
      <c r="O173" s="105">
        <f t="shared" ca="1" si="55"/>
        <v>2.2650000000000032</v>
      </c>
      <c r="P173" s="105">
        <f t="shared" ca="1" si="56"/>
        <v>1</v>
      </c>
      <c r="Q173" s="105">
        <f t="shared" ca="1" si="57"/>
        <v>0</v>
      </c>
      <c r="R173" s="105">
        <f t="shared" ca="1" si="58"/>
        <v>0</v>
      </c>
      <c r="S173" s="105">
        <f t="shared" ca="1" si="59"/>
        <v>8</v>
      </c>
    </row>
    <row r="174" spans="1:19" x14ac:dyDescent="0.35">
      <c r="A174" s="105">
        <f t="shared" ca="1" si="44"/>
        <v>241.96499999999961</v>
      </c>
      <c r="B174" s="105" t="str">
        <f t="shared" ca="1" si="45"/>
        <v>循环</v>
      </c>
      <c r="C174" s="105">
        <f t="shared" ca="1" si="46"/>
        <v>0</v>
      </c>
      <c r="D174" s="105">
        <f t="shared" ca="1" si="47"/>
        <v>8.620000000000104</v>
      </c>
      <c r="E174" s="105">
        <f t="shared" ca="1" si="48"/>
        <v>16.435000000000009</v>
      </c>
      <c r="F174" s="105">
        <f t="shared" ca="1" si="49"/>
        <v>17.850000000000009</v>
      </c>
      <c r="G174" s="105">
        <f t="shared" ca="1" si="60"/>
        <v>1</v>
      </c>
      <c r="H174" s="105">
        <f t="shared" ca="1" si="61"/>
        <v>9.6450000000000315</v>
      </c>
      <c r="I174" s="105">
        <f t="shared" ca="1" si="50"/>
        <v>0</v>
      </c>
      <c r="J174" s="105">
        <f t="shared" ca="1" si="51"/>
        <v>0</v>
      </c>
      <c r="K174" s="105">
        <f t="shared" ca="1" si="52"/>
        <v>0.12250000000000405</v>
      </c>
      <c r="L174" s="105">
        <f t="shared" ca="1" si="53"/>
        <v>1</v>
      </c>
      <c r="M174" s="105">
        <f t="shared" ca="1" si="54"/>
        <v>0</v>
      </c>
      <c r="N174" s="105">
        <f t="shared" ca="1" si="53"/>
        <v>0</v>
      </c>
      <c r="O174" s="105">
        <f t="shared" ca="1" si="55"/>
        <v>0.8500000000000032</v>
      </c>
      <c r="P174" s="105">
        <f t="shared" ca="1" si="56"/>
        <v>1</v>
      </c>
      <c r="Q174" s="105">
        <f t="shared" ca="1" si="57"/>
        <v>0</v>
      </c>
      <c r="R174" s="105">
        <f t="shared" ca="1" si="58"/>
        <v>0</v>
      </c>
      <c r="S174" s="105">
        <f t="shared" ca="1" si="59"/>
        <v>8</v>
      </c>
    </row>
    <row r="175" spans="1:19" x14ac:dyDescent="0.35">
      <c r="A175" s="105">
        <f t="shared" ca="1" si="44"/>
        <v>243.3799999999996</v>
      </c>
      <c r="B175" s="105" t="str">
        <f t="shared" ca="1" si="45"/>
        <v>循环</v>
      </c>
      <c r="C175" s="105">
        <f t="shared" ca="1" si="46"/>
        <v>0</v>
      </c>
      <c r="D175" s="105">
        <f t="shared" ca="1" si="47"/>
        <v>7.205000000000104</v>
      </c>
      <c r="E175" s="105">
        <f t="shared" ca="1" si="48"/>
        <v>15.02000000000001</v>
      </c>
      <c r="F175" s="105">
        <f t="shared" ca="1" si="49"/>
        <v>16.435000000000009</v>
      </c>
      <c r="G175" s="105">
        <f t="shared" ca="1" si="60"/>
        <v>1</v>
      </c>
      <c r="H175" s="105">
        <f t="shared" ca="1" si="61"/>
        <v>8.2300000000000324</v>
      </c>
      <c r="I175" s="105">
        <f t="shared" ca="1" si="50"/>
        <v>0</v>
      </c>
      <c r="J175" s="105">
        <f t="shared" ca="1" si="51"/>
        <v>0</v>
      </c>
      <c r="K175" s="105">
        <f t="shared" ca="1" si="52"/>
        <v>0</v>
      </c>
      <c r="L175" s="105">
        <f t="shared" ca="1" si="53"/>
        <v>1</v>
      </c>
      <c r="M175" s="105">
        <f t="shared" ca="1" si="54"/>
        <v>0</v>
      </c>
      <c r="N175" s="105">
        <f t="shared" ca="1" si="53"/>
        <v>0</v>
      </c>
      <c r="O175" s="105">
        <f t="shared" ca="1" si="55"/>
        <v>0</v>
      </c>
      <c r="P175" s="105">
        <f t="shared" ca="1" si="56"/>
        <v>1</v>
      </c>
      <c r="Q175" s="105">
        <f t="shared" ca="1" si="57"/>
        <v>0</v>
      </c>
      <c r="R175" s="105">
        <f t="shared" ca="1" si="58"/>
        <v>0</v>
      </c>
      <c r="S175" s="105">
        <f t="shared" ca="1" si="59"/>
        <v>8</v>
      </c>
    </row>
    <row r="176" spans="1:19" x14ac:dyDescent="0.35">
      <c r="A176" s="105">
        <f t="shared" ca="1" si="44"/>
        <v>244.79499999999959</v>
      </c>
      <c r="B176" s="105" t="str">
        <f t="shared" ca="1" si="45"/>
        <v>循环</v>
      </c>
      <c r="C176" s="105">
        <f t="shared" ca="1" si="46"/>
        <v>0</v>
      </c>
      <c r="D176" s="105">
        <f t="shared" ca="1" si="47"/>
        <v>5.790000000000104</v>
      </c>
      <c r="E176" s="105">
        <f t="shared" ca="1" si="48"/>
        <v>13.605000000000011</v>
      </c>
      <c r="F176" s="105">
        <f t="shared" ca="1" si="49"/>
        <v>15.02000000000001</v>
      </c>
      <c r="G176" s="105">
        <f t="shared" ca="1" si="60"/>
        <v>1</v>
      </c>
      <c r="H176" s="105">
        <f t="shared" ca="1" si="61"/>
        <v>6.8150000000000324</v>
      </c>
      <c r="I176" s="105">
        <f t="shared" ca="1" si="50"/>
        <v>0</v>
      </c>
      <c r="J176" s="105">
        <f t="shared" ca="1" si="51"/>
        <v>0</v>
      </c>
      <c r="K176" s="105">
        <f t="shared" ca="1" si="52"/>
        <v>0</v>
      </c>
      <c r="L176" s="105">
        <f t="shared" ca="1" si="53"/>
        <v>0</v>
      </c>
      <c r="M176" s="105">
        <f t="shared" ca="1" si="54"/>
        <v>0</v>
      </c>
      <c r="N176" s="105">
        <f t="shared" ca="1" si="53"/>
        <v>0</v>
      </c>
      <c r="O176" s="105">
        <f t="shared" ca="1" si="55"/>
        <v>0</v>
      </c>
      <c r="P176" s="105">
        <f t="shared" ca="1" si="56"/>
        <v>0</v>
      </c>
      <c r="Q176" s="105">
        <f t="shared" ca="1" si="57"/>
        <v>0</v>
      </c>
      <c r="R176" s="105">
        <f t="shared" ca="1" si="58"/>
        <v>0</v>
      </c>
      <c r="S176" s="105">
        <f t="shared" ca="1" si="59"/>
        <v>8</v>
      </c>
    </row>
    <row r="177" spans="1:19" x14ac:dyDescent="0.35">
      <c r="A177" s="105">
        <f t="shared" ca="1" si="44"/>
        <v>246.20999999999958</v>
      </c>
      <c r="B177" s="105" t="str">
        <f t="shared" ca="1" si="45"/>
        <v>循环</v>
      </c>
      <c r="C177" s="105">
        <f t="shared" ca="1" si="46"/>
        <v>0</v>
      </c>
      <c r="D177" s="105">
        <f t="shared" ca="1" si="47"/>
        <v>4.3750000000001039</v>
      </c>
      <c r="E177" s="105">
        <f t="shared" ca="1" si="48"/>
        <v>12.190000000000012</v>
      </c>
      <c r="F177" s="105">
        <f t="shared" ca="1" si="49"/>
        <v>13.605000000000011</v>
      </c>
      <c r="G177" s="105">
        <f t="shared" ca="1" si="60"/>
        <v>1</v>
      </c>
      <c r="H177" s="105">
        <f t="shared" ca="1" si="61"/>
        <v>5.4000000000000323</v>
      </c>
      <c r="I177" s="105">
        <f t="shared" ca="1" si="50"/>
        <v>0</v>
      </c>
      <c r="J177" s="105">
        <f t="shared" ca="1" si="51"/>
        <v>0</v>
      </c>
      <c r="K177" s="105">
        <f t="shared" ca="1" si="52"/>
        <v>0</v>
      </c>
      <c r="L177" s="105">
        <f t="shared" ca="1" si="53"/>
        <v>0</v>
      </c>
      <c r="M177" s="105">
        <f t="shared" ca="1" si="54"/>
        <v>0</v>
      </c>
      <c r="N177" s="105">
        <f t="shared" ca="1" si="53"/>
        <v>0</v>
      </c>
      <c r="O177" s="105">
        <f t="shared" ca="1" si="55"/>
        <v>0</v>
      </c>
      <c r="P177" s="105">
        <f t="shared" ca="1" si="56"/>
        <v>0</v>
      </c>
      <c r="Q177" s="105">
        <f t="shared" ca="1" si="57"/>
        <v>0</v>
      </c>
      <c r="R177" s="105">
        <f t="shared" ca="1" si="58"/>
        <v>0</v>
      </c>
      <c r="S177" s="105">
        <f t="shared" ca="1" si="59"/>
        <v>8</v>
      </c>
    </row>
    <row r="178" spans="1:19" x14ac:dyDescent="0.35">
      <c r="A178" s="105">
        <f t="shared" ca="1" si="44"/>
        <v>247.62499999999957</v>
      </c>
      <c r="B178" s="105" t="str">
        <f t="shared" ca="1" si="45"/>
        <v>循环</v>
      </c>
      <c r="C178" s="105">
        <f t="shared" ca="1" si="46"/>
        <v>0</v>
      </c>
      <c r="D178" s="105">
        <f t="shared" ca="1" si="47"/>
        <v>2.9600000000001039</v>
      </c>
      <c r="E178" s="105">
        <f t="shared" ca="1" si="48"/>
        <v>10.775000000000013</v>
      </c>
      <c r="F178" s="105">
        <f t="shared" ca="1" si="49"/>
        <v>12.190000000000012</v>
      </c>
      <c r="G178" s="105">
        <f t="shared" ca="1" si="60"/>
        <v>1</v>
      </c>
      <c r="H178" s="105">
        <f t="shared" ca="1" si="61"/>
        <v>3.9850000000000323</v>
      </c>
      <c r="I178" s="105">
        <f t="shared" ca="1" si="50"/>
        <v>0</v>
      </c>
      <c r="J178" s="105">
        <f t="shared" ca="1" si="51"/>
        <v>0</v>
      </c>
      <c r="K178" s="105">
        <f t="shared" ca="1" si="52"/>
        <v>0</v>
      </c>
      <c r="L178" s="105">
        <f t="shared" ca="1" si="53"/>
        <v>0</v>
      </c>
      <c r="M178" s="105">
        <f t="shared" ca="1" si="54"/>
        <v>0</v>
      </c>
      <c r="N178" s="105">
        <f t="shared" ca="1" si="53"/>
        <v>0</v>
      </c>
      <c r="O178" s="105">
        <f t="shared" ca="1" si="55"/>
        <v>0</v>
      </c>
      <c r="P178" s="105">
        <f t="shared" ca="1" si="56"/>
        <v>0</v>
      </c>
      <c r="Q178" s="105">
        <f t="shared" ca="1" si="57"/>
        <v>0</v>
      </c>
      <c r="R178" s="105">
        <f t="shared" ca="1" si="58"/>
        <v>0</v>
      </c>
      <c r="S178" s="105">
        <f t="shared" ca="1" si="59"/>
        <v>8</v>
      </c>
    </row>
    <row r="179" spans="1:19" x14ac:dyDescent="0.35">
      <c r="A179" s="105">
        <f t="shared" ca="1" si="44"/>
        <v>249.03999999999957</v>
      </c>
      <c r="B179" s="105" t="str">
        <f t="shared" ca="1" si="45"/>
        <v>循环</v>
      </c>
      <c r="C179" s="105">
        <f t="shared" ca="1" si="46"/>
        <v>0</v>
      </c>
      <c r="D179" s="105">
        <f t="shared" ca="1" si="47"/>
        <v>1.5450000000001038</v>
      </c>
      <c r="E179" s="105">
        <f t="shared" ca="1" si="48"/>
        <v>9.3600000000000136</v>
      </c>
      <c r="F179" s="105">
        <f t="shared" ca="1" si="49"/>
        <v>10.775000000000013</v>
      </c>
      <c r="G179" s="105">
        <f t="shared" ca="1" si="60"/>
        <v>1</v>
      </c>
      <c r="H179" s="105">
        <f t="shared" ca="1" si="61"/>
        <v>2.5700000000000323</v>
      </c>
      <c r="I179" s="105">
        <f t="shared" ca="1" si="50"/>
        <v>0</v>
      </c>
      <c r="J179" s="105">
        <f t="shared" ca="1" si="51"/>
        <v>0</v>
      </c>
      <c r="K179" s="105">
        <f t="shared" ca="1" si="52"/>
        <v>0</v>
      </c>
      <c r="L179" s="105">
        <f t="shared" ca="1" si="53"/>
        <v>0</v>
      </c>
      <c r="M179" s="105">
        <f t="shared" ca="1" si="54"/>
        <v>0</v>
      </c>
      <c r="N179" s="105">
        <f t="shared" ca="1" si="53"/>
        <v>0</v>
      </c>
      <c r="O179" s="105">
        <f t="shared" ca="1" si="55"/>
        <v>0</v>
      </c>
      <c r="P179" s="105">
        <f t="shared" ca="1" si="56"/>
        <v>0</v>
      </c>
      <c r="Q179" s="105">
        <f t="shared" ca="1" si="57"/>
        <v>0</v>
      </c>
      <c r="R179" s="105">
        <f t="shared" ca="1" si="58"/>
        <v>0</v>
      </c>
      <c r="S179" s="105">
        <f t="shared" ca="1" si="59"/>
        <v>8</v>
      </c>
    </row>
    <row r="180" spans="1:19" x14ac:dyDescent="0.35">
      <c r="A180" s="105">
        <f t="shared" ca="1" si="44"/>
        <v>250.45499999999956</v>
      </c>
      <c r="B180" s="105" t="str">
        <f t="shared" ca="1" si="45"/>
        <v>循环</v>
      </c>
      <c r="C180" s="105">
        <f t="shared" ca="1" si="46"/>
        <v>0</v>
      </c>
      <c r="D180" s="105">
        <f t="shared" ca="1" si="47"/>
        <v>0.13000000000010381</v>
      </c>
      <c r="E180" s="105">
        <f t="shared" ca="1" si="48"/>
        <v>7.9450000000000136</v>
      </c>
      <c r="F180" s="105">
        <f t="shared" ca="1" si="49"/>
        <v>9.3600000000000136</v>
      </c>
      <c r="G180" s="105">
        <f t="shared" ca="1" si="60"/>
        <v>1</v>
      </c>
      <c r="H180" s="105">
        <f t="shared" ca="1" si="61"/>
        <v>1.1550000000000322</v>
      </c>
      <c r="I180" s="105">
        <f t="shared" ca="1" si="50"/>
        <v>0</v>
      </c>
      <c r="J180" s="105">
        <f t="shared" ca="1" si="51"/>
        <v>0</v>
      </c>
      <c r="K180" s="105">
        <f t="shared" ca="1" si="52"/>
        <v>0</v>
      </c>
      <c r="L180" s="105">
        <f t="shared" ca="1" si="53"/>
        <v>0</v>
      </c>
      <c r="M180" s="105">
        <f t="shared" ca="1" si="54"/>
        <v>0</v>
      </c>
      <c r="N180" s="105">
        <f t="shared" ca="1" si="53"/>
        <v>0</v>
      </c>
      <c r="O180" s="105">
        <f t="shared" ca="1" si="55"/>
        <v>0</v>
      </c>
      <c r="P180" s="105">
        <f t="shared" ca="1" si="56"/>
        <v>0</v>
      </c>
      <c r="Q180" s="105">
        <f t="shared" ca="1" si="57"/>
        <v>0</v>
      </c>
      <c r="R180" s="105">
        <f t="shared" ca="1" si="58"/>
        <v>0</v>
      </c>
      <c r="S180" s="105">
        <f t="shared" ca="1" si="59"/>
        <v>8</v>
      </c>
    </row>
    <row r="181" spans="1:19" x14ac:dyDescent="0.35">
      <c r="A181" s="105">
        <f t="shared" ca="1" si="44"/>
        <v>251.86999999999955</v>
      </c>
      <c r="B181" s="105" t="str">
        <f t="shared" ca="1" si="45"/>
        <v>循环</v>
      </c>
      <c r="C181" s="105">
        <f t="shared" ca="1" si="46"/>
        <v>1</v>
      </c>
      <c r="D181" s="105">
        <f t="shared" ca="1" si="47"/>
        <v>34.715000000000103</v>
      </c>
      <c r="E181" s="105">
        <f t="shared" ca="1" si="48"/>
        <v>6.5300000000000136</v>
      </c>
      <c r="F181" s="105">
        <f t="shared" ca="1" si="49"/>
        <v>7.9450000000000136</v>
      </c>
      <c r="G181" s="105">
        <f t="shared" ca="1" si="60"/>
        <v>1</v>
      </c>
      <c r="H181" s="105">
        <f t="shared" ca="1" si="61"/>
        <v>0</v>
      </c>
      <c r="I181" s="105">
        <f t="shared" ca="1" si="50"/>
        <v>0</v>
      </c>
      <c r="J181" s="105">
        <f t="shared" ca="1" si="51"/>
        <v>0</v>
      </c>
      <c r="K181" s="105">
        <f t="shared" ca="1" si="52"/>
        <v>0</v>
      </c>
      <c r="L181" s="105">
        <f t="shared" ca="1" si="53"/>
        <v>0</v>
      </c>
      <c r="M181" s="105">
        <f t="shared" ca="1" si="54"/>
        <v>0</v>
      </c>
      <c r="N181" s="105">
        <f t="shared" ca="1" si="53"/>
        <v>0</v>
      </c>
      <c r="O181" s="105">
        <f t="shared" ca="1" si="55"/>
        <v>0</v>
      </c>
      <c r="P181" s="105">
        <f t="shared" ca="1" si="56"/>
        <v>0</v>
      </c>
      <c r="Q181" s="105">
        <f t="shared" ca="1" si="57"/>
        <v>0</v>
      </c>
      <c r="R181" s="105">
        <f t="shared" ca="1" si="58"/>
        <v>0</v>
      </c>
      <c r="S181" s="105">
        <f t="shared" ca="1" si="59"/>
        <v>8</v>
      </c>
    </row>
    <row r="182" spans="1:19" x14ac:dyDescent="0.35">
      <c r="A182" s="105">
        <f t="shared" ca="1" si="44"/>
        <v>253.28499999999954</v>
      </c>
      <c r="B182" s="105" t="str">
        <f t="shared" ca="1" si="45"/>
        <v>循环</v>
      </c>
      <c r="C182" s="105">
        <f t="shared" ca="1" si="46"/>
        <v>1</v>
      </c>
      <c r="D182" s="105">
        <f t="shared" ca="1" si="47"/>
        <v>33.300000000000104</v>
      </c>
      <c r="E182" s="105">
        <f t="shared" ca="1" si="48"/>
        <v>5.1150000000000135</v>
      </c>
      <c r="F182" s="105">
        <f t="shared" ca="1" si="49"/>
        <v>6.5300000000000136</v>
      </c>
      <c r="G182" s="105">
        <f t="shared" ca="1" si="60"/>
        <v>0</v>
      </c>
      <c r="H182" s="105">
        <f t="shared" ca="1" si="61"/>
        <v>0</v>
      </c>
      <c r="I182" s="105">
        <f t="shared" ca="1" si="50"/>
        <v>0</v>
      </c>
      <c r="J182" s="105">
        <f t="shared" ca="1" si="51"/>
        <v>0</v>
      </c>
      <c r="K182" s="105">
        <f t="shared" ca="1" si="52"/>
        <v>0</v>
      </c>
      <c r="L182" s="105">
        <f t="shared" ca="1" si="53"/>
        <v>0</v>
      </c>
      <c r="M182" s="105">
        <f t="shared" ca="1" si="54"/>
        <v>0</v>
      </c>
      <c r="N182" s="105">
        <f t="shared" ca="1" si="53"/>
        <v>0</v>
      </c>
      <c r="O182" s="105">
        <f t="shared" ca="1" si="55"/>
        <v>0</v>
      </c>
      <c r="P182" s="105">
        <f t="shared" ca="1" si="56"/>
        <v>0</v>
      </c>
      <c r="Q182" s="105">
        <f t="shared" ca="1" si="57"/>
        <v>0</v>
      </c>
      <c r="R182" s="105">
        <f t="shared" ca="1" si="58"/>
        <v>0</v>
      </c>
      <c r="S182" s="105">
        <f t="shared" ca="1" si="59"/>
        <v>8</v>
      </c>
    </row>
    <row r="183" spans="1:19" x14ac:dyDescent="0.35">
      <c r="A183" s="105">
        <f t="shared" ca="1" si="44"/>
        <v>254.69999999999953</v>
      </c>
      <c r="B183" s="105" t="str">
        <f t="shared" ca="1" si="45"/>
        <v>突循环</v>
      </c>
      <c r="C183" s="105">
        <f t="shared" ca="1" si="46"/>
        <v>1</v>
      </c>
      <c r="D183" s="105">
        <f t="shared" ca="1" si="47"/>
        <v>31.885000000000105</v>
      </c>
      <c r="E183" s="105">
        <f t="shared" ca="1" si="48"/>
        <v>3.7000000000000135</v>
      </c>
      <c r="F183" s="105">
        <f t="shared" ca="1" si="49"/>
        <v>5.1150000000000135</v>
      </c>
      <c r="G183" s="105">
        <f t="shared" ca="1" si="60"/>
        <v>0</v>
      </c>
      <c r="H183" s="105">
        <f t="shared" ca="1" si="61"/>
        <v>60.585000000000001</v>
      </c>
      <c r="I183" s="105">
        <f t="shared" ca="1" si="50"/>
        <v>0</v>
      </c>
      <c r="J183" s="105">
        <f t="shared" ca="1" si="51"/>
        <v>0</v>
      </c>
      <c r="K183" s="105">
        <f t="shared" ca="1" si="52"/>
        <v>0</v>
      </c>
      <c r="L183" s="105">
        <f t="shared" ca="1" si="53"/>
        <v>0</v>
      </c>
      <c r="M183" s="105">
        <f t="shared" ca="1" si="54"/>
        <v>0</v>
      </c>
      <c r="N183" s="105">
        <f t="shared" ca="1" si="53"/>
        <v>0</v>
      </c>
      <c r="O183" s="105">
        <f t="shared" ca="1" si="55"/>
        <v>0</v>
      </c>
      <c r="P183" s="105">
        <f t="shared" ca="1" si="56"/>
        <v>0</v>
      </c>
      <c r="Q183" s="105">
        <f t="shared" ca="1" si="57"/>
        <v>0</v>
      </c>
      <c r="R183" s="105">
        <f t="shared" ca="1" si="58"/>
        <v>0</v>
      </c>
      <c r="S183" s="105">
        <f t="shared" ca="1" si="59"/>
        <v>8</v>
      </c>
    </row>
    <row r="184" spans="1:19" x14ac:dyDescent="0.35">
      <c r="A184" s="105">
        <f t="shared" ca="1" si="44"/>
        <v>256.11499999999955</v>
      </c>
      <c r="B184" s="105" t="str">
        <f t="shared" ca="1" si="45"/>
        <v>循环</v>
      </c>
      <c r="C184" s="105">
        <f t="shared" ca="1" si="46"/>
        <v>1</v>
      </c>
      <c r="D184" s="105">
        <f t="shared" ca="1" si="47"/>
        <v>30.470000000000105</v>
      </c>
      <c r="E184" s="105">
        <f t="shared" ca="1" si="48"/>
        <v>2.2850000000000135</v>
      </c>
      <c r="F184" s="105">
        <f t="shared" ca="1" si="49"/>
        <v>3.7000000000000135</v>
      </c>
      <c r="G184" s="105">
        <f t="shared" ca="1" si="60"/>
        <v>0</v>
      </c>
      <c r="H184" s="105">
        <f t="shared" ca="1" si="61"/>
        <v>59.17</v>
      </c>
      <c r="I184" s="105">
        <f t="shared" ca="1" si="50"/>
        <v>0</v>
      </c>
      <c r="J184" s="105">
        <f t="shared" ca="1" si="51"/>
        <v>0</v>
      </c>
      <c r="K184" s="105">
        <f t="shared" ca="1" si="52"/>
        <v>0</v>
      </c>
      <c r="L184" s="105">
        <f t="shared" ca="1" si="53"/>
        <v>0</v>
      </c>
      <c r="M184" s="105">
        <f t="shared" ca="1" si="54"/>
        <v>0</v>
      </c>
      <c r="N184" s="105">
        <f t="shared" ca="1" si="53"/>
        <v>0</v>
      </c>
      <c r="O184" s="105">
        <f t="shared" ca="1" si="55"/>
        <v>0</v>
      </c>
      <c r="P184" s="105">
        <f t="shared" ca="1" si="56"/>
        <v>0</v>
      </c>
      <c r="Q184" s="105">
        <f t="shared" ca="1" si="57"/>
        <v>0</v>
      </c>
      <c r="R184" s="105">
        <f t="shared" ca="1" si="58"/>
        <v>0</v>
      </c>
      <c r="S184" s="105">
        <f t="shared" ca="1" si="59"/>
        <v>8</v>
      </c>
    </row>
    <row r="185" spans="1:19" x14ac:dyDescent="0.35">
      <c r="A185" s="105">
        <f t="shared" ca="1" si="44"/>
        <v>257.52999999999957</v>
      </c>
      <c r="B185" s="105" t="str">
        <f t="shared" ca="1" si="45"/>
        <v>循环</v>
      </c>
      <c r="C185" s="105">
        <f t="shared" ca="1" si="46"/>
        <v>1</v>
      </c>
      <c r="D185" s="105">
        <f t="shared" ca="1" si="47"/>
        <v>29.055000000000106</v>
      </c>
      <c r="E185" s="105">
        <f t="shared" ca="1" si="48"/>
        <v>0.87000000000001343</v>
      </c>
      <c r="F185" s="105">
        <f t="shared" ca="1" si="49"/>
        <v>2.2850000000000135</v>
      </c>
      <c r="G185" s="105">
        <f t="shared" ca="1" si="60"/>
        <v>0</v>
      </c>
      <c r="H185" s="105">
        <f t="shared" ca="1" si="61"/>
        <v>57.755000000000003</v>
      </c>
      <c r="I185" s="105">
        <f t="shared" ca="1" si="50"/>
        <v>0</v>
      </c>
      <c r="J185" s="105">
        <f t="shared" ca="1" si="51"/>
        <v>0</v>
      </c>
      <c r="K185" s="105">
        <f t="shared" ca="1" si="52"/>
        <v>0</v>
      </c>
      <c r="L185" s="105">
        <f t="shared" ca="1" si="53"/>
        <v>0</v>
      </c>
      <c r="M185" s="105">
        <f t="shared" ca="1" si="54"/>
        <v>0</v>
      </c>
      <c r="N185" s="105">
        <f t="shared" ca="1" si="53"/>
        <v>0</v>
      </c>
      <c r="O185" s="105">
        <f t="shared" ca="1" si="55"/>
        <v>0</v>
      </c>
      <c r="P185" s="105">
        <f t="shared" ca="1" si="56"/>
        <v>0</v>
      </c>
      <c r="Q185" s="105">
        <f t="shared" ca="1" si="57"/>
        <v>0</v>
      </c>
      <c r="R185" s="105">
        <f t="shared" ca="1" si="58"/>
        <v>0</v>
      </c>
      <c r="S185" s="105">
        <f t="shared" ca="1" si="59"/>
        <v>8</v>
      </c>
    </row>
    <row r="186" spans="1:19" x14ac:dyDescent="0.35">
      <c r="A186" s="105">
        <f t="shared" ca="1" si="44"/>
        <v>258.9449999999996</v>
      </c>
      <c r="B186" s="105" t="str">
        <f t="shared" ca="1" si="45"/>
        <v>循环</v>
      </c>
      <c r="C186" s="105">
        <f t="shared" ca="1" si="46"/>
        <v>1</v>
      </c>
      <c r="D186" s="105">
        <f t="shared" ca="1" si="47"/>
        <v>27.640000000000107</v>
      </c>
      <c r="E186" s="105">
        <f t="shared" ca="1" si="48"/>
        <v>0</v>
      </c>
      <c r="F186" s="105">
        <f t="shared" ca="1" si="49"/>
        <v>0.87000000000001343</v>
      </c>
      <c r="G186" s="105">
        <f t="shared" ca="1" si="60"/>
        <v>0</v>
      </c>
      <c r="H186" s="105">
        <f t="shared" ca="1" si="61"/>
        <v>56.34</v>
      </c>
      <c r="I186" s="105">
        <f t="shared" ca="1" si="50"/>
        <v>0</v>
      </c>
      <c r="J186" s="105">
        <f t="shared" ca="1" si="51"/>
        <v>0</v>
      </c>
      <c r="K186" s="105">
        <f t="shared" ca="1" si="52"/>
        <v>0</v>
      </c>
      <c r="L186" s="105">
        <f t="shared" ca="1" si="53"/>
        <v>0</v>
      </c>
      <c r="M186" s="105">
        <f t="shared" ca="1" si="54"/>
        <v>0</v>
      </c>
      <c r="N186" s="105">
        <f t="shared" ca="1" si="53"/>
        <v>0</v>
      </c>
      <c r="O186" s="105">
        <f t="shared" ca="1" si="55"/>
        <v>0</v>
      </c>
      <c r="P186" s="105">
        <f t="shared" ca="1" si="56"/>
        <v>0</v>
      </c>
      <c r="Q186" s="105">
        <f t="shared" ca="1" si="57"/>
        <v>0</v>
      </c>
      <c r="R186" s="105">
        <f t="shared" ca="1" si="58"/>
        <v>0</v>
      </c>
      <c r="S186" s="105">
        <f t="shared" ca="1" si="59"/>
        <v>8</v>
      </c>
    </row>
    <row r="187" spans="1:19" x14ac:dyDescent="0.35">
      <c r="A187" s="105">
        <f t="shared" ca="1" si="44"/>
        <v>260.35999999999962</v>
      </c>
      <c r="B187" s="105" t="str">
        <f t="shared" ca="1" si="45"/>
        <v>渊任</v>
      </c>
      <c r="C187" s="105">
        <f t="shared" ca="1" si="46"/>
        <v>0</v>
      </c>
      <c r="D187" s="105">
        <f t="shared" ca="1" si="47"/>
        <v>26.225000000000108</v>
      </c>
      <c r="E187" s="105">
        <f t="shared" ca="1" si="48"/>
        <v>30.585000000000001</v>
      </c>
      <c r="F187" s="105">
        <f t="shared" ca="1" si="49"/>
        <v>0</v>
      </c>
      <c r="G187" s="105">
        <f t="shared" ca="1" si="60"/>
        <v>1</v>
      </c>
      <c r="H187" s="105">
        <f t="shared" ca="1" si="61"/>
        <v>54.925000000000004</v>
      </c>
      <c r="I187" s="105">
        <f t="shared" ca="1" si="50"/>
        <v>0</v>
      </c>
      <c r="J187" s="105">
        <f t="shared" ca="1" si="51"/>
        <v>0</v>
      </c>
      <c r="K187" s="105">
        <f t="shared" ca="1" si="52"/>
        <v>14.272500000000001</v>
      </c>
      <c r="L187" s="105">
        <f t="shared" ca="1" si="53"/>
        <v>1</v>
      </c>
      <c r="M187" s="105">
        <f t="shared" ca="1" si="54"/>
        <v>0</v>
      </c>
      <c r="N187" s="105">
        <f t="shared" ca="1" si="53"/>
        <v>0</v>
      </c>
      <c r="O187" s="105">
        <f t="shared" ca="1" si="55"/>
        <v>0</v>
      </c>
      <c r="P187" s="105">
        <f t="shared" ca="1" si="56"/>
        <v>0</v>
      </c>
      <c r="Q187" s="105">
        <f t="shared" ca="1" si="57"/>
        <v>8.5850000000000009</v>
      </c>
      <c r="R187" s="105">
        <f t="shared" ca="1" si="58"/>
        <v>1</v>
      </c>
      <c r="S187" s="105">
        <f t="shared" ca="1" si="59"/>
        <v>8</v>
      </c>
    </row>
    <row r="188" spans="1:19" x14ac:dyDescent="0.35">
      <c r="A188" s="105">
        <f t="shared" ca="1" si="44"/>
        <v>261.77499999999964</v>
      </c>
      <c r="B188" s="105" t="str">
        <f t="shared" ca="1" si="45"/>
        <v>雷循环</v>
      </c>
      <c r="C188" s="105">
        <f t="shared" ca="1" si="46"/>
        <v>0</v>
      </c>
      <c r="D188" s="105">
        <f t="shared" ca="1" si="47"/>
        <v>24.810000000000109</v>
      </c>
      <c r="E188" s="105">
        <f t="shared" ca="1" si="48"/>
        <v>29.17</v>
      </c>
      <c r="F188" s="105">
        <f t="shared" ca="1" si="49"/>
        <v>30.585000000000001</v>
      </c>
      <c r="G188" s="105">
        <f t="shared" ca="1" si="60"/>
        <v>1</v>
      </c>
      <c r="H188" s="105">
        <f t="shared" ca="1" si="61"/>
        <v>53.510000000000005</v>
      </c>
      <c r="I188" s="105">
        <f t="shared" ca="1" si="50"/>
        <v>0</v>
      </c>
      <c r="J188" s="105">
        <f t="shared" ca="1" si="51"/>
        <v>0</v>
      </c>
      <c r="K188" s="105">
        <f t="shared" ca="1" si="52"/>
        <v>12.857500000000002</v>
      </c>
      <c r="L188" s="105">
        <f t="shared" ca="1" si="53"/>
        <v>1</v>
      </c>
      <c r="M188" s="105">
        <f t="shared" ca="1" si="54"/>
        <v>0</v>
      </c>
      <c r="N188" s="105">
        <f t="shared" ca="1" si="53"/>
        <v>0</v>
      </c>
      <c r="O188" s="105">
        <f t="shared" ca="1" si="55"/>
        <v>13.585000000000001</v>
      </c>
      <c r="P188" s="105">
        <f t="shared" ca="1" si="56"/>
        <v>1</v>
      </c>
      <c r="Q188" s="105">
        <f t="shared" ca="1" si="57"/>
        <v>7.1700000000000008</v>
      </c>
      <c r="R188" s="105">
        <f t="shared" ca="1" si="58"/>
        <v>1</v>
      </c>
      <c r="S188" s="105">
        <f t="shared" ca="1" si="59"/>
        <v>9</v>
      </c>
    </row>
    <row r="189" spans="1:19" x14ac:dyDescent="0.35">
      <c r="A189" s="105">
        <f t="shared" ca="1" si="44"/>
        <v>263.18999999999966</v>
      </c>
      <c r="B189" s="105" t="str">
        <f t="shared" ca="1" si="45"/>
        <v>循环</v>
      </c>
      <c r="C189" s="105">
        <f t="shared" ca="1" si="46"/>
        <v>0</v>
      </c>
      <c r="D189" s="105">
        <f t="shared" ca="1" si="47"/>
        <v>23.39500000000011</v>
      </c>
      <c r="E189" s="105">
        <f t="shared" ca="1" si="48"/>
        <v>27.755000000000003</v>
      </c>
      <c r="F189" s="105">
        <f t="shared" ca="1" si="49"/>
        <v>29.17</v>
      </c>
      <c r="G189" s="105">
        <f t="shared" ca="1" si="60"/>
        <v>1</v>
      </c>
      <c r="H189" s="105">
        <f t="shared" ca="1" si="61"/>
        <v>52.095000000000006</v>
      </c>
      <c r="I189" s="105">
        <f t="shared" ca="1" si="50"/>
        <v>0</v>
      </c>
      <c r="J189" s="105">
        <f t="shared" ca="1" si="51"/>
        <v>0</v>
      </c>
      <c r="K189" s="105">
        <f t="shared" ca="1" si="52"/>
        <v>11.442500000000003</v>
      </c>
      <c r="L189" s="105">
        <f t="shared" ca="1" si="53"/>
        <v>1</v>
      </c>
      <c r="M189" s="105">
        <f t="shared" ca="1" si="54"/>
        <v>0</v>
      </c>
      <c r="N189" s="105">
        <f t="shared" ca="1" si="53"/>
        <v>0</v>
      </c>
      <c r="O189" s="105">
        <f t="shared" ca="1" si="55"/>
        <v>12.170000000000002</v>
      </c>
      <c r="P189" s="105">
        <f t="shared" ca="1" si="56"/>
        <v>1</v>
      </c>
      <c r="Q189" s="105">
        <f t="shared" ca="1" si="57"/>
        <v>5.7550000000000008</v>
      </c>
      <c r="R189" s="105">
        <f t="shared" ca="1" si="58"/>
        <v>1</v>
      </c>
      <c r="S189" s="105">
        <f t="shared" ca="1" si="59"/>
        <v>9</v>
      </c>
    </row>
    <row r="190" spans="1:19" x14ac:dyDescent="0.35">
      <c r="A190" s="105">
        <f t="shared" ca="1" si="44"/>
        <v>264.60499999999968</v>
      </c>
      <c r="B190" s="105" t="str">
        <f t="shared" ca="1" si="45"/>
        <v>循环</v>
      </c>
      <c r="C190" s="105">
        <f t="shared" ca="1" si="46"/>
        <v>0</v>
      </c>
      <c r="D190" s="105">
        <f t="shared" ca="1" si="47"/>
        <v>21.980000000000111</v>
      </c>
      <c r="E190" s="105">
        <f t="shared" ca="1" si="48"/>
        <v>26.340000000000003</v>
      </c>
      <c r="F190" s="105">
        <f t="shared" ca="1" si="49"/>
        <v>27.755000000000003</v>
      </c>
      <c r="G190" s="105">
        <f t="shared" ca="1" si="60"/>
        <v>1</v>
      </c>
      <c r="H190" s="105">
        <f t="shared" ca="1" si="61"/>
        <v>50.680000000000007</v>
      </c>
      <c r="I190" s="105">
        <f t="shared" ca="1" si="50"/>
        <v>0</v>
      </c>
      <c r="J190" s="105">
        <f t="shared" ca="1" si="51"/>
        <v>0</v>
      </c>
      <c r="K190" s="105">
        <f t="shared" ca="1" si="52"/>
        <v>10.027500000000003</v>
      </c>
      <c r="L190" s="105">
        <f t="shared" ca="1" si="53"/>
        <v>1</v>
      </c>
      <c r="M190" s="105">
        <f t="shared" ca="1" si="54"/>
        <v>0</v>
      </c>
      <c r="N190" s="105">
        <f t="shared" ca="1" si="53"/>
        <v>0</v>
      </c>
      <c r="O190" s="105">
        <f t="shared" ca="1" si="55"/>
        <v>10.755000000000003</v>
      </c>
      <c r="P190" s="105">
        <f t="shared" ca="1" si="56"/>
        <v>1</v>
      </c>
      <c r="Q190" s="105">
        <f t="shared" ca="1" si="57"/>
        <v>4.3400000000000007</v>
      </c>
      <c r="R190" s="105">
        <f t="shared" ca="1" si="58"/>
        <v>1</v>
      </c>
      <c r="S190" s="105">
        <f t="shared" ca="1" si="59"/>
        <v>9</v>
      </c>
    </row>
    <row r="191" spans="1:19" x14ac:dyDescent="0.35">
      <c r="A191" s="105">
        <f t="shared" ca="1" si="44"/>
        <v>266.0199999999997</v>
      </c>
      <c r="B191" s="105" t="str">
        <f t="shared" ca="1" si="45"/>
        <v>循环</v>
      </c>
      <c r="C191" s="105">
        <f t="shared" ca="1" si="46"/>
        <v>0</v>
      </c>
      <c r="D191" s="105">
        <f t="shared" ca="1" si="47"/>
        <v>20.565000000000111</v>
      </c>
      <c r="E191" s="105">
        <f t="shared" ca="1" si="48"/>
        <v>24.925000000000004</v>
      </c>
      <c r="F191" s="105">
        <f t="shared" ca="1" si="49"/>
        <v>26.340000000000003</v>
      </c>
      <c r="G191" s="105">
        <f t="shared" ca="1" si="60"/>
        <v>1</v>
      </c>
      <c r="H191" s="105">
        <f t="shared" ca="1" si="61"/>
        <v>49.265000000000008</v>
      </c>
      <c r="I191" s="105">
        <f t="shared" ca="1" si="50"/>
        <v>0</v>
      </c>
      <c r="J191" s="105">
        <f t="shared" ca="1" si="51"/>
        <v>0</v>
      </c>
      <c r="K191" s="105">
        <f t="shared" ca="1" si="52"/>
        <v>8.6125000000000043</v>
      </c>
      <c r="L191" s="105">
        <f t="shared" ca="1" si="53"/>
        <v>1</v>
      </c>
      <c r="M191" s="105">
        <f t="shared" ca="1" si="54"/>
        <v>0</v>
      </c>
      <c r="N191" s="105">
        <f t="shared" ca="1" si="53"/>
        <v>0</v>
      </c>
      <c r="O191" s="105">
        <f t="shared" ca="1" si="55"/>
        <v>9.3400000000000034</v>
      </c>
      <c r="P191" s="105">
        <f t="shared" ca="1" si="56"/>
        <v>1</v>
      </c>
      <c r="Q191" s="105">
        <f t="shared" ca="1" si="57"/>
        <v>2.9250000000000007</v>
      </c>
      <c r="R191" s="105">
        <f t="shared" ca="1" si="58"/>
        <v>1</v>
      </c>
      <c r="S191" s="105">
        <f t="shared" ca="1" si="59"/>
        <v>9</v>
      </c>
    </row>
    <row r="192" spans="1:19" x14ac:dyDescent="0.35">
      <c r="A192" s="105">
        <f t="shared" ca="1" si="44"/>
        <v>267.43499999999972</v>
      </c>
      <c r="B192" s="105" t="str">
        <f t="shared" ca="1" si="45"/>
        <v>循环</v>
      </c>
      <c r="C192" s="105">
        <f t="shared" ca="1" si="46"/>
        <v>0</v>
      </c>
      <c r="D192" s="105">
        <f t="shared" ca="1" si="47"/>
        <v>19.150000000000112</v>
      </c>
      <c r="E192" s="105">
        <f t="shared" ca="1" si="48"/>
        <v>23.510000000000005</v>
      </c>
      <c r="F192" s="105">
        <f t="shared" ca="1" si="49"/>
        <v>24.925000000000004</v>
      </c>
      <c r="G192" s="105">
        <f t="shared" ca="1" si="60"/>
        <v>1</v>
      </c>
      <c r="H192" s="105">
        <f t="shared" ca="1" si="61"/>
        <v>47.850000000000009</v>
      </c>
      <c r="I192" s="105">
        <f t="shared" ca="1" si="50"/>
        <v>0</v>
      </c>
      <c r="J192" s="105">
        <f t="shared" ca="1" si="51"/>
        <v>0</v>
      </c>
      <c r="K192" s="105">
        <f t="shared" ca="1" si="52"/>
        <v>7.1975000000000042</v>
      </c>
      <c r="L192" s="105">
        <f t="shared" ca="1" si="53"/>
        <v>1</v>
      </c>
      <c r="M192" s="105">
        <f t="shared" ca="1" si="54"/>
        <v>0</v>
      </c>
      <c r="N192" s="105">
        <f t="shared" ca="1" si="53"/>
        <v>0</v>
      </c>
      <c r="O192" s="105">
        <f t="shared" ca="1" si="55"/>
        <v>7.9250000000000034</v>
      </c>
      <c r="P192" s="105">
        <f t="shared" ca="1" si="56"/>
        <v>1</v>
      </c>
      <c r="Q192" s="105">
        <f t="shared" ca="1" si="57"/>
        <v>1.5100000000000007</v>
      </c>
      <c r="R192" s="105">
        <f t="shared" ca="1" si="58"/>
        <v>1</v>
      </c>
      <c r="S192" s="105">
        <f t="shared" ca="1" si="59"/>
        <v>9</v>
      </c>
    </row>
    <row r="193" spans="1:19" x14ac:dyDescent="0.35">
      <c r="A193" s="105">
        <f t="shared" ca="1" si="44"/>
        <v>268.84999999999974</v>
      </c>
      <c r="B193" s="105" t="str">
        <f t="shared" ca="1" si="45"/>
        <v>循环</v>
      </c>
      <c r="C193" s="105">
        <f t="shared" ca="1" si="46"/>
        <v>0</v>
      </c>
      <c r="D193" s="105">
        <f t="shared" ca="1" si="47"/>
        <v>17.735000000000113</v>
      </c>
      <c r="E193" s="105">
        <f t="shared" ca="1" si="48"/>
        <v>22.095000000000006</v>
      </c>
      <c r="F193" s="105">
        <f t="shared" ca="1" si="49"/>
        <v>23.510000000000005</v>
      </c>
      <c r="G193" s="105">
        <f t="shared" ca="1" si="60"/>
        <v>1</v>
      </c>
      <c r="H193" s="105">
        <f t="shared" ca="1" si="61"/>
        <v>46.435000000000009</v>
      </c>
      <c r="I193" s="105">
        <f t="shared" ca="1" si="50"/>
        <v>0</v>
      </c>
      <c r="J193" s="105">
        <f t="shared" ca="1" si="51"/>
        <v>0</v>
      </c>
      <c r="K193" s="105">
        <f t="shared" ca="1" si="52"/>
        <v>5.7825000000000042</v>
      </c>
      <c r="L193" s="105">
        <f t="shared" ca="1" si="53"/>
        <v>1</v>
      </c>
      <c r="M193" s="105">
        <f t="shared" ca="1" si="54"/>
        <v>0</v>
      </c>
      <c r="N193" s="105">
        <f t="shared" ca="1" si="53"/>
        <v>0</v>
      </c>
      <c r="O193" s="105">
        <f t="shared" ca="1" si="55"/>
        <v>6.5100000000000033</v>
      </c>
      <c r="P193" s="105">
        <f t="shared" ca="1" si="56"/>
        <v>1</v>
      </c>
      <c r="Q193" s="105">
        <f t="shared" ca="1" si="57"/>
        <v>9.5000000000000639E-2</v>
      </c>
      <c r="R193" s="105">
        <f t="shared" ca="1" si="58"/>
        <v>1</v>
      </c>
      <c r="S193" s="105">
        <f t="shared" ca="1" si="59"/>
        <v>9</v>
      </c>
    </row>
    <row r="194" spans="1:19" x14ac:dyDescent="0.35">
      <c r="A194" s="105">
        <f t="shared" ca="1" si="44"/>
        <v>270.26499999999976</v>
      </c>
      <c r="B194" s="105" t="str">
        <f t="shared" ca="1" si="45"/>
        <v>循环</v>
      </c>
      <c r="C194" s="105">
        <f t="shared" ca="1" si="46"/>
        <v>0</v>
      </c>
      <c r="D194" s="105">
        <f t="shared" ca="1" si="47"/>
        <v>16.320000000000114</v>
      </c>
      <c r="E194" s="105">
        <f t="shared" ca="1" si="48"/>
        <v>20.680000000000007</v>
      </c>
      <c r="F194" s="105">
        <f t="shared" ca="1" si="49"/>
        <v>22.095000000000006</v>
      </c>
      <c r="G194" s="105">
        <f t="shared" ca="1" si="60"/>
        <v>1</v>
      </c>
      <c r="H194" s="105">
        <f t="shared" ca="1" si="61"/>
        <v>45.02000000000001</v>
      </c>
      <c r="I194" s="105">
        <f t="shared" ca="1" si="50"/>
        <v>0</v>
      </c>
      <c r="J194" s="105">
        <f t="shared" ca="1" si="51"/>
        <v>0</v>
      </c>
      <c r="K194" s="105">
        <f t="shared" ca="1" si="52"/>
        <v>4.3675000000000042</v>
      </c>
      <c r="L194" s="105">
        <f t="shared" ca="1" si="53"/>
        <v>1</v>
      </c>
      <c r="M194" s="105">
        <f t="shared" ca="1" si="54"/>
        <v>0</v>
      </c>
      <c r="N194" s="105">
        <f t="shared" ca="1" si="53"/>
        <v>0</v>
      </c>
      <c r="O194" s="105">
        <f t="shared" ca="1" si="55"/>
        <v>5.0950000000000033</v>
      </c>
      <c r="P194" s="105">
        <f t="shared" ca="1" si="56"/>
        <v>1</v>
      </c>
      <c r="Q194" s="105">
        <f t="shared" ca="1" si="57"/>
        <v>0</v>
      </c>
      <c r="R194" s="105">
        <f t="shared" ca="1" si="58"/>
        <v>1</v>
      </c>
      <c r="S194" s="105">
        <f t="shared" ca="1" si="59"/>
        <v>9</v>
      </c>
    </row>
    <row r="195" spans="1:19" x14ac:dyDescent="0.35">
      <c r="A195" s="105">
        <f t="shared" ca="1" si="44"/>
        <v>271.67999999999978</v>
      </c>
      <c r="B195" s="105" t="str">
        <f t="shared" ca="1" si="45"/>
        <v>循环</v>
      </c>
      <c r="C195" s="105">
        <f t="shared" ca="1" si="46"/>
        <v>0</v>
      </c>
      <c r="D195" s="105">
        <f t="shared" ca="1" si="47"/>
        <v>14.905000000000115</v>
      </c>
      <c r="E195" s="105">
        <f t="shared" ca="1" si="48"/>
        <v>19.265000000000008</v>
      </c>
      <c r="F195" s="105">
        <f t="shared" ca="1" si="49"/>
        <v>20.680000000000007</v>
      </c>
      <c r="G195" s="105">
        <f t="shared" ca="1" si="60"/>
        <v>1</v>
      </c>
      <c r="H195" s="105">
        <f t="shared" ca="1" si="61"/>
        <v>43.605000000000011</v>
      </c>
      <c r="I195" s="105">
        <f t="shared" ca="1" si="50"/>
        <v>0</v>
      </c>
      <c r="J195" s="105">
        <f t="shared" ca="1" si="51"/>
        <v>0</v>
      </c>
      <c r="K195" s="105">
        <f t="shared" ca="1" si="52"/>
        <v>2.9525000000000041</v>
      </c>
      <c r="L195" s="105">
        <f t="shared" ca="1" si="53"/>
        <v>1</v>
      </c>
      <c r="M195" s="105">
        <f t="shared" ca="1" si="54"/>
        <v>0</v>
      </c>
      <c r="N195" s="105">
        <f t="shared" ca="1" si="53"/>
        <v>0</v>
      </c>
      <c r="O195" s="105">
        <f t="shared" ca="1" si="55"/>
        <v>3.6800000000000033</v>
      </c>
      <c r="P195" s="105">
        <f t="shared" ca="1" si="56"/>
        <v>1</v>
      </c>
      <c r="Q195" s="105">
        <f t="shared" ca="1" si="57"/>
        <v>0</v>
      </c>
      <c r="R195" s="105">
        <f t="shared" ca="1" si="58"/>
        <v>0</v>
      </c>
      <c r="S195" s="105">
        <f t="shared" ca="1" si="59"/>
        <v>9</v>
      </c>
    </row>
    <row r="196" spans="1:19" x14ac:dyDescent="0.35">
      <c r="A196" s="105">
        <f t="shared" ref="A196:A259" ca="1" si="62">$V$4+A195</f>
        <v>273.0949999999998</v>
      </c>
      <c r="B196" s="105" t="str">
        <f t="shared" ref="B196:B259" ca="1" si="63">IF(AND(A195&gt;$X$1,P195=0,R195=0),0,IF(AND(G195=0,H195=0),"突","")&amp;IF($V$8=0,IF(AND(OR($V$13=0,AND(K195=0,C195&lt;1),AND(K195&gt;0,OR(M195&gt;0,$V$7=0))),$V$6=1,E195=0),"渊","")&amp;IF(AND(OR($V$13=0,AND(K195=0,C195&lt;1),AND(K195&gt;0,OR(M195&gt;0,$V$7=0))),F195=0),"雷","")&amp;IF(AND(C195&gt;0,$V$13=1,E195=0,F195=0,K195=0),"任",IF(AND(G195=1,$V$7=1,I195=0),"乘","循环")),IF(AND($V$6=1,E195=0),"渊","")&amp;IF(AND(OR($V$13=0,AND(K195=0,C195&lt;1),AND(K195&gt;0,OR(M195&gt;0,$V$7=0))),F195=0),"雷","")&amp;IF(AND(C195&gt;0,L195=0,E195=0),"任",IF(AND(G195=1,$V$7=1,I195=0),"乘","循环"))))</f>
        <v>循环</v>
      </c>
      <c r="C196" s="105">
        <f t="shared" ref="C196:C259" ca="1" si="64">IF(COUNTIF(B196,"*任*"),C195-1,IF(AND(D195&lt;&gt;0,D195&lt;$V$4),MIN(2,C195+1),C195))</f>
        <v>0</v>
      </c>
      <c r="D196" s="105">
        <f t="shared" ref="D196:D259" ca="1" si="65">IF(AND(D195&lt;$V$4,C195&lt;2),D195+$Y$6-$V$4,IF(AND(C195=2,COUNTIF(B196,"*任*")&gt;0),$Y$6-$V$4,MAX(0,D195-$V$4)))</f>
        <v>13.490000000000116</v>
      </c>
      <c r="E196" s="105">
        <f t="shared" ref="E196:E259" ca="1" si="66">IF(COUNTIF(B196,"*渊*")&gt;0,$Y$8-$V$4,MAX(0,E195-$V$4))</f>
        <v>17.850000000000009</v>
      </c>
      <c r="F196" s="105">
        <f t="shared" ref="F196:F259" ca="1" si="67">IF(COUNTIF(B196,"*雷*")&gt;0,$Y$9-$V$4,MAX(0,F195-$V$4))</f>
        <v>19.265000000000008</v>
      </c>
      <c r="G196" s="105">
        <f t="shared" ca="1" si="60"/>
        <v>1</v>
      </c>
      <c r="H196" s="105">
        <f t="shared" ca="1" si="61"/>
        <v>42.190000000000012</v>
      </c>
      <c r="I196" s="105">
        <f t="shared" ref="I196:I259" ca="1" si="68">IF(COUNTIF(B196,"*乘*")&gt;0,$Y$7-$V$4,MAX(0,I195-$V$4))</f>
        <v>0</v>
      </c>
      <c r="J196" s="105">
        <f t="shared" ref="J196:J259" ca="1" si="69">IF(H195&lt;1,$V$16,MAX(0,J195-1))*$V$11</f>
        <v>0</v>
      </c>
      <c r="K196" s="105">
        <f t="shared" ref="K196:K259" ca="1" si="70">IF(COUNTIF(B196,"*任*")&gt;0,$Z$6-$V$4+0.6875,MAX(0,K195-$V$4))</f>
        <v>1.5375000000000041</v>
      </c>
      <c r="L196" s="105">
        <f t="shared" ref="L196:N215" ca="1" si="71">IF(K196+K195&gt;0,1,0)</f>
        <v>1</v>
      </c>
      <c r="M196" s="105">
        <f t="shared" ref="M196:M259" ca="1" si="72">IF(COUNTIF(B196,"*乘*")&gt;0,$Z$7-$V$4,MAX(0,M195-$V$4))</f>
        <v>0</v>
      </c>
      <c r="N196" s="105">
        <f t="shared" ca="1" si="71"/>
        <v>0</v>
      </c>
      <c r="O196" s="105">
        <f t="shared" ref="O196:O259" ca="1" si="73">IF(COUNTIF(B196,"*雷*")&gt;0,$Z$9-$V$4,MAX(0,O195-$V$4))</f>
        <v>2.2650000000000032</v>
      </c>
      <c r="P196" s="105">
        <f t="shared" ref="P196:P259" ca="1" si="74">IF(O196+O195&gt;0,1,0)</f>
        <v>1</v>
      </c>
      <c r="Q196" s="105">
        <f t="shared" ref="Q196:Q259" ca="1" si="75">IF(COUNTIF(B196,"*渊*")&gt;0,$Z$8-$V$4,MAX(0,Q195-$V$4))</f>
        <v>0</v>
      </c>
      <c r="R196" s="105">
        <f t="shared" ref="R196:R259" ca="1" si="76">IF(Q196+Q195&gt;0,1,0)</f>
        <v>0</v>
      </c>
      <c r="S196" s="105">
        <f t="shared" ref="S196:S259" ca="1" si="77">IF(COUNTIF(B196,"*雷*")&gt;0,S195+1,S195)</f>
        <v>9</v>
      </c>
    </row>
    <row r="197" spans="1:19" x14ac:dyDescent="0.35">
      <c r="A197" s="105">
        <f t="shared" ca="1" si="62"/>
        <v>274.50999999999982</v>
      </c>
      <c r="B197" s="105" t="str">
        <f t="shared" ca="1" si="63"/>
        <v>循环</v>
      </c>
      <c r="C197" s="105">
        <f t="shared" ca="1" si="64"/>
        <v>0</v>
      </c>
      <c r="D197" s="105">
        <f t="shared" ca="1" si="65"/>
        <v>12.075000000000117</v>
      </c>
      <c r="E197" s="105">
        <f t="shared" ca="1" si="66"/>
        <v>16.435000000000009</v>
      </c>
      <c r="F197" s="105">
        <f t="shared" ca="1" si="67"/>
        <v>17.850000000000009</v>
      </c>
      <c r="G197" s="105">
        <f t="shared" ref="G197:G260" ca="1" si="78">IF(RIGHT(B197,1)="任",1,IF(OR($V$9=0,AND(K196&lt;$V$4,H196=0)),0,G196))</f>
        <v>1</v>
      </c>
      <c r="H197" s="105">
        <f t="shared" ref="H197:H260" ca="1" si="79">IF(COUNTIF(B197,"*突*")&gt;0,$Y$5-$V$4,MAX(0,H196-$V$4))</f>
        <v>40.775000000000013</v>
      </c>
      <c r="I197" s="105">
        <f t="shared" ca="1" si="68"/>
        <v>0</v>
      </c>
      <c r="J197" s="105">
        <f t="shared" ca="1" si="69"/>
        <v>0</v>
      </c>
      <c r="K197" s="105">
        <f t="shared" ca="1" si="70"/>
        <v>0.12250000000000405</v>
      </c>
      <c r="L197" s="105">
        <f t="shared" ca="1" si="71"/>
        <v>1</v>
      </c>
      <c r="M197" s="105">
        <f t="shared" ca="1" si="72"/>
        <v>0</v>
      </c>
      <c r="N197" s="105">
        <f t="shared" ca="1" si="71"/>
        <v>0</v>
      </c>
      <c r="O197" s="105">
        <f t="shared" ca="1" si="73"/>
        <v>0.8500000000000032</v>
      </c>
      <c r="P197" s="105">
        <f t="shared" ca="1" si="74"/>
        <v>1</v>
      </c>
      <c r="Q197" s="105">
        <f t="shared" ca="1" si="75"/>
        <v>0</v>
      </c>
      <c r="R197" s="105">
        <f t="shared" ca="1" si="76"/>
        <v>0</v>
      </c>
      <c r="S197" s="105">
        <f t="shared" ca="1" si="77"/>
        <v>9</v>
      </c>
    </row>
    <row r="198" spans="1:19" x14ac:dyDescent="0.35">
      <c r="A198" s="105">
        <f t="shared" ca="1" si="62"/>
        <v>275.92499999999984</v>
      </c>
      <c r="B198" s="105" t="str">
        <f t="shared" ca="1" si="63"/>
        <v>循环</v>
      </c>
      <c r="C198" s="105">
        <f t="shared" ca="1" si="64"/>
        <v>0</v>
      </c>
      <c r="D198" s="105">
        <f t="shared" ca="1" si="65"/>
        <v>10.660000000000117</v>
      </c>
      <c r="E198" s="105">
        <f t="shared" ca="1" si="66"/>
        <v>15.02000000000001</v>
      </c>
      <c r="F198" s="105">
        <f t="shared" ca="1" si="67"/>
        <v>16.435000000000009</v>
      </c>
      <c r="G198" s="105">
        <f t="shared" ca="1" si="78"/>
        <v>1</v>
      </c>
      <c r="H198" s="105">
        <f t="shared" ca="1" si="79"/>
        <v>39.360000000000014</v>
      </c>
      <c r="I198" s="105">
        <f t="shared" ca="1" si="68"/>
        <v>0</v>
      </c>
      <c r="J198" s="105">
        <f t="shared" ca="1" si="69"/>
        <v>0</v>
      </c>
      <c r="K198" s="105">
        <f t="shared" ca="1" si="70"/>
        <v>0</v>
      </c>
      <c r="L198" s="105">
        <f t="shared" ca="1" si="71"/>
        <v>1</v>
      </c>
      <c r="M198" s="105">
        <f t="shared" ca="1" si="72"/>
        <v>0</v>
      </c>
      <c r="N198" s="105">
        <f t="shared" ca="1" si="71"/>
        <v>0</v>
      </c>
      <c r="O198" s="105">
        <f t="shared" ca="1" si="73"/>
        <v>0</v>
      </c>
      <c r="P198" s="105">
        <f t="shared" ca="1" si="74"/>
        <v>1</v>
      </c>
      <c r="Q198" s="105">
        <f t="shared" ca="1" si="75"/>
        <v>0</v>
      </c>
      <c r="R198" s="105">
        <f t="shared" ca="1" si="76"/>
        <v>0</v>
      </c>
      <c r="S198" s="105">
        <f t="shared" ca="1" si="77"/>
        <v>9</v>
      </c>
    </row>
    <row r="199" spans="1:19" x14ac:dyDescent="0.35">
      <c r="A199" s="105">
        <f t="shared" ca="1" si="62"/>
        <v>277.33999999999986</v>
      </c>
      <c r="B199" s="105" t="str">
        <f t="shared" ca="1" si="63"/>
        <v>循环</v>
      </c>
      <c r="C199" s="105">
        <f t="shared" ca="1" si="64"/>
        <v>0</v>
      </c>
      <c r="D199" s="105">
        <f t="shared" ca="1" si="65"/>
        <v>9.2450000000001182</v>
      </c>
      <c r="E199" s="105">
        <f t="shared" ca="1" si="66"/>
        <v>13.605000000000011</v>
      </c>
      <c r="F199" s="105">
        <f t="shared" ca="1" si="67"/>
        <v>15.02000000000001</v>
      </c>
      <c r="G199" s="105">
        <f t="shared" ca="1" si="78"/>
        <v>1</v>
      </c>
      <c r="H199" s="105">
        <f t="shared" ca="1" si="79"/>
        <v>37.945000000000014</v>
      </c>
      <c r="I199" s="105">
        <f t="shared" ca="1" si="68"/>
        <v>0</v>
      </c>
      <c r="J199" s="105">
        <f t="shared" ca="1" si="69"/>
        <v>0</v>
      </c>
      <c r="K199" s="105">
        <f t="shared" ca="1" si="70"/>
        <v>0</v>
      </c>
      <c r="L199" s="105">
        <f t="shared" ca="1" si="71"/>
        <v>0</v>
      </c>
      <c r="M199" s="105">
        <f t="shared" ca="1" si="72"/>
        <v>0</v>
      </c>
      <c r="N199" s="105">
        <f t="shared" ca="1" si="71"/>
        <v>0</v>
      </c>
      <c r="O199" s="105">
        <f t="shared" ca="1" si="73"/>
        <v>0</v>
      </c>
      <c r="P199" s="105">
        <f t="shared" ca="1" si="74"/>
        <v>0</v>
      </c>
      <c r="Q199" s="105">
        <f t="shared" ca="1" si="75"/>
        <v>0</v>
      </c>
      <c r="R199" s="105">
        <f t="shared" ca="1" si="76"/>
        <v>0</v>
      </c>
      <c r="S199" s="105">
        <f t="shared" ca="1" si="77"/>
        <v>9</v>
      </c>
    </row>
    <row r="200" spans="1:19" x14ac:dyDescent="0.35">
      <c r="A200" s="105">
        <f t="shared" ca="1" si="62"/>
        <v>278.75499999999988</v>
      </c>
      <c r="B200" s="105" t="str">
        <f t="shared" ca="1" si="63"/>
        <v>循环</v>
      </c>
      <c r="C200" s="105">
        <f t="shared" ca="1" si="64"/>
        <v>0</v>
      </c>
      <c r="D200" s="105">
        <f t="shared" ca="1" si="65"/>
        <v>7.8300000000001182</v>
      </c>
      <c r="E200" s="105">
        <f t="shared" ca="1" si="66"/>
        <v>12.190000000000012</v>
      </c>
      <c r="F200" s="105">
        <f t="shared" ca="1" si="67"/>
        <v>13.605000000000011</v>
      </c>
      <c r="G200" s="105">
        <f t="shared" ca="1" si="78"/>
        <v>1</v>
      </c>
      <c r="H200" s="105">
        <f t="shared" ca="1" si="79"/>
        <v>36.530000000000015</v>
      </c>
      <c r="I200" s="105">
        <f t="shared" ca="1" si="68"/>
        <v>0</v>
      </c>
      <c r="J200" s="105">
        <f t="shared" ca="1" si="69"/>
        <v>0</v>
      </c>
      <c r="K200" s="105">
        <f t="shared" ca="1" si="70"/>
        <v>0</v>
      </c>
      <c r="L200" s="105">
        <f t="shared" ca="1" si="71"/>
        <v>0</v>
      </c>
      <c r="M200" s="105">
        <f t="shared" ca="1" si="72"/>
        <v>0</v>
      </c>
      <c r="N200" s="105">
        <f t="shared" ca="1" si="71"/>
        <v>0</v>
      </c>
      <c r="O200" s="105">
        <f t="shared" ca="1" si="73"/>
        <v>0</v>
      </c>
      <c r="P200" s="105">
        <f t="shared" ca="1" si="74"/>
        <v>0</v>
      </c>
      <c r="Q200" s="105">
        <f t="shared" ca="1" si="75"/>
        <v>0</v>
      </c>
      <c r="R200" s="105">
        <f t="shared" ca="1" si="76"/>
        <v>0</v>
      </c>
      <c r="S200" s="105">
        <f t="shared" ca="1" si="77"/>
        <v>9</v>
      </c>
    </row>
    <row r="201" spans="1:19" x14ac:dyDescent="0.35">
      <c r="A201" s="105">
        <f t="shared" ca="1" si="62"/>
        <v>280.1699999999999</v>
      </c>
      <c r="B201" s="105" t="str">
        <f t="shared" ca="1" si="63"/>
        <v>循环</v>
      </c>
      <c r="C201" s="105">
        <f t="shared" ca="1" si="64"/>
        <v>0</v>
      </c>
      <c r="D201" s="105">
        <f t="shared" ca="1" si="65"/>
        <v>6.4150000000001182</v>
      </c>
      <c r="E201" s="105">
        <f t="shared" ca="1" si="66"/>
        <v>10.775000000000013</v>
      </c>
      <c r="F201" s="105">
        <f t="shared" ca="1" si="67"/>
        <v>12.190000000000012</v>
      </c>
      <c r="G201" s="105">
        <f t="shared" ca="1" si="78"/>
        <v>1</v>
      </c>
      <c r="H201" s="105">
        <f t="shared" ca="1" si="79"/>
        <v>35.115000000000016</v>
      </c>
      <c r="I201" s="105">
        <f t="shared" ca="1" si="68"/>
        <v>0</v>
      </c>
      <c r="J201" s="105">
        <f t="shared" ca="1" si="69"/>
        <v>0</v>
      </c>
      <c r="K201" s="105">
        <f t="shared" ca="1" si="70"/>
        <v>0</v>
      </c>
      <c r="L201" s="105">
        <f t="shared" ca="1" si="71"/>
        <v>0</v>
      </c>
      <c r="M201" s="105">
        <f t="shared" ca="1" si="72"/>
        <v>0</v>
      </c>
      <c r="N201" s="105">
        <f t="shared" ca="1" si="71"/>
        <v>0</v>
      </c>
      <c r="O201" s="105">
        <f t="shared" ca="1" si="73"/>
        <v>0</v>
      </c>
      <c r="P201" s="105">
        <f t="shared" ca="1" si="74"/>
        <v>0</v>
      </c>
      <c r="Q201" s="105">
        <f t="shared" ca="1" si="75"/>
        <v>0</v>
      </c>
      <c r="R201" s="105">
        <f t="shared" ca="1" si="76"/>
        <v>0</v>
      </c>
      <c r="S201" s="105">
        <f t="shared" ca="1" si="77"/>
        <v>9</v>
      </c>
    </row>
    <row r="202" spans="1:19" x14ac:dyDescent="0.35">
      <c r="A202" s="105">
        <f t="shared" ca="1" si="62"/>
        <v>281.58499999999992</v>
      </c>
      <c r="B202" s="105" t="str">
        <f t="shared" ca="1" si="63"/>
        <v>循环</v>
      </c>
      <c r="C202" s="105">
        <f t="shared" ca="1" si="64"/>
        <v>0</v>
      </c>
      <c r="D202" s="105">
        <f t="shared" ca="1" si="65"/>
        <v>5.0000000000001181</v>
      </c>
      <c r="E202" s="105">
        <f t="shared" ca="1" si="66"/>
        <v>9.3600000000000136</v>
      </c>
      <c r="F202" s="105">
        <f t="shared" ca="1" si="67"/>
        <v>10.775000000000013</v>
      </c>
      <c r="G202" s="105">
        <f t="shared" ca="1" si="78"/>
        <v>1</v>
      </c>
      <c r="H202" s="105">
        <f t="shared" ca="1" si="79"/>
        <v>33.700000000000017</v>
      </c>
      <c r="I202" s="105">
        <f t="shared" ca="1" si="68"/>
        <v>0</v>
      </c>
      <c r="J202" s="105">
        <f t="shared" ca="1" si="69"/>
        <v>0</v>
      </c>
      <c r="K202" s="105">
        <f t="shared" ca="1" si="70"/>
        <v>0</v>
      </c>
      <c r="L202" s="105">
        <f t="shared" ca="1" si="71"/>
        <v>0</v>
      </c>
      <c r="M202" s="105">
        <f t="shared" ca="1" si="72"/>
        <v>0</v>
      </c>
      <c r="N202" s="105">
        <f t="shared" ca="1" si="71"/>
        <v>0</v>
      </c>
      <c r="O202" s="105">
        <f t="shared" ca="1" si="73"/>
        <v>0</v>
      </c>
      <c r="P202" s="105">
        <f t="shared" ca="1" si="74"/>
        <v>0</v>
      </c>
      <c r="Q202" s="105">
        <f t="shared" ca="1" si="75"/>
        <v>0</v>
      </c>
      <c r="R202" s="105">
        <f t="shared" ca="1" si="76"/>
        <v>0</v>
      </c>
      <c r="S202" s="105">
        <f t="shared" ca="1" si="77"/>
        <v>9</v>
      </c>
    </row>
    <row r="203" spans="1:19" x14ac:dyDescent="0.35">
      <c r="A203" s="105">
        <f t="shared" ca="1" si="62"/>
        <v>282.99999999999994</v>
      </c>
      <c r="B203" s="105" t="str">
        <f t="shared" ca="1" si="63"/>
        <v>循环</v>
      </c>
      <c r="C203" s="105">
        <f t="shared" ca="1" si="64"/>
        <v>0</v>
      </c>
      <c r="D203" s="105">
        <f t="shared" ca="1" si="65"/>
        <v>3.5850000000001181</v>
      </c>
      <c r="E203" s="105">
        <f t="shared" ca="1" si="66"/>
        <v>7.9450000000000136</v>
      </c>
      <c r="F203" s="105">
        <f t="shared" ca="1" si="67"/>
        <v>9.3600000000000136</v>
      </c>
      <c r="G203" s="105">
        <f t="shared" ca="1" si="78"/>
        <v>1</v>
      </c>
      <c r="H203" s="105">
        <f t="shared" ca="1" si="79"/>
        <v>32.285000000000018</v>
      </c>
      <c r="I203" s="105">
        <f t="shared" ca="1" si="68"/>
        <v>0</v>
      </c>
      <c r="J203" s="105">
        <f t="shared" ca="1" si="69"/>
        <v>0</v>
      </c>
      <c r="K203" s="105">
        <f t="shared" ca="1" si="70"/>
        <v>0</v>
      </c>
      <c r="L203" s="105">
        <f t="shared" ca="1" si="71"/>
        <v>0</v>
      </c>
      <c r="M203" s="105">
        <f t="shared" ca="1" si="72"/>
        <v>0</v>
      </c>
      <c r="N203" s="105">
        <f t="shared" ca="1" si="71"/>
        <v>0</v>
      </c>
      <c r="O203" s="105">
        <f t="shared" ca="1" si="73"/>
        <v>0</v>
      </c>
      <c r="P203" s="105">
        <f t="shared" ca="1" si="74"/>
        <v>0</v>
      </c>
      <c r="Q203" s="105">
        <f t="shared" ca="1" si="75"/>
        <v>0</v>
      </c>
      <c r="R203" s="105">
        <f t="shared" ca="1" si="76"/>
        <v>0</v>
      </c>
      <c r="S203" s="105">
        <f t="shared" ca="1" si="77"/>
        <v>9</v>
      </c>
    </row>
    <row r="204" spans="1:19" x14ac:dyDescent="0.35">
      <c r="A204" s="105">
        <f t="shared" ca="1" si="62"/>
        <v>284.41499999999996</v>
      </c>
      <c r="B204" s="105" t="str">
        <f t="shared" ca="1" si="63"/>
        <v>循环</v>
      </c>
      <c r="C204" s="105">
        <f t="shared" ca="1" si="64"/>
        <v>0</v>
      </c>
      <c r="D204" s="105">
        <f t="shared" ca="1" si="65"/>
        <v>2.1700000000001181</v>
      </c>
      <c r="E204" s="105">
        <f t="shared" ca="1" si="66"/>
        <v>6.5300000000000136</v>
      </c>
      <c r="F204" s="105">
        <f t="shared" ca="1" si="67"/>
        <v>7.9450000000000136</v>
      </c>
      <c r="G204" s="105">
        <f t="shared" ca="1" si="78"/>
        <v>1</v>
      </c>
      <c r="H204" s="105">
        <f t="shared" ca="1" si="79"/>
        <v>30.870000000000019</v>
      </c>
      <c r="I204" s="105">
        <f t="shared" ca="1" si="68"/>
        <v>0</v>
      </c>
      <c r="J204" s="105">
        <f t="shared" ca="1" si="69"/>
        <v>0</v>
      </c>
      <c r="K204" s="105">
        <f t="shared" ca="1" si="70"/>
        <v>0</v>
      </c>
      <c r="L204" s="105">
        <f t="shared" ca="1" si="71"/>
        <v>0</v>
      </c>
      <c r="M204" s="105">
        <f t="shared" ca="1" si="72"/>
        <v>0</v>
      </c>
      <c r="N204" s="105">
        <f t="shared" ca="1" si="71"/>
        <v>0</v>
      </c>
      <c r="O204" s="105">
        <f t="shared" ca="1" si="73"/>
        <v>0</v>
      </c>
      <c r="P204" s="105">
        <f t="shared" ca="1" si="74"/>
        <v>0</v>
      </c>
      <c r="Q204" s="105">
        <f t="shared" ca="1" si="75"/>
        <v>0</v>
      </c>
      <c r="R204" s="105">
        <f t="shared" ca="1" si="76"/>
        <v>0</v>
      </c>
      <c r="S204" s="105">
        <f t="shared" ca="1" si="77"/>
        <v>9</v>
      </c>
    </row>
    <row r="205" spans="1:19" x14ac:dyDescent="0.35">
      <c r="A205" s="105">
        <f t="shared" ca="1" si="62"/>
        <v>285.83</v>
      </c>
      <c r="B205" s="105" t="str">
        <f t="shared" ca="1" si="63"/>
        <v>循环</v>
      </c>
      <c r="C205" s="105">
        <f t="shared" ca="1" si="64"/>
        <v>0</v>
      </c>
      <c r="D205" s="105">
        <f t="shared" ca="1" si="65"/>
        <v>0.75500000000011802</v>
      </c>
      <c r="E205" s="105">
        <f t="shared" ca="1" si="66"/>
        <v>5.1150000000000135</v>
      </c>
      <c r="F205" s="105">
        <f t="shared" ca="1" si="67"/>
        <v>6.5300000000000136</v>
      </c>
      <c r="G205" s="105">
        <f t="shared" ca="1" si="78"/>
        <v>1</v>
      </c>
      <c r="H205" s="105">
        <f t="shared" ca="1" si="79"/>
        <v>29.45500000000002</v>
      </c>
      <c r="I205" s="105">
        <f t="shared" ca="1" si="68"/>
        <v>0</v>
      </c>
      <c r="J205" s="105">
        <f t="shared" ca="1" si="69"/>
        <v>0</v>
      </c>
      <c r="K205" s="105">
        <f t="shared" ca="1" si="70"/>
        <v>0</v>
      </c>
      <c r="L205" s="105">
        <f t="shared" ca="1" si="71"/>
        <v>0</v>
      </c>
      <c r="M205" s="105">
        <f t="shared" ca="1" si="72"/>
        <v>0</v>
      </c>
      <c r="N205" s="105">
        <f t="shared" ca="1" si="71"/>
        <v>0</v>
      </c>
      <c r="O205" s="105">
        <f t="shared" ca="1" si="73"/>
        <v>0</v>
      </c>
      <c r="P205" s="105">
        <f t="shared" ca="1" si="74"/>
        <v>0</v>
      </c>
      <c r="Q205" s="105">
        <f t="shared" ca="1" si="75"/>
        <v>0</v>
      </c>
      <c r="R205" s="105">
        <f t="shared" ca="1" si="76"/>
        <v>0</v>
      </c>
      <c r="S205" s="105">
        <f t="shared" ca="1" si="77"/>
        <v>9</v>
      </c>
    </row>
    <row r="206" spans="1:19" x14ac:dyDescent="0.35">
      <c r="A206" s="105">
        <f t="shared" ca="1" si="62"/>
        <v>287.245</v>
      </c>
      <c r="B206" s="105" t="str">
        <f t="shared" ca="1" si="63"/>
        <v>循环</v>
      </c>
      <c r="C206" s="105">
        <f t="shared" ca="1" si="64"/>
        <v>1</v>
      </c>
      <c r="D206" s="105">
        <f t="shared" ca="1" si="65"/>
        <v>35.340000000000117</v>
      </c>
      <c r="E206" s="105">
        <f t="shared" ca="1" si="66"/>
        <v>3.7000000000000135</v>
      </c>
      <c r="F206" s="105">
        <f t="shared" ca="1" si="67"/>
        <v>5.1150000000000135</v>
      </c>
      <c r="G206" s="105">
        <f t="shared" ca="1" si="78"/>
        <v>1</v>
      </c>
      <c r="H206" s="105">
        <f t="shared" ca="1" si="79"/>
        <v>28.04000000000002</v>
      </c>
      <c r="I206" s="105">
        <f t="shared" ca="1" si="68"/>
        <v>0</v>
      </c>
      <c r="J206" s="105">
        <f t="shared" ca="1" si="69"/>
        <v>0</v>
      </c>
      <c r="K206" s="105">
        <f t="shared" ca="1" si="70"/>
        <v>0</v>
      </c>
      <c r="L206" s="105">
        <f t="shared" ca="1" si="71"/>
        <v>0</v>
      </c>
      <c r="M206" s="105">
        <f t="shared" ca="1" si="72"/>
        <v>0</v>
      </c>
      <c r="N206" s="105">
        <f t="shared" ca="1" si="71"/>
        <v>0</v>
      </c>
      <c r="O206" s="105">
        <f t="shared" ca="1" si="73"/>
        <v>0</v>
      </c>
      <c r="P206" s="105">
        <f t="shared" ca="1" si="74"/>
        <v>0</v>
      </c>
      <c r="Q206" s="105">
        <f t="shared" ca="1" si="75"/>
        <v>0</v>
      </c>
      <c r="R206" s="105">
        <f t="shared" ca="1" si="76"/>
        <v>0</v>
      </c>
      <c r="S206" s="105">
        <f t="shared" ca="1" si="77"/>
        <v>9</v>
      </c>
    </row>
    <row r="207" spans="1:19" x14ac:dyDescent="0.35">
      <c r="A207" s="105">
        <f t="shared" ca="1" si="62"/>
        <v>288.66000000000003</v>
      </c>
      <c r="B207" s="105" t="str">
        <f t="shared" ca="1" si="63"/>
        <v>循环</v>
      </c>
      <c r="C207" s="105">
        <f t="shared" ca="1" si="64"/>
        <v>1</v>
      </c>
      <c r="D207" s="105">
        <f t="shared" ca="1" si="65"/>
        <v>33.925000000000118</v>
      </c>
      <c r="E207" s="105">
        <f t="shared" ca="1" si="66"/>
        <v>2.2850000000000135</v>
      </c>
      <c r="F207" s="105">
        <f t="shared" ca="1" si="67"/>
        <v>3.7000000000000135</v>
      </c>
      <c r="G207" s="105">
        <f t="shared" ca="1" si="78"/>
        <v>1</v>
      </c>
      <c r="H207" s="105">
        <f t="shared" ca="1" si="79"/>
        <v>26.625000000000021</v>
      </c>
      <c r="I207" s="105">
        <f t="shared" ca="1" si="68"/>
        <v>0</v>
      </c>
      <c r="J207" s="105">
        <f t="shared" ca="1" si="69"/>
        <v>0</v>
      </c>
      <c r="K207" s="105">
        <f t="shared" ca="1" si="70"/>
        <v>0</v>
      </c>
      <c r="L207" s="105">
        <f t="shared" ca="1" si="71"/>
        <v>0</v>
      </c>
      <c r="M207" s="105">
        <f t="shared" ca="1" si="72"/>
        <v>0</v>
      </c>
      <c r="N207" s="105">
        <f t="shared" ca="1" si="71"/>
        <v>0</v>
      </c>
      <c r="O207" s="105">
        <f t="shared" ca="1" si="73"/>
        <v>0</v>
      </c>
      <c r="P207" s="105">
        <f t="shared" ca="1" si="74"/>
        <v>0</v>
      </c>
      <c r="Q207" s="105">
        <f t="shared" ca="1" si="75"/>
        <v>0</v>
      </c>
      <c r="R207" s="105">
        <f t="shared" ca="1" si="76"/>
        <v>0</v>
      </c>
      <c r="S207" s="105">
        <f t="shared" ca="1" si="77"/>
        <v>9</v>
      </c>
    </row>
    <row r="208" spans="1:19" x14ac:dyDescent="0.35">
      <c r="A208" s="105">
        <f t="shared" ca="1" si="62"/>
        <v>290.07500000000005</v>
      </c>
      <c r="B208" s="105" t="str">
        <f t="shared" ca="1" si="63"/>
        <v>循环</v>
      </c>
      <c r="C208" s="105">
        <f t="shared" ca="1" si="64"/>
        <v>1</v>
      </c>
      <c r="D208" s="105">
        <f t="shared" ca="1" si="65"/>
        <v>32.510000000000119</v>
      </c>
      <c r="E208" s="105">
        <f t="shared" ca="1" si="66"/>
        <v>0.87000000000001343</v>
      </c>
      <c r="F208" s="105">
        <f t="shared" ca="1" si="67"/>
        <v>2.2850000000000135</v>
      </c>
      <c r="G208" s="105">
        <f t="shared" ca="1" si="78"/>
        <v>1</v>
      </c>
      <c r="H208" s="105">
        <f t="shared" ca="1" si="79"/>
        <v>25.210000000000022</v>
      </c>
      <c r="I208" s="105">
        <f t="shared" ca="1" si="68"/>
        <v>0</v>
      </c>
      <c r="J208" s="105">
        <f t="shared" ca="1" si="69"/>
        <v>0</v>
      </c>
      <c r="K208" s="105">
        <f t="shared" ca="1" si="70"/>
        <v>0</v>
      </c>
      <c r="L208" s="105">
        <f t="shared" ca="1" si="71"/>
        <v>0</v>
      </c>
      <c r="M208" s="105">
        <f t="shared" ca="1" si="72"/>
        <v>0</v>
      </c>
      <c r="N208" s="105">
        <f t="shared" ca="1" si="71"/>
        <v>0</v>
      </c>
      <c r="O208" s="105">
        <f t="shared" ca="1" si="73"/>
        <v>0</v>
      </c>
      <c r="P208" s="105">
        <f t="shared" ca="1" si="74"/>
        <v>0</v>
      </c>
      <c r="Q208" s="105">
        <f t="shared" ca="1" si="75"/>
        <v>0</v>
      </c>
      <c r="R208" s="105">
        <f t="shared" ca="1" si="76"/>
        <v>0</v>
      </c>
      <c r="S208" s="105">
        <f t="shared" ca="1" si="77"/>
        <v>9</v>
      </c>
    </row>
    <row r="209" spans="1:19" x14ac:dyDescent="0.35">
      <c r="A209" s="105">
        <f t="shared" ca="1" si="62"/>
        <v>291.49000000000007</v>
      </c>
      <c r="B209" s="105" t="str">
        <f t="shared" ca="1" si="63"/>
        <v>循环</v>
      </c>
      <c r="C209" s="105">
        <f t="shared" ca="1" si="64"/>
        <v>1</v>
      </c>
      <c r="D209" s="105">
        <f t="shared" ca="1" si="65"/>
        <v>31.09500000000012</v>
      </c>
      <c r="E209" s="105">
        <f t="shared" ca="1" si="66"/>
        <v>0</v>
      </c>
      <c r="F209" s="105">
        <f t="shared" ca="1" si="67"/>
        <v>0.87000000000001343</v>
      </c>
      <c r="G209" s="105">
        <f t="shared" ca="1" si="78"/>
        <v>1</v>
      </c>
      <c r="H209" s="105">
        <f t="shared" ca="1" si="79"/>
        <v>23.795000000000023</v>
      </c>
      <c r="I209" s="105">
        <f t="shared" ca="1" si="68"/>
        <v>0</v>
      </c>
      <c r="J209" s="105">
        <f t="shared" ca="1" si="69"/>
        <v>0</v>
      </c>
      <c r="K209" s="105">
        <f t="shared" ca="1" si="70"/>
        <v>0</v>
      </c>
      <c r="L209" s="105">
        <f t="shared" ca="1" si="71"/>
        <v>0</v>
      </c>
      <c r="M209" s="105">
        <f t="shared" ca="1" si="72"/>
        <v>0</v>
      </c>
      <c r="N209" s="105">
        <f t="shared" ca="1" si="71"/>
        <v>0</v>
      </c>
      <c r="O209" s="105">
        <f t="shared" ca="1" si="73"/>
        <v>0</v>
      </c>
      <c r="P209" s="105">
        <f t="shared" ca="1" si="74"/>
        <v>0</v>
      </c>
      <c r="Q209" s="105">
        <f t="shared" ca="1" si="75"/>
        <v>0</v>
      </c>
      <c r="R209" s="105">
        <f t="shared" ca="1" si="76"/>
        <v>0</v>
      </c>
      <c r="S209" s="105">
        <f t="shared" ca="1" si="77"/>
        <v>9</v>
      </c>
    </row>
    <row r="210" spans="1:19" x14ac:dyDescent="0.35">
      <c r="A210" s="105">
        <f t="shared" ca="1" si="62"/>
        <v>292.90500000000009</v>
      </c>
      <c r="B210" s="105" t="str">
        <f t="shared" ca="1" si="63"/>
        <v>渊任</v>
      </c>
      <c r="C210" s="105">
        <f t="shared" ca="1" si="64"/>
        <v>0</v>
      </c>
      <c r="D210" s="105">
        <f t="shared" ca="1" si="65"/>
        <v>29.680000000000121</v>
      </c>
      <c r="E210" s="105">
        <f t="shared" ca="1" si="66"/>
        <v>30.585000000000001</v>
      </c>
      <c r="F210" s="105">
        <f t="shared" ca="1" si="67"/>
        <v>0</v>
      </c>
      <c r="G210" s="105">
        <f t="shared" ca="1" si="78"/>
        <v>1</v>
      </c>
      <c r="H210" s="105">
        <f t="shared" ca="1" si="79"/>
        <v>22.380000000000024</v>
      </c>
      <c r="I210" s="105">
        <f t="shared" ca="1" si="68"/>
        <v>0</v>
      </c>
      <c r="J210" s="105">
        <f t="shared" ca="1" si="69"/>
        <v>0</v>
      </c>
      <c r="K210" s="105">
        <f t="shared" ca="1" si="70"/>
        <v>14.272500000000001</v>
      </c>
      <c r="L210" s="105">
        <f t="shared" ca="1" si="71"/>
        <v>1</v>
      </c>
      <c r="M210" s="105">
        <f t="shared" ca="1" si="72"/>
        <v>0</v>
      </c>
      <c r="N210" s="105">
        <f t="shared" ca="1" si="71"/>
        <v>0</v>
      </c>
      <c r="O210" s="105">
        <f t="shared" ca="1" si="73"/>
        <v>0</v>
      </c>
      <c r="P210" s="105">
        <f t="shared" ca="1" si="74"/>
        <v>0</v>
      </c>
      <c r="Q210" s="105">
        <f t="shared" ca="1" si="75"/>
        <v>8.5850000000000009</v>
      </c>
      <c r="R210" s="105">
        <f t="shared" ca="1" si="76"/>
        <v>1</v>
      </c>
      <c r="S210" s="105">
        <f t="shared" ca="1" si="77"/>
        <v>9</v>
      </c>
    </row>
    <row r="211" spans="1:19" x14ac:dyDescent="0.35">
      <c r="A211" s="105">
        <f t="shared" ca="1" si="62"/>
        <v>294.32000000000011</v>
      </c>
      <c r="B211" s="105" t="str">
        <f t="shared" ca="1" si="63"/>
        <v>雷循环</v>
      </c>
      <c r="C211" s="105">
        <f t="shared" ca="1" si="64"/>
        <v>0</v>
      </c>
      <c r="D211" s="105">
        <f t="shared" ca="1" si="65"/>
        <v>28.265000000000121</v>
      </c>
      <c r="E211" s="105">
        <f t="shared" ca="1" si="66"/>
        <v>29.17</v>
      </c>
      <c r="F211" s="105">
        <f t="shared" ca="1" si="67"/>
        <v>30.585000000000001</v>
      </c>
      <c r="G211" s="105">
        <f t="shared" ca="1" si="78"/>
        <v>1</v>
      </c>
      <c r="H211" s="105">
        <f t="shared" ca="1" si="79"/>
        <v>20.965000000000025</v>
      </c>
      <c r="I211" s="105">
        <f t="shared" ca="1" si="68"/>
        <v>0</v>
      </c>
      <c r="J211" s="105">
        <f t="shared" ca="1" si="69"/>
        <v>0</v>
      </c>
      <c r="K211" s="105">
        <f t="shared" ca="1" si="70"/>
        <v>12.857500000000002</v>
      </c>
      <c r="L211" s="105">
        <f t="shared" ca="1" si="71"/>
        <v>1</v>
      </c>
      <c r="M211" s="105">
        <f t="shared" ca="1" si="72"/>
        <v>0</v>
      </c>
      <c r="N211" s="105">
        <f t="shared" ca="1" si="71"/>
        <v>0</v>
      </c>
      <c r="O211" s="105">
        <f t="shared" ca="1" si="73"/>
        <v>13.585000000000001</v>
      </c>
      <c r="P211" s="105">
        <f t="shared" ca="1" si="74"/>
        <v>1</v>
      </c>
      <c r="Q211" s="105">
        <f t="shared" ca="1" si="75"/>
        <v>7.1700000000000008</v>
      </c>
      <c r="R211" s="105">
        <f t="shared" ca="1" si="76"/>
        <v>1</v>
      </c>
      <c r="S211" s="105">
        <f t="shared" ca="1" si="77"/>
        <v>10</v>
      </c>
    </row>
    <row r="212" spans="1:19" x14ac:dyDescent="0.35">
      <c r="A212" s="105">
        <f t="shared" ca="1" si="62"/>
        <v>295.73500000000013</v>
      </c>
      <c r="B212" s="105" t="str">
        <f t="shared" ca="1" si="63"/>
        <v>循环</v>
      </c>
      <c r="C212" s="105">
        <f t="shared" ca="1" si="64"/>
        <v>0</v>
      </c>
      <c r="D212" s="105">
        <f t="shared" ca="1" si="65"/>
        <v>26.850000000000122</v>
      </c>
      <c r="E212" s="105">
        <f t="shared" ca="1" si="66"/>
        <v>27.755000000000003</v>
      </c>
      <c r="F212" s="105">
        <f t="shared" ca="1" si="67"/>
        <v>29.17</v>
      </c>
      <c r="G212" s="105">
        <f t="shared" ca="1" si="78"/>
        <v>1</v>
      </c>
      <c r="H212" s="105">
        <f t="shared" ca="1" si="79"/>
        <v>19.550000000000026</v>
      </c>
      <c r="I212" s="105">
        <f t="shared" ca="1" si="68"/>
        <v>0</v>
      </c>
      <c r="J212" s="105">
        <f t="shared" ca="1" si="69"/>
        <v>0</v>
      </c>
      <c r="K212" s="105">
        <f t="shared" ca="1" si="70"/>
        <v>11.442500000000003</v>
      </c>
      <c r="L212" s="105">
        <f t="shared" ca="1" si="71"/>
        <v>1</v>
      </c>
      <c r="M212" s="105">
        <f t="shared" ca="1" si="72"/>
        <v>0</v>
      </c>
      <c r="N212" s="105">
        <f t="shared" ca="1" si="71"/>
        <v>0</v>
      </c>
      <c r="O212" s="105">
        <f t="shared" ca="1" si="73"/>
        <v>12.170000000000002</v>
      </c>
      <c r="P212" s="105">
        <f t="shared" ca="1" si="74"/>
        <v>1</v>
      </c>
      <c r="Q212" s="105">
        <f t="shared" ca="1" si="75"/>
        <v>5.7550000000000008</v>
      </c>
      <c r="R212" s="105">
        <f t="shared" ca="1" si="76"/>
        <v>1</v>
      </c>
      <c r="S212" s="105">
        <f t="shared" ca="1" si="77"/>
        <v>10</v>
      </c>
    </row>
    <row r="213" spans="1:19" x14ac:dyDescent="0.35">
      <c r="A213" s="105">
        <f t="shared" ca="1" si="62"/>
        <v>297.15000000000015</v>
      </c>
      <c r="B213" s="105" t="str">
        <f t="shared" ca="1" si="63"/>
        <v>循环</v>
      </c>
      <c r="C213" s="105">
        <f t="shared" ca="1" si="64"/>
        <v>0</v>
      </c>
      <c r="D213" s="105">
        <f t="shared" ca="1" si="65"/>
        <v>25.435000000000123</v>
      </c>
      <c r="E213" s="105">
        <f t="shared" ca="1" si="66"/>
        <v>26.340000000000003</v>
      </c>
      <c r="F213" s="105">
        <f t="shared" ca="1" si="67"/>
        <v>27.755000000000003</v>
      </c>
      <c r="G213" s="105">
        <f t="shared" ca="1" si="78"/>
        <v>1</v>
      </c>
      <c r="H213" s="105">
        <f t="shared" ca="1" si="79"/>
        <v>18.135000000000026</v>
      </c>
      <c r="I213" s="105">
        <f t="shared" ca="1" si="68"/>
        <v>0</v>
      </c>
      <c r="J213" s="105">
        <f t="shared" ca="1" si="69"/>
        <v>0</v>
      </c>
      <c r="K213" s="105">
        <f t="shared" ca="1" si="70"/>
        <v>10.027500000000003</v>
      </c>
      <c r="L213" s="105">
        <f t="shared" ca="1" si="71"/>
        <v>1</v>
      </c>
      <c r="M213" s="105">
        <f t="shared" ca="1" si="72"/>
        <v>0</v>
      </c>
      <c r="N213" s="105">
        <f t="shared" ca="1" si="71"/>
        <v>0</v>
      </c>
      <c r="O213" s="105">
        <f t="shared" ca="1" si="73"/>
        <v>10.755000000000003</v>
      </c>
      <c r="P213" s="105">
        <f t="shared" ca="1" si="74"/>
        <v>1</v>
      </c>
      <c r="Q213" s="105">
        <f t="shared" ca="1" si="75"/>
        <v>4.3400000000000007</v>
      </c>
      <c r="R213" s="105">
        <f t="shared" ca="1" si="76"/>
        <v>1</v>
      </c>
      <c r="S213" s="105">
        <f t="shared" ca="1" si="77"/>
        <v>10</v>
      </c>
    </row>
    <row r="214" spans="1:19" x14ac:dyDescent="0.35">
      <c r="A214" s="105">
        <f t="shared" ca="1" si="62"/>
        <v>298.56500000000017</v>
      </c>
      <c r="B214" s="105" t="str">
        <f t="shared" ca="1" si="63"/>
        <v>循环</v>
      </c>
      <c r="C214" s="105">
        <f t="shared" ca="1" si="64"/>
        <v>0</v>
      </c>
      <c r="D214" s="105">
        <f t="shared" ca="1" si="65"/>
        <v>24.020000000000124</v>
      </c>
      <c r="E214" s="105">
        <f t="shared" ca="1" si="66"/>
        <v>24.925000000000004</v>
      </c>
      <c r="F214" s="105">
        <f t="shared" ca="1" si="67"/>
        <v>26.340000000000003</v>
      </c>
      <c r="G214" s="105">
        <f t="shared" ca="1" si="78"/>
        <v>1</v>
      </c>
      <c r="H214" s="105">
        <f t="shared" ca="1" si="79"/>
        <v>16.720000000000027</v>
      </c>
      <c r="I214" s="105">
        <f t="shared" ca="1" si="68"/>
        <v>0</v>
      </c>
      <c r="J214" s="105">
        <f t="shared" ca="1" si="69"/>
        <v>0</v>
      </c>
      <c r="K214" s="105">
        <f t="shared" ca="1" si="70"/>
        <v>8.6125000000000043</v>
      </c>
      <c r="L214" s="105">
        <f t="shared" ca="1" si="71"/>
        <v>1</v>
      </c>
      <c r="M214" s="105">
        <f t="shared" ca="1" si="72"/>
        <v>0</v>
      </c>
      <c r="N214" s="105">
        <f t="shared" ca="1" si="71"/>
        <v>0</v>
      </c>
      <c r="O214" s="105">
        <f t="shared" ca="1" si="73"/>
        <v>9.3400000000000034</v>
      </c>
      <c r="P214" s="105">
        <f t="shared" ca="1" si="74"/>
        <v>1</v>
      </c>
      <c r="Q214" s="105">
        <f t="shared" ca="1" si="75"/>
        <v>2.9250000000000007</v>
      </c>
      <c r="R214" s="105">
        <f t="shared" ca="1" si="76"/>
        <v>1</v>
      </c>
      <c r="S214" s="105">
        <f t="shared" ca="1" si="77"/>
        <v>10</v>
      </c>
    </row>
    <row r="215" spans="1:19" x14ac:dyDescent="0.35">
      <c r="A215" s="105">
        <f t="shared" ca="1" si="62"/>
        <v>299.98000000000019</v>
      </c>
      <c r="B215" s="105" t="str">
        <f t="shared" ca="1" si="63"/>
        <v>循环</v>
      </c>
      <c r="C215" s="105">
        <f t="shared" ca="1" si="64"/>
        <v>0</v>
      </c>
      <c r="D215" s="105">
        <f t="shared" ca="1" si="65"/>
        <v>22.605000000000125</v>
      </c>
      <c r="E215" s="105">
        <f t="shared" ca="1" si="66"/>
        <v>23.510000000000005</v>
      </c>
      <c r="F215" s="105">
        <f t="shared" ca="1" si="67"/>
        <v>24.925000000000004</v>
      </c>
      <c r="G215" s="105">
        <f t="shared" ca="1" si="78"/>
        <v>1</v>
      </c>
      <c r="H215" s="105">
        <f t="shared" ca="1" si="79"/>
        <v>15.305000000000028</v>
      </c>
      <c r="I215" s="105">
        <f t="shared" ca="1" si="68"/>
        <v>0</v>
      </c>
      <c r="J215" s="105">
        <f t="shared" ca="1" si="69"/>
        <v>0</v>
      </c>
      <c r="K215" s="105">
        <f t="shared" ca="1" si="70"/>
        <v>7.1975000000000042</v>
      </c>
      <c r="L215" s="105">
        <f t="shared" ca="1" si="71"/>
        <v>1</v>
      </c>
      <c r="M215" s="105">
        <f t="shared" ca="1" si="72"/>
        <v>0</v>
      </c>
      <c r="N215" s="105">
        <f t="shared" ca="1" si="71"/>
        <v>0</v>
      </c>
      <c r="O215" s="105">
        <f t="shared" ca="1" si="73"/>
        <v>7.9250000000000034</v>
      </c>
      <c r="P215" s="105">
        <f t="shared" ca="1" si="74"/>
        <v>1</v>
      </c>
      <c r="Q215" s="105">
        <f t="shared" ca="1" si="75"/>
        <v>1.5100000000000007</v>
      </c>
      <c r="R215" s="105">
        <f t="shared" ca="1" si="76"/>
        <v>1</v>
      </c>
      <c r="S215" s="105">
        <f t="shared" ca="1" si="77"/>
        <v>10</v>
      </c>
    </row>
    <row r="216" spans="1:19" x14ac:dyDescent="0.35">
      <c r="A216" s="105">
        <f t="shared" ca="1" si="62"/>
        <v>301.39500000000021</v>
      </c>
      <c r="B216" s="105" t="str">
        <f t="shared" ca="1" si="63"/>
        <v>循环</v>
      </c>
      <c r="C216" s="105">
        <f t="shared" ca="1" si="64"/>
        <v>0</v>
      </c>
      <c r="D216" s="105">
        <f t="shared" ca="1" si="65"/>
        <v>21.190000000000126</v>
      </c>
      <c r="E216" s="105">
        <f t="shared" ca="1" si="66"/>
        <v>22.095000000000006</v>
      </c>
      <c r="F216" s="105">
        <f t="shared" ca="1" si="67"/>
        <v>23.510000000000005</v>
      </c>
      <c r="G216" s="105">
        <f t="shared" ca="1" si="78"/>
        <v>1</v>
      </c>
      <c r="H216" s="105">
        <f t="shared" ca="1" si="79"/>
        <v>13.890000000000029</v>
      </c>
      <c r="I216" s="105">
        <f t="shared" ca="1" si="68"/>
        <v>0</v>
      </c>
      <c r="J216" s="105">
        <f t="shared" ca="1" si="69"/>
        <v>0</v>
      </c>
      <c r="K216" s="105">
        <f t="shared" ca="1" si="70"/>
        <v>5.7825000000000042</v>
      </c>
      <c r="L216" s="105">
        <f t="shared" ref="L216:L279" ca="1" si="80">IF(K216+K215&gt;0,1,0)</f>
        <v>1</v>
      </c>
      <c r="M216" s="105">
        <f t="shared" ca="1" si="72"/>
        <v>0</v>
      </c>
      <c r="N216" s="105">
        <f t="shared" ref="N216:N279" ca="1" si="81">IF(M216+M215&gt;0,1,0)</f>
        <v>0</v>
      </c>
      <c r="O216" s="105">
        <f t="shared" ca="1" si="73"/>
        <v>6.5100000000000033</v>
      </c>
      <c r="P216" s="105">
        <f t="shared" ca="1" si="74"/>
        <v>1</v>
      </c>
      <c r="Q216" s="105">
        <f t="shared" ca="1" si="75"/>
        <v>9.5000000000000639E-2</v>
      </c>
      <c r="R216" s="105">
        <f t="shared" ca="1" si="76"/>
        <v>1</v>
      </c>
      <c r="S216" s="105">
        <f t="shared" ca="1" si="77"/>
        <v>10</v>
      </c>
    </row>
    <row r="217" spans="1:19" x14ac:dyDescent="0.35">
      <c r="A217" s="105">
        <f t="shared" ca="1" si="62"/>
        <v>302.81000000000023</v>
      </c>
      <c r="B217" s="105" t="str">
        <f t="shared" ca="1" si="63"/>
        <v>循环</v>
      </c>
      <c r="C217" s="105">
        <f t="shared" ca="1" si="64"/>
        <v>0</v>
      </c>
      <c r="D217" s="105">
        <f t="shared" ca="1" si="65"/>
        <v>19.775000000000126</v>
      </c>
      <c r="E217" s="105">
        <f t="shared" ca="1" si="66"/>
        <v>20.680000000000007</v>
      </c>
      <c r="F217" s="105">
        <f t="shared" ca="1" si="67"/>
        <v>22.095000000000006</v>
      </c>
      <c r="G217" s="105">
        <f t="shared" ca="1" si="78"/>
        <v>1</v>
      </c>
      <c r="H217" s="105">
        <f t="shared" ca="1" si="79"/>
        <v>12.47500000000003</v>
      </c>
      <c r="I217" s="105">
        <f t="shared" ca="1" si="68"/>
        <v>0</v>
      </c>
      <c r="J217" s="105">
        <f t="shared" ca="1" si="69"/>
        <v>0</v>
      </c>
      <c r="K217" s="105">
        <f t="shared" ca="1" si="70"/>
        <v>4.3675000000000042</v>
      </c>
      <c r="L217" s="105">
        <f t="shared" ca="1" si="80"/>
        <v>1</v>
      </c>
      <c r="M217" s="105">
        <f t="shared" ca="1" si="72"/>
        <v>0</v>
      </c>
      <c r="N217" s="105">
        <f t="shared" ca="1" si="81"/>
        <v>0</v>
      </c>
      <c r="O217" s="105">
        <f t="shared" ca="1" si="73"/>
        <v>5.0950000000000033</v>
      </c>
      <c r="P217" s="105">
        <f t="shared" ca="1" si="74"/>
        <v>1</v>
      </c>
      <c r="Q217" s="105">
        <f t="shared" ca="1" si="75"/>
        <v>0</v>
      </c>
      <c r="R217" s="105">
        <f t="shared" ca="1" si="76"/>
        <v>1</v>
      </c>
      <c r="S217" s="105">
        <f t="shared" ca="1" si="77"/>
        <v>10</v>
      </c>
    </row>
    <row r="218" spans="1:19" x14ac:dyDescent="0.35">
      <c r="A218" s="105">
        <f t="shared" ca="1" si="62"/>
        <v>304.22500000000025</v>
      </c>
      <c r="B218" s="105" t="str">
        <f t="shared" ca="1" si="63"/>
        <v>循环</v>
      </c>
      <c r="C218" s="105">
        <f t="shared" ca="1" si="64"/>
        <v>0</v>
      </c>
      <c r="D218" s="105">
        <f t="shared" ca="1" si="65"/>
        <v>18.360000000000127</v>
      </c>
      <c r="E218" s="105">
        <f t="shared" ca="1" si="66"/>
        <v>19.265000000000008</v>
      </c>
      <c r="F218" s="105">
        <f t="shared" ca="1" si="67"/>
        <v>20.680000000000007</v>
      </c>
      <c r="G218" s="105">
        <f t="shared" ca="1" si="78"/>
        <v>1</v>
      </c>
      <c r="H218" s="105">
        <f t="shared" ca="1" si="79"/>
        <v>11.060000000000031</v>
      </c>
      <c r="I218" s="105">
        <f t="shared" ca="1" si="68"/>
        <v>0</v>
      </c>
      <c r="J218" s="105">
        <f t="shared" ca="1" si="69"/>
        <v>0</v>
      </c>
      <c r="K218" s="105">
        <f t="shared" ca="1" si="70"/>
        <v>2.9525000000000041</v>
      </c>
      <c r="L218" s="105">
        <f t="shared" ca="1" si="80"/>
        <v>1</v>
      </c>
      <c r="M218" s="105">
        <f t="shared" ca="1" si="72"/>
        <v>0</v>
      </c>
      <c r="N218" s="105">
        <f t="shared" ca="1" si="81"/>
        <v>0</v>
      </c>
      <c r="O218" s="105">
        <f t="shared" ca="1" si="73"/>
        <v>3.6800000000000033</v>
      </c>
      <c r="P218" s="105">
        <f t="shared" ca="1" si="74"/>
        <v>1</v>
      </c>
      <c r="Q218" s="105">
        <f t="shared" ca="1" si="75"/>
        <v>0</v>
      </c>
      <c r="R218" s="105">
        <f t="shared" ca="1" si="76"/>
        <v>0</v>
      </c>
      <c r="S218" s="105">
        <f t="shared" ca="1" si="77"/>
        <v>10</v>
      </c>
    </row>
    <row r="219" spans="1:19" x14ac:dyDescent="0.35">
      <c r="A219" s="105">
        <f t="shared" ca="1" si="62"/>
        <v>305.64000000000027</v>
      </c>
      <c r="B219" s="105" t="str">
        <f t="shared" ca="1" si="63"/>
        <v>循环</v>
      </c>
      <c r="C219" s="105">
        <f t="shared" ca="1" si="64"/>
        <v>0</v>
      </c>
      <c r="D219" s="105">
        <f t="shared" ca="1" si="65"/>
        <v>16.945000000000128</v>
      </c>
      <c r="E219" s="105">
        <f t="shared" ca="1" si="66"/>
        <v>17.850000000000009</v>
      </c>
      <c r="F219" s="105">
        <f t="shared" ca="1" si="67"/>
        <v>19.265000000000008</v>
      </c>
      <c r="G219" s="105">
        <f t="shared" ca="1" si="78"/>
        <v>1</v>
      </c>
      <c r="H219" s="105">
        <f t="shared" ca="1" si="79"/>
        <v>9.6450000000000315</v>
      </c>
      <c r="I219" s="105">
        <f t="shared" ca="1" si="68"/>
        <v>0</v>
      </c>
      <c r="J219" s="105">
        <f t="shared" ca="1" si="69"/>
        <v>0</v>
      </c>
      <c r="K219" s="105">
        <f t="shared" ca="1" si="70"/>
        <v>1.5375000000000041</v>
      </c>
      <c r="L219" s="105">
        <f t="shared" ca="1" si="80"/>
        <v>1</v>
      </c>
      <c r="M219" s="105">
        <f t="shared" ca="1" si="72"/>
        <v>0</v>
      </c>
      <c r="N219" s="105">
        <f t="shared" ca="1" si="81"/>
        <v>0</v>
      </c>
      <c r="O219" s="105">
        <f t="shared" ca="1" si="73"/>
        <v>2.2650000000000032</v>
      </c>
      <c r="P219" s="105">
        <f t="shared" ca="1" si="74"/>
        <v>1</v>
      </c>
      <c r="Q219" s="105">
        <f t="shared" ca="1" si="75"/>
        <v>0</v>
      </c>
      <c r="R219" s="105">
        <f t="shared" ca="1" si="76"/>
        <v>0</v>
      </c>
      <c r="S219" s="105">
        <f t="shared" ca="1" si="77"/>
        <v>10</v>
      </c>
    </row>
    <row r="220" spans="1:19" x14ac:dyDescent="0.35">
      <c r="A220" s="105">
        <f t="shared" ca="1" si="62"/>
        <v>307.05500000000029</v>
      </c>
      <c r="B220" s="105" t="str">
        <f t="shared" ca="1" si="63"/>
        <v>循环</v>
      </c>
      <c r="C220" s="105">
        <f t="shared" ca="1" si="64"/>
        <v>0</v>
      </c>
      <c r="D220" s="105">
        <f t="shared" ca="1" si="65"/>
        <v>15.530000000000129</v>
      </c>
      <c r="E220" s="105">
        <f t="shared" ca="1" si="66"/>
        <v>16.435000000000009</v>
      </c>
      <c r="F220" s="105">
        <f t="shared" ca="1" si="67"/>
        <v>17.850000000000009</v>
      </c>
      <c r="G220" s="105">
        <f t="shared" ca="1" si="78"/>
        <v>1</v>
      </c>
      <c r="H220" s="105">
        <f t="shared" ca="1" si="79"/>
        <v>8.2300000000000324</v>
      </c>
      <c r="I220" s="105">
        <f t="shared" ca="1" si="68"/>
        <v>0</v>
      </c>
      <c r="J220" s="105">
        <f t="shared" ca="1" si="69"/>
        <v>0</v>
      </c>
      <c r="K220" s="105">
        <f t="shared" ca="1" si="70"/>
        <v>0.12250000000000405</v>
      </c>
      <c r="L220" s="105">
        <f t="shared" ca="1" si="80"/>
        <v>1</v>
      </c>
      <c r="M220" s="105">
        <f t="shared" ca="1" si="72"/>
        <v>0</v>
      </c>
      <c r="N220" s="105">
        <f t="shared" ca="1" si="81"/>
        <v>0</v>
      </c>
      <c r="O220" s="105">
        <f t="shared" ca="1" si="73"/>
        <v>0.8500000000000032</v>
      </c>
      <c r="P220" s="105">
        <f t="shared" ca="1" si="74"/>
        <v>1</v>
      </c>
      <c r="Q220" s="105">
        <f t="shared" ca="1" si="75"/>
        <v>0</v>
      </c>
      <c r="R220" s="105">
        <f t="shared" ca="1" si="76"/>
        <v>0</v>
      </c>
      <c r="S220" s="105">
        <f t="shared" ca="1" si="77"/>
        <v>10</v>
      </c>
    </row>
    <row r="221" spans="1:19" x14ac:dyDescent="0.35">
      <c r="A221" s="105">
        <f t="shared" ca="1" si="62"/>
        <v>308.47000000000031</v>
      </c>
      <c r="B221" s="105" t="str">
        <f t="shared" ca="1" si="63"/>
        <v>循环</v>
      </c>
      <c r="C221" s="105">
        <f t="shared" ca="1" si="64"/>
        <v>0</v>
      </c>
      <c r="D221" s="105">
        <f t="shared" ca="1" si="65"/>
        <v>14.11500000000013</v>
      </c>
      <c r="E221" s="105">
        <f t="shared" ca="1" si="66"/>
        <v>15.02000000000001</v>
      </c>
      <c r="F221" s="105">
        <f t="shared" ca="1" si="67"/>
        <v>16.435000000000009</v>
      </c>
      <c r="G221" s="105">
        <f t="shared" ca="1" si="78"/>
        <v>1</v>
      </c>
      <c r="H221" s="105">
        <f t="shared" ca="1" si="79"/>
        <v>6.8150000000000324</v>
      </c>
      <c r="I221" s="105">
        <f t="shared" ca="1" si="68"/>
        <v>0</v>
      </c>
      <c r="J221" s="105">
        <f t="shared" ca="1" si="69"/>
        <v>0</v>
      </c>
      <c r="K221" s="105">
        <f t="shared" ca="1" si="70"/>
        <v>0</v>
      </c>
      <c r="L221" s="105">
        <f t="shared" ca="1" si="80"/>
        <v>1</v>
      </c>
      <c r="M221" s="105">
        <f t="shared" ca="1" si="72"/>
        <v>0</v>
      </c>
      <c r="N221" s="105">
        <f t="shared" ca="1" si="81"/>
        <v>0</v>
      </c>
      <c r="O221" s="105">
        <f t="shared" ca="1" si="73"/>
        <v>0</v>
      </c>
      <c r="P221" s="105">
        <f t="shared" ca="1" si="74"/>
        <v>1</v>
      </c>
      <c r="Q221" s="105">
        <f t="shared" ca="1" si="75"/>
        <v>0</v>
      </c>
      <c r="R221" s="105">
        <f t="shared" ca="1" si="76"/>
        <v>0</v>
      </c>
      <c r="S221" s="105">
        <f t="shared" ca="1" si="77"/>
        <v>10</v>
      </c>
    </row>
    <row r="222" spans="1:19" x14ac:dyDescent="0.35">
      <c r="A222" s="105">
        <f t="shared" ca="1" si="62"/>
        <v>309.88500000000033</v>
      </c>
      <c r="B222" s="105" t="str">
        <f t="shared" ca="1" si="63"/>
        <v>循环</v>
      </c>
      <c r="C222" s="105">
        <f t="shared" ca="1" si="64"/>
        <v>0</v>
      </c>
      <c r="D222" s="105">
        <f t="shared" ca="1" si="65"/>
        <v>12.700000000000131</v>
      </c>
      <c r="E222" s="105">
        <f t="shared" ca="1" si="66"/>
        <v>13.605000000000011</v>
      </c>
      <c r="F222" s="105">
        <f t="shared" ca="1" si="67"/>
        <v>15.02000000000001</v>
      </c>
      <c r="G222" s="105">
        <f t="shared" ca="1" si="78"/>
        <v>1</v>
      </c>
      <c r="H222" s="105">
        <f t="shared" ca="1" si="79"/>
        <v>5.4000000000000323</v>
      </c>
      <c r="I222" s="105">
        <f t="shared" ca="1" si="68"/>
        <v>0</v>
      </c>
      <c r="J222" s="105">
        <f t="shared" ca="1" si="69"/>
        <v>0</v>
      </c>
      <c r="K222" s="105">
        <f t="shared" ca="1" si="70"/>
        <v>0</v>
      </c>
      <c r="L222" s="105">
        <f t="shared" ca="1" si="80"/>
        <v>0</v>
      </c>
      <c r="M222" s="105">
        <f t="shared" ca="1" si="72"/>
        <v>0</v>
      </c>
      <c r="N222" s="105">
        <f t="shared" ca="1" si="81"/>
        <v>0</v>
      </c>
      <c r="O222" s="105">
        <f t="shared" ca="1" si="73"/>
        <v>0</v>
      </c>
      <c r="P222" s="105">
        <f t="shared" ca="1" si="74"/>
        <v>0</v>
      </c>
      <c r="Q222" s="105">
        <f t="shared" ca="1" si="75"/>
        <v>0</v>
      </c>
      <c r="R222" s="105">
        <f t="shared" ca="1" si="76"/>
        <v>0</v>
      </c>
      <c r="S222" s="105">
        <f t="shared" ca="1" si="77"/>
        <v>10</v>
      </c>
    </row>
    <row r="223" spans="1:19" x14ac:dyDescent="0.35">
      <c r="A223" s="105">
        <f t="shared" ca="1" si="62"/>
        <v>311.30000000000035</v>
      </c>
      <c r="B223" s="105">
        <f t="shared" ca="1" si="63"/>
        <v>0</v>
      </c>
      <c r="C223" s="105">
        <f t="shared" ca="1" si="64"/>
        <v>0</v>
      </c>
      <c r="D223" s="105">
        <f t="shared" ca="1" si="65"/>
        <v>11.285000000000132</v>
      </c>
      <c r="E223" s="105">
        <f t="shared" ca="1" si="66"/>
        <v>12.190000000000012</v>
      </c>
      <c r="F223" s="105">
        <f t="shared" ca="1" si="67"/>
        <v>13.605000000000011</v>
      </c>
      <c r="G223" s="105">
        <f t="shared" ca="1" si="78"/>
        <v>1</v>
      </c>
      <c r="H223" s="105">
        <f t="shared" ca="1" si="79"/>
        <v>3.9850000000000323</v>
      </c>
      <c r="I223" s="105">
        <f t="shared" ca="1" si="68"/>
        <v>0</v>
      </c>
      <c r="J223" s="105">
        <f t="shared" ca="1" si="69"/>
        <v>0</v>
      </c>
      <c r="K223" s="105">
        <f t="shared" ca="1" si="70"/>
        <v>0</v>
      </c>
      <c r="L223" s="105">
        <f t="shared" ca="1" si="80"/>
        <v>0</v>
      </c>
      <c r="M223" s="105">
        <f t="shared" ca="1" si="72"/>
        <v>0</v>
      </c>
      <c r="N223" s="105">
        <f t="shared" ca="1" si="81"/>
        <v>0</v>
      </c>
      <c r="O223" s="105">
        <f t="shared" ca="1" si="73"/>
        <v>0</v>
      </c>
      <c r="P223" s="105">
        <f t="shared" ca="1" si="74"/>
        <v>0</v>
      </c>
      <c r="Q223" s="105">
        <f t="shared" ca="1" si="75"/>
        <v>0</v>
      </c>
      <c r="R223" s="105">
        <f t="shared" ca="1" si="76"/>
        <v>0</v>
      </c>
      <c r="S223" s="105">
        <f t="shared" ca="1" si="77"/>
        <v>10</v>
      </c>
    </row>
    <row r="224" spans="1:19" x14ac:dyDescent="0.35">
      <c r="A224" s="105">
        <f t="shared" ca="1" si="62"/>
        <v>312.71500000000037</v>
      </c>
      <c r="B224" s="105">
        <f t="shared" ca="1" si="63"/>
        <v>0</v>
      </c>
      <c r="C224" s="105">
        <f t="shared" ca="1" si="64"/>
        <v>0</v>
      </c>
      <c r="D224" s="105">
        <f t="shared" ca="1" si="65"/>
        <v>9.8700000000001324</v>
      </c>
      <c r="E224" s="105">
        <f t="shared" ca="1" si="66"/>
        <v>10.775000000000013</v>
      </c>
      <c r="F224" s="105">
        <f t="shared" ca="1" si="67"/>
        <v>12.190000000000012</v>
      </c>
      <c r="G224" s="105">
        <f t="shared" ca="1" si="78"/>
        <v>1</v>
      </c>
      <c r="H224" s="105">
        <f t="shared" ca="1" si="79"/>
        <v>2.5700000000000323</v>
      </c>
      <c r="I224" s="105">
        <f t="shared" ca="1" si="68"/>
        <v>0</v>
      </c>
      <c r="J224" s="105">
        <f t="shared" ca="1" si="69"/>
        <v>0</v>
      </c>
      <c r="K224" s="105">
        <f t="shared" ca="1" si="70"/>
        <v>0</v>
      </c>
      <c r="L224" s="105">
        <f t="shared" ca="1" si="80"/>
        <v>0</v>
      </c>
      <c r="M224" s="105">
        <f t="shared" ca="1" si="72"/>
        <v>0</v>
      </c>
      <c r="N224" s="105">
        <f t="shared" ca="1" si="81"/>
        <v>0</v>
      </c>
      <c r="O224" s="105">
        <f t="shared" ca="1" si="73"/>
        <v>0</v>
      </c>
      <c r="P224" s="105">
        <f t="shared" ca="1" si="74"/>
        <v>0</v>
      </c>
      <c r="Q224" s="105">
        <f t="shared" ca="1" si="75"/>
        <v>0</v>
      </c>
      <c r="R224" s="105">
        <f t="shared" ca="1" si="76"/>
        <v>0</v>
      </c>
      <c r="S224" s="105">
        <f t="shared" ca="1" si="77"/>
        <v>10</v>
      </c>
    </row>
    <row r="225" spans="1:19" x14ac:dyDescent="0.35">
      <c r="A225" s="105">
        <f t="shared" ca="1" si="62"/>
        <v>314.13000000000039</v>
      </c>
      <c r="B225" s="105">
        <f t="shared" ca="1" si="63"/>
        <v>0</v>
      </c>
      <c r="C225" s="105">
        <f t="shared" ca="1" si="64"/>
        <v>0</v>
      </c>
      <c r="D225" s="105">
        <f t="shared" ca="1" si="65"/>
        <v>8.4550000000001333</v>
      </c>
      <c r="E225" s="105">
        <f t="shared" ca="1" si="66"/>
        <v>9.3600000000000136</v>
      </c>
      <c r="F225" s="105">
        <f t="shared" ca="1" si="67"/>
        <v>10.775000000000013</v>
      </c>
      <c r="G225" s="105">
        <f t="shared" ca="1" si="78"/>
        <v>1</v>
      </c>
      <c r="H225" s="105">
        <f t="shared" ca="1" si="79"/>
        <v>1.1550000000000322</v>
      </c>
      <c r="I225" s="105">
        <f t="shared" ca="1" si="68"/>
        <v>0</v>
      </c>
      <c r="J225" s="105">
        <f t="shared" ca="1" si="69"/>
        <v>0</v>
      </c>
      <c r="K225" s="105">
        <f t="shared" ca="1" si="70"/>
        <v>0</v>
      </c>
      <c r="L225" s="105">
        <f t="shared" ca="1" si="80"/>
        <v>0</v>
      </c>
      <c r="M225" s="105">
        <f t="shared" ca="1" si="72"/>
        <v>0</v>
      </c>
      <c r="N225" s="105">
        <f t="shared" ca="1" si="81"/>
        <v>0</v>
      </c>
      <c r="O225" s="105">
        <f t="shared" ca="1" si="73"/>
        <v>0</v>
      </c>
      <c r="P225" s="105">
        <f t="shared" ca="1" si="74"/>
        <v>0</v>
      </c>
      <c r="Q225" s="105">
        <f t="shared" ca="1" si="75"/>
        <v>0</v>
      </c>
      <c r="R225" s="105">
        <f t="shared" ca="1" si="76"/>
        <v>0</v>
      </c>
      <c r="S225" s="105">
        <f t="shared" ca="1" si="77"/>
        <v>10</v>
      </c>
    </row>
    <row r="226" spans="1:19" x14ac:dyDescent="0.35">
      <c r="A226" s="105">
        <f t="shared" ca="1" si="62"/>
        <v>315.54500000000041</v>
      </c>
      <c r="B226" s="105">
        <f t="shared" ca="1" si="63"/>
        <v>0</v>
      </c>
      <c r="C226" s="105">
        <f t="shared" ca="1" si="64"/>
        <v>0</v>
      </c>
      <c r="D226" s="105">
        <f t="shared" ca="1" si="65"/>
        <v>7.0400000000001333</v>
      </c>
      <c r="E226" s="105">
        <f t="shared" ca="1" si="66"/>
        <v>7.9450000000000136</v>
      </c>
      <c r="F226" s="105">
        <f t="shared" ca="1" si="67"/>
        <v>9.3600000000000136</v>
      </c>
      <c r="G226" s="105">
        <f t="shared" ca="1" si="78"/>
        <v>1</v>
      </c>
      <c r="H226" s="105">
        <f t="shared" ca="1" si="79"/>
        <v>0</v>
      </c>
      <c r="I226" s="105">
        <f t="shared" ca="1" si="68"/>
        <v>0</v>
      </c>
      <c r="J226" s="105">
        <f t="shared" ca="1" si="69"/>
        <v>0</v>
      </c>
      <c r="K226" s="105">
        <f t="shared" ca="1" si="70"/>
        <v>0</v>
      </c>
      <c r="L226" s="105">
        <f t="shared" ca="1" si="80"/>
        <v>0</v>
      </c>
      <c r="M226" s="105">
        <f t="shared" ca="1" si="72"/>
        <v>0</v>
      </c>
      <c r="N226" s="105">
        <f t="shared" ca="1" si="81"/>
        <v>0</v>
      </c>
      <c r="O226" s="105">
        <f t="shared" ca="1" si="73"/>
        <v>0</v>
      </c>
      <c r="P226" s="105">
        <f t="shared" ca="1" si="74"/>
        <v>0</v>
      </c>
      <c r="Q226" s="105">
        <f t="shared" ca="1" si="75"/>
        <v>0</v>
      </c>
      <c r="R226" s="105">
        <f t="shared" ca="1" si="76"/>
        <v>0</v>
      </c>
      <c r="S226" s="105">
        <f t="shared" ca="1" si="77"/>
        <v>10</v>
      </c>
    </row>
    <row r="227" spans="1:19" x14ac:dyDescent="0.35">
      <c r="A227" s="105">
        <f t="shared" ca="1" si="62"/>
        <v>316.96000000000043</v>
      </c>
      <c r="B227" s="105">
        <f t="shared" ca="1" si="63"/>
        <v>0</v>
      </c>
      <c r="C227" s="105">
        <f t="shared" ca="1" si="64"/>
        <v>0</v>
      </c>
      <c r="D227" s="105">
        <f t="shared" ca="1" si="65"/>
        <v>5.6250000000001332</v>
      </c>
      <c r="E227" s="105">
        <f t="shared" ca="1" si="66"/>
        <v>6.5300000000000136</v>
      </c>
      <c r="F227" s="105">
        <f t="shared" ca="1" si="67"/>
        <v>7.9450000000000136</v>
      </c>
      <c r="G227" s="105">
        <f t="shared" ca="1" si="78"/>
        <v>0</v>
      </c>
      <c r="H227" s="105">
        <f t="shared" ca="1" si="79"/>
        <v>0</v>
      </c>
      <c r="I227" s="105">
        <f t="shared" ca="1" si="68"/>
        <v>0</v>
      </c>
      <c r="J227" s="105">
        <f t="shared" ca="1" si="69"/>
        <v>0</v>
      </c>
      <c r="K227" s="105">
        <f t="shared" ca="1" si="70"/>
        <v>0</v>
      </c>
      <c r="L227" s="105">
        <f t="shared" ca="1" si="80"/>
        <v>0</v>
      </c>
      <c r="M227" s="105">
        <f t="shared" ca="1" si="72"/>
        <v>0</v>
      </c>
      <c r="N227" s="105">
        <f t="shared" ca="1" si="81"/>
        <v>0</v>
      </c>
      <c r="O227" s="105">
        <f t="shared" ca="1" si="73"/>
        <v>0</v>
      </c>
      <c r="P227" s="105">
        <f t="shared" ca="1" si="74"/>
        <v>0</v>
      </c>
      <c r="Q227" s="105">
        <f t="shared" ca="1" si="75"/>
        <v>0</v>
      </c>
      <c r="R227" s="105">
        <f t="shared" ca="1" si="76"/>
        <v>0</v>
      </c>
      <c r="S227" s="105">
        <f t="shared" ca="1" si="77"/>
        <v>10</v>
      </c>
    </row>
    <row r="228" spans="1:19" x14ac:dyDescent="0.35">
      <c r="A228" s="105">
        <f t="shared" ca="1" si="62"/>
        <v>318.37500000000045</v>
      </c>
      <c r="B228" s="105">
        <f t="shared" ca="1" si="63"/>
        <v>0</v>
      </c>
      <c r="C228" s="105">
        <f t="shared" ca="1" si="64"/>
        <v>0</v>
      </c>
      <c r="D228" s="105">
        <f t="shared" ca="1" si="65"/>
        <v>4.2100000000001332</v>
      </c>
      <c r="E228" s="105">
        <f t="shared" ca="1" si="66"/>
        <v>5.1150000000000135</v>
      </c>
      <c r="F228" s="105">
        <f t="shared" ca="1" si="67"/>
        <v>6.5300000000000136</v>
      </c>
      <c r="G228" s="105">
        <f t="shared" ca="1" si="78"/>
        <v>0</v>
      </c>
      <c r="H228" s="105">
        <f t="shared" ca="1" si="79"/>
        <v>0</v>
      </c>
      <c r="I228" s="105">
        <f t="shared" ca="1" si="68"/>
        <v>0</v>
      </c>
      <c r="J228" s="105">
        <f t="shared" ca="1" si="69"/>
        <v>0</v>
      </c>
      <c r="K228" s="105">
        <f t="shared" ca="1" si="70"/>
        <v>0</v>
      </c>
      <c r="L228" s="105">
        <f t="shared" ca="1" si="80"/>
        <v>0</v>
      </c>
      <c r="M228" s="105">
        <f t="shared" ca="1" si="72"/>
        <v>0</v>
      </c>
      <c r="N228" s="105">
        <f t="shared" ca="1" si="81"/>
        <v>0</v>
      </c>
      <c r="O228" s="105">
        <f t="shared" ca="1" si="73"/>
        <v>0</v>
      </c>
      <c r="P228" s="105">
        <f t="shared" ca="1" si="74"/>
        <v>0</v>
      </c>
      <c r="Q228" s="105">
        <f t="shared" ca="1" si="75"/>
        <v>0</v>
      </c>
      <c r="R228" s="105">
        <f t="shared" ca="1" si="76"/>
        <v>0</v>
      </c>
      <c r="S228" s="105">
        <f t="shared" ca="1" si="77"/>
        <v>10</v>
      </c>
    </row>
    <row r="229" spans="1:19" x14ac:dyDescent="0.35">
      <c r="A229" s="105">
        <f t="shared" ca="1" si="62"/>
        <v>319.79000000000048</v>
      </c>
      <c r="B229" s="105">
        <f t="shared" ca="1" si="63"/>
        <v>0</v>
      </c>
      <c r="C229" s="105">
        <f t="shared" ca="1" si="64"/>
        <v>0</v>
      </c>
      <c r="D229" s="105">
        <f t="shared" ca="1" si="65"/>
        <v>2.7950000000001332</v>
      </c>
      <c r="E229" s="105">
        <f t="shared" ca="1" si="66"/>
        <v>3.7000000000000135</v>
      </c>
      <c r="F229" s="105">
        <f t="shared" ca="1" si="67"/>
        <v>5.1150000000000135</v>
      </c>
      <c r="G229" s="105">
        <f t="shared" ca="1" si="78"/>
        <v>0</v>
      </c>
      <c r="H229" s="105">
        <f t="shared" ca="1" si="79"/>
        <v>0</v>
      </c>
      <c r="I229" s="105">
        <f t="shared" ca="1" si="68"/>
        <v>0</v>
      </c>
      <c r="J229" s="105">
        <f t="shared" ca="1" si="69"/>
        <v>0</v>
      </c>
      <c r="K229" s="105">
        <f t="shared" ca="1" si="70"/>
        <v>0</v>
      </c>
      <c r="L229" s="105">
        <f t="shared" ca="1" si="80"/>
        <v>0</v>
      </c>
      <c r="M229" s="105">
        <f t="shared" ca="1" si="72"/>
        <v>0</v>
      </c>
      <c r="N229" s="105">
        <f t="shared" ca="1" si="81"/>
        <v>0</v>
      </c>
      <c r="O229" s="105">
        <f t="shared" ca="1" si="73"/>
        <v>0</v>
      </c>
      <c r="P229" s="105">
        <f t="shared" ca="1" si="74"/>
        <v>0</v>
      </c>
      <c r="Q229" s="105">
        <f t="shared" ca="1" si="75"/>
        <v>0</v>
      </c>
      <c r="R229" s="105">
        <f t="shared" ca="1" si="76"/>
        <v>0</v>
      </c>
      <c r="S229" s="105">
        <f t="shared" ca="1" si="77"/>
        <v>10</v>
      </c>
    </row>
    <row r="230" spans="1:19" x14ac:dyDescent="0.35">
      <c r="A230" s="105">
        <f t="shared" ca="1" si="62"/>
        <v>321.2050000000005</v>
      </c>
      <c r="B230" s="105">
        <f t="shared" ca="1" si="63"/>
        <v>0</v>
      </c>
      <c r="C230" s="105">
        <f t="shared" ca="1" si="64"/>
        <v>0</v>
      </c>
      <c r="D230" s="105">
        <f t="shared" ca="1" si="65"/>
        <v>1.3800000000001331</v>
      </c>
      <c r="E230" s="105">
        <f t="shared" ca="1" si="66"/>
        <v>2.2850000000000135</v>
      </c>
      <c r="F230" s="105">
        <f t="shared" ca="1" si="67"/>
        <v>3.7000000000000135</v>
      </c>
      <c r="G230" s="105">
        <f t="shared" ca="1" si="78"/>
        <v>0</v>
      </c>
      <c r="H230" s="105">
        <f t="shared" ca="1" si="79"/>
        <v>0</v>
      </c>
      <c r="I230" s="105">
        <f t="shared" ca="1" si="68"/>
        <v>0</v>
      </c>
      <c r="J230" s="105">
        <f t="shared" ca="1" si="69"/>
        <v>0</v>
      </c>
      <c r="K230" s="105">
        <f t="shared" ca="1" si="70"/>
        <v>0</v>
      </c>
      <c r="L230" s="105">
        <f t="shared" ca="1" si="80"/>
        <v>0</v>
      </c>
      <c r="M230" s="105">
        <f t="shared" ca="1" si="72"/>
        <v>0</v>
      </c>
      <c r="N230" s="105">
        <f t="shared" ca="1" si="81"/>
        <v>0</v>
      </c>
      <c r="O230" s="105">
        <f t="shared" ca="1" si="73"/>
        <v>0</v>
      </c>
      <c r="P230" s="105">
        <f t="shared" ca="1" si="74"/>
        <v>0</v>
      </c>
      <c r="Q230" s="105">
        <f t="shared" ca="1" si="75"/>
        <v>0</v>
      </c>
      <c r="R230" s="105">
        <f t="shared" ca="1" si="76"/>
        <v>0</v>
      </c>
      <c r="S230" s="105">
        <f t="shared" ca="1" si="77"/>
        <v>10</v>
      </c>
    </row>
    <row r="231" spans="1:19" x14ac:dyDescent="0.35">
      <c r="A231" s="105">
        <f t="shared" ca="1" si="62"/>
        <v>322.62000000000052</v>
      </c>
      <c r="B231" s="105">
        <f t="shared" ca="1" si="63"/>
        <v>0</v>
      </c>
      <c r="C231" s="105">
        <f t="shared" ca="1" si="64"/>
        <v>1</v>
      </c>
      <c r="D231" s="105">
        <f t="shared" ca="1" si="65"/>
        <v>35.965000000000131</v>
      </c>
      <c r="E231" s="105">
        <f t="shared" ca="1" si="66"/>
        <v>0.87000000000001343</v>
      </c>
      <c r="F231" s="105">
        <f t="shared" ca="1" si="67"/>
        <v>2.2850000000000135</v>
      </c>
      <c r="G231" s="105">
        <f t="shared" ca="1" si="78"/>
        <v>0</v>
      </c>
      <c r="H231" s="105">
        <f t="shared" ca="1" si="79"/>
        <v>0</v>
      </c>
      <c r="I231" s="105">
        <f t="shared" ca="1" si="68"/>
        <v>0</v>
      </c>
      <c r="J231" s="105">
        <f t="shared" ca="1" si="69"/>
        <v>0</v>
      </c>
      <c r="K231" s="105">
        <f t="shared" ca="1" si="70"/>
        <v>0</v>
      </c>
      <c r="L231" s="105">
        <f t="shared" ca="1" si="80"/>
        <v>0</v>
      </c>
      <c r="M231" s="105">
        <f t="shared" ca="1" si="72"/>
        <v>0</v>
      </c>
      <c r="N231" s="105">
        <f t="shared" ca="1" si="81"/>
        <v>0</v>
      </c>
      <c r="O231" s="105">
        <f t="shared" ca="1" si="73"/>
        <v>0</v>
      </c>
      <c r="P231" s="105">
        <f t="shared" ca="1" si="74"/>
        <v>0</v>
      </c>
      <c r="Q231" s="105">
        <f t="shared" ca="1" si="75"/>
        <v>0</v>
      </c>
      <c r="R231" s="105">
        <f t="shared" ca="1" si="76"/>
        <v>0</v>
      </c>
      <c r="S231" s="105">
        <f t="shared" ca="1" si="77"/>
        <v>10</v>
      </c>
    </row>
    <row r="232" spans="1:19" x14ac:dyDescent="0.35">
      <c r="A232" s="105">
        <f t="shared" ca="1" si="62"/>
        <v>324.03500000000054</v>
      </c>
      <c r="B232" s="105">
        <f t="shared" ca="1" si="63"/>
        <v>0</v>
      </c>
      <c r="C232" s="105">
        <f t="shared" ca="1" si="64"/>
        <v>1</v>
      </c>
      <c r="D232" s="105">
        <f t="shared" ca="1" si="65"/>
        <v>34.550000000000132</v>
      </c>
      <c r="E232" s="105">
        <f t="shared" ca="1" si="66"/>
        <v>0</v>
      </c>
      <c r="F232" s="105">
        <f t="shared" ca="1" si="67"/>
        <v>0.87000000000001343</v>
      </c>
      <c r="G232" s="105">
        <f t="shared" ca="1" si="78"/>
        <v>0</v>
      </c>
      <c r="H232" s="105">
        <f t="shared" ca="1" si="79"/>
        <v>0</v>
      </c>
      <c r="I232" s="105">
        <f t="shared" ca="1" si="68"/>
        <v>0</v>
      </c>
      <c r="J232" s="105">
        <f t="shared" ca="1" si="69"/>
        <v>0</v>
      </c>
      <c r="K232" s="105">
        <f t="shared" ca="1" si="70"/>
        <v>0</v>
      </c>
      <c r="L232" s="105">
        <f t="shared" ca="1" si="80"/>
        <v>0</v>
      </c>
      <c r="M232" s="105">
        <f t="shared" ca="1" si="72"/>
        <v>0</v>
      </c>
      <c r="N232" s="105">
        <f t="shared" ca="1" si="81"/>
        <v>0</v>
      </c>
      <c r="O232" s="105">
        <f t="shared" ca="1" si="73"/>
        <v>0</v>
      </c>
      <c r="P232" s="105">
        <f t="shared" ca="1" si="74"/>
        <v>0</v>
      </c>
      <c r="Q232" s="105">
        <f t="shared" ca="1" si="75"/>
        <v>0</v>
      </c>
      <c r="R232" s="105">
        <f t="shared" ca="1" si="76"/>
        <v>0</v>
      </c>
      <c r="S232" s="105">
        <f t="shared" ca="1" si="77"/>
        <v>10</v>
      </c>
    </row>
    <row r="233" spans="1:19" x14ac:dyDescent="0.35">
      <c r="A233" s="105">
        <f t="shared" ca="1" si="62"/>
        <v>325.45000000000056</v>
      </c>
      <c r="B233" s="105">
        <f t="shared" ca="1" si="63"/>
        <v>0</v>
      </c>
      <c r="C233" s="105">
        <f t="shared" ca="1" si="64"/>
        <v>1</v>
      </c>
      <c r="D233" s="105">
        <f t="shared" ca="1" si="65"/>
        <v>33.135000000000133</v>
      </c>
      <c r="E233" s="105">
        <f t="shared" ca="1" si="66"/>
        <v>0</v>
      </c>
      <c r="F233" s="105">
        <f t="shared" ca="1" si="67"/>
        <v>0</v>
      </c>
      <c r="G233" s="105">
        <f t="shared" ca="1" si="78"/>
        <v>0</v>
      </c>
      <c r="H233" s="105">
        <f t="shared" ca="1" si="79"/>
        <v>0</v>
      </c>
      <c r="I233" s="105">
        <f t="shared" ca="1" si="68"/>
        <v>0</v>
      </c>
      <c r="J233" s="105">
        <f t="shared" ca="1" si="69"/>
        <v>0</v>
      </c>
      <c r="K233" s="105">
        <f t="shared" ca="1" si="70"/>
        <v>0</v>
      </c>
      <c r="L233" s="105">
        <f t="shared" ca="1" si="80"/>
        <v>0</v>
      </c>
      <c r="M233" s="105">
        <f t="shared" ca="1" si="72"/>
        <v>0</v>
      </c>
      <c r="N233" s="105">
        <f t="shared" ca="1" si="81"/>
        <v>0</v>
      </c>
      <c r="O233" s="105">
        <f t="shared" ca="1" si="73"/>
        <v>0</v>
      </c>
      <c r="P233" s="105">
        <f t="shared" ca="1" si="74"/>
        <v>0</v>
      </c>
      <c r="Q233" s="105">
        <f t="shared" ca="1" si="75"/>
        <v>0</v>
      </c>
      <c r="R233" s="105">
        <f t="shared" ca="1" si="76"/>
        <v>0</v>
      </c>
      <c r="S233" s="105">
        <f t="shared" ca="1" si="77"/>
        <v>10</v>
      </c>
    </row>
    <row r="234" spans="1:19" x14ac:dyDescent="0.35">
      <c r="A234" s="105">
        <f t="shared" ca="1" si="62"/>
        <v>326.86500000000058</v>
      </c>
      <c r="B234" s="105">
        <f t="shared" ca="1" si="63"/>
        <v>0</v>
      </c>
      <c r="C234" s="105">
        <f t="shared" ca="1" si="64"/>
        <v>1</v>
      </c>
      <c r="D234" s="105">
        <f t="shared" ca="1" si="65"/>
        <v>31.720000000000134</v>
      </c>
      <c r="E234" s="105">
        <f t="shared" ca="1" si="66"/>
        <v>0</v>
      </c>
      <c r="F234" s="105">
        <f t="shared" ca="1" si="67"/>
        <v>0</v>
      </c>
      <c r="G234" s="105">
        <f t="shared" ca="1" si="78"/>
        <v>0</v>
      </c>
      <c r="H234" s="105">
        <f t="shared" ca="1" si="79"/>
        <v>0</v>
      </c>
      <c r="I234" s="105">
        <f t="shared" ca="1" si="68"/>
        <v>0</v>
      </c>
      <c r="J234" s="105">
        <f t="shared" ca="1" si="69"/>
        <v>0</v>
      </c>
      <c r="K234" s="105">
        <f t="shared" ca="1" si="70"/>
        <v>0</v>
      </c>
      <c r="L234" s="105">
        <f t="shared" ca="1" si="80"/>
        <v>0</v>
      </c>
      <c r="M234" s="105">
        <f t="shared" ca="1" si="72"/>
        <v>0</v>
      </c>
      <c r="N234" s="105">
        <f t="shared" ca="1" si="81"/>
        <v>0</v>
      </c>
      <c r="O234" s="105">
        <f t="shared" ca="1" si="73"/>
        <v>0</v>
      </c>
      <c r="P234" s="105">
        <f t="shared" ca="1" si="74"/>
        <v>0</v>
      </c>
      <c r="Q234" s="105">
        <f t="shared" ca="1" si="75"/>
        <v>0</v>
      </c>
      <c r="R234" s="105">
        <f t="shared" ca="1" si="76"/>
        <v>0</v>
      </c>
      <c r="S234" s="105">
        <f t="shared" ca="1" si="77"/>
        <v>10</v>
      </c>
    </row>
    <row r="235" spans="1:19" x14ac:dyDescent="0.35">
      <c r="A235" s="105">
        <f t="shared" ca="1" si="62"/>
        <v>328.2800000000006</v>
      </c>
      <c r="B235" s="105">
        <f t="shared" ca="1" si="63"/>
        <v>0</v>
      </c>
      <c r="C235" s="105">
        <f t="shared" ca="1" si="64"/>
        <v>1</v>
      </c>
      <c r="D235" s="105">
        <f t="shared" ca="1" si="65"/>
        <v>30.305000000000135</v>
      </c>
      <c r="E235" s="105">
        <f t="shared" ca="1" si="66"/>
        <v>0</v>
      </c>
      <c r="F235" s="105">
        <f t="shared" ca="1" si="67"/>
        <v>0</v>
      </c>
      <c r="G235" s="105">
        <f t="shared" ca="1" si="78"/>
        <v>0</v>
      </c>
      <c r="H235" s="105">
        <f t="shared" ca="1" si="79"/>
        <v>0</v>
      </c>
      <c r="I235" s="105">
        <f t="shared" ca="1" si="68"/>
        <v>0</v>
      </c>
      <c r="J235" s="105">
        <f t="shared" ca="1" si="69"/>
        <v>0</v>
      </c>
      <c r="K235" s="105">
        <f t="shared" ca="1" si="70"/>
        <v>0</v>
      </c>
      <c r="L235" s="105">
        <f t="shared" ca="1" si="80"/>
        <v>0</v>
      </c>
      <c r="M235" s="105">
        <f t="shared" ca="1" si="72"/>
        <v>0</v>
      </c>
      <c r="N235" s="105">
        <f t="shared" ca="1" si="81"/>
        <v>0</v>
      </c>
      <c r="O235" s="105">
        <f t="shared" ca="1" si="73"/>
        <v>0</v>
      </c>
      <c r="P235" s="105">
        <f t="shared" ca="1" si="74"/>
        <v>0</v>
      </c>
      <c r="Q235" s="105">
        <f t="shared" ca="1" si="75"/>
        <v>0</v>
      </c>
      <c r="R235" s="105">
        <f t="shared" ca="1" si="76"/>
        <v>0</v>
      </c>
      <c r="S235" s="105">
        <f t="shared" ca="1" si="77"/>
        <v>10</v>
      </c>
    </row>
    <row r="236" spans="1:19" x14ac:dyDescent="0.35">
      <c r="A236" s="105">
        <f t="shared" ca="1" si="62"/>
        <v>329.69500000000062</v>
      </c>
      <c r="B236" s="105">
        <f t="shared" ca="1" si="63"/>
        <v>0</v>
      </c>
      <c r="C236" s="105">
        <f t="shared" ca="1" si="64"/>
        <v>1</v>
      </c>
      <c r="D236" s="105">
        <f t="shared" ca="1" si="65"/>
        <v>28.890000000000136</v>
      </c>
      <c r="E236" s="105">
        <f t="shared" ca="1" si="66"/>
        <v>0</v>
      </c>
      <c r="F236" s="105">
        <f t="shared" ca="1" si="67"/>
        <v>0</v>
      </c>
      <c r="G236" s="105">
        <f t="shared" ca="1" si="78"/>
        <v>0</v>
      </c>
      <c r="H236" s="105">
        <f t="shared" ca="1" si="79"/>
        <v>0</v>
      </c>
      <c r="I236" s="105">
        <f t="shared" ca="1" si="68"/>
        <v>0</v>
      </c>
      <c r="J236" s="105">
        <f t="shared" ca="1" si="69"/>
        <v>0</v>
      </c>
      <c r="K236" s="105">
        <f t="shared" ca="1" si="70"/>
        <v>0</v>
      </c>
      <c r="L236" s="105">
        <f t="shared" ca="1" si="80"/>
        <v>0</v>
      </c>
      <c r="M236" s="105">
        <f t="shared" ca="1" si="72"/>
        <v>0</v>
      </c>
      <c r="N236" s="105">
        <f t="shared" ca="1" si="81"/>
        <v>0</v>
      </c>
      <c r="O236" s="105">
        <f t="shared" ca="1" si="73"/>
        <v>0</v>
      </c>
      <c r="P236" s="105">
        <f t="shared" ca="1" si="74"/>
        <v>0</v>
      </c>
      <c r="Q236" s="105">
        <f t="shared" ca="1" si="75"/>
        <v>0</v>
      </c>
      <c r="R236" s="105">
        <f t="shared" ca="1" si="76"/>
        <v>0</v>
      </c>
      <c r="S236" s="105">
        <f t="shared" ca="1" si="77"/>
        <v>10</v>
      </c>
    </row>
    <row r="237" spans="1:19" x14ac:dyDescent="0.35">
      <c r="A237" s="105">
        <f t="shared" ca="1" si="62"/>
        <v>331.11000000000064</v>
      </c>
      <c r="B237" s="105">
        <f t="shared" ca="1" si="63"/>
        <v>0</v>
      </c>
      <c r="C237" s="105">
        <f t="shared" ca="1" si="64"/>
        <v>1</v>
      </c>
      <c r="D237" s="105">
        <f t="shared" ca="1" si="65"/>
        <v>27.475000000000136</v>
      </c>
      <c r="E237" s="105">
        <f t="shared" ca="1" si="66"/>
        <v>0</v>
      </c>
      <c r="F237" s="105">
        <f t="shared" ca="1" si="67"/>
        <v>0</v>
      </c>
      <c r="G237" s="105">
        <f t="shared" ca="1" si="78"/>
        <v>0</v>
      </c>
      <c r="H237" s="105">
        <f t="shared" ca="1" si="79"/>
        <v>0</v>
      </c>
      <c r="I237" s="105">
        <f t="shared" ca="1" si="68"/>
        <v>0</v>
      </c>
      <c r="J237" s="105">
        <f t="shared" ca="1" si="69"/>
        <v>0</v>
      </c>
      <c r="K237" s="105">
        <f t="shared" ca="1" si="70"/>
        <v>0</v>
      </c>
      <c r="L237" s="105">
        <f t="shared" ca="1" si="80"/>
        <v>0</v>
      </c>
      <c r="M237" s="105">
        <f t="shared" ca="1" si="72"/>
        <v>0</v>
      </c>
      <c r="N237" s="105">
        <f t="shared" ca="1" si="81"/>
        <v>0</v>
      </c>
      <c r="O237" s="105">
        <f t="shared" ca="1" si="73"/>
        <v>0</v>
      </c>
      <c r="P237" s="105">
        <f t="shared" ca="1" si="74"/>
        <v>0</v>
      </c>
      <c r="Q237" s="105">
        <f t="shared" ca="1" si="75"/>
        <v>0</v>
      </c>
      <c r="R237" s="105">
        <f t="shared" ca="1" si="76"/>
        <v>0</v>
      </c>
      <c r="S237" s="105">
        <f t="shared" ca="1" si="77"/>
        <v>10</v>
      </c>
    </row>
    <row r="238" spans="1:19" x14ac:dyDescent="0.35">
      <c r="A238" s="105">
        <f t="shared" ca="1" si="62"/>
        <v>332.52500000000066</v>
      </c>
      <c r="B238" s="105">
        <f t="shared" ca="1" si="63"/>
        <v>0</v>
      </c>
      <c r="C238" s="105">
        <f t="shared" ca="1" si="64"/>
        <v>1</v>
      </c>
      <c r="D238" s="105">
        <f t="shared" ca="1" si="65"/>
        <v>26.060000000000137</v>
      </c>
      <c r="E238" s="105">
        <f t="shared" ca="1" si="66"/>
        <v>0</v>
      </c>
      <c r="F238" s="105">
        <f t="shared" ca="1" si="67"/>
        <v>0</v>
      </c>
      <c r="G238" s="105">
        <f t="shared" ca="1" si="78"/>
        <v>0</v>
      </c>
      <c r="H238" s="105">
        <f t="shared" ca="1" si="79"/>
        <v>0</v>
      </c>
      <c r="I238" s="105">
        <f t="shared" ca="1" si="68"/>
        <v>0</v>
      </c>
      <c r="J238" s="105">
        <f t="shared" ca="1" si="69"/>
        <v>0</v>
      </c>
      <c r="K238" s="105">
        <f t="shared" ca="1" si="70"/>
        <v>0</v>
      </c>
      <c r="L238" s="105">
        <f t="shared" ca="1" si="80"/>
        <v>0</v>
      </c>
      <c r="M238" s="105">
        <f t="shared" ca="1" si="72"/>
        <v>0</v>
      </c>
      <c r="N238" s="105">
        <f t="shared" ca="1" si="81"/>
        <v>0</v>
      </c>
      <c r="O238" s="105">
        <f t="shared" ca="1" si="73"/>
        <v>0</v>
      </c>
      <c r="P238" s="105">
        <f t="shared" ca="1" si="74"/>
        <v>0</v>
      </c>
      <c r="Q238" s="105">
        <f t="shared" ca="1" si="75"/>
        <v>0</v>
      </c>
      <c r="R238" s="105">
        <f t="shared" ca="1" si="76"/>
        <v>0</v>
      </c>
      <c r="S238" s="105">
        <f t="shared" ca="1" si="77"/>
        <v>10</v>
      </c>
    </row>
    <row r="239" spans="1:19" x14ac:dyDescent="0.35">
      <c r="A239" s="105">
        <f t="shared" ca="1" si="62"/>
        <v>333.94000000000068</v>
      </c>
      <c r="B239" s="105">
        <f t="shared" ca="1" si="63"/>
        <v>0</v>
      </c>
      <c r="C239" s="105">
        <f t="shared" ca="1" si="64"/>
        <v>1</v>
      </c>
      <c r="D239" s="105">
        <f t="shared" ca="1" si="65"/>
        <v>24.645000000000138</v>
      </c>
      <c r="E239" s="105">
        <f t="shared" ca="1" si="66"/>
        <v>0</v>
      </c>
      <c r="F239" s="105">
        <f t="shared" ca="1" si="67"/>
        <v>0</v>
      </c>
      <c r="G239" s="105">
        <f t="shared" ca="1" si="78"/>
        <v>0</v>
      </c>
      <c r="H239" s="105">
        <f t="shared" ca="1" si="79"/>
        <v>0</v>
      </c>
      <c r="I239" s="105">
        <f t="shared" ca="1" si="68"/>
        <v>0</v>
      </c>
      <c r="J239" s="105">
        <f t="shared" ca="1" si="69"/>
        <v>0</v>
      </c>
      <c r="K239" s="105">
        <f t="shared" ca="1" si="70"/>
        <v>0</v>
      </c>
      <c r="L239" s="105">
        <f t="shared" ca="1" si="80"/>
        <v>0</v>
      </c>
      <c r="M239" s="105">
        <f t="shared" ca="1" si="72"/>
        <v>0</v>
      </c>
      <c r="N239" s="105">
        <f t="shared" ca="1" si="81"/>
        <v>0</v>
      </c>
      <c r="O239" s="105">
        <f t="shared" ca="1" si="73"/>
        <v>0</v>
      </c>
      <c r="P239" s="105">
        <f t="shared" ca="1" si="74"/>
        <v>0</v>
      </c>
      <c r="Q239" s="105">
        <f t="shared" ca="1" si="75"/>
        <v>0</v>
      </c>
      <c r="R239" s="105">
        <f t="shared" ca="1" si="76"/>
        <v>0</v>
      </c>
      <c r="S239" s="105">
        <f t="shared" ca="1" si="77"/>
        <v>10</v>
      </c>
    </row>
    <row r="240" spans="1:19" x14ac:dyDescent="0.35">
      <c r="A240" s="105">
        <f t="shared" ca="1" si="62"/>
        <v>335.3550000000007</v>
      </c>
      <c r="B240" s="105">
        <f t="shared" ca="1" si="63"/>
        <v>0</v>
      </c>
      <c r="C240" s="105">
        <f t="shared" ca="1" si="64"/>
        <v>1</v>
      </c>
      <c r="D240" s="105">
        <f t="shared" ca="1" si="65"/>
        <v>23.230000000000139</v>
      </c>
      <c r="E240" s="105">
        <f t="shared" ca="1" si="66"/>
        <v>0</v>
      </c>
      <c r="F240" s="105">
        <f t="shared" ca="1" si="67"/>
        <v>0</v>
      </c>
      <c r="G240" s="105">
        <f t="shared" ca="1" si="78"/>
        <v>0</v>
      </c>
      <c r="H240" s="105">
        <f t="shared" ca="1" si="79"/>
        <v>0</v>
      </c>
      <c r="I240" s="105">
        <f t="shared" ca="1" si="68"/>
        <v>0</v>
      </c>
      <c r="J240" s="105">
        <f t="shared" ca="1" si="69"/>
        <v>0</v>
      </c>
      <c r="K240" s="105">
        <f t="shared" ca="1" si="70"/>
        <v>0</v>
      </c>
      <c r="L240" s="105">
        <f t="shared" ca="1" si="80"/>
        <v>0</v>
      </c>
      <c r="M240" s="105">
        <f t="shared" ca="1" si="72"/>
        <v>0</v>
      </c>
      <c r="N240" s="105">
        <f t="shared" ca="1" si="81"/>
        <v>0</v>
      </c>
      <c r="O240" s="105">
        <f t="shared" ca="1" si="73"/>
        <v>0</v>
      </c>
      <c r="P240" s="105">
        <f t="shared" ca="1" si="74"/>
        <v>0</v>
      </c>
      <c r="Q240" s="105">
        <f t="shared" ca="1" si="75"/>
        <v>0</v>
      </c>
      <c r="R240" s="105">
        <f t="shared" ca="1" si="76"/>
        <v>0</v>
      </c>
      <c r="S240" s="105">
        <f t="shared" ca="1" si="77"/>
        <v>10</v>
      </c>
    </row>
    <row r="241" spans="1:19" x14ac:dyDescent="0.35">
      <c r="A241" s="105">
        <f t="shared" ca="1" si="62"/>
        <v>336.77000000000072</v>
      </c>
      <c r="B241" s="105">
        <f t="shared" ca="1" si="63"/>
        <v>0</v>
      </c>
      <c r="C241" s="105">
        <f t="shared" ca="1" si="64"/>
        <v>1</v>
      </c>
      <c r="D241" s="105">
        <f t="shared" ca="1" si="65"/>
        <v>21.81500000000014</v>
      </c>
      <c r="E241" s="105">
        <f t="shared" ca="1" si="66"/>
        <v>0</v>
      </c>
      <c r="F241" s="105">
        <f t="shared" ca="1" si="67"/>
        <v>0</v>
      </c>
      <c r="G241" s="105">
        <f t="shared" ca="1" si="78"/>
        <v>0</v>
      </c>
      <c r="H241" s="105">
        <f t="shared" ca="1" si="79"/>
        <v>0</v>
      </c>
      <c r="I241" s="105">
        <f t="shared" ca="1" si="68"/>
        <v>0</v>
      </c>
      <c r="J241" s="105">
        <f t="shared" ca="1" si="69"/>
        <v>0</v>
      </c>
      <c r="K241" s="105">
        <f t="shared" ca="1" si="70"/>
        <v>0</v>
      </c>
      <c r="L241" s="105">
        <f t="shared" ca="1" si="80"/>
        <v>0</v>
      </c>
      <c r="M241" s="105">
        <f t="shared" ca="1" si="72"/>
        <v>0</v>
      </c>
      <c r="N241" s="105">
        <f t="shared" ca="1" si="81"/>
        <v>0</v>
      </c>
      <c r="O241" s="105">
        <f t="shared" ca="1" si="73"/>
        <v>0</v>
      </c>
      <c r="P241" s="105">
        <f t="shared" ca="1" si="74"/>
        <v>0</v>
      </c>
      <c r="Q241" s="105">
        <f t="shared" ca="1" si="75"/>
        <v>0</v>
      </c>
      <c r="R241" s="105">
        <f t="shared" ca="1" si="76"/>
        <v>0</v>
      </c>
      <c r="S241" s="105">
        <f t="shared" ca="1" si="77"/>
        <v>10</v>
      </c>
    </row>
    <row r="242" spans="1:19" x14ac:dyDescent="0.35">
      <c r="A242" s="105">
        <f t="shared" ca="1" si="62"/>
        <v>338.18500000000074</v>
      </c>
      <c r="B242" s="105">
        <f t="shared" ca="1" si="63"/>
        <v>0</v>
      </c>
      <c r="C242" s="105">
        <f t="shared" ca="1" si="64"/>
        <v>1</v>
      </c>
      <c r="D242" s="105">
        <f t="shared" ca="1" si="65"/>
        <v>20.400000000000141</v>
      </c>
      <c r="E242" s="105">
        <f t="shared" ca="1" si="66"/>
        <v>0</v>
      </c>
      <c r="F242" s="105">
        <f t="shared" ca="1" si="67"/>
        <v>0</v>
      </c>
      <c r="G242" s="105">
        <f t="shared" ca="1" si="78"/>
        <v>0</v>
      </c>
      <c r="H242" s="105">
        <f t="shared" ca="1" si="79"/>
        <v>0</v>
      </c>
      <c r="I242" s="105">
        <f t="shared" ca="1" si="68"/>
        <v>0</v>
      </c>
      <c r="J242" s="105">
        <f t="shared" ca="1" si="69"/>
        <v>0</v>
      </c>
      <c r="K242" s="105">
        <f t="shared" ca="1" si="70"/>
        <v>0</v>
      </c>
      <c r="L242" s="105">
        <f t="shared" ca="1" si="80"/>
        <v>0</v>
      </c>
      <c r="M242" s="105">
        <f t="shared" ca="1" si="72"/>
        <v>0</v>
      </c>
      <c r="N242" s="105">
        <f t="shared" ca="1" si="81"/>
        <v>0</v>
      </c>
      <c r="O242" s="105">
        <f t="shared" ca="1" si="73"/>
        <v>0</v>
      </c>
      <c r="P242" s="105">
        <f t="shared" ca="1" si="74"/>
        <v>0</v>
      </c>
      <c r="Q242" s="105">
        <f t="shared" ca="1" si="75"/>
        <v>0</v>
      </c>
      <c r="R242" s="105">
        <f t="shared" ca="1" si="76"/>
        <v>0</v>
      </c>
      <c r="S242" s="105">
        <f t="shared" ca="1" si="77"/>
        <v>10</v>
      </c>
    </row>
    <row r="243" spans="1:19" x14ac:dyDescent="0.35">
      <c r="A243" s="105">
        <f t="shared" ca="1" si="62"/>
        <v>339.60000000000076</v>
      </c>
      <c r="B243" s="105">
        <f t="shared" ca="1" si="63"/>
        <v>0</v>
      </c>
      <c r="C243" s="105">
        <f t="shared" ca="1" si="64"/>
        <v>1</v>
      </c>
      <c r="D243" s="105">
        <f t="shared" ca="1" si="65"/>
        <v>18.985000000000142</v>
      </c>
      <c r="E243" s="105">
        <f t="shared" ca="1" si="66"/>
        <v>0</v>
      </c>
      <c r="F243" s="105">
        <f t="shared" ca="1" si="67"/>
        <v>0</v>
      </c>
      <c r="G243" s="105">
        <f t="shared" ca="1" si="78"/>
        <v>0</v>
      </c>
      <c r="H243" s="105">
        <f t="shared" ca="1" si="79"/>
        <v>0</v>
      </c>
      <c r="I243" s="105">
        <f t="shared" ca="1" si="68"/>
        <v>0</v>
      </c>
      <c r="J243" s="105">
        <f t="shared" ca="1" si="69"/>
        <v>0</v>
      </c>
      <c r="K243" s="105">
        <f t="shared" ca="1" si="70"/>
        <v>0</v>
      </c>
      <c r="L243" s="105">
        <f t="shared" ca="1" si="80"/>
        <v>0</v>
      </c>
      <c r="M243" s="105">
        <f t="shared" ca="1" si="72"/>
        <v>0</v>
      </c>
      <c r="N243" s="105">
        <f t="shared" ca="1" si="81"/>
        <v>0</v>
      </c>
      <c r="O243" s="105">
        <f t="shared" ca="1" si="73"/>
        <v>0</v>
      </c>
      <c r="P243" s="105">
        <f t="shared" ca="1" si="74"/>
        <v>0</v>
      </c>
      <c r="Q243" s="105">
        <f t="shared" ca="1" si="75"/>
        <v>0</v>
      </c>
      <c r="R243" s="105">
        <f t="shared" ca="1" si="76"/>
        <v>0</v>
      </c>
      <c r="S243" s="105">
        <f t="shared" ca="1" si="77"/>
        <v>10</v>
      </c>
    </row>
    <row r="244" spans="1:19" x14ac:dyDescent="0.35">
      <c r="A244" s="105">
        <f t="shared" ca="1" si="62"/>
        <v>341.01500000000078</v>
      </c>
      <c r="B244" s="105">
        <f t="shared" ca="1" si="63"/>
        <v>0</v>
      </c>
      <c r="C244" s="105">
        <f t="shared" ca="1" si="64"/>
        <v>1</v>
      </c>
      <c r="D244" s="105">
        <f t="shared" ca="1" si="65"/>
        <v>17.570000000000142</v>
      </c>
      <c r="E244" s="105">
        <f t="shared" ca="1" si="66"/>
        <v>0</v>
      </c>
      <c r="F244" s="105">
        <f t="shared" ca="1" si="67"/>
        <v>0</v>
      </c>
      <c r="G244" s="105">
        <f t="shared" ca="1" si="78"/>
        <v>0</v>
      </c>
      <c r="H244" s="105">
        <f t="shared" ca="1" si="79"/>
        <v>0</v>
      </c>
      <c r="I244" s="105">
        <f t="shared" ca="1" si="68"/>
        <v>0</v>
      </c>
      <c r="J244" s="105">
        <f t="shared" ca="1" si="69"/>
        <v>0</v>
      </c>
      <c r="K244" s="105">
        <f t="shared" ca="1" si="70"/>
        <v>0</v>
      </c>
      <c r="L244" s="105">
        <f t="shared" ca="1" si="80"/>
        <v>0</v>
      </c>
      <c r="M244" s="105">
        <f t="shared" ca="1" si="72"/>
        <v>0</v>
      </c>
      <c r="N244" s="105">
        <f t="shared" ca="1" si="81"/>
        <v>0</v>
      </c>
      <c r="O244" s="105">
        <f t="shared" ca="1" si="73"/>
        <v>0</v>
      </c>
      <c r="P244" s="105">
        <f t="shared" ca="1" si="74"/>
        <v>0</v>
      </c>
      <c r="Q244" s="105">
        <f t="shared" ca="1" si="75"/>
        <v>0</v>
      </c>
      <c r="R244" s="105">
        <f t="shared" ca="1" si="76"/>
        <v>0</v>
      </c>
      <c r="S244" s="105">
        <f t="shared" ca="1" si="77"/>
        <v>10</v>
      </c>
    </row>
    <row r="245" spans="1:19" x14ac:dyDescent="0.35">
      <c r="A245" s="105">
        <f t="shared" ca="1" si="62"/>
        <v>342.4300000000008</v>
      </c>
      <c r="B245" s="105">
        <f t="shared" ca="1" si="63"/>
        <v>0</v>
      </c>
      <c r="C245" s="105">
        <f t="shared" ca="1" si="64"/>
        <v>1</v>
      </c>
      <c r="D245" s="105">
        <f t="shared" ca="1" si="65"/>
        <v>16.155000000000143</v>
      </c>
      <c r="E245" s="105">
        <f t="shared" ca="1" si="66"/>
        <v>0</v>
      </c>
      <c r="F245" s="105">
        <f t="shared" ca="1" si="67"/>
        <v>0</v>
      </c>
      <c r="G245" s="105">
        <f t="shared" ca="1" si="78"/>
        <v>0</v>
      </c>
      <c r="H245" s="105">
        <f t="shared" ca="1" si="79"/>
        <v>0</v>
      </c>
      <c r="I245" s="105">
        <f t="shared" ca="1" si="68"/>
        <v>0</v>
      </c>
      <c r="J245" s="105">
        <f t="shared" ca="1" si="69"/>
        <v>0</v>
      </c>
      <c r="K245" s="105">
        <f t="shared" ca="1" si="70"/>
        <v>0</v>
      </c>
      <c r="L245" s="105">
        <f t="shared" ca="1" si="80"/>
        <v>0</v>
      </c>
      <c r="M245" s="105">
        <f t="shared" ca="1" si="72"/>
        <v>0</v>
      </c>
      <c r="N245" s="105">
        <f t="shared" ca="1" si="81"/>
        <v>0</v>
      </c>
      <c r="O245" s="105">
        <f t="shared" ca="1" si="73"/>
        <v>0</v>
      </c>
      <c r="P245" s="105">
        <f t="shared" ca="1" si="74"/>
        <v>0</v>
      </c>
      <c r="Q245" s="105">
        <f t="shared" ca="1" si="75"/>
        <v>0</v>
      </c>
      <c r="R245" s="105">
        <f t="shared" ca="1" si="76"/>
        <v>0</v>
      </c>
      <c r="S245" s="105">
        <f t="shared" ca="1" si="77"/>
        <v>10</v>
      </c>
    </row>
    <row r="246" spans="1:19" x14ac:dyDescent="0.35">
      <c r="A246" s="105">
        <f t="shared" ca="1" si="62"/>
        <v>343.84500000000082</v>
      </c>
      <c r="B246" s="105">
        <f t="shared" ca="1" si="63"/>
        <v>0</v>
      </c>
      <c r="C246" s="105">
        <f t="shared" ca="1" si="64"/>
        <v>1</v>
      </c>
      <c r="D246" s="105">
        <f t="shared" ca="1" si="65"/>
        <v>14.740000000000144</v>
      </c>
      <c r="E246" s="105">
        <f t="shared" ca="1" si="66"/>
        <v>0</v>
      </c>
      <c r="F246" s="105">
        <f t="shared" ca="1" si="67"/>
        <v>0</v>
      </c>
      <c r="G246" s="105">
        <f t="shared" ca="1" si="78"/>
        <v>0</v>
      </c>
      <c r="H246" s="105">
        <f t="shared" ca="1" si="79"/>
        <v>0</v>
      </c>
      <c r="I246" s="105">
        <f t="shared" ca="1" si="68"/>
        <v>0</v>
      </c>
      <c r="J246" s="105">
        <f t="shared" ca="1" si="69"/>
        <v>0</v>
      </c>
      <c r="K246" s="105">
        <f t="shared" ca="1" si="70"/>
        <v>0</v>
      </c>
      <c r="L246" s="105">
        <f t="shared" ca="1" si="80"/>
        <v>0</v>
      </c>
      <c r="M246" s="105">
        <f t="shared" ca="1" si="72"/>
        <v>0</v>
      </c>
      <c r="N246" s="105">
        <f t="shared" ca="1" si="81"/>
        <v>0</v>
      </c>
      <c r="O246" s="105">
        <f t="shared" ca="1" si="73"/>
        <v>0</v>
      </c>
      <c r="P246" s="105">
        <f t="shared" ca="1" si="74"/>
        <v>0</v>
      </c>
      <c r="Q246" s="105">
        <f t="shared" ca="1" si="75"/>
        <v>0</v>
      </c>
      <c r="R246" s="105">
        <f t="shared" ca="1" si="76"/>
        <v>0</v>
      </c>
      <c r="S246" s="105">
        <f t="shared" ca="1" si="77"/>
        <v>10</v>
      </c>
    </row>
    <row r="247" spans="1:19" x14ac:dyDescent="0.35">
      <c r="A247" s="105">
        <f t="shared" ca="1" si="62"/>
        <v>345.26000000000084</v>
      </c>
      <c r="B247" s="105">
        <f t="shared" ca="1" si="63"/>
        <v>0</v>
      </c>
      <c r="C247" s="105">
        <f t="shared" ca="1" si="64"/>
        <v>1</v>
      </c>
      <c r="D247" s="105">
        <f t="shared" ca="1" si="65"/>
        <v>13.325000000000145</v>
      </c>
      <c r="E247" s="105">
        <f t="shared" ca="1" si="66"/>
        <v>0</v>
      </c>
      <c r="F247" s="105">
        <f t="shared" ca="1" si="67"/>
        <v>0</v>
      </c>
      <c r="G247" s="105">
        <f t="shared" ca="1" si="78"/>
        <v>0</v>
      </c>
      <c r="H247" s="105">
        <f t="shared" ca="1" si="79"/>
        <v>0</v>
      </c>
      <c r="I247" s="105">
        <f t="shared" ca="1" si="68"/>
        <v>0</v>
      </c>
      <c r="J247" s="105">
        <f t="shared" ca="1" si="69"/>
        <v>0</v>
      </c>
      <c r="K247" s="105">
        <f t="shared" ca="1" si="70"/>
        <v>0</v>
      </c>
      <c r="L247" s="105">
        <f t="shared" ca="1" si="80"/>
        <v>0</v>
      </c>
      <c r="M247" s="105">
        <f t="shared" ca="1" si="72"/>
        <v>0</v>
      </c>
      <c r="N247" s="105">
        <f t="shared" ca="1" si="81"/>
        <v>0</v>
      </c>
      <c r="O247" s="105">
        <f t="shared" ca="1" si="73"/>
        <v>0</v>
      </c>
      <c r="P247" s="105">
        <f t="shared" ca="1" si="74"/>
        <v>0</v>
      </c>
      <c r="Q247" s="105">
        <f t="shared" ca="1" si="75"/>
        <v>0</v>
      </c>
      <c r="R247" s="105">
        <f t="shared" ca="1" si="76"/>
        <v>0</v>
      </c>
      <c r="S247" s="105">
        <f t="shared" ca="1" si="77"/>
        <v>10</v>
      </c>
    </row>
    <row r="248" spans="1:19" x14ac:dyDescent="0.35">
      <c r="A248" s="105">
        <f t="shared" ca="1" si="62"/>
        <v>346.67500000000086</v>
      </c>
      <c r="B248" s="105">
        <f t="shared" ca="1" si="63"/>
        <v>0</v>
      </c>
      <c r="C248" s="105">
        <f t="shared" ca="1" si="64"/>
        <v>1</v>
      </c>
      <c r="D248" s="105">
        <f t="shared" ca="1" si="65"/>
        <v>11.910000000000146</v>
      </c>
      <c r="E248" s="105">
        <f t="shared" ca="1" si="66"/>
        <v>0</v>
      </c>
      <c r="F248" s="105">
        <f t="shared" ca="1" si="67"/>
        <v>0</v>
      </c>
      <c r="G248" s="105">
        <f t="shared" ca="1" si="78"/>
        <v>0</v>
      </c>
      <c r="H248" s="105">
        <f t="shared" ca="1" si="79"/>
        <v>0</v>
      </c>
      <c r="I248" s="105">
        <f t="shared" ca="1" si="68"/>
        <v>0</v>
      </c>
      <c r="J248" s="105">
        <f t="shared" ca="1" si="69"/>
        <v>0</v>
      </c>
      <c r="K248" s="105">
        <f t="shared" ca="1" si="70"/>
        <v>0</v>
      </c>
      <c r="L248" s="105">
        <f t="shared" ca="1" si="80"/>
        <v>0</v>
      </c>
      <c r="M248" s="105">
        <f t="shared" ca="1" si="72"/>
        <v>0</v>
      </c>
      <c r="N248" s="105">
        <f t="shared" ca="1" si="81"/>
        <v>0</v>
      </c>
      <c r="O248" s="105">
        <f t="shared" ca="1" si="73"/>
        <v>0</v>
      </c>
      <c r="P248" s="105">
        <f t="shared" ca="1" si="74"/>
        <v>0</v>
      </c>
      <c r="Q248" s="105">
        <f t="shared" ca="1" si="75"/>
        <v>0</v>
      </c>
      <c r="R248" s="105">
        <f t="shared" ca="1" si="76"/>
        <v>0</v>
      </c>
      <c r="S248" s="105">
        <f t="shared" ca="1" si="77"/>
        <v>10</v>
      </c>
    </row>
    <row r="249" spans="1:19" x14ac:dyDescent="0.35">
      <c r="A249" s="105">
        <f t="shared" ca="1" si="62"/>
        <v>348.09000000000088</v>
      </c>
      <c r="B249" s="105">
        <f t="shared" ca="1" si="63"/>
        <v>0</v>
      </c>
      <c r="C249" s="105">
        <f t="shared" ca="1" si="64"/>
        <v>1</v>
      </c>
      <c r="D249" s="105">
        <f t="shared" ca="1" si="65"/>
        <v>10.495000000000147</v>
      </c>
      <c r="E249" s="105">
        <f t="shared" ca="1" si="66"/>
        <v>0</v>
      </c>
      <c r="F249" s="105">
        <f t="shared" ca="1" si="67"/>
        <v>0</v>
      </c>
      <c r="G249" s="105">
        <f t="shared" ca="1" si="78"/>
        <v>0</v>
      </c>
      <c r="H249" s="105">
        <f t="shared" ca="1" si="79"/>
        <v>0</v>
      </c>
      <c r="I249" s="105">
        <f t="shared" ca="1" si="68"/>
        <v>0</v>
      </c>
      <c r="J249" s="105">
        <f t="shared" ca="1" si="69"/>
        <v>0</v>
      </c>
      <c r="K249" s="105">
        <f t="shared" ca="1" si="70"/>
        <v>0</v>
      </c>
      <c r="L249" s="105">
        <f t="shared" ca="1" si="80"/>
        <v>0</v>
      </c>
      <c r="M249" s="105">
        <f t="shared" ca="1" si="72"/>
        <v>0</v>
      </c>
      <c r="N249" s="105">
        <f t="shared" ca="1" si="81"/>
        <v>0</v>
      </c>
      <c r="O249" s="105">
        <f t="shared" ca="1" si="73"/>
        <v>0</v>
      </c>
      <c r="P249" s="105">
        <f t="shared" ca="1" si="74"/>
        <v>0</v>
      </c>
      <c r="Q249" s="105">
        <f t="shared" ca="1" si="75"/>
        <v>0</v>
      </c>
      <c r="R249" s="105">
        <f t="shared" ca="1" si="76"/>
        <v>0</v>
      </c>
      <c r="S249" s="105">
        <f t="shared" ca="1" si="77"/>
        <v>10</v>
      </c>
    </row>
    <row r="250" spans="1:19" x14ac:dyDescent="0.35">
      <c r="A250" s="105">
        <f t="shared" ca="1" si="62"/>
        <v>349.5050000000009</v>
      </c>
      <c r="B250" s="105">
        <f t="shared" ca="1" si="63"/>
        <v>0</v>
      </c>
      <c r="C250" s="105">
        <f t="shared" ca="1" si="64"/>
        <v>1</v>
      </c>
      <c r="D250" s="105">
        <f t="shared" ca="1" si="65"/>
        <v>9.0800000000001475</v>
      </c>
      <c r="E250" s="105">
        <f t="shared" ca="1" si="66"/>
        <v>0</v>
      </c>
      <c r="F250" s="105">
        <f t="shared" ca="1" si="67"/>
        <v>0</v>
      </c>
      <c r="G250" s="105">
        <f t="shared" ca="1" si="78"/>
        <v>0</v>
      </c>
      <c r="H250" s="105">
        <f t="shared" ca="1" si="79"/>
        <v>0</v>
      </c>
      <c r="I250" s="105">
        <f t="shared" ca="1" si="68"/>
        <v>0</v>
      </c>
      <c r="J250" s="105">
        <f t="shared" ca="1" si="69"/>
        <v>0</v>
      </c>
      <c r="K250" s="105">
        <f t="shared" ca="1" si="70"/>
        <v>0</v>
      </c>
      <c r="L250" s="105">
        <f t="shared" ca="1" si="80"/>
        <v>0</v>
      </c>
      <c r="M250" s="105">
        <f t="shared" ca="1" si="72"/>
        <v>0</v>
      </c>
      <c r="N250" s="105">
        <f t="shared" ca="1" si="81"/>
        <v>0</v>
      </c>
      <c r="O250" s="105">
        <f t="shared" ca="1" si="73"/>
        <v>0</v>
      </c>
      <c r="P250" s="105">
        <f t="shared" ca="1" si="74"/>
        <v>0</v>
      </c>
      <c r="Q250" s="105">
        <f t="shared" ca="1" si="75"/>
        <v>0</v>
      </c>
      <c r="R250" s="105">
        <f t="shared" ca="1" si="76"/>
        <v>0</v>
      </c>
      <c r="S250" s="105">
        <f t="shared" ca="1" si="77"/>
        <v>10</v>
      </c>
    </row>
    <row r="251" spans="1:19" x14ac:dyDescent="0.35">
      <c r="A251" s="105">
        <f t="shared" ca="1" si="62"/>
        <v>350.92000000000093</v>
      </c>
      <c r="B251" s="105">
        <f t="shared" ca="1" si="63"/>
        <v>0</v>
      </c>
      <c r="C251" s="105">
        <f t="shared" ca="1" si="64"/>
        <v>1</v>
      </c>
      <c r="D251" s="105">
        <f t="shared" ca="1" si="65"/>
        <v>7.6650000000001475</v>
      </c>
      <c r="E251" s="105">
        <f t="shared" ca="1" si="66"/>
        <v>0</v>
      </c>
      <c r="F251" s="105">
        <f t="shared" ca="1" si="67"/>
        <v>0</v>
      </c>
      <c r="G251" s="105">
        <f t="shared" ca="1" si="78"/>
        <v>0</v>
      </c>
      <c r="H251" s="105">
        <f t="shared" ca="1" si="79"/>
        <v>0</v>
      </c>
      <c r="I251" s="105">
        <f t="shared" ca="1" si="68"/>
        <v>0</v>
      </c>
      <c r="J251" s="105">
        <f t="shared" ca="1" si="69"/>
        <v>0</v>
      </c>
      <c r="K251" s="105">
        <f t="shared" ca="1" si="70"/>
        <v>0</v>
      </c>
      <c r="L251" s="105">
        <f t="shared" ca="1" si="80"/>
        <v>0</v>
      </c>
      <c r="M251" s="105">
        <f t="shared" ca="1" si="72"/>
        <v>0</v>
      </c>
      <c r="N251" s="105">
        <f t="shared" ca="1" si="81"/>
        <v>0</v>
      </c>
      <c r="O251" s="105">
        <f t="shared" ca="1" si="73"/>
        <v>0</v>
      </c>
      <c r="P251" s="105">
        <f t="shared" ca="1" si="74"/>
        <v>0</v>
      </c>
      <c r="Q251" s="105">
        <f t="shared" ca="1" si="75"/>
        <v>0</v>
      </c>
      <c r="R251" s="105">
        <f t="shared" ca="1" si="76"/>
        <v>0</v>
      </c>
      <c r="S251" s="105">
        <f t="shared" ca="1" si="77"/>
        <v>10</v>
      </c>
    </row>
    <row r="252" spans="1:19" x14ac:dyDescent="0.35">
      <c r="A252" s="105">
        <f t="shared" ca="1" si="62"/>
        <v>352.33500000000095</v>
      </c>
      <c r="B252" s="105">
        <f t="shared" ca="1" si="63"/>
        <v>0</v>
      </c>
      <c r="C252" s="105">
        <f t="shared" ca="1" si="64"/>
        <v>1</v>
      </c>
      <c r="D252" s="105">
        <f t="shared" ca="1" si="65"/>
        <v>6.2500000000001474</v>
      </c>
      <c r="E252" s="105">
        <f t="shared" ca="1" si="66"/>
        <v>0</v>
      </c>
      <c r="F252" s="105">
        <f t="shared" ca="1" si="67"/>
        <v>0</v>
      </c>
      <c r="G252" s="105">
        <f t="shared" ca="1" si="78"/>
        <v>0</v>
      </c>
      <c r="H252" s="105">
        <f t="shared" ca="1" si="79"/>
        <v>0</v>
      </c>
      <c r="I252" s="105">
        <f t="shared" ca="1" si="68"/>
        <v>0</v>
      </c>
      <c r="J252" s="105">
        <f t="shared" ca="1" si="69"/>
        <v>0</v>
      </c>
      <c r="K252" s="105">
        <f t="shared" ca="1" si="70"/>
        <v>0</v>
      </c>
      <c r="L252" s="105">
        <f t="shared" ca="1" si="80"/>
        <v>0</v>
      </c>
      <c r="M252" s="105">
        <f t="shared" ca="1" si="72"/>
        <v>0</v>
      </c>
      <c r="N252" s="105">
        <f t="shared" ca="1" si="81"/>
        <v>0</v>
      </c>
      <c r="O252" s="105">
        <f t="shared" ca="1" si="73"/>
        <v>0</v>
      </c>
      <c r="P252" s="105">
        <f t="shared" ca="1" si="74"/>
        <v>0</v>
      </c>
      <c r="Q252" s="105">
        <f t="shared" ca="1" si="75"/>
        <v>0</v>
      </c>
      <c r="R252" s="105">
        <f t="shared" ca="1" si="76"/>
        <v>0</v>
      </c>
      <c r="S252" s="105">
        <f t="shared" ca="1" si="77"/>
        <v>10</v>
      </c>
    </row>
    <row r="253" spans="1:19" x14ac:dyDescent="0.35">
      <c r="A253" s="105">
        <f t="shared" ca="1" si="62"/>
        <v>353.75000000000097</v>
      </c>
      <c r="B253" s="105">
        <f t="shared" ca="1" si="63"/>
        <v>0</v>
      </c>
      <c r="C253" s="105">
        <f t="shared" ca="1" si="64"/>
        <v>1</v>
      </c>
      <c r="D253" s="105">
        <f t="shared" ca="1" si="65"/>
        <v>4.8350000000001474</v>
      </c>
      <c r="E253" s="105">
        <f t="shared" ca="1" si="66"/>
        <v>0</v>
      </c>
      <c r="F253" s="105">
        <f t="shared" ca="1" si="67"/>
        <v>0</v>
      </c>
      <c r="G253" s="105">
        <f t="shared" ca="1" si="78"/>
        <v>0</v>
      </c>
      <c r="H253" s="105">
        <f t="shared" ca="1" si="79"/>
        <v>0</v>
      </c>
      <c r="I253" s="105">
        <f t="shared" ca="1" si="68"/>
        <v>0</v>
      </c>
      <c r="J253" s="105">
        <f t="shared" ca="1" si="69"/>
        <v>0</v>
      </c>
      <c r="K253" s="105">
        <f t="shared" ca="1" si="70"/>
        <v>0</v>
      </c>
      <c r="L253" s="105">
        <f t="shared" ca="1" si="80"/>
        <v>0</v>
      </c>
      <c r="M253" s="105">
        <f t="shared" ca="1" si="72"/>
        <v>0</v>
      </c>
      <c r="N253" s="105">
        <f t="shared" ca="1" si="81"/>
        <v>0</v>
      </c>
      <c r="O253" s="105">
        <f t="shared" ca="1" si="73"/>
        <v>0</v>
      </c>
      <c r="P253" s="105">
        <f t="shared" ca="1" si="74"/>
        <v>0</v>
      </c>
      <c r="Q253" s="105">
        <f t="shared" ca="1" si="75"/>
        <v>0</v>
      </c>
      <c r="R253" s="105">
        <f t="shared" ca="1" si="76"/>
        <v>0</v>
      </c>
      <c r="S253" s="105">
        <f t="shared" ca="1" si="77"/>
        <v>10</v>
      </c>
    </row>
    <row r="254" spans="1:19" x14ac:dyDescent="0.35">
      <c r="A254" s="105">
        <f t="shared" ca="1" si="62"/>
        <v>355.16500000000099</v>
      </c>
      <c r="B254" s="105">
        <f t="shared" ca="1" si="63"/>
        <v>0</v>
      </c>
      <c r="C254" s="105">
        <f t="shared" ca="1" si="64"/>
        <v>1</v>
      </c>
      <c r="D254" s="105">
        <f t="shared" ca="1" si="65"/>
        <v>3.4200000000001474</v>
      </c>
      <c r="E254" s="105">
        <f t="shared" ca="1" si="66"/>
        <v>0</v>
      </c>
      <c r="F254" s="105">
        <f t="shared" ca="1" si="67"/>
        <v>0</v>
      </c>
      <c r="G254" s="105">
        <f t="shared" ca="1" si="78"/>
        <v>0</v>
      </c>
      <c r="H254" s="105">
        <f t="shared" ca="1" si="79"/>
        <v>0</v>
      </c>
      <c r="I254" s="105">
        <f t="shared" ca="1" si="68"/>
        <v>0</v>
      </c>
      <c r="J254" s="105">
        <f t="shared" ca="1" si="69"/>
        <v>0</v>
      </c>
      <c r="K254" s="105">
        <f t="shared" ca="1" si="70"/>
        <v>0</v>
      </c>
      <c r="L254" s="105">
        <f t="shared" ca="1" si="80"/>
        <v>0</v>
      </c>
      <c r="M254" s="105">
        <f t="shared" ca="1" si="72"/>
        <v>0</v>
      </c>
      <c r="N254" s="105">
        <f t="shared" ca="1" si="81"/>
        <v>0</v>
      </c>
      <c r="O254" s="105">
        <f t="shared" ca="1" si="73"/>
        <v>0</v>
      </c>
      <c r="P254" s="105">
        <f t="shared" ca="1" si="74"/>
        <v>0</v>
      </c>
      <c r="Q254" s="105">
        <f t="shared" ca="1" si="75"/>
        <v>0</v>
      </c>
      <c r="R254" s="105">
        <f t="shared" ca="1" si="76"/>
        <v>0</v>
      </c>
      <c r="S254" s="105">
        <f t="shared" ca="1" si="77"/>
        <v>10</v>
      </c>
    </row>
    <row r="255" spans="1:19" x14ac:dyDescent="0.35">
      <c r="A255" s="105">
        <f t="shared" ca="1" si="62"/>
        <v>356.58000000000101</v>
      </c>
      <c r="B255" s="105">
        <f t="shared" ca="1" si="63"/>
        <v>0</v>
      </c>
      <c r="C255" s="105">
        <f t="shared" ca="1" si="64"/>
        <v>1</v>
      </c>
      <c r="D255" s="105">
        <f t="shared" ca="1" si="65"/>
        <v>2.0050000000001473</v>
      </c>
      <c r="E255" s="105">
        <f t="shared" ca="1" si="66"/>
        <v>0</v>
      </c>
      <c r="F255" s="105">
        <f t="shared" ca="1" si="67"/>
        <v>0</v>
      </c>
      <c r="G255" s="105">
        <f t="shared" ca="1" si="78"/>
        <v>0</v>
      </c>
      <c r="H255" s="105">
        <f t="shared" ca="1" si="79"/>
        <v>0</v>
      </c>
      <c r="I255" s="105">
        <f t="shared" ca="1" si="68"/>
        <v>0</v>
      </c>
      <c r="J255" s="105">
        <f t="shared" ca="1" si="69"/>
        <v>0</v>
      </c>
      <c r="K255" s="105">
        <f t="shared" ca="1" si="70"/>
        <v>0</v>
      </c>
      <c r="L255" s="105">
        <f t="shared" ca="1" si="80"/>
        <v>0</v>
      </c>
      <c r="M255" s="105">
        <f t="shared" ca="1" si="72"/>
        <v>0</v>
      </c>
      <c r="N255" s="105">
        <f t="shared" ca="1" si="81"/>
        <v>0</v>
      </c>
      <c r="O255" s="105">
        <f t="shared" ca="1" si="73"/>
        <v>0</v>
      </c>
      <c r="P255" s="105">
        <f t="shared" ca="1" si="74"/>
        <v>0</v>
      </c>
      <c r="Q255" s="105">
        <f t="shared" ca="1" si="75"/>
        <v>0</v>
      </c>
      <c r="R255" s="105">
        <f t="shared" ca="1" si="76"/>
        <v>0</v>
      </c>
      <c r="S255" s="105">
        <f t="shared" ca="1" si="77"/>
        <v>10</v>
      </c>
    </row>
    <row r="256" spans="1:19" x14ac:dyDescent="0.35">
      <c r="A256" s="105">
        <f t="shared" ca="1" si="62"/>
        <v>357.99500000000103</v>
      </c>
      <c r="B256" s="105">
        <f t="shared" ca="1" si="63"/>
        <v>0</v>
      </c>
      <c r="C256" s="105">
        <f t="shared" ca="1" si="64"/>
        <v>1</v>
      </c>
      <c r="D256" s="105">
        <f t="shared" ca="1" si="65"/>
        <v>0.5900000000001473</v>
      </c>
      <c r="E256" s="105">
        <f t="shared" ca="1" si="66"/>
        <v>0</v>
      </c>
      <c r="F256" s="105">
        <f t="shared" ca="1" si="67"/>
        <v>0</v>
      </c>
      <c r="G256" s="105">
        <f t="shared" ca="1" si="78"/>
        <v>0</v>
      </c>
      <c r="H256" s="105">
        <f t="shared" ca="1" si="79"/>
        <v>0</v>
      </c>
      <c r="I256" s="105">
        <f t="shared" ca="1" si="68"/>
        <v>0</v>
      </c>
      <c r="J256" s="105">
        <f t="shared" ca="1" si="69"/>
        <v>0</v>
      </c>
      <c r="K256" s="105">
        <f t="shared" ca="1" si="70"/>
        <v>0</v>
      </c>
      <c r="L256" s="105">
        <f t="shared" ca="1" si="80"/>
        <v>0</v>
      </c>
      <c r="M256" s="105">
        <f t="shared" ca="1" si="72"/>
        <v>0</v>
      </c>
      <c r="N256" s="105">
        <f t="shared" ca="1" si="81"/>
        <v>0</v>
      </c>
      <c r="O256" s="105">
        <f t="shared" ca="1" si="73"/>
        <v>0</v>
      </c>
      <c r="P256" s="105">
        <f t="shared" ca="1" si="74"/>
        <v>0</v>
      </c>
      <c r="Q256" s="105">
        <f t="shared" ca="1" si="75"/>
        <v>0</v>
      </c>
      <c r="R256" s="105">
        <f t="shared" ca="1" si="76"/>
        <v>0</v>
      </c>
      <c r="S256" s="105">
        <f t="shared" ca="1" si="77"/>
        <v>10</v>
      </c>
    </row>
    <row r="257" spans="1:19" x14ac:dyDescent="0.35">
      <c r="A257" s="105">
        <f t="shared" ca="1" si="62"/>
        <v>359.41000000000105</v>
      </c>
      <c r="B257" s="105">
        <f t="shared" ca="1" si="63"/>
        <v>0</v>
      </c>
      <c r="C257" s="105">
        <f t="shared" ca="1" si="64"/>
        <v>2</v>
      </c>
      <c r="D257" s="105">
        <f t="shared" ca="1" si="65"/>
        <v>35.175000000000146</v>
      </c>
      <c r="E257" s="105">
        <f t="shared" ca="1" si="66"/>
        <v>0</v>
      </c>
      <c r="F257" s="105">
        <f t="shared" ca="1" si="67"/>
        <v>0</v>
      </c>
      <c r="G257" s="105">
        <f t="shared" ca="1" si="78"/>
        <v>0</v>
      </c>
      <c r="H257" s="105">
        <f t="shared" ca="1" si="79"/>
        <v>0</v>
      </c>
      <c r="I257" s="105">
        <f t="shared" ca="1" si="68"/>
        <v>0</v>
      </c>
      <c r="J257" s="105">
        <f t="shared" ca="1" si="69"/>
        <v>0</v>
      </c>
      <c r="K257" s="105">
        <f t="shared" ca="1" si="70"/>
        <v>0</v>
      </c>
      <c r="L257" s="105">
        <f t="shared" ca="1" si="80"/>
        <v>0</v>
      </c>
      <c r="M257" s="105">
        <f t="shared" ca="1" si="72"/>
        <v>0</v>
      </c>
      <c r="N257" s="105">
        <f t="shared" ca="1" si="81"/>
        <v>0</v>
      </c>
      <c r="O257" s="105">
        <f t="shared" ca="1" si="73"/>
        <v>0</v>
      </c>
      <c r="P257" s="105">
        <f t="shared" ca="1" si="74"/>
        <v>0</v>
      </c>
      <c r="Q257" s="105">
        <f t="shared" ca="1" si="75"/>
        <v>0</v>
      </c>
      <c r="R257" s="105">
        <f t="shared" ca="1" si="76"/>
        <v>0</v>
      </c>
      <c r="S257" s="105">
        <f t="shared" ca="1" si="77"/>
        <v>10</v>
      </c>
    </row>
    <row r="258" spans="1:19" x14ac:dyDescent="0.35">
      <c r="A258" s="105">
        <f t="shared" ca="1" si="62"/>
        <v>360.82500000000107</v>
      </c>
      <c r="B258" s="105">
        <f t="shared" ca="1" si="63"/>
        <v>0</v>
      </c>
      <c r="C258" s="105">
        <f t="shared" ca="1" si="64"/>
        <v>2</v>
      </c>
      <c r="D258" s="105">
        <f t="shared" ca="1" si="65"/>
        <v>33.760000000000147</v>
      </c>
      <c r="E258" s="105">
        <f t="shared" ca="1" si="66"/>
        <v>0</v>
      </c>
      <c r="F258" s="105">
        <f t="shared" ca="1" si="67"/>
        <v>0</v>
      </c>
      <c r="G258" s="105">
        <f t="shared" ca="1" si="78"/>
        <v>0</v>
      </c>
      <c r="H258" s="105">
        <f t="shared" ca="1" si="79"/>
        <v>0</v>
      </c>
      <c r="I258" s="105">
        <f t="shared" ca="1" si="68"/>
        <v>0</v>
      </c>
      <c r="J258" s="105">
        <f t="shared" ca="1" si="69"/>
        <v>0</v>
      </c>
      <c r="K258" s="105">
        <f t="shared" ca="1" si="70"/>
        <v>0</v>
      </c>
      <c r="L258" s="105">
        <f t="shared" ca="1" si="80"/>
        <v>0</v>
      </c>
      <c r="M258" s="105">
        <f t="shared" ca="1" si="72"/>
        <v>0</v>
      </c>
      <c r="N258" s="105">
        <f t="shared" ca="1" si="81"/>
        <v>0</v>
      </c>
      <c r="O258" s="105">
        <f t="shared" ca="1" si="73"/>
        <v>0</v>
      </c>
      <c r="P258" s="105">
        <f t="shared" ca="1" si="74"/>
        <v>0</v>
      </c>
      <c r="Q258" s="105">
        <f t="shared" ca="1" si="75"/>
        <v>0</v>
      </c>
      <c r="R258" s="105">
        <f t="shared" ca="1" si="76"/>
        <v>0</v>
      </c>
      <c r="S258" s="105">
        <f t="shared" ca="1" si="77"/>
        <v>10</v>
      </c>
    </row>
    <row r="259" spans="1:19" x14ac:dyDescent="0.35">
      <c r="A259" s="105">
        <f t="shared" ca="1" si="62"/>
        <v>362.24000000000109</v>
      </c>
      <c r="B259" s="105">
        <f t="shared" ca="1" si="63"/>
        <v>0</v>
      </c>
      <c r="C259" s="105">
        <f t="shared" ca="1" si="64"/>
        <v>2</v>
      </c>
      <c r="D259" s="105">
        <f t="shared" ca="1" si="65"/>
        <v>32.345000000000148</v>
      </c>
      <c r="E259" s="105">
        <f t="shared" ca="1" si="66"/>
        <v>0</v>
      </c>
      <c r="F259" s="105">
        <f t="shared" ca="1" si="67"/>
        <v>0</v>
      </c>
      <c r="G259" s="105">
        <f t="shared" ca="1" si="78"/>
        <v>0</v>
      </c>
      <c r="H259" s="105">
        <f t="shared" ca="1" si="79"/>
        <v>0</v>
      </c>
      <c r="I259" s="105">
        <f t="shared" ca="1" si="68"/>
        <v>0</v>
      </c>
      <c r="J259" s="105">
        <f t="shared" ca="1" si="69"/>
        <v>0</v>
      </c>
      <c r="K259" s="105">
        <f t="shared" ca="1" si="70"/>
        <v>0</v>
      </c>
      <c r="L259" s="105">
        <f t="shared" ca="1" si="80"/>
        <v>0</v>
      </c>
      <c r="M259" s="105">
        <f t="shared" ca="1" si="72"/>
        <v>0</v>
      </c>
      <c r="N259" s="105">
        <f t="shared" ca="1" si="81"/>
        <v>0</v>
      </c>
      <c r="O259" s="105">
        <f t="shared" ca="1" si="73"/>
        <v>0</v>
      </c>
      <c r="P259" s="105">
        <f t="shared" ca="1" si="74"/>
        <v>0</v>
      </c>
      <c r="Q259" s="105">
        <f t="shared" ca="1" si="75"/>
        <v>0</v>
      </c>
      <c r="R259" s="105">
        <f t="shared" ca="1" si="76"/>
        <v>0</v>
      </c>
      <c r="S259" s="105">
        <f t="shared" ca="1" si="77"/>
        <v>10</v>
      </c>
    </row>
    <row r="260" spans="1:19" x14ac:dyDescent="0.35">
      <c r="A260" s="105">
        <f t="shared" ref="A260:A323" ca="1" si="82">$V$4+A259</f>
        <v>363.65500000000111</v>
      </c>
      <c r="B260" s="105">
        <f t="shared" ref="B260:B323" ca="1" si="83">IF(AND(A259&gt;$X$1,P259=0,R259=0),0,IF(AND(G259=0,H259=0),"突","")&amp;IF($V$8=0,IF(AND(OR($V$13=0,AND(K259=0,C259&lt;1),AND(K259&gt;0,OR(M259&gt;0,$V$7=0))),$V$6=1,E259=0),"渊","")&amp;IF(AND(OR($V$13=0,AND(K259=0,C259&lt;1),AND(K259&gt;0,OR(M259&gt;0,$V$7=0))),F259=0),"雷","")&amp;IF(AND(C259&gt;0,$V$13=1,E259=0,F259=0,K259=0),"任",IF(AND(G259=1,$V$7=1,I259=0),"乘","循环")),IF(AND($V$6=1,E259=0),"渊","")&amp;IF(AND(OR($V$13=0,AND(K259=0,C259&lt;1),AND(K259&gt;0,OR(M259&gt;0,$V$7=0))),F259=0),"雷","")&amp;IF(AND(C259&gt;0,L259=0,E259=0),"任",IF(AND(G259=1,$V$7=1,I259=0),"乘","循环"))))</f>
        <v>0</v>
      </c>
      <c r="C260" s="105">
        <f t="shared" ref="C260:C323" ca="1" si="84">IF(COUNTIF(B260,"*任*"),C259-1,IF(AND(D259&lt;&gt;0,D259&lt;$V$4),MIN(2,C259+1),C259))</f>
        <v>2</v>
      </c>
      <c r="D260" s="105">
        <f t="shared" ref="D260:D323" ca="1" si="85">IF(AND(D259&lt;$V$4,C259&lt;2),D259+$Y$6-$V$4,IF(AND(C259=2,COUNTIF(B260,"*任*")&gt;0),$Y$6-$V$4,MAX(0,D259-$V$4)))</f>
        <v>30.930000000000149</v>
      </c>
      <c r="E260" s="105">
        <f t="shared" ref="E260:E323" ca="1" si="86">IF(COUNTIF(B260,"*渊*")&gt;0,$Y$8-$V$4,MAX(0,E259-$V$4))</f>
        <v>0</v>
      </c>
      <c r="F260" s="105">
        <f t="shared" ref="F260:F323" ca="1" si="87">IF(COUNTIF(B260,"*雷*")&gt;0,$Y$9-$V$4,MAX(0,F259-$V$4))</f>
        <v>0</v>
      </c>
      <c r="G260" s="105">
        <f t="shared" ca="1" si="78"/>
        <v>0</v>
      </c>
      <c r="H260" s="105">
        <f t="shared" ca="1" si="79"/>
        <v>0</v>
      </c>
      <c r="I260" s="105">
        <f t="shared" ref="I260:I323" ca="1" si="88">IF(COUNTIF(B260,"*乘*")&gt;0,$Y$7-$V$4,MAX(0,I259-$V$4))</f>
        <v>0</v>
      </c>
      <c r="J260" s="105">
        <f t="shared" ref="J260:J323" ca="1" si="89">IF(H259&lt;1,$V$16,MAX(0,J259-1))*$V$11</f>
        <v>0</v>
      </c>
      <c r="K260" s="105">
        <f t="shared" ref="K260:K323" ca="1" si="90">IF(COUNTIF(B260,"*任*")&gt;0,$Z$6-$V$4+0.6875,MAX(0,K259-$V$4))</f>
        <v>0</v>
      </c>
      <c r="L260" s="105">
        <f t="shared" ca="1" si="80"/>
        <v>0</v>
      </c>
      <c r="M260" s="105">
        <f t="shared" ref="M260:M323" ca="1" si="91">IF(COUNTIF(B260,"*乘*")&gt;0,$Z$7-$V$4,MAX(0,M259-$V$4))</f>
        <v>0</v>
      </c>
      <c r="N260" s="105">
        <f t="shared" ca="1" si="81"/>
        <v>0</v>
      </c>
      <c r="O260" s="105">
        <f t="shared" ref="O260:O323" ca="1" si="92">IF(COUNTIF(B260,"*雷*")&gt;0,$Z$9-$V$4,MAX(0,O259-$V$4))</f>
        <v>0</v>
      </c>
      <c r="P260" s="105">
        <f t="shared" ref="P260:P323" ca="1" si="93">IF(O260+O259&gt;0,1,0)</f>
        <v>0</v>
      </c>
      <c r="Q260" s="105">
        <f t="shared" ref="Q260:Q323" ca="1" si="94">IF(COUNTIF(B260,"*渊*")&gt;0,$Z$8-$V$4,MAX(0,Q259-$V$4))</f>
        <v>0</v>
      </c>
      <c r="R260" s="105">
        <f t="shared" ref="R260:R323" ca="1" si="95">IF(Q260+Q259&gt;0,1,0)</f>
        <v>0</v>
      </c>
      <c r="S260" s="105">
        <f t="shared" ref="S260:S323" ca="1" si="96">IF(COUNTIF(B260,"*雷*")&gt;0,S259+1,S259)</f>
        <v>10</v>
      </c>
    </row>
    <row r="261" spans="1:19" x14ac:dyDescent="0.35">
      <c r="A261" s="105">
        <f t="shared" ca="1" si="82"/>
        <v>365.07000000000113</v>
      </c>
      <c r="B261" s="105">
        <f t="shared" ca="1" si="83"/>
        <v>0</v>
      </c>
      <c r="C261" s="105">
        <f t="shared" ca="1" si="84"/>
        <v>2</v>
      </c>
      <c r="D261" s="105">
        <f t="shared" ca="1" si="85"/>
        <v>29.51500000000015</v>
      </c>
      <c r="E261" s="105">
        <f t="shared" ca="1" si="86"/>
        <v>0</v>
      </c>
      <c r="F261" s="105">
        <f t="shared" ca="1" si="87"/>
        <v>0</v>
      </c>
      <c r="G261" s="105">
        <f t="shared" ref="G261:G324" ca="1" si="97">IF(RIGHT(B261,1)="任",1,IF(OR($V$9=0,AND(K260&lt;$V$4,H260=0)),0,G260))</f>
        <v>0</v>
      </c>
      <c r="H261" s="105">
        <f t="shared" ref="H261:H324" ca="1" si="98">IF(COUNTIF(B261,"*突*")&gt;0,$Y$5-$V$4,MAX(0,H260-$V$4))</f>
        <v>0</v>
      </c>
      <c r="I261" s="105">
        <f t="shared" ca="1" si="88"/>
        <v>0</v>
      </c>
      <c r="J261" s="105">
        <f t="shared" ca="1" si="89"/>
        <v>0</v>
      </c>
      <c r="K261" s="105">
        <f t="shared" ca="1" si="90"/>
        <v>0</v>
      </c>
      <c r="L261" s="105">
        <f t="shared" ca="1" si="80"/>
        <v>0</v>
      </c>
      <c r="M261" s="105">
        <f t="shared" ca="1" si="91"/>
        <v>0</v>
      </c>
      <c r="N261" s="105">
        <f t="shared" ca="1" si="81"/>
        <v>0</v>
      </c>
      <c r="O261" s="105">
        <f t="shared" ca="1" si="92"/>
        <v>0</v>
      </c>
      <c r="P261" s="105">
        <f t="shared" ca="1" si="93"/>
        <v>0</v>
      </c>
      <c r="Q261" s="105">
        <f t="shared" ca="1" si="94"/>
        <v>0</v>
      </c>
      <c r="R261" s="105">
        <f t="shared" ca="1" si="95"/>
        <v>0</v>
      </c>
      <c r="S261" s="105">
        <f t="shared" ca="1" si="96"/>
        <v>10</v>
      </c>
    </row>
    <row r="262" spans="1:19" x14ac:dyDescent="0.35">
      <c r="A262" s="105">
        <f t="shared" ca="1" si="82"/>
        <v>366.48500000000115</v>
      </c>
      <c r="B262" s="105">
        <f t="shared" ca="1" si="83"/>
        <v>0</v>
      </c>
      <c r="C262" s="105">
        <f t="shared" ca="1" si="84"/>
        <v>2</v>
      </c>
      <c r="D262" s="105">
        <f t="shared" ca="1" si="85"/>
        <v>28.100000000000151</v>
      </c>
      <c r="E262" s="105">
        <f t="shared" ca="1" si="86"/>
        <v>0</v>
      </c>
      <c r="F262" s="105">
        <f t="shared" ca="1" si="87"/>
        <v>0</v>
      </c>
      <c r="G262" s="105">
        <f t="shared" ca="1" si="97"/>
        <v>0</v>
      </c>
      <c r="H262" s="105">
        <f t="shared" ca="1" si="98"/>
        <v>0</v>
      </c>
      <c r="I262" s="105">
        <f t="shared" ca="1" si="88"/>
        <v>0</v>
      </c>
      <c r="J262" s="105">
        <f t="shared" ca="1" si="89"/>
        <v>0</v>
      </c>
      <c r="K262" s="105">
        <f t="shared" ca="1" si="90"/>
        <v>0</v>
      </c>
      <c r="L262" s="105">
        <f t="shared" ca="1" si="80"/>
        <v>0</v>
      </c>
      <c r="M262" s="105">
        <f t="shared" ca="1" si="91"/>
        <v>0</v>
      </c>
      <c r="N262" s="105">
        <f t="shared" ca="1" si="81"/>
        <v>0</v>
      </c>
      <c r="O262" s="105">
        <f t="shared" ca="1" si="92"/>
        <v>0</v>
      </c>
      <c r="P262" s="105">
        <f t="shared" ca="1" si="93"/>
        <v>0</v>
      </c>
      <c r="Q262" s="105">
        <f t="shared" ca="1" si="94"/>
        <v>0</v>
      </c>
      <c r="R262" s="105">
        <f t="shared" ca="1" si="95"/>
        <v>0</v>
      </c>
      <c r="S262" s="105">
        <f t="shared" ca="1" si="96"/>
        <v>10</v>
      </c>
    </row>
    <row r="263" spans="1:19" x14ac:dyDescent="0.35">
      <c r="A263" s="105">
        <f t="shared" ca="1" si="82"/>
        <v>367.90000000000117</v>
      </c>
      <c r="B263" s="105">
        <f t="shared" ca="1" si="83"/>
        <v>0</v>
      </c>
      <c r="C263" s="105">
        <f t="shared" ca="1" si="84"/>
        <v>2</v>
      </c>
      <c r="D263" s="105">
        <f t="shared" ca="1" si="85"/>
        <v>26.685000000000151</v>
      </c>
      <c r="E263" s="105">
        <f t="shared" ca="1" si="86"/>
        <v>0</v>
      </c>
      <c r="F263" s="105">
        <f t="shared" ca="1" si="87"/>
        <v>0</v>
      </c>
      <c r="G263" s="105">
        <f t="shared" ca="1" si="97"/>
        <v>0</v>
      </c>
      <c r="H263" s="105">
        <f t="shared" ca="1" si="98"/>
        <v>0</v>
      </c>
      <c r="I263" s="105">
        <f t="shared" ca="1" si="88"/>
        <v>0</v>
      </c>
      <c r="J263" s="105">
        <f t="shared" ca="1" si="89"/>
        <v>0</v>
      </c>
      <c r="K263" s="105">
        <f t="shared" ca="1" si="90"/>
        <v>0</v>
      </c>
      <c r="L263" s="105">
        <f t="shared" ca="1" si="80"/>
        <v>0</v>
      </c>
      <c r="M263" s="105">
        <f t="shared" ca="1" si="91"/>
        <v>0</v>
      </c>
      <c r="N263" s="105">
        <f t="shared" ca="1" si="81"/>
        <v>0</v>
      </c>
      <c r="O263" s="105">
        <f t="shared" ca="1" si="92"/>
        <v>0</v>
      </c>
      <c r="P263" s="105">
        <f t="shared" ca="1" si="93"/>
        <v>0</v>
      </c>
      <c r="Q263" s="105">
        <f t="shared" ca="1" si="94"/>
        <v>0</v>
      </c>
      <c r="R263" s="105">
        <f t="shared" ca="1" si="95"/>
        <v>0</v>
      </c>
      <c r="S263" s="105">
        <f t="shared" ca="1" si="96"/>
        <v>10</v>
      </c>
    </row>
    <row r="264" spans="1:19" x14ac:dyDescent="0.35">
      <c r="A264" s="105">
        <f t="shared" ca="1" si="82"/>
        <v>369.31500000000119</v>
      </c>
      <c r="B264" s="105">
        <f t="shared" ca="1" si="83"/>
        <v>0</v>
      </c>
      <c r="C264" s="105">
        <f t="shared" ca="1" si="84"/>
        <v>2</v>
      </c>
      <c r="D264" s="105">
        <f t="shared" ca="1" si="85"/>
        <v>25.270000000000152</v>
      </c>
      <c r="E264" s="105">
        <f t="shared" ca="1" si="86"/>
        <v>0</v>
      </c>
      <c r="F264" s="105">
        <f t="shared" ca="1" si="87"/>
        <v>0</v>
      </c>
      <c r="G264" s="105">
        <f t="shared" ca="1" si="97"/>
        <v>0</v>
      </c>
      <c r="H264" s="105">
        <f t="shared" ca="1" si="98"/>
        <v>0</v>
      </c>
      <c r="I264" s="105">
        <f t="shared" ca="1" si="88"/>
        <v>0</v>
      </c>
      <c r="J264" s="105">
        <f t="shared" ca="1" si="89"/>
        <v>0</v>
      </c>
      <c r="K264" s="105">
        <f t="shared" ca="1" si="90"/>
        <v>0</v>
      </c>
      <c r="L264" s="105">
        <f t="shared" ca="1" si="80"/>
        <v>0</v>
      </c>
      <c r="M264" s="105">
        <f t="shared" ca="1" si="91"/>
        <v>0</v>
      </c>
      <c r="N264" s="105">
        <f t="shared" ca="1" si="81"/>
        <v>0</v>
      </c>
      <c r="O264" s="105">
        <f t="shared" ca="1" si="92"/>
        <v>0</v>
      </c>
      <c r="P264" s="105">
        <f t="shared" ca="1" si="93"/>
        <v>0</v>
      </c>
      <c r="Q264" s="105">
        <f t="shared" ca="1" si="94"/>
        <v>0</v>
      </c>
      <c r="R264" s="105">
        <f t="shared" ca="1" si="95"/>
        <v>0</v>
      </c>
      <c r="S264" s="105">
        <f t="shared" ca="1" si="96"/>
        <v>10</v>
      </c>
    </row>
    <row r="265" spans="1:19" x14ac:dyDescent="0.35">
      <c r="A265" s="105">
        <f t="shared" ca="1" si="82"/>
        <v>370.73000000000121</v>
      </c>
      <c r="B265" s="105">
        <f t="shared" ca="1" si="83"/>
        <v>0</v>
      </c>
      <c r="C265" s="105">
        <f t="shared" ca="1" si="84"/>
        <v>2</v>
      </c>
      <c r="D265" s="105">
        <f t="shared" ca="1" si="85"/>
        <v>23.855000000000153</v>
      </c>
      <c r="E265" s="105">
        <f t="shared" ca="1" si="86"/>
        <v>0</v>
      </c>
      <c r="F265" s="105">
        <f t="shared" ca="1" si="87"/>
        <v>0</v>
      </c>
      <c r="G265" s="105">
        <f t="shared" ca="1" si="97"/>
        <v>0</v>
      </c>
      <c r="H265" s="105">
        <f t="shared" ca="1" si="98"/>
        <v>0</v>
      </c>
      <c r="I265" s="105">
        <f t="shared" ca="1" si="88"/>
        <v>0</v>
      </c>
      <c r="J265" s="105">
        <f t="shared" ca="1" si="89"/>
        <v>0</v>
      </c>
      <c r="K265" s="105">
        <f t="shared" ca="1" si="90"/>
        <v>0</v>
      </c>
      <c r="L265" s="105">
        <f t="shared" ca="1" si="80"/>
        <v>0</v>
      </c>
      <c r="M265" s="105">
        <f t="shared" ca="1" si="91"/>
        <v>0</v>
      </c>
      <c r="N265" s="105">
        <f t="shared" ca="1" si="81"/>
        <v>0</v>
      </c>
      <c r="O265" s="105">
        <f t="shared" ca="1" si="92"/>
        <v>0</v>
      </c>
      <c r="P265" s="105">
        <f t="shared" ca="1" si="93"/>
        <v>0</v>
      </c>
      <c r="Q265" s="105">
        <f t="shared" ca="1" si="94"/>
        <v>0</v>
      </c>
      <c r="R265" s="105">
        <f t="shared" ca="1" si="95"/>
        <v>0</v>
      </c>
      <c r="S265" s="105">
        <f t="shared" ca="1" si="96"/>
        <v>10</v>
      </c>
    </row>
    <row r="266" spans="1:19" x14ac:dyDescent="0.35">
      <c r="A266" s="105">
        <f t="shared" ca="1" si="82"/>
        <v>372.14500000000123</v>
      </c>
      <c r="B266" s="105">
        <f t="shared" ca="1" si="83"/>
        <v>0</v>
      </c>
      <c r="C266" s="105">
        <f t="shared" ca="1" si="84"/>
        <v>2</v>
      </c>
      <c r="D266" s="105">
        <f t="shared" ca="1" si="85"/>
        <v>22.440000000000154</v>
      </c>
      <c r="E266" s="105">
        <f t="shared" ca="1" si="86"/>
        <v>0</v>
      </c>
      <c r="F266" s="105">
        <f t="shared" ca="1" si="87"/>
        <v>0</v>
      </c>
      <c r="G266" s="105">
        <f t="shared" ca="1" si="97"/>
        <v>0</v>
      </c>
      <c r="H266" s="105">
        <f t="shared" ca="1" si="98"/>
        <v>0</v>
      </c>
      <c r="I266" s="105">
        <f t="shared" ca="1" si="88"/>
        <v>0</v>
      </c>
      <c r="J266" s="105">
        <f t="shared" ca="1" si="89"/>
        <v>0</v>
      </c>
      <c r="K266" s="105">
        <f t="shared" ca="1" si="90"/>
        <v>0</v>
      </c>
      <c r="L266" s="105">
        <f t="shared" ca="1" si="80"/>
        <v>0</v>
      </c>
      <c r="M266" s="105">
        <f t="shared" ca="1" si="91"/>
        <v>0</v>
      </c>
      <c r="N266" s="105">
        <f t="shared" ca="1" si="81"/>
        <v>0</v>
      </c>
      <c r="O266" s="105">
        <f t="shared" ca="1" si="92"/>
        <v>0</v>
      </c>
      <c r="P266" s="105">
        <f t="shared" ca="1" si="93"/>
        <v>0</v>
      </c>
      <c r="Q266" s="105">
        <f t="shared" ca="1" si="94"/>
        <v>0</v>
      </c>
      <c r="R266" s="105">
        <f t="shared" ca="1" si="95"/>
        <v>0</v>
      </c>
      <c r="S266" s="105">
        <f t="shared" ca="1" si="96"/>
        <v>10</v>
      </c>
    </row>
    <row r="267" spans="1:19" x14ac:dyDescent="0.35">
      <c r="A267" s="105">
        <f t="shared" ca="1" si="82"/>
        <v>373.56000000000125</v>
      </c>
      <c r="B267" s="105">
        <f t="shared" ca="1" si="83"/>
        <v>0</v>
      </c>
      <c r="C267" s="105">
        <f t="shared" ca="1" si="84"/>
        <v>2</v>
      </c>
      <c r="D267" s="105">
        <f t="shared" ca="1" si="85"/>
        <v>21.025000000000155</v>
      </c>
      <c r="E267" s="105">
        <f t="shared" ca="1" si="86"/>
        <v>0</v>
      </c>
      <c r="F267" s="105">
        <f t="shared" ca="1" si="87"/>
        <v>0</v>
      </c>
      <c r="G267" s="105">
        <f t="shared" ca="1" si="97"/>
        <v>0</v>
      </c>
      <c r="H267" s="105">
        <f t="shared" ca="1" si="98"/>
        <v>0</v>
      </c>
      <c r="I267" s="105">
        <f t="shared" ca="1" si="88"/>
        <v>0</v>
      </c>
      <c r="J267" s="105">
        <f t="shared" ca="1" si="89"/>
        <v>0</v>
      </c>
      <c r="K267" s="105">
        <f t="shared" ca="1" si="90"/>
        <v>0</v>
      </c>
      <c r="L267" s="105">
        <f t="shared" ca="1" si="80"/>
        <v>0</v>
      </c>
      <c r="M267" s="105">
        <f t="shared" ca="1" si="91"/>
        <v>0</v>
      </c>
      <c r="N267" s="105">
        <f t="shared" ca="1" si="81"/>
        <v>0</v>
      </c>
      <c r="O267" s="105">
        <f t="shared" ca="1" si="92"/>
        <v>0</v>
      </c>
      <c r="P267" s="105">
        <f t="shared" ca="1" si="93"/>
        <v>0</v>
      </c>
      <c r="Q267" s="105">
        <f t="shared" ca="1" si="94"/>
        <v>0</v>
      </c>
      <c r="R267" s="105">
        <f t="shared" ca="1" si="95"/>
        <v>0</v>
      </c>
      <c r="S267" s="105">
        <f t="shared" ca="1" si="96"/>
        <v>10</v>
      </c>
    </row>
    <row r="268" spans="1:19" x14ac:dyDescent="0.35">
      <c r="A268" s="105">
        <f t="shared" ca="1" si="82"/>
        <v>374.97500000000127</v>
      </c>
      <c r="B268" s="105">
        <f t="shared" ca="1" si="83"/>
        <v>0</v>
      </c>
      <c r="C268" s="105">
        <f t="shared" ca="1" si="84"/>
        <v>2</v>
      </c>
      <c r="D268" s="105">
        <f t="shared" ca="1" si="85"/>
        <v>19.610000000000156</v>
      </c>
      <c r="E268" s="105">
        <f t="shared" ca="1" si="86"/>
        <v>0</v>
      </c>
      <c r="F268" s="105">
        <f t="shared" ca="1" si="87"/>
        <v>0</v>
      </c>
      <c r="G268" s="105">
        <f t="shared" ca="1" si="97"/>
        <v>0</v>
      </c>
      <c r="H268" s="105">
        <f t="shared" ca="1" si="98"/>
        <v>0</v>
      </c>
      <c r="I268" s="105">
        <f t="shared" ca="1" si="88"/>
        <v>0</v>
      </c>
      <c r="J268" s="105">
        <f t="shared" ca="1" si="89"/>
        <v>0</v>
      </c>
      <c r="K268" s="105">
        <f t="shared" ca="1" si="90"/>
        <v>0</v>
      </c>
      <c r="L268" s="105">
        <f t="shared" ca="1" si="80"/>
        <v>0</v>
      </c>
      <c r="M268" s="105">
        <f t="shared" ca="1" si="91"/>
        <v>0</v>
      </c>
      <c r="N268" s="105">
        <f t="shared" ca="1" si="81"/>
        <v>0</v>
      </c>
      <c r="O268" s="105">
        <f t="shared" ca="1" si="92"/>
        <v>0</v>
      </c>
      <c r="P268" s="105">
        <f t="shared" ca="1" si="93"/>
        <v>0</v>
      </c>
      <c r="Q268" s="105">
        <f t="shared" ca="1" si="94"/>
        <v>0</v>
      </c>
      <c r="R268" s="105">
        <f t="shared" ca="1" si="95"/>
        <v>0</v>
      </c>
      <c r="S268" s="105">
        <f t="shared" ca="1" si="96"/>
        <v>10</v>
      </c>
    </row>
    <row r="269" spans="1:19" x14ac:dyDescent="0.35">
      <c r="A269" s="105">
        <f t="shared" ca="1" si="82"/>
        <v>376.39000000000129</v>
      </c>
      <c r="B269" s="105">
        <f t="shared" ca="1" si="83"/>
        <v>0</v>
      </c>
      <c r="C269" s="105">
        <f t="shared" ca="1" si="84"/>
        <v>2</v>
      </c>
      <c r="D269" s="105">
        <f t="shared" ca="1" si="85"/>
        <v>18.195000000000157</v>
      </c>
      <c r="E269" s="105">
        <f t="shared" ca="1" si="86"/>
        <v>0</v>
      </c>
      <c r="F269" s="105">
        <f t="shared" ca="1" si="87"/>
        <v>0</v>
      </c>
      <c r="G269" s="105">
        <f t="shared" ca="1" si="97"/>
        <v>0</v>
      </c>
      <c r="H269" s="105">
        <f t="shared" ca="1" si="98"/>
        <v>0</v>
      </c>
      <c r="I269" s="105">
        <f t="shared" ca="1" si="88"/>
        <v>0</v>
      </c>
      <c r="J269" s="105">
        <f t="shared" ca="1" si="89"/>
        <v>0</v>
      </c>
      <c r="K269" s="105">
        <f t="shared" ca="1" si="90"/>
        <v>0</v>
      </c>
      <c r="L269" s="105">
        <f t="shared" ca="1" si="80"/>
        <v>0</v>
      </c>
      <c r="M269" s="105">
        <f t="shared" ca="1" si="91"/>
        <v>0</v>
      </c>
      <c r="N269" s="105">
        <f t="shared" ca="1" si="81"/>
        <v>0</v>
      </c>
      <c r="O269" s="105">
        <f t="shared" ca="1" si="92"/>
        <v>0</v>
      </c>
      <c r="P269" s="105">
        <f t="shared" ca="1" si="93"/>
        <v>0</v>
      </c>
      <c r="Q269" s="105">
        <f t="shared" ca="1" si="94"/>
        <v>0</v>
      </c>
      <c r="R269" s="105">
        <f t="shared" ca="1" si="95"/>
        <v>0</v>
      </c>
      <c r="S269" s="105">
        <f t="shared" ca="1" si="96"/>
        <v>10</v>
      </c>
    </row>
    <row r="270" spans="1:19" x14ac:dyDescent="0.35">
      <c r="A270" s="105">
        <f t="shared" ca="1" si="82"/>
        <v>377.80500000000131</v>
      </c>
      <c r="B270" s="105">
        <f t="shared" ca="1" si="83"/>
        <v>0</v>
      </c>
      <c r="C270" s="105">
        <f t="shared" ca="1" si="84"/>
        <v>2</v>
      </c>
      <c r="D270" s="105">
        <f t="shared" ca="1" si="85"/>
        <v>16.780000000000157</v>
      </c>
      <c r="E270" s="105">
        <f t="shared" ca="1" si="86"/>
        <v>0</v>
      </c>
      <c r="F270" s="105">
        <f t="shared" ca="1" si="87"/>
        <v>0</v>
      </c>
      <c r="G270" s="105">
        <f t="shared" ca="1" si="97"/>
        <v>0</v>
      </c>
      <c r="H270" s="105">
        <f t="shared" ca="1" si="98"/>
        <v>0</v>
      </c>
      <c r="I270" s="105">
        <f t="shared" ca="1" si="88"/>
        <v>0</v>
      </c>
      <c r="J270" s="105">
        <f t="shared" ca="1" si="89"/>
        <v>0</v>
      </c>
      <c r="K270" s="105">
        <f t="shared" ca="1" si="90"/>
        <v>0</v>
      </c>
      <c r="L270" s="105">
        <f t="shared" ca="1" si="80"/>
        <v>0</v>
      </c>
      <c r="M270" s="105">
        <f t="shared" ca="1" si="91"/>
        <v>0</v>
      </c>
      <c r="N270" s="105">
        <f t="shared" ca="1" si="81"/>
        <v>0</v>
      </c>
      <c r="O270" s="105">
        <f t="shared" ca="1" si="92"/>
        <v>0</v>
      </c>
      <c r="P270" s="105">
        <f t="shared" ca="1" si="93"/>
        <v>0</v>
      </c>
      <c r="Q270" s="105">
        <f t="shared" ca="1" si="94"/>
        <v>0</v>
      </c>
      <c r="R270" s="105">
        <f t="shared" ca="1" si="95"/>
        <v>0</v>
      </c>
      <c r="S270" s="105">
        <f t="shared" ca="1" si="96"/>
        <v>10</v>
      </c>
    </row>
    <row r="271" spans="1:19" x14ac:dyDescent="0.35">
      <c r="A271" s="105">
        <f t="shared" ca="1" si="82"/>
        <v>379.22000000000133</v>
      </c>
      <c r="B271" s="105">
        <f t="shared" ca="1" si="83"/>
        <v>0</v>
      </c>
      <c r="C271" s="105">
        <f t="shared" ca="1" si="84"/>
        <v>2</v>
      </c>
      <c r="D271" s="105">
        <f t="shared" ca="1" si="85"/>
        <v>15.365000000000158</v>
      </c>
      <c r="E271" s="105">
        <f t="shared" ca="1" si="86"/>
        <v>0</v>
      </c>
      <c r="F271" s="105">
        <f t="shared" ca="1" si="87"/>
        <v>0</v>
      </c>
      <c r="G271" s="105">
        <f t="shared" ca="1" si="97"/>
        <v>0</v>
      </c>
      <c r="H271" s="105">
        <f t="shared" ca="1" si="98"/>
        <v>0</v>
      </c>
      <c r="I271" s="105">
        <f t="shared" ca="1" si="88"/>
        <v>0</v>
      </c>
      <c r="J271" s="105">
        <f t="shared" ca="1" si="89"/>
        <v>0</v>
      </c>
      <c r="K271" s="105">
        <f t="shared" ca="1" si="90"/>
        <v>0</v>
      </c>
      <c r="L271" s="105">
        <f t="shared" ca="1" si="80"/>
        <v>0</v>
      </c>
      <c r="M271" s="105">
        <f t="shared" ca="1" si="91"/>
        <v>0</v>
      </c>
      <c r="N271" s="105">
        <f t="shared" ca="1" si="81"/>
        <v>0</v>
      </c>
      <c r="O271" s="105">
        <f t="shared" ca="1" si="92"/>
        <v>0</v>
      </c>
      <c r="P271" s="105">
        <f t="shared" ca="1" si="93"/>
        <v>0</v>
      </c>
      <c r="Q271" s="105">
        <f t="shared" ca="1" si="94"/>
        <v>0</v>
      </c>
      <c r="R271" s="105">
        <f t="shared" ca="1" si="95"/>
        <v>0</v>
      </c>
      <c r="S271" s="105">
        <f t="shared" ca="1" si="96"/>
        <v>10</v>
      </c>
    </row>
    <row r="272" spans="1:19" x14ac:dyDescent="0.35">
      <c r="A272" s="105">
        <f t="shared" ca="1" si="82"/>
        <v>380.63500000000136</v>
      </c>
      <c r="B272" s="105">
        <f t="shared" ca="1" si="83"/>
        <v>0</v>
      </c>
      <c r="C272" s="105">
        <f t="shared" ca="1" si="84"/>
        <v>2</v>
      </c>
      <c r="D272" s="105">
        <f t="shared" ca="1" si="85"/>
        <v>13.950000000000159</v>
      </c>
      <c r="E272" s="105">
        <f t="shared" ca="1" si="86"/>
        <v>0</v>
      </c>
      <c r="F272" s="105">
        <f t="shared" ca="1" si="87"/>
        <v>0</v>
      </c>
      <c r="G272" s="105">
        <f t="shared" ca="1" si="97"/>
        <v>0</v>
      </c>
      <c r="H272" s="105">
        <f t="shared" ca="1" si="98"/>
        <v>0</v>
      </c>
      <c r="I272" s="105">
        <f t="shared" ca="1" si="88"/>
        <v>0</v>
      </c>
      <c r="J272" s="105">
        <f t="shared" ca="1" si="89"/>
        <v>0</v>
      </c>
      <c r="K272" s="105">
        <f t="shared" ca="1" si="90"/>
        <v>0</v>
      </c>
      <c r="L272" s="105">
        <f t="shared" ca="1" si="80"/>
        <v>0</v>
      </c>
      <c r="M272" s="105">
        <f t="shared" ca="1" si="91"/>
        <v>0</v>
      </c>
      <c r="N272" s="105">
        <f t="shared" ca="1" si="81"/>
        <v>0</v>
      </c>
      <c r="O272" s="105">
        <f t="shared" ca="1" si="92"/>
        <v>0</v>
      </c>
      <c r="P272" s="105">
        <f t="shared" ca="1" si="93"/>
        <v>0</v>
      </c>
      <c r="Q272" s="105">
        <f t="shared" ca="1" si="94"/>
        <v>0</v>
      </c>
      <c r="R272" s="105">
        <f t="shared" ca="1" si="95"/>
        <v>0</v>
      </c>
      <c r="S272" s="105">
        <f t="shared" ca="1" si="96"/>
        <v>10</v>
      </c>
    </row>
    <row r="273" spans="1:19" x14ac:dyDescent="0.35">
      <c r="A273" s="105">
        <f t="shared" ca="1" si="82"/>
        <v>382.05000000000138</v>
      </c>
      <c r="B273" s="105">
        <f t="shared" ca="1" si="83"/>
        <v>0</v>
      </c>
      <c r="C273" s="105">
        <f t="shared" ca="1" si="84"/>
        <v>2</v>
      </c>
      <c r="D273" s="105">
        <f t="shared" ca="1" si="85"/>
        <v>12.53500000000016</v>
      </c>
      <c r="E273" s="105">
        <f t="shared" ca="1" si="86"/>
        <v>0</v>
      </c>
      <c r="F273" s="105">
        <f t="shared" ca="1" si="87"/>
        <v>0</v>
      </c>
      <c r="G273" s="105">
        <f t="shared" ca="1" si="97"/>
        <v>0</v>
      </c>
      <c r="H273" s="105">
        <f t="shared" ca="1" si="98"/>
        <v>0</v>
      </c>
      <c r="I273" s="105">
        <f t="shared" ca="1" si="88"/>
        <v>0</v>
      </c>
      <c r="J273" s="105">
        <f t="shared" ca="1" si="89"/>
        <v>0</v>
      </c>
      <c r="K273" s="105">
        <f t="shared" ca="1" si="90"/>
        <v>0</v>
      </c>
      <c r="L273" s="105">
        <f t="shared" ca="1" si="80"/>
        <v>0</v>
      </c>
      <c r="M273" s="105">
        <f t="shared" ca="1" si="91"/>
        <v>0</v>
      </c>
      <c r="N273" s="105">
        <f t="shared" ca="1" si="81"/>
        <v>0</v>
      </c>
      <c r="O273" s="105">
        <f t="shared" ca="1" si="92"/>
        <v>0</v>
      </c>
      <c r="P273" s="105">
        <f t="shared" ca="1" si="93"/>
        <v>0</v>
      </c>
      <c r="Q273" s="105">
        <f t="shared" ca="1" si="94"/>
        <v>0</v>
      </c>
      <c r="R273" s="105">
        <f t="shared" ca="1" si="95"/>
        <v>0</v>
      </c>
      <c r="S273" s="105">
        <f t="shared" ca="1" si="96"/>
        <v>10</v>
      </c>
    </row>
    <row r="274" spans="1:19" x14ac:dyDescent="0.35">
      <c r="A274" s="105">
        <f t="shared" ca="1" si="82"/>
        <v>383.4650000000014</v>
      </c>
      <c r="B274" s="105">
        <f t="shared" ca="1" si="83"/>
        <v>0</v>
      </c>
      <c r="C274" s="105">
        <f t="shared" ca="1" si="84"/>
        <v>2</v>
      </c>
      <c r="D274" s="105">
        <f t="shared" ca="1" si="85"/>
        <v>11.120000000000161</v>
      </c>
      <c r="E274" s="105">
        <f t="shared" ca="1" si="86"/>
        <v>0</v>
      </c>
      <c r="F274" s="105">
        <f t="shared" ca="1" si="87"/>
        <v>0</v>
      </c>
      <c r="G274" s="105">
        <f t="shared" ca="1" si="97"/>
        <v>0</v>
      </c>
      <c r="H274" s="105">
        <f t="shared" ca="1" si="98"/>
        <v>0</v>
      </c>
      <c r="I274" s="105">
        <f t="shared" ca="1" si="88"/>
        <v>0</v>
      </c>
      <c r="J274" s="105">
        <f t="shared" ca="1" si="89"/>
        <v>0</v>
      </c>
      <c r="K274" s="105">
        <f t="shared" ca="1" si="90"/>
        <v>0</v>
      </c>
      <c r="L274" s="105">
        <f t="shared" ca="1" si="80"/>
        <v>0</v>
      </c>
      <c r="M274" s="105">
        <f t="shared" ca="1" si="91"/>
        <v>0</v>
      </c>
      <c r="N274" s="105">
        <f t="shared" ca="1" si="81"/>
        <v>0</v>
      </c>
      <c r="O274" s="105">
        <f t="shared" ca="1" si="92"/>
        <v>0</v>
      </c>
      <c r="P274" s="105">
        <f t="shared" ca="1" si="93"/>
        <v>0</v>
      </c>
      <c r="Q274" s="105">
        <f t="shared" ca="1" si="94"/>
        <v>0</v>
      </c>
      <c r="R274" s="105">
        <f t="shared" ca="1" si="95"/>
        <v>0</v>
      </c>
      <c r="S274" s="105">
        <f t="shared" ca="1" si="96"/>
        <v>10</v>
      </c>
    </row>
    <row r="275" spans="1:19" x14ac:dyDescent="0.35">
      <c r="A275" s="105">
        <f t="shared" ca="1" si="82"/>
        <v>384.88000000000142</v>
      </c>
      <c r="B275" s="105">
        <f t="shared" ca="1" si="83"/>
        <v>0</v>
      </c>
      <c r="C275" s="105">
        <f t="shared" ca="1" si="84"/>
        <v>2</v>
      </c>
      <c r="D275" s="105">
        <f t="shared" ca="1" si="85"/>
        <v>9.7050000000001617</v>
      </c>
      <c r="E275" s="105">
        <f t="shared" ca="1" si="86"/>
        <v>0</v>
      </c>
      <c r="F275" s="105">
        <f t="shared" ca="1" si="87"/>
        <v>0</v>
      </c>
      <c r="G275" s="105">
        <f t="shared" ca="1" si="97"/>
        <v>0</v>
      </c>
      <c r="H275" s="105">
        <f t="shared" ca="1" si="98"/>
        <v>0</v>
      </c>
      <c r="I275" s="105">
        <f t="shared" ca="1" si="88"/>
        <v>0</v>
      </c>
      <c r="J275" s="105">
        <f t="shared" ca="1" si="89"/>
        <v>0</v>
      </c>
      <c r="K275" s="105">
        <f t="shared" ca="1" si="90"/>
        <v>0</v>
      </c>
      <c r="L275" s="105">
        <f t="shared" ca="1" si="80"/>
        <v>0</v>
      </c>
      <c r="M275" s="105">
        <f t="shared" ca="1" si="91"/>
        <v>0</v>
      </c>
      <c r="N275" s="105">
        <f t="shared" ca="1" si="81"/>
        <v>0</v>
      </c>
      <c r="O275" s="105">
        <f t="shared" ca="1" si="92"/>
        <v>0</v>
      </c>
      <c r="P275" s="105">
        <f t="shared" ca="1" si="93"/>
        <v>0</v>
      </c>
      <c r="Q275" s="105">
        <f t="shared" ca="1" si="94"/>
        <v>0</v>
      </c>
      <c r="R275" s="105">
        <f t="shared" ca="1" si="95"/>
        <v>0</v>
      </c>
      <c r="S275" s="105">
        <f t="shared" ca="1" si="96"/>
        <v>10</v>
      </c>
    </row>
    <row r="276" spans="1:19" x14ac:dyDescent="0.35">
      <c r="A276" s="105">
        <f t="shared" ca="1" si="82"/>
        <v>386.29500000000144</v>
      </c>
      <c r="B276" s="105">
        <f t="shared" ca="1" si="83"/>
        <v>0</v>
      </c>
      <c r="C276" s="105">
        <f t="shared" ca="1" si="84"/>
        <v>2</v>
      </c>
      <c r="D276" s="105">
        <f t="shared" ca="1" si="85"/>
        <v>8.2900000000001626</v>
      </c>
      <c r="E276" s="105">
        <f t="shared" ca="1" si="86"/>
        <v>0</v>
      </c>
      <c r="F276" s="105">
        <f t="shared" ca="1" si="87"/>
        <v>0</v>
      </c>
      <c r="G276" s="105">
        <f t="shared" ca="1" si="97"/>
        <v>0</v>
      </c>
      <c r="H276" s="105">
        <f t="shared" ca="1" si="98"/>
        <v>0</v>
      </c>
      <c r="I276" s="105">
        <f t="shared" ca="1" si="88"/>
        <v>0</v>
      </c>
      <c r="J276" s="105">
        <f t="shared" ca="1" si="89"/>
        <v>0</v>
      </c>
      <c r="K276" s="105">
        <f t="shared" ca="1" si="90"/>
        <v>0</v>
      </c>
      <c r="L276" s="105">
        <f t="shared" ca="1" si="80"/>
        <v>0</v>
      </c>
      <c r="M276" s="105">
        <f t="shared" ca="1" si="91"/>
        <v>0</v>
      </c>
      <c r="N276" s="105">
        <f t="shared" ca="1" si="81"/>
        <v>0</v>
      </c>
      <c r="O276" s="105">
        <f t="shared" ca="1" si="92"/>
        <v>0</v>
      </c>
      <c r="P276" s="105">
        <f t="shared" ca="1" si="93"/>
        <v>0</v>
      </c>
      <c r="Q276" s="105">
        <f t="shared" ca="1" si="94"/>
        <v>0</v>
      </c>
      <c r="R276" s="105">
        <f t="shared" ca="1" si="95"/>
        <v>0</v>
      </c>
      <c r="S276" s="105">
        <f t="shared" ca="1" si="96"/>
        <v>10</v>
      </c>
    </row>
    <row r="277" spans="1:19" x14ac:dyDescent="0.35">
      <c r="A277" s="105">
        <f t="shared" ca="1" si="82"/>
        <v>387.71000000000146</v>
      </c>
      <c r="B277" s="105">
        <f t="shared" ca="1" si="83"/>
        <v>0</v>
      </c>
      <c r="C277" s="105">
        <f t="shared" ca="1" si="84"/>
        <v>2</v>
      </c>
      <c r="D277" s="105">
        <f t="shared" ca="1" si="85"/>
        <v>6.8750000000001625</v>
      </c>
      <c r="E277" s="105">
        <f t="shared" ca="1" si="86"/>
        <v>0</v>
      </c>
      <c r="F277" s="105">
        <f t="shared" ca="1" si="87"/>
        <v>0</v>
      </c>
      <c r="G277" s="105">
        <f t="shared" ca="1" si="97"/>
        <v>0</v>
      </c>
      <c r="H277" s="105">
        <f t="shared" ca="1" si="98"/>
        <v>0</v>
      </c>
      <c r="I277" s="105">
        <f t="shared" ca="1" si="88"/>
        <v>0</v>
      </c>
      <c r="J277" s="105">
        <f t="shared" ca="1" si="89"/>
        <v>0</v>
      </c>
      <c r="K277" s="105">
        <f t="shared" ca="1" si="90"/>
        <v>0</v>
      </c>
      <c r="L277" s="105">
        <f t="shared" ca="1" si="80"/>
        <v>0</v>
      </c>
      <c r="M277" s="105">
        <f t="shared" ca="1" si="91"/>
        <v>0</v>
      </c>
      <c r="N277" s="105">
        <f t="shared" ca="1" si="81"/>
        <v>0</v>
      </c>
      <c r="O277" s="105">
        <f t="shared" ca="1" si="92"/>
        <v>0</v>
      </c>
      <c r="P277" s="105">
        <f t="shared" ca="1" si="93"/>
        <v>0</v>
      </c>
      <c r="Q277" s="105">
        <f t="shared" ca="1" si="94"/>
        <v>0</v>
      </c>
      <c r="R277" s="105">
        <f t="shared" ca="1" si="95"/>
        <v>0</v>
      </c>
      <c r="S277" s="105">
        <f t="shared" ca="1" si="96"/>
        <v>10</v>
      </c>
    </row>
    <row r="278" spans="1:19" x14ac:dyDescent="0.35">
      <c r="A278" s="105">
        <f t="shared" ca="1" si="82"/>
        <v>389.12500000000148</v>
      </c>
      <c r="B278" s="105">
        <f t="shared" ca="1" si="83"/>
        <v>0</v>
      </c>
      <c r="C278" s="105">
        <f t="shared" ca="1" si="84"/>
        <v>2</v>
      </c>
      <c r="D278" s="105">
        <f t="shared" ca="1" si="85"/>
        <v>5.4600000000001625</v>
      </c>
      <c r="E278" s="105">
        <f t="shared" ca="1" si="86"/>
        <v>0</v>
      </c>
      <c r="F278" s="105">
        <f t="shared" ca="1" si="87"/>
        <v>0</v>
      </c>
      <c r="G278" s="105">
        <f t="shared" ca="1" si="97"/>
        <v>0</v>
      </c>
      <c r="H278" s="105">
        <f t="shared" ca="1" si="98"/>
        <v>0</v>
      </c>
      <c r="I278" s="105">
        <f t="shared" ca="1" si="88"/>
        <v>0</v>
      </c>
      <c r="J278" s="105">
        <f t="shared" ca="1" si="89"/>
        <v>0</v>
      </c>
      <c r="K278" s="105">
        <f t="shared" ca="1" si="90"/>
        <v>0</v>
      </c>
      <c r="L278" s="105">
        <f t="shared" ca="1" si="80"/>
        <v>0</v>
      </c>
      <c r="M278" s="105">
        <f t="shared" ca="1" si="91"/>
        <v>0</v>
      </c>
      <c r="N278" s="105">
        <f t="shared" ca="1" si="81"/>
        <v>0</v>
      </c>
      <c r="O278" s="105">
        <f t="shared" ca="1" si="92"/>
        <v>0</v>
      </c>
      <c r="P278" s="105">
        <f t="shared" ca="1" si="93"/>
        <v>0</v>
      </c>
      <c r="Q278" s="105">
        <f t="shared" ca="1" si="94"/>
        <v>0</v>
      </c>
      <c r="R278" s="105">
        <f t="shared" ca="1" si="95"/>
        <v>0</v>
      </c>
      <c r="S278" s="105">
        <f t="shared" ca="1" si="96"/>
        <v>10</v>
      </c>
    </row>
    <row r="279" spans="1:19" x14ac:dyDescent="0.35">
      <c r="A279" s="105">
        <f t="shared" ca="1" si="82"/>
        <v>390.5400000000015</v>
      </c>
      <c r="B279" s="105">
        <f t="shared" ca="1" si="83"/>
        <v>0</v>
      </c>
      <c r="C279" s="105">
        <f t="shared" ca="1" si="84"/>
        <v>2</v>
      </c>
      <c r="D279" s="105">
        <f t="shared" ca="1" si="85"/>
        <v>4.0450000000001625</v>
      </c>
      <c r="E279" s="105">
        <f t="shared" ca="1" si="86"/>
        <v>0</v>
      </c>
      <c r="F279" s="105">
        <f t="shared" ca="1" si="87"/>
        <v>0</v>
      </c>
      <c r="G279" s="105">
        <f t="shared" ca="1" si="97"/>
        <v>0</v>
      </c>
      <c r="H279" s="105">
        <f t="shared" ca="1" si="98"/>
        <v>0</v>
      </c>
      <c r="I279" s="105">
        <f t="shared" ca="1" si="88"/>
        <v>0</v>
      </c>
      <c r="J279" s="105">
        <f t="shared" ca="1" si="89"/>
        <v>0</v>
      </c>
      <c r="K279" s="105">
        <f t="shared" ca="1" si="90"/>
        <v>0</v>
      </c>
      <c r="L279" s="105">
        <f t="shared" ca="1" si="80"/>
        <v>0</v>
      </c>
      <c r="M279" s="105">
        <f t="shared" ca="1" si="91"/>
        <v>0</v>
      </c>
      <c r="N279" s="105">
        <f t="shared" ca="1" si="81"/>
        <v>0</v>
      </c>
      <c r="O279" s="105">
        <f t="shared" ca="1" si="92"/>
        <v>0</v>
      </c>
      <c r="P279" s="105">
        <f t="shared" ca="1" si="93"/>
        <v>0</v>
      </c>
      <c r="Q279" s="105">
        <f t="shared" ca="1" si="94"/>
        <v>0</v>
      </c>
      <c r="R279" s="105">
        <f t="shared" ca="1" si="95"/>
        <v>0</v>
      </c>
      <c r="S279" s="105">
        <f t="shared" ca="1" si="96"/>
        <v>10</v>
      </c>
    </row>
    <row r="280" spans="1:19" x14ac:dyDescent="0.35">
      <c r="A280" s="105">
        <f t="shared" ca="1" si="82"/>
        <v>391.95500000000152</v>
      </c>
      <c r="B280" s="105">
        <f t="shared" ca="1" si="83"/>
        <v>0</v>
      </c>
      <c r="C280" s="105">
        <f t="shared" ca="1" si="84"/>
        <v>2</v>
      </c>
      <c r="D280" s="105">
        <f t="shared" ca="1" si="85"/>
        <v>2.6300000000001624</v>
      </c>
      <c r="E280" s="105">
        <f t="shared" ca="1" si="86"/>
        <v>0</v>
      </c>
      <c r="F280" s="105">
        <f t="shared" ca="1" si="87"/>
        <v>0</v>
      </c>
      <c r="G280" s="105">
        <f t="shared" ca="1" si="97"/>
        <v>0</v>
      </c>
      <c r="H280" s="105">
        <f t="shared" ca="1" si="98"/>
        <v>0</v>
      </c>
      <c r="I280" s="105">
        <f t="shared" ca="1" si="88"/>
        <v>0</v>
      </c>
      <c r="J280" s="105">
        <f t="shared" ca="1" si="89"/>
        <v>0</v>
      </c>
      <c r="K280" s="105">
        <f t="shared" ca="1" si="90"/>
        <v>0</v>
      </c>
      <c r="L280" s="105">
        <f t="shared" ref="L280:L343" ca="1" si="99">IF(K280+K279&gt;0,1,0)</f>
        <v>0</v>
      </c>
      <c r="M280" s="105">
        <f t="shared" ca="1" si="91"/>
        <v>0</v>
      </c>
      <c r="N280" s="105">
        <f t="shared" ref="N280:N343" ca="1" si="100">IF(M280+M279&gt;0,1,0)</f>
        <v>0</v>
      </c>
      <c r="O280" s="105">
        <f t="shared" ca="1" si="92"/>
        <v>0</v>
      </c>
      <c r="P280" s="105">
        <f t="shared" ca="1" si="93"/>
        <v>0</v>
      </c>
      <c r="Q280" s="105">
        <f t="shared" ca="1" si="94"/>
        <v>0</v>
      </c>
      <c r="R280" s="105">
        <f t="shared" ca="1" si="95"/>
        <v>0</v>
      </c>
      <c r="S280" s="105">
        <f t="shared" ca="1" si="96"/>
        <v>10</v>
      </c>
    </row>
    <row r="281" spans="1:19" x14ac:dyDescent="0.35">
      <c r="A281" s="105">
        <f t="shared" ca="1" si="82"/>
        <v>393.37000000000154</v>
      </c>
      <c r="B281" s="105">
        <f t="shared" ca="1" si="83"/>
        <v>0</v>
      </c>
      <c r="C281" s="105">
        <f t="shared" ca="1" si="84"/>
        <v>2</v>
      </c>
      <c r="D281" s="105">
        <f t="shared" ca="1" si="85"/>
        <v>1.2150000000001624</v>
      </c>
      <c r="E281" s="105">
        <f t="shared" ca="1" si="86"/>
        <v>0</v>
      </c>
      <c r="F281" s="105">
        <f t="shared" ca="1" si="87"/>
        <v>0</v>
      </c>
      <c r="G281" s="105">
        <f t="shared" ca="1" si="97"/>
        <v>0</v>
      </c>
      <c r="H281" s="105">
        <f t="shared" ca="1" si="98"/>
        <v>0</v>
      </c>
      <c r="I281" s="105">
        <f t="shared" ca="1" si="88"/>
        <v>0</v>
      </c>
      <c r="J281" s="105">
        <f t="shared" ca="1" si="89"/>
        <v>0</v>
      </c>
      <c r="K281" s="105">
        <f t="shared" ca="1" si="90"/>
        <v>0</v>
      </c>
      <c r="L281" s="105">
        <f t="shared" ca="1" si="99"/>
        <v>0</v>
      </c>
      <c r="M281" s="105">
        <f t="shared" ca="1" si="91"/>
        <v>0</v>
      </c>
      <c r="N281" s="105">
        <f t="shared" ca="1" si="100"/>
        <v>0</v>
      </c>
      <c r="O281" s="105">
        <f t="shared" ca="1" si="92"/>
        <v>0</v>
      </c>
      <c r="P281" s="105">
        <f t="shared" ca="1" si="93"/>
        <v>0</v>
      </c>
      <c r="Q281" s="105">
        <f t="shared" ca="1" si="94"/>
        <v>0</v>
      </c>
      <c r="R281" s="105">
        <f t="shared" ca="1" si="95"/>
        <v>0</v>
      </c>
      <c r="S281" s="105">
        <f t="shared" ca="1" si="96"/>
        <v>10</v>
      </c>
    </row>
    <row r="282" spans="1:19" x14ac:dyDescent="0.35">
      <c r="A282" s="105">
        <f t="shared" ca="1" si="82"/>
        <v>394.78500000000156</v>
      </c>
      <c r="B282" s="105">
        <f t="shared" ca="1" si="83"/>
        <v>0</v>
      </c>
      <c r="C282" s="105">
        <f t="shared" ca="1" si="84"/>
        <v>2</v>
      </c>
      <c r="D282" s="105">
        <f t="shared" ca="1" si="85"/>
        <v>0</v>
      </c>
      <c r="E282" s="105">
        <f t="shared" ca="1" si="86"/>
        <v>0</v>
      </c>
      <c r="F282" s="105">
        <f t="shared" ca="1" si="87"/>
        <v>0</v>
      </c>
      <c r="G282" s="105">
        <f t="shared" ca="1" si="97"/>
        <v>0</v>
      </c>
      <c r="H282" s="105">
        <f t="shared" ca="1" si="98"/>
        <v>0</v>
      </c>
      <c r="I282" s="105">
        <f t="shared" ca="1" si="88"/>
        <v>0</v>
      </c>
      <c r="J282" s="105">
        <f t="shared" ca="1" si="89"/>
        <v>0</v>
      </c>
      <c r="K282" s="105">
        <f t="shared" ca="1" si="90"/>
        <v>0</v>
      </c>
      <c r="L282" s="105">
        <f t="shared" ca="1" si="99"/>
        <v>0</v>
      </c>
      <c r="M282" s="105">
        <f t="shared" ca="1" si="91"/>
        <v>0</v>
      </c>
      <c r="N282" s="105">
        <f t="shared" ca="1" si="100"/>
        <v>0</v>
      </c>
      <c r="O282" s="105">
        <f t="shared" ca="1" si="92"/>
        <v>0</v>
      </c>
      <c r="P282" s="105">
        <f t="shared" ca="1" si="93"/>
        <v>0</v>
      </c>
      <c r="Q282" s="105">
        <f t="shared" ca="1" si="94"/>
        <v>0</v>
      </c>
      <c r="R282" s="105">
        <f t="shared" ca="1" si="95"/>
        <v>0</v>
      </c>
      <c r="S282" s="105">
        <f t="shared" ca="1" si="96"/>
        <v>10</v>
      </c>
    </row>
    <row r="283" spans="1:19" x14ac:dyDescent="0.35">
      <c r="A283" s="105">
        <f t="shared" ca="1" si="82"/>
        <v>396.20000000000158</v>
      </c>
      <c r="B283" s="105">
        <f t="shared" ca="1" si="83"/>
        <v>0</v>
      </c>
      <c r="C283" s="105">
        <f t="shared" ca="1" si="84"/>
        <v>2</v>
      </c>
      <c r="D283" s="105">
        <f t="shared" ca="1" si="85"/>
        <v>0</v>
      </c>
      <c r="E283" s="105">
        <f t="shared" ca="1" si="86"/>
        <v>0</v>
      </c>
      <c r="F283" s="105">
        <f t="shared" ca="1" si="87"/>
        <v>0</v>
      </c>
      <c r="G283" s="105">
        <f t="shared" ca="1" si="97"/>
        <v>0</v>
      </c>
      <c r="H283" s="105">
        <f t="shared" ca="1" si="98"/>
        <v>0</v>
      </c>
      <c r="I283" s="105">
        <f t="shared" ca="1" si="88"/>
        <v>0</v>
      </c>
      <c r="J283" s="105">
        <f t="shared" ca="1" si="89"/>
        <v>0</v>
      </c>
      <c r="K283" s="105">
        <f t="shared" ca="1" si="90"/>
        <v>0</v>
      </c>
      <c r="L283" s="105">
        <f t="shared" ca="1" si="99"/>
        <v>0</v>
      </c>
      <c r="M283" s="105">
        <f t="shared" ca="1" si="91"/>
        <v>0</v>
      </c>
      <c r="N283" s="105">
        <f t="shared" ca="1" si="100"/>
        <v>0</v>
      </c>
      <c r="O283" s="105">
        <f t="shared" ca="1" si="92"/>
        <v>0</v>
      </c>
      <c r="P283" s="105">
        <f t="shared" ca="1" si="93"/>
        <v>0</v>
      </c>
      <c r="Q283" s="105">
        <f t="shared" ca="1" si="94"/>
        <v>0</v>
      </c>
      <c r="R283" s="105">
        <f t="shared" ca="1" si="95"/>
        <v>0</v>
      </c>
      <c r="S283" s="105">
        <f t="shared" ca="1" si="96"/>
        <v>10</v>
      </c>
    </row>
    <row r="284" spans="1:19" x14ac:dyDescent="0.35">
      <c r="A284" s="105">
        <f t="shared" ca="1" si="82"/>
        <v>397.6150000000016</v>
      </c>
      <c r="B284" s="105">
        <f t="shared" ca="1" si="83"/>
        <v>0</v>
      </c>
      <c r="C284" s="105">
        <f t="shared" ca="1" si="84"/>
        <v>2</v>
      </c>
      <c r="D284" s="105">
        <f t="shared" ca="1" si="85"/>
        <v>0</v>
      </c>
      <c r="E284" s="105">
        <f t="shared" ca="1" si="86"/>
        <v>0</v>
      </c>
      <c r="F284" s="105">
        <f t="shared" ca="1" si="87"/>
        <v>0</v>
      </c>
      <c r="G284" s="105">
        <f t="shared" ca="1" si="97"/>
        <v>0</v>
      </c>
      <c r="H284" s="105">
        <f t="shared" ca="1" si="98"/>
        <v>0</v>
      </c>
      <c r="I284" s="105">
        <f t="shared" ca="1" si="88"/>
        <v>0</v>
      </c>
      <c r="J284" s="105">
        <f t="shared" ca="1" si="89"/>
        <v>0</v>
      </c>
      <c r="K284" s="105">
        <f t="shared" ca="1" si="90"/>
        <v>0</v>
      </c>
      <c r="L284" s="105">
        <f t="shared" ca="1" si="99"/>
        <v>0</v>
      </c>
      <c r="M284" s="105">
        <f t="shared" ca="1" si="91"/>
        <v>0</v>
      </c>
      <c r="N284" s="105">
        <f t="shared" ca="1" si="100"/>
        <v>0</v>
      </c>
      <c r="O284" s="105">
        <f t="shared" ca="1" si="92"/>
        <v>0</v>
      </c>
      <c r="P284" s="105">
        <f t="shared" ca="1" si="93"/>
        <v>0</v>
      </c>
      <c r="Q284" s="105">
        <f t="shared" ca="1" si="94"/>
        <v>0</v>
      </c>
      <c r="R284" s="105">
        <f t="shared" ca="1" si="95"/>
        <v>0</v>
      </c>
      <c r="S284" s="105">
        <f t="shared" ca="1" si="96"/>
        <v>10</v>
      </c>
    </row>
    <row r="285" spans="1:19" x14ac:dyDescent="0.35">
      <c r="A285" s="105">
        <f t="shared" ca="1" si="82"/>
        <v>399.03000000000162</v>
      </c>
      <c r="B285" s="105">
        <f t="shared" ca="1" si="83"/>
        <v>0</v>
      </c>
      <c r="C285" s="105">
        <f t="shared" ca="1" si="84"/>
        <v>2</v>
      </c>
      <c r="D285" s="105">
        <f t="shared" ca="1" si="85"/>
        <v>0</v>
      </c>
      <c r="E285" s="105">
        <f t="shared" ca="1" si="86"/>
        <v>0</v>
      </c>
      <c r="F285" s="105">
        <f t="shared" ca="1" si="87"/>
        <v>0</v>
      </c>
      <c r="G285" s="105">
        <f t="shared" ca="1" si="97"/>
        <v>0</v>
      </c>
      <c r="H285" s="105">
        <f t="shared" ca="1" si="98"/>
        <v>0</v>
      </c>
      <c r="I285" s="105">
        <f t="shared" ca="1" si="88"/>
        <v>0</v>
      </c>
      <c r="J285" s="105">
        <f t="shared" ca="1" si="89"/>
        <v>0</v>
      </c>
      <c r="K285" s="105">
        <f t="shared" ca="1" si="90"/>
        <v>0</v>
      </c>
      <c r="L285" s="105">
        <f t="shared" ca="1" si="99"/>
        <v>0</v>
      </c>
      <c r="M285" s="105">
        <f t="shared" ca="1" si="91"/>
        <v>0</v>
      </c>
      <c r="N285" s="105">
        <f t="shared" ca="1" si="100"/>
        <v>0</v>
      </c>
      <c r="O285" s="105">
        <f t="shared" ca="1" si="92"/>
        <v>0</v>
      </c>
      <c r="P285" s="105">
        <f t="shared" ca="1" si="93"/>
        <v>0</v>
      </c>
      <c r="Q285" s="105">
        <f t="shared" ca="1" si="94"/>
        <v>0</v>
      </c>
      <c r="R285" s="105">
        <f t="shared" ca="1" si="95"/>
        <v>0</v>
      </c>
      <c r="S285" s="105">
        <f t="shared" ca="1" si="96"/>
        <v>10</v>
      </c>
    </row>
    <row r="286" spans="1:19" x14ac:dyDescent="0.35">
      <c r="A286" s="105">
        <f t="shared" ca="1" si="82"/>
        <v>400.44500000000164</v>
      </c>
      <c r="B286" s="105">
        <f t="shared" ca="1" si="83"/>
        <v>0</v>
      </c>
      <c r="C286" s="105">
        <f t="shared" ca="1" si="84"/>
        <v>2</v>
      </c>
      <c r="D286" s="105">
        <f t="shared" ca="1" si="85"/>
        <v>0</v>
      </c>
      <c r="E286" s="105">
        <f t="shared" ca="1" si="86"/>
        <v>0</v>
      </c>
      <c r="F286" s="105">
        <f t="shared" ca="1" si="87"/>
        <v>0</v>
      </c>
      <c r="G286" s="105">
        <f t="shared" ca="1" si="97"/>
        <v>0</v>
      </c>
      <c r="H286" s="105">
        <f t="shared" ca="1" si="98"/>
        <v>0</v>
      </c>
      <c r="I286" s="105">
        <f t="shared" ca="1" si="88"/>
        <v>0</v>
      </c>
      <c r="J286" s="105">
        <f t="shared" ca="1" si="89"/>
        <v>0</v>
      </c>
      <c r="K286" s="105">
        <f t="shared" ca="1" si="90"/>
        <v>0</v>
      </c>
      <c r="L286" s="105">
        <f t="shared" ca="1" si="99"/>
        <v>0</v>
      </c>
      <c r="M286" s="105">
        <f t="shared" ca="1" si="91"/>
        <v>0</v>
      </c>
      <c r="N286" s="105">
        <f t="shared" ca="1" si="100"/>
        <v>0</v>
      </c>
      <c r="O286" s="105">
        <f t="shared" ca="1" si="92"/>
        <v>0</v>
      </c>
      <c r="P286" s="105">
        <f t="shared" ca="1" si="93"/>
        <v>0</v>
      </c>
      <c r="Q286" s="105">
        <f t="shared" ca="1" si="94"/>
        <v>0</v>
      </c>
      <c r="R286" s="105">
        <f t="shared" ca="1" si="95"/>
        <v>0</v>
      </c>
      <c r="S286" s="105">
        <f t="shared" ca="1" si="96"/>
        <v>10</v>
      </c>
    </row>
    <row r="287" spans="1:19" x14ac:dyDescent="0.35">
      <c r="A287" s="105">
        <f t="shared" ca="1" si="82"/>
        <v>401.86000000000166</v>
      </c>
      <c r="B287" s="105">
        <f t="shared" ca="1" si="83"/>
        <v>0</v>
      </c>
      <c r="C287" s="105">
        <f t="shared" ca="1" si="84"/>
        <v>2</v>
      </c>
      <c r="D287" s="105">
        <f t="shared" ca="1" si="85"/>
        <v>0</v>
      </c>
      <c r="E287" s="105">
        <f t="shared" ca="1" si="86"/>
        <v>0</v>
      </c>
      <c r="F287" s="105">
        <f t="shared" ca="1" si="87"/>
        <v>0</v>
      </c>
      <c r="G287" s="105">
        <f t="shared" ca="1" si="97"/>
        <v>0</v>
      </c>
      <c r="H287" s="105">
        <f t="shared" ca="1" si="98"/>
        <v>0</v>
      </c>
      <c r="I287" s="105">
        <f t="shared" ca="1" si="88"/>
        <v>0</v>
      </c>
      <c r="J287" s="105">
        <f t="shared" ca="1" si="89"/>
        <v>0</v>
      </c>
      <c r="K287" s="105">
        <f t="shared" ca="1" si="90"/>
        <v>0</v>
      </c>
      <c r="L287" s="105">
        <f t="shared" ca="1" si="99"/>
        <v>0</v>
      </c>
      <c r="M287" s="105">
        <f t="shared" ca="1" si="91"/>
        <v>0</v>
      </c>
      <c r="N287" s="105">
        <f t="shared" ca="1" si="100"/>
        <v>0</v>
      </c>
      <c r="O287" s="105">
        <f t="shared" ca="1" si="92"/>
        <v>0</v>
      </c>
      <c r="P287" s="105">
        <f t="shared" ca="1" si="93"/>
        <v>0</v>
      </c>
      <c r="Q287" s="105">
        <f t="shared" ca="1" si="94"/>
        <v>0</v>
      </c>
      <c r="R287" s="105">
        <f t="shared" ca="1" si="95"/>
        <v>0</v>
      </c>
      <c r="S287" s="105">
        <f t="shared" ca="1" si="96"/>
        <v>10</v>
      </c>
    </row>
    <row r="288" spans="1:19" x14ac:dyDescent="0.35">
      <c r="A288" s="105">
        <f t="shared" ca="1" si="82"/>
        <v>403.27500000000168</v>
      </c>
      <c r="B288" s="105">
        <f t="shared" ca="1" si="83"/>
        <v>0</v>
      </c>
      <c r="C288" s="105">
        <f t="shared" ca="1" si="84"/>
        <v>2</v>
      </c>
      <c r="D288" s="105">
        <f t="shared" ca="1" si="85"/>
        <v>0</v>
      </c>
      <c r="E288" s="105">
        <f t="shared" ca="1" si="86"/>
        <v>0</v>
      </c>
      <c r="F288" s="105">
        <f t="shared" ca="1" si="87"/>
        <v>0</v>
      </c>
      <c r="G288" s="105">
        <f t="shared" ca="1" si="97"/>
        <v>0</v>
      </c>
      <c r="H288" s="105">
        <f t="shared" ca="1" si="98"/>
        <v>0</v>
      </c>
      <c r="I288" s="105">
        <f t="shared" ca="1" si="88"/>
        <v>0</v>
      </c>
      <c r="J288" s="105">
        <f t="shared" ca="1" si="89"/>
        <v>0</v>
      </c>
      <c r="K288" s="105">
        <f t="shared" ca="1" si="90"/>
        <v>0</v>
      </c>
      <c r="L288" s="105">
        <f t="shared" ca="1" si="99"/>
        <v>0</v>
      </c>
      <c r="M288" s="105">
        <f t="shared" ca="1" si="91"/>
        <v>0</v>
      </c>
      <c r="N288" s="105">
        <f t="shared" ca="1" si="100"/>
        <v>0</v>
      </c>
      <c r="O288" s="105">
        <f t="shared" ca="1" si="92"/>
        <v>0</v>
      </c>
      <c r="P288" s="105">
        <f t="shared" ca="1" si="93"/>
        <v>0</v>
      </c>
      <c r="Q288" s="105">
        <f t="shared" ca="1" si="94"/>
        <v>0</v>
      </c>
      <c r="R288" s="105">
        <f t="shared" ca="1" si="95"/>
        <v>0</v>
      </c>
      <c r="S288" s="105">
        <f t="shared" ca="1" si="96"/>
        <v>10</v>
      </c>
    </row>
    <row r="289" spans="1:19" x14ac:dyDescent="0.35">
      <c r="A289" s="105">
        <f t="shared" ca="1" si="82"/>
        <v>404.6900000000017</v>
      </c>
      <c r="B289" s="105">
        <f t="shared" ca="1" si="83"/>
        <v>0</v>
      </c>
      <c r="C289" s="105">
        <f t="shared" ca="1" si="84"/>
        <v>2</v>
      </c>
      <c r="D289" s="105">
        <f t="shared" ca="1" si="85"/>
        <v>0</v>
      </c>
      <c r="E289" s="105">
        <f t="shared" ca="1" si="86"/>
        <v>0</v>
      </c>
      <c r="F289" s="105">
        <f t="shared" ca="1" si="87"/>
        <v>0</v>
      </c>
      <c r="G289" s="105">
        <f t="shared" ca="1" si="97"/>
        <v>0</v>
      </c>
      <c r="H289" s="105">
        <f t="shared" ca="1" si="98"/>
        <v>0</v>
      </c>
      <c r="I289" s="105">
        <f t="shared" ca="1" si="88"/>
        <v>0</v>
      </c>
      <c r="J289" s="105">
        <f t="shared" ca="1" si="89"/>
        <v>0</v>
      </c>
      <c r="K289" s="105">
        <f t="shared" ca="1" si="90"/>
        <v>0</v>
      </c>
      <c r="L289" s="105">
        <f t="shared" ca="1" si="99"/>
        <v>0</v>
      </c>
      <c r="M289" s="105">
        <f t="shared" ca="1" si="91"/>
        <v>0</v>
      </c>
      <c r="N289" s="105">
        <f t="shared" ca="1" si="100"/>
        <v>0</v>
      </c>
      <c r="O289" s="105">
        <f t="shared" ca="1" si="92"/>
        <v>0</v>
      </c>
      <c r="P289" s="105">
        <f t="shared" ca="1" si="93"/>
        <v>0</v>
      </c>
      <c r="Q289" s="105">
        <f t="shared" ca="1" si="94"/>
        <v>0</v>
      </c>
      <c r="R289" s="105">
        <f t="shared" ca="1" si="95"/>
        <v>0</v>
      </c>
      <c r="S289" s="105">
        <f t="shared" ca="1" si="96"/>
        <v>10</v>
      </c>
    </row>
    <row r="290" spans="1:19" x14ac:dyDescent="0.35">
      <c r="A290" s="105">
        <f t="shared" ca="1" si="82"/>
        <v>406.10500000000172</v>
      </c>
      <c r="B290" s="105">
        <f t="shared" ca="1" si="83"/>
        <v>0</v>
      </c>
      <c r="C290" s="105">
        <f t="shared" ca="1" si="84"/>
        <v>2</v>
      </c>
      <c r="D290" s="105">
        <f t="shared" ca="1" si="85"/>
        <v>0</v>
      </c>
      <c r="E290" s="105">
        <f t="shared" ca="1" si="86"/>
        <v>0</v>
      </c>
      <c r="F290" s="105">
        <f t="shared" ca="1" si="87"/>
        <v>0</v>
      </c>
      <c r="G290" s="105">
        <f t="shared" ca="1" si="97"/>
        <v>0</v>
      </c>
      <c r="H290" s="105">
        <f t="shared" ca="1" si="98"/>
        <v>0</v>
      </c>
      <c r="I290" s="105">
        <f t="shared" ca="1" si="88"/>
        <v>0</v>
      </c>
      <c r="J290" s="105">
        <f t="shared" ca="1" si="89"/>
        <v>0</v>
      </c>
      <c r="K290" s="105">
        <f t="shared" ca="1" si="90"/>
        <v>0</v>
      </c>
      <c r="L290" s="105">
        <f t="shared" ca="1" si="99"/>
        <v>0</v>
      </c>
      <c r="M290" s="105">
        <f t="shared" ca="1" si="91"/>
        <v>0</v>
      </c>
      <c r="N290" s="105">
        <f t="shared" ca="1" si="100"/>
        <v>0</v>
      </c>
      <c r="O290" s="105">
        <f t="shared" ca="1" si="92"/>
        <v>0</v>
      </c>
      <c r="P290" s="105">
        <f t="shared" ca="1" si="93"/>
        <v>0</v>
      </c>
      <c r="Q290" s="105">
        <f t="shared" ca="1" si="94"/>
        <v>0</v>
      </c>
      <c r="R290" s="105">
        <f t="shared" ca="1" si="95"/>
        <v>0</v>
      </c>
      <c r="S290" s="105">
        <f t="shared" ca="1" si="96"/>
        <v>10</v>
      </c>
    </row>
    <row r="291" spans="1:19" x14ac:dyDescent="0.35">
      <c r="A291" s="105">
        <f t="shared" ca="1" si="82"/>
        <v>407.52000000000174</v>
      </c>
      <c r="B291" s="105">
        <f t="shared" ca="1" si="83"/>
        <v>0</v>
      </c>
      <c r="C291" s="105">
        <f t="shared" ca="1" si="84"/>
        <v>2</v>
      </c>
      <c r="D291" s="105">
        <f t="shared" ca="1" si="85"/>
        <v>0</v>
      </c>
      <c r="E291" s="105">
        <f t="shared" ca="1" si="86"/>
        <v>0</v>
      </c>
      <c r="F291" s="105">
        <f t="shared" ca="1" si="87"/>
        <v>0</v>
      </c>
      <c r="G291" s="105">
        <f t="shared" ca="1" si="97"/>
        <v>0</v>
      </c>
      <c r="H291" s="105">
        <f t="shared" ca="1" si="98"/>
        <v>0</v>
      </c>
      <c r="I291" s="105">
        <f t="shared" ca="1" si="88"/>
        <v>0</v>
      </c>
      <c r="J291" s="105">
        <f t="shared" ca="1" si="89"/>
        <v>0</v>
      </c>
      <c r="K291" s="105">
        <f t="shared" ca="1" si="90"/>
        <v>0</v>
      </c>
      <c r="L291" s="105">
        <f t="shared" ca="1" si="99"/>
        <v>0</v>
      </c>
      <c r="M291" s="105">
        <f t="shared" ca="1" si="91"/>
        <v>0</v>
      </c>
      <c r="N291" s="105">
        <f t="shared" ca="1" si="100"/>
        <v>0</v>
      </c>
      <c r="O291" s="105">
        <f t="shared" ca="1" si="92"/>
        <v>0</v>
      </c>
      <c r="P291" s="105">
        <f t="shared" ca="1" si="93"/>
        <v>0</v>
      </c>
      <c r="Q291" s="105">
        <f t="shared" ca="1" si="94"/>
        <v>0</v>
      </c>
      <c r="R291" s="105">
        <f t="shared" ca="1" si="95"/>
        <v>0</v>
      </c>
      <c r="S291" s="105">
        <f t="shared" ca="1" si="96"/>
        <v>10</v>
      </c>
    </row>
    <row r="292" spans="1:19" x14ac:dyDescent="0.35">
      <c r="A292" s="105">
        <f t="shared" ca="1" si="82"/>
        <v>408.93500000000176</v>
      </c>
      <c r="B292" s="105">
        <f t="shared" ca="1" si="83"/>
        <v>0</v>
      </c>
      <c r="C292" s="105">
        <f t="shared" ca="1" si="84"/>
        <v>2</v>
      </c>
      <c r="D292" s="105">
        <f t="shared" ca="1" si="85"/>
        <v>0</v>
      </c>
      <c r="E292" s="105">
        <f t="shared" ca="1" si="86"/>
        <v>0</v>
      </c>
      <c r="F292" s="105">
        <f t="shared" ca="1" si="87"/>
        <v>0</v>
      </c>
      <c r="G292" s="105">
        <f t="shared" ca="1" si="97"/>
        <v>0</v>
      </c>
      <c r="H292" s="105">
        <f t="shared" ca="1" si="98"/>
        <v>0</v>
      </c>
      <c r="I292" s="105">
        <f t="shared" ca="1" si="88"/>
        <v>0</v>
      </c>
      <c r="J292" s="105">
        <f t="shared" ca="1" si="89"/>
        <v>0</v>
      </c>
      <c r="K292" s="105">
        <f t="shared" ca="1" si="90"/>
        <v>0</v>
      </c>
      <c r="L292" s="105">
        <f t="shared" ca="1" si="99"/>
        <v>0</v>
      </c>
      <c r="M292" s="105">
        <f t="shared" ca="1" si="91"/>
        <v>0</v>
      </c>
      <c r="N292" s="105">
        <f t="shared" ca="1" si="100"/>
        <v>0</v>
      </c>
      <c r="O292" s="105">
        <f t="shared" ca="1" si="92"/>
        <v>0</v>
      </c>
      <c r="P292" s="105">
        <f t="shared" ca="1" si="93"/>
        <v>0</v>
      </c>
      <c r="Q292" s="105">
        <f t="shared" ca="1" si="94"/>
        <v>0</v>
      </c>
      <c r="R292" s="105">
        <f t="shared" ca="1" si="95"/>
        <v>0</v>
      </c>
      <c r="S292" s="105">
        <f t="shared" ca="1" si="96"/>
        <v>10</v>
      </c>
    </row>
    <row r="293" spans="1:19" x14ac:dyDescent="0.35">
      <c r="A293" s="105">
        <f t="shared" ca="1" si="82"/>
        <v>410.35000000000178</v>
      </c>
      <c r="B293" s="105">
        <f t="shared" ca="1" si="83"/>
        <v>0</v>
      </c>
      <c r="C293" s="105">
        <f t="shared" ca="1" si="84"/>
        <v>2</v>
      </c>
      <c r="D293" s="105">
        <f t="shared" ca="1" si="85"/>
        <v>0</v>
      </c>
      <c r="E293" s="105">
        <f t="shared" ca="1" si="86"/>
        <v>0</v>
      </c>
      <c r="F293" s="105">
        <f t="shared" ca="1" si="87"/>
        <v>0</v>
      </c>
      <c r="G293" s="105">
        <f t="shared" ca="1" si="97"/>
        <v>0</v>
      </c>
      <c r="H293" s="105">
        <f t="shared" ca="1" si="98"/>
        <v>0</v>
      </c>
      <c r="I293" s="105">
        <f t="shared" ca="1" si="88"/>
        <v>0</v>
      </c>
      <c r="J293" s="105">
        <f t="shared" ca="1" si="89"/>
        <v>0</v>
      </c>
      <c r="K293" s="105">
        <f t="shared" ca="1" si="90"/>
        <v>0</v>
      </c>
      <c r="L293" s="105">
        <f t="shared" ca="1" si="99"/>
        <v>0</v>
      </c>
      <c r="M293" s="105">
        <f t="shared" ca="1" si="91"/>
        <v>0</v>
      </c>
      <c r="N293" s="105">
        <f t="shared" ca="1" si="100"/>
        <v>0</v>
      </c>
      <c r="O293" s="105">
        <f t="shared" ca="1" si="92"/>
        <v>0</v>
      </c>
      <c r="P293" s="105">
        <f t="shared" ca="1" si="93"/>
        <v>0</v>
      </c>
      <c r="Q293" s="105">
        <f t="shared" ca="1" si="94"/>
        <v>0</v>
      </c>
      <c r="R293" s="105">
        <f t="shared" ca="1" si="95"/>
        <v>0</v>
      </c>
      <c r="S293" s="105">
        <f t="shared" ca="1" si="96"/>
        <v>10</v>
      </c>
    </row>
    <row r="294" spans="1:19" x14ac:dyDescent="0.35">
      <c r="A294" s="105">
        <f t="shared" ca="1" si="82"/>
        <v>411.76500000000181</v>
      </c>
      <c r="B294" s="105">
        <f t="shared" ca="1" si="83"/>
        <v>0</v>
      </c>
      <c r="C294" s="105">
        <f t="shared" ca="1" si="84"/>
        <v>2</v>
      </c>
      <c r="D294" s="105">
        <f t="shared" ca="1" si="85"/>
        <v>0</v>
      </c>
      <c r="E294" s="105">
        <f t="shared" ca="1" si="86"/>
        <v>0</v>
      </c>
      <c r="F294" s="105">
        <f t="shared" ca="1" si="87"/>
        <v>0</v>
      </c>
      <c r="G294" s="105">
        <f t="shared" ca="1" si="97"/>
        <v>0</v>
      </c>
      <c r="H294" s="105">
        <f t="shared" ca="1" si="98"/>
        <v>0</v>
      </c>
      <c r="I294" s="105">
        <f t="shared" ca="1" si="88"/>
        <v>0</v>
      </c>
      <c r="J294" s="105">
        <f t="shared" ca="1" si="89"/>
        <v>0</v>
      </c>
      <c r="K294" s="105">
        <f t="shared" ca="1" si="90"/>
        <v>0</v>
      </c>
      <c r="L294" s="105">
        <f t="shared" ca="1" si="99"/>
        <v>0</v>
      </c>
      <c r="M294" s="105">
        <f t="shared" ca="1" si="91"/>
        <v>0</v>
      </c>
      <c r="N294" s="105">
        <f t="shared" ca="1" si="100"/>
        <v>0</v>
      </c>
      <c r="O294" s="105">
        <f t="shared" ca="1" si="92"/>
        <v>0</v>
      </c>
      <c r="P294" s="105">
        <f t="shared" ca="1" si="93"/>
        <v>0</v>
      </c>
      <c r="Q294" s="105">
        <f t="shared" ca="1" si="94"/>
        <v>0</v>
      </c>
      <c r="R294" s="105">
        <f t="shared" ca="1" si="95"/>
        <v>0</v>
      </c>
      <c r="S294" s="105">
        <f t="shared" ca="1" si="96"/>
        <v>10</v>
      </c>
    </row>
    <row r="295" spans="1:19" x14ac:dyDescent="0.35">
      <c r="A295" s="105">
        <f t="shared" ca="1" si="82"/>
        <v>413.18000000000183</v>
      </c>
      <c r="B295" s="105">
        <f t="shared" ca="1" si="83"/>
        <v>0</v>
      </c>
      <c r="C295" s="105">
        <f t="shared" ca="1" si="84"/>
        <v>2</v>
      </c>
      <c r="D295" s="105">
        <f t="shared" ca="1" si="85"/>
        <v>0</v>
      </c>
      <c r="E295" s="105">
        <f t="shared" ca="1" si="86"/>
        <v>0</v>
      </c>
      <c r="F295" s="105">
        <f t="shared" ca="1" si="87"/>
        <v>0</v>
      </c>
      <c r="G295" s="105">
        <f t="shared" ca="1" si="97"/>
        <v>0</v>
      </c>
      <c r="H295" s="105">
        <f t="shared" ca="1" si="98"/>
        <v>0</v>
      </c>
      <c r="I295" s="105">
        <f t="shared" ca="1" si="88"/>
        <v>0</v>
      </c>
      <c r="J295" s="105">
        <f t="shared" ca="1" si="89"/>
        <v>0</v>
      </c>
      <c r="K295" s="105">
        <f t="shared" ca="1" si="90"/>
        <v>0</v>
      </c>
      <c r="L295" s="105">
        <f t="shared" ca="1" si="99"/>
        <v>0</v>
      </c>
      <c r="M295" s="105">
        <f t="shared" ca="1" si="91"/>
        <v>0</v>
      </c>
      <c r="N295" s="105">
        <f t="shared" ca="1" si="100"/>
        <v>0</v>
      </c>
      <c r="O295" s="105">
        <f t="shared" ca="1" si="92"/>
        <v>0</v>
      </c>
      <c r="P295" s="105">
        <f t="shared" ca="1" si="93"/>
        <v>0</v>
      </c>
      <c r="Q295" s="105">
        <f t="shared" ca="1" si="94"/>
        <v>0</v>
      </c>
      <c r="R295" s="105">
        <f t="shared" ca="1" si="95"/>
        <v>0</v>
      </c>
      <c r="S295" s="105">
        <f t="shared" ca="1" si="96"/>
        <v>10</v>
      </c>
    </row>
    <row r="296" spans="1:19" x14ac:dyDescent="0.35">
      <c r="A296" s="105">
        <f t="shared" ca="1" si="82"/>
        <v>414.59500000000185</v>
      </c>
      <c r="B296" s="105">
        <f t="shared" ca="1" si="83"/>
        <v>0</v>
      </c>
      <c r="C296" s="105">
        <f t="shared" ca="1" si="84"/>
        <v>2</v>
      </c>
      <c r="D296" s="105">
        <f t="shared" ca="1" si="85"/>
        <v>0</v>
      </c>
      <c r="E296" s="105">
        <f t="shared" ca="1" si="86"/>
        <v>0</v>
      </c>
      <c r="F296" s="105">
        <f t="shared" ca="1" si="87"/>
        <v>0</v>
      </c>
      <c r="G296" s="105">
        <f t="shared" ca="1" si="97"/>
        <v>0</v>
      </c>
      <c r="H296" s="105">
        <f t="shared" ca="1" si="98"/>
        <v>0</v>
      </c>
      <c r="I296" s="105">
        <f t="shared" ca="1" si="88"/>
        <v>0</v>
      </c>
      <c r="J296" s="105">
        <f t="shared" ca="1" si="89"/>
        <v>0</v>
      </c>
      <c r="K296" s="105">
        <f t="shared" ca="1" si="90"/>
        <v>0</v>
      </c>
      <c r="L296" s="105">
        <f t="shared" ca="1" si="99"/>
        <v>0</v>
      </c>
      <c r="M296" s="105">
        <f t="shared" ca="1" si="91"/>
        <v>0</v>
      </c>
      <c r="N296" s="105">
        <f t="shared" ca="1" si="100"/>
        <v>0</v>
      </c>
      <c r="O296" s="105">
        <f t="shared" ca="1" si="92"/>
        <v>0</v>
      </c>
      <c r="P296" s="105">
        <f t="shared" ca="1" si="93"/>
        <v>0</v>
      </c>
      <c r="Q296" s="105">
        <f t="shared" ca="1" si="94"/>
        <v>0</v>
      </c>
      <c r="R296" s="105">
        <f t="shared" ca="1" si="95"/>
        <v>0</v>
      </c>
      <c r="S296" s="105">
        <f t="shared" ca="1" si="96"/>
        <v>10</v>
      </c>
    </row>
    <row r="297" spans="1:19" x14ac:dyDescent="0.35">
      <c r="A297" s="105">
        <f t="shared" ca="1" si="82"/>
        <v>416.01000000000187</v>
      </c>
      <c r="B297" s="105">
        <f t="shared" ca="1" si="83"/>
        <v>0</v>
      </c>
      <c r="C297" s="105">
        <f t="shared" ca="1" si="84"/>
        <v>2</v>
      </c>
      <c r="D297" s="105">
        <f t="shared" ca="1" si="85"/>
        <v>0</v>
      </c>
      <c r="E297" s="105">
        <f t="shared" ca="1" si="86"/>
        <v>0</v>
      </c>
      <c r="F297" s="105">
        <f t="shared" ca="1" si="87"/>
        <v>0</v>
      </c>
      <c r="G297" s="105">
        <f t="shared" ca="1" si="97"/>
        <v>0</v>
      </c>
      <c r="H297" s="105">
        <f t="shared" ca="1" si="98"/>
        <v>0</v>
      </c>
      <c r="I297" s="105">
        <f t="shared" ca="1" si="88"/>
        <v>0</v>
      </c>
      <c r="J297" s="105">
        <f t="shared" ca="1" si="89"/>
        <v>0</v>
      </c>
      <c r="K297" s="105">
        <f t="shared" ca="1" si="90"/>
        <v>0</v>
      </c>
      <c r="L297" s="105">
        <f t="shared" ca="1" si="99"/>
        <v>0</v>
      </c>
      <c r="M297" s="105">
        <f t="shared" ca="1" si="91"/>
        <v>0</v>
      </c>
      <c r="N297" s="105">
        <f t="shared" ca="1" si="100"/>
        <v>0</v>
      </c>
      <c r="O297" s="105">
        <f t="shared" ca="1" si="92"/>
        <v>0</v>
      </c>
      <c r="P297" s="105">
        <f t="shared" ca="1" si="93"/>
        <v>0</v>
      </c>
      <c r="Q297" s="105">
        <f t="shared" ca="1" si="94"/>
        <v>0</v>
      </c>
      <c r="R297" s="105">
        <f t="shared" ca="1" si="95"/>
        <v>0</v>
      </c>
      <c r="S297" s="105">
        <f t="shared" ca="1" si="96"/>
        <v>10</v>
      </c>
    </row>
    <row r="298" spans="1:19" x14ac:dyDescent="0.35">
      <c r="A298" s="105">
        <f t="shared" ca="1" si="82"/>
        <v>417.42500000000189</v>
      </c>
      <c r="B298" s="105">
        <f t="shared" ca="1" si="83"/>
        <v>0</v>
      </c>
      <c r="C298" s="105">
        <f t="shared" ca="1" si="84"/>
        <v>2</v>
      </c>
      <c r="D298" s="105">
        <f t="shared" ca="1" si="85"/>
        <v>0</v>
      </c>
      <c r="E298" s="105">
        <f t="shared" ca="1" si="86"/>
        <v>0</v>
      </c>
      <c r="F298" s="105">
        <f t="shared" ca="1" si="87"/>
        <v>0</v>
      </c>
      <c r="G298" s="105">
        <f t="shared" ca="1" si="97"/>
        <v>0</v>
      </c>
      <c r="H298" s="105">
        <f t="shared" ca="1" si="98"/>
        <v>0</v>
      </c>
      <c r="I298" s="105">
        <f t="shared" ca="1" si="88"/>
        <v>0</v>
      </c>
      <c r="J298" s="105">
        <f t="shared" ca="1" si="89"/>
        <v>0</v>
      </c>
      <c r="K298" s="105">
        <f t="shared" ca="1" si="90"/>
        <v>0</v>
      </c>
      <c r="L298" s="105">
        <f t="shared" ca="1" si="99"/>
        <v>0</v>
      </c>
      <c r="M298" s="105">
        <f t="shared" ca="1" si="91"/>
        <v>0</v>
      </c>
      <c r="N298" s="105">
        <f t="shared" ca="1" si="100"/>
        <v>0</v>
      </c>
      <c r="O298" s="105">
        <f t="shared" ca="1" si="92"/>
        <v>0</v>
      </c>
      <c r="P298" s="105">
        <f t="shared" ca="1" si="93"/>
        <v>0</v>
      </c>
      <c r="Q298" s="105">
        <f t="shared" ca="1" si="94"/>
        <v>0</v>
      </c>
      <c r="R298" s="105">
        <f t="shared" ca="1" si="95"/>
        <v>0</v>
      </c>
      <c r="S298" s="105">
        <f t="shared" ca="1" si="96"/>
        <v>10</v>
      </c>
    </row>
    <row r="299" spans="1:19" x14ac:dyDescent="0.35">
      <c r="A299" s="105">
        <f t="shared" ca="1" si="82"/>
        <v>418.84000000000191</v>
      </c>
      <c r="B299" s="105">
        <f t="shared" ca="1" si="83"/>
        <v>0</v>
      </c>
      <c r="C299" s="105">
        <f t="shared" ca="1" si="84"/>
        <v>2</v>
      </c>
      <c r="D299" s="105">
        <f t="shared" ca="1" si="85"/>
        <v>0</v>
      </c>
      <c r="E299" s="105">
        <f t="shared" ca="1" si="86"/>
        <v>0</v>
      </c>
      <c r="F299" s="105">
        <f t="shared" ca="1" si="87"/>
        <v>0</v>
      </c>
      <c r="G299" s="105">
        <f t="shared" ca="1" si="97"/>
        <v>0</v>
      </c>
      <c r="H299" s="105">
        <f t="shared" ca="1" si="98"/>
        <v>0</v>
      </c>
      <c r="I299" s="105">
        <f t="shared" ca="1" si="88"/>
        <v>0</v>
      </c>
      <c r="J299" s="105">
        <f t="shared" ca="1" si="89"/>
        <v>0</v>
      </c>
      <c r="K299" s="105">
        <f t="shared" ca="1" si="90"/>
        <v>0</v>
      </c>
      <c r="L299" s="105">
        <f t="shared" ca="1" si="99"/>
        <v>0</v>
      </c>
      <c r="M299" s="105">
        <f t="shared" ca="1" si="91"/>
        <v>0</v>
      </c>
      <c r="N299" s="105">
        <f t="shared" ca="1" si="100"/>
        <v>0</v>
      </c>
      <c r="O299" s="105">
        <f t="shared" ca="1" si="92"/>
        <v>0</v>
      </c>
      <c r="P299" s="105">
        <f t="shared" ca="1" si="93"/>
        <v>0</v>
      </c>
      <c r="Q299" s="105">
        <f t="shared" ca="1" si="94"/>
        <v>0</v>
      </c>
      <c r="R299" s="105">
        <f t="shared" ca="1" si="95"/>
        <v>0</v>
      </c>
      <c r="S299" s="105">
        <f t="shared" ca="1" si="96"/>
        <v>10</v>
      </c>
    </row>
    <row r="300" spans="1:19" x14ac:dyDescent="0.35">
      <c r="A300" s="105">
        <f t="shared" ca="1" si="82"/>
        <v>420.25500000000193</v>
      </c>
      <c r="B300" s="105">
        <f t="shared" ca="1" si="83"/>
        <v>0</v>
      </c>
      <c r="C300" s="105">
        <f t="shared" ca="1" si="84"/>
        <v>2</v>
      </c>
      <c r="D300" s="105">
        <f t="shared" ca="1" si="85"/>
        <v>0</v>
      </c>
      <c r="E300" s="105">
        <f t="shared" ca="1" si="86"/>
        <v>0</v>
      </c>
      <c r="F300" s="105">
        <f t="shared" ca="1" si="87"/>
        <v>0</v>
      </c>
      <c r="G300" s="105">
        <f t="shared" ca="1" si="97"/>
        <v>0</v>
      </c>
      <c r="H300" s="105">
        <f t="shared" ca="1" si="98"/>
        <v>0</v>
      </c>
      <c r="I300" s="105">
        <f t="shared" ca="1" si="88"/>
        <v>0</v>
      </c>
      <c r="J300" s="105">
        <f t="shared" ca="1" si="89"/>
        <v>0</v>
      </c>
      <c r="K300" s="105">
        <f t="shared" ca="1" si="90"/>
        <v>0</v>
      </c>
      <c r="L300" s="105">
        <f t="shared" ca="1" si="99"/>
        <v>0</v>
      </c>
      <c r="M300" s="105">
        <f t="shared" ca="1" si="91"/>
        <v>0</v>
      </c>
      <c r="N300" s="105">
        <f t="shared" ca="1" si="100"/>
        <v>0</v>
      </c>
      <c r="O300" s="105">
        <f t="shared" ca="1" si="92"/>
        <v>0</v>
      </c>
      <c r="P300" s="105">
        <f t="shared" ca="1" si="93"/>
        <v>0</v>
      </c>
      <c r="Q300" s="105">
        <f t="shared" ca="1" si="94"/>
        <v>0</v>
      </c>
      <c r="R300" s="105">
        <f t="shared" ca="1" si="95"/>
        <v>0</v>
      </c>
      <c r="S300" s="105">
        <f t="shared" ca="1" si="96"/>
        <v>10</v>
      </c>
    </row>
    <row r="301" spans="1:19" x14ac:dyDescent="0.35">
      <c r="A301" s="105">
        <f t="shared" ca="1" si="82"/>
        <v>421.67000000000195</v>
      </c>
      <c r="B301" s="105">
        <f t="shared" ca="1" si="83"/>
        <v>0</v>
      </c>
      <c r="C301" s="105">
        <f t="shared" ca="1" si="84"/>
        <v>2</v>
      </c>
      <c r="D301" s="105">
        <f t="shared" ca="1" si="85"/>
        <v>0</v>
      </c>
      <c r="E301" s="105">
        <f t="shared" ca="1" si="86"/>
        <v>0</v>
      </c>
      <c r="F301" s="105">
        <f t="shared" ca="1" si="87"/>
        <v>0</v>
      </c>
      <c r="G301" s="105">
        <f t="shared" ca="1" si="97"/>
        <v>0</v>
      </c>
      <c r="H301" s="105">
        <f t="shared" ca="1" si="98"/>
        <v>0</v>
      </c>
      <c r="I301" s="105">
        <f t="shared" ca="1" si="88"/>
        <v>0</v>
      </c>
      <c r="J301" s="105">
        <f t="shared" ca="1" si="89"/>
        <v>0</v>
      </c>
      <c r="K301" s="105">
        <f t="shared" ca="1" si="90"/>
        <v>0</v>
      </c>
      <c r="L301" s="105">
        <f t="shared" ca="1" si="99"/>
        <v>0</v>
      </c>
      <c r="M301" s="105">
        <f t="shared" ca="1" si="91"/>
        <v>0</v>
      </c>
      <c r="N301" s="105">
        <f t="shared" ca="1" si="100"/>
        <v>0</v>
      </c>
      <c r="O301" s="105">
        <f t="shared" ca="1" si="92"/>
        <v>0</v>
      </c>
      <c r="P301" s="105">
        <f t="shared" ca="1" si="93"/>
        <v>0</v>
      </c>
      <c r="Q301" s="105">
        <f t="shared" ca="1" si="94"/>
        <v>0</v>
      </c>
      <c r="R301" s="105">
        <f t="shared" ca="1" si="95"/>
        <v>0</v>
      </c>
      <c r="S301" s="105">
        <f t="shared" ca="1" si="96"/>
        <v>10</v>
      </c>
    </row>
    <row r="302" spans="1:19" x14ac:dyDescent="0.35">
      <c r="A302" s="105">
        <f t="shared" ca="1" si="82"/>
        <v>423.08500000000197</v>
      </c>
      <c r="B302" s="105">
        <f t="shared" ca="1" si="83"/>
        <v>0</v>
      </c>
      <c r="C302" s="105">
        <f t="shared" ca="1" si="84"/>
        <v>2</v>
      </c>
      <c r="D302" s="105">
        <f t="shared" ca="1" si="85"/>
        <v>0</v>
      </c>
      <c r="E302" s="105">
        <f t="shared" ca="1" si="86"/>
        <v>0</v>
      </c>
      <c r="F302" s="105">
        <f t="shared" ca="1" si="87"/>
        <v>0</v>
      </c>
      <c r="G302" s="105">
        <f t="shared" ca="1" si="97"/>
        <v>0</v>
      </c>
      <c r="H302" s="105">
        <f t="shared" ca="1" si="98"/>
        <v>0</v>
      </c>
      <c r="I302" s="105">
        <f t="shared" ca="1" si="88"/>
        <v>0</v>
      </c>
      <c r="J302" s="105">
        <f t="shared" ca="1" si="89"/>
        <v>0</v>
      </c>
      <c r="K302" s="105">
        <f t="shared" ca="1" si="90"/>
        <v>0</v>
      </c>
      <c r="L302" s="105">
        <f t="shared" ca="1" si="99"/>
        <v>0</v>
      </c>
      <c r="M302" s="105">
        <f t="shared" ca="1" si="91"/>
        <v>0</v>
      </c>
      <c r="N302" s="105">
        <f t="shared" ca="1" si="100"/>
        <v>0</v>
      </c>
      <c r="O302" s="105">
        <f t="shared" ca="1" si="92"/>
        <v>0</v>
      </c>
      <c r="P302" s="105">
        <f t="shared" ca="1" si="93"/>
        <v>0</v>
      </c>
      <c r="Q302" s="105">
        <f t="shared" ca="1" si="94"/>
        <v>0</v>
      </c>
      <c r="R302" s="105">
        <f t="shared" ca="1" si="95"/>
        <v>0</v>
      </c>
      <c r="S302" s="105">
        <f t="shared" ca="1" si="96"/>
        <v>10</v>
      </c>
    </row>
    <row r="303" spans="1:19" x14ac:dyDescent="0.35">
      <c r="A303" s="105">
        <f t="shared" ca="1" si="82"/>
        <v>424.50000000000199</v>
      </c>
      <c r="B303" s="105">
        <f t="shared" ca="1" si="83"/>
        <v>0</v>
      </c>
      <c r="C303" s="105">
        <f t="shared" ca="1" si="84"/>
        <v>2</v>
      </c>
      <c r="D303" s="105">
        <f t="shared" ca="1" si="85"/>
        <v>0</v>
      </c>
      <c r="E303" s="105">
        <f t="shared" ca="1" si="86"/>
        <v>0</v>
      </c>
      <c r="F303" s="105">
        <f t="shared" ca="1" si="87"/>
        <v>0</v>
      </c>
      <c r="G303" s="105">
        <f t="shared" ca="1" si="97"/>
        <v>0</v>
      </c>
      <c r="H303" s="105">
        <f t="shared" ca="1" si="98"/>
        <v>0</v>
      </c>
      <c r="I303" s="105">
        <f t="shared" ca="1" si="88"/>
        <v>0</v>
      </c>
      <c r="J303" s="105">
        <f t="shared" ca="1" si="89"/>
        <v>0</v>
      </c>
      <c r="K303" s="105">
        <f t="shared" ca="1" si="90"/>
        <v>0</v>
      </c>
      <c r="L303" s="105">
        <f t="shared" ca="1" si="99"/>
        <v>0</v>
      </c>
      <c r="M303" s="105">
        <f t="shared" ca="1" si="91"/>
        <v>0</v>
      </c>
      <c r="N303" s="105">
        <f t="shared" ca="1" si="100"/>
        <v>0</v>
      </c>
      <c r="O303" s="105">
        <f t="shared" ca="1" si="92"/>
        <v>0</v>
      </c>
      <c r="P303" s="105">
        <f t="shared" ca="1" si="93"/>
        <v>0</v>
      </c>
      <c r="Q303" s="105">
        <f t="shared" ca="1" si="94"/>
        <v>0</v>
      </c>
      <c r="R303" s="105">
        <f t="shared" ca="1" si="95"/>
        <v>0</v>
      </c>
      <c r="S303" s="105">
        <f t="shared" ca="1" si="96"/>
        <v>10</v>
      </c>
    </row>
    <row r="304" spans="1:19" x14ac:dyDescent="0.35">
      <c r="A304" s="105">
        <f t="shared" ca="1" si="82"/>
        <v>425.91500000000201</v>
      </c>
      <c r="B304" s="105">
        <f t="shared" ca="1" si="83"/>
        <v>0</v>
      </c>
      <c r="C304" s="105">
        <f t="shared" ca="1" si="84"/>
        <v>2</v>
      </c>
      <c r="D304" s="105">
        <f t="shared" ca="1" si="85"/>
        <v>0</v>
      </c>
      <c r="E304" s="105">
        <f t="shared" ca="1" si="86"/>
        <v>0</v>
      </c>
      <c r="F304" s="105">
        <f t="shared" ca="1" si="87"/>
        <v>0</v>
      </c>
      <c r="G304" s="105">
        <f t="shared" ca="1" si="97"/>
        <v>0</v>
      </c>
      <c r="H304" s="105">
        <f t="shared" ca="1" si="98"/>
        <v>0</v>
      </c>
      <c r="I304" s="105">
        <f t="shared" ca="1" si="88"/>
        <v>0</v>
      </c>
      <c r="J304" s="105">
        <f t="shared" ca="1" si="89"/>
        <v>0</v>
      </c>
      <c r="K304" s="105">
        <f t="shared" ca="1" si="90"/>
        <v>0</v>
      </c>
      <c r="L304" s="105">
        <f t="shared" ca="1" si="99"/>
        <v>0</v>
      </c>
      <c r="M304" s="105">
        <f t="shared" ca="1" si="91"/>
        <v>0</v>
      </c>
      <c r="N304" s="105">
        <f t="shared" ca="1" si="100"/>
        <v>0</v>
      </c>
      <c r="O304" s="105">
        <f t="shared" ca="1" si="92"/>
        <v>0</v>
      </c>
      <c r="P304" s="105">
        <f t="shared" ca="1" si="93"/>
        <v>0</v>
      </c>
      <c r="Q304" s="105">
        <f t="shared" ca="1" si="94"/>
        <v>0</v>
      </c>
      <c r="R304" s="105">
        <f t="shared" ca="1" si="95"/>
        <v>0</v>
      </c>
      <c r="S304" s="105">
        <f t="shared" ca="1" si="96"/>
        <v>10</v>
      </c>
    </row>
    <row r="305" spans="1:19" x14ac:dyDescent="0.35">
      <c r="A305" s="105">
        <f t="shared" ca="1" si="82"/>
        <v>427.33000000000203</v>
      </c>
      <c r="B305" s="105">
        <f t="shared" ca="1" si="83"/>
        <v>0</v>
      </c>
      <c r="C305" s="105">
        <f t="shared" ca="1" si="84"/>
        <v>2</v>
      </c>
      <c r="D305" s="105">
        <f t="shared" ca="1" si="85"/>
        <v>0</v>
      </c>
      <c r="E305" s="105">
        <f t="shared" ca="1" si="86"/>
        <v>0</v>
      </c>
      <c r="F305" s="105">
        <f t="shared" ca="1" si="87"/>
        <v>0</v>
      </c>
      <c r="G305" s="105">
        <f t="shared" ca="1" si="97"/>
        <v>0</v>
      </c>
      <c r="H305" s="105">
        <f t="shared" ca="1" si="98"/>
        <v>0</v>
      </c>
      <c r="I305" s="105">
        <f t="shared" ca="1" si="88"/>
        <v>0</v>
      </c>
      <c r="J305" s="105">
        <f t="shared" ca="1" si="89"/>
        <v>0</v>
      </c>
      <c r="K305" s="105">
        <f t="shared" ca="1" si="90"/>
        <v>0</v>
      </c>
      <c r="L305" s="105">
        <f t="shared" ca="1" si="99"/>
        <v>0</v>
      </c>
      <c r="M305" s="105">
        <f t="shared" ca="1" si="91"/>
        <v>0</v>
      </c>
      <c r="N305" s="105">
        <f t="shared" ca="1" si="100"/>
        <v>0</v>
      </c>
      <c r="O305" s="105">
        <f t="shared" ca="1" si="92"/>
        <v>0</v>
      </c>
      <c r="P305" s="105">
        <f t="shared" ca="1" si="93"/>
        <v>0</v>
      </c>
      <c r="Q305" s="105">
        <f t="shared" ca="1" si="94"/>
        <v>0</v>
      </c>
      <c r="R305" s="105">
        <f t="shared" ca="1" si="95"/>
        <v>0</v>
      </c>
      <c r="S305" s="105">
        <f t="shared" ca="1" si="96"/>
        <v>10</v>
      </c>
    </row>
    <row r="306" spans="1:19" x14ac:dyDescent="0.35">
      <c r="A306" s="105">
        <f t="shared" ca="1" si="82"/>
        <v>428.74500000000205</v>
      </c>
      <c r="B306" s="105">
        <f t="shared" ca="1" si="83"/>
        <v>0</v>
      </c>
      <c r="C306" s="105">
        <f t="shared" ca="1" si="84"/>
        <v>2</v>
      </c>
      <c r="D306" s="105">
        <f t="shared" ca="1" si="85"/>
        <v>0</v>
      </c>
      <c r="E306" s="105">
        <f t="shared" ca="1" si="86"/>
        <v>0</v>
      </c>
      <c r="F306" s="105">
        <f t="shared" ca="1" si="87"/>
        <v>0</v>
      </c>
      <c r="G306" s="105">
        <f t="shared" ca="1" si="97"/>
        <v>0</v>
      </c>
      <c r="H306" s="105">
        <f t="shared" ca="1" si="98"/>
        <v>0</v>
      </c>
      <c r="I306" s="105">
        <f t="shared" ca="1" si="88"/>
        <v>0</v>
      </c>
      <c r="J306" s="105">
        <f t="shared" ca="1" si="89"/>
        <v>0</v>
      </c>
      <c r="K306" s="105">
        <f t="shared" ca="1" si="90"/>
        <v>0</v>
      </c>
      <c r="L306" s="105">
        <f t="shared" ca="1" si="99"/>
        <v>0</v>
      </c>
      <c r="M306" s="105">
        <f t="shared" ca="1" si="91"/>
        <v>0</v>
      </c>
      <c r="N306" s="105">
        <f t="shared" ca="1" si="100"/>
        <v>0</v>
      </c>
      <c r="O306" s="105">
        <f t="shared" ca="1" si="92"/>
        <v>0</v>
      </c>
      <c r="P306" s="105">
        <f t="shared" ca="1" si="93"/>
        <v>0</v>
      </c>
      <c r="Q306" s="105">
        <f t="shared" ca="1" si="94"/>
        <v>0</v>
      </c>
      <c r="R306" s="105">
        <f t="shared" ca="1" si="95"/>
        <v>0</v>
      </c>
      <c r="S306" s="105">
        <f t="shared" ca="1" si="96"/>
        <v>10</v>
      </c>
    </row>
    <row r="307" spans="1:19" x14ac:dyDescent="0.35">
      <c r="A307" s="105">
        <f t="shared" ca="1" si="82"/>
        <v>430.16000000000207</v>
      </c>
      <c r="B307" s="105">
        <f t="shared" ca="1" si="83"/>
        <v>0</v>
      </c>
      <c r="C307" s="105">
        <f t="shared" ca="1" si="84"/>
        <v>2</v>
      </c>
      <c r="D307" s="105">
        <f t="shared" ca="1" si="85"/>
        <v>0</v>
      </c>
      <c r="E307" s="105">
        <f t="shared" ca="1" si="86"/>
        <v>0</v>
      </c>
      <c r="F307" s="105">
        <f t="shared" ca="1" si="87"/>
        <v>0</v>
      </c>
      <c r="G307" s="105">
        <f t="shared" ca="1" si="97"/>
        <v>0</v>
      </c>
      <c r="H307" s="105">
        <f t="shared" ca="1" si="98"/>
        <v>0</v>
      </c>
      <c r="I307" s="105">
        <f t="shared" ca="1" si="88"/>
        <v>0</v>
      </c>
      <c r="J307" s="105">
        <f t="shared" ca="1" si="89"/>
        <v>0</v>
      </c>
      <c r="K307" s="105">
        <f t="shared" ca="1" si="90"/>
        <v>0</v>
      </c>
      <c r="L307" s="105">
        <f t="shared" ca="1" si="99"/>
        <v>0</v>
      </c>
      <c r="M307" s="105">
        <f t="shared" ca="1" si="91"/>
        <v>0</v>
      </c>
      <c r="N307" s="105">
        <f t="shared" ca="1" si="100"/>
        <v>0</v>
      </c>
      <c r="O307" s="105">
        <f t="shared" ca="1" si="92"/>
        <v>0</v>
      </c>
      <c r="P307" s="105">
        <f t="shared" ca="1" si="93"/>
        <v>0</v>
      </c>
      <c r="Q307" s="105">
        <f t="shared" ca="1" si="94"/>
        <v>0</v>
      </c>
      <c r="R307" s="105">
        <f t="shared" ca="1" si="95"/>
        <v>0</v>
      </c>
      <c r="S307" s="105">
        <f t="shared" ca="1" si="96"/>
        <v>10</v>
      </c>
    </row>
    <row r="308" spans="1:19" x14ac:dyDescent="0.35">
      <c r="A308" s="105">
        <f t="shared" ca="1" si="82"/>
        <v>431.57500000000209</v>
      </c>
      <c r="B308" s="105">
        <f t="shared" ca="1" si="83"/>
        <v>0</v>
      </c>
      <c r="C308" s="105">
        <f t="shared" ca="1" si="84"/>
        <v>2</v>
      </c>
      <c r="D308" s="105">
        <f t="shared" ca="1" si="85"/>
        <v>0</v>
      </c>
      <c r="E308" s="105">
        <f t="shared" ca="1" si="86"/>
        <v>0</v>
      </c>
      <c r="F308" s="105">
        <f t="shared" ca="1" si="87"/>
        <v>0</v>
      </c>
      <c r="G308" s="105">
        <f t="shared" ca="1" si="97"/>
        <v>0</v>
      </c>
      <c r="H308" s="105">
        <f t="shared" ca="1" si="98"/>
        <v>0</v>
      </c>
      <c r="I308" s="105">
        <f t="shared" ca="1" si="88"/>
        <v>0</v>
      </c>
      <c r="J308" s="105">
        <f t="shared" ca="1" si="89"/>
        <v>0</v>
      </c>
      <c r="K308" s="105">
        <f t="shared" ca="1" si="90"/>
        <v>0</v>
      </c>
      <c r="L308" s="105">
        <f t="shared" ca="1" si="99"/>
        <v>0</v>
      </c>
      <c r="M308" s="105">
        <f t="shared" ca="1" si="91"/>
        <v>0</v>
      </c>
      <c r="N308" s="105">
        <f t="shared" ca="1" si="100"/>
        <v>0</v>
      </c>
      <c r="O308" s="105">
        <f t="shared" ca="1" si="92"/>
        <v>0</v>
      </c>
      <c r="P308" s="105">
        <f t="shared" ca="1" si="93"/>
        <v>0</v>
      </c>
      <c r="Q308" s="105">
        <f t="shared" ca="1" si="94"/>
        <v>0</v>
      </c>
      <c r="R308" s="105">
        <f t="shared" ca="1" si="95"/>
        <v>0</v>
      </c>
      <c r="S308" s="105">
        <f t="shared" ca="1" si="96"/>
        <v>10</v>
      </c>
    </row>
    <row r="309" spans="1:19" x14ac:dyDescent="0.35">
      <c r="A309" s="105">
        <f t="shared" ca="1" si="82"/>
        <v>432.99000000000211</v>
      </c>
      <c r="B309" s="105">
        <f t="shared" ca="1" si="83"/>
        <v>0</v>
      </c>
      <c r="C309" s="105">
        <f t="shared" ca="1" si="84"/>
        <v>2</v>
      </c>
      <c r="D309" s="105">
        <f t="shared" ca="1" si="85"/>
        <v>0</v>
      </c>
      <c r="E309" s="105">
        <f t="shared" ca="1" si="86"/>
        <v>0</v>
      </c>
      <c r="F309" s="105">
        <f t="shared" ca="1" si="87"/>
        <v>0</v>
      </c>
      <c r="G309" s="105">
        <f t="shared" ca="1" si="97"/>
        <v>0</v>
      </c>
      <c r="H309" s="105">
        <f t="shared" ca="1" si="98"/>
        <v>0</v>
      </c>
      <c r="I309" s="105">
        <f t="shared" ca="1" si="88"/>
        <v>0</v>
      </c>
      <c r="J309" s="105">
        <f t="shared" ca="1" si="89"/>
        <v>0</v>
      </c>
      <c r="K309" s="105">
        <f t="shared" ca="1" si="90"/>
        <v>0</v>
      </c>
      <c r="L309" s="105">
        <f t="shared" ca="1" si="99"/>
        <v>0</v>
      </c>
      <c r="M309" s="105">
        <f t="shared" ca="1" si="91"/>
        <v>0</v>
      </c>
      <c r="N309" s="105">
        <f t="shared" ca="1" si="100"/>
        <v>0</v>
      </c>
      <c r="O309" s="105">
        <f t="shared" ca="1" si="92"/>
        <v>0</v>
      </c>
      <c r="P309" s="105">
        <f t="shared" ca="1" si="93"/>
        <v>0</v>
      </c>
      <c r="Q309" s="105">
        <f t="shared" ca="1" si="94"/>
        <v>0</v>
      </c>
      <c r="R309" s="105">
        <f t="shared" ca="1" si="95"/>
        <v>0</v>
      </c>
      <c r="S309" s="105">
        <f t="shared" ca="1" si="96"/>
        <v>10</v>
      </c>
    </row>
    <row r="310" spans="1:19" x14ac:dyDescent="0.35">
      <c r="A310" s="105">
        <f t="shared" ca="1" si="82"/>
        <v>434.40500000000213</v>
      </c>
      <c r="B310" s="105">
        <f t="shared" ca="1" si="83"/>
        <v>0</v>
      </c>
      <c r="C310" s="105">
        <f t="shared" ca="1" si="84"/>
        <v>2</v>
      </c>
      <c r="D310" s="105">
        <f t="shared" ca="1" si="85"/>
        <v>0</v>
      </c>
      <c r="E310" s="105">
        <f t="shared" ca="1" si="86"/>
        <v>0</v>
      </c>
      <c r="F310" s="105">
        <f t="shared" ca="1" si="87"/>
        <v>0</v>
      </c>
      <c r="G310" s="105">
        <f t="shared" ca="1" si="97"/>
        <v>0</v>
      </c>
      <c r="H310" s="105">
        <f t="shared" ca="1" si="98"/>
        <v>0</v>
      </c>
      <c r="I310" s="105">
        <f t="shared" ca="1" si="88"/>
        <v>0</v>
      </c>
      <c r="J310" s="105">
        <f t="shared" ca="1" si="89"/>
        <v>0</v>
      </c>
      <c r="K310" s="105">
        <f t="shared" ca="1" si="90"/>
        <v>0</v>
      </c>
      <c r="L310" s="105">
        <f t="shared" ca="1" si="99"/>
        <v>0</v>
      </c>
      <c r="M310" s="105">
        <f t="shared" ca="1" si="91"/>
        <v>0</v>
      </c>
      <c r="N310" s="105">
        <f t="shared" ca="1" si="100"/>
        <v>0</v>
      </c>
      <c r="O310" s="105">
        <f t="shared" ca="1" si="92"/>
        <v>0</v>
      </c>
      <c r="P310" s="105">
        <f t="shared" ca="1" si="93"/>
        <v>0</v>
      </c>
      <c r="Q310" s="105">
        <f t="shared" ca="1" si="94"/>
        <v>0</v>
      </c>
      <c r="R310" s="105">
        <f t="shared" ca="1" si="95"/>
        <v>0</v>
      </c>
      <c r="S310" s="105">
        <f t="shared" ca="1" si="96"/>
        <v>10</v>
      </c>
    </row>
    <row r="311" spans="1:19" x14ac:dyDescent="0.35">
      <c r="A311" s="105">
        <f t="shared" ca="1" si="82"/>
        <v>435.82000000000215</v>
      </c>
      <c r="B311" s="105">
        <f t="shared" ca="1" si="83"/>
        <v>0</v>
      </c>
      <c r="C311" s="105">
        <f t="shared" ca="1" si="84"/>
        <v>2</v>
      </c>
      <c r="D311" s="105">
        <f t="shared" ca="1" si="85"/>
        <v>0</v>
      </c>
      <c r="E311" s="105">
        <f t="shared" ca="1" si="86"/>
        <v>0</v>
      </c>
      <c r="F311" s="105">
        <f t="shared" ca="1" si="87"/>
        <v>0</v>
      </c>
      <c r="G311" s="105">
        <f t="shared" ca="1" si="97"/>
        <v>0</v>
      </c>
      <c r="H311" s="105">
        <f t="shared" ca="1" si="98"/>
        <v>0</v>
      </c>
      <c r="I311" s="105">
        <f t="shared" ca="1" si="88"/>
        <v>0</v>
      </c>
      <c r="J311" s="105">
        <f t="shared" ca="1" si="89"/>
        <v>0</v>
      </c>
      <c r="K311" s="105">
        <f t="shared" ca="1" si="90"/>
        <v>0</v>
      </c>
      <c r="L311" s="105">
        <f t="shared" ca="1" si="99"/>
        <v>0</v>
      </c>
      <c r="M311" s="105">
        <f t="shared" ca="1" si="91"/>
        <v>0</v>
      </c>
      <c r="N311" s="105">
        <f t="shared" ca="1" si="100"/>
        <v>0</v>
      </c>
      <c r="O311" s="105">
        <f t="shared" ca="1" si="92"/>
        <v>0</v>
      </c>
      <c r="P311" s="105">
        <f t="shared" ca="1" si="93"/>
        <v>0</v>
      </c>
      <c r="Q311" s="105">
        <f t="shared" ca="1" si="94"/>
        <v>0</v>
      </c>
      <c r="R311" s="105">
        <f t="shared" ca="1" si="95"/>
        <v>0</v>
      </c>
      <c r="S311" s="105">
        <f t="shared" ca="1" si="96"/>
        <v>10</v>
      </c>
    </row>
    <row r="312" spans="1:19" x14ac:dyDescent="0.35">
      <c r="A312" s="105">
        <f t="shared" ca="1" si="82"/>
        <v>437.23500000000217</v>
      </c>
      <c r="B312" s="105">
        <f t="shared" ca="1" si="83"/>
        <v>0</v>
      </c>
      <c r="C312" s="105">
        <f t="shared" ca="1" si="84"/>
        <v>2</v>
      </c>
      <c r="D312" s="105">
        <f t="shared" ca="1" si="85"/>
        <v>0</v>
      </c>
      <c r="E312" s="105">
        <f t="shared" ca="1" si="86"/>
        <v>0</v>
      </c>
      <c r="F312" s="105">
        <f t="shared" ca="1" si="87"/>
        <v>0</v>
      </c>
      <c r="G312" s="105">
        <f t="shared" ca="1" si="97"/>
        <v>0</v>
      </c>
      <c r="H312" s="105">
        <f t="shared" ca="1" si="98"/>
        <v>0</v>
      </c>
      <c r="I312" s="105">
        <f t="shared" ca="1" si="88"/>
        <v>0</v>
      </c>
      <c r="J312" s="105">
        <f t="shared" ca="1" si="89"/>
        <v>0</v>
      </c>
      <c r="K312" s="105">
        <f t="shared" ca="1" si="90"/>
        <v>0</v>
      </c>
      <c r="L312" s="105">
        <f t="shared" ca="1" si="99"/>
        <v>0</v>
      </c>
      <c r="M312" s="105">
        <f t="shared" ca="1" si="91"/>
        <v>0</v>
      </c>
      <c r="N312" s="105">
        <f t="shared" ca="1" si="100"/>
        <v>0</v>
      </c>
      <c r="O312" s="105">
        <f t="shared" ca="1" si="92"/>
        <v>0</v>
      </c>
      <c r="P312" s="105">
        <f t="shared" ca="1" si="93"/>
        <v>0</v>
      </c>
      <c r="Q312" s="105">
        <f t="shared" ca="1" si="94"/>
        <v>0</v>
      </c>
      <c r="R312" s="105">
        <f t="shared" ca="1" si="95"/>
        <v>0</v>
      </c>
      <c r="S312" s="105">
        <f t="shared" ca="1" si="96"/>
        <v>10</v>
      </c>
    </row>
    <row r="313" spans="1:19" x14ac:dyDescent="0.35">
      <c r="A313" s="105">
        <f t="shared" ca="1" si="82"/>
        <v>438.65000000000219</v>
      </c>
      <c r="B313" s="105">
        <f t="shared" ca="1" si="83"/>
        <v>0</v>
      </c>
      <c r="C313" s="105">
        <f t="shared" ca="1" si="84"/>
        <v>2</v>
      </c>
      <c r="D313" s="105">
        <f t="shared" ca="1" si="85"/>
        <v>0</v>
      </c>
      <c r="E313" s="105">
        <f t="shared" ca="1" si="86"/>
        <v>0</v>
      </c>
      <c r="F313" s="105">
        <f t="shared" ca="1" si="87"/>
        <v>0</v>
      </c>
      <c r="G313" s="105">
        <f t="shared" ca="1" si="97"/>
        <v>0</v>
      </c>
      <c r="H313" s="105">
        <f t="shared" ca="1" si="98"/>
        <v>0</v>
      </c>
      <c r="I313" s="105">
        <f t="shared" ca="1" si="88"/>
        <v>0</v>
      </c>
      <c r="J313" s="105">
        <f t="shared" ca="1" si="89"/>
        <v>0</v>
      </c>
      <c r="K313" s="105">
        <f t="shared" ca="1" si="90"/>
        <v>0</v>
      </c>
      <c r="L313" s="105">
        <f t="shared" ca="1" si="99"/>
        <v>0</v>
      </c>
      <c r="M313" s="105">
        <f t="shared" ca="1" si="91"/>
        <v>0</v>
      </c>
      <c r="N313" s="105">
        <f t="shared" ca="1" si="100"/>
        <v>0</v>
      </c>
      <c r="O313" s="105">
        <f t="shared" ca="1" si="92"/>
        <v>0</v>
      </c>
      <c r="P313" s="105">
        <f t="shared" ca="1" si="93"/>
        <v>0</v>
      </c>
      <c r="Q313" s="105">
        <f t="shared" ca="1" si="94"/>
        <v>0</v>
      </c>
      <c r="R313" s="105">
        <f t="shared" ca="1" si="95"/>
        <v>0</v>
      </c>
      <c r="S313" s="105">
        <f t="shared" ca="1" si="96"/>
        <v>10</v>
      </c>
    </row>
    <row r="314" spans="1:19" x14ac:dyDescent="0.35">
      <c r="A314" s="105">
        <f t="shared" ca="1" si="82"/>
        <v>440.06500000000221</v>
      </c>
      <c r="B314" s="105">
        <f t="shared" ca="1" si="83"/>
        <v>0</v>
      </c>
      <c r="C314" s="105">
        <f t="shared" ca="1" si="84"/>
        <v>2</v>
      </c>
      <c r="D314" s="105">
        <f t="shared" ca="1" si="85"/>
        <v>0</v>
      </c>
      <c r="E314" s="105">
        <f t="shared" ca="1" si="86"/>
        <v>0</v>
      </c>
      <c r="F314" s="105">
        <f t="shared" ca="1" si="87"/>
        <v>0</v>
      </c>
      <c r="G314" s="105">
        <f t="shared" ca="1" si="97"/>
        <v>0</v>
      </c>
      <c r="H314" s="105">
        <f t="shared" ca="1" si="98"/>
        <v>0</v>
      </c>
      <c r="I314" s="105">
        <f t="shared" ca="1" si="88"/>
        <v>0</v>
      </c>
      <c r="J314" s="105">
        <f t="shared" ca="1" si="89"/>
        <v>0</v>
      </c>
      <c r="K314" s="105">
        <f t="shared" ca="1" si="90"/>
        <v>0</v>
      </c>
      <c r="L314" s="105">
        <f t="shared" ca="1" si="99"/>
        <v>0</v>
      </c>
      <c r="M314" s="105">
        <f t="shared" ca="1" si="91"/>
        <v>0</v>
      </c>
      <c r="N314" s="105">
        <f t="shared" ca="1" si="100"/>
        <v>0</v>
      </c>
      <c r="O314" s="105">
        <f t="shared" ca="1" si="92"/>
        <v>0</v>
      </c>
      <c r="P314" s="105">
        <f t="shared" ca="1" si="93"/>
        <v>0</v>
      </c>
      <c r="Q314" s="105">
        <f t="shared" ca="1" si="94"/>
        <v>0</v>
      </c>
      <c r="R314" s="105">
        <f t="shared" ca="1" si="95"/>
        <v>0</v>
      </c>
      <c r="S314" s="105">
        <f t="shared" ca="1" si="96"/>
        <v>10</v>
      </c>
    </row>
    <row r="315" spans="1:19" x14ac:dyDescent="0.35">
      <c r="A315" s="105">
        <f t="shared" ca="1" si="82"/>
        <v>441.48000000000224</v>
      </c>
      <c r="B315" s="105">
        <f t="shared" ca="1" si="83"/>
        <v>0</v>
      </c>
      <c r="C315" s="105">
        <f t="shared" ca="1" si="84"/>
        <v>2</v>
      </c>
      <c r="D315" s="105">
        <f t="shared" ca="1" si="85"/>
        <v>0</v>
      </c>
      <c r="E315" s="105">
        <f t="shared" ca="1" si="86"/>
        <v>0</v>
      </c>
      <c r="F315" s="105">
        <f t="shared" ca="1" si="87"/>
        <v>0</v>
      </c>
      <c r="G315" s="105">
        <f t="shared" ca="1" si="97"/>
        <v>0</v>
      </c>
      <c r="H315" s="105">
        <f t="shared" ca="1" si="98"/>
        <v>0</v>
      </c>
      <c r="I315" s="105">
        <f t="shared" ca="1" si="88"/>
        <v>0</v>
      </c>
      <c r="J315" s="105">
        <f t="shared" ca="1" si="89"/>
        <v>0</v>
      </c>
      <c r="K315" s="105">
        <f t="shared" ca="1" si="90"/>
        <v>0</v>
      </c>
      <c r="L315" s="105">
        <f t="shared" ca="1" si="99"/>
        <v>0</v>
      </c>
      <c r="M315" s="105">
        <f t="shared" ca="1" si="91"/>
        <v>0</v>
      </c>
      <c r="N315" s="105">
        <f t="shared" ca="1" si="100"/>
        <v>0</v>
      </c>
      <c r="O315" s="105">
        <f t="shared" ca="1" si="92"/>
        <v>0</v>
      </c>
      <c r="P315" s="105">
        <f t="shared" ca="1" si="93"/>
        <v>0</v>
      </c>
      <c r="Q315" s="105">
        <f t="shared" ca="1" si="94"/>
        <v>0</v>
      </c>
      <c r="R315" s="105">
        <f t="shared" ca="1" si="95"/>
        <v>0</v>
      </c>
      <c r="S315" s="105">
        <f t="shared" ca="1" si="96"/>
        <v>10</v>
      </c>
    </row>
    <row r="316" spans="1:19" x14ac:dyDescent="0.35">
      <c r="A316" s="105">
        <f t="shared" ca="1" si="82"/>
        <v>442.89500000000226</v>
      </c>
      <c r="B316" s="105">
        <f t="shared" ca="1" si="83"/>
        <v>0</v>
      </c>
      <c r="C316" s="105">
        <f t="shared" ca="1" si="84"/>
        <v>2</v>
      </c>
      <c r="D316" s="105">
        <f t="shared" ca="1" si="85"/>
        <v>0</v>
      </c>
      <c r="E316" s="105">
        <f t="shared" ca="1" si="86"/>
        <v>0</v>
      </c>
      <c r="F316" s="105">
        <f t="shared" ca="1" si="87"/>
        <v>0</v>
      </c>
      <c r="G316" s="105">
        <f t="shared" ca="1" si="97"/>
        <v>0</v>
      </c>
      <c r="H316" s="105">
        <f t="shared" ca="1" si="98"/>
        <v>0</v>
      </c>
      <c r="I316" s="105">
        <f t="shared" ca="1" si="88"/>
        <v>0</v>
      </c>
      <c r="J316" s="105">
        <f t="shared" ca="1" si="89"/>
        <v>0</v>
      </c>
      <c r="K316" s="105">
        <f t="shared" ca="1" si="90"/>
        <v>0</v>
      </c>
      <c r="L316" s="105">
        <f t="shared" ca="1" si="99"/>
        <v>0</v>
      </c>
      <c r="M316" s="105">
        <f t="shared" ca="1" si="91"/>
        <v>0</v>
      </c>
      <c r="N316" s="105">
        <f t="shared" ca="1" si="100"/>
        <v>0</v>
      </c>
      <c r="O316" s="105">
        <f t="shared" ca="1" si="92"/>
        <v>0</v>
      </c>
      <c r="P316" s="105">
        <f t="shared" ca="1" si="93"/>
        <v>0</v>
      </c>
      <c r="Q316" s="105">
        <f t="shared" ca="1" si="94"/>
        <v>0</v>
      </c>
      <c r="R316" s="105">
        <f t="shared" ca="1" si="95"/>
        <v>0</v>
      </c>
      <c r="S316" s="105">
        <f t="shared" ca="1" si="96"/>
        <v>10</v>
      </c>
    </row>
    <row r="317" spans="1:19" x14ac:dyDescent="0.35">
      <c r="A317" s="105">
        <f t="shared" ca="1" si="82"/>
        <v>444.31000000000228</v>
      </c>
      <c r="B317" s="105">
        <f t="shared" ca="1" si="83"/>
        <v>0</v>
      </c>
      <c r="C317" s="105">
        <f t="shared" ca="1" si="84"/>
        <v>2</v>
      </c>
      <c r="D317" s="105">
        <f t="shared" ca="1" si="85"/>
        <v>0</v>
      </c>
      <c r="E317" s="105">
        <f t="shared" ca="1" si="86"/>
        <v>0</v>
      </c>
      <c r="F317" s="105">
        <f t="shared" ca="1" si="87"/>
        <v>0</v>
      </c>
      <c r="G317" s="105">
        <f t="shared" ca="1" si="97"/>
        <v>0</v>
      </c>
      <c r="H317" s="105">
        <f t="shared" ca="1" si="98"/>
        <v>0</v>
      </c>
      <c r="I317" s="105">
        <f t="shared" ca="1" si="88"/>
        <v>0</v>
      </c>
      <c r="J317" s="105">
        <f t="shared" ca="1" si="89"/>
        <v>0</v>
      </c>
      <c r="K317" s="105">
        <f t="shared" ca="1" si="90"/>
        <v>0</v>
      </c>
      <c r="L317" s="105">
        <f t="shared" ca="1" si="99"/>
        <v>0</v>
      </c>
      <c r="M317" s="105">
        <f t="shared" ca="1" si="91"/>
        <v>0</v>
      </c>
      <c r="N317" s="105">
        <f t="shared" ca="1" si="100"/>
        <v>0</v>
      </c>
      <c r="O317" s="105">
        <f t="shared" ca="1" si="92"/>
        <v>0</v>
      </c>
      <c r="P317" s="105">
        <f t="shared" ca="1" si="93"/>
        <v>0</v>
      </c>
      <c r="Q317" s="105">
        <f t="shared" ca="1" si="94"/>
        <v>0</v>
      </c>
      <c r="R317" s="105">
        <f t="shared" ca="1" si="95"/>
        <v>0</v>
      </c>
      <c r="S317" s="105">
        <f t="shared" ca="1" si="96"/>
        <v>10</v>
      </c>
    </row>
    <row r="318" spans="1:19" x14ac:dyDescent="0.35">
      <c r="A318" s="105">
        <f t="shared" ca="1" si="82"/>
        <v>445.7250000000023</v>
      </c>
      <c r="B318" s="105">
        <f t="shared" ca="1" si="83"/>
        <v>0</v>
      </c>
      <c r="C318" s="105">
        <f t="shared" ca="1" si="84"/>
        <v>2</v>
      </c>
      <c r="D318" s="105">
        <f t="shared" ca="1" si="85"/>
        <v>0</v>
      </c>
      <c r="E318" s="105">
        <f t="shared" ca="1" si="86"/>
        <v>0</v>
      </c>
      <c r="F318" s="105">
        <f t="shared" ca="1" si="87"/>
        <v>0</v>
      </c>
      <c r="G318" s="105">
        <f t="shared" ca="1" si="97"/>
        <v>0</v>
      </c>
      <c r="H318" s="105">
        <f t="shared" ca="1" si="98"/>
        <v>0</v>
      </c>
      <c r="I318" s="105">
        <f t="shared" ca="1" si="88"/>
        <v>0</v>
      </c>
      <c r="J318" s="105">
        <f t="shared" ca="1" si="89"/>
        <v>0</v>
      </c>
      <c r="K318" s="105">
        <f t="shared" ca="1" si="90"/>
        <v>0</v>
      </c>
      <c r="L318" s="105">
        <f t="shared" ca="1" si="99"/>
        <v>0</v>
      </c>
      <c r="M318" s="105">
        <f t="shared" ca="1" si="91"/>
        <v>0</v>
      </c>
      <c r="N318" s="105">
        <f t="shared" ca="1" si="100"/>
        <v>0</v>
      </c>
      <c r="O318" s="105">
        <f t="shared" ca="1" si="92"/>
        <v>0</v>
      </c>
      <c r="P318" s="105">
        <f t="shared" ca="1" si="93"/>
        <v>0</v>
      </c>
      <c r="Q318" s="105">
        <f t="shared" ca="1" si="94"/>
        <v>0</v>
      </c>
      <c r="R318" s="105">
        <f t="shared" ca="1" si="95"/>
        <v>0</v>
      </c>
      <c r="S318" s="105">
        <f t="shared" ca="1" si="96"/>
        <v>10</v>
      </c>
    </row>
    <row r="319" spans="1:19" x14ac:dyDescent="0.35">
      <c r="A319" s="105">
        <f t="shared" ca="1" si="82"/>
        <v>447.14000000000232</v>
      </c>
      <c r="B319" s="105">
        <f t="shared" ca="1" si="83"/>
        <v>0</v>
      </c>
      <c r="C319" s="105">
        <f t="shared" ca="1" si="84"/>
        <v>2</v>
      </c>
      <c r="D319" s="105">
        <f t="shared" ca="1" si="85"/>
        <v>0</v>
      </c>
      <c r="E319" s="105">
        <f t="shared" ca="1" si="86"/>
        <v>0</v>
      </c>
      <c r="F319" s="105">
        <f t="shared" ca="1" si="87"/>
        <v>0</v>
      </c>
      <c r="G319" s="105">
        <f t="shared" ca="1" si="97"/>
        <v>0</v>
      </c>
      <c r="H319" s="105">
        <f t="shared" ca="1" si="98"/>
        <v>0</v>
      </c>
      <c r="I319" s="105">
        <f t="shared" ca="1" si="88"/>
        <v>0</v>
      </c>
      <c r="J319" s="105">
        <f t="shared" ca="1" si="89"/>
        <v>0</v>
      </c>
      <c r="K319" s="105">
        <f t="shared" ca="1" si="90"/>
        <v>0</v>
      </c>
      <c r="L319" s="105">
        <f t="shared" ca="1" si="99"/>
        <v>0</v>
      </c>
      <c r="M319" s="105">
        <f t="shared" ca="1" si="91"/>
        <v>0</v>
      </c>
      <c r="N319" s="105">
        <f t="shared" ca="1" si="100"/>
        <v>0</v>
      </c>
      <c r="O319" s="105">
        <f t="shared" ca="1" si="92"/>
        <v>0</v>
      </c>
      <c r="P319" s="105">
        <f t="shared" ca="1" si="93"/>
        <v>0</v>
      </c>
      <c r="Q319" s="105">
        <f t="shared" ca="1" si="94"/>
        <v>0</v>
      </c>
      <c r="R319" s="105">
        <f t="shared" ca="1" si="95"/>
        <v>0</v>
      </c>
      <c r="S319" s="105">
        <f t="shared" ca="1" si="96"/>
        <v>10</v>
      </c>
    </row>
    <row r="320" spans="1:19" x14ac:dyDescent="0.35">
      <c r="A320" s="105">
        <f t="shared" ca="1" si="82"/>
        <v>448.55500000000234</v>
      </c>
      <c r="B320" s="105">
        <f t="shared" ca="1" si="83"/>
        <v>0</v>
      </c>
      <c r="C320" s="105">
        <f t="shared" ca="1" si="84"/>
        <v>2</v>
      </c>
      <c r="D320" s="105">
        <f t="shared" ca="1" si="85"/>
        <v>0</v>
      </c>
      <c r="E320" s="105">
        <f t="shared" ca="1" si="86"/>
        <v>0</v>
      </c>
      <c r="F320" s="105">
        <f t="shared" ca="1" si="87"/>
        <v>0</v>
      </c>
      <c r="G320" s="105">
        <f t="shared" ca="1" si="97"/>
        <v>0</v>
      </c>
      <c r="H320" s="105">
        <f t="shared" ca="1" si="98"/>
        <v>0</v>
      </c>
      <c r="I320" s="105">
        <f t="shared" ca="1" si="88"/>
        <v>0</v>
      </c>
      <c r="J320" s="105">
        <f t="shared" ca="1" si="89"/>
        <v>0</v>
      </c>
      <c r="K320" s="105">
        <f t="shared" ca="1" si="90"/>
        <v>0</v>
      </c>
      <c r="L320" s="105">
        <f t="shared" ca="1" si="99"/>
        <v>0</v>
      </c>
      <c r="M320" s="105">
        <f t="shared" ca="1" si="91"/>
        <v>0</v>
      </c>
      <c r="N320" s="105">
        <f t="shared" ca="1" si="100"/>
        <v>0</v>
      </c>
      <c r="O320" s="105">
        <f t="shared" ca="1" si="92"/>
        <v>0</v>
      </c>
      <c r="P320" s="105">
        <f t="shared" ca="1" si="93"/>
        <v>0</v>
      </c>
      <c r="Q320" s="105">
        <f t="shared" ca="1" si="94"/>
        <v>0</v>
      </c>
      <c r="R320" s="105">
        <f t="shared" ca="1" si="95"/>
        <v>0</v>
      </c>
      <c r="S320" s="105">
        <f t="shared" ca="1" si="96"/>
        <v>10</v>
      </c>
    </row>
    <row r="321" spans="1:19" x14ac:dyDescent="0.35">
      <c r="A321" s="105">
        <f t="shared" ca="1" si="82"/>
        <v>449.97000000000236</v>
      </c>
      <c r="B321" s="105">
        <f t="shared" ca="1" si="83"/>
        <v>0</v>
      </c>
      <c r="C321" s="105">
        <f t="shared" ca="1" si="84"/>
        <v>2</v>
      </c>
      <c r="D321" s="105">
        <f t="shared" ca="1" si="85"/>
        <v>0</v>
      </c>
      <c r="E321" s="105">
        <f t="shared" ca="1" si="86"/>
        <v>0</v>
      </c>
      <c r="F321" s="105">
        <f t="shared" ca="1" si="87"/>
        <v>0</v>
      </c>
      <c r="G321" s="105">
        <f t="shared" ca="1" si="97"/>
        <v>0</v>
      </c>
      <c r="H321" s="105">
        <f t="shared" ca="1" si="98"/>
        <v>0</v>
      </c>
      <c r="I321" s="105">
        <f t="shared" ca="1" si="88"/>
        <v>0</v>
      </c>
      <c r="J321" s="105">
        <f t="shared" ca="1" si="89"/>
        <v>0</v>
      </c>
      <c r="K321" s="105">
        <f t="shared" ca="1" si="90"/>
        <v>0</v>
      </c>
      <c r="L321" s="105">
        <f t="shared" ca="1" si="99"/>
        <v>0</v>
      </c>
      <c r="M321" s="105">
        <f t="shared" ca="1" si="91"/>
        <v>0</v>
      </c>
      <c r="N321" s="105">
        <f t="shared" ca="1" si="100"/>
        <v>0</v>
      </c>
      <c r="O321" s="105">
        <f t="shared" ca="1" si="92"/>
        <v>0</v>
      </c>
      <c r="P321" s="105">
        <f t="shared" ca="1" si="93"/>
        <v>0</v>
      </c>
      <c r="Q321" s="105">
        <f t="shared" ca="1" si="94"/>
        <v>0</v>
      </c>
      <c r="R321" s="105">
        <f t="shared" ca="1" si="95"/>
        <v>0</v>
      </c>
      <c r="S321" s="105">
        <f t="shared" ca="1" si="96"/>
        <v>10</v>
      </c>
    </row>
    <row r="322" spans="1:19" x14ac:dyDescent="0.35">
      <c r="A322" s="105">
        <f t="shared" ca="1" si="82"/>
        <v>451.38500000000238</v>
      </c>
      <c r="B322" s="105">
        <f t="shared" ca="1" si="83"/>
        <v>0</v>
      </c>
      <c r="C322" s="105">
        <f t="shared" ca="1" si="84"/>
        <v>2</v>
      </c>
      <c r="D322" s="105">
        <f t="shared" ca="1" si="85"/>
        <v>0</v>
      </c>
      <c r="E322" s="105">
        <f t="shared" ca="1" si="86"/>
        <v>0</v>
      </c>
      <c r="F322" s="105">
        <f t="shared" ca="1" si="87"/>
        <v>0</v>
      </c>
      <c r="G322" s="105">
        <f t="shared" ca="1" si="97"/>
        <v>0</v>
      </c>
      <c r="H322" s="105">
        <f t="shared" ca="1" si="98"/>
        <v>0</v>
      </c>
      <c r="I322" s="105">
        <f t="shared" ca="1" si="88"/>
        <v>0</v>
      </c>
      <c r="J322" s="105">
        <f t="shared" ca="1" si="89"/>
        <v>0</v>
      </c>
      <c r="K322" s="105">
        <f t="shared" ca="1" si="90"/>
        <v>0</v>
      </c>
      <c r="L322" s="105">
        <f t="shared" ca="1" si="99"/>
        <v>0</v>
      </c>
      <c r="M322" s="105">
        <f t="shared" ca="1" si="91"/>
        <v>0</v>
      </c>
      <c r="N322" s="105">
        <f t="shared" ca="1" si="100"/>
        <v>0</v>
      </c>
      <c r="O322" s="105">
        <f t="shared" ca="1" si="92"/>
        <v>0</v>
      </c>
      <c r="P322" s="105">
        <f t="shared" ca="1" si="93"/>
        <v>0</v>
      </c>
      <c r="Q322" s="105">
        <f t="shared" ca="1" si="94"/>
        <v>0</v>
      </c>
      <c r="R322" s="105">
        <f t="shared" ca="1" si="95"/>
        <v>0</v>
      </c>
      <c r="S322" s="105">
        <f t="shared" ca="1" si="96"/>
        <v>10</v>
      </c>
    </row>
    <row r="323" spans="1:19" x14ac:dyDescent="0.35">
      <c r="A323" s="105">
        <f t="shared" ca="1" si="82"/>
        <v>452.8000000000024</v>
      </c>
      <c r="B323" s="105">
        <f t="shared" ca="1" si="83"/>
        <v>0</v>
      </c>
      <c r="C323" s="105">
        <f t="shared" ca="1" si="84"/>
        <v>2</v>
      </c>
      <c r="D323" s="105">
        <f t="shared" ca="1" si="85"/>
        <v>0</v>
      </c>
      <c r="E323" s="105">
        <f t="shared" ca="1" si="86"/>
        <v>0</v>
      </c>
      <c r="F323" s="105">
        <f t="shared" ca="1" si="87"/>
        <v>0</v>
      </c>
      <c r="G323" s="105">
        <f t="shared" ca="1" si="97"/>
        <v>0</v>
      </c>
      <c r="H323" s="105">
        <f t="shared" ca="1" si="98"/>
        <v>0</v>
      </c>
      <c r="I323" s="105">
        <f t="shared" ca="1" si="88"/>
        <v>0</v>
      </c>
      <c r="J323" s="105">
        <f t="shared" ca="1" si="89"/>
        <v>0</v>
      </c>
      <c r="K323" s="105">
        <f t="shared" ca="1" si="90"/>
        <v>0</v>
      </c>
      <c r="L323" s="105">
        <f t="shared" ca="1" si="99"/>
        <v>0</v>
      </c>
      <c r="M323" s="105">
        <f t="shared" ca="1" si="91"/>
        <v>0</v>
      </c>
      <c r="N323" s="105">
        <f t="shared" ca="1" si="100"/>
        <v>0</v>
      </c>
      <c r="O323" s="105">
        <f t="shared" ca="1" si="92"/>
        <v>0</v>
      </c>
      <c r="P323" s="105">
        <f t="shared" ca="1" si="93"/>
        <v>0</v>
      </c>
      <c r="Q323" s="105">
        <f t="shared" ca="1" si="94"/>
        <v>0</v>
      </c>
      <c r="R323" s="105">
        <f t="shared" ca="1" si="95"/>
        <v>0</v>
      </c>
      <c r="S323" s="105">
        <f t="shared" ca="1" si="96"/>
        <v>10</v>
      </c>
    </row>
    <row r="324" spans="1:19" x14ac:dyDescent="0.35">
      <c r="A324" s="105">
        <f t="shared" ref="A324:A387" ca="1" si="101">$V$4+A323</f>
        <v>454.21500000000242</v>
      </c>
      <c r="B324" s="105">
        <f t="shared" ref="B324:B387" ca="1" si="102">IF(AND(A323&gt;$X$1,P323=0,R323=0),0,IF(AND(G323=0,H323=0),"突","")&amp;IF($V$8=0,IF(AND(OR($V$13=0,AND(K323=0,C323&lt;1),AND(K323&gt;0,OR(M323&gt;0,$V$7=0))),$V$6=1,E323=0),"渊","")&amp;IF(AND(OR($V$13=0,AND(K323=0,C323&lt;1),AND(K323&gt;0,OR(M323&gt;0,$V$7=0))),F323=0),"雷","")&amp;IF(AND(C323&gt;0,$V$13=1,E323=0,F323=0,K323=0),"任",IF(AND(G323=1,$V$7=1,I323=0),"乘","循环")),IF(AND($V$6=1,E323=0),"渊","")&amp;IF(AND(OR($V$13=0,AND(K323=0,C323&lt;1),AND(K323&gt;0,OR(M323&gt;0,$V$7=0))),F323=0),"雷","")&amp;IF(AND(C323&gt;0,L323=0,E323=0),"任",IF(AND(G323=1,$V$7=1,I323=0),"乘","循环"))))</f>
        <v>0</v>
      </c>
      <c r="C324" s="105">
        <f t="shared" ref="C324:C387" ca="1" si="103">IF(COUNTIF(B324,"*任*"),C323-1,IF(AND(D323&lt;&gt;0,D323&lt;$V$4),MIN(2,C323+1),C323))</f>
        <v>2</v>
      </c>
      <c r="D324" s="105">
        <f t="shared" ref="D324:D387" ca="1" si="104">IF(AND(D323&lt;$V$4,C323&lt;2),D323+$Y$6-$V$4,IF(AND(C323=2,COUNTIF(B324,"*任*")&gt;0),$Y$6-$V$4,MAX(0,D323-$V$4)))</f>
        <v>0</v>
      </c>
      <c r="E324" s="105">
        <f t="shared" ref="E324:E387" ca="1" si="105">IF(COUNTIF(B324,"*渊*")&gt;0,$Y$8-$V$4,MAX(0,E323-$V$4))</f>
        <v>0</v>
      </c>
      <c r="F324" s="105">
        <f t="shared" ref="F324:F387" ca="1" si="106">IF(COUNTIF(B324,"*雷*")&gt;0,$Y$9-$V$4,MAX(0,F323-$V$4))</f>
        <v>0</v>
      </c>
      <c r="G324" s="105">
        <f t="shared" ca="1" si="97"/>
        <v>0</v>
      </c>
      <c r="H324" s="105">
        <f t="shared" ca="1" si="98"/>
        <v>0</v>
      </c>
      <c r="I324" s="105">
        <f t="shared" ref="I324:I387" ca="1" si="107">IF(COUNTIF(B324,"*乘*")&gt;0,$Y$7-$V$4,MAX(0,I323-$V$4))</f>
        <v>0</v>
      </c>
      <c r="J324" s="105">
        <f t="shared" ref="J324:J387" ca="1" si="108">IF(H323&lt;1,$V$16,MAX(0,J323-1))*$V$11</f>
        <v>0</v>
      </c>
      <c r="K324" s="105">
        <f t="shared" ref="K324:K387" ca="1" si="109">IF(COUNTIF(B324,"*任*")&gt;0,$Z$6-$V$4+0.6875,MAX(0,K323-$V$4))</f>
        <v>0</v>
      </c>
      <c r="L324" s="105">
        <f t="shared" ca="1" si="99"/>
        <v>0</v>
      </c>
      <c r="M324" s="105">
        <f t="shared" ref="M324:M387" ca="1" si="110">IF(COUNTIF(B324,"*乘*")&gt;0,$Z$7-$V$4,MAX(0,M323-$V$4))</f>
        <v>0</v>
      </c>
      <c r="N324" s="105">
        <f t="shared" ca="1" si="100"/>
        <v>0</v>
      </c>
      <c r="O324" s="105">
        <f t="shared" ref="O324:O387" ca="1" si="111">IF(COUNTIF(B324,"*雷*")&gt;0,$Z$9-$V$4,MAX(0,O323-$V$4))</f>
        <v>0</v>
      </c>
      <c r="P324" s="105">
        <f t="shared" ref="P324:P387" ca="1" si="112">IF(O324+O323&gt;0,1,0)</f>
        <v>0</v>
      </c>
      <c r="Q324" s="105">
        <f t="shared" ref="Q324:Q387" ca="1" si="113">IF(COUNTIF(B324,"*渊*")&gt;0,$Z$8-$V$4,MAX(0,Q323-$V$4))</f>
        <v>0</v>
      </c>
      <c r="R324" s="105">
        <f t="shared" ref="R324:R387" ca="1" si="114">IF(Q324+Q323&gt;0,1,0)</f>
        <v>0</v>
      </c>
      <c r="S324" s="105">
        <f t="shared" ref="S324:S387" ca="1" si="115">IF(COUNTIF(B324,"*雷*")&gt;0,S323+1,S323)</f>
        <v>10</v>
      </c>
    </row>
    <row r="325" spans="1:19" x14ac:dyDescent="0.35">
      <c r="A325" s="105">
        <f t="shared" ca="1" si="101"/>
        <v>455.63000000000244</v>
      </c>
      <c r="B325" s="105">
        <f t="shared" ca="1" si="102"/>
        <v>0</v>
      </c>
      <c r="C325" s="105">
        <f t="shared" ca="1" si="103"/>
        <v>2</v>
      </c>
      <c r="D325" s="105">
        <f t="shared" ca="1" si="104"/>
        <v>0</v>
      </c>
      <c r="E325" s="105">
        <f t="shared" ca="1" si="105"/>
        <v>0</v>
      </c>
      <c r="F325" s="105">
        <f t="shared" ca="1" si="106"/>
        <v>0</v>
      </c>
      <c r="G325" s="105">
        <f t="shared" ref="G325:G388" ca="1" si="116">IF(RIGHT(B325,1)="任",1,IF(OR($V$9=0,AND(K324&lt;$V$4,H324=0)),0,G324))</f>
        <v>0</v>
      </c>
      <c r="H325" s="105">
        <f t="shared" ref="H325:H388" ca="1" si="117">IF(COUNTIF(B325,"*突*")&gt;0,$Y$5-$V$4,MAX(0,H324-$V$4))</f>
        <v>0</v>
      </c>
      <c r="I325" s="105">
        <f t="shared" ca="1" si="107"/>
        <v>0</v>
      </c>
      <c r="J325" s="105">
        <f t="shared" ca="1" si="108"/>
        <v>0</v>
      </c>
      <c r="K325" s="105">
        <f t="shared" ca="1" si="109"/>
        <v>0</v>
      </c>
      <c r="L325" s="105">
        <f t="shared" ca="1" si="99"/>
        <v>0</v>
      </c>
      <c r="M325" s="105">
        <f t="shared" ca="1" si="110"/>
        <v>0</v>
      </c>
      <c r="N325" s="105">
        <f t="shared" ca="1" si="100"/>
        <v>0</v>
      </c>
      <c r="O325" s="105">
        <f t="shared" ca="1" si="111"/>
        <v>0</v>
      </c>
      <c r="P325" s="105">
        <f t="shared" ca="1" si="112"/>
        <v>0</v>
      </c>
      <c r="Q325" s="105">
        <f t="shared" ca="1" si="113"/>
        <v>0</v>
      </c>
      <c r="R325" s="105">
        <f t="shared" ca="1" si="114"/>
        <v>0</v>
      </c>
      <c r="S325" s="105">
        <f t="shared" ca="1" si="115"/>
        <v>10</v>
      </c>
    </row>
    <row r="326" spans="1:19" x14ac:dyDescent="0.35">
      <c r="A326" s="105">
        <f t="shared" ca="1" si="101"/>
        <v>457.04500000000246</v>
      </c>
      <c r="B326" s="105">
        <f t="shared" ca="1" si="102"/>
        <v>0</v>
      </c>
      <c r="C326" s="105">
        <f t="shared" ca="1" si="103"/>
        <v>2</v>
      </c>
      <c r="D326" s="105">
        <f t="shared" ca="1" si="104"/>
        <v>0</v>
      </c>
      <c r="E326" s="105">
        <f t="shared" ca="1" si="105"/>
        <v>0</v>
      </c>
      <c r="F326" s="105">
        <f t="shared" ca="1" si="106"/>
        <v>0</v>
      </c>
      <c r="G326" s="105">
        <f t="shared" ca="1" si="116"/>
        <v>0</v>
      </c>
      <c r="H326" s="105">
        <f t="shared" ca="1" si="117"/>
        <v>0</v>
      </c>
      <c r="I326" s="105">
        <f t="shared" ca="1" si="107"/>
        <v>0</v>
      </c>
      <c r="J326" s="105">
        <f t="shared" ca="1" si="108"/>
        <v>0</v>
      </c>
      <c r="K326" s="105">
        <f t="shared" ca="1" si="109"/>
        <v>0</v>
      </c>
      <c r="L326" s="105">
        <f t="shared" ca="1" si="99"/>
        <v>0</v>
      </c>
      <c r="M326" s="105">
        <f t="shared" ca="1" si="110"/>
        <v>0</v>
      </c>
      <c r="N326" s="105">
        <f t="shared" ca="1" si="100"/>
        <v>0</v>
      </c>
      <c r="O326" s="105">
        <f t="shared" ca="1" si="111"/>
        <v>0</v>
      </c>
      <c r="P326" s="105">
        <f t="shared" ca="1" si="112"/>
        <v>0</v>
      </c>
      <c r="Q326" s="105">
        <f t="shared" ca="1" si="113"/>
        <v>0</v>
      </c>
      <c r="R326" s="105">
        <f t="shared" ca="1" si="114"/>
        <v>0</v>
      </c>
      <c r="S326" s="105">
        <f t="shared" ca="1" si="115"/>
        <v>10</v>
      </c>
    </row>
    <row r="327" spans="1:19" x14ac:dyDescent="0.35">
      <c r="A327" s="105">
        <f t="shared" ca="1" si="101"/>
        <v>458.46000000000248</v>
      </c>
      <c r="B327" s="105">
        <f t="shared" ca="1" si="102"/>
        <v>0</v>
      </c>
      <c r="C327" s="105">
        <f t="shared" ca="1" si="103"/>
        <v>2</v>
      </c>
      <c r="D327" s="105">
        <f t="shared" ca="1" si="104"/>
        <v>0</v>
      </c>
      <c r="E327" s="105">
        <f t="shared" ca="1" si="105"/>
        <v>0</v>
      </c>
      <c r="F327" s="105">
        <f t="shared" ca="1" si="106"/>
        <v>0</v>
      </c>
      <c r="G327" s="105">
        <f t="shared" ca="1" si="116"/>
        <v>0</v>
      </c>
      <c r="H327" s="105">
        <f t="shared" ca="1" si="117"/>
        <v>0</v>
      </c>
      <c r="I327" s="105">
        <f t="shared" ca="1" si="107"/>
        <v>0</v>
      </c>
      <c r="J327" s="105">
        <f t="shared" ca="1" si="108"/>
        <v>0</v>
      </c>
      <c r="K327" s="105">
        <f t="shared" ca="1" si="109"/>
        <v>0</v>
      </c>
      <c r="L327" s="105">
        <f t="shared" ca="1" si="99"/>
        <v>0</v>
      </c>
      <c r="M327" s="105">
        <f t="shared" ca="1" si="110"/>
        <v>0</v>
      </c>
      <c r="N327" s="105">
        <f t="shared" ca="1" si="100"/>
        <v>0</v>
      </c>
      <c r="O327" s="105">
        <f t="shared" ca="1" si="111"/>
        <v>0</v>
      </c>
      <c r="P327" s="105">
        <f t="shared" ca="1" si="112"/>
        <v>0</v>
      </c>
      <c r="Q327" s="105">
        <f t="shared" ca="1" si="113"/>
        <v>0</v>
      </c>
      <c r="R327" s="105">
        <f t="shared" ca="1" si="114"/>
        <v>0</v>
      </c>
      <c r="S327" s="105">
        <f t="shared" ca="1" si="115"/>
        <v>10</v>
      </c>
    </row>
    <row r="328" spans="1:19" x14ac:dyDescent="0.35">
      <c r="A328" s="105">
        <f t="shared" ca="1" si="101"/>
        <v>459.8750000000025</v>
      </c>
      <c r="B328" s="105">
        <f t="shared" ca="1" si="102"/>
        <v>0</v>
      </c>
      <c r="C328" s="105">
        <f t="shared" ca="1" si="103"/>
        <v>2</v>
      </c>
      <c r="D328" s="105">
        <f t="shared" ca="1" si="104"/>
        <v>0</v>
      </c>
      <c r="E328" s="105">
        <f t="shared" ca="1" si="105"/>
        <v>0</v>
      </c>
      <c r="F328" s="105">
        <f t="shared" ca="1" si="106"/>
        <v>0</v>
      </c>
      <c r="G328" s="105">
        <f t="shared" ca="1" si="116"/>
        <v>0</v>
      </c>
      <c r="H328" s="105">
        <f t="shared" ca="1" si="117"/>
        <v>0</v>
      </c>
      <c r="I328" s="105">
        <f t="shared" ca="1" si="107"/>
        <v>0</v>
      </c>
      <c r="J328" s="105">
        <f t="shared" ca="1" si="108"/>
        <v>0</v>
      </c>
      <c r="K328" s="105">
        <f t="shared" ca="1" si="109"/>
        <v>0</v>
      </c>
      <c r="L328" s="105">
        <f t="shared" ca="1" si="99"/>
        <v>0</v>
      </c>
      <c r="M328" s="105">
        <f t="shared" ca="1" si="110"/>
        <v>0</v>
      </c>
      <c r="N328" s="105">
        <f t="shared" ca="1" si="100"/>
        <v>0</v>
      </c>
      <c r="O328" s="105">
        <f t="shared" ca="1" si="111"/>
        <v>0</v>
      </c>
      <c r="P328" s="105">
        <f t="shared" ca="1" si="112"/>
        <v>0</v>
      </c>
      <c r="Q328" s="105">
        <f t="shared" ca="1" si="113"/>
        <v>0</v>
      </c>
      <c r="R328" s="105">
        <f t="shared" ca="1" si="114"/>
        <v>0</v>
      </c>
      <c r="S328" s="105">
        <f t="shared" ca="1" si="115"/>
        <v>10</v>
      </c>
    </row>
    <row r="329" spans="1:19" x14ac:dyDescent="0.35">
      <c r="A329" s="105">
        <f t="shared" ca="1" si="101"/>
        <v>461.29000000000252</v>
      </c>
      <c r="B329" s="105">
        <f t="shared" ca="1" si="102"/>
        <v>0</v>
      </c>
      <c r="C329" s="105">
        <f t="shared" ca="1" si="103"/>
        <v>2</v>
      </c>
      <c r="D329" s="105">
        <f t="shared" ca="1" si="104"/>
        <v>0</v>
      </c>
      <c r="E329" s="105">
        <f t="shared" ca="1" si="105"/>
        <v>0</v>
      </c>
      <c r="F329" s="105">
        <f t="shared" ca="1" si="106"/>
        <v>0</v>
      </c>
      <c r="G329" s="105">
        <f t="shared" ca="1" si="116"/>
        <v>0</v>
      </c>
      <c r="H329" s="105">
        <f t="shared" ca="1" si="117"/>
        <v>0</v>
      </c>
      <c r="I329" s="105">
        <f t="shared" ca="1" si="107"/>
        <v>0</v>
      </c>
      <c r="J329" s="105">
        <f t="shared" ca="1" si="108"/>
        <v>0</v>
      </c>
      <c r="K329" s="105">
        <f t="shared" ca="1" si="109"/>
        <v>0</v>
      </c>
      <c r="L329" s="105">
        <f t="shared" ca="1" si="99"/>
        <v>0</v>
      </c>
      <c r="M329" s="105">
        <f t="shared" ca="1" si="110"/>
        <v>0</v>
      </c>
      <c r="N329" s="105">
        <f t="shared" ca="1" si="100"/>
        <v>0</v>
      </c>
      <c r="O329" s="105">
        <f t="shared" ca="1" si="111"/>
        <v>0</v>
      </c>
      <c r="P329" s="105">
        <f t="shared" ca="1" si="112"/>
        <v>0</v>
      </c>
      <c r="Q329" s="105">
        <f t="shared" ca="1" si="113"/>
        <v>0</v>
      </c>
      <c r="R329" s="105">
        <f t="shared" ca="1" si="114"/>
        <v>0</v>
      </c>
      <c r="S329" s="105">
        <f t="shared" ca="1" si="115"/>
        <v>10</v>
      </c>
    </row>
    <row r="330" spans="1:19" x14ac:dyDescent="0.35">
      <c r="A330" s="105">
        <f t="shared" ca="1" si="101"/>
        <v>462.70500000000254</v>
      </c>
      <c r="B330" s="105">
        <f t="shared" ca="1" si="102"/>
        <v>0</v>
      </c>
      <c r="C330" s="105">
        <f t="shared" ca="1" si="103"/>
        <v>2</v>
      </c>
      <c r="D330" s="105">
        <f t="shared" ca="1" si="104"/>
        <v>0</v>
      </c>
      <c r="E330" s="105">
        <f t="shared" ca="1" si="105"/>
        <v>0</v>
      </c>
      <c r="F330" s="105">
        <f t="shared" ca="1" si="106"/>
        <v>0</v>
      </c>
      <c r="G330" s="105">
        <f t="shared" ca="1" si="116"/>
        <v>0</v>
      </c>
      <c r="H330" s="105">
        <f t="shared" ca="1" si="117"/>
        <v>0</v>
      </c>
      <c r="I330" s="105">
        <f t="shared" ca="1" si="107"/>
        <v>0</v>
      </c>
      <c r="J330" s="105">
        <f t="shared" ca="1" si="108"/>
        <v>0</v>
      </c>
      <c r="K330" s="105">
        <f t="shared" ca="1" si="109"/>
        <v>0</v>
      </c>
      <c r="L330" s="105">
        <f t="shared" ca="1" si="99"/>
        <v>0</v>
      </c>
      <c r="M330" s="105">
        <f t="shared" ca="1" si="110"/>
        <v>0</v>
      </c>
      <c r="N330" s="105">
        <f t="shared" ca="1" si="100"/>
        <v>0</v>
      </c>
      <c r="O330" s="105">
        <f t="shared" ca="1" si="111"/>
        <v>0</v>
      </c>
      <c r="P330" s="105">
        <f t="shared" ca="1" si="112"/>
        <v>0</v>
      </c>
      <c r="Q330" s="105">
        <f t="shared" ca="1" si="113"/>
        <v>0</v>
      </c>
      <c r="R330" s="105">
        <f t="shared" ca="1" si="114"/>
        <v>0</v>
      </c>
      <c r="S330" s="105">
        <f t="shared" ca="1" si="115"/>
        <v>10</v>
      </c>
    </row>
    <row r="331" spans="1:19" x14ac:dyDescent="0.35">
      <c r="A331" s="105">
        <f t="shared" ca="1" si="101"/>
        <v>464.12000000000256</v>
      </c>
      <c r="B331" s="105">
        <f t="shared" ca="1" si="102"/>
        <v>0</v>
      </c>
      <c r="C331" s="105">
        <f t="shared" ca="1" si="103"/>
        <v>2</v>
      </c>
      <c r="D331" s="105">
        <f t="shared" ca="1" si="104"/>
        <v>0</v>
      </c>
      <c r="E331" s="105">
        <f t="shared" ca="1" si="105"/>
        <v>0</v>
      </c>
      <c r="F331" s="105">
        <f t="shared" ca="1" si="106"/>
        <v>0</v>
      </c>
      <c r="G331" s="105">
        <f t="shared" ca="1" si="116"/>
        <v>0</v>
      </c>
      <c r="H331" s="105">
        <f t="shared" ca="1" si="117"/>
        <v>0</v>
      </c>
      <c r="I331" s="105">
        <f t="shared" ca="1" si="107"/>
        <v>0</v>
      </c>
      <c r="J331" s="105">
        <f t="shared" ca="1" si="108"/>
        <v>0</v>
      </c>
      <c r="K331" s="105">
        <f t="shared" ca="1" si="109"/>
        <v>0</v>
      </c>
      <c r="L331" s="105">
        <f t="shared" ca="1" si="99"/>
        <v>0</v>
      </c>
      <c r="M331" s="105">
        <f t="shared" ca="1" si="110"/>
        <v>0</v>
      </c>
      <c r="N331" s="105">
        <f t="shared" ca="1" si="100"/>
        <v>0</v>
      </c>
      <c r="O331" s="105">
        <f t="shared" ca="1" si="111"/>
        <v>0</v>
      </c>
      <c r="P331" s="105">
        <f t="shared" ca="1" si="112"/>
        <v>0</v>
      </c>
      <c r="Q331" s="105">
        <f t="shared" ca="1" si="113"/>
        <v>0</v>
      </c>
      <c r="R331" s="105">
        <f t="shared" ca="1" si="114"/>
        <v>0</v>
      </c>
      <c r="S331" s="105">
        <f t="shared" ca="1" si="115"/>
        <v>10</v>
      </c>
    </row>
    <row r="332" spans="1:19" x14ac:dyDescent="0.35">
      <c r="A332" s="105">
        <f t="shared" ca="1" si="101"/>
        <v>465.53500000000258</v>
      </c>
      <c r="B332" s="105">
        <f t="shared" ca="1" si="102"/>
        <v>0</v>
      </c>
      <c r="C332" s="105">
        <f t="shared" ca="1" si="103"/>
        <v>2</v>
      </c>
      <c r="D332" s="105">
        <f t="shared" ca="1" si="104"/>
        <v>0</v>
      </c>
      <c r="E332" s="105">
        <f t="shared" ca="1" si="105"/>
        <v>0</v>
      </c>
      <c r="F332" s="105">
        <f t="shared" ca="1" si="106"/>
        <v>0</v>
      </c>
      <c r="G332" s="105">
        <f t="shared" ca="1" si="116"/>
        <v>0</v>
      </c>
      <c r="H332" s="105">
        <f t="shared" ca="1" si="117"/>
        <v>0</v>
      </c>
      <c r="I332" s="105">
        <f t="shared" ca="1" si="107"/>
        <v>0</v>
      </c>
      <c r="J332" s="105">
        <f t="shared" ca="1" si="108"/>
        <v>0</v>
      </c>
      <c r="K332" s="105">
        <f t="shared" ca="1" si="109"/>
        <v>0</v>
      </c>
      <c r="L332" s="105">
        <f t="shared" ca="1" si="99"/>
        <v>0</v>
      </c>
      <c r="M332" s="105">
        <f t="shared" ca="1" si="110"/>
        <v>0</v>
      </c>
      <c r="N332" s="105">
        <f t="shared" ca="1" si="100"/>
        <v>0</v>
      </c>
      <c r="O332" s="105">
        <f t="shared" ca="1" si="111"/>
        <v>0</v>
      </c>
      <c r="P332" s="105">
        <f t="shared" ca="1" si="112"/>
        <v>0</v>
      </c>
      <c r="Q332" s="105">
        <f t="shared" ca="1" si="113"/>
        <v>0</v>
      </c>
      <c r="R332" s="105">
        <f t="shared" ca="1" si="114"/>
        <v>0</v>
      </c>
      <c r="S332" s="105">
        <f t="shared" ca="1" si="115"/>
        <v>10</v>
      </c>
    </row>
    <row r="333" spans="1:19" x14ac:dyDescent="0.35">
      <c r="A333" s="105">
        <f t="shared" ca="1" si="101"/>
        <v>466.9500000000026</v>
      </c>
      <c r="B333" s="105">
        <f t="shared" ca="1" si="102"/>
        <v>0</v>
      </c>
      <c r="C333" s="105">
        <f t="shared" ca="1" si="103"/>
        <v>2</v>
      </c>
      <c r="D333" s="105">
        <f t="shared" ca="1" si="104"/>
        <v>0</v>
      </c>
      <c r="E333" s="105">
        <f t="shared" ca="1" si="105"/>
        <v>0</v>
      </c>
      <c r="F333" s="105">
        <f t="shared" ca="1" si="106"/>
        <v>0</v>
      </c>
      <c r="G333" s="105">
        <f t="shared" ca="1" si="116"/>
        <v>0</v>
      </c>
      <c r="H333" s="105">
        <f t="shared" ca="1" si="117"/>
        <v>0</v>
      </c>
      <c r="I333" s="105">
        <f t="shared" ca="1" si="107"/>
        <v>0</v>
      </c>
      <c r="J333" s="105">
        <f t="shared" ca="1" si="108"/>
        <v>0</v>
      </c>
      <c r="K333" s="105">
        <f t="shared" ca="1" si="109"/>
        <v>0</v>
      </c>
      <c r="L333" s="105">
        <f t="shared" ca="1" si="99"/>
        <v>0</v>
      </c>
      <c r="M333" s="105">
        <f t="shared" ca="1" si="110"/>
        <v>0</v>
      </c>
      <c r="N333" s="105">
        <f t="shared" ca="1" si="100"/>
        <v>0</v>
      </c>
      <c r="O333" s="105">
        <f t="shared" ca="1" si="111"/>
        <v>0</v>
      </c>
      <c r="P333" s="105">
        <f t="shared" ca="1" si="112"/>
        <v>0</v>
      </c>
      <c r="Q333" s="105">
        <f t="shared" ca="1" si="113"/>
        <v>0</v>
      </c>
      <c r="R333" s="105">
        <f t="shared" ca="1" si="114"/>
        <v>0</v>
      </c>
      <c r="S333" s="105">
        <f t="shared" ca="1" si="115"/>
        <v>10</v>
      </c>
    </row>
    <row r="334" spans="1:19" x14ac:dyDescent="0.35">
      <c r="A334" s="105">
        <f t="shared" ca="1" si="101"/>
        <v>468.36500000000262</v>
      </c>
      <c r="B334" s="105">
        <f t="shared" ca="1" si="102"/>
        <v>0</v>
      </c>
      <c r="C334" s="105">
        <f t="shared" ca="1" si="103"/>
        <v>2</v>
      </c>
      <c r="D334" s="105">
        <f t="shared" ca="1" si="104"/>
        <v>0</v>
      </c>
      <c r="E334" s="105">
        <f t="shared" ca="1" si="105"/>
        <v>0</v>
      </c>
      <c r="F334" s="105">
        <f t="shared" ca="1" si="106"/>
        <v>0</v>
      </c>
      <c r="G334" s="105">
        <f t="shared" ca="1" si="116"/>
        <v>0</v>
      </c>
      <c r="H334" s="105">
        <f t="shared" ca="1" si="117"/>
        <v>0</v>
      </c>
      <c r="I334" s="105">
        <f t="shared" ca="1" si="107"/>
        <v>0</v>
      </c>
      <c r="J334" s="105">
        <f t="shared" ca="1" si="108"/>
        <v>0</v>
      </c>
      <c r="K334" s="105">
        <f t="shared" ca="1" si="109"/>
        <v>0</v>
      </c>
      <c r="L334" s="105">
        <f t="shared" ca="1" si="99"/>
        <v>0</v>
      </c>
      <c r="M334" s="105">
        <f t="shared" ca="1" si="110"/>
        <v>0</v>
      </c>
      <c r="N334" s="105">
        <f t="shared" ca="1" si="100"/>
        <v>0</v>
      </c>
      <c r="O334" s="105">
        <f t="shared" ca="1" si="111"/>
        <v>0</v>
      </c>
      <c r="P334" s="105">
        <f t="shared" ca="1" si="112"/>
        <v>0</v>
      </c>
      <c r="Q334" s="105">
        <f t="shared" ca="1" si="113"/>
        <v>0</v>
      </c>
      <c r="R334" s="105">
        <f t="shared" ca="1" si="114"/>
        <v>0</v>
      </c>
      <c r="S334" s="105">
        <f t="shared" ca="1" si="115"/>
        <v>10</v>
      </c>
    </row>
    <row r="335" spans="1:19" x14ac:dyDescent="0.35">
      <c r="A335" s="105">
        <f t="shared" ca="1" si="101"/>
        <v>469.78000000000264</v>
      </c>
      <c r="B335" s="105">
        <f t="shared" ca="1" si="102"/>
        <v>0</v>
      </c>
      <c r="C335" s="105">
        <f t="shared" ca="1" si="103"/>
        <v>2</v>
      </c>
      <c r="D335" s="105">
        <f t="shared" ca="1" si="104"/>
        <v>0</v>
      </c>
      <c r="E335" s="105">
        <f t="shared" ca="1" si="105"/>
        <v>0</v>
      </c>
      <c r="F335" s="105">
        <f t="shared" ca="1" si="106"/>
        <v>0</v>
      </c>
      <c r="G335" s="105">
        <f t="shared" ca="1" si="116"/>
        <v>0</v>
      </c>
      <c r="H335" s="105">
        <f t="shared" ca="1" si="117"/>
        <v>0</v>
      </c>
      <c r="I335" s="105">
        <f t="shared" ca="1" si="107"/>
        <v>0</v>
      </c>
      <c r="J335" s="105">
        <f t="shared" ca="1" si="108"/>
        <v>0</v>
      </c>
      <c r="K335" s="105">
        <f t="shared" ca="1" si="109"/>
        <v>0</v>
      </c>
      <c r="L335" s="105">
        <f t="shared" ca="1" si="99"/>
        <v>0</v>
      </c>
      <c r="M335" s="105">
        <f t="shared" ca="1" si="110"/>
        <v>0</v>
      </c>
      <c r="N335" s="105">
        <f t="shared" ca="1" si="100"/>
        <v>0</v>
      </c>
      <c r="O335" s="105">
        <f t="shared" ca="1" si="111"/>
        <v>0</v>
      </c>
      <c r="P335" s="105">
        <f t="shared" ca="1" si="112"/>
        <v>0</v>
      </c>
      <c r="Q335" s="105">
        <f t="shared" ca="1" si="113"/>
        <v>0</v>
      </c>
      <c r="R335" s="105">
        <f t="shared" ca="1" si="114"/>
        <v>0</v>
      </c>
      <c r="S335" s="105">
        <f t="shared" ca="1" si="115"/>
        <v>10</v>
      </c>
    </row>
    <row r="336" spans="1:19" x14ac:dyDescent="0.35">
      <c r="A336" s="105">
        <f t="shared" ca="1" si="101"/>
        <v>471.19500000000266</v>
      </c>
      <c r="B336" s="105">
        <f t="shared" ca="1" si="102"/>
        <v>0</v>
      </c>
      <c r="C336" s="105">
        <f t="shared" ca="1" si="103"/>
        <v>2</v>
      </c>
      <c r="D336" s="105">
        <f t="shared" ca="1" si="104"/>
        <v>0</v>
      </c>
      <c r="E336" s="105">
        <f t="shared" ca="1" si="105"/>
        <v>0</v>
      </c>
      <c r="F336" s="105">
        <f t="shared" ca="1" si="106"/>
        <v>0</v>
      </c>
      <c r="G336" s="105">
        <f t="shared" ca="1" si="116"/>
        <v>0</v>
      </c>
      <c r="H336" s="105">
        <f t="shared" ca="1" si="117"/>
        <v>0</v>
      </c>
      <c r="I336" s="105">
        <f t="shared" ca="1" si="107"/>
        <v>0</v>
      </c>
      <c r="J336" s="105">
        <f t="shared" ca="1" si="108"/>
        <v>0</v>
      </c>
      <c r="K336" s="105">
        <f t="shared" ca="1" si="109"/>
        <v>0</v>
      </c>
      <c r="L336" s="105">
        <f t="shared" ca="1" si="99"/>
        <v>0</v>
      </c>
      <c r="M336" s="105">
        <f t="shared" ca="1" si="110"/>
        <v>0</v>
      </c>
      <c r="N336" s="105">
        <f t="shared" ca="1" si="100"/>
        <v>0</v>
      </c>
      <c r="O336" s="105">
        <f t="shared" ca="1" si="111"/>
        <v>0</v>
      </c>
      <c r="P336" s="105">
        <f t="shared" ca="1" si="112"/>
        <v>0</v>
      </c>
      <c r="Q336" s="105">
        <f t="shared" ca="1" si="113"/>
        <v>0</v>
      </c>
      <c r="R336" s="105">
        <f t="shared" ca="1" si="114"/>
        <v>0</v>
      </c>
      <c r="S336" s="105">
        <f t="shared" ca="1" si="115"/>
        <v>10</v>
      </c>
    </row>
    <row r="337" spans="1:19" x14ac:dyDescent="0.35">
      <c r="A337" s="105">
        <f t="shared" ca="1" si="101"/>
        <v>472.61000000000269</v>
      </c>
      <c r="B337" s="105">
        <f t="shared" ca="1" si="102"/>
        <v>0</v>
      </c>
      <c r="C337" s="105">
        <f t="shared" ca="1" si="103"/>
        <v>2</v>
      </c>
      <c r="D337" s="105">
        <f t="shared" ca="1" si="104"/>
        <v>0</v>
      </c>
      <c r="E337" s="105">
        <f t="shared" ca="1" si="105"/>
        <v>0</v>
      </c>
      <c r="F337" s="105">
        <f t="shared" ca="1" si="106"/>
        <v>0</v>
      </c>
      <c r="G337" s="105">
        <f t="shared" ca="1" si="116"/>
        <v>0</v>
      </c>
      <c r="H337" s="105">
        <f t="shared" ca="1" si="117"/>
        <v>0</v>
      </c>
      <c r="I337" s="105">
        <f t="shared" ca="1" si="107"/>
        <v>0</v>
      </c>
      <c r="J337" s="105">
        <f t="shared" ca="1" si="108"/>
        <v>0</v>
      </c>
      <c r="K337" s="105">
        <f t="shared" ca="1" si="109"/>
        <v>0</v>
      </c>
      <c r="L337" s="105">
        <f t="shared" ca="1" si="99"/>
        <v>0</v>
      </c>
      <c r="M337" s="105">
        <f t="shared" ca="1" si="110"/>
        <v>0</v>
      </c>
      <c r="N337" s="105">
        <f t="shared" ca="1" si="100"/>
        <v>0</v>
      </c>
      <c r="O337" s="105">
        <f t="shared" ca="1" si="111"/>
        <v>0</v>
      </c>
      <c r="P337" s="105">
        <f t="shared" ca="1" si="112"/>
        <v>0</v>
      </c>
      <c r="Q337" s="105">
        <f t="shared" ca="1" si="113"/>
        <v>0</v>
      </c>
      <c r="R337" s="105">
        <f t="shared" ca="1" si="114"/>
        <v>0</v>
      </c>
      <c r="S337" s="105">
        <f t="shared" ca="1" si="115"/>
        <v>10</v>
      </c>
    </row>
    <row r="338" spans="1:19" x14ac:dyDescent="0.35">
      <c r="A338" s="105">
        <f t="shared" ca="1" si="101"/>
        <v>474.02500000000271</v>
      </c>
      <c r="B338" s="105">
        <f t="shared" ca="1" si="102"/>
        <v>0</v>
      </c>
      <c r="C338" s="105">
        <f t="shared" ca="1" si="103"/>
        <v>2</v>
      </c>
      <c r="D338" s="105">
        <f t="shared" ca="1" si="104"/>
        <v>0</v>
      </c>
      <c r="E338" s="105">
        <f t="shared" ca="1" si="105"/>
        <v>0</v>
      </c>
      <c r="F338" s="105">
        <f t="shared" ca="1" si="106"/>
        <v>0</v>
      </c>
      <c r="G338" s="105">
        <f t="shared" ca="1" si="116"/>
        <v>0</v>
      </c>
      <c r="H338" s="105">
        <f t="shared" ca="1" si="117"/>
        <v>0</v>
      </c>
      <c r="I338" s="105">
        <f t="shared" ca="1" si="107"/>
        <v>0</v>
      </c>
      <c r="J338" s="105">
        <f t="shared" ca="1" si="108"/>
        <v>0</v>
      </c>
      <c r="K338" s="105">
        <f t="shared" ca="1" si="109"/>
        <v>0</v>
      </c>
      <c r="L338" s="105">
        <f t="shared" ca="1" si="99"/>
        <v>0</v>
      </c>
      <c r="M338" s="105">
        <f t="shared" ca="1" si="110"/>
        <v>0</v>
      </c>
      <c r="N338" s="105">
        <f t="shared" ca="1" si="100"/>
        <v>0</v>
      </c>
      <c r="O338" s="105">
        <f t="shared" ca="1" si="111"/>
        <v>0</v>
      </c>
      <c r="P338" s="105">
        <f t="shared" ca="1" si="112"/>
        <v>0</v>
      </c>
      <c r="Q338" s="105">
        <f t="shared" ca="1" si="113"/>
        <v>0</v>
      </c>
      <c r="R338" s="105">
        <f t="shared" ca="1" si="114"/>
        <v>0</v>
      </c>
      <c r="S338" s="105">
        <f t="shared" ca="1" si="115"/>
        <v>10</v>
      </c>
    </row>
    <row r="339" spans="1:19" x14ac:dyDescent="0.35">
      <c r="A339" s="105">
        <f t="shared" ca="1" si="101"/>
        <v>475.44000000000273</v>
      </c>
      <c r="B339" s="105">
        <f t="shared" ca="1" si="102"/>
        <v>0</v>
      </c>
      <c r="C339" s="105">
        <f t="shared" ca="1" si="103"/>
        <v>2</v>
      </c>
      <c r="D339" s="105">
        <f t="shared" ca="1" si="104"/>
        <v>0</v>
      </c>
      <c r="E339" s="105">
        <f t="shared" ca="1" si="105"/>
        <v>0</v>
      </c>
      <c r="F339" s="105">
        <f t="shared" ca="1" si="106"/>
        <v>0</v>
      </c>
      <c r="G339" s="105">
        <f t="shared" ca="1" si="116"/>
        <v>0</v>
      </c>
      <c r="H339" s="105">
        <f t="shared" ca="1" si="117"/>
        <v>0</v>
      </c>
      <c r="I339" s="105">
        <f t="shared" ca="1" si="107"/>
        <v>0</v>
      </c>
      <c r="J339" s="105">
        <f t="shared" ca="1" si="108"/>
        <v>0</v>
      </c>
      <c r="K339" s="105">
        <f t="shared" ca="1" si="109"/>
        <v>0</v>
      </c>
      <c r="L339" s="105">
        <f t="shared" ca="1" si="99"/>
        <v>0</v>
      </c>
      <c r="M339" s="105">
        <f t="shared" ca="1" si="110"/>
        <v>0</v>
      </c>
      <c r="N339" s="105">
        <f t="shared" ca="1" si="100"/>
        <v>0</v>
      </c>
      <c r="O339" s="105">
        <f t="shared" ca="1" si="111"/>
        <v>0</v>
      </c>
      <c r="P339" s="105">
        <f t="shared" ca="1" si="112"/>
        <v>0</v>
      </c>
      <c r="Q339" s="105">
        <f t="shared" ca="1" si="113"/>
        <v>0</v>
      </c>
      <c r="R339" s="105">
        <f t="shared" ca="1" si="114"/>
        <v>0</v>
      </c>
      <c r="S339" s="105">
        <f t="shared" ca="1" si="115"/>
        <v>10</v>
      </c>
    </row>
    <row r="340" spans="1:19" x14ac:dyDescent="0.35">
      <c r="A340" s="105">
        <f t="shared" ca="1" si="101"/>
        <v>476.85500000000275</v>
      </c>
      <c r="B340" s="105">
        <f t="shared" ca="1" si="102"/>
        <v>0</v>
      </c>
      <c r="C340" s="105">
        <f t="shared" ca="1" si="103"/>
        <v>2</v>
      </c>
      <c r="D340" s="105">
        <f t="shared" ca="1" si="104"/>
        <v>0</v>
      </c>
      <c r="E340" s="105">
        <f t="shared" ca="1" si="105"/>
        <v>0</v>
      </c>
      <c r="F340" s="105">
        <f t="shared" ca="1" si="106"/>
        <v>0</v>
      </c>
      <c r="G340" s="105">
        <f t="shared" ca="1" si="116"/>
        <v>0</v>
      </c>
      <c r="H340" s="105">
        <f t="shared" ca="1" si="117"/>
        <v>0</v>
      </c>
      <c r="I340" s="105">
        <f t="shared" ca="1" si="107"/>
        <v>0</v>
      </c>
      <c r="J340" s="105">
        <f t="shared" ca="1" si="108"/>
        <v>0</v>
      </c>
      <c r="K340" s="105">
        <f t="shared" ca="1" si="109"/>
        <v>0</v>
      </c>
      <c r="L340" s="105">
        <f t="shared" ca="1" si="99"/>
        <v>0</v>
      </c>
      <c r="M340" s="105">
        <f t="shared" ca="1" si="110"/>
        <v>0</v>
      </c>
      <c r="N340" s="105">
        <f t="shared" ca="1" si="100"/>
        <v>0</v>
      </c>
      <c r="O340" s="105">
        <f t="shared" ca="1" si="111"/>
        <v>0</v>
      </c>
      <c r="P340" s="105">
        <f t="shared" ca="1" si="112"/>
        <v>0</v>
      </c>
      <c r="Q340" s="105">
        <f t="shared" ca="1" si="113"/>
        <v>0</v>
      </c>
      <c r="R340" s="105">
        <f t="shared" ca="1" si="114"/>
        <v>0</v>
      </c>
      <c r="S340" s="105">
        <f t="shared" ca="1" si="115"/>
        <v>10</v>
      </c>
    </row>
    <row r="341" spans="1:19" x14ac:dyDescent="0.35">
      <c r="A341" s="105">
        <f t="shared" ca="1" si="101"/>
        <v>478.27000000000277</v>
      </c>
      <c r="B341" s="105">
        <f t="shared" ca="1" si="102"/>
        <v>0</v>
      </c>
      <c r="C341" s="105">
        <f t="shared" ca="1" si="103"/>
        <v>2</v>
      </c>
      <c r="D341" s="105">
        <f t="shared" ca="1" si="104"/>
        <v>0</v>
      </c>
      <c r="E341" s="105">
        <f t="shared" ca="1" si="105"/>
        <v>0</v>
      </c>
      <c r="F341" s="105">
        <f t="shared" ca="1" si="106"/>
        <v>0</v>
      </c>
      <c r="G341" s="105">
        <f t="shared" ca="1" si="116"/>
        <v>0</v>
      </c>
      <c r="H341" s="105">
        <f t="shared" ca="1" si="117"/>
        <v>0</v>
      </c>
      <c r="I341" s="105">
        <f t="shared" ca="1" si="107"/>
        <v>0</v>
      </c>
      <c r="J341" s="105">
        <f t="shared" ca="1" si="108"/>
        <v>0</v>
      </c>
      <c r="K341" s="105">
        <f t="shared" ca="1" si="109"/>
        <v>0</v>
      </c>
      <c r="L341" s="105">
        <f t="shared" ca="1" si="99"/>
        <v>0</v>
      </c>
      <c r="M341" s="105">
        <f t="shared" ca="1" si="110"/>
        <v>0</v>
      </c>
      <c r="N341" s="105">
        <f t="shared" ca="1" si="100"/>
        <v>0</v>
      </c>
      <c r="O341" s="105">
        <f t="shared" ca="1" si="111"/>
        <v>0</v>
      </c>
      <c r="P341" s="105">
        <f t="shared" ca="1" si="112"/>
        <v>0</v>
      </c>
      <c r="Q341" s="105">
        <f t="shared" ca="1" si="113"/>
        <v>0</v>
      </c>
      <c r="R341" s="105">
        <f t="shared" ca="1" si="114"/>
        <v>0</v>
      </c>
      <c r="S341" s="105">
        <f t="shared" ca="1" si="115"/>
        <v>10</v>
      </c>
    </row>
    <row r="342" spans="1:19" x14ac:dyDescent="0.35">
      <c r="A342" s="105">
        <f t="shared" ca="1" si="101"/>
        <v>479.68500000000279</v>
      </c>
      <c r="B342" s="105">
        <f t="shared" ca="1" si="102"/>
        <v>0</v>
      </c>
      <c r="C342" s="105">
        <f t="shared" ca="1" si="103"/>
        <v>2</v>
      </c>
      <c r="D342" s="105">
        <f t="shared" ca="1" si="104"/>
        <v>0</v>
      </c>
      <c r="E342" s="105">
        <f t="shared" ca="1" si="105"/>
        <v>0</v>
      </c>
      <c r="F342" s="105">
        <f t="shared" ca="1" si="106"/>
        <v>0</v>
      </c>
      <c r="G342" s="105">
        <f t="shared" ca="1" si="116"/>
        <v>0</v>
      </c>
      <c r="H342" s="105">
        <f t="shared" ca="1" si="117"/>
        <v>0</v>
      </c>
      <c r="I342" s="105">
        <f t="shared" ca="1" si="107"/>
        <v>0</v>
      </c>
      <c r="J342" s="105">
        <f t="shared" ca="1" si="108"/>
        <v>0</v>
      </c>
      <c r="K342" s="105">
        <f t="shared" ca="1" si="109"/>
        <v>0</v>
      </c>
      <c r="L342" s="105">
        <f t="shared" ca="1" si="99"/>
        <v>0</v>
      </c>
      <c r="M342" s="105">
        <f t="shared" ca="1" si="110"/>
        <v>0</v>
      </c>
      <c r="N342" s="105">
        <f t="shared" ca="1" si="100"/>
        <v>0</v>
      </c>
      <c r="O342" s="105">
        <f t="shared" ca="1" si="111"/>
        <v>0</v>
      </c>
      <c r="P342" s="105">
        <f t="shared" ca="1" si="112"/>
        <v>0</v>
      </c>
      <c r="Q342" s="105">
        <f t="shared" ca="1" si="113"/>
        <v>0</v>
      </c>
      <c r="R342" s="105">
        <f t="shared" ca="1" si="114"/>
        <v>0</v>
      </c>
      <c r="S342" s="105">
        <f t="shared" ca="1" si="115"/>
        <v>10</v>
      </c>
    </row>
    <row r="343" spans="1:19" x14ac:dyDescent="0.35">
      <c r="A343" s="105">
        <f t="shared" ca="1" si="101"/>
        <v>481.10000000000281</v>
      </c>
      <c r="B343" s="105">
        <f t="shared" ca="1" si="102"/>
        <v>0</v>
      </c>
      <c r="C343" s="105">
        <f t="shared" ca="1" si="103"/>
        <v>2</v>
      </c>
      <c r="D343" s="105">
        <f t="shared" ca="1" si="104"/>
        <v>0</v>
      </c>
      <c r="E343" s="105">
        <f t="shared" ca="1" si="105"/>
        <v>0</v>
      </c>
      <c r="F343" s="105">
        <f t="shared" ca="1" si="106"/>
        <v>0</v>
      </c>
      <c r="G343" s="105">
        <f t="shared" ca="1" si="116"/>
        <v>0</v>
      </c>
      <c r="H343" s="105">
        <f t="shared" ca="1" si="117"/>
        <v>0</v>
      </c>
      <c r="I343" s="105">
        <f t="shared" ca="1" si="107"/>
        <v>0</v>
      </c>
      <c r="J343" s="105">
        <f t="shared" ca="1" si="108"/>
        <v>0</v>
      </c>
      <c r="K343" s="105">
        <f t="shared" ca="1" si="109"/>
        <v>0</v>
      </c>
      <c r="L343" s="105">
        <f t="shared" ca="1" si="99"/>
        <v>0</v>
      </c>
      <c r="M343" s="105">
        <f t="shared" ca="1" si="110"/>
        <v>0</v>
      </c>
      <c r="N343" s="105">
        <f t="shared" ca="1" si="100"/>
        <v>0</v>
      </c>
      <c r="O343" s="105">
        <f t="shared" ca="1" si="111"/>
        <v>0</v>
      </c>
      <c r="P343" s="105">
        <f t="shared" ca="1" si="112"/>
        <v>0</v>
      </c>
      <c r="Q343" s="105">
        <f t="shared" ca="1" si="113"/>
        <v>0</v>
      </c>
      <c r="R343" s="105">
        <f t="shared" ca="1" si="114"/>
        <v>0</v>
      </c>
      <c r="S343" s="105">
        <f t="shared" ca="1" si="115"/>
        <v>10</v>
      </c>
    </row>
    <row r="344" spans="1:19" x14ac:dyDescent="0.35">
      <c r="A344" s="105">
        <f t="shared" ca="1" si="101"/>
        <v>482.51500000000283</v>
      </c>
      <c r="B344" s="105">
        <f t="shared" ca="1" si="102"/>
        <v>0</v>
      </c>
      <c r="C344" s="105">
        <f t="shared" ca="1" si="103"/>
        <v>2</v>
      </c>
      <c r="D344" s="105">
        <f t="shared" ca="1" si="104"/>
        <v>0</v>
      </c>
      <c r="E344" s="105">
        <f t="shared" ca="1" si="105"/>
        <v>0</v>
      </c>
      <c r="F344" s="105">
        <f t="shared" ca="1" si="106"/>
        <v>0</v>
      </c>
      <c r="G344" s="105">
        <f t="shared" ca="1" si="116"/>
        <v>0</v>
      </c>
      <c r="H344" s="105">
        <f t="shared" ca="1" si="117"/>
        <v>0</v>
      </c>
      <c r="I344" s="105">
        <f t="shared" ca="1" si="107"/>
        <v>0</v>
      </c>
      <c r="J344" s="105">
        <f t="shared" ca="1" si="108"/>
        <v>0</v>
      </c>
      <c r="K344" s="105">
        <f t="shared" ca="1" si="109"/>
        <v>0</v>
      </c>
      <c r="L344" s="105">
        <f t="shared" ref="L344:L407" ca="1" si="118">IF(K344+K343&gt;0,1,0)</f>
        <v>0</v>
      </c>
      <c r="M344" s="105">
        <f t="shared" ca="1" si="110"/>
        <v>0</v>
      </c>
      <c r="N344" s="105">
        <f t="shared" ref="N344:N407" ca="1" si="119">IF(M344+M343&gt;0,1,0)</f>
        <v>0</v>
      </c>
      <c r="O344" s="105">
        <f t="shared" ca="1" si="111"/>
        <v>0</v>
      </c>
      <c r="P344" s="105">
        <f t="shared" ca="1" si="112"/>
        <v>0</v>
      </c>
      <c r="Q344" s="105">
        <f t="shared" ca="1" si="113"/>
        <v>0</v>
      </c>
      <c r="R344" s="105">
        <f t="shared" ca="1" si="114"/>
        <v>0</v>
      </c>
      <c r="S344" s="105">
        <f t="shared" ca="1" si="115"/>
        <v>10</v>
      </c>
    </row>
    <row r="345" spans="1:19" x14ac:dyDescent="0.35">
      <c r="A345" s="105">
        <f t="shared" ca="1" si="101"/>
        <v>483.93000000000285</v>
      </c>
      <c r="B345" s="105">
        <f t="shared" ca="1" si="102"/>
        <v>0</v>
      </c>
      <c r="C345" s="105">
        <f t="shared" ca="1" si="103"/>
        <v>2</v>
      </c>
      <c r="D345" s="105">
        <f t="shared" ca="1" si="104"/>
        <v>0</v>
      </c>
      <c r="E345" s="105">
        <f t="shared" ca="1" si="105"/>
        <v>0</v>
      </c>
      <c r="F345" s="105">
        <f t="shared" ca="1" si="106"/>
        <v>0</v>
      </c>
      <c r="G345" s="105">
        <f t="shared" ca="1" si="116"/>
        <v>0</v>
      </c>
      <c r="H345" s="105">
        <f t="shared" ca="1" si="117"/>
        <v>0</v>
      </c>
      <c r="I345" s="105">
        <f t="shared" ca="1" si="107"/>
        <v>0</v>
      </c>
      <c r="J345" s="105">
        <f t="shared" ca="1" si="108"/>
        <v>0</v>
      </c>
      <c r="K345" s="105">
        <f t="shared" ca="1" si="109"/>
        <v>0</v>
      </c>
      <c r="L345" s="105">
        <f t="shared" ca="1" si="118"/>
        <v>0</v>
      </c>
      <c r="M345" s="105">
        <f t="shared" ca="1" si="110"/>
        <v>0</v>
      </c>
      <c r="N345" s="105">
        <f t="shared" ca="1" si="119"/>
        <v>0</v>
      </c>
      <c r="O345" s="105">
        <f t="shared" ca="1" si="111"/>
        <v>0</v>
      </c>
      <c r="P345" s="105">
        <f t="shared" ca="1" si="112"/>
        <v>0</v>
      </c>
      <c r="Q345" s="105">
        <f t="shared" ca="1" si="113"/>
        <v>0</v>
      </c>
      <c r="R345" s="105">
        <f t="shared" ca="1" si="114"/>
        <v>0</v>
      </c>
      <c r="S345" s="105">
        <f t="shared" ca="1" si="115"/>
        <v>10</v>
      </c>
    </row>
    <row r="346" spans="1:19" x14ac:dyDescent="0.35">
      <c r="A346" s="105">
        <f t="shared" ca="1" si="101"/>
        <v>485.34500000000287</v>
      </c>
      <c r="B346" s="105">
        <f t="shared" ca="1" si="102"/>
        <v>0</v>
      </c>
      <c r="C346" s="105">
        <f t="shared" ca="1" si="103"/>
        <v>2</v>
      </c>
      <c r="D346" s="105">
        <f t="shared" ca="1" si="104"/>
        <v>0</v>
      </c>
      <c r="E346" s="105">
        <f t="shared" ca="1" si="105"/>
        <v>0</v>
      </c>
      <c r="F346" s="105">
        <f t="shared" ca="1" si="106"/>
        <v>0</v>
      </c>
      <c r="G346" s="105">
        <f t="shared" ca="1" si="116"/>
        <v>0</v>
      </c>
      <c r="H346" s="105">
        <f t="shared" ca="1" si="117"/>
        <v>0</v>
      </c>
      <c r="I346" s="105">
        <f t="shared" ca="1" si="107"/>
        <v>0</v>
      </c>
      <c r="J346" s="105">
        <f t="shared" ca="1" si="108"/>
        <v>0</v>
      </c>
      <c r="K346" s="105">
        <f t="shared" ca="1" si="109"/>
        <v>0</v>
      </c>
      <c r="L346" s="105">
        <f t="shared" ca="1" si="118"/>
        <v>0</v>
      </c>
      <c r="M346" s="105">
        <f t="shared" ca="1" si="110"/>
        <v>0</v>
      </c>
      <c r="N346" s="105">
        <f t="shared" ca="1" si="119"/>
        <v>0</v>
      </c>
      <c r="O346" s="105">
        <f t="shared" ca="1" si="111"/>
        <v>0</v>
      </c>
      <c r="P346" s="105">
        <f t="shared" ca="1" si="112"/>
        <v>0</v>
      </c>
      <c r="Q346" s="105">
        <f t="shared" ca="1" si="113"/>
        <v>0</v>
      </c>
      <c r="R346" s="105">
        <f t="shared" ca="1" si="114"/>
        <v>0</v>
      </c>
      <c r="S346" s="105">
        <f t="shared" ca="1" si="115"/>
        <v>10</v>
      </c>
    </row>
    <row r="347" spans="1:19" x14ac:dyDescent="0.35">
      <c r="A347" s="105">
        <f t="shared" ca="1" si="101"/>
        <v>486.76000000000289</v>
      </c>
      <c r="B347" s="105">
        <f t="shared" ca="1" si="102"/>
        <v>0</v>
      </c>
      <c r="C347" s="105">
        <f t="shared" ca="1" si="103"/>
        <v>2</v>
      </c>
      <c r="D347" s="105">
        <f t="shared" ca="1" si="104"/>
        <v>0</v>
      </c>
      <c r="E347" s="105">
        <f t="shared" ca="1" si="105"/>
        <v>0</v>
      </c>
      <c r="F347" s="105">
        <f t="shared" ca="1" si="106"/>
        <v>0</v>
      </c>
      <c r="G347" s="105">
        <f t="shared" ca="1" si="116"/>
        <v>0</v>
      </c>
      <c r="H347" s="105">
        <f t="shared" ca="1" si="117"/>
        <v>0</v>
      </c>
      <c r="I347" s="105">
        <f t="shared" ca="1" si="107"/>
        <v>0</v>
      </c>
      <c r="J347" s="105">
        <f t="shared" ca="1" si="108"/>
        <v>0</v>
      </c>
      <c r="K347" s="105">
        <f t="shared" ca="1" si="109"/>
        <v>0</v>
      </c>
      <c r="L347" s="105">
        <f t="shared" ca="1" si="118"/>
        <v>0</v>
      </c>
      <c r="M347" s="105">
        <f t="shared" ca="1" si="110"/>
        <v>0</v>
      </c>
      <c r="N347" s="105">
        <f t="shared" ca="1" si="119"/>
        <v>0</v>
      </c>
      <c r="O347" s="105">
        <f t="shared" ca="1" si="111"/>
        <v>0</v>
      </c>
      <c r="P347" s="105">
        <f t="shared" ca="1" si="112"/>
        <v>0</v>
      </c>
      <c r="Q347" s="105">
        <f t="shared" ca="1" si="113"/>
        <v>0</v>
      </c>
      <c r="R347" s="105">
        <f t="shared" ca="1" si="114"/>
        <v>0</v>
      </c>
      <c r="S347" s="105">
        <f t="shared" ca="1" si="115"/>
        <v>10</v>
      </c>
    </row>
    <row r="348" spans="1:19" x14ac:dyDescent="0.35">
      <c r="A348" s="105">
        <f t="shared" ca="1" si="101"/>
        <v>488.17500000000291</v>
      </c>
      <c r="B348" s="105">
        <f t="shared" ca="1" si="102"/>
        <v>0</v>
      </c>
      <c r="C348" s="105">
        <f t="shared" ca="1" si="103"/>
        <v>2</v>
      </c>
      <c r="D348" s="105">
        <f t="shared" ca="1" si="104"/>
        <v>0</v>
      </c>
      <c r="E348" s="105">
        <f t="shared" ca="1" si="105"/>
        <v>0</v>
      </c>
      <c r="F348" s="105">
        <f t="shared" ca="1" si="106"/>
        <v>0</v>
      </c>
      <c r="G348" s="105">
        <f t="shared" ca="1" si="116"/>
        <v>0</v>
      </c>
      <c r="H348" s="105">
        <f t="shared" ca="1" si="117"/>
        <v>0</v>
      </c>
      <c r="I348" s="105">
        <f t="shared" ca="1" si="107"/>
        <v>0</v>
      </c>
      <c r="J348" s="105">
        <f t="shared" ca="1" si="108"/>
        <v>0</v>
      </c>
      <c r="K348" s="105">
        <f t="shared" ca="1" si="109"/>
        <v>0</v>
      </c>
      <c r="L348" s="105">
        <f t="shared" ca="1" si="118"/>
        <v>0</v>
      </c>
      <c r="M348" s="105">
        <f t="shared" ca="1" si="110"/>
        <v>0</v>
      </c>
      <c r="N348" s="105">
        <f t="shared" ca="1" si="119"/>
        <v>0</v>
      </c>
      <c r="O348" s="105">
        <f t="shared" ca="1" si="111"/>
        <v>0</v>
      </c>
      <c r="P348" s="105">
        <f t="shared" ca="1" si="112"/>
        <v>0</v>
      </c>
      <c r="Q348" s="105">
        <f t="shared" ca="1" si="113"/>
        <v>0</v>
      </c>
      <c r="R348" s="105">
        <f t="shared" ca="1" si="114"/>
        <v>0</v>
      </c>
      <c r="S348" s="105">
        <f t="shared" ca="1" si="115"/>
        <v>10</v>
      </c>
    </row>
    <row r="349" spans="1:19" x14ac:dyDescent="0.35">
      <c r="A349" s="105">
        <f t="shared" ca="1" si="101"/>
        <v>489.59000000000293</v>
      </c>
      <c r="B349" s="105">
        <f t="shared" ca="1" si="102"/>
        <v>0</v>
      </c>
      <c r="C349" s="105">
        <f t="shared" ca="1" si="103"/>
        <v>2</v>
      </c>
      <c r="D349" s="105">
        <f t="shared" ca="1" si="104"/>
        <v>0</v>
      </c>
      <c r="E349" s="105">
        <f t="shared" ca="1" si="105"/>
        <v>0</v>
      </c>
      <c r="F349" s="105">
        <f t="shared" ca="1" si="106"/>
        <v>0</v>
      </c>
      <c r="G349" s="105">
        <f t="shared" ca="1" si="116"/>
        <v>0</v>
      </c>
      <c r="H349" s="105">
        <f t="shared" ca="1" si="117"/>
        <v>0</v>
      </c>
      <c r="I349" s="105">
        <f t="shared" ca="1" si="107"/>
        <v>0</v>
      </c>
      <c r="J349" s="105">
        <f t="shared" ca="1" si="108"/>
        <v>0</v>
      </c>
      <c r="K349" s="105">
        <f t="shared" ca="1" si="109"/>
        <v>0</v>
      </c>
      <c r="L349" s="105">
        <f t="shared" ca="1" si="118"/>
        <v>0</v>
      </c>
      <c r="M349" s="105">
        <f t="shared" ca="1" si="110"/>
        <v>0</v>
      </c>
      <c r="N349" s="105">
        <f t="shared" ca="1" si="119"/>
        <v>0</v>
      </c>
      <c r="O349" s="105">
        <f t="shared" ca="1" si="111"/>
        <v>0</v>
      </c>
      <c r="P349" s="105">
        <f t="shared" ca="1" si="112"/>
        <v>0</v>
      </c>
      <c r="Q349" s="105">
        <f t="shared" ca="1" si="113"/>
        <v>0</v>
      </c>
      <c r="R349" s="105">
        <f t="shared" ca="1" si="114"/>
        <v>0</v>
      </c>
      <c r="S349" s="105">
        <f t="shared" ca="1" si="115"/>
        <v>10</v>
      </c>
    </row>
    <row r="350" spans="1:19" x14ac:dyDescent="0.35">
      <c r="A350" s="105">
        <f t="shared" ca="1" si="101"/>
        <v>491.00500000000295</v>
      </c>
      <c r="B350" s="105">
        <f t="shared" ca="1" si="102"/>
        <v>0</v>
      </c>
      <c r="C350" s="105">
        <f t="shared" ca="1" si="103"/>
        <v>2</v>
      </c>
      <c r="D350" s="105">
        <f t="shared" ca="1" si="104"/>
        <v>0</v>
      </c>
      <c r="E350" s="105">
        <f t="shared" ca="1" si="105"/>
        <v>0</v>
      </c>
      <c r="F350" s="105">
        <f t="shared" ca="1" si="106"/>
        <v>0</v>
      </c>
      <c r="G350" s="105">
        <f t="shared" ca="1" si="116"/>
        <v>0</v>
      </c>
      <c r="H350" s="105">
        <f t="shared" ca="1" si="117"/>
        <v>0</v>
      </c>
      <c r="I350" s="105">
        <f t="shared" ca="1" si="107"/>
        <v>0</v>
      </c>
      <c r="J350" s="105">
        <f t="shared" ca="1" si="108"/>
        <v>0</v>
      </c>
      <c r="K350" s="105">
        <f t="shared" ca="1" si="109"/>
        <v>0</v>
      </c>
      <c r="L350" s="105">
        <f t="shared" ca="1" si="118"/>
        <v>0</v>
      </c>
      <c r="M350" s="105">
        <f t="shared" ca="1" si="110"/>
        <v>0</v>
      </c>
      <c r="N350" s="105">
        <f t="shared" ca="1" si="119"/>
        <v>0</v>
      </c>
      <c r="O350" s="105">
        <f t="shared" ca="1" si="111"/>
        <v>0</v>
      </c>
      <c r="P350" s="105">
        <f t="shared" ca="1" si="112"/>
        <v>0</v>
      </c>
      <c r="Q350" s="105">
        <f t="shared" ca="1" si="113"/>
        <v>0</v>
      </c>
      <c r="R350" s="105">
        <f t="shared" ca="1" si="114"/>
        <v>0</v>
      </c>
      <c r="S350" s="105">
        <f t="shared" ca="1" si="115"/>
        <v>10</v>
      </c>
    </row>
    <row r="351" spans="1:19" x14ac:dyDescent="0.35">
      <c r="A351" s="105">
        <f t="shared" ca="1" si="101"/>
        <v>492.42000000000297</v>
      </c>
      <c r="B351" s="105">
        <f t="shared" ca="1" si="102"/>
        <v>0</v>
      </c>
      <c r="C351" s="105">
        <f t="shared" ca="1" si="103"/>
        <v>2</v>
      </c>
      <c r="D351" s="105">
        <f t="shared" ca="1" si="104"/>
        <v>0</v>
      </c>
      <c r="E351" s="105">
        <f t="shared" ca="1" si="105"/>
        <v>0</v>
      </c>
      <c r="F351" s="105">
        <f t="shared" ca="1" si="106"/>
        <v>0</v>
      </c>
      <c r="G351" s="105">
        <f t="shared" ca="1" si="116"/>
        <v>0</v>
      </c>
      <c r="H351" s="105">
        <f t="shared" ca="1" si="117"/>
        <v>0</v>
      </c>
      <c r="I351" s="105">
        <f t="shared" ca="1" si="107"/>
        <v>0</v>
      </c>
      <c r="J351" s="105">
        <f t="shared" ca="1" si="108"/>
        <v>0</v>
      </c>
      <c r="K351" s="105">
        <f t="shared" ca="1" si="109"/>
        <v>0</v>
      </c>
      <c r="L351" s="105">
        <f t="shared" ca="1" si="118"/>
        <v>0</v>
      </c>
      <c r="M351" s="105">
        <f t="shared" ca="1" si="110"/>
        <v>0</v>
      </c>
      <c r="N351" s="105">
        <f t="shared" ca="1" si="119"/>
        <v>0</v>
      </c>
      <c r="O351" s="105">
        <f t="shared" ca="1" si="111"/>
        <v>0</v>
      </c>
      <c r="P351" s="105">
        <f t="shared" ca="1" si="112"/>
        <v>0</v>
      </c>
      <c r="Q351" s="105">
        <f t="shared" ca="1" si="113"/>
        <v>0</v>
      </c>
      <c r="R351" s="105">
        <f t="shared" ca="1" si="114"/>
        <v>0</v>
      </c>
      <c r="S351" s="105">
        <f t="shared" ca="1" si="115"/>
        <v>10</v>
      </c>
    </row>
    <row r="352" spans="1:19" x14ac:dyDescent="0.35">
      <c r="A352" s="105">
        <f t="shared" ca="1" si="101"/>
        <v>493.83500000000299</v>
      </c>
      <c r="B352" s="105">
        <f t="shared" ca="1" si="102"/>
        <v>0</v>
      </c>
      <c r="C352" s="105">
        <f t="shared" ca="1" si="103"/>
        <v>2</v>
      </c>
      <c r="D352" s="105">
        <f t="shared" ca="1" si="104"/>
        <v>0</v>
      </c>
      <c r="E352" s="105">
        <f t="shared" ca="1" si="105"/>
        <v>0</v>
      </c>
      <c r="F352" s="105">
        <f t="shared" ca="1" si="106"/>
        <v>0</v>
      </c>
      <c r="G352" s="105">
        <f t="shared" ca="1" si="116"/>
        <v>0</v>
      </c>
      <c r="H352" s="105">
        <f t="shared" ca="1" si="117"/>
        <v>0</v>
      </c>
      <c r="I352" s="105">
        <f t="shared" ca="1" si="107"/>
        <v>0</v>
      </c>
      <c r="J352" s="105">
        <f t="shared" ca="1" si="108"/>
        <v>0</v>
      </c>
      <c r="K352" s="105">
        <f t="shared" ca="1" si="109"/>
        <v>0</v>
      </c>
      <c r="L352" s="105">
        <f t="shared" ca="1" si="118"/>
        <v>0</v>
      </c>
      <c r="M352" s="105">
        <f t="shared" ca="1" si="110"/>
        <v>0</v>
      </c>
      <c r="N352" s="105">
        <f t="shared" ca="1" si="119"/>
        <v>0</v>
      </c>
      <c r="O352" s="105">
        <f t="shared" ca="1" si="111"/>
        <v>0</v>
      </c>
      <c r="P352" s="105">
        <f t="shared" ca="1" si="112"/>
        <v>0</v>
      </c>
      <c r="Q352" s="105">
        <f t="shared" ca="1" si="113"/>
        <v>0</v>
      </c>
      <c r="R352" s="105">
        <f t="shared" ca="1" si="114"/>
        <v>0</v>
      </c>
      <c r="S352" s="105">
        <f t="shared" ca="1" si="115"/>
        <v>10</v>
      </c>
    </row>
    <row r="353" spans="1:19" x14ac:dyDescent="0.35">
      <c r="A353" s="105">
        <f t="shared" ca="1" si="101"/>
        <v>495.25000000000301</v>
      </c>
      <c r="B353" s="105">
        <f t="shared" ca="1" si="102"/>
        <v>0</v>
      </c>
      <c r="C353" s="105">
        <f t="shared" ca="1" si="103"/>
        <v>2</v>
      </c>
      <c r="D353" s="105">
        <f t="shared" ca="1" si="104"/>
        <v>0</v>
      </c>
      <c r="E353" s="105">
        <f t="shared" ca="1" si="105"/>
        <v>0</v>
      </c>
      <c r="F353" s="105">
        <f t="shared" ca="1" si="106"/>
        <v>0</v>
      </c>
      <c r="G353" s="105">
        <f t="shared" ca="1" si="116"/>
        <v>0</v>
      </c>
      <c r="H353" s="105">
        <f t="shared" ca="1" si="117"/>
        <v>0</v>
      </c>
      <c r="I353" s="105">
        <f t="shared" ca="1" si="107"/>
        <v>0</v>
      </c>
      <c r="J353" s="105">
        <f t="shared" ca="1" si="108"/>
        <v>0</v>
      </c>
      <c r="K353" s="105">
        <f t="shared" ca="1" si="109"/>
        <v>0</v>
      </c>
      <c r="L353" s="105">
        <f t="shared" ca="1" si="118"/>
        <v>0</v>
      </c>
      <c r="M353" s="105">
        <f t="shared" ca="1" si="110"/>
        <v>0</v>
      </c>
      <c r="N353" s="105">
        <f t="shared" ca="1" si="119"/>
        <v>0</v>
      </c>
      <c r="O353" s="105">
        <f t="shared" ca="1" si="111"/>
        <v>0</v>
      </c>
      <c r="P353" s="105">
        <f t="shared" ca="1" si="112"/>
        <v>0</v>
      </c>
      <c r="Q353" s="105">
        <f t="shared" ca="1" si="113"/>
        <v>0</v>
      </c>
      <c r="R353" s="105">
        <f t="shared" ca="1" si="114"/>
        <v>0</v>
      </c>
      <c r="S353" s="105">
        <f t="shared" ca="1" si="115"/>
        <v>10</v>
      </c>
    </row>
    <row r="354" spans="1:19" x14ac:dyDescent="0.35">
      <c r="A354" s="105">
        <f t="shared" ca="1" si="101"/>
        <v>496.66500000000303</v>
      </c>
      <c r="B354" s="105">
        <f t="shared" ca="1" si="102"/>
        <v>0</v>
      </c>
      <c r="C354" s="105">
        <f t="shared" ca="1" si="103"/>
        <v>2</v>
      </c>
      <c r="D354" s="105">
        <f t="shared" ca="1" si="104"/>
        <v>0</v>
      </c>
      <c r="E354" s="105">
        <f t="shared" ca="1" si="105"/>
        <v>0</v>
      </c>
      <c r="F354" s="105">
        <f t="shared" ca="1" si="106"/>
        <v>0</v>
      </c>
      <c r="G354" s="105">
        <f t="shared" ca="1" si="116"/>
        <v>0</v>
      </c>
      <c r="H354" s="105">
        <f t="shared" ca="1" si="117"/>
        <v>0</v>
      </c>
      <c r="I354" s="105">
        <f t="shared" ca="1" si="107"/>
        <v>0</v>
      </c>
      <c r="J354" s="105">
        <f t="shared" ca="1" si="108"/>
        <v>0</v>
      </c>
      <c r="K354" s="105">
        <f t="shared" ca="1" si="109"/>
        <v>0</v>
      </c>
      <c r="L354" s="105">
        <f t="shared" ca="1" si="118"/>
        <v>0</v>
      </c>
      <c r="M354" s="105">
        <f t="shared" ca="1" si="110"/>
        <v>0</v>
      </c>
      <c r="N354" s="105">
        <f t="shared" ca="1" si="119"/>
        <v>0</v>
      </c>
      <c r="O354" s="105">
        <f t="shared" ca="1" si="111"/>
        <v>0</v>
      </c>
      <c r="P354" s="105">
        <f t="shared" ca="1" si="112"/>
        <v>0</v>
      </c>
      <c r="Q354" s="105">
        <f t="shared" ca="1" si="113"/>
        <v>0</v>
      </c>
      <c r="R354" s="105">
        <f t="shared" ca="1" si="114"/>
        <v>0</v>
      </c>
      <c r="S354" s="105">
        <f t="shared" ca="1" si="115"/>
        <v>10</v>
      </c>
    </row>
    <row r="355" spans="1:19" x14ac:dyDescent="0.35">
      <c r="A355" s="105">
        <f t="shared" ca="1" si="101"/>
        <v>498.08000000000305</v>
      </c>
      <c r="B355" s="105">
        <f t="shared" ca="1" si="102"/>
        <v>0</v>
      </c>
      <c r="C355" s="105">
        <f t="shared" ca="1" si="103"/>
        <v>2</v>
      </c>
      <c r="D355" s="105">
        <f t="shared" ca="1" si="104"/>
        <v>0</v>
      </c>
      <c r="E355" s="105">
        <f t="shared" ca="1" si="105"/>
        <v>0</v>
      </c>
      <c r="F355" s="105">
        <f t="shared" ca="1" si="106"/>
        <v>0</v>
      </c>
      <c r="G355" s="105">
        <f t="shared" ca="1" si="116"/>
        <v>0</v>
      </c>
      <c r="H355" s="105">
        <f t="shared" ca="1" si="117"/>
        <v>0</v>
      </c>
      <c r="I355" s="105">
        <f t="shared" ca="1" si="107"/>
        <v>0</v>
      </c>
      <c r="J355" s="105">
        <f t="shared" ca="1" si="108"/>
        <v>0</v>
      </c>
      <c r="K355" s="105">
        <f t="shared" ca="1" si="109"/>
        <v>0</v>
      </c>
      <c r="L355" s="105">
        <f t="shared" ca="1" si="118"/>
        <v>0</v>
      </c>
      <c r="M355" s="105">
        <f t="shared" ca="1" si="110"/>
        <v>0</v>
      </c>
      <c r="N355" s="105">
        <f t="shared" ca="1" si="119"/>
        <v>0</v>
      </c>
      <c r="O355" s="105">
        <f t="shared" ca="1" si="111"/>
        <v>0</v>
      </c>
      <c r="P355" s="105">
        <f t="shared" ca="1" si="112"/>
        <v>0</v>
      </c>
      <c r="Q355" s="105">
        <f t="shared" ca="1" si="113"/>
        <v>0</v>
      </c>
      <c r="R355" s="105">
        <f t="shared" ca="1" si="114"/>
        <v>0</v>
      </c>
      <c r="S355" s="105">
        <f t="shared" ca="1" si="115"/>
        <v>10</v>
      </c>
    </row>
    <row r="356" spans="1:19" x14ac:dyDescent="0.35">
      <c r="A356" s="105">
        <f t="shared" ca="1" si="101"/>
        <v>499.49500000000307</v>
      </c>
      <c r="B356" s="105">
        <f t="shared" ca="1" si="102"/>
        <v>0</v>
      </c>
      <c r="C356" s="105">
        <f t="shared" ca="1" si="103"/>
        <v>2</v>
      </c>
      <c r="D356" s="105">
        <f t="shared" ca="1" si="104"/>
        <v>0</v>
      </c>
      <c r="E356" s="105">
        <f t="shared" ca="1" si="105"/>
        <v>0</v>
      </c>
      <c r="F356" s="105">
        <f t="shared" ca="1" si="106"/>
        <v>0</v>
      </c>
      <c r="G356" s="105">
        <f t="shared" ca="1" si="116"/>
        <v>0</v>
      </c>
      <c r="H356" s="105">
        <f t="shared" ca="1" si="117"/>
        <v>0</v>
      </c>
      <c r="I356" s="105">
        <f t="shared" ca="1" si="107"/>
        <v>0</v>
      </c>
      <c r="J356" s="105">
        <f t="shared" ca="1" si="108"/>
        <v>0</v>
      </c>
      <c r="K356" s="105">
        <f t="shared" ca="1" si="109"/>
        <v>0</v>
      </c>
      <c r="L356" s="105">
        <f t="shared" ca="1" si="118"/>
        <v>0</v>
      </c>
      <c r="M356" s="105">
        <f t="shared" ca="1" si="110"/>
        <v>0</v>
      </c>
      <c r="N356" s="105">
        <f t="shared" ca="1" si="119"/>
        <v>0</v>
      </c>
      <c r="O356" s="105">
        <f t="shared" ca="1" si="111"/>
        <v>0</v>
      </c>
      <c r="P356" s="105">
        <f t="shared" ca="1" si="112"/>
        <v>0</v>
      </c>
      <c r="Q356" s="105">
        <f t="shared" ca="1" si="113"/>
        <v>0</v>
      </c>
      <c r="R356" s="105">
        <f t="shared" ca="1" si="114"/>
        <v>0</v>
      </c>
      <c r="S356" s="105">
        <f t="shared" ca="1" si="115"/>
        <v>10</v>
      </c>
    </row>
    <row r="357" spans="1:19" x14ac:dyDescent="0.35">
      <c r="A357" s="105">
        <f t="shared" ca="1" si="101"/>
        <v>500.91000000000309</v>
      </c>
      <c r="B357" s="105">
        <f t="shared" ca="1" si="102"/>
        <v>0</v>
      </c>
      <c r="C357" s="105">
        <f t="shared" ca="1" si="103"/>
        <v>2</v>
      </c>
      <c r="D357" s="105">
        <f t="shared" ca="1" si="104"/>
        <v>0</v>
      </c>
      <c r="E357" s="105">
        <f t="shared" ca="1" si="105"/>
        <v>0</v>
      </c>
      <c r="F357" s="105">
        <f t="shared" ca="1" si="106"/>
        <v>0</v>
      </c>
      <c r="G357" s="105">
        <f t="shared" ca="1" si="116"/>
        <v>0</v>
      </c>
      <c r="H357" s="105">
        <f t="shared" ca="1" si="117"/>
        <v>0</v>
      </c>
      <c r="I357" s="105">
        <f t="shared" ca="1" si="107"/>
        <v>0</v>
      </c>
      <c r="J357" s="105">
        <f t="shared" ca="1" si="108"/>
        <v>0</v>
      </c>
      <c r="K357" s="105">
        <f t="shared" ca="1" si="109"/>
        <v>0</v>
      </c>
      <c r="L357" s="105">
        <f t="shared" ca="1" si="118"/>
        <v>0</v>
      </c>
      <c r="M357" s="105">
        <f t="shared" ca="1" si="110"/>
        <v>0</v>
      </c>
      <c r="N357" s="105">
        <f t="shared" ca="1" si="119"/>
        <v>0</v>
      </c>
      <c r="O357" s="105">
        <f t="shared" ca="1" si="111"/>
        <v>0</v>
      </c>
      <c r="P357" s="105">
        <f t="shared" ca="1" si="112"/>
        <v>0</v>
      </c>
      <c r="Q357" s="105">
        <f t="shared" ca="1" si="113"/>
        <v>0</v>
      </c>
      <c r="R357" s="105">
        <f t="shared" ca="1" si="114"/>
        <v>0</v>
      </c>
      <c r="S357" s="105">
        <f t="shared" ca="1" si="115"/>
        <v>10</v>
      </c>
    </row>
    <row r="358" spans="1:19" x14ac:dyDescent="0.35">
      <c r="A358" s="105">
        <f t="shared" ca="1" si="101"/>
        <v>502.32500000000312</v>
      </c>
      <c r="B358" s="105">
        <f t="shared" ca="1" si="102"/>
        <v>0</v>
      </c>
      <c r="C358" s="105">
        <f t="shared" ca="1" si="103"/>
        <v>2</v>
      </c>
      <c r="D358" s="105">
        <f t="shared" ca="1" si="104"/>
        <v>0</v>
      </c>
      <c r="E358" s="105">
        <f t="shared" ca="1" si="105"/>
        <v>0</v>
      </c>
      <c r="F358" s="105">
        <f t="shared" ca="1" si="106"/>
        <v>0</v>
      </c>
      <c r="G358" s="105">
        <f t="shared" ca="1" si="116"/>
        <v>0</v>
      </c>
      <c r="H358" s="105">
        <f t="shared" ca="1" si="117"/>
        <v>0</v>
      </c>
      <c r="I358" s="105">
        <f t="shared" ca="1" si="107"/>
        <v>0</v>
      </c>
      <c r="J358" s="105">
        <f t="shared" ca="1" si="108"/>
        <v>0</v>
      </c>
      <c r="K358" s="105">
        <f t="shared" ca="1" si="109"/>
        <v>0</v>
      </c>
      <c r="L358" s="105">
        <f t="shared" ca="1" si="118"/>
        <v>0</v>
      </c>
      <c r="M358" s="105">
        <f t="shared" ca="1" si="110"/>
        <v>0</v>
      </c>
      <c r="N358" s="105">
        <f t="shared" ca="1" si="119"/>
        <v>0</v>
      </c>
      <c r="O358" s="105">
        <f t="shared" ca="1" si="111"/>
        <v>0</v>
      </c>
      <c r="P358" s="105">
        <f t="shared" ca="1" si="112"/>
        <v>0</v>
      </c>
      <c r="Q358" s="105">
        <f t="shared" ca="1" si="113"/>
        <v>0</v>
      </c>
      <c r="R358" s="105">
        <f t="shared" ca="1" si="114"/>
        <v>0</v>
      </c>
      <c r="S358" s="105">
        <f t="shared" ca="1" si="115"/>
        <v>10</v>
      </c>
    </row>
    <row r="359" spans="1:19" x14ac:dyDescent="0.35">
      <c r="A359" s="105">
        <f t="shared" ca="1" si="101"/>
        <v>503.74000000000314</v>
      </c>
      <c r="B359" s="105">
        <f t="shared" ca="1" si="102"/>
        <v>0</v>
      </c>
      <c r="C359" s="105">
        <f t="shared" ca="1" si="103"/>
        <v>2</v>
      </c>
      <c r="D359" s="105">
        <f t="shared" ca="1" si="104"/>
        <v>0</v>
      </c>
      <c r="E359" s="105">
        <f t="shared" ca="1" si="105"/>
        <v>0</v>
      </c>
      <c r="F359" s="105">
        <f t="shared" ca="1" si="106"/>
        <v>0</v>
      </c>
      <c r="G359" s="105">
        <f t="shared" ca="1" si="116"/>
        <v>0</v>
      </c>
      <c r="H359" s="105">
        <f t="shared" ca="1" si="117"/>
        <v>0</v>
      </c>
      <c r="I359" s="105">
        <f t="shared" ca="1" si="107"/>
        <v>0</v>
      </c>
      <c r="J359" s="105">
        <f t="shared" ca="1" si="108"/>
        <v>0</v>
      </c>
      <c r="K359" s="105">
        <f t="shared" ca="1" si="109"/>
        <v>0</v>
      </c>
      <c r="L359" s="105">
        <f t="shared" ca="1" si="118"/>
        <v>0</v>
      </c>
      <c r="M359" s="105">
        <f t="shared" ca="1" si="110"/>
        <v>0</v>
      </c>
      <c r="N359" s="105">
        <f t="shared" ca="1" si="119"/>
        <v>0</v>
      </c>
      <c r="O359" s="105">
        <f t="shared" ca="1" si="111"/>
        <v>0</v>
      </c>
      <c r="P359" s="105">
        <f t="shared" ca="1" si="112"/>
        <v>0</v>
      </c>
      <c r="Q359" s="105">
        <f t="shared" ca="1" si="113"/>
        <v>0</v>
      </c>
      <c r="R359" s="105">
        <f t="shared" ca="1" si="114"/>
        <v>0</v>
      </c>
      <c r="S359" s="105">
        <f t="shared" ca="1" si="115"/>
        <v>10</v>
      </c>
    </row>
    <row r="360" spans="1:19" x14ac:dyDescent="0.35">
      <c r="A360" s="105">
        <f t="shared" ca="1" si="101"/>
        <v>505.15500000000316</v>
      </c>
      <c r="B360" s="105">
        <f t="shared" ca="1" si="102"/>
        <v>0</v>
      </c>
      <c r="C360" s="105">
        <f t="shared" ca="1" si="103"/>
        <v>2</v>
      </c>
      <c r="D360" s="105">
        <f t="shared" ca="1" si="104"/>
        <v>0</v>
      </c>
      <c r="E360" s="105">
        <f t="shared" ca="1" si="105"/>
        <v>0</v>
      </c>
      <c r="F360" s="105">
        <f t="shared" ca="1" si="106"/>
        <v>0</v>
      </c>
      <c r="G360" s="105">
        <f t="shared" ca="1" si="116"/>
        <v>0</v>
      </c>
      <c r="H360" s="105">
        <f t="shared" ca="1" si="117"/>
        <v>0</v>
      </c>
      <c r="I360" s="105">
        <f t="shared" ca="1" si="107"/>
        <v>0</v>
      </c>
      <c r="J360" s="105">
        <f t="shared" ca="1" si="108"/>
        <v>0</v>
      </c>
      <c r="K360" s="105">
        <f t="shared" ca="1" si="109"/>
        <v>0</v>
      </c>
      <c r="L360" s="105">
        <f t="shared" ca="1" si="118"/>
        <v>0</v>
      </c>
      <c r="M360" s="105">
        <f t="shared" ca="1" si="110"/>
        <v>0</v>
      </c>
      <c r="N360" s="105">
        <f t="shared" ca="1" si="119"/>
        <v>0</v>
      </c>
      <c r="O360" s="105">
        <f t="shared" ca="1" si="111"/>
        <v>0</v>
      </c>
      <c r="P360" s="105">
        <f t="shared" ca="1" si="112"/>
        <v>0</v>
      </c>
      <c r="Q360" s="105">
        <f t="shared" ca="1" si="113"/>
        <v>0</v>
      </c>
      <c r="R360" s="105">
        <f t="shared" ca="1" si="114"/>
        <v>0</v>
      </c>
      <c r="S360" s="105">
        <f t="shared" ca="1" si="115"/>
        <v>10</v>
      </c>
    </row>
    <row r="361" spans="1:19" x14ac:dyDescent="0.35">
      <c r="A361" s="105">
        <f t="shared" ca="1" si="101"/>
        <v>506.57000000000318</v>
      </c>
      <c r="B361" s="105">
        <f t="shared" ca="1" si="102"/>
        <v>0</v>
      </c>
      <c r="C361" s="105">
        <f t="shared" ca="1" si="103"/>
        <v>2</v>
      </c>
      <c r="D361" s="105">
        <f t="shared" ca="1" si="104"/>
        <v>0</v>
      </c>
      <c r="E361" s="105">
        <f t="shared" ca="1" si="105"/>
        <v>0</v>
      </c>
      <c r="F361" s="105">
        <f t="shared" ca="1" si="106"/>
        <v>0</v>
      </c>
      <c r="G361" s="105">
        <f t="shared" ca="1" si="116"/>
        <v>0</v>
      </c>
      <c r="H361" s="105">
        <f t="shared" ca="1" si="117"/>
        <v>0</v>
      </c>
      <c r="I361" s="105">
        <f t="shared" ca="1" si="107"/>
        <v>0</v>
      </c>
      <c r="J361" s="105">
        <f t="shared" ca="1" si="108"/>
        <v>0</v>
      </c>
      <c r="K361" s="105">
        <f t="shared" ca="1" si="109"/>
        <v>0</v>
      </c>
      <c r="L361" s="105">
        <f t="shared" ca="1" si="118"/>
        <v>0</v>
      </c>
      <c r="M361" s="105">
        <f t="shared" ca="1" si="110"/>
        <v>0</v>
      </c>
      <c r="N361" s="105">
        <f t="shared" ca="1" si="119"/>
        <v>0</v>
      </c>
      <c r="O361" s="105">
        <f t="shared" ca="1" si="111"/>
        <v>0</v>
      </c>
      <c r="P361" s="105">
        <f t="shared" ca="1" si="112"/>
        <v>0</v>
      </c>
      <c r="Q361" s="105">
        <f t="shared" ca="1" si="113"/>
        <v>0</v>
      </c>
      <c r="R361" s="105">
        <f t="shared" ca="1" si="114"/>
        <v>0</v>
      </c>
      <c r="S361" s="105">
        <f t="shared" ca="1" si="115"/>
        <v>10</v>
      </c>
    </row>
    <row r="362" spans="1:19" x14ac:dyDescent="0.35">
      <c r="A362" s="105">
        <f t="shared" ca="1" si="101"/>
        <v>507.9850000000032</v>
      </c>
      <c r="B362" s="105">
        <f t="shared" ca="1" si="102"/>
        <v>0</v>
      </c>
      <c r="C362" s="105">
        <f t="shared" ca="1" si="103"/>
        <v>2</v>
      </c>
      <c r="D362" s="105">
        <f t="shared" ca="1" si="104"/>
        <v>0</v>
      </c>
      <c r="E362" s="105">
        <f t="shared" ca="1" si="105"/>
        <v>0</v>
      </c>
      <c r="F362" s="105">
        <f t="shared" ca="1" si="106"/>
        <v>0</v>
      </c>
      <c r="G362" s="105">
        <f t="shared" ca="1" si="116"/>
        <v>0</v>
      </c>
      <c r="H362" s="105">
        <f t="shared" ca="1" si="117"/>
        <v>0</v>
      </c>
      <c r="I362" s="105">
        <f t="shared" ca="1" si="107"/>
        <v>0</v>
      </c>
      <c r="J362" s="105">
        <f t="shared" ca="1" si="108"/>
        <v>0</v>
      </c>
      <c r="K362" s="105">
        <f t="shared" ca="1" si="109"/>
        <v>0</v>
      </c>
      <c r="L362" s="105">
        <f t="shared" ca="1" si="118"/>
        <v>0</v>
      </c>
      <c r="M362" s="105">
        <f t="shared" ca="1" si="110"/>
        <v>0</v>
      </c>
      <c r="N362" s="105">
        <f t="shared" ca="1" si="119"/>
        <v>0</v>
      </c>
      <c r="O362" s="105">
        <f t="shared" ca="1" si="111"/>
        <v>0</v>
      </c>
      <c r="P362" s="105">
        <f t="shared" ca="1" si="112"/>
        <v>0</v>
      </c>
      <c r="Q362" s="105">
        <f t="shared" ca="1" si="113"/>
        <v>0</v>
      </c>
      <c r="R362" s="105">
        <f t="shared" ca="1" si="114"/>
        <v>0</v>
      </c>
      <c r="S362" s="105">
        <f t="shared" ca="1" si="115"/>
        <v>10</v>
      </c>
    </row>
    <row r="363" spans="1:19" x14ac:dyDescent="0.35">
      <c r="A363" s="105">
        <f t="shared" ca="1" si="101"/>
        <v>509.40000000000322</v>
      </c>
      <c r="B363" s="105">
        <f t="shared" ca="1" si="102"/>
        <v>0</v>
      </c>
      <c r="C363" s="105">
        <f t="shared" ca="1" si="103"/>
        <v>2</v>
      </c>
      <c r="D363" s="105">
        <f t="shared" ca="1" si="104"/>
        <v>0</v>
      </c>
      <c r="E363" s="105">
        <f t="shared" ca="1" si="105"/>
        <v>0</v>
      </c>
      <c r="F363" s="105">
        <f t="shared" ca="1" si="106"/>
        <v>0</v>
      </c>
      <c r="G363" s="105">
        <f t="shared" ca="1" si="116"/>
        <v>0</v>
      </c>
      <c r="H363" s="105">
        <f t="shared" ca="1" si="117"/>
        <v>0</v>
      </c>
      <c r="I363" s="105">
        <f t="shared" ca="1" si="107"/>
        <v>0</v>
      </c>
      <c r="J363" s="105">
        <f t="shared" ca="1" si="108"/>
        <v>0</v>
      </c>
      <c r="K363" s="105">
        <f t="shared" ca="1" si="109"/>
        <v>0</v>
      </c>
      <c r="L363" s="105">
        <f t="shared" ca="1" si="118"/>
        <v>0</v>
      </c>
      <c r="M363" s="105">
        <f t="shared" ca="1" si="110"/>
        <v>0</v>
      </c>
      <c r="N363" s="105">
        <f t="shared" ca="1" si="119"/>
        <v>0</v>
      </c>
      <c r="O363" s="105">
        <f t="shared" ca="1" si="111"/>
        <v>0</v>
      </c>
      <c r="P363" s="105">
        <f t="shared" ca="1" si="112"/>
        <v>0</v>
      </c>
      <c r="Q363" s="105">
        <f t="shared" ca="1" si="113"/>
        <v>0</v>
      </c>
      <c r="R363" s="105">
        <f t="shared" ca="1" si="114"/>
        <v>0</v>
      </c>
      <c r="S363" s="105">
        <f t="shared" ca="1" si="115"/>
        <v>10</v>
      </c>
    </row>
    <row r="364" spans="1:19" x14ac:dyDescent="0.35">
      <c r="A364" s="105">
        <f t="shared" ca="1" si="101"/>
        <v>510.81500000000324</v>
      </c>
      <c r="B364" s="105">
        <f t="shared" ca="1" si="102"/>
        <v>0</v>
      </c>
      <c r="C364" s="105">
        <f t="shared" ca="1" si="103"/>
        <v>2</v>
      </c>
      <c r="D364" s="105">
        <f t="shared" ca="1" si="104"/>
        <v>0</v>
      </c>
      <c r="E364" s="105">
        <f t="shared" ca="1" si="105"/>
        <v>0</v>
      </c>
      <c r="F364" s="105">
        <f t="shared" ca="1" si="106"/>
        <v>0</v>
      </c>
      <c r="G364" s="105">
        <f t="shared" ca="1" si="116"/>
        <v>0</v>
      </c>
      <c r="H364" s="105">
        <f t="shared" ca="1" si="117"/>
        <v>0</v>
      </c>
      <c r="I364" s="105">
        <f t="shared" ca="1" si="107"/>
        <v>0</v>
      </c>
      <c r="J364" s="105">
        <f t="shared" ca="1" si="108"/>
        <v>0</v>
      </c>
      <c r="K364" s="105">
        <f t="shared" ca="1" si="109"/>
        <v>0</v>
      </c>
      <c r="L364" s="105">
        <f t="shared" ca="1" si="118"/>
        <v>0</v>
      </c>
      <c r="M364" s="105">
        <f t="shared" ca="1" si="110"/>
        <v>0</v>
      </c>
      <c r="N364" s="105">
        <f t="shared" ca="1" si="119"/>
        <v>0</v>
      </c>
      <c r="O364" s="105">
        <f t="shared" ca="1" si="111"/>
        <v>0</v>
      </c>
      <c r="P364" s="105">
        <f t="shared" ca="1" si="112"/>
        <v>0</v>
      </c>
      <c r="Q364" s="105">
        <f t="shared" ca="1" si="113"/>
        <v>0</v>
      </c>
      <c r="R364" s="105">
        <f t="shared" ca="1" si="114"/>
        <v>0</v>
      </c>
      <c r="S364" s="105">
        <f t="shared" ca="1" si="115"/>
        <v>10</v>
      </c>
    </row>
    <row r="365" spans="1:19" x14ac:dyDescent="0.35">
      <c r="A365" s="105">
        <f t="shared" ca="1" si="101"/>
        <v>512.2300000000032</v>
      </c>
      <c r="B365" s="105">
        <f t="shared" ca="1" si="102"/>
        <v>0</v>
      </c>
      <c r="C365" s="105">
        <f t="shared" ca="1" si="103"/>
        <v>2</v>
      </c>
      <c r="D365" s="105">
        <f t="shared" ca="1" si="104"/>
        <v>0</v>
      </c>
      <c r="E365" s="105">
        <f t="shared" ca="1" si="105"/>
        <v>0</v>
      </c>
      <c r="F365" s="105">
        <f t="shared" ca="1" si="106"/>
        <v>0</v>
      </c>
      <c r="G365" s="105">
        <f t="shared" ca="1" si="116"/>
        <v>0</v>
      </c>
      <c r="H365" s="105">
        <f t="shared" ca="1" si="117"/>
        <v>0</v>
      </c>
      <c r="I365" s="105">
        <f t="shared" ca="1" si="107"/>
        <v>0</v>
      </c>
      <c r="J365" s="105">
        <f t="shared" ca="1" si="108"/>
        <v>0</v>
      </c>
      <c r="K365" s="105">
        <f t="shared" ca="1" si="109"/>
        <v>0</v>
      </c>
      <c r="L365" s="105">
        <f t="shared" ca="1" si="118"/>
        <v>0</v>
      </c>
      <c r="M365" s="105">
        <f t="shared" ca="1" si="110"/>
        <v>0</v>
      </c>
      <c r="N365" s="105">
        <f t="shared" ca="1" si="119"/>
        <v>0</v>
      </c>
      <c r="O365" s="105">
        <f t="shared" ca="1" si="111"/>
        <v>0</v>
      </c>
      <c r="P365" s="105">
        <f t="shared" ca="1" si="112"/>
        <v>0</v>
      </c>
      <c r="Q365" s="105">
        <f t="shared" ca="1" si="113"/>
        <v>0</v>
      </c>
      <c r="R365" s="105">
        <f t="shared" ca="1" si="114"/>
        <v>0</v>
      </c>
      <c r="S365" s="105">
        <f t="shared" ca="1" si="115"/>
        <v>10</v>
      </c>
    </row>
    <row r="366" spans="1:19" x14ac:dyDescent="0.35">
      <c r="A366" s="105">
        <f t="shared" ca="1" si="101"/>
        <v>513.64500000000317</v>
      </c>
      <c r="B366" s="105">
        <f t="shared" ca="1" si="102"/>
        <v>0</v>
      </c>
      <c r="C366" s="105">
        <f t="shared" ca="1" si="103"/>
        <v>2</v>
      </c>
      <c r="D366" s="105">
        <f t="shared" ca="1" si="104"/>
        <v>0</v>
      </c>
      <c r="E366" s="105">
        <f t="shared" ca="1" si="105"/>
        <v>0</v>
      </c>
      <c r="F366" s="105">
        <f t="shared" ca="1" si="106"/>
        <v>0</v>
      </c>
      <c r="G366" s="105">
        <f t="shared" ca="1" si="116"/>
        <v>0</v>
      </c>
      <c r="H366" s="105">
        <f t="shared" ca="1" si="117"/>
        <v>0</v>
      </c>
      <c r="I366" s="105">
        <f t="shared" ca="1" si="107"/>
        <v>0</v>
      </c>
      <c r="J366" s="105">
        <f t="shared" ca="1" si="108"/>
        <v>0</v>
      </c>
      <c r="K366" s="105">
        <f t="shared" ca="1" si="109"/>
        <v>0</v>
      </c>
      <c r="L366" s="105">
        <f t="shared" ca="1" si="118"/>
        <v>0</v>
      </c>
      <c r="M366" s="105">
        <f t="shared" ca="1" si="110"/>
        <v>0</v>
      </c>
      <c r="N366" s="105">
        <f t="shared" ca="1" si="119"/>
        <v>0</v>
      </c>
      <c r="O366" s="105">
        <f t="shared" ca="1" si="111"/>
        <v>0</v>
      </c>
      <c r="P366" s="105">
        <f t="shared" ca="1" si="112"/>
        <v>0</v>
      </c>
      <c r="Q366" s="105">
        <f t="shared" ca="1" si="113"/>
        <v>0</v>
      </c>
      <c r="R366" s="105">
        <f t="shared" ca="1" si="114"/>
        <v>0</v>
      </c>
      <c r="S366" s="105">
        <f t="shared" ca="1" si="115"/>
        <v>10</v>
      </c>
    </row>
    <row r="367" spans="1:19" x14ac:dyDescent="0.35">
      <c r="A367" s="105">
        <f t="shared" ca="1" si="101"/>
        <v>515.06000000000313</v>
      </c>
      <c r="B367" s="105">
        <f t="shared" ca="1" si="102"/>
        <v>0</v>
      </c>
      <c r="C367" s="105">
        <f t="shared" ca="1" si="103"/>
        <v>2</v>
      </c>
      <c r="D367" s="105">
        <f t="shared" ca="1" si="104"/>
        <v>0</v>
      </c>
      <c r="E367" s="105">
        <f t="shared" ca="1" si="105"/>
        <v>0</v>
      </c>
      <c r="F367" s="105">
        <f t="shared" ca="1" si="106"/>
        <v>0</v>
      </c>
      <c r="G367" s="105">
        <f t="shared" ca="1" si="116"/>
        <v>0</v>
      </c>
      <c r="H367" s="105">
        <f t="shared" ca="1" si="117"/>
        <v>0</v>
      </c>
      <c r="I367" s="105">
        <f t="shared" ca="1" si="107"/>
        <v>0</v>
      </c>
      <c r="J367" s="105">
        <f t="shared" ca="1" si="108"/>
        <v>0</v>
      </c>
      <c r="K367" s="105">
        <f t="shared" ca="1" si="109"/>
        <v>0</v>
      </c>
      <c r="L367" s="105">
        <f t="shared" ca="1" si="118"/>
        <v>0</v>
      </c>
      <c r="M367" s="105">
        <f t="shared" ca="1" si="110"/>
        <v>0</v>
      </c>
      <c r="N367" s="105">
        <f t="shared" ca="1" si="119"/>
        <v>0</v>
      </c>
      <c r="O367" s="105">
        <f t="shared" ca="1" si="111"/>
        <v>0</v>
      </c>
      <c r="P367" s="105">
        <f t="shared" ca="1" si="112"/>
        <v>0</v>
      </c>
      <c r="Q367" s="105">
        <f t="shared" ca="1" si="113"/>
        <v>0</v>
      </c>
      <c r="R367" s="105">
        <f t="shared" ca="1" si="114"/>
        <v>0</v>
      </c>
      <c r="S367" s="105">
        <f t="shared" ca="1" si="115"/>
        <v>10</v>
      </c>
    </row>
    <row r="368" spans="1:19" x14ac:dyDescent="0.35">
      <c r="A368" s="105">
        <f t="shared" ca="1" si="101"/>
        <v>516.47500000000309</v>
      </c>
      <c r="B368" s="105">
        <f t="shared" ca="1" si="102"/>
        <v>0</v>
      </c>
      <c r="C368" s="105">
        <f t="shared" ca="1" si="103"/>
        <v>2</v>
      </c>
      <c r="D368" s="105">
        <f t="shared" ca="1" si="104"/>
        <v>0</v>
      </c>
      <c r="E368" s="105">
        <f t="shared" ca="1" si="105"/>
        <v>0</v>
      </c>
      <c r="F368" s="105">
        <f t="shared" ca="1" si="106"/>
        <v>0</v>
      </c>
      <c r="G368" s="105">
        <f t="shared" ca="1" si="116"/>
        <v>0</v>
      </c>
      <c r="H368" s="105">
        <f t="shared" ca="1" si="117"/>
        <v>0</v>
      </c>
      <c r="I368" s="105">
        <f t="shared" ca="1" si="107"/>
        <v>0</v>
      </c>
      <c r="J368" s="105">
        <f t="shared" ca="1" si="108"/>
        <v>0</v>
      </c>
      <c r="K368" s="105">
        <f t="shared" ca="1" si="109"/>
        <v>0</v>
      </c>
      <c r="L368" s="105">
        <f t="shared" ca="1" si="118"/>
        <v>0</v>
      </c>
      <c r="M368" s="105">
        <f t="shared" ca="1" si="110"/>
        <v>0</v>
      </c>
      <c r="N368" s="105">
        <f t="shared" ca="1" si="119"/>
        <v>0</v>
      </c>
      <c r="O368" s="105">
        <f t="shared" ca="1" si="111"/>
        <v>0</v>
      </c>
      <c r="P368" s="105">
        <f t="shared" ca="1" si="112"/>
        <v>0</v>
      </c>
      <c r="Q368" s="105">
        <f t="shared" ca="1" si="113"/>
        <v>0</v>
      </c>
      <c r="R368" s="105">
        <f t="shared" ca="1" si="114"/>
        <v>0</v>
      </c>
      <c r="S368" s="105">
        <f t="shared" ca="1" si="115"/>
        <v>10</v>
      </c>
    </row>
    <row r="369" spans="1:19" x14ac:dyDescent="0.35">
      <c r="A369" s="105">
        <f t="shared" ca="1" si="101"/>
        <v>517.89000000000306</v>
      </c>
      <c r="B369" s="105">
        <f t="shared" ca="1" si="102"/>
        <v>0</v>
      </c>
      <c r="C369" s="105">
        <f t="shared" ca="1" si="103"/>
        <v>2</v>
      </c>
      <c r="D369" s="105">
        <f t="shared" ca="1" si="104"/>
        <v>0</v>
      </c>
      <c r="E369" s="105">
        <f t="shared" ca="1" si="105"/>
        <v>0</v>
      </c>
      <c r="F369" s="105">
        <f t="shared" ca="1" si="106"/>
        <v>0</v>
      </c>
      <c r="G369" s="105">
        <f t="shared" ca="1" si="116"/>
        <v>0</v>
      </c>
      <c r="H369" s="105">
        <f t="shared" ca="1" si="117"/>
        <v>0</v>
      </c>
      <c r="I369" s="105">
        <f t="shared" ca="1" si="107"/>
        <v>0</v>
      </c>
      <c r="J369" s="105">
        <f t="shared" ca="1" si="108"/>
        <v>0</v>
      </c>
      <c r="K369" s="105">
        <f t="shared" ca="1" si="109"/>
        <v>0</v>
      </c>
      <c r="L369" s="105">
        <f t="shared" ca="1" si="118"/>
        <v>0</v>
      </c>
      <c r="M369" s="105">
        <f t="shared" ca="1" si="110"/>
        <v>0</v>
      </c>
      <c r="N369" s="105">
        <f t="shared" ca="1" si="119"/>
        <v>0</v>
      </c>
      <c r="O369" s="105">
        <f t="shared" ca="1" si="111"/>
        <v>0</v>
      </c>
      <c r="P369" s="105">
        <f t="shared" ca="1" si="112"/>
        <v>0</v>
      </c>
      <c r="Q369" s="105">
        <f t="shared" ca="1" si="113"/>
        <v>0</v>
      </c>
      <c r="R369" s="105">
        <f t="shared" ca="1" si="114"/>
        <v>0</v>
      </c>
      <c r="S369" s="105">
        <f t="shared" ca="1" si="115"/>
        <v>10</v>
      </c>
    </row>
    <row r="370" spans="1:19" x14ac:dyDescent="0.35">
      <c r="A370" s="105">
        <f t="shared" ca="1" si="101"/>
        <v>519.30500000000302</v>
      </c>
      <c r="B370" s="105">
        <f t="shared" ca="1" si="102"/>
        <v>0</v>
      </c>
      <c r="C370" s="105">
        <f t="shared" ca="1" si="103"/>
        <v>2</v>
      </c>
      <c r="D370" s="105">
        <f t="shared" ca="1" si="104"/>
        <v>0</v>
      </c>
      <c r="E370" s="105">
        <f t="shared" ca="1" si="105"/>
        <v>0</v>
      </c>
      <c r="F370" s="105">
        <f t="shared" ca="1" si="106"/>
        <v>0</v>
      </c>
      <c r="G370" s="105">
        <f t="shared" ca="1" si="116"/>
        <v>0</v>
      </c>
      <c r="H370" s="105">
        <f t="shared" ca="1" si="117"/>
        <v>0</v>
      </c>
      <c r="I370" s="105">
        <f t="shared" ca="1" si="107"/>
        <v>0</v>
      </c>
      <c r="J370" s="105">
        <f t="shared" ca="1" si="108"/>
        <v>0</v>
      </c>
      <c r="K370" s="105">
        <f t="shared" ca="1" si="109"/>
        <v>0</v>
      </c>
      <c r="L370" s="105">
        <f t="shared" ca="1" si="118"/>
        <v>0</v>
      </c>
      <c r="M370" s="105">
        <f t="shared" ca="1" si="110"/>
        <v>0</v>
      </c>
      <c r="N370" s="105">
        <f t="shared" ca="1" si="119"/>
        <v>0</v>
      </c>
      <c r="O370" s="105">
        <f t="shared" ca="1" si="111"/>
        <v>0</v>
      </c>
      <c r="P370" s="105">
        <f t="shared" ca="1" si="112"/>
        <v>0</v>
      </c>
      <c r="Q370" s="105">
        <f t="shared" ca="1" si="113"/>
        <v>0</v>
      </c>
      <c r="R370" s="105">
        <f t="shared" ca="1" si="114"/>
        <v>0</v>
      </c>
      <c r="S370" s="105">
        <f t="shared" ca="1" si="115"/>
        <v>10</v>
      </c>
    </row>
    <row r="371" spans="1:19" x14ac:dyDescent="0.35">
      <c r="A371" s="105">
        <f t="shared" ca="1" si="101"/>
        <v>520.72000000000298</v>
      </c>
      <c r="B371" s="105">
        <f t="shared" ca="1" si="102"/>
        <v>0</v>
      </c>
      <c r="C371" s="105">
        <f t="shared" ca="1" si="103"/>
        <v>2</v>
      </c>
      <c r="D371" s="105">
        <f t="shared" ca="1" si="104"/>
        <v>0</v>
      </c>
      <c r="E371" s="105">
        <f t="shared" ca="1" si="105"/>
        <v>0</v>
      </c>
      <c r="F371" s="105">
        <f t="shared" ca="1" si="106"/>
        <v>0</v>
      </c>
      <c r="G371" s="105">
        <f t="shared" ca="1" si="116"/>
        <v>0</v>
      </c>
      <c r="H371" s="105">
        <f t="shared" ca="1" si="117"/>
        <v>0</v>
      </c>
      <c r="I371" s="105">
        <f t="shared" ca="1" si="107"/>
        <v>0</v>
      </c>
      <c r="J371" s="105">
        <f t="shared" ca="1" si="108"/>
        <v>0</v>
      </c>
      <c r="K371" s="105">
        <f t="shared" ca="1" si="109"/>
        <v>0</v>
      </c>
      <c r="L371" s="105">
        <f t="shared" ca="1" si="118"/>
        <v>0</v>
      </c>
      <c r="M371" s="105">
        <f t="shared" ca="1" si="110"/>
        <v>0</v>
      </c>
      <c r="N371" s="105">
        <f t="shared" ca="1" si="119"/>
        <v>0</v>
      </c>
      <c r="O371" s="105">
        <f t="shared" ca="1" si="111"/>
        <v>0</v>
      </c>
      <c r="P371" s="105">
        <f t="shared" ca="1" si="112"/>
        <v>0</v>
      </c>
      <c r="Q371" s="105">
        <f t="shared" ca="1" si="113"/>
        <v>0</v>
      </c>
      <c r="R371" s="105">
        <f t="shared" ca="1" si="114"/>
        <v>0</v>
      </c>
      <c r="S371" s="105">
        <f t="shared" ca="1" si="115"/>
        <v>10</v>
      </c>
    </row>
    <row r="372" spans="1:19" x14ac:dyDescent="0.35">
      <c r="A372" s="105">
        <f t="shared" ca="1" si="101"/>
        <v>522.13500000000295</v>
      </c>
      <c r="B372" s="105">
        <f t="shared" ca="1" si="102"/>
        <v>0</v>
      </c>
      <c r="C372" s="105">
        <f t="shared" ca="1" si="103"/>
        <v>2</v>
      </c>
      <c r="D372" s="105">
        <f t="shared" ca="1" si="104"/>
        <v>0</v>
      </c>
      <c r="E372" s="105">
        <f t="shared" ca="1" si="105"/>
        <v>0</v>
      </c>
      <c r="F372" s="105">
        <f t="shared" ca="1" si="106"/>
        <v>0</v>
      </c>
      <c r="G372" s="105">
        <f t="shared" ca="1" si="116"/>
        <v>0</v>
      </c>
      <c r="H372" s="105">
        <f t="shared" ca="1" si="117"/>
        <v>0</v>
      </c>
      <c r="I372" s="105">
        <f t="shared" ca="1" si="107"/>
        <v>0</v>
      </c>
      <c r="J372" s="105">
        <f t="shared" ca="1" si="108"/>
        <v>0</v>
      </c>
      <c r="K372" s="105">
        <f t="shared" ca="1" si="109"/>
        <v>0</v>
      </c>
      <c r="L372" s="105">
        <f t="shared" ca="1" si="118"/>
        <v>0</v>
      </c>
      <c r="M372" s="105">
        <f t="shared" ca="1" si="110"/>
        <v>0</v>
      </c>
      <c r="N372" s="105">
        <f t="shared" ca="1" si="119"/>
        <v>0</v>
      </c>
      <c r="O372" s="105">
        <f t="shared" ca="1" si="111"/>
        <v>0</v>
      </c>
      <c r="P372" s="105">
        <f t="shared" ca="1" si="112"/>
        <v>0</v>
      </c>
      <c r="Q372" s="105">
        <f t="shared" ca="1" si="113"/>
        <v>0</v>
      </c>
      <c r="R372" s="105">
        <f t="shared" ca="1" si="114"/>
        <v>0</v>
      </c>
      <c r="S372" s="105">
        <f t="shared" ca="1" si="115"/>
        <v>10</v>
      </c>
    </row>
    <row r="373" spans="1:19" x14ac:dyDescent="0.35">
      <c r="A373" s="105">
        <f t="shared" ca="1" si="101"/>
        <v>523.55000000000291</v>
      </c>
      <c r="B373" s="105">
        <f t="shared" ca="1" si="102"/>
        <v>0</v>
      </c>
      <c r="C373" s="105">
        <f t="shared" ca="1" si="103"/>
        <v>2</v>
      </c>
      <c r="D373" s="105">
        <f t="shared" ca="1" si="104"/>
        <v>0</v>
      </c>
      <c r="E373" s="105">
        <f t="shared" ca="1" si="105"/>
        <v>0</v>
      </c>
      <c r="F373" s="105">
        <f t="shared" ca="1" si="106"/>
        <v>0</v>
      </c>
      <c r="G373" s="105">
        <f t="shared" ca="1" si="116"/>
        <v>0</v>
      </c>
      <c r="H373" s="105">
        <f t="shared" ca="1" si="117"/>
        <v>0</v>
      </c>
      <c r="I373" s="105">
        <f t="shared" ca="1" si="107"/>
        <v>0</v>
      </c>
      <c r="J373" s="105">
        <f t="shared" ca="1" si="108"/>
        <v>0</v>
      </c>
      <c r="K373" s="105">
        <f t="shared" ca="1" si="109"/>
        <v>0</v>
      </c>
      <c r="L373" s="105">
        <f t="shared" ca="1" si="118"/>
        <v>0</v>
      </c>
      <c r="M373" s="105">
        <f t="shared" ca="1" si="110"/>
        <v>0</v>
      </c>
      <c r="N373" s="105">
        <f t="shared" ca="1" si="119"/>
        <v>0</v>
      </c>
      <c r="O373" s="105">
        <f t="shared" ca="1" si="111"/>
        <v>0</v>
      </c>
      <c r="P373" s="105">
        <f t="shared" ca="1" si="112"/>
        <v>0</v>
      </c>
      <c r="Q373" s="105">
        <f t="shared" ca="1" si="113"/>
        <v>0</v>
      </c>
      <c r="R373" s="105">
        <f t="shared" ca="1" si="114"/>
        <v>0</v>
      </c>
      <c r="S373" s="105">
        <f t="shared" ca="1" si="115"/>
        <v>10</v>
      </c>
    </row>
    <row r="374" spans="1:19" x14ac:dyDescent="0.35">
      <c r="A374" s="105">
        <f t="shared" ca="1" si="101"/>
        <v>524.96500000000287</v>
      </c>
      <c r="B374" s="105">
        <f t="shared" ca="1" si="102"/>
        <v>0</v>
      </c>
      <c r="C374" s="105">
        <f t="shared" ca="1" si="103"/>
        <v>2</v>
      </c>
      <c r="D374" s="105">
        <f t="shared" ca="1" si="104"/>
        <v>0</v>
      </c>
      <c r="E374" s="105">
        <f t="shared" ca="1" si="105"/>
        <v>0</v>
      </c>
      <c r="F374" s="105">
        <f t="shared" ca="1" si="106"/>
        <v>0</v>
      </c>
      <c r="G374" s="105">
        <f t="shared" ca="1" si="116"/>
        <v>0</v>
      </c>
      <c r="H374" s="105">
        <f t="shared" ca="1" si="117"/>
        <v>0</v>
      </c>
      <c r="I374" s="105">
        <f t="shared" ca="1" si="107"/>
        <v>0</v>
      </c>
      <c r="J374" s="105">
        <f t="shared" ca="1" si="108"/>
        <v>0</v>
      </c>
      <c r="K374" s="105">
        <f t="shared" ca="1" si="109"/>
        <v>0</v>
      </c>
      <c r="L374" s="105">
        <f t="shared" ca="1" si="118"/>
        <v>0</v>
      </c>
      <c r="M374" s="105">
        <f t="shared" ca="1" si="110"/>
        <v>0</v>
      </c>
      <c r="N374" s="105">
        <f t="shared" ca="1" si="119"/>
        <v>0</v>
      </c>
      <c r="O374" s="105">
        <f t="shared" ca="1" si="111"/>
        <v>0</v>
      </c>
      <c r="P374" s="105">
        <f t="shared" ca="1" si="112"/>
        <v>0</v>
      </c>
      <c r="Q374" s="105">
        <f t="shared" ca="1" si="113"/>
        <v>0</v>
      </c>
      <c r="R374" s="105">
        <f t="shared" ca="1" si="114"/>
        <v>0</v>
      </c>
      <c r="S374" s="105">
        <f t="shared" ca="1" si="115"/>
        <v>10</v>
      </c>
    </row>
    <row r="375" spans="1:19" x14ac:dyDescent="0.35">
      <c r="A375" s="105">
        <f t="shared" ca="1" si="101"/>
        <v>526.38000000000284</v>
      </c>
      <c r="B375" s="105">
        <f t="shared" ca="1" si="102"/>
        <v>0</v>
      </c>
      <c r="C375" s="105">
        <f t="shared" ca="1" si="103"/>
        <v>2</v>
      </c>
      <c r="D375" s="105">
        <f t="shared" ca="1" si="104"/>
        <v>0</v>
      </c>
      <c r="E375" s="105">
        <f t="shared" ca="1" si="105"/>
        <v>0</v>
      </c>
      <c r="F375" s="105">
        <f t="shared" ca="1" si="106"/>
        <v>0</v>
      </c>
      <c r="G375" s="105">
        <f t="shared" ca="1" si="116"/>
        <v>0</v>
      </c>
      <c r="H375" s="105">
        <f t="shared" ca="1" si="117"/>
        <v>0</v>
      </c>
      <c r="I375" s="105">
        <f t="shared" ca="1" si="107"/>
        <v>0</v>
      </c>
      <c r="J375" s="105">
        <f t="shared" ca="1" si="108"/>
        <v>0</v>
      </c>
      <c r="K375" s="105">
        <f t="shared" ca="1" si="109"/>
        <v>0</v>
      </c>
      <c r="L375" s="105">
        <f t="shared" ca="1" si="118"/>
        <v>0</v>
      </c>
      <c r="M375" s="105">
        <f t="shared" ca="1" si="110"/>
        <v>0</v>
      </c>
      <c r="N375" s="105">
        <f t="shared" ca="1" si="119"/>
        <v>0</v>
      </c>
      <c r="O375" s="105">
        <f t="shared" ca="1" si="111"/>
        <v>0</v>
      </c>
      <c r="P375" s="105">
        <f t="shared" ca="1" si="112"/>
        <v>0</v>
      </c>
      <c r="Q375" s="105">
        <f t="shared" ca="1" si="113"/>
        <v>0</v>
      </c>
      <c r="R375" s="105">
        <f t="shared" ca="1" si="114"/>
        <v>0</v>
      </c>
      <c r="S375" s="105">
        <f t="shared" ca="1" si="115"/>
        <v>10</v>
      </c>
    </row>
    <row r="376" spans="1:19" x14ac:dyDescent="0.35">
      <c r="A376" s="105">
        <f t="shared" ca="1" si="101"/>
        <v>527.7950000000028</v>
      </c>
      <c r="B376" s="105">
        <f t="shared" ca="1" si="102"/>
        <v>0</v>
      </c>
      <c r="C376" s="105">
        <f t="shared" ca="1" si="103"/>
        <v>2</v>
      </c>
      <c r="D376" s="105">
        <f t="shared" ca="1" si="104"/>
        <v>0</v>
      </c>
      <c r="E376" s="105">
        <f t="shared" ca="1" si="105"/>
        <v>0</v>
      </c>
      <c r="F376" s="105">
        <f t="shared" ca="1" si="106"/>
        <v>0</v>
      </c>
      <c r="G376" s="105">
        <f t="shared" ca="1" si="116"/>
        <v>0</v>
      </c>
      <c r="H376" s="105">
        <f t="shared" ca="1" si="117"/>
        <v>0</v>
      </c>
      <c r="I376" s="105">
        <f t="shared" ca="1" si="107"/>
        <v>0</v>
      </c>
      <c r="J376" s="105">
        <f t="shared" ca="1" si="108"/>
        <v>0</v>
      </c>
      <c r="K376" s="105">
        <f t="shared" ca="1" si="109"/>
        <v>0</v>
      </c>
      <c r="L376" s="105">
        <f t="shared" ca="1" si="118"/>
        <v>0</v>
      </c>
      <c r="M376" s="105">
        <f t="shared" ca="1" si="110"/>
        <v>0</v>
      </c>
      <c r="N376" s="105">
        <f t="shared" ca="1" si="119"/>
        <v>0</v>
      </c>
      <c r="O376" s="105">
        <f t="shared" ca="1" si="111"/>
        <v>0</v>
      </c>
      <c r="P376" s="105">
        <f t="shared" ca="1" si="112"/>
        <v>0</v>
      </c>
      <c r="Q376" s="105">
        <f t="shared" ca="1" si="113"/>
        <v>0</v>
      </c>
      <c r="R376" s="105">
        <f t="shared" ca="1" si="114"/>
        <v>0</v>
      </c>
      <c r="S376" s="105">
        <f t="shared" ca="1" si="115"/>
        <v>10</v>
      </c>
    </row>
    <row r="377" spans="1:19" x14ac:dyDescent="0.35">
      <c r="A377" s="105">
        <f t="shared" ca="1" si="101"/>
        <v>529.21000000000276</v>
      </c>
      <c r="B377" s="105">
        <f t="shared" ca="1" si="102"/>
        <v>0</v>
      </c>
      <c r="C377" s="105">
        <f t="shared" ca="1" si="103"/>
        <v>2</v>
      </c>
      <c r="D377" s="105">
        <f t="shared" ca="1" si="104"/>
        <v>0</v>
      </c>
      <c r="E377" s="105">
        <f t="shared" ca="1" si="105"/>
        <v>0</v>
      </c>
      <c r="F377" s="105">
        <f t="shared" ca="1" si="106"/>
        <v>0</v>
      </c>
      <c r="G377" s="105">
        <f t="shared" ca="1" si="116"/>
        <v>0</v>
      </c>
      <c r="H377" s="105">
        <f t="shared" ca="1" si="117"/>
        <v>0</v>
      </c>
      <c r="I377" s="105">
        <f t="shared" ca="1" si="107"/>
        <v>0</v>
      </c>
      <c r="J377" s="105">
        <f t="shared" ca="1" si="108"/>
        <v>0</v>
      </c>
      <c r="K377" s="105">
        <f t="shared" ca="1" si="109"/>
        <v>0</v>
      </c>
      <c r="L377" s="105">
        <f t="shared" ca="1" si="118"/>
        <v>0</v>
      </c>
      <c r="M377" s="105">
        <f t="shared" ca="1" si="110"/>
        <v>0</v>
      </c>
      <c r="N377" s="105">
        <f t="shared" ca="1" si="119"/>
        <v>0</v>
      </c>
      <c r="O377" s="105">
        <f t="shared" ca="1" si="111"/>
        <v>0</v>
      </c>
      <c r="P377" s="105">
        <f t="shared" ca="1" si="112"/>
        <v>0</v>
      </c>
      <c r="Q377" s="105">
        <f t="shared" ca="1" si="113"/>
        <v>0</v>
      </c>
      <c r="R377" s="105">
        <f t="shared" ca="1" si="114"/>
        <v>0</v>
      </c>
      <c r="S377" s="105">
        <f t="shared" ca="1" si="115"/>
        <v>10</v>
      </c>
    </row>
    <row r="378" spans="1:19" x14ac:dyDescent="0.35">
      <c r="A378" s="105">
        <f t="shared" ca="1" si="101"/>
        <v>530.62500000000273</v>
      </c>
      <c r="B378" s="105">
        <f t="shared" ca="1" si="102"/>
        <v>0</v>
      </c>
      <c r="C378" s="105">
        <f t="shared" ca="1" si="103"/>
        <v>2</v>
      </c>
      <c r="D378" s="105">
        <f t="shared" ca="1" si="104"/>
        <v>0</v>
      </c>
      <c r="E378" s="105">
        <f t="shared" ca="1" si="105"/>
        <v>0</v>
      </c>
      <c r="F378" s="105">
        <f t="shared" ca="1" si="106"/>
        <v>0</v>
      </c>
      <c r="G378" s="105">
        <f t="shared" ca="1" si="116"/>
        <v>0</v>
      </c>
      <c r="H378" s="105">
        <f t="shared" ca="1" si="117"/>
        <v>0</v>
      </c>
      <c r="I378" s="105">
        <f t="shared" ca="1" si="107"/>
        <v>0</v>
      </c>
      <c r="J378" s="105">
        <f t="shared" ca="1" si="108"/>
        <v>0</v>
      </c>
      <c r="K378" s="105">
        <f t="shared" ca="1" si="109"/>
        <v>0</v>
      </c>
      <c r="L378" s="105">
        <f t="shared" ca="1" si="118"/>
        <v>0</v>
      </c>
      <c r="M378" s="105">
        <f t="shared" ca="1" si="110"/>
        <v>0</v>
      </c>
      <c r="N378" s="105">
        <f t="shared" ca="1" si="119"/>
        <v>0</v>
      </c>
      <c r="O378" s="105">
        <f t="shared" ca="1" si="111"/>
        <v>0</v>
      </c>
      <c r="P378" s="105">
        <f t="shared" ca="1" si="112"/>
        <v>0</v>
      </c>
      <c r="Q378" s="105">
        <f t="shared" ca="1" si="113"/>
        <v>0</v>
      </c>
      <c r="R378" s="105">
        <f t="shared" ca="1" si="114"/>
        <v>0</v>
      </c>
      <c r="S378" s="105">
        <f t="shared" ca="1" si="115"/>
        <v>10</v>
      </c>
    </row>
    <row r="379" spans="1:19" x14ac:dyDescent="0.35">
      <c r="A379" s="105">
        <f t="shared" ca="1" si="101"/>
        <v>532.04000000000269</v>
      </c>
      <c r="B379" s="105">
        <f t="shared" ca="1" si="102"/>
        <v>0</v>
      </c>
      <c r="C379" s="105">
        <f t="shared" ca="1" si="103"/>
        <v>2</v>
      </c>
      <c r="D379" s="105">
        <f t="shared" ca="1" si="104"/>
        <v>0</v>
      </c>
      <c r="E379" s="105">
        <f t="shared" ca="1" si="105"/>
        <v>0</v>
      </c>
      <c r="F379" s="105">
        <f t="shared" ca="1" si="106"/>
        <v>0</v>
      </c>
      <c r="G379" s="105">
        <f t="shared" ca="1" si="116"/>
        <v>0</v>
      </c>
      <c r="H379" s="105">
        <f t="shared" ca="1" si="117"/>
        <v>0</v>
      </c>
      <c r="I379" s="105">
        <f t="shared" ca="1" si="107"/>
        <v>0</v>
      </c>
      <c r="J379" s="105">
        <f t="shared" ca="1" si="108"/>
        <v>0</v>
      </c>
      <c r="K379" s="105">
        <f t="shared" ca="1" si="109"/>
        <v>0</v>
      </c>
      <c r="L379" s="105">
        <f t="shared" ca="1" si="118"/>
        <v>0</v>
      </c>
      <c r="M379" s="105">
        <f t="shared" ca="1" si="110"/>
        <v>0</v>
      </c>
      <c r="N379" s="105">
        <f t="shared" ca="1" si="119"/>
        <v>0</v>
      </c>
      <c r="O379" s="105">
        <f t="shared" ca="1" si="111"/>
        <v>0</v>
      </c>
      <c r="P379" s="105">
        <f t="shared" ca="1" si="112"/>
        <v>0</v>
      </c>
      <c r="Q379" s="105">
        <f t="shared" ca="1" si="113"/>
        <v>0</v>
      </c>
      <c r="R379" s="105">
        <f t="shared" ca="1" si="114"/>
        <v>0</v>
      </c>
      <c r="S379" s="105">
        <f t="shared" ca="1" si="115"/>
        <v>10</v>
      </c>
    </row>
    <row r="380" spans="1:19" x14ac:dyDescent="0.35">
      <c r="A380" s="105">
        <f t="shared" ca="1" si="101"/>
        <v>533.45500000000266</v>
      </c>
      <c r="B380" s="105">
        <f t="shared" ca="1" si="102"/>
        <v>0</v>
      </c>
      <c r="C380" s="105">
        <f t="shared" ca="1" si="103"/>
        <v>2</v>
      </c>
      <c r="D380" s="105">
        <f t="shared" ca="1" si="104"/>
        <v>0</v>
      </c>
      <c r="E380" s="105">
        <f t="shared" ca="1" si="105"/>
        <v>0</v>
      </c>
      <c r="F380" s="105">
        <f t="shared" ca="1" si="106"/>
        <v>0</v>
      </c>
      <c r="G380" s="105">
        <f t="shared" ca="1" si="116"/>
        <v>0</v>
      </c>
      <c r="H380" s="105">
        <f t="shared" ca="1" si="117"/>
        <v>0</v>
      </c>
      <c r="I380" s="105">
        <f t="shared" ca="1" si="107"/>
        <v>0</v>
      </c>
      <c r="J380" s="105">
        <f t="shared" ca="1" si="108"/>
        <v>0</v>
      </c>
      <c r="K380" s="105">
        <f t="shared" ca="1" si="109"/>
        <v>0</v>
      </c>
      <c r="L380" s="105">
        <f t="shared" ca="1" si="118"/>
        <v>0</v>
      </c>
      <c r="M380" s="105">
        <f t="shared" ca="1" si="110"/>
        <v>0</v>
      </c>
      <c r="N380" s="105">
        <f t="shared" ca="1" si="119"/>
        <v>0</v>
      </c>
      <c r="O380" s="105">
        <f t="shared" ca="1" si="111"/>
        <v>0</v>
      </c>
      <c r="P380" s="105">
        <f t="shared" ca="1" si="112"/>
        <v>0</v>
      </c>
      <c r="Q380" s="105">
        <f t="shared" ca="1" si="113"/>
        <v>0</v>
      </c>
      <c r="R380" s="105">
        <f t="shared" ca="1" si="114"/>
        <v>0</v>
      </c>
      <c r="S380" s="105">
        <f t="shared" ca="1" si="115"/>
        <v>10</v>
      </c>
    </row>
    <row r="381" spans="1:19" x14ac:dyDescent="0.35">
      <c r="A381" s="105">
        <f t="shared" ca="1" si="101"/>
        <v>534.87000000000262</v>
      </c>
      <c r="B381" s="105">
        <f t="shared" ca="1" si="102"/>
        <v>0</v>
      </c>
      <c r="C381" s="105">
        <f t="shared" ca="1" si="103"/>
        <v>2</v>
      </c>
      <c r="D381" s="105">
        <f t="shared" ca="1" si="104"/>
        <v>0</v>
      </c>
      <c r="E381" s="105">
        <f t="shared" ca="1" si="105"/>
        <v>0</v>
      </c>
      <c r="F381" s="105">
        <f t="shared" ca="1" si="106"/>
        <v>0</v>
      </c>
      <c r="G381" s="105">
        <f t="shared" ca="1" si="116"/>
        <v>0</v>
      </c>
      <c r="H381" s="105">
        <f t="shared" ca="1" si="117"/>
        <v>0</v>
      </c>
      <c r="I381" s="105">
        <f t="shared" ca="1" si="107"/>
        <v>0</v>
      </c>
      <c r="J381" s="105">
        <f t="shared" ca="1" si="108"/>
        <v>0</v>
      </c>
      <c r="K381" s="105">
        <f t="shared" ca="1" si="109"/>
        <v>0</v>
      </c>
      <c r="L381" s="105">
        <f t="shared" ca="1" si="118"/>
        <v>0</v>
      </c>
      <c r="M381" s="105">
        <f t="shared" ca="1" si="110"/>
        <v>0</v>
      </c>
      <c r="N381" s="105">
        <f t="shared" ca="1" si="119"/>
        <v>0</v>
      </c>
      <c r="O381" s="105">
        <f t="shared" ca="1" si="111"/>
        <v>0</v>
      </c>
      <c r="P381" s="105">
        <f t="shared" ca="1" si="112"/>
        <v>0</v>
      </c>
      <c r="Q381" s="105">
        <f t="shared" ca="1" si="113"/>
        <v>0</v>
      </c>
      <c r="R381" s="105">
        <f t="shared" ca="1" si="114"/>
        <v>0</v>
      </c>
      <c r="S381" s="105">
        <f t="shared" ca="1" si="115"/>
        <v>10</v>
      </c>
    </row>
    <row r="382" spans="1:19" x14ac:dyDescent="0.35">
      <c r="A382" s="105">
        <f t="shared" ca="1" si="101"/>
        <v>536.28500000000258</v>
      </c>
      <c r="B382" s="105">
        <f t="shared" ca="1" si="102"/>
        <v>0</v>
      </c>
      <c r="C382" s="105">
        <f t="shared" ca="1" si="103"/>
        <v>2</v>
      </c>
      <c r="D382" s="105">
        <f t="shared" ca="1" si="104"/>
        <v>0</v>
      </c>
      <c r="E382" s="105">
        <f t="shared" ca="1" si="105"/>
        <v>0</v>
      </c>
      <c r="F382" s="105">
        <f t="shared" ca="1" si="106"/>
        <v>0</v>
      </c>
      <c r="G382" s="105">
        <f t="shared" ca="1" si="116"/>
        <v>0</v>
      </c>
      <c r="H382" s="105">
        <f t="shared" ca="1" si="117"/>
        <v>0</v>
      </c>
      <c r="I382" s="105">
        <f t="shared" ca="1" si="107"/>
        <v>0</v>
      </c>
      <c r="J382" s="105">
        <f t="shared" ca="1" si="108"/>
        <v>0</v>
      </c>
      <c r="K382" s="105">
        <f t="shared" ca="1" si="109"/>
        <v>0</v>
      </c>
      <c r="L382" s="105">
        <f t="shared" ca="1" si="118"/>
        <v>0</v>
      </c>
      <c r="M382" s="105">
        <f t="shared" ca="1" si="110"/>
        <v>0</v>
      </c>
      <c r="N382" s="105">
        <f t="shared" ca="1" si="119"/>
        <v>0</v>
      </c>
      <c r="O382" s="105">
        <f t="shared" ca="1" si="111"/>
        <v>0</v>
      </c>
      <c r="P382" s="105">
        <f t="shared" ca="1" si="112"/>
        <v>0</v>
      </c>
      <c r="Q382" s="105">
        <f t="shared" ca="1" si="113"/>
        <v>0</v>
      </c>
      <c r="R382" s="105">
        <f t="shared" ca="1" si="114"/>
        <v>0</v>
      </c>
      <c r="S382" s="105">
        <f t="shared" ca="1" si="115"/>
        <v>10</v>
      </c>
    </row>
    <row r="383" spans="1:19" x14ac:dyDescent="0.35">
      <c r="A383" s="105">
        <f t="shared" ca="1" si="101"/>
        <v>537.70000000000255</v>
      </c>
      <c r="B383" s="105">
        <f t="shared" ca="1" si="102"/>
        <v>0</v>
      </c>
      <c r="C383" s="105">
        <f t="shared" ca="1" si="103"/>
        <v>2</v>
      </c>
      <c r="D383" s="105">
        <f t="shared" ca="1" si="104"/>
        <v>0</v>
      </c>
      <c r="E383" s="105">
        <f t="shared" ca="1" si="105"/>
        <v>0</v>
      </c>
      <c r="F383" s="105">
        <f t="shared" ca="1" si="106"/>
        <v>0</v>
      </c>
      <c r="G383" s="105">
        <f t="shared" ca="1" si="116"/>
        <v>0</v>
      </c>
      <c r="H383" s="105">
        <f t="shared" ca="1" si="117"/>
        <v>0</v>
      </c>
      <c r="I383" s="105">
        <f t="shared" ca="1" si="107"/>
        <v>0</v>
      </c>
      <c r="J383" s="105">
        <f t="shared" ca="1" si="108"/>
        <v>0</v>
      </c>
      <c r="K383" s="105">
        <f t="shared" ca="1" si="109"/>
        <v>0</v>
      </c>
      <c r="L383" s="105">
        <f t="shared" ca="1" si="118"/>
        <v>0</v>
      </c>
      <c r="M383" s="105">
        <f t="shared" ca="1" si="110"/>
        <v>0</v>
      </c>
      <c r="N383" s="105">
        <f t="shared" ca="1" si="119"/>
        <v>0</v>
      </c>
      <c r="O383" s="105">
        <f t="shared" ca="1" si="111"/>
        <v>0</v>
      </c>
      <c r="P383" s="105">
        <f t="shared" ca="1" si="112"/>
        <v>0</v>
      </c>
      <c r="Q383" s="105">
        <f t="shared" ca="1" si="113"/>
        <v>0</v>
      </c>
      <c r="R383" s="105">
        <f t="shared" ca="1" si="114"/>
        <v>0</v>
      </c>
      <c r="S383" s="105">
        <f t="shared" ca="1" si="115"/>
        <v>10</v>
      </c>
    </row>
    <row r="384" spans="1:19" x14ac:dyDescent="0.35">
      <c r="A384" s="105">
        <f t="shared" ca="1" si="101"/>
        <v>539.11500000000251</v>
      </c>
      <c r="B384" s="105">
        <f t="shared" ca="1" si="102"/>
        <v>0</v>
      </c>
      <c r="C384" s="105">
        <f t="shared" ca="1" si="103"/>
        <v>2</v>
      </c>
      <c r="D384" s="105">
        <f t="shared" ca="1" si="104"/>
        <v>0</v>
      </c>
      <c r="E384" s="105">
        <f t="shared" ca="1" si="105"/>
        <v>0</v>
      </c>
      <c r="F384" s="105">
        <f t="shared" ca="1" si="106"/>
        <v>0</v>
      </c>
      <c r="G384" s="105">
        <f t="shared" ca="1" si="116"/>
        <v>0</v>
      </c>
      <c r="H384" s="105">
        <f t="shared" ca="1" si="117"/>
        <v>0</v>
      </c>
      <c r="I384" s="105">
        <f t="shared" ca="1" si="107"/>
        <v>0</v>
      </c>
      <c r="J384" s="105">
        <f t="shared" ca="1" si="108"/>
        <v>0</v>
      </c>
      <c r="K384" s="105">
        <f t="shared" ca="1" si="109"/>
        <v>0</v>
      </c>
      <c r="L384" s="105">
        <f t="shared" ca="1" si="118"/>
        <v>0</v>
      </c>
      <c r="M384" s="105">
        <f t="shared" ca="1" si="110"/>
        <v>0</v>
      </c>
      <c r="N384" s="105">
        <f t="shared" ca="1" si="119"/>
        <v>0</v>
      </c>
      <c r="O384" s="105">
        <f t="shared" ca="1" si="111"/>
        <v>0</v>
      </c>
      <c r="P384" s="105">
        <f t="shared" ca="1" si="112"/>
        <v>0</v>
      </c>
      <c r="Q384" s="105">
        <f t="shared" ca="1" si="113"/>
        <v>0</v>
      </c>
      <c r="R384" s="105">
        <f t="shared" ca="1" si="114"/>
        <v>0</v>
      </c>
      <c r="S384" s="105">
        <f t="shared" ca="1" si="115"/>
        <v>10</v>
      </c>
    </row>
    <row r="385" spans="1:19" x14ac:dyDescent="0.35">
      <c r="A385" s="105">
        <f t="shared" ca="1" si="101"/>
        <v>540.53000000000247</v>
      </c>
      <c r="B385" s="105">
        <f t="shared" ca="1" si="102"/>
        <v>0</v>
      </c>
      <c r="C385" s="105">
        <f t="shared" ca="1" si="103"/>
        <v>2</v>
      </c>
      <c r="D385" s="105">
        <f t="shared" ca="1" si="104"/>
        <v>0</v>
      </c>
      <c r="E385" s="105">
        <f t="shared" ca="1" si="105"/>
        <v>0</v>
      </c>
      <c r="F385" s="105">
        <f t="shared" ca="1" si="106"/>
        <v>0</v>
      </c>
      <c r="G385" s="105">
        <f t="shared" ca="1" si="116"/>
        <v>0</v>
      </c>
      <c r="H385" s="105">
        <f t="shared" ca="1" si="117"/>
        <v>0</v>
      </c>
      <c r="I385" s="105">
        <f t="shared" ca="1" si="107"/>
        <v>0</v>
      </c>
      <c r="J385" s="105">
        <f t="shared" ca="1" si="108"/>
        <v>0</v>
      </c>
      <c r="K385" s="105">
        <f t="shared" ca="1" si="109"/>
        <v>0</v>
      </c>
      <c r="L385" s="105">
        <f t="shared" ca="1" si="118"/>
        <v>0</v>
      </c>
      <c r="M385" s="105">
        <f t="shared" ca="1" si="110"/>
        <v>0</v>
      </c>
      <c r="N385" s="105">
        <f t="shared" ca="1" si="119"/>
        <v>0</v>
      </c>
      <c r="O385" s="105">
        <f t="shared" ca="1" si="111"/>
        <v>0</v>
      </c>
      <c r="P385" s="105">
        <f t="shared" ca="1" si="112"/>
        <v>0</v>
      </c>
      <c r="Q385" s="105">
        <f t="shared" ca="1" si="113"/>
        <v>0</v>
      </c>
      <c r="R385" s="105">
        <f t="shared" ca="1" si="114"/>
        <v>0</v>
      </c>
      <c r="S385" s="105">
        <f t="shared" ca="1" si="115"/>
        <v>10</v>
      </c>
    </row>
    <row r="386" spans="1:19" x14ac:dyDescent="0.35">
      <c r="A386" s="105">
        <f t="shared" ca="1" si="101"/>
        <v>541.94500000000244</v>
      </c>
      <c r="B386" s="105">
        <f t="shared" ca="1" si="102"/>
        <v>0</v>
      </c>
      <c r="C386" s="105">
        <f t="shared" ca="1" si="103"/>
        <v>2</v>
      </c>
      <c r="D386" s="105">
        <f t="shared" ca="1" si="104"/>
        <v>0</v>
      </c>
      <c r="E386" s="105">
        <f t="shared" ca="1" si="105"/>
        <v>0</v>
      </c>
      <c r="F386" s="105">
        <f t="shared" ca="1" si="106"/>
        <v>0</v>
      </c>
      <c r="G386" s="105">
        <f t="shared" ca="1" si="116"/>
        <v>0</v>
      </c>
      <c r="H386" s="105">
        <f t="shared" ca="1" si="117"/>
        <v>0</v>
      </c>
      <c r="I386" s="105">
        <f t="shared" ca="1" si="107"/>
        <v>0</v>
      </c>
      <c r="J386" s="105">
        <f t="shared" ca="1" si="108"/>
        <v>0</v>
      </c>
      <c r="K386" s="105">
        <f t="shared" ca="1" si="109"/>
        <v>0</v>
      </c>
      <c r="L386" s="105">
        <f t="shared" ca="1" si="118"/>
        <v>0</v>
      </c>
      <c r="M386" s="105">
        <f t="shared" ca="1" si="110"/>
        <v>0</v>
      </c>
      <c r="N386" s="105">
        <f t="shared" ca="1" si="119"/>
        <v>0</v>
      </c>
      <c r="O386" s="105">
        <f t="shared" ca="1" si="111"/>
        <v>0</v>
      </c>
      <c r="P386" s="105">
        <f t="shared" ca="1" si="112"/>
        <v>0</v>
      </c>
      <c r="Q386" s="105">
        <f t="shared" ca="1" si="113"/>
        <v>0</v>
      </c>
      <c r="R386" s="105">
        <f t="shared" ca="1" si="114"/>
        <v>0</v>
      </c>
      <c r="S386" s="105">
        <f t="shared" ca="1" si="115"/>
        <v>10</v>
      </c>
    </row>
    <row r="387" spans="1:19" x14ac:dyDescent="0.35">
      <c r="A387" s="105">
        <f t="shared" ca="1" si="101"/>
        <v>543.3600000000024</v>
      </c>
      <c r="B387" s="105">
        <f t="shared" ca="1" si="102"/>
        <v>0</v>
      </c>
      <c r="C387" s="105">
        <f t="shared" ca="1" si="103"/>
        <v>2</v>
      </c>
      <c r="D387" s="105">
        <f t="shared" ca="1" si="104"/>
        <v>0</v>
      </c>
      <c r="E387" s="105">
        <f t="shared" ca="1" si="105"/>
        <v>0</v>
      </c>
      <c r="F387" s="105">
        <f t="shared" ca="1" si="106"/>
        <v>0</v>
      </c>
      <c r="G387" s="105">
        <f t="shared" ca="1" si="116"/>
        <v>0</v>
      </c>
      <c r="H387" s="105">
        <f t="shared" ca="1" si="117"/>
        <v>0</v>
      </c>
      <c r="I387" s="105">
        <f t="shared" ca="1" si="107"/>
        <v>0</v>
      </c>
      <c r="J387" s="105">
        <f t="shared" ca="1" si="108"/>
        <v>0</v>
      </c>
      <c r="K387" s="105">
        <f t="shared" ca="1" si="109"/>
        <v>0</v>
      </c>
      <c r="L387" s="105">
        <f t="shared" ca="1" si="118"/>
        <v>0</v>
      </c>
      <c r="M387" s="105">
        <f t="shared" ca="1" si="110"/>
        <v>0</v>
      </c>
      <c r="N387" s="105">
        <f t="shared" ca="1" si="119"/>
        <v>0</v>
      </c>
      <c r="O387" s="105">
        <f t="shared" ca="1" si="111"/>
        <v>0</v>
      </c>
      <c r="P387" s="105">
        <f t="shared" ca="1" si="112"/>
        <v>0</v>
      </c>
      <c r="Q387" s="105">
        <f t="shared" ca="1" si="113"/>
        <v>0</v>
      </c>
      <c r="R387" s="105">
        <f t="shared" ca="1" si="114"/>
        <v>0</v>
      </c>
      <c r="S387" s="105">
        <f t="shared" ca="1" si="115"/>
        <v>10</v>
      </c>
    </row>
    <row r="388" spans="1:19" x14ac:dyDescent="0.35">
      <c r="A388" s="105">
        <f t="shared" ref="A388:A451" ca="1" si="120">$V$4+A387</f>
        <v>544.77500000000236</v>
      </c>
      <c r="B388" s="105">
        <f t="shared" ref="B388:B451" ca="1" si="121">IF(AND(A387&gt;$X$1,P387=0,R387=0),0,IF(AND(G387=0,H387=0),"突","")&amp;IF($V$8=0,IF(AND(OR($V$13=0,AND(K387=0,C387&lt;1),AND(K387&gt;0,OR(M387&gt;0,$V$7=0))),$V$6=1,E387=0),"渊","")&amp;IF(AND(OR($V$13=0,AND(K387=0,C387&lt;1),AND(K387&gt;0,OR(M387&gt;0,$V$7=0))),F387=0),"雷","")&amp;IF(AND(C387&gt;0,$V$13=1,E387=0,F387=0,K387=0),"任",IF(AND(G387=1,$V$7=1,I387=0),"乘","循环")),IF(AND($V$6=1,E387=0),"渊","")&amp;IF(AND(OR($V$13=0,AND(K387=0,C387&lt;1),AND(K387&gt;0,OR(M387&gt;0,$V$7=0))),F387=0),"雷","")&amp;IF(AND(C387&gt;0,L387=0,E387=0),"任",IF(AND(G387=1,$V$7=1,I387=0),"乘","循环"))))</f>
        <v>0</v>
      </c>
      <c r="C388" s="105">
        <f t="shared" ref="C388:C451" ca="1" si="122">IF(COUNTIF(B388,"*任*"),C387-1,IF(AND(D387&lt;&gt;0,D387&lt;$V$4),MIN(2,C387+1),C387))</f>
        <v>2</v>
      </c>
      <c r="D388" s="105">
        <f t="shared" ref="D388:D451" ca="1" si="123">IF(AND(D387&lt;$V$4,C387&lt;2),D387+$Y$6-$V$4,IF(AND(C387=2,COUNTIF(B388,"*任*")&gt;0),$Y$6-$V$4,MAX(0,D387-$V$4)))</f>
        <v>0</v>
      </c>
      <c r="E388" s="105">
        <f t="shared" ref="E388:E451" ca="1" si="124">IF(COUNTIF(B388,"*渊*")&gt;0,$Y$8-$V$4,MAX(0,E387-$V$4))</f>
        <v>0</v>
      </c>
      <c r="F388" s="105">
        <f t="shared" ref="F388:F451" ca="1" si="125">IF(COUNTIF(B388,"*雷*")&gt;0,$Y$9-$V$4,MAX(0,F387-$V$4))</f>
        <v>0</v>
      </c>
      <c r="G388" s="105">
        <f t="shared" ca="1" si="116"/>
        <v>0</v>
      </c>
      <c r="H388" s="105">
        <f t="shared" ca="1" si="117"/>
        <v>0</v>
      </c>
      <c r="I388" s="105">
        <f t="shared" ref="I388:I451" ca="1" si="126">IF(COUNTIF(B388,"*乘*")&gt;0,$Y$7-$V$4,MAX(0,I387-$V$4))</f>
        <v>0</v>
      </c>
      <c r="J388" s="105">
        <f t="shared" ref="J388:J451" ca="1" si="127">IF(H387&lt;1,$V$16,MAX(0,J387-1))*$V$11</f>
        <v>0</v>
      </c>
      <c r="K388" s="105">
        <f t="shared" ref="K388:K451" ca="1" si="128">IF(COUNTIF(B388,"*任*")&gt;0,$Z$6-$V$4+0.6875,MAX(0,K387-$V$4))</f>
        <v>0</v>
      </c>
      <c r="L388" s="105">
        <f t="shared" ca="1" si="118"/>
        <v>0</v>
      </c>
      <c r="M388" s="105">
        <f t="shared" ref="M388:M451" ca="1" si="129">IF(COUNTIF(B388,"*乘*")&gt;0,$Z$7-$V$4,MAX(0,M387-$V$4))</f>
        <v>0</v>
      </c>
      <c r="N388" s="105">
        <f t="shared" ca="1" si="119"/>
        <v>0</v>
      </c>
      <c r="O388" s="105">
        <f t="shared" ref="O388:O451" ca="1" si="130">IF(COUNTIF(B388,"*雷*")&gt;0,$Z$9-$V$4,MAX(0,O387-$V$4))</f>
        <v>0</v>
      </c>
      <c r="P388" s="105">
        <f t="shared" ref="P388:P451" ca="1" si="131">IF(O388+O387&gt;0,1,0)</f>
        <v>0</v>
      </c>
      <c r="Q388" s="105">
        <f t="shared" ref="Q388:Q451" ca="1" si="132">IF(COUNTIF(B388,"*渊*")&gt;0,$Z$8-$V$4,MAX(0,Q387-$V$4))</f>
        <v>0</v>
      </c>
      <c r="R388" s="105">
        <f t="shared" ref="R388:R451" ca="1" si="133">IF(Q388+Q387&gt;0,1,0)</f>
        <v>0</v>
      </c>
      <c r="S388" s="105">
        <f t="shared" ref="S388:S451" ca="1" si="134">IF(COUNTIF(B388,"*雷*")&gt;0,S387+1,S387)</f>
        <v>10</v>
      </c>
    </row>
    <row r="389" spans="1:19" x14ac:dyDescent="0.35">
      <c r="A389" s="105">
        <f t="shared" ca="1" si="120"/>
        <v>546.19000000000233</v>
      </c>
      <c r="B389" s="105">
        <f t="shared" ca="1" si="121"/>
        <v>0</v>
      </c>
      <c r="C389" s="105">
        <f t="shared" ca="1" si="122"/>
        <v>2</v>
      </c>
      <c r="D389" s="105">
        <f t="shared" ca="1" si="123"/>
        <v>0</v>
      </c>
      <c r="E389" s="105">
        <f t="shared" ca="1" si="124"/>
        <v>0</v>
      </c>
      <c r="F389" s="105">
        <f t="shared" ca="1" si="125"/>
        <v>0</v>
      </c>
      <c r="G389" s="105">
        <f t="shared" ref="G389:G452" ca="1" si="135">IF(RIGHT(B389,1)="任",1,IF(OR($V$9=0,AND(K388&lt;$V$4,H388=0)),0,G388))</f>
        <v>0</v>
      </c>
      <c r="H389" s="105">
        <f t="shared" ref="H389:H452" ca="1" si="136">IF(COUNTIF(B389,"*突*")&gt;0,$Y$5-$V$4,MAX(0,H388-$V$4))</f>
        <v>0</v>
      </c>
      <c r="I389" s="105">
        <f t="shared" ca="1" si="126"/>
        <v>0</v>
      </c>
      <c r="J389" s="105">
        <f t="shared" ca="1" si="127"/>
        <v>0</v>
      </c>
      <c r="K389" s="105">
        <f t="shared" ca="1" si="128"/>
        <v>0</v>
      </c>
      <c r="L389" s="105">
        <f t="shared" ca="1" si="118"/>
        <v>0</v>
      </c>
      <c r="M389" s="105">
        <f t="shared" ca="1" si="129"/>
        <v>0</v>
      </c>
      <c r="N389" s="105">
        <f t="shared" ca="1" si="119"/>
        <v>0</v>
      </c>
      <c r="O389" s="105">
        <f t="shared" ca="1" si="130"/>
        <v>0</v>
      </c>
      <c r="P389" s="105">
        <f t="shared" ca="1" si="131"/>
        <v>0</v>
      </c>
      <c r="Q389" s="105">
        <f t="shared" ca="1" si="132"/>
        <v>0</v>
      </c>
      <c r="R389" s="105">
        <f t="shared" ca="1" si="133"/>
        <v>0</v>
      </c>
      <c r="S389" s="105">
        <f t="shared" ca="1" si="134"/>
        <v>10</v>
      </c>
    </row>
    <row r="390" spans="1:19" x14ac:dyDescent="0.35">
      <c r="A390" s="105">
        <f t="shared" ca="1" si="120"/>
        <v>547.60500000000229</v>
      </c>
      <c r="B390" s="105">
        <f t="shared" ca="1" si="121"/>
        <v>0</v>
      </c>
      <c r="C390" s="105">
        <f t="shared" ca="1" si="122"/>
        <v>2</v>
      </c>
      <c r="D390" s="105">
        <f t="shared" ca="1" si="123"/>
        <v>0</v>
      </c>
      <c r="E390" s="105">
        <f t="shared" ca="1" si="124"/>
        <v>0</v>
      </c>
      <c r="F390" s="105">
        <f t="shared" ca="1" si="125"/>
        <v>0</v>
      </c>
      <c r="G390" s="105">
        <f t="shared" ca="1" si="135"/>
        <v>0</v>
      </c>
      <c r="H390" s="105">
        <f t="shared" ca="1" si="136"/>
        <v>0</v>
      </c>
      <c r="I390" s="105">
        <f t="shared" ca="1" si="126"/>
        <v>0</v>
      </c>
      <c r="J390" s="105">
        <f t="shared" ca="1" si="127"/>
        <v>0</v>
      </c>
      <c r="K390" s="105">
        <f t="shared" ca="1" si="128"/>
        <v>0</v>
      </c>
      <c r="L390" s="105">
        <f t="shared" ca="1" si="118"/>
        <v>0</v>
      </c>
      <c r="M390" s="105">
        <f t="shared" ca="1" si="129"/>
        <v>0</v>
      </c>
      <c r="N390" s="105">
        <f t="shared" ca="1" si="119"/>
        <v>0</v>
      </c>
      <c r="O390" s="105">
        <f t="shared" ca="1" si="130"/>
        <v>0</v>
      </c>
      <c r="P390" s="105">
        <f t="shared" ca="1" si="131"/>
        <v>0</v>
      </c>
      <c r="Q390" s="105">
        <f t="shared" ca="1" si="132"/>
        <v>0</v>
      </c>
      <c r="R390" s="105">
        <f t="shared" ca="1" si="133"/>
        <v>0</v>
      </c>
      <c r="S390" s="105">
        <f t="shared" ca="1" si="134"/>
        <v>10</v>
      </c>
    </row>
    <row r="391" spans="1:19" x14ac:dyDescent="0.35">
      <c r="A391" s="105">
        <f t="shared" ca="1" si="120"/>
        <v>549.02000000000226</v>
      </c>
      <c r="B391" s="105">
        <f t="shared" ca="1" si="121"/>
        <v>0</v>
      </c>
      <c r="C391" s="105">
        <f t="shared" ca="1" si="122"/>
        <v>2</v>
      </c>
      <c r="D391" s="105">
        <f t="shared" ca="1" si="123"/>
        <v>0</v>
      </c>
      <c r="E391" s="105">
        <f t="shared" ca="1" si="124"/>
        <v>0</v>
      </c>
      <c r="F391" s="105">
        <f t="shared" ca="1" si="125"/>
        <v>0</v>
      </c>
      <c r="G391" s="105">
        <f t="shared" ca="1" si="135"/>
        <v>0</v>
      </c>
      <c r="H391" s="105">
        <f t="shared" ca="1" si="136"/>
        <v>0</v>
      </c>
      <c r="I391" s="105">
        <f t="shared" ca="1" si="126"/>
        <v>0</v>
      </c>
      <c r="J391" s="105">
        <f t="shared" ca="1" si="127"/>
        <v>0</v>
      </c>
      <c r="K391" s="105">
        <f t="shared" ca="1" si="128"/>
        <v>0</v>
      </c>
      <c r="L391" s="105">
        <f t="shared" ca="1" si="118"/>
        <v>0</v>
      </c>
      <c r="M391" s="105">
        <f t="shared" ca="1" si="129"/>
        <v>0</v>
      </c>
      <c r="N391" s="105">
        <f t="shared" ca="1" si="119"/>
        <v>0</v>
      </c>
      <c r="O391" s="105">
        <f t="shared" ca="1" si="130"/>
        <v>0</v>
      </c>
      <c r="P391" s="105">
        <f t="shared" ca="1" si="131"/>
        <v>0</v>
      </c>
      <c r="Q391" s="105">
        <f t="shared" ca="1" si="132"/>
        <v>0</v>
      </c>
      <c r="R391" s="105">
        <f t="shared" ca="1" si="133"/>
        <v>0</v>
      </c>
      <c r="S391" s="105">
        <f t="shared" ca="1" si="134"/>
        <v>10</v>
      </c>
    </row>
    <row r="392" spans="1:19" x14ac:dyDescent="0.35">
      <c r="A392" s="105">
        <f t="shared" ca="1" si="120"/>
        <v>550.43500000000222</v>
      </c>
      <c r="B392" s="105">
        <f t="shared" ca="1" si="121"/>
        <v>0</v>
      </c>
      <c r="C392" s="105">
        <f t="shared" ca="1" si="122"/>
        <v>2</v>
      </c>
      <c r="D392" s="105">
        <f t="shared" ca="1" si="123"/>
        <v>0</v>
      </c>
      <c r="E392" s="105">
        <f t="shared" ca="1" si="124"/>
        <v>0</v>
      </c>
      <c r="F392" s="105">
        <f t="shared" ca="1" si="125"/>
        <v>0</v>
      </c>
      <c r="G392" s="105">
        <f t="shared" ca="1" si="135"/>
        <v>0</v>
      </c>
      <c r="H392" s="105">
        <f t="shared" ca="1" si="136"/>
        <v>0</v>
      </c>
      <c r="I392" s="105">
        <f t="shared" ca="1" si="126"/>
        <v>0</v>
      </c>
      <c r="J392" s="105">
        <f t="shared" ca="1" si="127"/>
        <v>0</v>
      </c>
      <c r="K392" s="105">
        <f t="shared" ca="1" si="128"/>
        <v>0</v>
      </c>
      <c r="L392" s="105">
        <f t="shared" ca="1" si="118"/>
        <v>0</v>
      </c>
      <c r="M392" s="105">
        <f t="shared" ca="1" si="129"/>
        <v>0</v>
      </c>
      <c r="N392" s="105">
        <f t="shared" ca="1" si="119"/>
        <v>0</v>
      </c>
      <c r="O392" s="105">
        <f t="shared" ca="1" si="130"/>
        <v>0</v>
      </c>
      <c r="P392" s="105">
        <f t="shared" ca="1" si="131"/>
        <v>0</v>
      </c>
      <c r="Q392" s="105">
        <f t="shared" ca="1" si="132"/>
        <v>0</v>
      </c>
      <c r="R392" s="105">
        <f t="shared" ca="1" si="133"/>
        <v>0</v>
      </c>
      <c r="S392" s="105">
        <f t="shared" ca="1" si="134"/>
        <v>10</v>
      </c>
    </row>
    <row r="393" spans="1:19" x14ac:dyDescent="0.35">
      <c r="A393" s="105">
        <f t="shared" ca="1" si="120"/>
        <v>551.85000000000218</v>
      </c>
      <c r="B393" s="105">
        <f t="shared" ca="1" si="121"/>
        <v>0</v>
      </c>
      <c r="C393" s="105">
        <f t="shared" ca="1" si="122"/>
        <v>2</v>
      </c>
      <c r="D393" s="105">
        <f t="shared" ca="1" si="123"/>
        <v>0</v>
      </c>
      <c r="E393" s="105">
        <f t="shared" ca="1" si="124"/>
        <v>0</v>
      </c>
      <c r="F393" s="105">
        <f t="shared" ca="1" si="125"/>
        <v>0</v>
      </c>
      <c r="G393" s="105">
        <f t="shared" ca="1" si="135"/>
        <v>0</v>
      </c>
      <c r="H393" s="105">
        <f t="shared" ca="1" si="136"/>
        <v>0</v>
      </c>
      <c r="I393" s="105">
        <f t="shared" ca="1" si="126"/>
        <v>0</v>
      </c>
      <c r="J393" s="105">
        <f t="shared" ca="1" si="127"/>
        <v>0</v>
      </c>
      <c r="K393" s="105">
        <f t="shared" ca="1" si="128"/>
        <v>0</v>
      </c>
      <c r="L393" s="105">
        <f t="shared" ca="1" si="118"/>
        <v>0</v>
      </c>
      <c r="M393" s="105">
        <f t="shared" ca="1" si="129"/>
        <v>0</v>
      </c>
      <c r="N393" s="105">
        <f t="shared" ca="1" si="119"/>
        <v>0</v>
      </c>
      <c r="O393" s="105">
        <f t="shared" ca="1" si="130"/>
        <v>0</v>
      </c>
      <c r="P393" s="105">
        <f t="shared" ca="1" si="131"/>
        <v>0</v>
      </c>
      <c r="Q393" s="105">
        <f t="shared" ca="1" si="132"/>
        <v>0</v>
      </c>
      <c r="R393" s="105">
        <f t="shared" ca="1" si="133"/>
        <v>0</v>
      </c>
      <c r="S393" s="105">
        <f t="shared" ca="1" si="134"/>
        <v>10</v>
      </c>
    </row>
    <row r="394" spans="1:19" x14ac:dyDescent="0.35">
      <c r="A394" s="105">
        <f t="shared" ca="1" si="120"/>
        <v>553.26500000000215</v>
      </c>
      <c r="B394" s="105">
        <f t="shared" ca="1" si="121"/>
        <v>0</v>
      </c>
      <c r="C394" s="105">
        <f t="shared" ca="1" si="122"/>
        <v>2</v>
      </c>
      <c r="D394" s="105">
        <f t="shared" ca="1" si="123"/>
        <v>0</v>
      </c>
      <c r="E394" s="105">
        <f t="shared" ca="1" si="124"/>
        <v>0</v>
      </c>
      <c r="F394" s="105">
        <f t="shared" ca="1" si="125"/>
        <v>0</v>
      </c>
      <c r="G394" s="105">
        <f t="shared" ca="1" si="135"/>
        <v>0</v>
      </c>
      <c r="H394" s="105">
        <f t="shared" ca="1" si="136"/>
        <v>0</v>
      </c>
      <c r="I394" s="105">
        <f t="shared" ca="1" si="126"/>
        <v>0</v>
      </c>
      <c r="J394" s="105">
        <f t="shared" ca="1" si="127"/>
        <v>0</v>
      </c>
      <c r="K394" s="105">
        <f t="shared" ca="1" si="128"/>
        <v>0</v>
      </c>
      <c r="L394" s="105">
        <f t="shared" ca="1" si="118"/>
        <v>0</v>
      </c>
      <c r="M394" s="105">
        <f t="shared" ca="1" si="129"/>
        <v>0</v>
      </c>
      <c r="N394" s="105">
        <f t="shared" ca="1" si="119"/>
        <v>0</v>
      </c>
      <c r="O394" s="105">
        <f t="shared" ca="1" si="130"/>
        <v>0</v>
      </c>
      <c r="P394" s="105">
        <f t="shared" ca="1" si="131"/>
        <v>0</v>
      </c>
      <c r="Q394" s="105">
        <f t="shared" ca="1" si="132"/>
        <v>0</v>
      </c>
      <c r="R394" s="105">
        <f t="shared" ca="1" si="133"/>
        <v>0</v>
      </c>
      <c r="S394" s="105">
        <f t="shared" ca="1" si="134"/>
        <v>10</v>
      </c>
    </row>
    <row r="395" spans="1:19" x14ac:dyDescent="0.35">
      <c r="A395" s="105">
        <f t="shared" ca="1" si="120"/>
        <v>554.68000000000211</v>
      </c>
      <c r="B395" s="105">
        <f t="shared" ca="1" si="121"/>
        <v>0</v>
      </c>
      <c r="C395" s="105">
        <f t="shared" ca="1" si="122"/>
        <v>2</v>
      </c>
      <c r="D395" s="105">
        <f t="shared" ca="1" si="123"/>
        <v>0</v>
      </c>
      <c r="E395" s="105">
        <f t="shared" ca="1" si="124"/>
        <v>0</v>
      </c>
      <c r="F395" s="105">
        <f t="shared" ca="1" si="125"/>
        <v>0</v>
      </c>
      <c r="G395" s="105">
        <f t="shared" ca="1" si="135"/>
        <v>0</v>
      </c>
      <c r="H395" s="105">
        <f t="shared" ca="1" si="136"/>
        <v>0</v>
      </c>
      <c r="I395" s="105">
        <f t="shared" ca="1" si="126"/>
        <v>0</v>
      </c>
      <c r="J395" s="105">
        <f t="shared" ca="1" si="127"/>
        <v>0</v>
      </c>
      <c r="K395" s="105">
        <f t="shared" ca="1" si="128"/>
        <v>0</v>
      </c>
      <c r="L395" s="105">
        <f t="shared" ca="1" si="118"/>
        <v>0</v>
      </c>
      <c r="M395" s="105">
        <f t="shared" ca="1" si="129"/>
        <v>0</v>
      </c>
      <c r="N395" s="105">
        <f t="shared" ca="1" si="119"/>
        <v>0</v>
      </c>
      <c r="O395" s="105">
        <f t="shared" ca="1" si="130"/>
        <v>0</v>
      </c>
      <c r="P395" s="105">
        <f t="shared" ca="1" si="131"/>
        <v>0</v>
      </c>
      <c r="Q395" s="105">
        <f t="shared" ca="1" si="132"/>
        <v>0</v>
      </c>
      <c r="R395" s="105">
        <f t="shared" ca="1" si="133"/>
        <v>0</v>
      </c>
      <c r="S395" s="105">
        <f t="shared" ca="1" si="134"/>
        <v>10</v>
      </c>
    </row>
    <row r="396" spans="1:19" x14ac:dyDescent="0.35">
      <c r="A396" s="105">
        <f t="shared" ca="1" si="120"/>
        <v>556.09500000000207</v>
      </c>
      <c r="B396" s="105">
        <f t="shared" ca="1" si="121"/>
        <v>0</v>
      </c>
      <c r="C396" s="105">
        <f t="shared" ca="1" si="122"/>
        <v>2</v>
      </c>
      <c r="D396" s="105">
        <f t="shared" ca="1" si="123"/>
        <v>0</v>
      </c>
      <c r="E396" s="105">
        <f t="shared" ca="1" si="124"/>
        <v>0</v>
      </c>
      <c r="F396" s="105">
        <f t="shared" ca="1" si="125"/>
        <v>0</v>
      </c>
      <c r="G396" s="105">
        <f t="shared" ca="1" si="135"/>
        <v>0</v>
      </c>
      <c r="H396" s="105">
        <f t="shared" ca="1" si="136"/>
        <v>0</v>
      </c>
      <c r="I396" s="105">
        <f t="shared" ca="1" si="126"/>
        <v>0</v>
      </c>
      <c r="J396" s="105">
        <f t="shared" ca="1" si="127"/>
        <v>0</v>
      </c>
      <c r="K396" s="105">
        <f t="shared" ca="1" si="128"/>
        <v>0</v>
      </c>
      <c r="L396" s="105">
        <f t="shared" ca="1" si="118"/>
        <v>0</v>
      </c>
      <c r="M396" s="105">
        <f t="shared" ca="1" si="129"/>
        <v>0</v>
      </c>
      <c r="N396" s="105">
        <f t="shared" ca="1" si="119"/>
        <v>0</v>
      </c>
      <c r="O396" s="105">
        <f t="shared" ca="1" si="130"/>
        <v>0</v>
      </c>
      <c r="P396" s="105">
        <f t="shared" ca="1" si="131"/>
        <v>0</v>
      </c>
      <c r="Q396" s="105">
        <f t="shared" ca="1" si="132"/>
        <v>0</v>
      </c>
      <c r="R396" s="105">
        <f t="shared" ca="1" si="133"/>
        <v>0</v>
      </c>
      <c r="S396" s="105">
        <f t="shared" ca="1" si="134"/>
        <v>10</v>
      </c>
    </row>
    <row r="397" spans="1:19" x14ac:dyDescent="0.35">
      <c r="A397" s="105">
        <f t="shared" ca="1" si="120"/>
        <v>557.51000000000204</v>
      </c>
      <c r="B397" s="105">
        <f t="shared" ca="1" si="121"/>
        <v>0</v>
      </c>
      <c r="C397" s="105">
        <f t="shared" ca="1" si="122"/>
        <v>2</v>
      </c>
      <c r="D397" s="105">
        <f t="shared" ca="1" si="123"/>
        <v>0</v>
      </c>
      <c r="E397" s="105">
        <f t="shared" ca="1" si="124"/>
        <v>0</v>
      </c>
      <c r="F397" s="105">
        <f t="shared" ca="1" si="125"/>
        <v>0</v>
      </c>
      <c r="G397" s="105">
        <f t="shared" ca="1" si="135"/>
        <v>0</v>
      </c>
      <c r="H397" s="105">
        <f t="shared" ca="1" si="136"/>
        <v>0</v>
      </c>
      <c r="I397" s="105">
        <f t="shared" ca="1" si="126"/>
        <v>0</v>
      </c>
      <c r="J397" s="105">
        <f t="shared" ca="1" si="127"/>
        <v>0</v>
      </c>
      <c r="K397" s="105">
        <f t="shared" ca="1" si="128"/>
        <v>0</v>
      </c>
      <c r="L397" s="105">
        <f t="shared" ca="1" si="118"/>
        <v>0</v>
      </c>
      <c r="M397" s="105">
        <f t="shared" ca="1" si="129"/>
        <v>0</v>
      </c>
      <c r="N397" s="105">
        <f t="shared" ca="1" si="119"/>
        <v>0</v>
      </c>
      <c r="O397" s="105">
        <f t="shared" ca="1" si="130"/>
        <v>0</v>
      </c>
      <c r="P397" s="105">
        <f t="shared" ca="1" si="131"/>
        <v>0</v>
      </c>
      <c r="Q397" s="105">
        <f t="shared" ca="1" si="132"/>
        <v>0</v>
      </c>
      <c r="R397" s="105">
        <f t="shared" ca="1" si="133"/>
        <v>0</v>
      </c>
      <c r="S397" s="105">
        <f t="shared" ca="1" si="134"/>
        <v>10</v>
      </c>
    </row>
    <row r="398" spans="1:19" x14ac:dyDescent="0.35">
      <c r="A398" s="105">
        <f t="shared" ca="1" si="120"/>
        <v>558.925000000002</v>
      </c>
      <c r="B398" s="105">
        <f t="shared" ca="1" si="121"/>
        <v>0</v>
      </c>
      <c r="C398" s="105">
        <f t="shared" ca="1" si="122"/>
        <v>2</v>
      </c>
      <c r="D398" s="105">
        <f t="shared" ca="1" si="123"/>
        <v>0</v>
      </c>
      <c r="E398" s="105">
        <f t="shared" ca="1" si="124"/>
        <v>0</v>
      </c>
      <c r="F398" s="105">
        <f t="shared" ca="1" si="125"/>
        <v>0</v>
      </c>
      <c r="G398" s="105">
        <f t="shared" ca="1" si="135"/>
        <v>0</v>
      </c>
      <c r="H398" s="105">
        <f t="shared" ca="1" si="136"/>
        <v>0</v>
      </c>
      <c r="I398" s="105">
        <f t="shared" ca="1" si="126"/>
        <v>0</v>
      </c>
      <c r="J398" s="105">
        <f t="shared" ca="1" si="127"/>
        <v>0</v>
      </c>
      <c r="K398" s="105">
        <f t="shared" ca="1" si="128"/>
        <v>0</v>
      </c>
      <c r="L398" s="105">
        <f t="shared" ca="1" si="118"/>
        <v>0</v>
      </c>
      <c r="M398" s="105">
        <f t="shared" ca="1" si="129"/>
        <v>0</v>
      </c>
      <c r="N398" s="105">
        <f t="shared" ca="1" si="119"/>
        <v>0</v>
      </c>
      <c r="O398" s="105">
        <f t="shared" ca="1" si="130"/>
        <v>0</v>
      </c>
      <c r="P398" s="105">
        <f t="shared" ca="1" si="131"/>
        <v>0</v>
      </c>
      <c r="Q398" s="105">
        <f t="shared" ca="1" si="132"/>
        <v>0</v>
      </c>
      <c r="R398" s="105">
        <f t="shared" ca="1" si="133"/>
        <v>0</v>
      </c>
      <c r="S398" s="105">
        <f t="shared" ca="1" si="134"/>
        <v>10</v>
      </c>
    </row>
    <row r="399" spans="1:19" x14ac:dyDescent="0.35">
      <c r="A399" s="105">
        <f t="shared" ca="1" si="120"/>
        <v>560.34000000000196</v>
      </c>
      <c r="B399" s="105">
        <f t="shared" ca="1" si="121"/>
        <v>0</v>
      </c>
      <c r="C399" s="105">
        <f t="shared" ca="1" si="122"/>
        <v>2</v>
      </c>
      <c r="D399" s="105">
        <f t="shared" ca="1" si="123"/>
        <v>0</v>
      </c>
      <c r="E399" s="105">
        <f t="shared" ca="1" si="124"/>
        <v>0</v>
      </c>
      <c r="F399" s="105">
        <f t="shared" ca="1" si="125"/>
        <v>0</v>
      </c>
      <c r="G399" s="105">
        <f t="shared" ca="1" si="135"/>
        <v>0</v>
      </c>
      <c r="H399" s="105">
        <f t="shared" ca="1" si="136"/>
        <v>0</v>
      </c>
      <c r="I399" s="105">
        <f t="shared" ca="1" si="126"/>
        <v>0</v>
      </c>
      <c r="J399" s="105">
        <f t="shared" ca="1" si="127"/>
        <v>0</v>
      </c>
      <c r="K399" s="105">
        <f t="shared" ca="1" si="128"/>
        <v>0</v>
      </c>
      <c r="L399" s="105">
        <f t="shared" ca="1" si="118"/>
        <v>0</v>
      </c>
      <c r="M399" s="105">
        <f t="shared" ca="1" si="129"/>
        <v>0</v>
      </c>
      <c r="N399" s="105">
        <f t="shared" ca="1" si="119"/>
        <v>0</v>
      </c>
      <c r="O399" s="105">
        <f t="shared" ca="1" si="130"/>
        <v>0</v>
      </c>
      <c r="P399" s="105">
        <f t="shared" ca="1" si="131"/>
        <v>0</v>
      </c>
      <c r="Q399" s="105">
        <f t="shared" ca="1" si="132"/>
        <v>0</v>
      </c>
      <c r="R399" s="105">
        <f t="shared" ca="1" si="133"/>
        <v>0</v>
      </c>
      <c r="S399" s="105">
        <f t="shared" ca="1" si="134"/>
        <v>10</v>
      </c>
    </row>
    <row r="400" spans="1:19" x14ac:dyDescent="0.35">
      <c r="A400" s="105">
        <f t="shared" ca="1" si="120"/>
        <v>561.75500000000193</v>
      </c>
      <c r="B400" s="105">
        <f t="shared" ca="1" si="121"/>
        <v>0</v>
      </c>
      <c r="C400" s="105">
        <f t="shared" ca="1" si="122"/>
        <v>2</v>
      </c>
      <c r="D400" s="105">
        <f t="shared" ca="1" si="123"/>
        <v>0</v>
      </c>
      <c r="E400" s="105">
        <f t="shared" ca="1" si="124"/>
        <v>0</v>
      </c>
      <c r="F400" s="105">
        <f t="shared" ca="1" si="125"/>
        <v>0</v>
      </c>
      <c r="G400" s="105">
        <f t="shared" ca="1" si="135"/>
        <v>0</v>
      </c>
      <c r="H400" s="105">
        <f t="shared" ca="1" si="136"/>
        <v>0</v>
      </c>
      <c r="I400" s="105">
        <f t="shared" ca="1" si="126"/>
        <v>0</v>
      </c>
      <c r="J400" s="105">
        <f t="shared" ca="1" si="127"/>
        <v>0</v>
      </c>
      <c r="K400" s="105">
        <f t="shared" ca="1" si="128"/>
        <v>0</v>
      </c>
      <c r="L400" s="105">
        <f t="shared" ca="1" si="118"/>
        <v>0</v>
      </c>
      <c r="M400" s="105">
        <f t="shared" ca="1" si="129"/>
        <v>0</v>
      </c>
      <c r="N400" s="105">
        <f t="shared" ca="1" si="119"/>
        <v>0</v>
      </c>
      <c r="O400" s="105">
        <f t="shared" ca="1" si="130"/>
        <v>0</v>
      </c>
      <c r="P400" s="105">
        <f t="shared" ca="1" si="131"/>
        <v>0</v>
      </c>
      <c r="Q400" s="105">
        <f t="shared" ca="1" si="132"/>
        <v>0</v>
      </c>
      <c r="R400" s="105">
        <f t="shared" ca="1" si="133"/>
        <v>0</v>
      </c>
      <c r="S400" s="105">
        <f t="shared" ca="1" si="134"/>
        <v>10</v>
      </c>
    </row>
    <row r="401" spans="1:19" x14ac:dyDescent="0.35">
      <c r="A401" s="105">
        <f t="shared" ca="1" si="120"/>
        <v>563.17000000000189</v>
      </c>
      <c r="B401" s="105">
        <f t="shared" ca="1" si="121"/>
        <v>0</v>
      </c>
      <c r="C401" s="105">
        <f t="shared" ca="1" si="122"/>
        <v>2</v>
      </c>
      <c r="D401" s="105">
        <f t="shared" ca="1" si="123"/>
        <v>0</v>
      </c>
      <c r="E401" s="105">
        <f t="shared" ca="1" si="124"/>
        <v>0</v>
      </c>
      <c r="F401" s="105">
        <f t="shared" ca="1" si="125"/>
        <v>0</v>
      </c>
      <c r="G401" s="105">
        <f t="shared" ca="1" si="135"/>
        <v>0</v>
      </c>
      <c r="H401" s="105">
        <f t="shared" ca="1" si="136"/>
        <v>0</v>
      </c>
      <c r="I401" s="105">
        <f t="shared" ca="1" si="126"/>
        <v>0</v>
      </c>
      <c r="J401" s="105">
        <f t="shared" ca="1" si="127"/>
        <v>0</v>
      </c>
      <c r="K401" s="105">
        <f t="shared" ca="1" si="128"/>
        <v>0</v>
      </c>
      <c r="L401" s="105">
        <f t="shared" ca="1" si="118"/>
        <v>0</v>
      </c>
      <c r="M401" s="105">
        <f t="shared" ca="1" si="129"/>
        <v>0</v>
      </c>
      <c r="N401" s="105">
        <f t="shared" ca="1" si="119"/>
        <v>0</v>
      </c>
      <c r="O401" s="105">
        <f t="shared" ca="1" si="130"/>
        <v>0</v>
      </c>
      <c r="P401" s="105">
        <f t="shared" ca="1" si="131"/>
        <v>0</v>
      </c>
      <c r="Q401" s="105">
        <f t="shared" ca="1" si="132"/>
        <v>0</v>
      </c>
      <c r="R401" s="105">
        <f t="shared" ca="1" si="133"/>
        <v>0</v>
      </c>
      <c r="S401" s="105">
        <f t="shared" ca="1" si="134"/>
        <v>10</v>
      </c>
    </row>
    <row r="402" spans="1:19" x14ac:dyDescent="0.35">
      <c r="A402" s="105">
        <f t="shared" ca="1" si="120"/>
        <v>564.58500000000186</v>
      </c>
      <c r="B402" s="105">
        <f t="shared" ca="1" si="121"/>
        <v>0</v>
      </c>
      <c r="C402" s="105">
        <f t="shared" ca="1" si="122"/>
        <v>2</v>
      </c>
      <c r="D402" s="105">
        <f t="shared" ca="1" si="123"/>
        <v>0</v>
      </c>
      <c r="E402" s="105">
        <f t="shared" ca="1" si="124"/>
        <v>0</v>
      </c>
      <c r="F402" s="105">
        <f t="shared" ca="1" si="125"/>
        <v>0</v>
      </c>
      <c r="G402" s="105">
        <f t="shared" ca="1" si="135"/>
        <v>0</v>
      </c>
      <c r="H402" s="105">
        <f t="shared" ca="1" si="136"/>
        <v>0</v>
      </c>
      <c r="I402" s="105">
        <f t="shared" ca="1" si="126"/>
        <v>0</v>
      </c>
      <c r="J402" s="105">
        <f t="shared" ca="1" si="127"/>
        <v>0</v>
      </c>
      <c r="K402" s="105">
        <f t="shared" ca="1" si="128"/>
        <v>0</v>
      </c>
      <c r="L402" s="105">
        <f t="shared" ca="1" si="118"/>
        <v>0</v>
      </c>
      <c r="M402" s="105">
        <f t="shared" ca="1" si="129"/>
        <v>0</v>
      </c>
      <c r="N402" s="105">
        <f t="shared" ca="1" si="119"/>
        <v>0</v>
      </c>
      <c r="O402" s="105">
        <f t="shared" ca="1" si="130"/>
        <v>0</v>
      </c>
      <c r="P402" s="105">
        <f t="shared" ca="1" si="131"/>
        <v>0</v>
      </c>
      <c r="Q402" s="105">
        <f t="shared" ca="1" si="132"/>
        <v>0</v>
      </c>
      <c r="R402" s="105">
        <f t="shared" ca="1" si="133"/>
        <v>0</v>
      </c>
      <c r="S402" s="105">
        <f t="shared" ca="1" si="134"/>
        <v>10</v>
      </c>
    </row>
    <row r="403" spans="1:19" x14ac:dyDescent="0.35">
      <c r="A403" s="105">
        <f t="shared" ca="1" si="120"/>
        <v>566.00000000000182</v>
      </c>
      <c r="B403" s="105">
        <f t="shared" ca="1" si="121"/>
        <v>0</v>
      </c>
      <c r="C403" s="105">
        <f t="shared" ca="1" si="122"/>
        <v>2</v>
      </c>
      <c r="D403" s="105">
        <f t="shared" ca="1" si="123"/>
        <v>0</v>
      </c>
      <c r="E403" s="105">
        <f t="shared" ca="1" si="124"/>
        <v>0</v>
      </c>
      <c r="F403" s="105">
        <f t="shared" ca="1" si="125"/>
        <v>0</v>
      </c>
      <c r="G403" s="105">
        <f t="shared" ca="1" si="135"/>
        <v>0</v>
      </c>
      <c r="H403" s="105">
        <f t="shared" ca="1" si="136"/>
        <v>0</v>
      </c>
      <c r="I403" s="105">
        <f t="shared" ca="1" si="126"/>
        <v>0</v>
      </c>
      <c r="J403" s="105">
        <f t="shared" ca="1" si="127"/>
        <v>0</v>
      </c>
      <c r="K403" s="105">
        <f t="shared" ca="1" si="128"/>
        <v>0</v>
      </c>
      <c r="L403" s="105">
        <f t="shared" ca="1" si="118"/>
        <v>0</v>
      </c>
      <c r="M403" s="105">
        <f t="shared" ca="1" si="129"/>
        <v>0</v>
      </c>
      <c r="N403" s="105">
        <f t="shared" ca="1" si="119"/>
        <v>0</v>
      </c>
      <c r="O403" s="105">
        <f t="shared" ca="1" si="130"/>
        <v>0</v>
      </c>
      <c r="P403" s="105">
        <f t="shared" ca="1" si="131"/>
        <v>0</v>
      </c>
      <c r="Q403" s="105">
        <f t="shared" ca="1" si="132"/>
        <v>0</v>
      </c>
      <c r="R403" s="105">
        <f t="shared" ca="1" si="133"/>
        <v>0</v>
      </c>
      <c r="S403" s="105">
        <f t="shared" ca="1" si="134"/>
        <v>10</v>
      </c>
    </row>
    <row r="404" spans="1:19" x14ac:dyDescent="0.35">
      <c r="A404" s="105">
        <f t="shared" ca="1" si="120"/>
        <v>567.41500000000178</v>
      </c>
      <c r="B404" s="105">
        <f t="shared" ca="1" si="121"/>
        <v>0</v>
      </c>
      <c r="C404" s="105">
        <f t="shared" ca="1" si="122"/>
        <v>2</v>
      </c>
      <c r="D404" s="105">
        <f t="shared" ca="1" si="123"/>
        <v>0</v>
      </c>
      <c r="E404" s="105">
        <f t="shared" ca="1" si="124"/>
        <v>0</v>
      </c>
      <c r="F404" s="105">
        <f t="shared" ca="1" si="125"/>
        <v>0</v>
      </c>
      <c r="G404" s="105">
        <f t="shared" ca="1" si="135"/>
        <v>0</v>
      </c>
      <c r="H404" s="105">
        <f t="shared" ca="1" si="136"/>
        <v>0</v>
      </c>
      <c r="I404" s="105">
        <f t="shared" ca="1" si="126"/>
        <v>0</v>
      </c>
      <c r="J404" s="105">
        <f t="shared" ca="1" si="127"/>
        <v>0</v>
      </c>
      <c r="K404" s="105">
        <f t="shared" ca="1" si="128"/>
        <v>0</v>
      </c>
      <c r="L404" s="105">
        <f t="shared" ca="1" si="118"/>
        <v>0</v>
      </c>
      <c r="M404" s="105">
        <f t="shared" ca="1" si="129"/>
        <v>0</v>
      </c>
      <c r="N404" s="105">
        <f t="shared" ca="1" si="119"/>
        <v>0</v>
      </c>
      <c r="O404" s="105">
        <f t="shared" ca="1" si="130"/>
        <v>0</v>
      </c>
      <c r="P404" s="105">
        <f t="shared" ca="1" si="131"/>
        <v>0</v>
      </c>
      <c r="Q404" s="105">
        <f t="shared" ca="1" si="132"/>
        <v>0</v>
      </c>
      <c r="R404" s="105">
        <f t="shared" ca="1" si="133"/>
        <v>0</v>
      </c>
      <c r="S404" s="105">
        <f t="shared" ca="1" si="134"/>
        <v>10</v>
      </c>
    </row>
    <row r="405" spans="1:19" x14ac:dyDescent="0.35">
      <c r="A405" s="105">
        <f t="shared" ca="1" si="120"/>
        <v>568.83000000000175</v>
      </c>
      <c r="B405" s="105">
        <f t="shared" ca="1" si="121"/>
        <v>0</v>
      </c>
      <c r="C405" s="105">
        <f t="shared" ca="1" si="122"/>
        <v>2</v>
      </c>
      <c r="D405" s="105">
        <f t="shared" ca="1" si="123"/>
        <v>0</v>
      </c>
      <c r="E405" s="105">
        <f t="shared" ca="1" si="124"/>
        <v>0</v>
      </c>
      <c r="F405" s="105">
        <f t="shared" ca="1" si="125"/>
        <v>0</v>
      </c>
      <c r="G405" s="105">
        <f t="shared" ca="1" si="135"/>
        <v>0</v>
      </c>
      <c r="H405" s="105">
        <f t="shared" ca="1" si="136"/>
        <v>0</v>
      </c>
      <c r="I405" s="105">
        <f t="shared" ca="1" si="126"/>
        <v>0</v>
      </c>
      <c r="J405" s="105">
        <f t="shared" ca="1" si="127"/>
        <v>0</v>
      </c>
      <c r="K405" s="105">
        <f t="shared" ca="1" si="128"/>
        <v>0</v>
      </c>
      <c r="L405" s="105">
        <f t="shared" ca="1" si="118"/>
        <v>0</v>
      </c>
      <c r="M405" s="105">
        <f t="shared" ca="1" si="129"/>
        <v>0</v>
      </c>
      <c r="N405" s="105">
        <f t="shared" ca="1" si="119"/>
        <v>0</v>
      </c>
      <c r="O405" s="105">
        <f t="shared" ca="1" si="130"/>
        <v>0</v>
      </c>
      <c r="P405" s="105">
        <f t="shared" ca="1" si="131"/>
        <v>0</v>
      </c>
      <c r="Q405" s="105">
        <f t="shared" ca="1" si="132"/>
        <v>0</v>
      </c>
      <c r="R405" s="105">
        <f t="shared" ca="1" si="133"/>
        <v>0</v>
      </c>
      <c r="S405" s="105">
        <f t="shared" ca="1" si="134"/>
        <v>10</v>
      </c>
    </row>
    <row r="406" spans="1:19" x14ac:dyDescent="0.35">
      <c r="A406" s="105">
        <f t="shared" ca="1" si="120"/>
        <v>570.24500000000171</v>
      </c>
      <c r="B406" s="105">
        <f t="shared" ca="1" si="121"/>
        <v>0</v>
      </c>
      <c r="C406" s="105">
        <f t="shared" ca="1" si="122"/>
        <v>2</v>
      </c>
      <c r="D406" s="105">
        <f t="shared" ca="1" si="123"/>
        <v>0</v>
      </c>
      <c r="E406" s="105">
        <f t="shared" ca="1" si="124"/>
        <v>0</v>
      </c>
      <c r="F406" s="105">
        <f t="shared" ca="1" si="125"/>
        <v>0</v>
      </c>
      <c r="G406" s="105">
        <f t="shared" ca="1" si="135"/>
        <v>0</v>
      </c>
      <c r="H406" s="105">
        <f t="shared" ca="1" si="136"/>
        <v>0</v>
      </c>
      <c r="I406" s="105">
        <f t="shared" ca="1" si="126"/>
        <v>0</v>
      </c>
      <c r="J406" s="105">
        <f t="shared" ca="1" si="127"/>
        <v>0</v>
      </c>
      <c r="K406" s="105">
        <f t="shared" ca="1" si="128"/>
        <v>0</v>
      </c>
      <c r="L406" s="105">
        <f t="shared" ca="1" si="118"/>
        <v>0</v>
      </c>
      <c r="M406" s="105">
        <f t="shared" ca="1" si="129"/>
        <v>0</v>
      </c>
      <c r="N406" s="105">
        <f t="shared" ca="1" si="119"/>
        <v>0</v>
      </c>
      <c r="O406" s="105">
        <f t="shared" ca="1" si="130"/>
        <v>0</v>
      </c>
      <c r="P406" s="105">
        <f t="shared" ca="1" si="131"/>
        <v>0</v>
      </c>
      <c r="Q406" s="105">
        <f t="shared" ca="1" si="132"/>
        <v>0</v>
      </c>
      <c r="R406" s="105">
        <f t="shared" ca="1" si="133"/>
        <v>0</v>
      </c>
      <c r="S406" s="105">
        <f t="shared" ca="1" si="134"/>
        <v>10</v>
      </c>
    </row>
    <row r="407" spans="1:19" x14ac:dyDescent="0.35">
      <c r="A407" s="105">
        <f t="shared" ca="1" si="120"/>
        <v>571.66000000000167</v>
      </c>
      <c r="B407" s="105">
        <f t="shared" ca="1" si="121"/>
        <v>0</v>
      </c>
      <c r="C407" s="105">
        <f t="shared" ca="1" si="122"/>
        <v>2</v>
      </c>
      <c r="D407" s="105">
        <f t="shared" ca="1" si="123"/>
        <v>0</v>
      </c>
      <c r="E407" s="105">
        <f t="shared" ca="1" si="124"/>
        <v>0</v>
      </c>
      <c r="F407" s="105">
        <f t="shared" ca="1" si="125"/>
        <v>0</v>
      </c>
      <c r="G407" s="105">
        <f t="shared" ca="1" si="135"/>
        <v>0</v>
      </c>
      <c r="H407" s="105">
        <f t="shared" ca="1" si="136"/>
        <v>0</v>
      </c>
      <c r="I407" s="105">
        <f t="shared" ca="1" si="126"/>
        <v>0</v>
      </c>
      <c r="J407" s="105">
        <f t="shared" ca="1" si="127"/>
        <v>0</v>
      </c>
      <c r="K407" s="105">
        <f t="shared" ca="1" si="128"/>
        <v>0</v>
      </c>
      <c r="L407" s="105">
        <f t="shared" ca="1" si="118"/>
        <v>0</v>
      </c>
      <c r="M407" s="105">
        <f t="shared" ca="1" si="129"/>
        <v>0</v>
      </c>
      <c r="N407" s="105">
        <f t="shared" ca="1" si="119"/>
        <v>0</v>
      </c>
      <c r="O407" s="105">
        <f t="shared" ca="1" si="130"/>
        <v>0</v>
      </c>
      <c r="P407" s="105">
        <f t="shared" ca="1" si="131"/>
        <v>0</v>
      </c>
      <c r="Q407" s="105">
        <f t="shared" ca="1" si="132"/>
        <v>0</v>
      </c>
      <c r="R407" s="105">
        <f t="shared" ca="1" si="133"/>
        <v>0</v>
      </c>
      <c r="S407" s="105">
        <f t="shared" ca="1" si="134"/>
        <v>10</v>
      </c>
    </row>
    <row r="408" spans="1:19" x14ac:dyDescent="0.35">
      <c r="A408" s="105">
        <f t="shared" ca="1" si="120"/>
        <v>573.07500000000164</v>
      </c>
      <c r="B408" s="105">
        <f t="shared" ca="1" si="121"/>
        <v>0</v>
      </c>
      <c r="C408" s="105">
        <f t="shared" ca="1" si="122"/>
        <v>2</v>
      </c>
      <c r="D408" s="105">
        <f t="shared" ca="1" si="123"/>
        <v>0</v>
      </c>
      <c r="E408" s="105">
        <f t="shared" ca="1" si="124"/>
        <v>0</v>
      </c>
      <c r="F408" s="105">
        <f t="shared" ca="1" si="125"/>
        <v>0</v>
      </c>
      <c r="G408" s="105">
        <f t="shared" ca="1" si="135"/>
        <v>0</v>
      </c>
      <c r="H408" s="105">
        <f t="shared" ca="1" si="136"/>
        <v>0</v>
      </c>
      <c r="I408" s="105">
        <f t="shared" ca="1" si="126"/>
        <v>0</v>
      </c>
      <c r="J408" s="105">
        <f t="shared" ca="1" si="127"/>
        <v>0</v>
      </c>
      <c r="K408" s="105">
        <f t="shared" ca="1" si="128"/>
        <v>0</v>
      </c>
      <c r="L408" s="105">
        <f t="shared" ref="L408:L471" ca="1" si="137">IF(K408+K407&gt;0,1,0)</f>
        <v>0</v>
      </c>
      <c r="M408" s="105">
        <f t="shared" ca="1" si="129"/>
        <v>0</v>
      </c>
      <c r="N408" s="105">
        <f t="shared" ref="N408:N471" ca="1" si="138">IF(M408+M407&gt;0,1,0)</f>
        <v>0</v>
      </c>
      <c r="O408" s="105">
        <f t="shared" ca="1" si="130"/>
        <v>0</v>
      </c>
      <c r="P408" s="105">
        <f t="shared" ca="1" si="131"/>
        <v>0</v>
      </c>
      <c r="Q408" s="105">
        <f t="shared" ca="1" si="132"/>
        <v>0</v>
      </c>
      <c r="R408" s="105">
        <f t="shared" ca="1" si="133"/>
        <v>0</v>
      </c>
      <c r="S408" s="105">
        <f t="shared" ca="1" si="134"/>
        <v>10</v>
      </c>
    </row>
    <row r="409" spans="1:19" x14ac:dyDescent="0.35">
      <c r="A409" s="105">
        <f t="shared" ca="1" si="120"/>
        <v>574.4900000000016</v>
      </c>
      <c r="B409" s="105">
        <f t="shared" ca="1" si="121"/>
        <v>0</v>
      </c>
      <c r="C409" s="105">
        <f t="shared" ca="1" si="122"/>
        <v>2</v>
      </c>
      <c r="D409" s="105">
        <f t="shared" ca="1" si="123"/>
        <v>0</v>
      </c>
      <c r="E409" s="105">
        <f t="shared" ca="1" si="124"/>
        <v>0</v>
      </c>
      <c r="F409" s="105">
        <f t="shared" ca="1" si="125"/>
        <v>0</v>
      </c>
      <c r="G409" s="105">
        <f t="shared" ca="1" si="135"/>
        <v>0</v>
      </c>
      <c r="H409" s="105">
        <f t="shared" ca="1" si="136"/>
        <v>0</v>
      </c>
      <c r="I409" s="105">
        <f t="shared" ca="1" si="126"/>
        <v>0</v>
      </c>
      <c r="J409" s="105">
        <f t="shared" ca="1" si="127"/>
        <v>0</v>
      </c>
      <c r="K409" s="105">
        <f t="shared" ca="1" si="128"/>
        <v>0</v>
      </c>
      <c r="L409" s="105">
        <f t="shared" ca="1" si="137"/>
        <v>0</v>
      </c>
      <c r="M409" s="105">
        <f t="shared" ca="1" si="129"/>
        <v>0</v>
      </c>
      <c r="N409" s="105">
        <f t="shared" ca="1" si="138"/>
        <v>0</v>
      </c>
      <c r="O409" s="105">
        <f t="shared" ca="1" si="130"/>
        <v>0</v>
      </c>
      <c r="P409" s="105">
        <f t="shared" ca="1" si="131"/>
        <v>0</v>
      </c>
      <c r="Q409" s="105">
        <f t="shared" ca="1" si="132"/>
        <v>0</v>
      </c>
      <c r="R409" s="105">
        <f t="shared" ca="1" si="133"/>
        <v>0</v>
      </c>
      <c r="S409" s="105">
        <f t="shared" ca="1" si="134"/>
        <v>10</v>
      </c>
    </row>
    <row r="410" spans="1:19" x14ac:dyDescent="0.35">
      <c r="A410" s="105">
        <f t="shared" ca="1" si="120"/>
        <v>575.90500000000156</v>
      </c>
      <c r="B410" s="105">
        <f t="shared" ca="1" si="121"/>
        <v>0</v>
      </c>
      <c r="C410" s="105">
        <f t="shared" ca="1" si="122"/>
        <v>2</v>
      </c>
      <c r="D410" s="105">
        <f t="shared" ca="1" si="123"/>
        <v>0</v>
      </c>
      <c r="E410" s="105">
        <f t="shared" ca="1" si="124"/>
        <v>0</v>
      </c>
      <c r="F410" s="105">
        <f t="shared" ca="1" si="125"/>
        <v>0</v>
      </c>
      <c r="G410" s="105">
        <f t="shared" ca="1" si="135"/>
        <v>0</v>
      </c>
      <c r="H410" s="105">
        <f t="shared" ca="1" si="136"/>
        <v>0</v>
      </c>
      <c r="I410" s="105">
        <f t="shared" ca="1" si="126"/>
        <v>0</v>
      </c>
      <c r="J410" s="105">
        <f t="shared" ca="1" si="127"/>
        <v>0</v>
      </c>
      <c r="K410" s="105">
        <f t="shared" ca="1" si="128"/>
        <v>0</v>
      </c>
      <c r="L410" s="105">
        <f t="shared" ca="1" si="137"/>
        <v>0</v>
      </c>
      <c r="M410" s="105">
        <f t="shared" ca="1" si="129"/>
        <v>0</v>
      </c>
      <c r="N410" s="105">
        <f t="shared" ca="1" si="138"/>
        <v>0</v>
      </c>
      <c r="O410" s="105">
        <f t="shared" ca="1" si="130"/>
        <v>0</v>
      </c>
      <c r="P410" s="105">
        <f t="shared" ca="1" si="131"/>
        <v>0</v>
      </c>
      <c r="Q410" s="105">
        <f t="shared" ca="1" si="132"/>
        <v>0</v>
      </c>
      <c r="R410" s="105">
        <f t="shared" ca="1" si="133"/>
        <v>0</v>
      </c>
      <c r="S410" s="105">
        <f t="shared" ca="1" si="134"/>
        <v>10</v>
      </c>
    </row>
    <row r="411" spans="1:19" x14ac:dyDescent="0.35">
      <c r="A411" s="105">
        <f t="shared" ca="1" si="120"/>
        <v>577.32000000000153</v>
      </c>
      <c r="B411" s="105">
        <f t="shared" ca="1" si="121"/>
        <v>0</v>
      </c>
      <c r="C411" s="105">
        <f t="shared" ca="1" si="122"/>
        <v>2</v>
      </c>
      <c r="D411" s="105">
        <f t="shared" ca="1" si="123"/>
        <v>0</v>
      </c>
      <c r="E411" s="105">
        <f t="shared" ca="1" si="124"/>
        <v>0</v>
      </c>
      <c r="F411" s="105">
        <f t="shared" ca="1" si="125"/>
        <v>0</v>
      </c>
      <c r="G411" s="105">
        <f t="shared" ca="1" si="135"/>
        <v>0</v>
      </c>
      <c r="H411" s="105">
        <f t="shared" ca="1" si="136"/>
        <v>0</v>
      </c>
      <c r="I411" s="105">
        <f t="shared" ca="1" si="126"/>
        <v>0</v>
      </c>
      <c r="J411" s="105">
        <f t="shared" ca="1" si="127"/>
        <v>0</v>
      </c>
      <c r="K411" s="105">
        <f t="shared" ca="1" si="128"/>
        <v>0</v>
      </c>
      <c r="L411" s="105">
        <f t="shared" ca="1" si="137"/>
        <v>0</v>
      </c>
      <c r="M411" s="105">
        <f t="shared" ca="1" si="129"/>
        <v>0</v>
      </c>
      <c r="N411" s="105">
        <f t="shared" ca="1" si="138"/>
        <v>0</v>
      </c>
      <c r="O411" s="105">
        <f t="shared" ca="1" si="130"/>
        <v>0</v>
      </c>
      <c r="P411" s="105">
        <f t="shared" ca="1" si="131"/>
        <v>0</v>
      </c>
      <c r="Q411" s="105">
        <f t="shared" ca="1" si="132"/>
        <v>0</v>
      </c>
      <c r="R411" s="105">
        <f t="shared" ca="1" si="133"/>
        <v>0</v>
      </c>
      <c r="S411" s="105">
        <f t="shared" ca="1" si="134"/>
        <v>10</v>
      </c>
    </row>
    <row r="412" spans="1:19" x14ac:dyDescent="0.35">
      <c r="A412" s="105">
        <f t="shared" ca="1" si="120"/>
        <v>578.73500000000149</v>
      </c>
      <c r="B412" s="105">
        <f t="shared" ca="1" si="121"/>
        <v>0</v>
      </c>
      <c r="C412" s="105">
        <f t="shared" ca="1" si="122"/>
        <v>2</v>
      </c>
      <c r="D412" s="105">
        <f t="shared" ca="1" si="123"/>
        <v>0</v>
      </c>
      <c r="E412" s="105">
        <f t="shared" ca="1" si="124"/>
        <v>0</v>
      </c>
      <c r="F412" s="105">
        <f t="shared" ca="1" si="125"/>
        <v>0</v>
      </c>
      <c r="G412" s="105">
        <f t="shared" ca="1" si="135"/>
        <v>0</v>
      </c>
      <c r="H412" s="105">
        <f t="shared" ca="1" si="136"/>
        <v>0</v>
      </c>
      <c r="I412" s="105">
        <f t="shared" ca="1" si="126"/>
        <v>0</v>
      </c>
      <c r="J412" s="105">
        <f t="shared" ca="1" si="127"/>
        <v>0</v>
      </c>
      <c r="K412" s="105">
        <f t="shared" ca="1" si="128"/>
        <v>0</v>
      </c>
      <c r="L412" s="105">
        <f t="shared" ca="1" si="137"/>
        <v>0</v>
      </c>
      <c r="M412" s="105">
        <f t="shared" ca="1" si="129"/>
        <v>0</v>
      </c>
      <c r="N412" s="105">
        <f t="shared" ca="1" si="138"/>
        <v>0</v>
      </c>
      <c r="O412" s="105">
        <f t="shared" ca="1" si="130"/>
        <v>0</v>
      </c>
      <c r="P412" s="105">
        <f t="shared" ca="1" si="131"/>
        <v>0</v>
      </c>
      <c r="Q412" s="105">
        <f t="shared" ca="1" si="132"/>
        <v>0</v>
      </c>
      <c r="R412" s="105">
        <f t="shared" ca="1" si="133"/>
        <v>0</v>
      </c>
      <c r="S412" s="105">
        <f t="shared" ca="1" si="134"/>
        <v>10</v>
      </c>
    </row>
    <row r="413" spans="1:19" x14ac:dyDescent="0.35">
      <c r="A413" s="105">
        <f t="shared" ca="1" si="120"/>
        <v>580.15000000000146</v>
      </c>
      <c r="B413" s="105">
        <f t="shared" ca="1" si="121"/>
        <v>0</v>
      </c>
      <c r="C413" s="105">
        <f t="shared" ca="1" si="122"/>
        <v>2</v>
      </c>
      <c r="D413" s="105">
        <f t="shared" ca="1" si="123"/>
        <v>0</v>
      </c>
      <c r="E413" s="105">
        <f t="shared" ca="1" si="124"/>
        <v>0</v>
      </c>
      <c r="F413" s="105">
        <f t="shared" ca="1" si="125"/>
        <v>0</v>
      </c>
      <c r="G413" s="105">
        <f t="shared" ca="1" si="135"/>
        <v>0</v>
      </c>
      <c r="H413" s="105">
        <f t="shared" ca="1" si="136"/>
        <v>0</v>
      </c>
      <c r="I413" s="105">
        <f t="shared" ca="1" si="126"/>
        <v>0</v>
      </c>
      <c r="J413" s="105">
        <f t="shared" ca="1" si="127"/>
        <v>0</v>
      </c>
      <c r="K413" s="105">
        <f t="shared" ca="1" si="128"/>
        <v>0</v>
      </c>
      <c r="L413" s="105">
        <f t="shared" ca="1" si="137"/>
        <v>0</v>
      </c>
      <c r="M413" s="105">
        <f t="shared" ca="1" si="129"/>
        <v>0</v>
      </c>
      <c r="N413" s="105">
        <f t="shared" ca="1" si="138"/>
        <v>0</v>
      </c>
      <c r="O413" s="105">
        <f t="shared" ca="1" si="130"/>
        <v>0</v>
      </c>
      <c r="P413" s="105">
        <f t="shared" ca="1" si="131"/>
        <v>0</v>
      </c>
      <c r="Q413" s="105">
        <f t="shared" ca="1" si="132"/>
        <v>0</v>
      </c>
      <c r="R413" s="105">
        <f t="shared" ca="1" si="133"/>
        <v>0</v>
      </c>
      <c r="S413" s="105">
        <f t="shared" ca="1" si="134"/>
        <v>10</v>
      </c>
    </row>
    <row r="414" spans="1:19" x14ac:dyDescent="0.35">
      <c r="A414" s="105">
        <f t="shared" ca="1" si="120"/>
        <v>581.56500000000142</v>
      </c>
      <c r="B414" s="105">
        <f t="shared" ca="1" si="121"/>
        <v>0</v>
      </c>
      <c r="C414" s="105">
        <f t="shared" ca="1" si="122"/>
        <v>2</v>
      </c>
      <c r="D414" s="105">
        <f t="shared" ca="1" si="123"/>
        <v>0</v>
      </c>
      <c r="E414" s="105">
        <f t="shared" ca="1" si="124"/>
        <v>0</v>
      </c>
      <c r="F414" s="105">
        <f t="shared" ca="1" si="125"/>
        <v>0</v>
      </c>
      <c r="G414" s="105">
        <f t="shared" ca="1" si="135"/>
        <v>0</v>
      </c>
      <c r="H414" s="105">
        <f t="shared" ca="1" si="136"/>
        <v>0</v>
      </c>
      <c r="I414" s="105">
        <f t="shared" ca="1" si="126"/>
        <v>0</v>
      </c>
      <c r="J414" s="105">
        <f t="shared" ca="1" si="127"/>
        <v>0</v>
      </c>
      <c r="K414" s="105">
        <f t="shared" ca="1" si="128"/>
        <v>0</v>
      </c>
      <c r="L414" s="105">
        <f t="shared" ca="1" si="137"/>
        <v>0</v>
      </c>
      <c r="M414" s="105">
        <f t="shared" ca="1" si="129"/>
        <v>0</v>
      </c>
      <c r="N414" s="105">
        <f t="shared" ca="1" si="138"/>
        <v>0</v>
      </c>
      <c r="O414" s="105">
        <f t="shared" ca="1" si="130"/>
        <v>0</v>
      </c>
      <c r="P414" s="105">
        <f t="shared" ca="1" si="131"/>
        <v>0</v>
      </c>
      <c r="Q414" s="105">
        <f t="shared" ca="1" si="132"/>
        <v>0</v>
      </c>
      <c r="R414" s="105">
        <f t="shared" ca="1" si="133"/>
        <v>0</v>
      </c>
      <c r="S414" s="105">
        <f t="shared" ca="1" si="134"/>
        <v>10</v>
      </c>
    </row>
    <row r="415" spans="1:19" x14ac:dyDescent="0.35">
      <c r="A415" s="105">
        <f t="shared" ca="1" si="120"/>
        <v>582.98000000000138</v>
      </c>
      <c r="B415" s="105">
        <f t="shared" ca="1" si="121"/>
        <v>0</v>
      </c>
      <c r="C415" s="105">
        <f t="shared" ca="1" si="122"/>
        <v>2</v>
      </c>
      <c r="D415" s="105">
        <f t="shared" ca="1" si="123"/>
        <v>0</v>
      </c>
      <c r="E415" s="105">
        <f t="shared" ca="1" si="124"/>
        <v>0</v>
      </c>
      <c r="F415" s="105">
        <f t="shared" ca="1" si="125"/>
        <v>0</v>
      </c>
      <c r="G415" s="105">
        <f t="shared" ca="1" si="135"/>
        <v>0</v>
      </c>
      <c r="H415" s="105">
        <f t="shared" ca="1" si="136"/>
        <v>0</v>
      </c>
      <c r="I415" s="105">
        <f t="shared" ca="1" si="126"/>
        <v>0</v>
      </c>
      <c r="J415" s="105">
        <f t="shared" ca="1" si="127"/>
        <v>0</v>
      </c>
      <c r="K415" s="105">
        <f t="shared" ca="1" si="128"/>
        <v>0</v>
      </c>
      <c r="L415" s="105">
        <f t="shared" ca="1" si="137"/>
        <v>0</v>
      </c>
      <c r="M415" s="105">
        <f t="shared" ca="1" si="129"/>
        <v>0</v>
      </c>
      <c r="N415" s="105">
        <f t="shared" ca="1" si="138"/>
        <v>0</v>
      </c>
      <c r="O415" s="105">
        <f t="shared" ca="1" si="130"/>
        <v>0</v>
      </c>
      <c r="P415" s="105">
        <f t="shared" ca="1" si="131"/>
        <v>0</v>
      </c>
      <c r="Q415" s="105">
        <f t="shared" ca="1" si="132"/>
        <v>0</v>
      </c>
      <c r="R415" s="105">
        <f t="shared" ca="1" si="133"/>
        <v>0</v>
      </c>
      <c r="S415" s="105">
        <f t="shared" ca="1" si="134"/>
        <v>10</v>
      </c>
    </row>
    <row r="416" spans="1:19" x14ac:dyDescent="0.35">
      <c r="A416" s="105">
        <f t="shared" ca="1" si="120"/>
        <v>584.39500000000135</v>
      </c>
      <c r="B416" s="105">
        <f t="shared" ca="1" si="121"/>
        <v>0</v>
      </c>
      <c r="C416" s="105">
        <f t="shared" ca="1" si="122"/>
        <v>2</v>
      </c>
      <c r="D416" s="105">
        <f t="shared" ca="1" si="123"/>
        <v>0</v>
      </c>
      <c r="E416" s="105">
        <f t="shared" ca="1" si="124"/>
        <v>0</v>
      </c>
      <c r="F416" s="105">
        <f t="shared" ca="1" si="125"/>
        <v>0</v>
      </c>
      <c r="G416" s="105">
        <f t="shared" ca="1" si="135"/>
        <v>0</v>
      </c>
      <c r="H416" s="105">
        <f t="shared" ca="1" si="136"/>
        <v>0</v>
      </c>
      <c r="I416" s="105">
        <f t="shared" ca="1" si="126"/>
        <v>0</v>
      </c>
      <c r="J416" s="105">
        <f t="shared" ca="1" si="127"/>
        <v>0</v>
      </c>
      <c r="K416" s="105">
        <f t="shared" ca="1" si="128"/>
        <v>0</v>
      </c>
      <c r="L416" s="105">
        <f t="shared" ca="1" si="137"/>
        <v>0</v>
      </c>
      <c r="M416" s="105">
        <f t="shared" ca="1" si="129"/>
        <v>0</v>
      </c>
      <c r="N416" s="105">
        <f t="shared" ca="1" si="138"/>
        <v>0</v>
      </c>
      <c r="O416" s="105">
        <f t="shared" ca="1" si="130"/>
        <v>0</v>
      </c>
      <c r="P416" s="105">
        <f t="shared" ca="1" si="131"/>
        <v>0</v>
      </c>
      <c r="Q416" s="105">
        <f t="shared" ca="1" si="132"/>
        <v>0</v>
      </c>
      <c r="R416" s="105">
        <f t="shared" ca="1" si="133"/>
        <v>0</v>
      </c>
      <c r="S416" s="105">
        <f t="shared" ca="1" si="134"/>
        <v>10</v>
      </c>
    </row>
    <row r="417" spans="1:19" x14ac:dyDescent="0.35">
      <c r="A417" s="105">
        <f t="shared" ca="1" si="120"/>
        <v>585.81000000000131</v>
      </c>
      <c r="B417" s="105">
        <f t="shared" ca="1" si="121"/>
        <v>0</v>
      </c>
      <c r="C417" s="105">
        <f t="shared" ca="1" si="122"/>
        <v>2</v>
      </c>
      <c r="D417" s="105">
        <f t="shared" ca="1" si="123"/>
        <v>0</v>
      </c>
      <c r="E417" s="105">
        <f t="shared" ca="1" si="124"/>
        <v>0</v>
      </c>
      <c r="F417" s="105">
        <f t="shared" ca="1" si="125"/>
        <v>0</v>
      </c>
      <c r="G417" s="105">
        <f t="shared" ca="1" si="135"/>
        <v>0</v>
      </c>
      <c r="H417" s="105">
        <f t="shared" ca="1" si="136"/>
        <v>0</v>
      </c>
      <c r="I417" s="105">
        <f t="shared" ca="1" si="126"/>
        <v>0</v>
      </c>
      <c r="J417" s="105">
        <f t="shared" ca="1" si="127"/>
        <v>0</v>
      </c>
      <c r="K417" s="105">
        <f t="shared" ca="1" si="128"/>
        <v>0</v>
      </c>
      <c r="L417" s="105">
        <f t="shared" ca="1" si="137"/>
        <v>0</v>
      </c>
      <c r="M417" s="105">
        <f t="shared" ca="1" si="129"/>
        <v>0</v>
      </c>
      <c r="N417" s="105">
        <f t="shared" ca="1" si="138"/>
        <v>0</v>
      </c>
      <c r="O417" s="105">
        <f t="shared" ca="1" si="130"/>
        <v>0</v>
      </c>
      <c r="P417" s="105">
        <f t="shared" ca="1" si="131"/>
        <v>0</v>
      </c>
      <c r="Q417" s="105">
        <f t="shared" ca="1" si="132"/>
        <v>0</v>
      </c>
      <c r="R417" s="105">
        <f t="shared" ca="1" si="133"/>
        <v>0</v>
      </c>
      <c r="S417" s="105">
        <f t="shared" ca="1" si="134"/>
        <v>10</v>
      </c>
    </row>
    <row r="418" spans="1:19" x14ac:dyDescent="0.35">
      <c r="A418" s="105">
        <f t="shared" ca="1" si="120"/>
        <v>587.22500000000127</v>
      </c>
      <c r="B418" s="105">
        <f t="shared" ca="1" si="121"/>
        <v>0</v>
      </c>
      <c r="C418" s="105">
        <f t="shared" ca="1" si="122"/>
        <v>2</v>
      </c>
      <c r="D418" s="105">
        <f t="shared" ca="1" si="123"/>
        <v>0</v>
      </c>
      <c r="E418" s="105">
        <f t="shared" ca="1" si="124"/>
        <v>0</v>
      </c>
      <c r="F418" s="105">
        <f t="shared" ca="1" si="125"/>
        <v>0</v>
      </c>
      <c r="G418" s="105">
        <f t="shared" ca="1" si="135"/>
        <v>0</v>
      </c>
      <c r="H418" s="105">
        <f t="shared" ca="1" si="136"/>
        <v>0</v>
      </c>
      <c r="I418" s="105">
        <f t="shared" ca="1" si="126"/>
        <v>0</v>
      </c>
      <c r="J418" s="105">
        <f t="shared" ca="1" si="127"/>
        <v>0</v>
      </c>
      <c r="K418" s="105">
        <f t="shared" ca="1" si="128"/>
        <v>0</v>
      </c>
      <c r="L418" s="105">
        <f t="shared" ca="1" si="137"/>
        <v>0</v>
      </c>
      <c r="M418" s="105">
        <f t="shared" ca="1" si="129"/>
        <v>0</v>
      </c>
      <c r="N418" s="105">
        <f t="shared" ca="1" si="138"/>
        <v>0</v>
      </c>
      <c r="O418" s="105">
        <f t="shared" ca="1" si="130"/>
        <v>0</v>
      </c>
      <c r="P418" s="105">
        <f t="shared" ca="1" si="131"/>
        <v>0</v>
      </c>
      <c r="Q418" s="105">
        <f t="shared" ca="1" si="132"/>
        <v>0</v>
      </c>
      <c r="R418" s="105">
        <f t="shared" ca="1" si="133"/>
        <v>0</v>
      </c>
      <c r="S418" s="105">
        <f t="shared" ca="1" si="134"/>
        <v>10</v>
      </c>
    </row>
    <row r="419" spans="1:19" x14ac:dyDescent="0.35">
      <c r="A419" s="105">
        <f t="shared" ca="1" si="120"/>
        <v>588.64000000000124</v>
      </c>
      <c r="B419" s="105">
        <f t="shared" ca="1" si="121"/>
        <v>0</v>
      </c>
      <c r="C419" s="105">
        <f t="shared" ca="1" si="122"/>
        <v>2</v>
      </c>
      <c r="D419" s="105">
        <f t="shared" ca="1" si="123"/>
        <v>0</v>
      </c>
      <c r="E419" s="105">
        <f t="shared" ca="1" si="124"/>
        <v>0</v>
      </c>
      <c r="F419" s="105">
        <f t="shared" ca="1" si="125"/>
        <v>0</v>
      </c>
      <c r="G419" s="105">
        <f t="shared" ca="1" si="135"/>
        <v>0</v>
      </c>
      <c r="H419" s="105">
        <f t="shared" ca="1" si="136"/>
        <v>0</v>
      </c>
      <c r="I419" s="105">
        <f t="shared" ca="1" si="126"/>
        <v>0</v>
      </c>
      <c r="J419" s="105">
        <f t="shared" ca="1" si="127"/>
        <v>0</v>
      </c>
      <c r="K419" s="105">
        <f t="shared" ca="1" si="128"/>
        <v>0</v>
      </c>
      <c r="L419" s="105">
        <f t="shared" ca="1" si="137"/>
        <v>0</v>
      </c>
      <c r="M419" s="105">
        <f t="shared" ca="1" si="129"/>
        <v>0</v>
      </c>
      <c r="N419" s="105">
        <f t="shared" ca="1" si="138"/>
        <v>0</v>
      </c>
      <c r="O419" s="105">
        <f t="shared" ca="1" si="130"/>
        <v>0</v>
      </c>
      <c r="P419" s="105">
        <f t="shared" ca="1" si="131"/>
        <v>0</v>
      </c>
      <c r="Q419" s="105">
        <f t="shared" ca="1" si="132"/>
        <v>0</v>
      </c>
      <c r="R419" s="105">
        <f t="shared" ca="1" si="133"/>
        <v>0</v>
      </c>
      <c r="S419" s="105">
        <f t="shared" ca="1" si="134"/>
        <v>10</v>
      </c>
    </row>
    <row r="420" spans="1:19" x14ac:dyDescent="0.35">
      <c r="A420" s="105">
        <f t="shared" ca="1" si="120"/>
        <v>590.0550000000012</v>
      </c>
      <c r="B420" s="105">
        <f t="shared" ca="1" si="121"/>
        <v>0</v>
      </c>
      <c r="C420" s="105">
        <f t="shared" ca="1" si="122"/>
        <v>2</v>
      </c>
      <c r="D420" s="105">
        <f t="shared" ca="1" si="123"/>
        <v>0</v>
      </c>
      <c r="E420" s="105">
        <f t="shared" ca="1" si="124"/>
        <v>0</v>
      </c>
      <c r="F420" s="105">
        <f t="shared" ca="1" si="125"/>
        <v>0</v>
      </c>
      <c r="G420" s="105">
        <f t="shared" ca="1" si="135"/>
        <v>0</v>
      </c>
      <c r="H420" s="105">
        <f t="shared" ca="1" si="136"/>
        <v>0</v>
      </c>
      <c r="I420" s="105">
        <f t="shared" ca="1" si="126"/>
        <v>0</v>
      </c>
      <c r="J420" s="105">
        <f t="shared" ca="1" si="127"/>
        <v>0</v>
      </c>
      <c r="K420" s="105">
        <f t="shared" ca="1" si="128"/>
        <v>0</v>
      </c>
      <c r="L420" s="105">
        <f t="shared" ca="1" si="137"/>
        <v>0</v>
      </c>
      <c r="M420" s="105">
        <f t="shared" ca="1" si="129"/>
        <v>0</v>
      </c>
      <c r="N420" s="105">
        <f t="shared" ca="1" si="138"/>
        <v>0</v>
      </c>
      <c r="O420" s="105">
        <f t="shared" ca="1" si="130"/>
        <v>0</v>
      </c>
      <c r="P420" s="105">
        <f t="shared" ca="1" si="131"/>
        <v>0</v>
      </c>
      <c r="Q420" s="105">
        <f t="shared" ca="1" si="132"/>
        <v>0</v>
      </c>
      <c r="R420" s="105">
        <f t="shared" ca="1" si="133"/>
        <v>0</v>
      </c>
      <c r="S420" s="105">
        <f t="shared" ca="1" si="134"/>
        <v>10</v>
      </c>
    </row>
    <row r="421" spans="1:19" x14ac:dyDescent="0.35">
      <c r="A421" s="105">
        <f t="shared" ca="1" si="120"/>
        <v>591.47000000000116</v>
      </c>
      <c r="B421" s="105">
        <f t="shared" ca="1" si="121"/>
        <v>0</v>
      </c>
      <c r="C421" s="105">
        <f t="shared" ca="1" si="122"/>
        <v>2</v>
      </c>
      <c r="D421" s="105">
        <f t="shared" ca="1" si="123"/>
        <v>0</v>
      </c>
      <c r="E421" s="105">
        <f t="shared" ca="1" si="124"/>
        <v>0</v>
      </c>
      <c r="F421" s="105">
        <f t="shared" ca="1" si="125"/>
        <v>0</v>
      </c>
      <c r="G421" s="105">
        <f t="shared" ca="1" si="135"/>
        <v>0</v>
      </c>
      <c r="H421" s="105">
        <f t="shared" ca="1" si="136"/>
        <v>0</v>
      </c>
      <c r="I421" s="105">
        <f t="shared" ca="1" si="126"/>
        <v>0</v>
      </c>
      <c r="J421" s="105">
        <f t="shared" ca="1" si="127"/>
        <v>0</v>
      </c>
      <c r="K421" s="105">
        <f t="shared" ca="1" si="128"/>
        <v>0</v>
      </c>
      <c r="L421" s="105">
        <f t="shared" ca="1" si="137"/>
        <v>0</v>
      </c>
      <c r="M421" s="105">
        <f t="shared" ca="1" si="129"/>
        <v>0</v>
      </c>
      <c r="N421" s="105">
        <f t="shared" ca="1" si="138"/>
        <v>0</v>
      </c>
      <c r="O421" s="105">
        <f t="shared" ca="1" si="130"/>
        <v>0</v>
      </c>
      <c r="P421" s="105">
        <f t="shared" ca="1" si="131"/>
        <v>0</v>
      </c>
      <c r="Q421" s="105">
        <f t="shared" ca="1" si="132"/>
        <v>0</v>
      </c>
      <c r="R421" s="105">
        <f t="shared" ca="1" si="133"/>
        <v>0</v>
      </c>
      <c r="S421" s="105">
        <f t="shared" ca="1" si="134"/>
        <v>10</v>
      </c>
    </row>
    <row r="422" spans="1:19" x14ac:dyDescent="0.35">
      <c r="A422" s="105">
        <f t="shared" ca="1" si="120"/>
        <v>592.88500000000113</v>
      </c>
      <c r="B422" s="105">
        <f t="shared" ca="1" si="121"/>
        <v>0</v>
      </c>
      <c r="C422" s="105">
        <f t="shared" ca="1" si="122"/>
        <v>2</v>
      </c>
      <c r="D422" s="105">
        <f t="shared" ca="1" si="123"/>
        <v>0</v>
      </c>
      <c r="E422" s="105">
        <f t="shared" ca="1" si="124"/>
        <v>0</v>
      </c>
      <c r="F422" s="105">
        <f t="shared" ca="1" si="125"/>
        <v>0</v>
      </c>
      <c r="G422" s="105">
        <f t="shared" ca="1" si="135"/>
        <v>0</v>
      </c>
      <c r="H422" s="105">
        <f t="shared" ca="1" si="136"/>
        <v>0</v>
      </c>
      <c r="I422" s="105">
        <f t="shared" ca="1" si="126"/>
        <v>0</v>
      </c>
      <c r="J422" s="105">
        <f t="shared" ca="1" si="127"/>
        <v>0</v>
      </c>
      <c r="K422" s="105">
        <f t="shared" ca="1" si="128"/>
        <v>0</v>
      </c>
      <c r="L422" s="105">
        <f t="shared" ca="1" si="137"/>
        <v>0</v>
      </c>
      <c r="M422" s="105">
        <f t="shared" ca="1" si="129"/>
        <v>0</v>
      </c>
      <c r="N422" s="105">
        <f t="shared" ca="1" si="138"/>
        <v>0</v>
      </c>
      <c r="O422" s="105">
        <f t="shared" ca="1" si="130"/>
        <v>0</v>
      </c>
      <c r="P422" s="105">
        <f t="shared" ca="1" si="131"/>
        <v>0</v>
      </c>
      <c r="Q422" s="105">
        <f t="shared" ca="1" si="132"/>
        <v>0</v>
      </c>
      <c r="R422" s="105">
        <f t="shared" ca="1" si="133"/>
        <v>0</v>
      </c>
      <c r="S422" s="105">
        <f t="shared" ca="1" si="134"/>
        <v>10</v>
      </c>
    </row>
    <row r="423" spans="1:19" x14ac:dyDescent="0.35">
      <c r="A423" s="105">
        <f t="shared" ca="1" si="120"/>
        <v>594.30000000000109</v>
      </c>
      <c r="B423" s="105">
        <f t="shared" ca="1" si="121"/>
        <v>0</v>
      </c>
      <c r="C423" s="105">
        <f t="shared" ca="1" si="122"/>
        <v>2</v>
      </c>
      <c r="D423" s="105">
        <f t="shared" ca="1" si="123"/>
        <v>0</v>
      </c>
      <c r="E423" s="105">
        <f t="shared" ca="1" si="124"/>
        <v>0</v>
      </c>
      <c r="F423" s="105">
        <f t="shared" ca="1" si="125"/>
        <v>0</v>
      </c>
      <c r="G423" s="105">
        <f t="shared" ca="1" si="135"/>
        <v>0</v>
      </c>
      <c r="H423" s="105">
        <f t="shared" ca="1" si="136"/>
        <v>0</v>
      </c>
      <c r="I423" s="105">
        <f t="shared" ca="1" si="126"/>
        <v>0</v>
      </c>
      <c r="J423" s="105">
        <f t="shared" ca="1" si="127"/>
        <v>0</v>
      </c>
      <c r="K423" s="105">
        <f t="shared" ca="1" si="128"/>
        <v>0</v>
      </c>
      <c r="L423" s="105">
        <f t="shared" ca="1" si="137"/>
        <v>0</v>
      </c>
      <c r="M423" s="105">
        <f t="shared" ca="1" si="129"/>
        <v>0</v>
      </c>
      <c r="N423" s="105">
        <f t="shared" ca="1" si="138"/>
        <v>0</v>
      </c>
      <c r="O423" s="105">
        <f t="shared" ca="1" si="130"/>
        <v>0</v>
      </c>
      <c r="P423" s="105">
        <f t="shared" ca="1" si="131"/>
        <v>0</v>
      </c>
      <c r="Q423" s="105">
        <f t="shared" ca="1" si="132"/>
        <v>0</v>
      </c>
      <c r="R423" s="105">
        <f t="shared" ca="1" si="133"/>
        <v>0</v>
      </c>
      <c r="S423" s="105">
        <f t="shared" ca="1" si="134"/>
        <v>10</v>
      </c>
    </row>
    <row r="424" spans="1:19" x14ac:dyDescent="0.35">
      <c r="A424" s="105">
        <f t="shared" ca="1" si="120"/>
        <v>595.71500000000106</v>
      </c>
      <c r="B424" s="105">
        <f t="shared" ca="1" si="121"/>
        <v>0</v>
      </c>
      <c r="C424" s="105">
        <f t="shared" ca="1" si="122"/>
        <v>2</v>
      </c>
      <c r="D424" s="105">
        <f t="shared" ca="1" si="123"/>
        <v>0</v>
      </c>
      <c r="E424" s="105">
        <f t="shared" ca="1" si="124"/>
        <v>0</v>
      </c>
      <c r="F424" s="105">
        <f t="shared" ca="1" si="125"/>
        <v>0</v>
      </c>
      <c r="G424" s="105">
        <f t="shared" ca="1" si="135"/>
        <v>0</v>
      </c>
      <c r="H424" s="105">
        <f t="shared" ca="1" si="136"/>
        <v>0</v>
      </c>
      <c r="I424" s="105">
        <f t="shared" ca="1" si="126"/>
        <v>0</v>
      </c>
      <c r="J424" s="105">
        <f t="shared" ca="1" si="127"/>
        <v>0</v>
      </c>
      <c r="K424" s="105">
        <f t="shared" ca="1" si="128"/>
        <v>0</v>
      </c>
      <c r="L424" s="105">
        <f t="shared" ca="1" si="137"/>
        <v>0</v>
      </c>
      <c r="M424" s="105">
        <f t="shared" ca="1" si="129"/>
        <v>0</v>
      </c>
      <c r="N424" s="105">
        <f t="shared" ca="1" si="138"/>
        <v>0</v>
      </c>
      <c r="O424" s="105">
        <f t="shared" ca="1" si="130"/>
        <v>0</v>
      </c>
      <c r="P424" s="105">
        <f t="shared" ca="1" si="131"/>
        <v>0</v>
      </c>
      <c r="Q424" s="105">
        <f t="shared" ca="1" si="132"/>
        <v>0</v>
      </c>
      <c r="R424" s="105">
        <f t="shared" ca="1" si="133"/>
        <v>0</v>
      </c>
      <c r="S424" s="105">
        <f t="shared" ca="1" si="134"/>
        <v>10</v>
      </c>
    </row>
    <row r="425" spans="1:19" x14ac:dyDescent="0.35">
      <c r="A425" s="105">
        <f t="shared" ca="1" si="120"/>
        <v>597.13000000000102</v>
      </c>
      <c r="B425" s="105">
        <f t="shared" ca="1" si="121"/>
        <v>0</v>
      </c>
      <c r="C425" s="105">
        <f t="shared" ca="1" si="122"/>
        <v>2</v>
      </c>
      <c r="D425" s="105">
        <f t="shared" ca="1" si="123"/>
        <v>0</v>
      </c>
      <c r="E425" s="105">
        <f t="shared" ca="1" si="124"/>
        <v>0</v>
      </c>
      <c r="F425" s="105">
        <f t="shared" ca="1" si="125"/>
        <v>0</v>
      </c>
      <c r="G425" s="105">
        <f t="shared" ca="1" si="135"/>
        <v>0</v>
      </c>
      <c r="H425" s="105">
        <f t="shared" ca="1" si="136"/>
        <v>0</v>
      </c>
      <c r="I425" s="105">
        <f t="shared" ca="1" si="126"/>
        <v>0</v>
      </c>
      <c r="J425" s="105">
        <f t="shared" ca="1" si="127"/>
        <v>0</v>
      </c>
      <c r="K425" s="105">
        <f t="shared" ca="1" si="128"/>
        <v>0</v>
      </c>
      <c r="L425" s="105">
        <f t="shared" ca="1" si="137"/>
        <v>0</v>
      </c>
      <c r="M425" s="105">
        <f t="shared" ca="1" si="129"/>
        <v>0</v>
      </c>
      <c r="N425" s="105">
        <f t="shared" ca="1" si="138"/>
        <v>0</v>
      </c>
      <c r="O425" s="105">
        <f t="shared" ca="1" si="130"/>
        <v>0</v>
      </c>
      <c r="P425" s="105">
        <f t="shared" ca="1" si="131"/>
        <v>0</v>
      </c>
      <c r="Q425" s="105">
        <f t="shared" ca="1" si="132"/>
        <v>0</v>
      </c>
      <c r="R425" s="105">
        <f t="shared" ca="1" si="133"/>
        <v>0</v>
      </c>
      <c r="S425" s="105">
        <f t="shared" ca="1" si="134"/>
        <v>10</v>
      </c>
    </row>
    <row r="426" spans="1:19" x14ac:dyDescent="0.35">
      <c r="A426" s="105">
        <f t="shared" ca="1" si="120"/>
        <v>598.54500000000098</v>
      </c>
      <c r="B426" s="105">
        <f t="shared" ca="1" si="121"/>
        <v>0</v>
      </c>
      <c r="C426" s="105">
        <f t="shared" ca="1" si="122"/>
        <v>2</v>
      </c>
      <c r="D426" s="105">
        <f t="shared" ca="1" si="123"/>
        <v>0</v>
      </c>
      <c r="E426" s="105">
        <f t="shared" ca="1" si="124"/>
        <v>0</v>
      </c>
      <c r="F426" s="105">
        <f t="shared" ca="1" si="125"/>
        <v>0</v>
      </c>
      <c r="G426" s="105">
        <f t="shared" ca="1" si="135"/>
        <v>0</v>
      </c>
      <c r="H426" s="105">
        <f t="shared" ca="1" si="136"/>
        <v>0</v>
      </c>
      <c r="I426" s="105">
        <f t="shared" ca="1" si="126"/>
        <v>0</v>
      </c>
      <c r="J426" s="105">
        <f t="shared" ca="1" si="127"/>
        <v>0</v>
      </c>
      <c r="K426" s="105">
        <f t="shared" ca="1" si="128"/>
        <v>0</v>
      </c>
      <c r="L426" s="105">
        <f t="shared" ca="1" si="137"/>
        <v>0</v>
      </c>
      <c r="M426" s="105">
        <f t="shared" ca="1" si="129"/>
        <v>0</v>
      </c>
      <c r="N426" s="105">
        <f t="shared" ca="1" si="138"/>
        <v>0</v>
      </c>
      <c r="O426" s="105">
        <f t="shared" ca="1" si="130"/>
        <v>0</v>
      </c>
      <c r="P426" s="105">
        <f t="shared" ca="1" si="131"/>
        <v>0</v>
      </c>
      <c r="Q426" s="105">
        <f t="shared" ca="1" si="132"/>
        <v>0</v>
      </c>
      <c r="R426" s="105">
        <f t="shared" ca="1" si="133"/>
        <v>0</v>
      </c>
      <c r="S426" s="105">
        <f t="shared" ca="1" si="134"/>
        <v>10</v>
      </c>
    </row>
    <row r="427" spans="1:19" x14ac:dyDescent="0.35">
      <c r="A427" s="105">
        <f t="shared" ca="1" si="120"/>
        <v>599.96000000000095</v>
      </c>
      <c r="B427" s="105">
        <f t="shared" ca="1" si="121"/>
        <v>0</v>
      </c>
      <c r="C427" s="105">
        <f t="shared" ca="1" si="122"/>
        <v>2</v>
      </c>
      <c r="D427" s="105">
        <f t="shared" ca="1" si="123"/>
        <v>0</v>
      </c>
      <c r="E427" s="105">
        <f t="shared" ca="1" si="124"/>
        <v>0</v>
      </c>
      <c r="F427" s="105">
        <f t="shared" ca="1" si="125"/>
        <v>0</v>
      </c>
      <c r="G427" s="105">
        <f t="shared" ca="1" si="135"/>
        <v>0</v>
      </c>
      <c r="H427" s="105">
        <f t="shared" ca="1" si="136"/>
        <v>0</v>
      </c>
      <c r="I427" s="105">
        <f t="shared" ca="1" si="126"/>
        <v>0</v>
      </c>
      <c r="J427" s="105">
        <f t="shared" ca="1" si="127"/>
        <v>0</v>
      </c>
      <c r="K427" s="105">
        <f t="shared" ca="1" si="128"/>
        <v>0</v>
      </c>
      <c r="L427" s="105">
        <f t="shared" ca="1" si="137"/>
        <v>0</v>
      </c>
      <c r="M427" s="105">
        <f t="shared" ca="1" si="129"/>
        <v>0</v>
      </c>
      <c r="N427" s="105">
        <f t="shared" ca="1" si="138"/>
        <v>0</v>
      </c>
      <c r="O427" s="105">
        <f t="shared" ca="1" si="130"/>
        <v>0</v>
      </c>
      <c r="P427" s="105">
        <f t="shared" ca="1" si="131"/>
        <v>0</v>
      </c>
      <c r="Q427" s="105">
        <f t="shared" ca="1" si="132"/>
        <v>0</v>
      </c>
      <c r="R427" s="105">
        <f t="shared" ca="1" si="133"/>
        <v>0</v>
      </c>
      <c r="S427" s="105">
        <f t="shared" ca="1" si="134"/>
        <v>10</v>
      </c>
    </row>
    <row r="428" spans="1:19" x14ac:dyDescent="0.35">
      <c r="A428" s="105">
        <f t="shared" ca="1" si="120"/>
        <v>601.37500000000091</v>
      </c>
      <c r="B428" s="105">
        <f t="shared" ca="1" si="121"/>
        <v>0</v>
      </c>
      <c r="C428" s="105">
        <f t="shared" ca="1" si="122"/>
        <v>2</v>
      </c>
      <c r="D428" s="105">
        <f t="shared" ca="1" si="123"/>
        <v>0</v>
      </c>
      <c r="E428" s="105">
        <f t="shared" ca="1" si="124"/>
        <v>0</v>
      </c>
      <c r="F428" s="105">
        <f t="shared" ca="1" si="125"/>
        <v>0</v>
      </c>
      <c r="G428" s="105">
        <f t="shared" ca="1" si="135"/>
        <v>0</v>
      </c>
      <c r="H428" s="105">
        <f t="shared" ca="1" si="136"/>
        <v>0</v>
      </c>
      <c r="I428" s="105">
        <f t="shared" ca="1" si="126"/>
        <v>0</v>
      </c>
      <c r="J428" s="105">
        <f t="shared" ca="1" si="127"/>
        <v>0</v>
      </c>
      <c r="K428" s="105">
        <f t="shared" ca="1" si="128"/>
        <v>0</v>
      </c>
      <c r="L428" s="105">
        <f t="shared" ca="1" si="137"/>
        <v>0</v>
      </c>
      <c r="M428" s="105">
        <f t="shared" ca="1" si="129"/>
        <v>0</v>
      </c>
      <c r="N428" s="105">
        <f t="shared" ca="1" si="138"/>
        <v>0</v>
      </c>
      <c r="O428" s="105">
        <f t="shared" ca="1" si="130"/>
        <v>0</v>
      </c>
      <c r="P428" s="105">
        <f t="shared" ca="1" si="131"/>
        <v>0</v>
      </c>
      <c r="Q428" s="105">
        <f t="shared" ca="1" si="132"/>
        <v>0</v>
      </c>
      <c r="R428" s="105">
        <f t="shared" ca="1" si="133"/>
        <v>0</v>
      </c>
      <c r="S428" s="105">
        <f t="shared" ca="1" si="134"/>
        <v>10</v>
      </c>
    </row>
    <row r="429" spans="1:19" x14ac:dyDescent="0.35">
      <c r="A429" s="105">
        <f t="shared" ca="1" si="120"/>
        <v>602.79000000000087</v>
      </c>
      <c r="B429" s="105">
        <f t="shared" ca="1" si="121"/>
        <v>0</v>
      </c>
      <c r="C429" s="105">
        <f t="shared" ca="1" si="122"/>
        <v>2</v>
      </c>
      <c r="D429" s="105">
        <f t="shared" ca="1" si="123"/>
        <v>0</v>
      </c>
      <c r="E429" s="105">
        <f t="shared" ca="1" si="124"/>
        <v>0</v>
      </c>
      <c r="F429" s="105">
        <f t="shared" ca="1" si="125"/>
        <v>0</v>
      </c>
      <c r="G429" s="105">
        <f t="shared" ca="1" si="135"/>
        <v>0</v>
      </c>
      <c r="H429" s="105">
        <f t="shared" ca="1" si="136"/>
        <v>0</v>
      </c>
      <c r="I429" s="105">
        <f t="shared" ca="1" si="126"/>
        <v>0</v>
      </c>
      <c r="J429" s="105">
        <f t="shared" ca="1" si="127"/>
        <v>0</v>
      </c>
      <c r="K429" s="105">
        <f t="shared" ca="1" si="128"/>
        <v>0</v>
      </c>
      <c r="L429" s="105">
        <f t="shared" ca="1" si="137"/>
        <v>0</v>
      </c>
      <c r="M429" s="105">
        <f t="shared" ca="1" si="129"/>
        <v>0</v>
      </c>
      <c r="N429" s="105">
        <f t="shared" ca="1" si="138"/>
        <v>0</v>
      </c>
      <c r="O429" s="105">
        <f t="shared" ca="1" si="130"/>
        <v>0</v>
      </c>
      <c r="P429" s="105">
        <f t="shared" ca="1" si="131"/>
        <v>0</v>
      </c>
      <c r="Q429" s="105">
        <f t="shared" ca="1" si="132"/>
        <v>0</v>
      </c>
      <c r="R429" s="105">
        <f t="shared" ca="1" si="133"/>
        <v>0</v>
      </c>
      <c r="S429" s="105">
        <f t="shared" ca="1" si="134"/>
        <v>10</v>
      </c>
    </row>
    <row r="430" spans="1:19" x14ac:dyDescent="0.35">
      <c r="A430" s="105">
        <f t="shared" ca="1" si="120"/>
        <v>604.20500000000084</v>
      </c>
      <c r="B430" s="105">
        <f t="shared" ca="1" si="121"/>
        <v>0</v>
      </c>
      <c r="C430" s="105">
        <f t="shared" ca="1" si="122"/>
        <v>2</v>
      </c>
      <c r="D430" s="105">
        <f t="shared" ca="1" si="123"/>
        <v>0</v>
      </c>
      <c r="E430" s="105">
        <f t="shared" ca="1" si="124"/>
        <v>0</v>
      </c>
      <c r="F430" s="105">
        <f t="shared" ca="1" si="125"/>
        <v>0</v>
      </c>
      <c r="G430" s="105">
        <f t="shared" ca="1" si="135"/>
        <v>0</v>
      </c>
      <c r="H430" s="105">
        <f t="shared" ca="1" si="136"/>
        <v>0</v>
      </c>
      <c r="I430" s="105">
        <f t="shared" ca="1" si="126"/>
        <v>0</v>
      </c>
      <c r="J430" s="105">
        <f t="shared" ca="1" si="127"/>
        <v>0</v>
      </c>
      <c r="K430" s="105">
        <f t="shared" ca="1" si="128"/>
        <v>0</v>
      </c>
      <c r="L430" s="105">
        <f t="shared" ca="1" si="137"/>
        <v>0</v>
      </c>
      <c r="M430" s="105">
        <f t="shared" ca="1" si="129"/>
        <v>0</v>
      </c>
      <c r="N430" s="105">
        <f t="shared" ca="1" si="138"/>
        <v>0</v>
      </c>
      <c r="O430" s="105">
        <f t="shared" ca="1" si="130"/>
        <v>0</v>
      </c>
      <c r="P430" s="105">
        <f t="shared" ca="1" si="131"/>
        <v>0</v>
      </c>
      <c r="Q430" s="105">
        <f t="shared" ca="1" si="132"/>
        <v>0</v>
      </c>
      <c r="R430" s="105">
        <f t="shared" ca="1" si="133"/>
        <v>0</v>
      </c>
      <c r="S430" s="105">
        <f t="shared" ca="1" si="134"/>
        <v>10</v>
      </c>
    </row>
    <row r="431" spans="1:19" x14ac:dyDescent="0.35">
      <c r="A431" s="105">
        <f t="shared" ca="1" si="120"/>
        <v>605.6200000000008</v>
      </c>
      <c r="B431" s="105">
        <f t="shared" ca="1" si="121"/>
        <v>0</v>
      </c>
      <c r="C431" s="105">
        <f t="shared" ca="1" si="122"/>
        <v>2</v>
      </c>
      <c r="D431" s="105">
        <f t="shared" ca="1" si="123"/>
        <v>0</v>
      </c>
      <c r="E431" s="105">
        <f t="shared" ca="1" si="124"/>
        <v>0</v>
      </c>
      <c r="F431" s="105">
        <f t="shared" ca="1" si="125"/>
        <v>0</v>
      </c>
      <c r="G431" s="105">
        <f t="shared" ca="1" si="135"/>
        <v>0</v>
      </c>
      <c r="H431" s="105">
        <f t="shared" ca="1" si="136"/>
        <v>0</v>
      </c>
      <c r="I431" s="105">
        <f t="shared" ca="1" si="126"/>
        <v>0</v>
      </c>
      <c r="J431" s="105">
        <f t="shared" ca="1" si="127"/>
        <v>0</v>
      </c>
      <c r="K431" s="105">
        <f t="shared" ca="1" si="128"/>
        <v>0</v>
      </c>
      <c r="L431" s="105">
        <f t="shared" ca="1" si="137"/>
        <v>0</v>
      </c>
      <c r="M431" s="105">
        <f t="shared" ca="1" si="129"/>
        <v>0</v>
      </c>
      <c r="N431" s="105">
        <f t="shared" ca="1" si="138"/>
        <v>0</v>
      </c>
      <c r="O431" s="105">
        <f t="shared" ca="1" si="130"/>
        <v>0</v>
      </c>
      <c r="P431" s="105">
        <f t="shared" ca="1" si="131"/>
        <v>0</v>
      </c>
      <c r="Q431" s="105">
        <f t="shared" ca="1" si="132"/>
        <v>0</v>
      </c>
      <c r="R431" s="105">
        <f t="shared" ca="1" si="133"/>
        <v>0</v>
      </c>
      <c r="S431" s="105">
        <f t="shared" ca="1" si="134"/>
        <v>10</v>
      </c>
    </row>
    <row r="432" spans="1:19" x14ac:dyDescent="0.35">
      <c r="A432" s="105">
        <f t="shared" ca="1" si="120"/>
        <v>607.03500000000076</v>
      </c>
      <c r="B432" s="105">
        <f t="shared" ca="1" si="121"/>
        <v>0</v>
      </c>
      <c r="C432" s="105">
        <f t="shared" ca="1" si="122"/>
        <v>2</v>
      </c>
      <c r="D432" s="105">
        <f t="shared" ca="1" si="123"/>
        <v>0</v>
      </c>
      <c r="E432" s="105">
        <f t="shared" ca="1" si="124"/>
        <v>0</v>
      </c>
      <c r="F432" s="105">
        <f t="shared" ca="1" si="125"/>
        <v>0</v>
      </c>
      <c r="G432" s="105">
        <f t="shared" ca="1" si="135"/>
        <v>0</v>
      </c>
      <c r="H432" s="105">
        <f t="shared" ca="1" si="136"/>
        <v>0</v>
      </c>
      <c r="I432" s="105">
        <f t="shared" ca="1" si="126"/>
        <v>0</v>
      </c>
      <c r="J432" s="105">
        <f t="shared" ca="1" si="127"/>
        <v>0</v>
      </c>
      <c r="K432" s="105">
        <f t="shared" ca="1" si="128"/>
        <v>0</v>
      </c>
      <c r="L432" s="105">
        <f t="shared" ca="1" si="137"/>
        <v>0</v>
      </c>
      <c r="M432" s="105">
        <f t="shared" ca="1" si="129"/>
        <v>0</v>
      </c>
      <c r="N432" s="105">
        <f t="shared" ca="1" si="138"/>
        <v>0</v>
      </c>
      <c r="O432" s="105">
        <f t="shared" ca="1" si="130"/>
        <v>0</v>
      </c>
      <c r="P432" s="105">
        <f t="shared" ca="1" si="131"/>
        <v>0</v>
      </c>
      <c r="Q432" s="105">
        <f t="shared" ca="1" si="132"/>
        <v>0</v>
      </c>
      <c r="R432" s="105">
        <f t="shared" ca="1" si="133"/>
        <v>0</v>
      </c>
      <c r="S432" s="105">
        <f t="shared" ca="1" si="134"/>
        <v>10</v>
      </c>
    </row>
    <row r="433" spans="1:19" x14ac:dyDescent="0.35">
      <c r="A433" s="105">
        <f t="shared" ca="1" si="120"/>
        <v>608.45000000000073</v>
      </c>
      <c r="B433" s="105">
        <f t="shared" ca="1" si="121"/>
        <v>0</v>
      </c>
      <c r="C433" s="105">
        <f t="shared" ca="1" si="122"/>
        <v>2</v>
      </c>
      <c r="D433" s="105">
        <f t="shared" ca="1" si="123"/>
        <v>0</v>
      </c>
      <c r="E433" s="105">
        <f t="shared" ca="1" si="124"/>
        <v>0</v>
      </c>
      <c r="F433" s="105">
        <f t="shared" ca="1" si="125"/>
        <v>0</v>
      </c>
      <c r="G433" s="105">
        <f t="shared" ca="1" si="135"/>
        <v>0</v>
      </c>
      <c r="H433" s="105">
        <f t="shared" ca="1" si="136"/>
        <v>0</v>
      </c>
      <c r="I433" s="105">
        <f t="shared" ca="1" si="126"/>
        <v>0</v>
      </c>
      <c r="J433" s="105">
        <f t="shared" ca="1" si="127"/>
        <v>0</v>
      </c>
      <c r="K433" s="105">
        <f t="shared" ca="1" si="128"/>
        <v>0</v>
      </c>
      <c r="L433" s="105">
        <f t="shared" ca="1" si="137"/>
        <v>0</v>
      </c>
      <c r="M433" s="105">
        <f t="shared" ca="1" si="129"/>
        <v>0</v>
      </c>
      <c r="N433" s="105">
        <f t="shared" ca="1" si="138"/>
        <v>0</v>
      </c>
      <c r="O433" s="105">
        <f t="shared" ca="1" si="130"/>
        <v>0</v>
      </c>
      <c r="P433" s="105">
        <f t="shared" ca="1" si="131"/>
        <v>0</v>
      </c>
      <c r="Q433" s="105">
        <f t="shared" ca="1" si="132"/>
        <v>0</v>
      </c>
      <c r="R433" s="105">
        <f t="shared" ca="1" si="133"/>
        <v>0</v>
      </c>
      <c r="S433" s="105">
        <f t="shared" ca="1" si="134"/>
        <v>10</v>
      </c>
    </row>
    <row r="434" spans="1:19" x14ac:dyDescent="0.35">
      <c r="A434" s="105">
        <f t="shared" ca="1" si="120"/>
        <v>609.86500000000069</v>
      </c>
      <c r="B434" s="105">
        <f t="shared" ca="1" si="121"/>
        <v>0</v>
      </c>
      <c r="C434" s="105">
        <f t="shared" ca="1" si="122"/>
        <v>2</v>
      </c>
      <c r="D434" s="105">
        <f t="shared" ca="1" si="123"/>
        <v>0</v>
      </c>
      <c r="E434" s="105">
        <f t="shared" ca="1" si="124"/>
        <v>0</v>
      </c>
      <c r="F434" s="105">
        <f t="shared" ca="1" si="125"/>
        <v>0</v>
      </c>
      <c r="G434" s="105">
        <f t="shared" ca="1" si="135"/>
        <v>0</v>
      </c>
      <c r="H434" s="105">
        <f t="shared" ca="1" si="136"/>
        <v>0</v>
      </c>
      <c r="I434" s="105">
        <f t="shared" ca="1" si="126"/>
        <v>0</v>
      </c>
      <c r="J434" s="105">
        <f t="shared" ca="1" si="127"/>
        <v>0</v>
      </c>
      <c r="K434" s="105">
        <f t="shared" ca="1" si="128"/>
        <v>0</v>
      </c>
      <c r="L434" s="105">
        <f t="shared" ca="1" si="137"/>
        <v>0</v>
      </c>
      <c r="M434" s="105">
        <f t="shared" ca="1" si="129"/>
        <v>0</v>
      </c>
      <c r="N434" s="105">
        <f t="shared" ca="1" si="138"/>
        <v>0</v>
      </c>
      <c r="O434" s="105">
        <f t="shared" ca="1" si="130"/>
        <v>0</v>
      </c>
      <c r="P434" s="105">
        <f t="shared" ca="1" si="131"/>
        <v>0</v>
      </c>
      <c r="Q434" s="105">
        <f t="shared" ca="1" si="132"/>
        <v>0</v>
      </c>
      <c r="R434" s="105">
        <f t="shared" ca="1" si="133"/>
        <v>0</v>
      </c>
      <c r="S434" s="105">
        <f t="shared" ca="1" si="134"/>
        <v>10</v>
      </c>
    </row>
    <row r="435" spans="1:19" x14ac:dyDescent="0.35">
      <c r="A435" s="105">
        <f t="shared" ca="1" si="120"/>
        <v>611.28000000000065</v>
      </c>
      <c r="B435" s="105">
        <f t="shared" ca="1" si="121"/>
        <v>0</v>
      </c>
      <c r="C435" s="105">
        <f t="shared" ca="1" si="122"/>
        <v>2</v>
      </c>
      <c r="D435" s="105">
        <f t="shared" ca="1" si="123"/>
        <v>0</v>
      </c>
      <c r="E435" s="105">
        <f t="shared" ca="1" si="124"/>
        <v>0</v>
      </c>
      <c r="F435" s="105">
        <f t="shared" ca="1" si="125"/>
        <v>0</v>
      </c>
      <c r="G435" s="105">
        <f t="shared" ca="1" si="135"/>
        <v>0</v>
      </c>
      <c r="H435" s="105">
        <f t="shared" ca="1" si="136"/>
        <v>0</v>
      </c>
      <c r="I435" s="105">
        <f t="shared" ca="1" si="126"/>
        <v>0</v>
      </c>
      <c r="J435" s="105">
        <f t="shared" ca="1" si="127"/>
        <v>0</v>
      </c>
      <c r="K435" s="105">
        <f t="shared" ca="1" si="128"/>
        <v>0</v>
      </c>
      <c r="L435" s="105">
        <f t="shared" ca="1" si="137"/>
        <v>0</v>
      </c>
      <c r="M435" s="105">
        <f t="shared" ca="1" si="129"/>
        <v>0</v>
      </c>
      <c r="N435" s="105">
        <f t="shared" ca="1" si="138"/>
        <v>0</v>
      </c>
      <c r="O435" s="105">
        <f t="shared" ca="1" si="130"/>
        <v>0</v>
      </c>
      <c r="P435" s="105">
        <f t="shared" ca="1" si="131"/>
        <v>0</v>
      </c>
      <c r="Q435" s="105">
        <f t="shared" ca="1" si="132"/>
        <v>0</v>
      </c>
      <c r="R435" s="105">
        <f t="shared" ca="1" si="133"/>
        <v>0</v>
      </c>
      <c r="S435" s="105">
        <f t="shared" ca="1" si="134"/>
        <v>10</v>
      </c>
    </row>
    <row r="436" spans="1:19" x14ac:dyDescent="0.35">
      <c r="A436" s="105">
        <f t="shared" ca="1" si="120"/>
        <v>612.69500000000062</v>
      </c>
      <c r="B436" s="105">
        <f t="shared" ca="1" si="121"/>
        <v>0</v>
      </c>
      <c r="C436" s="105">
        <f t="shared" ca="1" si="122"/>
        <v>2</v>
      </c>
      <c r="D436" s="105">
        <f t="shared" ca="1" si="123"/>
        <v>0</v>
      </c>
      <c r="E436" s="105">
        <f t="shared" ca="1" si="124"/>
        <v>0</v>
      </c>
      <c r="F436" s="105">
        <f t="shared" ca="1" si="125"/>
        <v>0</v>
      </c>
      <c r="G436" s="105">
        <f t="shared" ca="1" si="135"/>
        <v>0</v>
      </c>
      <c r="H436" s="105">
        <f t="shared" ca="1" si="136"/>
        <v>0</v>
      </c>
      <c r="I436" s="105">
        <f t="shared" ca="1" si="126"/>
        <v>0</v>
      </c>
      <c r="J436" s="105">
        <f t="shared" ca="1" si="127"/>
        <v>0</v>
      </c>
      <c r="K436" s="105">
        <f t="shared" ca="1" si="128"/>
        <v>0</v>
      </c>
      <c r="L436" s="105">
        <f t="shared" ca="1" si="137"/>
        <v>0</v>
      </c>
      <c r="M436" s="105">
        <f t="shared" ca="1" si="129"/>
        <v>0</v>
      </c>
      <c r="N436" s="105">
        <f t="shared" ca="1" si="138"/>
        <v>0</v>
      </c>
      <c r="O436" s="105">
        <f t="shared" ca="1" si="130"/>
        <v>0</v>
      </c>
      <c r="P436" s="105">
        <f t="shared" ca="1" si="131"/>
        <v>0</v>
      </c>
      <c r="Q436" s="105">
        <f t="shared" ca="1" si="132"/>
        <v>0</v>
      </c>
      <c r="R436" s="105">
        <f t="shared" ca="1" si="133"/>
        <v>0</v>
      </c>
      <c r="S436" s="105">
        <f t="shared" ca="1" si="134"/>
        <v>10</v>
      </c>
    </row>
    <row r="437" spans="1:19" x14ac:dyDescent="0.35">
      <c r="A437" s="105">
        <f t="shared" ca="1" si="120"/>
        <v>614.11000000000058</v>
      </c>
      <c r="B437" s="105">
        <f t="shared" ca="1" si="121"/>
        <v>0</v>
      </c>
      <c r="C437" s="105">
        <f t="shared" ca="1" si="122"/>
        <v>2</v>
      </c>
      <c r="D437" s="105">
        <f t="shared" ca="1" si="123"/>
        <v>0</v>
      </c>
      <c r="E437" s="105">
        <f t="shared" ca="1" si="124"/>
        <v>0</v>
      </c>
      <c r="F437" s="105">
        <f t="shared" ca="1" si="125"/>
        <v>0</v>
      </c>
      <c r="G437" s="105">
        <f t="shared" ca="1" si="135"/>
        <v>0</v>
      </c>
      <c r="H437" s="105">
        <f t="shared" ca="1" si="136"/>
        <v>0</v>
      </c>
      <c r="I437" s="105">
        <f t="shared" ca="1" si="126"/>
        <v>0</v>
      </c>
      <c r="J437" s="105">
        <f t="shared" ca="1" si="127"/>
        <v>0</v>
      </c>
      <c r="K437" s="105">
        <f t="shared" ca="1" si="128"/>
        <v>0</v>
      </c>
      <c r="L437" s="105">
        <f t="shared" ca="1" si="137"/>
        <v>0</v>
      </c>
      <c r="M437" s="105">
        <f t="shared" ca="1" si="129"/>
        <v>0</v>
      </c>
      <c r="N437" s="105">
        <f t="shared" ca="1" si="138"/>
        <v>0</v>
      </c>
      <c r="O437" s="105">
        <f t="shared" ca="1" si="130"/>
        <v>0</v>
      </c>
      <c r="P437" s="105">
        <f t="shared" ca="1" si="131"/>
        <v>0</v>
      </c>
      <c r="Q437" s="105">
        <f t="shared" ca="1" si="132"/>
        <v>0</v>
      </c>
      <c r="R437" s="105">
        <f t="shared" ca="1" si="133"/>
        <v>0</v>
      </c>
      <c r="S437" s="105">
        <f t="shared" ca="1" si="134"/>
        <v>10</v>
      </c>
    </row>
    <row r="438" spans="1:19" x14ac:dyDescent="0.35">
      <c r="A438" s="105">
        <f t="shared" ca="1" si="120"/>
        <v>615.52500000000055</v>
      </c>
      <c r="B438" s="105">
        <f t="shared" ca="1" si="121"/>
        <v>0</v>
      </c>
      <c r="C438" s="105">
        <f t="shared" ca="1" si="122"/>
        <v>2</v>
      </c>
      <c r="D438" s="105">
        <f t="shared" ca="1" si="123"/>
        <v>0</v>
      </c>
      <c r="E438" s="105">
        <f t="shared" ca="1" si="124"/>
        <v>0</v>
      </c>
      <c r="F438" s="105">
        <f t="shared" ca="1" si="125"/>
        <v>0</v>
      </c>
      <c r="G438" s="105">
        <f t="shared" ca="1" si="135"/>
        <v>0</v>
      </c>
      <c r="H438" s="105">
        <f t="shared" ca="1" si="136"/>
        <v>0</v>
      </c>
      <c r="I438" s="105">
        <f t="shared" ca="1" si="126"/>
        <v>0</v>
      </c>
      <c r="J438" s="105">
        <f t="shared" ca="1" si="127"/>
        <v>0</v>
      </c>
      <c r="K438" s="105">
        <f t="shared" ca="1" si="128"/>
        <v>0</v>
      </c>
      <c r="L438" s="105">
        <f t="shared" ca="1" si="137"/>
        <v>0</v>
      </c>
      <c r="M438" s="105">
        <f t="shared" ca="1" si="129"/>
        <v>0</v>
      </c>
      <c r="N438" s="105">
        <f t="shared" ca="1" si="138"/>
        <v>0</v>
      </c>
      <c r="O438" s="105">
        <f t="shared" ca="1" si="130"/>
        <v>0</v>
      </c>
      <c r="P438" s="105">
        <f t="shared" ca="1" si="131"/>
        <v>0</v>
      </c>
      <c r="Q438" s="105">
        <f t="shared" ca="1" si="132"/>
        <v>0</v>
      </c>
      <c r="R438" s="105">
        <f t="shared" ca="1" si="133"/>
        <v>0</v>
      </c>
      <c r="S438" s="105">
        <f t="shared" ca="1" si="134"/>
        <v>10</v>
      </c>
    </row>
    <row r="439" spans="1:19" x14ac:dyDescent="0.35">
      <c r="A439" s="105">
        <f t="shared" ca="1" si="120"/>
        <v>616.94000000000051</v>
      </c>
      <c r="B439" s="105">
        <f t="shared" ca="1" si="121"/>
        <v>0</v>
      </c>
      <c r="C439" s="105">
        <f t="shared" ca="1" si="122"/>
        <v>2</v>
      </c>
      <c r="D439" s="105">
        <f t="shared" ca="1" si="123"/>
        <v>0</v>
      </c>
      <c r="E439" s="105">
        <f t="shared" ca="1" si="124"/>
        <v>0</v>
      </c>
      <c r="F439" s="105">
        <f t="shared" ca="1" si="125"/>
        <v>0</v>
      </c>
      <c r="G439" s="105">
        <f t="shared" ca="1" si="135"/>
        <v>0</v>
      </c>
      <c r="H439" s="105">
        <f t="shared" ca="1" si="136"/>
        <v>0</v>
      </c>
      <c r="I439" s="105">
        <f t="shared" ca="1" si="126"/>
        <v>0</v>
      </c>
      <c r="J439" s="105">
        <f t="shared" ca="1" si="127"/>
        <v>0</v>
      </c>
      <c r="K439" s="105">
        <f t="shared" ca="1" si="128"/>
        <v>0</v>
      </c>
      <c r="L439" s="105">
        <f t="shared" ca="1" si="137"/>
        <v>0</v>
      </c>
      <c r="M439" s="105">
        <f t="shared" ca="1" si="129"/>
        <v>0</v>
      </c>
      <c r="N439" s="105">
        <f t="shared" ca="1" si="138"/>
        <v>0</v>
      </c>
      <c r="O439" s="105">
        <f t="shared" ca="1" si="130"/>
        <v>0</v>
      </c>
      <c r="P439" s="105">
        <f t="shared" ca="1" si="131"/>
        <v>0</v>
      </c>
      <c r="Q439" s="105">
        <f t="shared" ca="1" si="132"/>
        <v>0</v>
      </c>
      <c r="R439" s="105">
        <f t="shared" ca="1" si="133"/>
        <v>0</v>
      </c>
      <c r="S439" s="105">
        <f t="shared" ca="1" si="134"/>
        <v>10</v>
      </c>
    </row>
    <row r="440" spans="1:19" x14ac:dyDescent="0.35">
      <c r="A440" s="105">
        <f t="shared" ca="1" si="120"/>
        <v>618.35500000000047</v>
      </c>
      <c r="B440" s="105">
        <f t="shared" ca="1" si="121"/>
        <v>0</v>
      </c>
      <c r="C440" s="105">
        <f t="shared" ca="1" si="122"/>
        <v>2</v>
      </c>
      <c r="D440" s="105">
        <f t="shared" ca="1" si="123"/>
        <v>0</v>
      </c>
      <c r="E440" s="105">
        <f t="shared" ca="1" si="124"/>
        <v>0</v>
      </c>
      <c r="F440" s="105">
        <f t="shared" ca="1" si="125"/>
        <v>0</v>
      </c>
      <c r="G440" s="105">
        <f t="shared" ca="1" si="135"/>
        <v>0</v>
      </c>
      <c r="H440" s="105">
        <f t="shared" ca="1" si="136"/>
        <v>0</v>
      </c>
      <c r="I440" s="105">
        <f t="shared" ca="1" si="126"/>
        <v>0</v>
      </c>
      <c r="J440" s="105">
        <f t="shared" ca="1" si="127"/>
        <v>0</v>
      </c>
      <c r="K440" s="105">
        <f t="shared" ca="1" si="128"/>
        <v>0</v>
      </c>
      <c r="L440" s="105">
        <f t="shared" ca="1" si="137"/>
        <v>0</v>
      </c>
      <c r="M440" s="105">
        <f t="shared" ca="1" si="129"/>
        <v>0</v>
      </c>
      <c r="N440" s="105">
        <f t="shared" ca="1" si="138"/>
        <v>0</v>
      </c>
      <c r="O440" s="105">
        <f t="shared" ca="1" si="130"/>
        <v>0</v>
      </c>
      <c r="P440" s="105">
        <f t="shared" ca="1" si="131"/>
        <v>0</v>
      </c>
      <c r="Q440" s="105">
        <f t="shared" ca="1" si="132"/>
        <v>0</v>
      </c>
      <c r="R440" s="105">
        <f t="shared" ca="1" si="133"/>
        <v>0</v>
      </c>
      <c r="S440" s="105">
        <f t="shared" ca="1" si="134"/>
        <v>10</v>
      </c>
    </row>
    <row r="441" spans="1:19" x14ac:dyDescent="0.35">
      <c r="A441" s="105">
        <f t="shared" ca="1" si="120"/>
        <v>619.77000000000044</v>
      </c>
      <c r="B441" s="105">
        <f t="shared" ca="1" si="121"/>
        <v>0</v>
      </c>
      <c r="C441" s="105">
        <f t="shared" ca="1" si="122"/>
        <v>2</v>
      </c>
      <c r="D441" s="105">
        <f t="shared" ca="1" si="123"/>
        <v>0</v>
      </c>
      <c r="E441" s="105">
        <f t="shared" ca="1" si="124"/>
        <v>0</v>
      </c>
      <c r="F441" s="105">
        <f t="shared" ca="1" si="125"/>
        <v>0</v>
      </c>
      <c r="G441" s="105">
        <f t="shared" ca="1" si="135"/>
        <v>0</v>
      </c>
      <c r="H441" s="105">
        <f t="shared" ca="1" si="136"/>
        <v>0</v>
      </c>
      <c r="I441" s="105">
        <f t="shared" ca="1" si="126"/>
        <v>0</v>
      </c>
      <c r="J441" s="105">
        <f t="shared" ca="1" si="127"/>
        <v>0</v>
      </c>
      <c r="K441" s="105">
        <f t="shared" ca="1" si="128"/>
        <v>0</v>
      </c>
      <c r="L441" s="105">
        <f t="shared" ca="1" si="137"/>
        <v>0</v>
      </c>
      <c r="M441" s="105">
        <f t="shared" ca="1" si="129"/>
        <v>0</v>
      </c>
      <c r="N441" s="105">
        <f t="shared" ca="1" si="138"/>
        <v>0</v>
      </c>
      <c r="O441" s="105">
        <f t="shared" ca="1" si="130"/>
        <v>0</v>
      </c>
      <c r="P441" s="105">
        <f t="shared" ca="1" si="131"/>
        <v>0</v>
      </c>
      <c r="Q441" s="105">
        <f t="shared" ca="1" si="132"/>
        <v>0</v>
      </c>
      <c r="R441" s="105">
        <f t="shared" ca="1" si="133"/>
        <v>0</v>
      </c>
      <c r="S441" s="105">
        <f t="shared" ca="1" si="134"/>
        <v>10</v>
      </c>
    </row>
    <row r="442" spans="1:19" x14ac:dyDescent="0.35">
      <c r="A442" s="105">
        <f t="shared" ca="1" si="120"/>
        <v>621.1850000000004</v>
      </c>
      <c r="B442" s="105">
        <f t="shared" ca="1" si="121"/>
        <v>0</v>
      </c>
      <c r="C442" s="105">
        <f t="shared" ca="1" si="122"/>
        <v>2</v>
      </c>
      <c r="D442" s="105">
        <f t="shared" ca="1" si="123"/>
        <v>0</v>
      </c>
      <c r="E442" s="105">
        <f t="shared" ca="1" si="124"/>
        <v>0</v>
      </c>
      <c r="F442" s="105">
        <f t="shared" ca="1" si="125"/>
        <v>0</v>
      </c>
      <c r="G442" s="105">
        <f t="shared" ca="1" si="135"/>
        <v>0</v>
      </c>
      <c r="H442" s="105">
        <f t="shared" ca="1" si="136"/>
        <v>0</v>
      </c>
      <c r="I442" s="105">
        <f t="shared" ca="1" si="126"/>
        <v>0</v>
      </c>
      <c r="J442" s="105">
        <f t="shared" ca="1" si="127"/>
        <v>0</v>
      </c>
      <c r="K442" s="105">
        <f t="shared" ca="1" si="128"/>
        <v>0</v>
      </c>
      <c r="L442" s="105">
        <f t="shared" ca="1" si="137"/>
        <v>0</v>
      </c>
      <c r="M442" s="105">
        <f t="shared" ca="1" si="129"/>
        <v>0</v>
      </c>
      <c r="N442" s="105">
        <f t="shared" ca="1" si="138"/>
        <v>0</v>
      </c>
      <c r="O442" s="105">
        <f t="shared" ca="1" si="130"/>
        <v>0</v>
      </c>
      <c r="P442" s="105">
        <f t="shared" ca="1" si="131"/>
        <v>0</v>
      </c>
      <c r="Q442" s="105">
        <f t="shared" ca="1" si="132"/>
        <v>0</v>
      </c>
      <c r="R442" s="105">
        <f t="shared" ca="1" si="133"/>
        <v>0</v>
      </c>
      <c r="S442" s="105">
        <f t="shared" ca="1" si="134"/>
        <v>10</v>
      </c>
    </row>
    <row r="443" spans="1:19" x14ac:dyDescent="0.35">
      <c r="A443" s="105">
        <f t="shared" ca="1" si="120"/>
        <v>622.60000000000036</v>
      </c>
      <c r="B443" s="105">
        <f t="shared" ca="1" si="121"/>
        <v>0</v>
      </c>
      <c r="C443" s="105">
        <f t="shared" ca="1" si="122"/>
        <v>2</v>
      </c>
      <c r="D443" s="105">
        <f t="shared" ca="1" si="123"/>
        <v>0</v>
      </c>
      <c r="E443" s="105">
        <f t="shared" ca="1" si="124"/>
        <v>0</v>
      </c>
      <c r="F443" s="105">
        <f t="shared" ca="1" si="125"/>
        <v>0</v>
      </c>
      <c r="G443" s="105">
        <f t="shared" ca="1" si="135"/>
        <v>0</v>
      </c>
      <c r="H443" s="105">
        <f t="shared" ca="1" si="136"/>
        <v>0</v>
      </c>
      <c r="I443" s="105">
        <f t="shared" ca="1" si="126"/>
        <v>0</v>
      </c>
      <c r="J443" s="105">
        <f t="shared" ca="1" si="127"/>
        <v>0</v>
      </c>
      <c r="K443" s="105">
        <f t="shared" ca="1" si="128"/>
        <v>0</v>
      </c>
      <c r="L443" s="105">
        <f t="shared" ca="1" si="137"/>
        <v>0</v>
      </c>
      <c r="M443" s="105">
        <f t="shared" ca="1" si="129"/>
        <v>0</v>
      </c>
      <c r="N443" s="105">
        <f t="shared" ca="1" si="138"/>
        <v>0</v>
      </c>
      <c r="O443" s="105">
        <f t="shared" ca="1" si="130"/>
        <v>0</v>
      </c>
      <c r="P443" s="105">
        <f t="shared" ca="1" si="131"/>
        <v>0</v>
      </c>
      <c r="Q443" s="105">
        <f t="shared" ca="1" si="132"/>
        <v>0</v>
      </c>
      <c r="R443" s="105">
        <f t="shared" ca="1" si="133"/>
        <v>0</v>
      </c>
      <c r="S443" s="105">
        <f t="shared" ca="1" si="134"/>
        <v>10</v>
      </c>
    </row>
    <row r="444" spans="1:19" x14ac:dyDescent="0.35">
      <c r="A444" s="105">
        <f t="shared" ca="1" si="120"/>
        <v>624.01500000000033</v>
      </c>
      <c r="B444" s="105">
        <f t="shared" ca="1" si="121"/>
        <v>0</v>
      </c>
      <c r="C444" s="105">
        <f t="shared" ca="1" si="122"/>
        <v>2</v>
      </c>
      <c r="D444" s="105">
        <f t="shared" ca="1" si="123"/>
        <v>0</v>
      </c>
      <c r="E444" s="105">
        <f t="shared" ca="1" si="124"/>
        <v>0</v>
      </c>
      <c r="F444" s="105">
        <f t="shared" ca="1" si="125"/>
        <v>0</v>
      </c>
      <c r="G444" s="105">
        <f t="shared" ca="1" si="135"/>
        <v>0</v>
      </c>
      <c r="H444" s="105">
        <f t="shared" ca="1" si="136"/>
        <v>0</v>
      </c>
      <c r="I444" s="105">
        <f t="shared" ca="1" si="126"/>
        <v>0</v>
      </c>
      <c r="J444" s="105">
        <f t="shared" ca="1" si="127"/>
        <v>0</v>
      </c>
      <c r="K444" s="105">
        <f t="shared" ca="1" si="128"/>
        <v>0</v>
      </c>
      <c r="L444" s="105">
        <f t="shared" ca="1" si="137"/>
        <v>0</v>
      </c>
      <c r="M444" s="105">
        <f t="shared" ca="1" si="129"/>
        <v>0</v>
      </c>
      <c r="N444" s="105">
        <f t="shared" ca="1" si="138"/>
        <v>0</v>
      </c>
      <c r="O444" s="105">
        <f t="shared" ca="1" si="130"/>
        <v>0</v>
      </c>
      <c r="P444" s="105">
        <f t="shared" ca="1" si="131"/>
        <v>0</v>
      </c>
      <c r="Q444" s="105">
        <f t="shared" ca="1" si="132"/>
        <v>0</v>
      </c>
      <c r="R444" s="105">
        <f t="shared" ca="1" si="133"/>
        <v>0</v>
      </c>
      <c r="S444" s="105">
        <f t="shared" ca="1" si="134"/>
        <v>10</v>
      </c>
    </row>
    <row r="445" spans="1:19" x14ac:dyDescent="0.35">
      <c r="A445" s="105">
        <f t="shared" ca="1" si="120"/>
        <v>625.43000000000029</v>
      </c>
      <c r="B445" s="105">
        <f t="shared" ca="1" si="121"/>
        <v>0</v>
      </c>
      <c r="C445" s="105">
        <f t="shared" ca="1" si="122"/>
        <v>2</v>
      </c>
      <c r="D445" s="105">
        <f t="shared" ca="1" si="123"/>
        <v>0</v>
      </c>
      <c r="E445" s="105">
        <f t="shared" ca="1" si="124"/>
        <v>0</v>
      </c>
      <c r="F445" s="105">
        <f t="shared" ca="1" si="125"/>
        <v>0</v>
      </c>
      <c r="G445" s="105">
        <f t="shared" ca="1" si="135"/>
        <v>0</v>
      </c>
      <c r="H445" s="105">
        <f t="shared" ca="1" si="136"/>
        <v>0</v>
      </c>
      <c r="I445" s="105">
        <f t="shared" ca="1" si="126"/>
        <v>0</v>
      </c>
      <c r="J445" s="105">
        <f t="shared" ca="1" si="127"/>
        <v>0</v>
      </c>
      <c r="K445" s="105">
        <f t="shared" ca="1" si="128"/>
        <v>0</v>
      </c>
      <c r="L445" s="105">
        <f t="shared" ca="1" si="137"/>
        <v>0</v>
      </c>
      <c r="M445" s="105">
        <f t="shared" ca="1" si="129"/>
        <v>0</v>
      </c>
      <c r="N445" s="105">
        <f t="shared" ca="1" si="138"/>
        <v>0</v>
      </c>
      <c r="O445" s="105">
        <f t="shared" ca="1" si="130"/>
        <v>0</v>
      </c>
      <c r="P445" s="105">
        <f t="shared" ca="1" si="131"/>
        <v>0</v>
      </c>
      <c r="Q445" s="105">
        <f t="shared" ca="1" si="132"/>
        <v>0</v>
      </c>
      <c r="R445" s="105">
        <f t="shared" ca="1" si="133"/>
        <v>0</v>
      </c>
      <c r="S445" s="105">
        <f t="shared" ca="1" si="134"/>
        <v>10</v>
      </c>
    </row>
    <row r="446" spans="1:19" x14ac:dyDescent="0.35">
      <c r="A446" s="105">
        <f t="shared" ca="1" si="120"/>
        <v>626.84500000000025</v>
      </c>
      <c r="B446" s="105">
        <f t="shared" ca="1" si="121"/>
        <v>0</v>
      </c>
      <c r="C446" s="105">
        <f t="shared" ca="1" si="122"/>
        <v>2</v>
      </c>
      <c r="D446" s="105">
        <f t="shared" ca="1" si="123"/>
        <v>0</v>
      </c>
      <c r="E446" s="105">
        <f t="shared" ca="1" si="124"/>
        <v>0</v>
      </c>
      <c r="F446" s="105">
        <f t="shared" ca="1" si="125"/>
        <v>0</v>
      </c>
      <c r="G446" s="105">
        <f t="shared" ca="1" si="135"/>
        <v>0</v>
      </c>
      <c r="H446" s="105">
        <f t="shared" ca="1" si="136"/>
        <v>0</v>
      </c>
      <c r="I446" s="105">
        <f t="shared" ca="1" si="126"/>
        <v>0</v>
      </c>
      <c r="J446" s="105">
        <f t="shared" ca="1" si="127"/>
        <v>0</v>
      </c>
      <c r="K446" s="105">
        <f t="shared" ca="1" si="128"/>
        <v>0</v>
      </c>
      <c r="L446" s="105">
        <f t="shared" ca="1" si="137"/>
        <v>0</v>
      </c>
      <c r="M446" s="105">
        <f t="shared" ca="1" si="129"/>
        <v>0</v>
      </c>
      <c r="N446" s="105">
        <f t="shared" ca="1" si="138"/>
        <v>0</v>
      </c>
      <c r="O446" s="105">
        <f t="shared" ca="1" si="130"/>
        <v>0</v>
      </c>
      <c r="P446" s="105">
        <f t="shared" ca="1" si="131"/>
        <v>0</v>
      </c>
      <c r="Q446" s="105">
        <f t="shared" ca="1" si="132"/>
        <v>0</v>
      </c>
      <c r="R446" s="105">
        <f t="shared" ca="1" si="133"/>
        <v>0</v>
      </c>
      <c r="S446" s="105">
        <f t="shared" ca="1" si="134"/>
        <v>10</v>
      </c>
    </row>
    <row r="447" spans="1:19" x14ac:dyDescent="0.35">
      <c r="A447" s="105">
        <f t="shared" ca="1" si="120"/>
        <v>628.26000000000022</v>
      </c>
      <c r="B447" s="105">
        <f t="shared" ca="1" si="121"/>
        <v>0</v>
      </c>
      <c r="C447" s="105">
        <f t="shared" ca="1" si="122"/>
        <v>2</v>
      </c>
      <c r="D447" s="105">
        <f t="shared" ca="1" si="123"/>
        <v>0</v>
      </c>
      <c r="E447" s="105">
        <f t="shared" ca="1" si="124"/>
        <v>0</v>
      </c>
      <c r="F447" s="105">
        <f t="shared" ca="1" si="125"/>
        <v>0</v>
      </c>
      <c r="G447" s="105">
        <f t="shared" ca="1" si="135"/>
        <v>0</v>
      </c>
      <c r="H447" s="105">
        <f t="shared" ca="1" si="136"/>
        <v>0</v>
      </c>
      <c r="I447" s="105">
        <f t="shared" ca="1" si="126"/>
        <v>0</v>
      </c>
      <c r="J447" s="105">
        <f t="shared" ca="1" si="127"/>
        <v>0</v>
      </c>
      <c r="K447" s="105">
        <f t="shared" ca="1" si="128"/>
        <v>0</v>
      </c>
      <c r="L447" s="105">
        <f t="shared" ca="1" si="137"/>
        <v>0</v>
      </c>
      <c r="M447" s="105">
        <f t="shared" ca="1" si="129"/>
        <v>0</v>
      </c>
      <c r="N447" s="105">
        <f t="shared" ca="1" si="138"/>
        <v>0</v>
      </c>
      <c r="O447" s="105">
        <f t="shared" ca="1" si="130"/>
        <v>0</v>
      </c>
      <c r="P447" s="105">
        <f t="shared" ca="1" si="131"/>
        <v>0</v>
      </c>
      <c r="Q447" s="105">
        <f t="shared" ca="1" si="132"/>
        <v>0</v>
      </c>
      <c r="R447" s="105">
        <f t="shared" ca="1" si="133"/>
        <v>0</v>
      </c>
      <c r="S447" s="105">
        <f t="shared" ca="1" si="134"/>
        <v>10</v>
      </c>
    </row>
    <row r="448" spans="1:19" x14ac:dyDescent="0.35">
      <c r="A448" s="105">
        <f t="shared" ca="1" si="120"/>
        <v>629.67500000000018</v>
      </c>
      <c r="B448" s="105">
        <f t="shared" ca="1" si="121"/>
        <v>0</v>
      </c>
      <c r="C448" s="105">
        <f t="shared" ca="1" si="122"/>
        <v>2</v>
      </c>
      <c r="D448" s="105">
        <f t="shared" ca="1" si="123"/>
        <v>0</v>
      </c>
      <c r="E448" s="105">
        <f t="shared" ca="1" si="124"/>
        <v>0</v>
      </c>
      <c r="F448" s="105">
        <f t="shared" ca="1" si="125"/>
        <v>0</v>
      </c>
      <c r="G448" s="105">
        <f t="shared" ca="1" si="135"/>
        <v>0</v>
      </c>
      <c r="H448" s="105">
        <f t="shared" ca="1" si="136"/>
        <v>0</v>
      </c>
      <c r="I448" s="105">
        <f t="shared" ca="1" si="126"/>
        <v>0</v>
      </c>
      <c r="J448" s="105">
        <f t="shared" ca="1" si="127"/>
        <v>0</v>
      </c>
      <c r="K448" s="105">
        <f t="shared" ca="1" si="128"/>
        <v>0</v>
      </c>
      <c r="L448" s="105">
        <f t="shared" ca="1" si="137"/>
        <v>0</v>
      </c>
      <c r="M448" s="105">
        <f t="shared" ca="1" si="129"/>
        <v>0</v>
      </c>
      <c r="N448" s="105">
        <f t="shared" ca="1" si="138"/>
        <v>0</v>
      </c>
      <c r="O448" s="105">
        <f t="shared" ca="1" si="130"/>
        <v>0</v>
      </c>
      <c r="P448" s="105">
        <f t="shared" ca="1" si="131"/>
        <v>0</v>
      </c>
      <c r="Q448" s="105">
        <f t="shared" ca="1" si="132"/>
        <v>0</v>
      </c>
      <c r="R448" s="105">
        <f t="shared" ca="1" si="133"/>
        <v>0</v>
      </c>
      <c r="S448" s="105">
        <f t="shared" ca="1" si="134"/>
        <v>10</v>
      </c>
    </row>
    <row r="449" spans="1:19" x14ac:dyDescent="0.35">
      <c r="A449" s="105">
        <f t="shared" ca="1" si="120"/>
        <v>631.09000000000015</v>
      </c>
      <c r="B449" s="105">
        <f t="shared" ca="1" si="121"/>
        <v>0</v>
      </c>
      <c r="C449" s="105">
        <f t="shared" ca="1" si="122"/>
        <v>2</v>
      </c>
      <c r="D449" s="105">
        <f t="shared" ca="1" si="123"/>
        <v>0</v>
      </c>
      <c r="E449" s="105">
        <f t="shared" ca="1" si="124"/>
        <v>0</v>
      </c>
      <c r="F449" s="105">
        <f t="shared" ca="1" si="125"/>
        <v>0</v>
      </c>
      <c r="G449" s="105">
        <f t="shared" ca="1" si="135"/>
        <v>0</v>
      </c>
      <c r="H449" s="105">
        <f t="shared" ca="1" si="136"/>
        <v>0</v>
      </c>
      <c r="I449" s="105">
        <f t="shared" ca="1" si="126"/>
        <v>0</v>
      </c>
      <c r="J449" s="105">
        <f t="shared" ca="1" si="127"/>
        <v>0</v>
      </c>
      <c r="K449" s="105">
        <f t="shared" ca="1" si="128"/>
        <v>0</v>
      </c>
      <c r="L449" s="105">
        <f t="shared" ca="1" si="137"/>
        <v>0</v>
      </c>
      <c r="M449" s="105">
        <f t="shared" ca="1" si="129"/>
        <v>0</v>
      </c>
      <c r="N449" s="105">
        <f t="shared" ca="1" si="138"/>
        <v>0</v>
      </c>
      <c r="O449" s="105">
        <f t="shared" ca="1" si="130"/>
        <v>0</v>
      </c>
      <c r="P449" s="105">
        <f t="shared" ca="1" si="131"/>
        <v>0</v>
      </c>
      <c r="Q449" s="105">
        <f t="shared" ca="1" si="132"/>
        <v>0</v>
      </c>
      <c r="R449" s="105">
        <f t="shared" ca="1" si="133"/>
        <v>0</v>
      </c>
      <c r="S449" s="105">
        <f t="shared" ca="1" si="134"/>
        <v>10</v>
      </c>
    </row>
    <row r="450" spans="1:19" x14ac:dyDescent="0.35">
      <c r="A450" s="105">
        <f t="shared" ca="1" si="120"/>
        <v>632.50500000000011</v>
      </c>
      <c r="B450" s="105">
        <f t="shared" ca="1" si="121"/>
        <v>0</v>
      </c>
      <c r="C450" s="105">
        <f t="shared" ca="1" si="122"/>
        <v>2</v>
      </c>
      <c r="D450" s="105">
        <f t="shared" ca="1" si="123"/>
        <v>0</v>
      </c>
      <c r="E450" s="105">
        <f t="shared" ca="1" si="124"/>
        <v>0</v>
      </c>
      <c r="F450" s="105">
        <f t="shared" ca="1" si="125"/>
        <v>0</v>
      </c>
      <c r="G450" s="105">
        <f t="shared" ca="1" si="135"/>
        <v>0</v>
      </c>
      <c r="H450" s="105">
        <f t="shared" ca="1" si="136"/>
        <v>0</v>
      </c>
      <c r="I450" s="105">
        <f t="shared" ca="1" si="126"/>
        <v>0</v>
      </c>
      <c r="J450" s="105">
        <f t="shared" ca="1" si="127"/>
        <v>0</v>
      </c>
      <c r="K450" s="105">
        <f t="shared" ca="1" si="128"/>
        <v>0</v>
      </c>
      <c r="L450" s="105">
        <f t="shared" ca="1" si="137"/>
        <v>0</v>
      </c>
      <c r="M450" s="105">
        <f t="shared" ca="1" si="129"/>
        <v>0</v>
      </c>
      <c r="N450" s="105">
        <f t="shared" ca="1" si="138"/>
        <v>0</v>
      </c>
      <c r="O450" s="105">
        <f t="shared" ca="1" si="130"/>
        <v>0</v>
      </c>
      <c r="P450" s="105">
        <f t="shared" ca="1" si="131"/>
        <v>0</v>
      </c>
      <c r="Q450" s="105">
        <f t="shared" ca="1" si="132"/>
        <v>0</v>
      </c>
      <c r="R450" s="105">
        <f t="shared" ca="1" si="133"/>
        <v>0</v>
      </c>
      <c r="S450" s="105">
        <f t="shared" ca="1" si="134"/>
        <v>10</v>
      </c>
    </row>
    <row r="451" spans="1:19" x14ac:dyDescent="0.35">
      <c r="A451" s="105">
        <f t="shared" ca="1" si="120"/>
        <v>633.92000000000007</v>
      </c>
      <c r="B451" s="105">
        <f t="shared" ca="1" si="121"/>
        <v>0</v>
      </c>
      <c r="C451" s="105">
        <f t="shared" ca="1" si="122"/>
        <v>2</v>
      </c>
      <c r="D451" s="105">
        <f t="shared" ca="1" si="123"/>
        <v>0</v>
      </c>
      <c r="E451" s="105">
        <f t="shared" ca="1" si="124"/>
        <v>0</v>
      </c>
      <c r="F451" s="105">
        <f t="shared" ca="1" si="125"/>
        <v>0</v>
      </c>
      <c r="G451" s="105">
        <f t="shared" ca="1" si="135"/>
        <v>0</v>
      </c>
      <c r="H451" s="105">
        <f t="shared" ca="1" si="136"/>
        <v>0</v>
      </c>
      <c r="I451" s="105">
        <f t="shared" ca="1" si="126"/>
        <v>0</v>
      </c>
      <c r="J451" s="105">
        <f t="shared" ca="1" si="127"/>
        <v>0</v>
      </c>
      <c r="K451" s="105">
        <f t="shared" ca="1" si="128"/>
        <v>0</v>
      </c>
      <c r="L451" s="105">
        <f t="shared" ca="1" si="137"/>
        <v>0</v>
      </c>
      <c r="M451" s="105">
        <f t="shared" ca="1" si="129"/>
        <v>0</v>
      </c>
      <c r="N451" s="105">
        <f t="shared" ca="1" si="138"/>
        <v>0</v>
      </c>
      <c r="O451" s="105">
        <f t="shared" ca="1" si="130"/>
        <v>0</v>
      </c>
      <c r="P451" s="105">
        <f t="shared" ca="1" si="131"/>
        <v>0</v>
      </c>
      <c r="Q451" s="105">
        <f t="shared" ca="1" si="132"/>
        <v>0</v>
      </c>
      <c r="R451" s="105">
        <f t="shared" ca="1" si="133"/>
        <v>0</v>
      </c>
      <c r="S451" s="105">
        <f t="shared" ca="1" si="134"/>
        <v>10</v>
      </c>
    </row>
    <row r="452" spans="1:19" x14ac:dyDescent="0.35">
      <c r="A452" s="105">
        <f t="shared" ref="A452:A515" ca="1" si="139">$V$4+A451</f>
        <v>635.33500000000004</v>
      </c>
      <c r="B452" s="105">
        <f t="shared" ref="B452:B515" ca="1" si="140">IF(AND(A451&gt;$X$1,P451=0,R451=0),0,IF(AND(G451=0,H451=0),"突","")&amp;IF($V$8=0,IF(AND(OR($V$13=0,AND(K451=0,C451&lt;1),AND(K451&gt;0,OR(M451&gt;0,$V$7=0))),$V$6=1,E451=0),"渊","")&amp;IF(AND(OR($V$13=0,AND(K451=0,C451&lt;1),AND(K451&gt;0,OR(M451&gt;0,$V$7=0))),F451=0),"雷","")&amp;IF(AND(C451&gt;0,$V$13=1,E451=0,F451=0,K451=0),"任",IF(AND(G451=1,$V$7=1,I451=0),"乘","循环")),IF(AND($V$6=1,E451=0),"渊","")&amp;IF(AND(OR($V$13=0,AND(K451=0,C451&lt;1),AND(K451&gt;0,OR(M451&gt;0,$V$7=0))),F451=0),"雷","")&amp;IF(AND(C451&gt;0,L451=0,E451=0),"任",IF(AND(G451=1,$V$7=1,I451=0),"乘","循环"))))</f>
        <v>0</v>
      </c>
      <c r="C452" s="105">
        <f t="shared" ref="C452:C515" ca="1" si="141">IF(COUNTIF(B452,"*任*"),C451-1,IF(AND(D451&lt;&gt;0,D451&lt;$V$4),MIN(2,C451+1),C451))</f>
        <v>2</v>
      </c>
      <c r="D452" s="105">
        <f t="shared" ref="D452:D515" ca="1" si="142">IF(AND(D451&lt;$V$4,C451&lt;2),D451+$Y$6-$V$4,IF(AND(C451=2,COUNTIF(B452,"*任*")&gt;0),$Y$6-$V$4,MAX(0,D451-$V$4)))</f>
        <v>0</v>
      </c>
      <c r="E452" s="105">
        <f t="shared" ref="E452:E515" ca="1" si="143">IF(COUNTIF(B452,"*渊*")&gt;0,$Y$8-$V$4,MAX(0,E451-$V$4))</f>
        <v>0</v>
      </c>
      <c r="F452" s="105">
        <f t="shared" ref="F452:F515" ca="1" si="144">IF(COUNTIF(B452,"*雷*")&gt;0,$Y$9-$V$4,MAX(0,F451-$V$4))</f>
        <v>0</v>
      </c>
      <c r="G452" s="105">
        <f t="shared" ca="1" si="135"/>
        <v>0</v>
      </c>
      <c r="H452" s="105">
        <f t="shared" ca="1" si="136"/>
        <v>0</v>
      </c>
      <c r="I452" s="105">
        <f t="shared" ref="I452:I515" ca="1" si="145">IF(COUNTIF(B452,"*乘*")&gt;0,$Y$7-$V$4,MAX(0,I451-$V$4))</f>
        <v>0</v>
      </c>
      <c r="J452" s="105">
        <f t="shared" ref="J452:J515" ca="1" si="146">IF(H451&lt;1,$V$16,MAX(0,J451-1))*$V$11</f>
        <v>0</v>
      </c>
      <c r="K452" s="105">
        <f t="shared" ref="K452:K515" ca="1" si="147">IF(COUNTIF(B452,"*任*")&gt;0,$Z$6-$V$4+0.6875,MAX(0,K451-$V$4))</f>
        <v>0</v>
      </c>
      <c r="L452" s="105">
        <f t="shared" ca="1" si="137"/>
        <v>0</v>
      </c>
      <c r="M452" s="105">
        <f t="shared" ref="M452:M515" ca="1" si="148">IF(COUNTIF(B452,"*乘*")&gt;0,$Z$7-$V$4,MAX(0,M451-$V$4))</f>
        <v>0</v>
      </c>
      <c r="N452" s="105">
        <f t="shared" ca="1" si="138"/>
        <v>0</v>
      </c>
      <c r="O452" s="105">
        <f t="shared" ref="O452:O515" ca="1" si="149">IF(COUNTIF(B452,"*雷*")&gt;0,$Z$9-$V$4,MAX(0,O451-$V$4))</f>
        <v>0</v>
      </c>
      <c r="P452" s="105">
        <f t="shared" ref="P452:P515" ca="1" si="150">IF(O452+O451&gt;0,1,0)</f>
        <v>0</v>
      </c>
      <c r="Q452" s="105">
        <f t="shared" ref="Q452:Q515" ca="1" si="151">IF(COUNTIF(B452,"*渊*")&gt;0,$Z$8-$V$4,MAX(0,Q451-$V$4))</f>
        <v>0</v>
      </c>
      <c r="R452" s="105">
        <f t="shared" ref="R452:R515" ca="1" si="152">IF(Q452+Q451&gt;0,1,0)</f>
        <v>0</v>
      </c>
      <c r="S452" s="105">
        <f t="shared" ref="S452:S515" ca="1" si="153">IF(COUNTIF(B452,"*雷*")&gt;0,S451+1,S451)</f>
        <v>10</v>
      </c>
    </row>
    <row r="453" spans="1:19" x14ac:dyDescent="0.35">
      <c r="A453" s="105">
        <f t="shared" ca="1" si="139"/>
        <v>636.75</v>
      </c>
      <c r="B453" s="105">
        <f t="shared" ca="1" si="140"/>
        <v>0</v>
      </c>
      <c r="C453" s="105">
        <f t="shared" ca="1" si="141"/>
        <v>2</v>
      </c>
      <c r="D453" s="105">
        <f t="shared" ca="1" si="142"/>
        <v>0</v>
      </c>
      <c r="E453" s="105">
        <f t="shared" ca="1" si="143"/>
        <v>0</v>
      </c>
      <c r="F453" s="105">
        <f t="shared" ca="1" si="144"/>
        <v>0</v>
      </c>
      <c r="G453" s="105">
        <f t="shared" ref="G453:G516" ca="1" si="154">IF(RIGHT(B453,1)="任",1,IF(OR($V$9=0,AND(K452&lt;$V$4,H452=0)),0,G452))</f>
        <v>0</v>
      </c>
      <c r="H453" s="105">
        <f t="shared" ref="H453:H516" ca="1" si="155">IF(COUNTIF(B453,"*突*")&gt;0,$Y$5-$V$4,MAX(0,H452-$V$4))</f>
        <v>0</v>
      </c>
      <c r="I453" s="105">
        <f t="shared" ca="1" si="145"/>
        <v>0</v>
      </c>
      <c r="J453" s="105">
        <f t="shared" ca="1" si="146"/>
        <v>0</v>
      </c>
      <c r="K453" s="105">
        <f t="shared" ca="1" si="147"/>
        <v>0</v>
      </c>
      <c r="L453" s="105">
        <f t="shared" ca="1" si="137"/>
        <v>0</v>
      </c>
      <c r="M453" s="105">
        <f t="shared" ca="1" si="148"/>
        <v>0</v>
      </c>
      <c r="N453" s="105">
        <f t="shared" ca="1" si="138"/>
        <v>0</v>
      </c>
      <c r="O453" s="105">
        <f t="shared" ca="1" si="149"/>
        <v>0</v>
      </c>
      <c r="P453" s="105">
        <f t="shared" ca="1" si="150"/>
        <v>0</v>
      </c>
      <c r="Q453" s="105">
        <f t="shared" ca="1" si="151"/>
        <v>0</v>
      </c>
      <c r="R453" s="105">
        <f t="shared" ca="1" si="152"/>
        <v>0</v>
      </c>
      <c r="S453" s="105">
        <f t="shared" ca="1" si="153"/>
        <v>10</v>
      </c>
    </row>
    <row r="454" spans="1:19" x14ac:dyDescent="0.35">
      <c r="A454" s="105">
        <f t="shared" ca="1" si="139"/>
        <v>638.16499999999996</v>
      </c>
      <c r="B454" s="105">
        <f t="shared" ca="1" si="140"/>
        <v>0</v>
      </c>
      <c r="C454" s="105">
        <f t="shared" ca="1" si="141"/>
        <v>2</v>
      </c>
      <c r="D454" s="105">
        <f t="shared" ca="1" si="142"/>
        <v>0</v>
      </c>
      <c r="E454" s="105">
        <f t="shared" ca="1" si="143"/>
        <v>0</v>
      </c>
      <c r="F454" s="105">
        <f t="shared" ca="1" si="144"/>
        <v>0</v>
      </c>
      <c r="G454" s="105">
        <f t="shared" ca="1" si="154"/>
        <v>0</v>
      </c>
      <c r="H454" s="105">
        <f t="shared" ca="1" si="155"/>
        <v>0</v>
      </c>
      <c r="I454" s="105">
        <f t="shared" ca="1" si="145"/>
        <v>0</v>
      </c>
      <c r="J454" s="105">
        <f t="shared" ca="1" si="146"/>
        <v>0</v>
      </c>
      <c r="K454" s="105">
        <f t="shared" ca="1" si="147"/>
        <v>0</v>
      </c>
      <c r="L454" s="105">
        <f t="shared" ca="1" si="137"/>
        <v>0</v>
      </c>
      <c r="M454" s="105">
        <f t="shared" ca="1" si="148"/>
        <v>0</v>
      </c>
      <c r="N454" s="105">
        <f t="shared" ca="1" si="138"/>
        <v>0</v>
      </c>
      <c r="O454" s="105">
        <f t="shared" ca="1" si="149"/>
        <v>0</v>
      </c>
      <c r="P454" s="105">
        <f t="shared" ca="1" si="150"/>
        <v>0</v>
      </c>
      <c r="Q454" s="105">
        <f t="shared" ca="1" si="151"/>
        <v>0</v>
      </c>
      <c r="R454" s="105">
        <f t="shared" ca="1" si="152"/>
        <v>0</v>
      </c>
      <c r="S454" s="105">
        <f t="shared" ca="1" si="153"/>
        <v>10</v>
      </c>
    </row>
    <row r="455" spans="1:19" x14ac:dyDescent="0.35">
      <c r="A455" s="105">
        <f t="shared" ca="1" si="139"/>
        <v>639.57999999999993</v>
      </c>
      <c r="B455" s="105">
        <f t="shared" ca="1" si="140"/>
        <v>0</v>
      </c>
      <c r="C455" s="105">
        <f t="shared" ca="1" si="141"/>
        <v>2</v>
      </c>
      <c r="D455" s="105">
        <f t="shared" ca="1" si="142"/>
        <v>0</v>
      </c>
      <c r="E455" s="105">
        <f t="shared" ca="1" si="143"/>
        <v>0</v>
      </c>
      <c r="F455" s="105">
        <f t="shared" ca="1" si="144"/>
        <v>0</v>
      </c>
      <c r="G455" s="105">
        <f t="shared" ca="1" si="154"/>
        <v>0</v>
      </c>
      <c r="H455" s="105">
        <f t="shared" ca="1" si="155"/>
        <v>0</v>
      </c>
      <c r="I455" s="105">
        <f t="shared" ca="1" si="145"/>
        <v>0</v>
      </c>
      <c r="J455" s="105">
        <f t="shared" ca="1" si="146"/>
        <v>0</v>
      </c>
      <c r="K455" s="105">
        <f t="shared" ca="1" si="147"/>
        <v>0</v>
      </c>
      <c r="L455" s="105">
        <f t="shared" ca="1" si="137"/>
        <v>0</v>
      </c>
      <c r="M455" s="105">
        <f t="shared" ca="1" si="148"/>
        <v>0</v>
      </c>
      <c r="N455" s="105">
        <f t="shared" ca="1" si="138"/>
        <v>0</v>
      </c>
      <c r="O455" s="105">
        <f t="shared" ca="1" si="149"/>
        <v>0</v>
      </c>
      <c r="P455" s="105">
        <f t="shared" ca="1" si="150"/>
        <v>0</v>
      </c>
      <c r="Q455" s="105">
        <f t="shared" ca="1" si="151"/>
        <v>0</v>
      </c>
      <c r="R455" s="105">
        <f t="shared" ca="1" si="152"/>
        <v>0</v>
      </c>
      <c r="S455" s="105">
        <f t="shared" ca="1" si="153"/>
        <v>10</v>
      </c>
    </row>
    <row r="456" spans="1:19" x14ac:dyDescent="0.35">
      <c r="A456" s="105">
        <f t="shared" ca="1" si="139"/>
        <v>640.99499999999989</v>
      </c>
      <c r="B456" s="105">
        <f t="shared" ca="1" si="140"/>
        <v>0</v>
      </c>
      <c r="C456" s="105">
        <f t="shared" ca="1" si="141"/>
        <v>2</v>
      </c>
      <c r="D456" s="105">
        <f t="shared" ca="1" si="142"/>
        <v>0</v>
      </c>
      <c r="E456" s="105">
        <f t="shared" ca="1" si="143"/>
        <v>0</v>
      </c>
      <c r="F456" s="105">
        <f t="shared" ca="1" si="144"/>
        <v>0</v>
      </c>
      <c r="G456" s="105">
        <f t="shared" ca="1" si="154"/>
        <v>0</v>
      </c>
      <c r="H456" s="105">
        <f t="shared" ca="1" si="155"/>
        <v>0</v>
      </c>
      <c r="I456" s="105">
        <f t="shared" ca="1" si="145"/>
        <v>0</v>
      </c>
      <c r="J456" s="105">
        <f t="shared" ca="1" si="146"/>
        <v>0</v>
      </c>
      <c r="K456" s="105">
        <f t="shared" ca="1" si="147"/>
        <v>0</v>
      </c>
      <c r="L456" s="105">
        <f t="shared" ca="1" si="137"/>
        <v>0</v>
      </c>
      <c r="M456" s="105">
        <f t="shared" ca="1" si="148"/>
        <v>0</v>
      </c>
      <c r="N456" s="105">
        <f t="shared" ca="1" si="138"/>
        <v>0</v>
      </c>
      <c r="O456" s="105">
        <f t="shared" ca="1" si="149"/>
        <v>0</v>
      </c>
      <c r="P456" s="105">
        <f t="shared" ca="1" si="150"/>
        <v>0</v>
      </c>
      <c r="Q456" s="105">
        <f t="shared" ca="1" si="151"/>
        <v>0</v>
      </c>
      <c r="R456" s="105">
        <f t="shared" ca="1" si="152"/>
        <v>0</v>
      </c>
      <c r="S456" s="105">
        <f t="shared" ca="1" si="153"/>
        <v>10</v>
      </c>
    </row>
    <row r="457" spans="1:19" x14ac:dyDescent="0.35">
      <c r="A457" s="105">
        <f t="shared" ca="1" si="139"/>
        <v>642.40999999999985</v>
      </c>
      <c r="B457" s="105">
        <f t="shared" ca="1" si="140"/>
        <v>0</v>
      </c>
      <c r="C457" s="105">
        <f t="shared" ca="1" si="141"/>
        <v>2</v>
      </c>
      <c r="D457" s="105">
        <f t="shared" ca="1" si="142"/>
        <v>0</v>
      </c>
      <c r="E457" s="105">
        <f t="shared" ca="1" si="143"/>
        <v>0</v>
      </c>
      <c r="F457" s="105">
        <f t="shared" ca="1" si="144"/>
        <v>0</v>
      </c>
      <c r="G457" s="105">
        <f t="shared" ca="1" si="154"/>
        <v>0</v>
      </c>
      <c r="H457" s="105">
        <f t="shared" ca="1" si="155"/>
        <v>0</v>
      </c>
      <c r="I457" s="105">
        <f t="shared" ca="1" si="145"/>
        <v>0</v>
      </c>
      <c r="J457" s="105">
        <f t="shared" ca="1" si="146"/>
        <v>0</v>
      </c>
      <c r="K457" s="105">
        <f t="shared" ca="1" si="147"/>
        <v>0</v>
      </c>
      <c r="L457" s="105">
        <f t="shared" ca="1" si="137"/>
        <v>0</v>
      </c>
      <c r="M457" s="105">
        <f t="shared" ca="1" si="148"/>
        <v>0</v>
      </c>
      <c r="N457" s="105">
        <f t="shared" ca="1" si="138"/>
        <v>0</v>
      </c>
      <c r="O457" s="105">
        <f t="shared" ca="1" si="149"/>
        <v>0</v>
      </c>
      <c r="P457" s="105">
        <f t="shared" ca="1" si="150"/>
        <v>0</v>
      </c>
      <c r="Q457" s="105">
        <f t="shared" ca="1" si="151"/>
        <v>0</v>
      </c>
      <c r="R457" s="105">
        <f t="shared" ca="1" si="152"/>
        <v>0</v>
      </c>
      <c r="S457" s="105">
        <f t="shared" ca="1" si="153"/>
        <v>10</v>
      </c>
    </row>
    <row r="458" spans="1:19" x14ac:dyDescent="0.35">
      <c r="A458" s="105">
        <f t="shared" ca="1" si="139"/>
        <v>643.82499999999982</v>
      </c>
      <c r="B458" s="105">
        <f t="shared" ca="1" si="140"/>
        <v>0</v>
      </c>
      <c r="C458" s="105">
        <f t="shared" ca="1" si="141"/>
        <v>2</v>
      </c>
      <c r="D458" s="105">
        <f t="shared" ca="1" si="142"/>
        <v>0</v>
      </c>
      <c r="E458" s="105">
        <f t="shared" ca="1" si="143"/>
        <v>0</v>
      </c>
      <c r="F458" s="105">
        <f t="shared" ca="1" si="144"/>
        <v>0</v>
      </c>
      <c r="G458" s="105">
        <f t="shared" ca="1" si="154"/>
        <v>0</v>
      </c>
      <c r="H458" s="105">
        <f t="shared" ca="1" si="155"/>
        <v>0</v>
      </c>
      <c r="I458" s="105">
        <f t="shared" ca="1" si="145"/>
        <v>0</v>
      </c>
      <c r="J458" s="105">
        <f t="shared" ca="1" si="146"/>
        <v>0</v>
      </c>
      <c r="K458" s="105">
        <f t="shared" ca="1" si="147"/>
        <v>0</v>
      </c>
      <c r="L458" s="105">
        <f t="shared" ca="1" si="137"/>
        <v>0</v>
      </c>
      <c r="M458" s="105">
        <f t="shared" ca="1" si="148"/>
        <v>0</v>
      </c>
      <c r="N458" s="105">
        <f t="shared" ca="1" si="138"/>
        <v>0</v>
      </c>
      <c r="O458" s="105">
        <f t="shared" ca="1" si="149"/>
        <v>0</v>
      </c>
      <c r="P458" s="105">
        <f t="shared" ca="1" si="150"/>
        <v>0</v>
      </c>
      <c r="Q458" s="105">
        <f t="shared" ca="1" si="151"/>
        <v>0</v>
      </c>
      <c r="R458" s="105">
        <f t="shared" ca="1" si="152"/>
        <v>0</v>
      </c>
      <c r="S458" s="105">
        <f t="shared" ca="1" si="153"/>
        <v>10</v>
      </c>
    </row>
    <row r="459" spans="1:19" x14ac:dyDescent="0.35">
      <c r="A459" s="105">
        <f t="shared" ca="1" si="139"/>
        <v>645.23999999999978</v>
      </c>
      <c r="B459" s="105">
        <f t="shared" ca="1" si="140"/>
        <v>0</v>
      </c>
      <c r="C459" s="105">
        <f t="shared" ca="1" si="141"/>
        <v>2</v>
      </c>
      <c r="D459" s="105">
        <f t="shared" ca="1" si="142"/>
        <v>0</v>
      </c>
      <c r="E459" s="105">
        <f t="shared" ca="1" si="143"/>
        <v>0</v>
      </c>
      <c r="F459" s="105">
        <f t="shared" ca="1" si="144"/>
        <v>0</v>
      </c>
      <c r="G459" s="105">
        <f t="shared" ca="1" si="154"/>
        <v>0</v>
      </c>
      <c r="H459" s="105">
        <f t="shared" ca="1" si="155"/>
        <v>0</v>
      </c>
      <c r="I459" s="105">
        <f t="shared" ca="1" si="145"/>
        <v>0</v>
      </c>
      <c r="J459" s="105">
        <f t="shared" ca="1" si="146"/>
        <v>0</v>
      </c>
      <c r="K459" s="105">
        <f t="shared" ca="1" si="147"/>
        <v>0</v>
      </c>
      <c r="L459" s="105">
        <f t="shared" ca="1" si="137"/>
        <v>0</v>
      </c>
      <c r="M459" s="105">
        <f t="shared" ca="1" si="148"/>
        <v>0</v>
      </c>
      <c r="N459" s="105">
        <f t="shared" ca="1" si="138"/>
        <v>0</v>
      </c>
      <c r="O459" s="105">
        <f t="shared" ca="1" si="149"/>
        <v>0</v>
      </c>
      <c r="P459" s="105">
        <f t="shared" ca="1" si="150"/>
        <v>0</v>
      </c>
      <c r="Q459" s="105">
        <f t="shared" ca="1" si="151"/>
        <v>0</v>
      </c>
      <c r="R459" s="105">
        <f t="shared" ca="1" si="152"/>
        <v>0</v>
      </c>
      <c r="S459" s="105">
        <f t="shared" ca="1" si="153"/>
        <v>10</v>
      </c>
    </row>
    <row r="460" spans="1:19" x14ac:dyDescent="0.35">
      <c r="A460" s="105">
        <f t="shared" ca="1" si="139"/>
        <v>646.65499999999975</v>
      </c>
      <c r="B460" s="105">
        <f t="shared" ca="1" si="140"/>
        <v>0</v>
      </c>
      <c r="C460" s="105">
        <f t="shared" ca="1" si="141"/>
        <v>2</v>
      </c>
      <c r="D460" s="105">
        <f t="shared" ca="1" si="142"/>
        <v>0</v>
      </c>
      <c r="E460" s="105">
        <f t="shared" ca="1" si="143"/>
        <v>0</v>
      </c>
      <c r="F460" s="105">
        <f t="shared" ca="1" si="144"/>
        <v>0</v>
      </c>
      <c r="G460" s="105">
        <f t="shared" ca="1" si="154"/>
        <v>0</v>
      </c>
      <c r="H460" s="105">
        <f t="shared" ca="1" si="155"/>
        <v>0</v>
      </c>
      <c r="I460" s="105">
        <f t="shared" ca="1" si="145"/>
        <v>0</v>
      </c>
      <c r="J460" s="105">
        <f t="shared" ca="1" si="146"/>
        <v>0</v>
      </c>
      <c r="K460" s="105">
        <f t="shared" ca="1" si="147"/>
        <v>0</v>
      </c>
      <c r="L460" s="105">
        <f t="shared" ca="1" si="137"/>
        <v>0</v>
      </c>
      <c r="M460" s="105">
        <f t="shared" ca="1" si="148"/>
        <v>0</v>
      </c>
      <c r="N460" s="105">
        <f t="shared" ca="1" si="138"/>
        <v>0</v>
      </c>
      <c r="O460" s="105">
        <f t="shared" ca="1" si="149"/>
        <v>0</v>
      </c>
      <c r="P460" s="105">
        <f t="shared" ca="1" si="150"/>
        <v>0</v>
      </c>
      <c r="Q460" s="105">
        <f t="shared" ca="1" si="151"/>
        <v>0</v>
      </c>
      <c r="R460" s="105">
        <f t="shared" ca="1" si="152"/>
        <v>0</v>
      </c>
      <c r="S460" s="105">
        <f t="shared" ca="1" si="153"/>
        <v>10</v>
      </c>
    </row>
    <row r="461" spans="1:19" x14ac:dyDescent="0.35">
      <c r="A461" s="105">
        <f t="shared" ca="1" si="139"/>
        <v>648.06999999999971</v>
      </c>
      <c r="B461" s="105">
        <f t="shared" ca="1" si="140"/>
        <v>0</v>
      </c>
      <c r="C461" s="105">
        <f t="shared" ca="1" si="141"/>
        <v>2</v>
      </c>
      <c r="D461" s="105">
        <f t="shared" ca="1" si="142"/>
        <v>0</v>
      </c>
      <c r="E461" s="105">
        <f t="shared" ca="1" si="143"/>
        <v>0</v>
      </c>
      <c r="F461" s="105">
        <f t="shared" ca="1" si="144"/>
        <v>0</v>
      </c>
      <c r="G461" s="105">
        <f t="shared" ca="1" si="154"/>
        <v>0</v>
      </c>
      <c r="H461" s="105">
        <f t="shared" ca="1" si="155"/>
        <v>0</v>
      </c>
      <c r="I461" s="105">
        <f t="shared" ca="1" si="145"/>
        <v>0</v>
      </c>
      <c r="J461" s="105">
        <f t="shared" ca="1" si="146"/>
        <v>0</v>
      </c>
      <c r="K461" s="105">
        <f t="shared" ca="1" si="147"/>
        <v>0</v>
      </c>
      <c r="L461" s="105">
        <f t="shared" ca="1" si="137"/>
        <v>0</v>
      </c>
      <c r="M461" s="105">
        <f t="shared" ca="1" si="148"/>
        <v>0</v>
      </c>
      <c r="N461" s="105">
        <f t="shared" ca="1" si="138"/>
        <v>0</v>
      </c>
      <c r="O461" s="105">
        <f t="shared" ca="1" si="149"/>
        <v>0</v>
      </c>
      <c r="P461" s="105">
        <f t="shared" ca="1" si="150"/>
        <v>0</v>
      </c>
      <c r="Q461" s="105">
        <f t="shared" ca="1" si="151"/>
        <v>0</v>
      </c>
      <c r="R461" s="105">
        <f t="shared" ca="1" si="152"/>
        <v>0</v>
      </c>
      <c r="S461" s="105">
        <f t="shared" ca="1" si="153"/>
        <v>10</v>
      </c>
    </row>
    <row r="462" spans="1:19" x14ac:dyDescent="0.35">
      <c r="A462" s="105">
        <f t="shared" ca="1" si="139"/>
        <v>649.48499999999967</v>
      </c>
      <c r="B462" s="105">
        <f t="shared" ca="1" si="140"/>
        <v>0</v>
      </c>
      <c r="C462" s="105">
        <f t="shared" ca="1" si="141"/>
        <v>2</v>
      </c>
      <c r="D462" s="105">
        <f t="shared" ca="1" si="142"/>
        <v>0</v>
      </c>
      <c r="E462" s="105">
        <f t="shared" ca="1" si="143"/>
        <v>0</v>
      </c>
      <c r="F462" s="105">
        <f t="shared" ca="1" si="144"/>
        <v>0</v>
      </c>
      <c r="G462" s="105">
        <f t="shared" ca="1" si="154"/>
        <v>0</v>
      </c>
      <c r="H462" s="105">
        <f t="shared" ca="1" si="155"/>
        <v>0</v>
      </c>
      <c r="I462" s="105">
        <f t="shared" ca="1" si="145"/>
        <v>0</v>
      </c>
      <c r="J462" s="105">
        <f t="shared" ca="1" si="146"/>
        <v>0</v>
      </c>
      <c r="K462" s="105">
        <f t="shared" ca="1" si="147"/>
        <v>0</v>
      </c>
      <c r="L462" s="105">
        <f t="shared" ca="1" si="137"/>
        <v>0</v>
      </c>
      <c r="M462" s="105">
        <f t="shared" ca="1" si="148"/>
        <v>0</v>
      </c>
      <c r="N462" s="105">
        <f t="shared" ca="1" si="138"/>
        <v>0</v>
      </c>
      <c r="O462" s="105">
        <f t="shared" ca="1" si="149"/>
        <v>0</v>
      </c>
      <c r="P462" s="105">
        <f t="shared" ca="1" si="150"/>
        <v>0</v>
      </c>
      <c r="Q462" s="105">
        <f t="shared" ca="1" si="151"/>
        <v>0</v>
      </c>
      <c r="R462" s="105">
        <f t="shared" ca="1" si="152"/>
        <v>0</v>
      </c>
      <c r="S462" s="105">
        <f t="shared" ca="1" si="153"/>
        <v>10</v>
      </c>
    </row>
    <row r="463" spans="1:19" x14ac:dyDescent="0.35">
      <c r="A463" s="105">
        <f t="shared" ca="1" si="139"/>
        <v>650.89999999999964</v>
      </c>
      <c r="B463" s="105">
        <f t="shared" ca="1" si="140"/>
        <v>0</v>
      </c>
      <c r="C463" s="105">
        <f t="shared" ca="1" si="141"/>
        <v>2</v>
      </c>
      <c r="D463" s="105">
        <f t="shared" ca="1" si="142"/>
        <v>0</v>
      </c>
      <c r="E463" s="105">
        <f t="shared" ca="1" si="143"/>
        <v>0</v>
      </c>
      <c r="F463" s="105">
        <f t="shared" ca="1" si="144"/>
        <v>0</v>
      </c>
      <c r="G463" s="105">
        <f t="shared" ca="1" si="154"/>
        <v>0</v>
      </c>
      <c r="H463" s="105">
        <f t="shared" ca="1" si="155"/>
        <v>0</v>
      </c>
      <c r="I463" s="105">
        <f t="shared" ca="1" si="145"/>
        <v>0</v>
      </c>
      <c r="J463" s="105">
        <f t="shared" ca="1" si="146"/>
        <v>0</v>
      </c>
      <c r="K463" s="105">
        <f t="shared" ca="1" si="147"/>
        <v>0</v>
      </c>
      <c r="L463" s="105">
        <f t="shared" ca="1" si="137"/>
        <v>0</v>
      </c>
      <c r="M463" s="105">
        <f t="shared" ca="1" si="148"/>
        <v>0</v>
      </c>
      <c r="N463" s="105">
        <f t="shared" ca="1" si="138"/>
        <v>0</v>
      </c>
      <c r="O463" s="105">
        <f t="shared" ca="1" si="149"/>
        <v>0</v>
      </c>
      <c r="P463" s="105">
        <f t="shared" ca="1" si="150"/>
        <v>0</v>
      </c>
      <c r="Q463" s="105">
        <f t="shared" ca="1" si="151"/>
        <v>0</v>
      </c>
      <c r="R463" s="105">
        <f t="shared" ca="1" si="152"/>
        <v>0</v>
      </c>
      <c r="S463" s="105">
        <f t="shared" ca="1" si="153"/>
        <v>10</v>
      </c>
    </row>
    <row r="464" spans="1:19" x14ac:dyDescent="0.35">
      <c r="A464" s="105">
        <f t="shared" ca="1" si="139"/>
        <v>652.3149999999996</v>
      </c>
      <c r="B464" s="105">
        <f t="shared" ca="1" si="140"/>
        <v>0</v>
      </c>
      <c r="C464" s="105">
        <f t="shared" ca="1" si="141"/>
        <v>2</v>
      </c>
      <c r="D464" s="105">
        <f t="shared" ca="1" si="142"/>
        <v>0</v>
      </c>
      <c r="E464" s="105">
        <f t="shared" ca="1" si="143"/>
        <v>0</v>
      </c>
      <c r="F464" s="105">
        <f t="shared" ca="1" si="144"/>
        <v>0</v>
      </c>
      <c r="G464" s="105">
        <f t="shared" ca="1" si="154"/>
        <v>0</v>
      </c>
      <c r="H464" s="105">
        <f t="shared" ca="1" si="155"/>
        <v>0</v>
      </c>
      <c r="I464" s="105">
        <f t="shared" ca="1" si="145"/>
        <v>0</v>
      </c>
      <c r="J464" s="105">
        <f t="shared" ca="1" si="146"/>
        <v>0</v>
      </c>
      <c r="K464" s="105">
        <f t="shared" ca="1" si="147"/>
        <v>0</v>
      </c>
      <c r="L464" s="105">
        <f t="shared" ca="1" si="137"/>
        <v>0</v>
      </c>
      <c r="M464" s="105">
        <f t="shared" ca="1" si="148"/>
        <v>0</v>
      </c>
      <c r="N464" s="105">
        <f t="shared" ca="1" si="138"/>
        <v>0</v>
      </c>
      <c r="O464" s="105">
        <f t="shared" ca="1" si="149"/>
        <v>0</v>
      </c>
      <c r="P464" s="105">
        <f t="shared" ca="1" si="150"/>
        <v>0</v>
      </c>
      <c r="Q464" s="105">
        <f t="shared" ca="1" si="151"/>
        <v>0</v>
      </c>
      <c r="R464" s="105">
        <f t="shared" ca="1" si="152"/>
        <v>0</v>
      </c>
      <c r="S464" s="105">
        <f t="shared" ca="1" si="153"/>
        <v>10</v>
      </c>
    </row>
    <row r="465" spans="1:19" x14ac:dyDescent="0.35">
      <c r="A465" s="105">
        <f t="shared" ca="1" si="139"/>
        <v>653.72999999999956</v>
      </c>
      <c r="B465" s="105">
        <f t="shared" ca="1" si="140"/>
        <v>0</v>
      </c>
      <c r="C465" s="105">
        <f t="shared" ca="1" si="141"/>
        <v>2</v>
      </c>
      <c r="D465" s="105">
        <f t="shared" ca="1" si="142"/>
        <v>0</v>
      </c>
      <c r="E465" s="105">
        <f t="shared" ca="1" si="143"/>
        <v>0</v>
      </c>
      <c r="F465" s="105">
        <f t="shared" ca="1" si="144"/>
        <v>0</v>
      </c>
      <c r="G465" s="105">
        <f t="shared" ca="1" si="154"/>
        <v>0</v>
      </c>
      <c r="H465" s="105">
        <f t="shared" ca="1" si="155"/>
        <v>0</v>
      </c>
      <c r="I465" s="105">
        <f t="shared" ca="1" si="145"/>
        <v>0</v>
      </c>
      <c r="J465" s="105">
        <f t="shared" ca="1" si="146"/>
        <v>0</v>
      </c>
      <c r="K465" s="105">
        <f t="shared" ca="1" si="147"/>
        <v>0</v>
      </c>
      <c r="L465" s="105">
        <f t="shared" ca="1" si="137"/>
        <v>0</v>
      </c>
      <c r="M465" s="105">
        <f t="shared" ca="1" si="148"/>
        <v>0</v>
      </c>
      <c r="N465" s="105">
        <f t="shared" ca="1" si="138"/>
        <v>0</v>
      </c>
      <c r="O465" s="105">
        <f t="shared" ca="1" si="149"/>
        <v>0</v>
      </c>
      <c r="P465" s="105">
        <f t="shared" ca="1" si="150"/>
        <v>0</v>
      </c>
      <c r="Q465" s="105">
        <f t="shared" ca="1" si="151"/>
        <v>0</v>
      </c>
      <c r="R465" s="105">
        <f t="shared" ca="1" si="152"/>
        <v>0</v>
      </c>
      <c r="S465" s="105">
        <f t="shared" ca="1" si="153"/>
        <v>10</v>
      </c>
    </row>
    <row r="466" spans="1:19" x14ac:dyDescent="0.35">
      <c r="A466" s="105">
        <f t="shared" ca="1" si="139"/>
        <v>655.14499999999953</v>
      </c>
      <c r="B466" s="105">
        <f t="shared" ca="1" si="140"/>
        <v>0</v>
      </c>
      <c r="C466" s="105">
        <f t="shared" ca="1" si="141"/>
        <v>2</v>
      </c>
      <c r="D466" s="105">
        <f t="shared" ca="1" si="142"/>
        <v>0</v>
      </c>
      <c r="E466" s="105">
        <f t="shared" ca="1" si="143"/>
        <v>0</v>
      </c>
      <c r="F466" s="105">
        <f t="shared" ca="1" si="144"/>
        <v>0</v>
      </c>
      <c r="G466" s="105">
        <f t="shared" ca="1" si="154"/>
        <v>0</v>
      </c>
      <c r="H466" s="105">
        <f t="shared" ca="1" si="155"/>
        <v>0</v>
      </c>
      <c r="I466" s="105">
        <f t="shared" ca="1" si="145"/>
        <v>0</v>
      </c>
      <c r="J466" s="105">
        <f t="shared" ca="1" si="146"/>
        <v>0</v>
      </c>
      <c r="K466" s="105">
        <f t="shared" ca="1" si="147"/>
        <v>0</v>
      </c>
      <c r="L466" s="105">
        <f t="shared" ca="1" si="137"/>
        <v>0</v>
      </c>
      <c r="M466" s="105">
        <f t="shared" ca="1" si="148"/>
        <v>0</v>
      </c>
      <c r="N466" s="105">
        <f t="shared" ca="1" si="138"/>
        <v>0</v>
      </c>
      <c r="O466" s="105">
        <f t="shared" ca="1" si="149"/>
        <v>0</v>
      </c>
      <c r="P466" s="105">
        <f t="shared" ca="1" si="150"/>
        <v>0</v>
      </c>
      <c r="Q466" s="105">
        <f t="shared" ca="1" si="151"/>
        <v>0</v>
      </c>
      <c r="R466" s="105">
        <f t="shared" ca="1" si="152"/>
        <v>0</v>
      </c>
      <c r="S466" s="105">
        <f t="shared" ca="1" si="153"/>
        <v>10</v>
      </c>
    </row>
    <row r="467" spans="1:19" x14ac:dyDescent="0.35">
      <c r="A467" s="105">
        <f t="shared" ca="1" si="139"/>
        <v>656.55999999999949</v>
      </c>
      <c r="B467" s="105">
        <f t="shared" ca="1" si="140"/>
        <v>0</v>
      </c>
      <c r="C467" s="105">
        <f t="shared" ca="1" si="141"/>
        <v>2</v>
      </c>
      <c r="D467" s="105">
        <f t="shared" ca="1" si="142"/>
        <v>0</v>
      </c>
      <c r="E467" s="105">
        <f t="shared" ca="1" si="143"/>
        <v>0</v>
      </c>
      <c r="F467" s="105">
        <f t="shared" ca="1" si="144"/>
        <v>0</v>
      </c>
      <c r="G467" s="105">
        <f t="shared" ca="1" si="154"/>
        <v>0</v>
      </c>
      <c r="H467" s="105">
        <f t="shared" ca="1" si="155"/>
        <v>0</v>
      </c>
      <c r="I467" s="105">
        <f t="shared" ca="1" si="145"/>
        <v>0</v>
      </c>
      <c r="J467" s="105">
        <f t="shared" ca="1" si="146"/>
        <v>0</v>
      </c>
      <c r="K467" s="105">
        <f t="shared" ca="1" si="147"/>
        <v>0</v>
      </c>
      <c r="L467" s="105">
        <f t="shared" ca="1" si="137"/>
        <v>0</v>
      </c>
      <c r="M467" s="105">
        <f t="shared" ca="1" si="148"/>
        <v>0</v>
      </c>
      <c r="N467" s="105">
        <f t="shared" ca="1" si="138"/>
        <v>0</v>
      </c>
      <c r="O467" s="105">
        <f t="shared" ca="1" si="149"/>
        <v>0</v>
      </c>
      <c r="P467" s="105">
        <f t="shared" ca="1" si="150"/>
        <v>0</v>
      </c>
      <c r="Q467" s="105">
        <f t="shared" ca="1" si="151"/>
        <v>0</v>
      </c>
      <c r="R467" s="105">
        <f t="shared" ca="1" si="152"/>
        <v>0</v>
      </c>
      <c r="S467" s="105">
        <f t="shared" ca="1" si="153"/>
        <v>10</v>
      </c>
    </row>
    <row r="468" spans="1:19" x14ac:dyDescent="0.35">
      <c r="A468" s="105">
        <f t="shared" ca="1" si="139"/>
        <v>657.97499999999945</v>
      </c>
      <c r="B468" s="105">
        <f t="shared" ca="1" si="140"/>
        <v>0</v>
      </c>
      <c r="C468" s="105">
        <f t="shared" ca="1" si="141"/>
        <v>2</v>
      </c>
      <c r="D468" s="105">
        <f t="shared" ca="1" si="142"/>
        <v>0</v>
      </c>
      <c r="E468" s="105">
        <f t="shared" ca="1" si="143"/>
        <v>0</v>
      </c>
      <c r="F468" s="105">
        <f t="shared" ca="1" si="144"/>
        <v>0</v>
      </c>
      <c r="G468" s="105">
        <f t="shared" ca="1" si="154"/>
        <v>0</v>
      </c>
      <c r="H468" s="105">
        <f t="shared" ca="1" si="155"/>
        <v>0</v>
      </c>
      <c r="I468" s="105">
        <f t="shared" ca="1" si="145"/>
        <v>0</v>
      </c>
      <c r="J468" s="105">
        <f t="shared" ca="1" si="146"/>
        <v>0</v>
      </c>
      <c r="K468" s="105">
        <f t="shared" ca="1" si="147"/>
        <v>0</v>
      </c>
      <c r="L468" s="105">
        <f t="shared" ca="1" si="137"/>
        <v>0</v>
      </c>
      <c r="M468" s="105">
        <f t="shared" ca="1" si="148"/>
        <v>0</v>
      </c>
      <c r="N468" s="105">
        <f t="shared" ca="1" si="138"/>
        <v>0</v>
      </c>
      <c r="O468" s="105">
        <f t="shared" ca="1" si="149"/>
        <v>0</v>
      </c>
      <c r="P468" s="105">
        <f t="shared" ca="1" si="150"/>
        <v>0</v>
      </c>
      <c r="Q468" s="105">
        <f t="shared" ca="1" si="151"/>
        <v>0</v>
      </c>
      <c r="R468" s="105">
        <f t="shared" ca="1" si="152"/>
        <v>0</v>
      </c>
      <c r="S468" s="105">
        <f t="shared" ca="1" si="153"/>
        <v>10</v>
      </c>
    </row>
    <row r="469" spans="1:19" x14ac:dyDescent="0.35">
      <c r="A469" s="105">
        <f t="shared" ca="1" si="139"/>
        <v>659.38999999999942</v>
      </c>
      <c r="B469" s="105">
        <f t="shared" ca="1" si="140"/>
        <v>0</v>
      </c>
      <c r="C469" s="105">
        <f t="shared" ca="1" si="141"/>
        <v>2</v>
      </c>
      <c r="D469" s="105">
        <f t="shared" ca="1" si="142"/>
        <v>0</v>
      </c>
      <c r="E469" s="105">
        <f t="shared" ca="1" si="143"/>
        <v>0</v>
      </c>
      <c r="F469" s="105">
        <f t="shared" ca="1" si="144"/>
        <v>0</v>
      </c>
      <c r="G469" s="105">
        <f t="shared" ca="1" si="154"/>
        <v>0</v>
      </c>
      <c r="H469" s="105">
        <f t="shared" ca="1" si="155"/>
        <v>0</v>
      </c>
      <c r="I469" s="105">
        <f t="shared" ca="1" si="145"/>
        <v>0</v>
      </c>
      <c r="J469" s="105">
        <f t="shared" ca="1" si="146"/>
        <v>0</v>
      </c>
      <c r="K469" s="105">
        <f t="shared" ca="1" si="147"/>
        <v>0</v>
      </c>
      <c r="L469" s="105">
        <f t="shared" ca="1" si="137"/>
        <v>0</v>
      </c>
      <c r="M469" s="105">
        <f t="shared" ca="1" si="148"/>
        <v>0</v>
      </c>
      <c r="N469" s="105">
        <f t="shared" ca="1" si="138"/>
        <v>0</v>
      </c>
      <c r="O469" s="105">
        <f t="shared" ca="1" si="149"/>
        <v>0</v>
      </c>
      <c r="P469" s="105">
        <f t="shared" ca="1" si="150"/>
        <v>0</v>
      </c>
      <c r="Q469" s="105">
        <f t="shared" ca="1" si="151"/>
        <v>0</v>
      </c>
      <c r="R469" s="105">
        <f t="shared" ca="1" si="152"/>
        <v>0</v>
      </c>
      <c r="S469" s="105">
        <f t="shared" ca="1" si="153"/>
        <v>10</v>
      </c>
    </row>
    <row r="470" spans="1:19" x14ac:dyDescent="0.35">
      <c r="A470" s="105">
        <f t="shared" ca="1" si="139"/>
        <v>660.80499999999938</v>
      </c>
      <c r="B470" s="105">
        <f t="shared" ca="1" si="140"/>
        <v>0</v>
      </c>
      <c r="C470" s="105">
        <f t="shared" ca="1" si="141"/>
        <v>2</v>
      </c>
      <c r="D470" s="105">
        <f t="shared" ca="1" si="142"/>
        <v>0</v>
      </c>
      <c r="E470" s="105">
        <f t="shared" ca="1" si="143"/>
        <v>0</v>
      </c>
      <c r="F470" s="105">
        <f t="shared" ca="1" si="144"/>
        <v>0</v>
      </c>
      <c r="G470" s="105">
        <f t="shared" ca="1" si="154"/>
        <v>0</v>
      </c>
      <c r="H470" s="105">
        <f t="shared" ca="1" si="155"/>
        <v>0</v>
      </c>
      <c r="I470" s="105">
        <f t="shared" ca="1" si="145"/>
        <v>0</v>
      </c>
      <c r="J470" s="105">
        <f t="shared" ca="1" si="146"/>
        <v>0</v>
      </c>
      <c r="K470" s="105">
        <f t="shared" ca="1" si="147"/>
        <v>0</v>
      </c>
      <c r="L470" s="105">
        <f t="shared" ca="1" si="137"/>
        <v>0</v>
      </c>
      <c r="M470" s="105">
        <f t="shared" ca="1" si="148"/>
        <v>0</v>
      </c>
      <c r="N470" s="105">
        <f t="shared" ca="1" si="138"/>
        <v>0</v>
      </c>
      <c r="O470" s="105">
        <f t="shared" ca="1" si="149"/>
        <v>0</v>
      </c>
      <c r="P470" s="105">
        <f t="shared" ca="1" si="150"/>
        <v>0</v>
      </c>
      <c r="Q470" s="105">
        <f t="shared" ca="1" si="151"/>
        <v>0</v>
      </c>
      <c r="R470" s="105">
        <f t="shared" ca="1" si="152"/>
        <v>0</v>
      </c>
      <c r="S470" s="105">
        <f t="shared" ca="1" si="153"/>
        <v>10</v>
      </c>
    </row>
    <row r="471" spans="1:19" x14ac:dyDescent="0.35">
      <c r="A471" s="105">
        <f t="shared" ca="1" si="139"/>
        <v>662.21999999999935</v>
      </c>
      <c r="B471" s="105">
        <f t="shared" ca="1" si="140"/>
        <v>0</v>
      </c>
      <c r="C471" s="105">
        <f t="shared" ca="1" si="141"/>
        <v>2</v>
      </c>
      <c r="D471" s="105">
        <f t="shared" ca="1" si="142"/>
        <v>0</v>
      </c>
      <c r="E471" s="105">
        <f t="shared" ca="1" si="143"/>
        <v>0</v>
      </c>
      <c r="F471" s="105">
        <f t="shared" ca="1" si="144"/>
        <v>0</v>
      </c>
      <c r="G471" s="105">
        <f t="shared" ca="1" si="154"/>
        <v>0</v>
      </c>
      <c r="H471" s="105">
        <f t="shared" ca="1" si="155"/>
        <v>0</v>
      </c>
      <c r="I471" s="105">
        <f t="shared" ca="1" si="145"/>
        <v>0</v>
      </c>
      <c r="J471" s="105">
        <f t="shared" ca="1" si="146"/>
        <v>0</v>
      </c>
      <c r="K471" s="105">
        <f t="shared" ca="1" si="147"/>
        <v>0</v>
      </c>
      <c r="L471" s="105">
        <f t="shared" ca="1" si="137"/>
        <v>0</v>
      </c>
      <c r="M471" s="105">
        <f t="shared" ca="1" si="148"/>
        <v>0</v>
      </c>
      <c r="N471" s="105">
        <f t="shared" ca="1" si="138"/>
        <v>0</v>
      </c>
      <c r="O471" s="105">
        <f t="shared" ca="1" si="149"/>
        <v>0</v>
      </c>
      <c r="P471" s="105">
        <f t="shared" ca="1" si="150"/>
        <v>0</v>
      </c>
      <c r="Q471" s="105">
        <f t="shared" ca="1" si="151"/>
        <v>0</v>
      </c>
      <c r="R471" s="105">
        <f t="shared" ca="1" si="152"/>
        <v>0</v>
      </c>
      <c r="S471" s="105">
        <f t="shared" ca="1" si="153"/>
        <v>10</v>
      </c>
    </row>
    <row r="472" spans="1:19" x14ac:dyDescent="0.35">
      <c r="A472" s="105">
        <f t="shared" ca="1" si="139"/>
        <v>663.63499999999931</v>
      </c>
      <c r="B472" s="105">
        <f t="shared" ca="1" si="140"/>
        <v>0</v>
      </c>
      <c r="C472" s="105">
        <f t="shared" ca="1" si="141"/>
        <v>2</v>
      </c>
      <c r="D472" s="105">
        <f t="shared" ca="1" si="142"/>
        <v>0</v>
      </c>
      <c r="E472" s="105">
        <f t="shared" ca="1" si="143"/>
        <v>0</v>
      </c>
      <c r="F472" s="105">
        <f t="shared" ca="1" si="144"/>
        <v>0</v>
      </c>
      <c r="G472" s="105">
        <f t="shared" ca="1" si="154"/>
        <v>0</v>
      </c>
      <c r="H472" s="105">
        <f t="shared" ca="1" si="155"/>
        <v>0</v>
      </c>
      <c r="I472" s="105">
        <f t="shared" ca="1" si="145"/>
        <v>0</v>
      </c>
      <c r="J472" s="105">
        <f t="shared" ca="1" si="146"/>
        <v>0</v>
      </c>
      <c r="K472" s="105">
        <f t="shared" ca="1" si="147"/>
        <v>0</v>
      </c>
      <c r="L472" s="105">
        <f t="shared" ref="L472:L535" ca="1" si="156">IF(K472+K471&gt;0,1,0)</f>
        <v>0</v>
      </c>
      <c r="M472" s="105">
        <f t="shared" ca="1" si="148"/>
        <v>0</v>
      </c>
      <c r="N472" s="105">
        <f t="shared" ref="N472:N535" ca="1" si="157">IF(M472+M471&gt;0,1,0)</f>
        <v>0</v>
      </c>
      <c r="O472" s="105">
        <f t="shared" ca="1" si="149"/>
        <v>0</v>
      </c>
      <c r="P472" s="105">
        <f t="shared" ca="1" si="150"/>
        <v>0</v>
      </c>
      <c r="Q472" s="105">
        <f t="shared" ca="1" si="151"/>
        <v>0</v>
      </c>
      <c r="R472" s="105">
        <f t="shared" ca="1" si="152"/>
        <v>0</v>
      </c>
      <c r="S472" s="105">
        <f t="shared" ca="1" si="153"/>
        <v>10</v>
      </c>
    </row>
    <row r="473" spans="1:19" x14ac:dyDescent="0.35">
      <c r="A473" s="105">
        <f t="shared" ca="1" si="139"/>
        <v>665.04999999999927</v>
      </c>
      <c r="B473" s="105">
        <f t="shared" ca="1" si="140"/>
        <v>0</v>
      </c>
      <c r="C473" s="105">
        <f t="shared" ca="1" si="141"/>
        <v>2</v>
      </c>
      <c r="D473" s="105">
        <f t="shared" ca="1" si="142"/>
        <v>0</v>
      </c>
      <c r="E473" s="105">
        <f t="shared" ca="1" si="143"/>
        <v>0</v>
      </c>
      <c r="F473" s="105">
        <f t="shared" ca="1" si="144"/>
        <v>0</v>
      </c>
      <c r="G473" s="105">
        <f t="shared" ca="1" si="154"/>
        <v>0</v>
      </c>
      <c r="H473" s="105">
        <f t="shared" ca="1" si="155"/>
        <v>0</v>
      </c>
      <c r="I473" s="105">
        <f t="shared" ca="1" si="145"/>
        <v>0</v>
      </c>
      <c r="J473" s="105">
        <f t="shared" ca="1" si="146"/>
        <v>0</v>
      </c>
      <c r="K473" s="105">
        <f t="shared" ca="1" si="147"/>
        <v>0</v>
      </c>
      <c r="L473" s="105">
        <f t="shared" ca="1" si="156"/>
        <v>0</v>
      </c>
      <c r="M473" s="105">
        <f t="shared" ca="1" si="148"/>
        <v>0</v>
      </c>
      <c r="N473" s="105">
        <f t="shared" ca="1" si="157"/>
        <v>0</v>
      </c>
      <c r="O473" s="105">
        <f t="shared" ca="1" si="149"/>
        <v>0</v>
      </c>
      <c r="P473" s="105">
        <f t="shared" ca="1" si="150"/>
        <v>0</v>
      </c>
      <c r="Q473" s="105">
        <f t="shared" ca="1" si="151"/>
        <v>0</v>
      </c>
      <c r="R473" s="105">
        <f t="shared" ca="1" si="152"/>
        <v>0</v>
      </c>
      <c r="S473" s="105">
        <f t="shared" ca="1" si="153"/>
        <v>10</v>
      </c>
    </row>
    <row r="474" spans="1:19" x14ac:dyDescent="0.35">
      <c r="A474" s="105">
        <f t="shared" ca="1" si="139"/>
        <v>666.46499999999924</v>
      </c>
      <c r="B474" s="105">
        <f t="shared" ca="1" si="140"/>
        <v>0</v>
      </c>
      <c r="C474" s="105">
        <f t="shared" ca="1" si="141"/>
        <v>2</v>
      </c>
      <c r="D474" s="105">
        <f t="shared" ca="1" si="142"/>
        <v>0</v>
      </c>
      <c r="E474" s="105">
        <f t="shared" ca="1" si="143"/>
        <v>0</v>
      </c>
      <c r="F474" s="105">
        <f t="shared" ca="1" si="144"/>
        <v>0</v>
      </c>
      <c r="G474" s="105">
        <f t="shared" ca="1" si="154"/>
        <v>0</v>
      </c>
      <c r="H474" s="105">
        <f t="shared" ca="1" si="155"/>
        <v>0</v>
      </c>
      <c r="I474" s="105">
        <f t="shared" ca="1" si="145"/>
        <v>0</v>
      </c>
      <c r="J474" s="105">
        <f t="shared" ca="1" si="146"/>
        <v>0</v>
      </c>
      <c r="K474" s="105">
        <f t="shared" ca="1" si="147"/>
        <v>0</v>
      </c>
      <c r="L474" s="105">
        <f t="shared" ca="1" si="156"/>
        <v>0</v>
      </c>
      <c r="M474" s="105">
        <f t="shared" ca="1" si="148"/>
        <v>0</v>
      </c>
      <c r="N474" s="105">
        <f t="shared" ca="1" si="157"/>
        <v>0</v>
      </c>
      <c r="O474" s="105">
        <f t="shared" ca="1" si="149"/>
        <v>0</v>
      </c>
      <c r="P474" s="105">
        <f t="shared" ca="1" si="150"/>
        <v>0</v>
      </c>
      <c r="Q474" s="105">
        <f t="shared" ca="1" si="151"/>
        <v>0</v>
      </c>
      <c r="R474" s="105">
        <f t="shared" ca="1" si="152"/>
        <v>0</v>
      </c>
      <c r="S474" s="105">
        <f t="shared" ca="1" si="153"/>
        <v>10</v>
      </c>
    </row>
    <row r="475" spans="1:19" x14ac:dyDescent="0.35">
      <c r="A475" s="105">
        <f t="shared" ca="1" si="139"/>
        <v>667.8799999999992</v>
      </c>
      <c r="B475" s="105">
        <f t="shared" ca="1" si="140"/>
        <v>0</v>
      </c>
      <c r="C475" s="105">
        <f t="shared" ca="1" si="141"/>
        <v>2</v>
      </c>
      <c r="D475" s="105">
        <f t="shared" ca="1" si="142"/>
        <v>0</v>
      </c>
      <c r="E475" s="105">
        <f t="shared" ca="1" si="143"/>
        <v>0</v>
      </c>
      <c r="F475" s="105">
        <f t="shared" ca="1" si="144"/>
        <v>0</v>
      </c>
      <c r="G475" s="105">
        <f t="shared" ca="1" si="154"/>
        <v>0</v>
      </c>
      <c r="H475" s="105">
        <f t="shared" ca="1" si="155"/>
        <v>0</v>
      </c>
      <c r="I475" s="105">
        <f t="shared" ca="1" si="145"/>
        <v>0</v>
      </c>
      <c r="J475" s="105">
        <f t="shared" ca="1" si="146"/>
        <v>0</v>
      </c>
      <c r="K475" s="105">
        <f t="shared" ca="1" si="147"/>
        <v>0</v>
      </c>
      <c r="L475" s="105">
        <f t="shared" ca="1" si="156"/>
        <v>0</v>
      </c>
      <c r="M475" s="105">
        <f t="shared" ca="1" si="148"/>
        <v>0</v>
      </c>
      <c r="N475" s="105">
        <f t="shared" ca="1" si="157"/>
        <v>0</v>
      </c>
      <c r="O475" s="105">
        <f t="shared" ca="1" si="149"/>
        <v>0</v>
      </c>
      <c r="P475" s="105">
        <f t="shared" ca="1" si="150"/>
        <v>0</v>
      </c>
      <c r="Q475" s="105">
        <f t="shared" ca="1" si="151"/>
        <v>0</v>
      </c>
      <c r="R475" s="105">
        <f t="shared" ca="1" si="152"/>
        <v>0</v>
      </c>
      <c r="S475" s="105">
        <f t="shared" ca="1" si="153"/>
        <v>10</v>
      </c>
    </row>
    <row r="476" spans="1:19" x14ac:dyDescent="0.35">
      <c r="A476" s="105">
        <f t="shared" ca="1" si="139"/>
        <v>669.29499999999916</v>
      </c>
      <c r="B476" s="105">
        <f t="shared" ca="1" si="140"/>
        <v>0</v>
      </c>
      <c r="C476" s="105">
        <f t="shared" ca="1" si="141"/>
        <v>2</v>
      </c>
      <c r="D476" s="105">
        <f t="shared" ca="1" si="142"/>
        <v>0</v>
      </c>
      <c r="E476" s="105">
        <f t="shared" ca="1" si="143"/>
        <v>0</v>
      </c>
      <c r="F476" s="105">
        <f t="shared" ca="1" si="144"/>
        <v>0</v>
      </c>
      <c r="G476" s="105">
        <f t="shared" ca="1" si="154"/>
        <v>0</v>
      </c>
      <c r="H476" s="105">
        <f t="shared" ca="1" si="155"/>
        <v>0</v>
      </c>
      <c r="I476" s="105">
        <f t="shared" ca="1" si="145"/>
        <v>0</v>
      </c>
      <c r="J476" s="105">
        <f t="shared" ca="1" si="146"/>
        <v>0</v>
      </c>
      <c r="K476" s="105">
        <f t="shared" ca="1" si="147"/>
        <v>0</v>
      </c>
      <c r="L476" s="105">
        <f t="shared" ca="1" si="156"/>
        <v>0</v>
      </c>
      <c r="M476" s="105">
        <f t="shared" ca="1" si="148"/>
        <v>0</v>
      </c>
      <c r="N476" s="105">
        <f t="shared" ca="1" si="157"/>
        <v>0</v>
      </c>
      <c r="O476" s="105">
        <f t="shared" ca="1" si="149"/>
        <v>0</v>
      </c>
      <c r="P476" s="105">
        <f t="shared" ca="1" si="150"/>
        <v>0</v>
      </c>
      <c r="Q476" s="105">
        <f t="shared" ca="1" si="151"/>
        <v>0</v>
      </c>
      <c r="R476" s="105">
        <f t="shared" ca="1" si="152"/>
        <v>0</v>
      </c>
      <c r="S476" s="105">
        <f t="shared" ca="1" si="153"/>
        <v>10</v>
      </c>
    </row>
    <row r="477" spans="1:19" x14ac:dyDescent="0.35">
      <c r="A477" s="105">
        <f t="shared" ca="1" si="139"/>
        <v>670.70999999999913</v>
      </c>
      <c r="B477" s="105">
        <f t="shared" ca="1" si="140"/>
        <v>0</v>
      </c>
      <c r="C477" s="105">
        <f t="shared" ca="1" si="141"/>
        <v>2</v>
      </c>
      <c r="D477" s="105">
        <f t="shared" ca="1" si="142"/>
        <v>0</v>
      </c>
      <c r="E477" s="105">
        <f t="shared" ca="1" si="143"/>
        <v>0</v>
      </c>
      <c r="F477" s="105">
        <f t="shared" ca="1" si="144"/>
        <v>0</v>
      </c>
      <c r="G477" s="105">
        <f t="shared" ca="1" si="154"/>
        <v>0</v>
      </c>
      <c r="H477" s="105">
        <f t="shared" ca="1" si="155"/>
        <v>0</v>
      </c>
      <c r="I477" s="105">
        <f t="shared" ca="1" si="145"/>
        <v>0</v>
      </c>
      <c r="J477" s="105">
        <f t="shared" ca="1" si="146"/>
        <v>0</v>
      </c>
      <c r="K477" s="105">
        <f t="shared" ca="1" si="147"/>
        <v>0</v>
      </c>
      <c r="L477" s="105">
        <f t="shared" ca="1" si="156"/>
        <v>0</v>
      </c>
      <c r="M477" s="105">
        <f t="shared" ca="1" si="148"/>
        <v>0</v>
      </c>
      <c r="N477" s="105">
        <f t="shared" ca="1" si="157"/>
        <v>0</v>
      </c>
      <c r="O477" s="105">
        <f t="shared" ca="1" si="149"/>
        <v>0</v>
      </c>
      <c r="P477" s="105">
        <f t="shared" ca="1" si="150"/>
        <v>0</v>
      </c>
      <c r="Q477" s="105">
        <f t="shared" ca="1" si="151"/>
        <v>0</v>
      </c>
      <c r="R477" s="105">
        <f t="shared" ca="1" si="152"/>
        <v>0</v>
      </c>
      <c r="S477" s="105">
        <f t="shared" ca="1" si="153"/>
        <v>10</v>
      </c>
    </row>
    <row r="478" spans="1:19" x14ac:dyDescent="0.35">
      <c r="A478" s="105">
        <f t="shared" ca="1" si="139"/>
        <v>672.12499999999909</v>
      </c>
      <c r="B478" s="105">
        <f t="shared" ca="1" si="140"/>
        <v>0</v>
      </c>
      <c r="C478" s="105">
        <f t="shared" ca="1" si="141"/>
        <v>2</v>
      </c>
      <c r="D478" s="105">
        <f t="shared" ca="1" si="142"/>
        <v>0</v>
      </c>
      <c r="E478" s="105">
        <f t="shared" ca="1" si="143"/>
        <v>0</v>
      </c>
      <c r="F478" s="105">
        <f t="shared" ca="1" si="144"/>
        <v>0</v>
      </c>
      <c r="G478" s="105">
        <f t="shared" ca="1" si="154"/>
        <v>0</v>
      </c>
      <c r="H478" s="105">
        <f t="shared" ca="1" si="155"/>
        <v>0</v>
      </c>
      <c r="I478" s="105">
        <f t="shared" ca="1" si="145"/>
        <v>0</v>
      </c>
      <c r="J478" s="105">
        <f t="shared" ca="1" si="146"/>
        <v>0</v>
      </c>
      <c r="K478" s="105">
        <f t="shared" ca="1" si="147"/>
        <v>0</v>
      </c>
      <c r="L478" s="105">
        <f t="shared" ca="1" si="156"/>
        <v>0</v>
      </c>
      <c r="M478" s="105">
        <f t="shared" ca="1" si="148"/>
        <v>0</v>
      </c>
      <c r="N478" s="105">
        <f t="shared" ca="1" si="157"/>
        <v>0</v>
      </c>
      <c r="O478" s="105">
        <f t="shared" ca="1" si="149"/>
        <v>0</v>
      </c>
      <c r="P478" s="105">
        <f t="shared" ca="1" si="150"/>
        <v>0</v>
      </c>
      <c r="Q478" s="105">
        <f t="shared" ca="1" si="151"/>
        <v>0</v>
      </c>
      <c r="R478" s="105">
        <f t="shared" ca="1" si="152"/>
        <v>0</v>
      </c>
      <c r="S478" s="105">
        <f t="shared" ca="1" si="153"/>
        <v>10</v>
      </c>
    </row>
    <row r="479" spans="1:19" x14ac:dyDescent="0.35">
      <c r="A479" s="105">
        <f t="shared" ca="1" si="139"/>
        <v>673.53999999999905</v>
      </c>
      <c r="B479" s="105">
        <f t="shared" ca="1" si="140"/>
        <v>0</v>
      </c>
      <c r="C479" s="105">
        <f t="shared" ca="1" si="141"/>
        <v>2</v>
      </c>
      <c r="D479" s="105">
        <f t="shared" ca="1" si="142"/>
        <v>0</v>
      </c>
      <c r="E479" s="105">
        <f t="shared" ca="1" si="143"/>
        <v>0</v>
      </c>
      <c r="F479" s="105">
        <f t="shared" ca="1" si="144"/>
        <v>0</v>
      </c>
      <c r="G479" s="105">
        <f t="shared" ca="1" si="154"/>
        <v>0</v>
      </c>
      <c r="H479" s="105">
        <f t="shared" ca="1" si="155"/>
        <v>0</v>
      </c>
      <c r="I479" s="105">
        <f t="shared" ca="1" si="145"/>
        <v>0</v>
      </c>
      <c r="J479" s="105">
        <f t="shared" ca="1" si="146"/>
        <v>0</v>
      </c>
      <c r="K479" s="105">
        <f t="shared" ca="1" si="147"/>
        <v>0</v>
      </c>
      <c r="L479" s="105">
        <f t="shared" ca="1" si="156"/>
        <v>0</v>
      </c>
      <c r="M479" s="105">
        <f t="shared" ca="1" si="148"/>
        <v>0</v>
      </c>
      <c r="N479" s="105">
        <f t="shared" ca="1" si="157"/>
        <v>0</v>
      </c>
      <c r="O479" s="105">
        <f t="shared" ca="1" si="149"/>
        <v>0</v>
      </c>
      <c r="P479" s="105">
        <f t="shared" ca="1" si="150"/>
        <v>0</v>
      </c>
      <c r="Q479" s="105">
        <f t="shared" ca="1" si="151"/>
        <v>0</v>
      </c>
      <c r="R479" s="105">
        <f t="shared" ca="1" si="152"/>
        <v>0</v>
      </c>
      <c r="S479" s="105">
        <f t="shared" ca="1" si="153"/>
        <v>10</v>
      </c>
    </row>
    <row r="480" spans="1:19" x14ac:dyDescent="0.35">
      <c r="A480" s="105">
        <f t="shared" ca="1" si="139"/>
        <v>674.95499999999902</v>
      </c>
      <c r="B480" s="105">
        <f t="shared" ca="1" si="140"/>
        <v>0</v>
      </c>
      <c r="C480" s="105">
        <f t="shared" ca="1" si="141"/>
        <v>2</v>
      </c>
      <c r="D480" s="105">
        <f t="shared" ca="1" si="142"/>
        <v>0</v>
      </c>
      <c r="E480" s="105">
        <f t="shared" ca="1" si="143"/>
        <v>0</v>
      </c>
      <c r="F480" s="105">
        <f t="shared" ca="1" si="144"/>
        <v>0</v>
      </c>
      <c r="G480" s="105">
        <f t="shared" ca="1" si="154"/>
        <v>0</v>
      </c>
      <c r="H480" s="105">
        <f t="shared" ca="1" si="155"/>
        <v>0</v>
      </c>
      <c r="I480" s="105">
        <f t="shared" ca="1" si="145"/>
        <v>0</v>
      </c>
      <c r="J480" s="105">
        <f t="shared" ca="1" si="146"/>
        <v>0</v>
      </c>
      <c r="K480" s="105">
        <f t="shared" ca="1" si="147"/>
        <v>0</v>
      </c>
      <c r="L480" s="105">
        <f t="shared" ca="1" si="156"/>
        <v>0</v>
      </c>
      <c r="M480" s="105">
        <f t="shared" ca="1" si="148"/>
        <v>0</v>
      </c>
      <c r="N480" s="105">
        <f t="shared" ca="1" si="157"/>
        <v>0</v>
      </c>
      <c r="O480" s="105">
        <f t="shared" ca="1" si="149"/>
        <v>0</v>
      </c>
      <c r="P480" s="105">
        <f t="shared" ca="1" si="150"/>
        <v>0</v>
      </c>
      <c r="Q480" s="105">
        <f t="shared" ca="1" si="151"/>
        <v>0</v>
      </c>
      <c r="R480" s="105">
        <f t="shared" ca="1" si="152"/>
        <v>0</v>
      </c>
      <c r="S480" s="105">
        <f t="shared" ca="1" si="153"/>
        <v>10</v>
      </c>
    </row>
    <row r="481" spans="1:19" x14ac:dyDescent="0.35">
      <c r="A481" s="105">
        <f t="shared" ca="1" si="139"/>
        <v>676.36999999999898</v>
      </c>
      <c r="B481" s="105">
        <f t="shared" ca="1" si="140"/>
        <v>0</v>
      </c>
      <c r="C481" s="105">
        <f t="shared" ca="1" si="141"/>
        <v>2</v>
      </c>
      <c r="D481" s="105">
        <f t="shared" ca="1" si="142"/>
        <v>0</v>
      </c>
      <c r="E481" s="105">
        <f t="shared" ca="1" si="143"/>
        <v>0</v>
      </c>
      <c r="F481" s="105">
        <f t="shared" ca="1" si="144"/>
        <v>0</v>
      </c>
      <c r="G481" s="105">
        <f t="shared" ca="1" si="154"/>
        <v>0</v>
      </c>
      <c r="H481" s="105">
        <f t="shared" ca="1" si="155"/>
        <v>0</v>
      </c>
      <c r="I481" s="105">
        <f t="shared" ca="1" si="145"/>
        <v>0</v>
      </c>
      <c r="J481" s="105">
        <f t="shared" ca="1" si="146"/>
        <v>0</v>
      </c>
      <c r="K481" s="105">
        <f t="shared" ca="1" si="147"/>
        <v>0</v>
      </c>
      <c r="L481" s="105">
        <f t="shared" ca="1" si="156"/>
        <v>0</v>
      </c>
      <c r="M481" s="105">
        <f t="shared" ca="1" si="148"/>
        <v>0</v>
      </c>
      <c r="N481" s="105">
        <f t="shared" ca="1" si="157"/>
        <v>0</v>
      </c>
      <c r="O481" s="105">
        <f t="shared" ca="1" si="149"/>
        <v>0</v>
      </c>
      <c r="P481" s="105">
        <f t="shared" ca="1" si="150"/>
        <v>0</v>
      </c>
      <c r="Q481" s="105">
        <f t="shared" ca="1" si="151"/>
        <v>0</v>
      </c>
      <c r="R481" s="105">
        <f t="shared" ca="1" si="152"/>
        <v>0</v>
      </c>
      <c r="S481" s="105">
        <f t="shared" ca="1" si="153"/>
        <v>10</v>
      </c>
    </row>
    <row r="482" spans="1:19" x14ac:dyDescent="0.35">
      <c r="A482" s="105">
        <f t="shared" ca="1" si="139"/>
        <v>677.78499999999894</v>
      </c>
      <c r="B482" s="105">
        <f t="shared" ca="1" si="140"/>
        <v>0</v>
      </c>
      <c r="C482" s="105">
        <f t="shared" ca="1" si="141"/>
        <v>2</v>
      </c>
      <c r="D482" s="105">
        <f t="shared" ca="1" si="142"/>
        <v>0</v>
      </c>
      <c r="E482" s="105">
        <f t="shared" ca="1" si="143"/>
        <v>0</v>
      </c>
      <c r="F482" s="105">
        <f t="shared" ca="1" si="144"/>
        <v>0</v>
      </c>
      <c r="G482" s="105">
        <f t="shared" ca="1" si="154"/>
        <v>0</v>
      </c>
      <c r="H482" s="105">
        <f t="shared" ca="1" si="155"/>
        <v>0</v>
      </c>
      <c r="I482" s="105">
        <f t="shared" ca="1" si="145"/>
        <v>0</v>
      </c>
      <c r="J482" s="105">
        <f t="shared" ca="1" si="146"/>
        <v>0</v>
      </c>
      <c r="K482" s="105">
        <f t="shared" ca="1" si="147"/>
        <v>0</v>
      </c>
      <c r="L482" s="105">
        <f t="shared" ca="1" si="156"/>
        <v>0</v>
      </c>
      <c r="M482" s="105">
        <f t="shared" ca="1" si="148"/>
        <v>0</v>
      </c>
      <c r="N482" s="105">
        <f t="shared" ca="1" si="157"/>
        <v>0</v>
      </c>
      <c r="O482" s="105">
        <f t="shared" ca="1" si="149"/>
        <v>0</v>
      </c>
      <c r="P482" s="105">
        <f t="shared" ca="1" si="150"/>
        <v>0</v>
      </c>
      <c r="Q482" s="105">
        <f t="shared" ca="1" si="151"/>
        <v>0</v>
      </c>
      <c r="R482" s="105">
        <f t="shared" ca="1" si="152"/>
        <v>0</v>
      </c>
      <c r="S482" s="105">
        <f t="shared" ca="1" si="153"/>
        <v>10</v>
      </c>
    </row>
    <row r="483" spans="1:19" x14ac:dyDescent="0.35">
      <c r="A483" s="105">
        <f t="shared" ca="1" si="139"/>
        <v>679.19999999999891</v>
      </c>
      <c r="B483" s="105">
        <f t="shared" ca="1" si="140"/>
        <v>0</v>
      </c>
      <c r="C483" s="105">
        <f t="shared" ca="1" si="141"/>
        <v>2</v>
      </c>
      <c r="D483" s="105">
        <f t="shared" ca="1" si="142"/>
        <v>0</v>
      </c>
      <c r="E483" s="105">
        <f t="shared" ca="1" si="143"/>
        <v>0</v>
      </c>
      <c r="F483" s="105">
        <f t="shared" ca="1" si="144"/>
        <v>0</v>
      </c>
      <c r="G483" s="105">
        <f t="shared" ca="1" si="154"/>
        <v>0</v>
      </c>
      <c r="H483" s="105">
        <f t="shared" ca="1" si="155"/>
        <v>0</v>
      </c>
      <c r="I483" s="105">
        <f t="shared" ca="1" si="145"/>
        <v>0</v>
      </c>
      <c r="J483" s="105">
        <f t="shared" ca="1" si="146"/>
        <v>0</v>
      </c>
      <c r="K483" s="105">
        <f t="shared" ca="1" si="147"/>
        <v>0</v>
      </c>
      <c r="L483" s="105">
        <f t="shared" ca="1" si="156"/>
        <v>0</v>
      </c>
      <c r="M483" s="105">
        <f t="shared" ca="1" si="148"/>
        <v>0</v>
      </c>
      <c r="N483" s="105">
        <f t="shared" ca="1" si="157"/>
        <v>0</v>
      </c>
      <c r="O483" s="105">
        <f t="shared" ca="1" si="149"/>
        <v>0</v>
      </c>
      <c r="P483" s="105">
        <f t="shared" ca="1" si="150"/>
        <v>0</v>
      </c>
      <c r="Q483" s="105">
        <f t="shared" ca="1" si="151"/>
        <v>0</v>
      </c>
      <c r="R483" s="105">
        <f t="shared" ca="1" si="152"/>
        <v>0</v>
      </c>
      <c r="S483" s="105">
        <f t="shared" ca="1" si="153"/>
        <v>10</v>
      </c>
    </row>
    <row r="484" spans="1:19" x14ac:dyDescent="0.35">
      <c r="A484" s="105">
        <f t="shared" ca="1" si="139"/>
        <v>680.61499999999887</v>
      </c>
      <c r="B484" s="105">
        <f t="shared" ca="1" si="140"/>
        <v>0</v>
      </c>
      <c r="C484" s="105">
        <f t="shared" ca="1" si="141"/>
        <v>2</v>
      </c>
      <c r="D484" s="105">
        <f t="shared" ca="1" si="142"/>
        <v>0</v>
      </c>
      <c r="E484" s="105">
        <f t="shared" ca="1" si="143"/>
        <v>0</v>
      </c>
      <c r="F484" s="105">
        <f t="shared" ca="1" si="144"/>
        <v>0</v>
      </c>
      <c r="G484" s="105">
        <f t="shared" ca="1" si="154"/>
        <v>0</v>
      </c>
      <c r="H484" s="105">
        <f t="shared" ca="1" si="155"/>
        <v>0</v>
      </c>
      <c r="I484" s="105">
        <f t="shared" ca="1" si="145"/>
        <v>0</v>
      </c>
      <c r="J484" s="105">
        <f t="shared" ca="1" si="146"/>
        <v>0</v>
      </c>
      <c r="K484" s="105">
        <f t="shared" ca="1" si="147"/>
        <v>0</v>
      </c>
      <c r="L484" s="105">
        <f t="shared" ca="1" si="156"/>
        <v>0</v>
      </c>
      <c r="M484" s="105">
        <f t="shared" ca="1" si="148"/>
        <v>0</v>
      </c>
      <c r="N484" s="105">
        <f t="shared" ca="1" si="157"/>
        <v>0</v>
      </c>
      <c r="O484" s="105">
        <f t="shared" ca="1" si="149"/>
        <v>0</v>
      </c>
      <c r="P484" s="105">
        <f t="shared" ca="1" si="150"/>
        <v>0</v>
      </c>
      <c r="Q484" s="105">
        <f t="shared" ca="1" si="151"/>
        <v>0</v>
      </c>
      <c r="R484" s="105">
        <f t="shared" ca="1" si="152"/>
        <v>0</v>
      </c>
      <c r="S484" s="105">
        <f t="shared" ca="1" si="153"/>
        <v>10</v>
      </c>
    </row>
    <row r="485" spans="1:19" x14ac:dyDescent="0.35">
      <c r="A485" s="105">
        <f t="shared" ca="1" si="139"/>
        <v>682.02999999999884</v>
      </c>
      <c r="B485" s="105">
        <f t="shared" ca="1" si="140"/>
        <v>0</v>
      </c>
      <c r="C485" s="105">
        <f t="shared" ca="1" si="141"/>
        <v>2</v>
      </c>
      <c r="D485" s="105">
        <f t="shared" ca="1" si="142"/>
        <v>0</v>
      </c>
      <c r="E485" s="105">
        <f t="shared" ca="1" si="143"/>
        <v>0</v>
      </c>
      <c r="F485" s="105">
        <f t="shared" ca="1" si="144"/>
        <v>0</v>
      </c>
      <c r="G485" s="105">
        <f t="shared" ca="1" si="154"/>
        <v>0</v>
      </c>
      <c r="H485" s="105">
        <f t="shared" ca="1" si="155"/>
        <v>0</v>
      </c>
      <c r="I485" s="105">
        <f t="shared" ca="1" si="145"/>
        <v>0</v>
      </c>
      <c r="J485" s="105">
        <f t="shared" ca="1" si="146"/>
        <v>0</v>
      </c>
      <c r="K485" s="105">
        <f t="shared" ca="1" si="147"/>
        <v>0</v>
      </c>
      <c r="L485" s="105">
        <f t="shared" ca="1" si="156"/>
        <v>0</v>
      </c>
      <c r="M485" s="105">
        <f t="shared" ca="1" si="148"/>
        <v>0</v>
      </c>
      <c r="N485" s="105">
        <f t="shared" ca="1" si="157"/>
        <v>0</v>
      </c>
      <c r="O485" s="105">
        <f t="shared" ca="1" si="149"/>
        <v>0</v>
      </c>
      <c r="P485" s="105">
        <f t="shared" ca="1" si="150"/>
        <v>0</v>
      </c>
      <c r="Q485" s="105">
        <f t="shared" ca="1" si="151"/>
        <v>0</v>
      </c>
      <c r="R485" s="105">
        <f t="shared" ca="1" si="152"/>
        <v>0</v>
      </c>
      <c r="S485" s="105">
        <f t="shared" ca="1" si="153"/>
        <v>10</v>
      </c>
    </row>
    <row r="486" spans="1:19" x14ac:dyDescent="0.35">
      <c r="A486" s="105">
        <f t="shared" ca="1" si="139"/>
        <v>683.4449999999988</v>
      </c>
      <c r="B486" s="105">
        <f t="shared" ca="1" si="140"/>
        <v>0</v>
      </c>
      <c r="C486" s="105">
        <f t="shared" ca="1" si="141"/>
        <v>2</v>
      </c>
      <c r="D486" s="105">
        <f t="shared" ca="1" si="142"/>
        <v>0</v>
      </c>
      <c r="E486" s="105">
        <f t="shared" ca="1" si="143"/>
        <v>0</v>
      </c>
      <c r="F486" s="105">
        <f t="shared" ca="1" si="144"/>
        <v>0</v>
      </c>
      <c r="G486" s="105">
        <f t="shared" ca="1" si="154"/>
        <v>0</v>
      </c>
      <c r="H486" s="105">
        <f t="shared" ca="1" si="155"/>
        <v>0</v>
      </c>
      <c r="I486" s="105">
        <f t="shared" ca="1" si="145"/>
        <v>0</v>
      </c>
      <c r="J486" s="105">
        <f t="shared" ca="1" si="146"/>
        <v>0</v>
      </c>
      <c r="K486" s="105">
        <f t="shared" ca="1" si="147"/>
        <v>0</v>
      </c>
      <c r="L486" s="105">
        <f t="shared" ca="1" si="156"/>
        <v>0</v>
      </c>
      <c r="M486" s="105">
        <f t="shared" ca="1" si="148"/>
        <v>0</v>
      </c>
      <c r="N486" s="105">
        <f t="shared" ca="1" si="157"/>
        <v>0</v>
      </c>
      <c r="O486" s="105">
        <f t="shared" ca="1" si="149"/>
        <v>0</v>
      </c>
      <c r="P486" s="105">
        <f t="shared" ca="1" si="150"/>
        <v>0</v>
      </c>
      <c r="Q486" s="105">
        <f t="shared" ca="1" si="151"/>
        <v>0</v>
      </c>
      <c r="R486" s="105">
        <f t="shared" ca="1" si="152"/>
        <v>0</v>
      </c>
      <c r="S486" s="105">
        <f t="shared" ca="1" si="153"/>
        <v>10</v>
      </c>
    </row>
    <row r="487" spans="1:19" x14ac:dyDescent="0.35">
      <c r="A487" s="105">
        <f t="shared" ca="1" si="139"/>
        <v>684.85999999999876</v>
      </c>
      <c r="B487" s="105">
        <f t="shared" ca="1" si="140"/>
        <v>0</v>
      </c>
      <c r="C487" s="105">
        <f t="shared" ca="1" si="141"/>
        <v>2</v>
      </c>
      <c r="D487" s="105">
        <f t="shared" ca="1" si="142"/>
        <v>0</v>
      </c>
      <c r="E487" s="105">
        <f t="shared" ca="1" si="143"/>
        <v>0</v>
      </c>
      <c r="F487" s="105">
        <f t="shared" ca="1" si="144"/>
        <v>0</v>
      </c>
      <c r="G487" s="105">
        <f t="shared" ca="1" si="154"/>
        <v>0</v>
      </c>
      <c r="H487" s="105">
        <f t="shared" ca="1" si="155"/>
        <v>0</v>
      </c>
      <c r="I487" s="105">
        <f t="shared" ca="1" si="145"/>
        <v>0</v>
      </c>
      <c r="J487" s="105">
        <f t="shared" ca="1" si="146"/>
        <v>0</v>
      </c>
      <c r="K487" s="105">
        <f t="shared" ca="1" si="147"/>
        <v>0</v>
      </c>
      <c r="L487" s="105">
        <f t="shared" ca="1" si="156"/>
        <v>0</v>
      </c>
      <c r="M487" s="105">
        <f t="shared" ca="1" si="148"/>
        <v>0</v>
      </c>
      <c r="N487" s="105">
        <f t="shared" ca="1" si="157"/>
        <v>0</v>
      </c>
      <c r="O487" s="105">
        <f t="shared" ca="1" si="149"/>
        <v>0</v>
      </c>
      <c r="P487" s="105">
        <f t="shared" ca="1" si="150"/>
        <v>0</v>
      </c>
      <c r="Q487" s="105">
        <f t="shared" ca="1" si="151"/>
        <v>0</v>
      </c>
      <c r="R487" s="105">
        <f t="shared" ca="1" si="152"/>
        <v>0</v>
      </c>
      <c r="S487" s="105">
        <f t="shared" ca="1" si="153"/>
        <v>10</v>
      </c>
    </row>
    <row r="488" spans="1:19" x14ac:dyDescent="0.35">
      <c r="A488" s="105">
        <f t="shared" ca="1" si="139"/>
        <v>686.27499999999873</v>
      </c>
      <c r="B488" s="105">
        <f t="shared" ca="1" si="140"/>
        <v>0</v>
      </c>
      <c r="C488" s="105">
        <f t="shared" ca="1" si="141"/>
        <v>2</v>
      </c>
      <c r="D488" s="105">
        <f t="shared" ca="1" si="142"/>
        <v>0</v>
      </c>
      <c r="E488" s="105">
        <f t="shared" ca="1" si="143"/>
        <v>0</v>
      </c>
      <c r="F488" s="105">
        <f t="shared" ca="1" si="144"/>
        <v>0</v>
      </c>
      <c r="G488" s="105">
        <f t="shared" ca="1" si="154"/>
        <v>0</v>
      </c>
      <c r="H488" s="105">
        <f t="shared" ca="1" si="155"/>
        <v>0</v>
      </c>
      <c r="I488" s="105">
        <f t="shared" ca="1" si="145"/>
        <v>0</v>
      </c>
      <c r="J488" s="105">
        <f t="shared" ca="1" si="146"/>
        <v>0</v>
      </c>
      <c r="K488" s="105">
        <f t="shared" ca="1" si="147"/>
        <v>0</v>
      </c>
      <c r="L488" s="105">
        <f t="shared" ca="1" si="156"/>
        <v>0</v>
      </c>
      <c r="M488" s="105">
        <f t="shared" ca="1" si="148"/>
        <v>0</v>
      </c>
      <c r="N488" s="105">
        <f t="shared" ca="1" si="157"/>
        <v>0</v>
      </c>
      <c r="O488" s="105">
        <f t="shared" ca="1" si="149"/>
        <v>0</v>
      </c>
      <c r="P488" s="105">
        <f t="shared" ca="1" si="150"/>
        <v>0</v>
      </c>
      <c r="Q488" s="105">
        <f t="shared" ca="1" si="151"/>
        <v>0</v>
      </c>
      <c r="R488" s="105">
        <f t="shared" ca="1" si="152"/>
        <v>0</v>
      </c>
      <c r="S488" s="105">
        <f t="shared" ca="1" si="153"/>
        <v>10</v>
      </c>
    </row>
    <row r="489" spans="1:19" x14ac:dyDescent="0.35">
      <c r="A489" s="105">
        <f t="shared" ca="1" si="139"/>
        <v>687.68999999999869</v>
      </c>
      <c r="B489" s="105">
        <f t="shared" ca="1" si="140"/>
        <v>0</v>
      </c>
      <c r="C489" s="105">
        <f t="shared" ca="1" si="141"/>
        <v>2</v>
      </c>
      <c r="D489" s="105">
        <f t="shared" ca="1" si="142"/>
        <v>0</v>
      </c>
      <c r="E489" s="105">
        <f t="shared" ca="1" si="143"/>
        <v>0</v>
      </c>
      <c r="F489" s="105">
        <f t="shared" ca="1" si="144"/>
        <v>0</v>
      </c>
      <c r="G489" s="105">
        <f t="shared" ca="1" si="154"/>
        <v>0</v>
      </c>
      <c r="H489" s="105">
        <f t="shared" ca="1" si="155"/>
        <v>0</v>
      </c>
      <c r="I489" s="105">
        <f t="shared" ca="1" si="145"/>
        <v>0</v>
      </c>
      <c r="J489" s="105">
        <f t="shared" ca="1" si="146"/>
        <v>0</v>
      </c>
      <c r="K489" s="105">
        <f t="shared" ca="1" si="147"/>
        <v>0</v>
      </c>
      <c r="L489" s="105">
        <f t="shared" ca="1" si="156"/>
        <v>0</v>
      </c>
      <c r="M489" s="105">
        <f t="shared" ca="1" si="148"/>
        <v>0</v>
      </c>
      <c r="N489" s="105">
        <f t="shared" ca="1" si="157"/>
        <v>0</v>
      </c>
      <c r="O489" s="105">
        <f t="shared" ca="1" si="149"/>
        <v>0</v>
      </c>
      <c r="P489" s="105">
        <f t="shared" ca="1" si="150"/>
        <v>0</v>
      </c>
      <c r="Q489" s="105">
        <f t="shared" ca="1" si="151"/>
        <v>0</v>
      </c>
      <c r="R489" s="105">
        <f t="shared" ca="1" si="152"/>
        <v>0</v>
      </c>
      <c r="S489" s="105">
        <f t="shared" ca="1" si="153"/>
        <v>10</v>
      </c>
    </row>
    <row r="490" spans="1:19" x14ac:dyDescent="0.35">
      <c r="A490" s="105">
        <f t="shared" ca="1" si="139"/>
        <v>689.10499999999865</v>
      </c>
      <c r="B490" s="105">
        <f t="shared" ca="1" si="140"/>
        <v>0</v>
      </c>
      <c r="C490" s="105">
        <f t="shared" ca="1" si="141"/>
        <v>2</v>
      </c>
      <c r="D490" s="105">
        <f t="shared" ca="1" si="142"/>
        <v>0</v>
      </c>
      <c r="E490" s="105">
        <f t="shared" ca="1" si="143"/>
        <v>0</v>
      </c>
      <c r="F490" s="105">
        <f t="shared" ca="1" si="144"/>
        <v>0</v>
      </c>
      <c r="G490" s="105">
        <f t="shared" ca="1" si="154"/>
        <v>0</v>
      </c>
      <c r="H490" s="105">
        <f t="shared" ca="1" si="155"/>
        <v>0</v>
      </c>
      <c r="I490" s="105">
        <f t="shared" ca="1" si="145"/>
        <v>0</v>
      </c>
      <c r="J490" s="105">
        <f t="shared" ca="1" si="146"/>
        <v>0</v>
      </c>
      <c r="K490" s="105">
        <f t="shared" ca="1" si="147"/>
        <v>0</v>
      </c>
      <c r="L490" s="105">
        <f t="shared" ca="1" si="156"/>
        <v>0</v>
      </c>
      <c r="M490" s="105">
        <f t="shared" ca="1" si="148"/>
        <v>0</v>
      </c>
      <c r="N490" s="105">
        <f t="shared" ca="1" si="157"/>
        <v>0</v>
      </c>
      <c r="O490" s="105">
        <f t="shared" ca="1" si="149"/>
        <v>0</v>
      </c>
      <c r="P490" s="105">
        <f t="shared" ca="1" si="150"/>
        <v>0</v>
      </c>
      <c r="Q490" s="105">
        <f t="shared" ca="1" si="151"/>
        <v>0</v>
      </c>
      <c r="R490" s="105">
        <f t="shared" ca="1" si="152"/>
        <v>0</v>
      </c>
      <c r="S490" s="105">
        <f t="shared" ca="1" si="153"/>
        <v>10</v>
      </c>
    </row>
    <row r="491" spans="1:19" x14ac:dyDescent="0.35">
      <c r="A491" s="105">
        <f t="shared" ca="1" si="139"/>
        <v>690.51999999999862</v>
      </c>
      <c r="B491" s="105">
        <f t="shared" ca="1" si="140"/>
        <v>0</v>
      </c>
      <c r="C491" s="105">
        <f t="shared" ca="1" si="141"/>
        <v>2</v>
      </c>
      <c r="D491" s="105">
        <f t="shared" ca="1" si="142"/>
        <v>0</v>
      </c>
      <c r="E491" s="105">
        <f t="shared" ca="1" si="143"/>
        <v>0</v>
      </c>
      <c r="F491" s="105">
        <f t="shared" ca="1" si="144"/>
        <v>0</v>
      </c>
      <c r="G491" s="105">
        <f t="shared" ca="1" si="154"/>
        <v>0</v>
      </c>
      <c r="H491" s="105">
        <f t="shared" ca="1" si="155"/>
        <v>0</v>
      </c>
      <c r="I491" s="105">
        <f t="shared" ca="1" si="145"/>
        <v>0</v>
      </c>
      <c r="J491" s="105">
        <f t="shared" ca="1" si="146"/>
        <v>0</v>
      </c>
      <c r="K491" s="105">
        <f t="shared" ca="1" si="147"/>
        <v>0</v>
      </c>
      <c r="L491" s="105">
        <f t="shared" ca="1" si="156"/>
        <v>0</v>
      </c>
      <c r="M491" s="105">
        <f t="shared" ca="1" si="148"/>
        <v>0</v>
      </c>
      <c r="N491" s="105">
        <f t="shared" ca="1" si="157"/>
        <v>0</v>
      </c>
      <c r="O491" s="105">
        <f t="shared" ca="1" si="149"/>
        <v>0</v>
      </c>
      <c r="P491" s="105">
        <f t="shared" ca="1" si="150"/>
        <v>0</v>
      </c>
      <c r="Q491" s="105">
        <f t="shared" ca="1" si="151"/>
        <v>0</v>
      </c>
      <c r="R491" s="105">
        <f t="shared" ca="1" si="152"/>
        <v>0</v>
      </c>
      <c r="S491" s="105">
        <f t="shared" ca="1" si="153"/>
        <v>10</v>
      </c>
    </row>
    <row r="492" spans="1:19" x14ac:dyDescent="0.35">
      <c r="A492" s="105">
        <f t="shared" ca="1" si="139"/>
        <v>691.93499999999858</v>
      </c>
      <c r="B492" s="105">
        <f t="shared" ca="1" si="140"/>
        <v>0</v>
      </c>
      <c r="C492" s="105">
        <f t="shared" ca="1" si="141"/>
        <v>2</v>
      </c>
      <c r="D492" s="105">
        <f t="shared" ca="1" si="142"/>
        <v>0</v>
      </c>
      <c r="E492" s="105">
        <f t="shared" ca="1" si="143"/>
        <v>0</v>
      </c>
      <c r="F492" s="105">
        <f t="shared" ca="1" si="144"/>
        <v>0</v>
      </c>
      <c r="G492" s="105">
        <f t="shared" ca="1" si="154"/>
        <v>0</v>
      </c>
      <c r="H492" s="105">
        <f t="shared" ca="1" si="155"/>
        <v>0</v>
      </c>
      <c r="I492" s="105">
        <f t="shared" ca="1" si="145"/>
        <v>0</v>
      </c>
      <c r="J492" s="105">
        <f t="shared" ca="1" si="146"/>
        <v>0</v>
      </c>
      <c r="K492" s="105">
        <f t="shared" ca="1" si="147"/>
        <v>0</v>
      </c>
      <c r="L492" s="105">
        <f t="shared" ca="1" si="156"/>
        <v>0</v>
      </c>
      <c r="M492" s="105">
        <f t="shared" ca="1" si="148"/>
        <v>0</v>
      </c>
      <c r="N492" s="105">
        <f t="shared" ca="1" si="157"/>
        <v>0</v>
      </c>
      <c r="O492" s="105">
        <f t="shared" ca="1" si="149"/>
        <v>0</v>
      </c>
      <c r="P492" s="105">
        <f t="shared" ca="1" si="150"/>
        <v>0</v>
      </c>
      <c r="Q492" s="105">
        <f t="shared" ca="1" si="151"/>
        <v>0</v>
      </c>
      <c r="R492" s="105">
        <f t="shared" ca="1" si="152"/>
        <v>0</v>
      </c>
      <c r="S492" s="105">
        <f t="shared" ca="1" si="153"/>
        <v>10</v>
      </c>
    </row>
    <row r="493" spans="1:19" x14ac:dyDescent="0.35">
      <c r="A493" s="105">
        <f t="shared" ca="1" si="139"/>
        <v>693.34999999999854</v>
      </c>
      <c r="B493" s="105">
        <f t="shared" ca="1" si="140"/>
        <v>0</v>
      </c>
      <c r="C493" s="105">
        <f t="shared" ca="1" si="141"/>
        <v>2</v>
      </c>
      <c r="D493" s="105">
        <f t="shared" ca="1" si="142"/>
        <v>0</v>
      </c>
      <c r="E493" s="105">
        <f t="shared" ca="1" si="143"/>
        <v>0</v>
      </c>
      <c r="F493" s="105">
        <f t="shared" ca="1" si="144"/>
        <v>0</v>
      </c>
      <c r="G493" s="105">
        <f t="shared" ca="1" si="154"/>
        <v>0</v>
      </c>
      <c r="H493" s="105">
        <f t="shared" ca="1" si="155"/>
        <v>0</v>
      </c>
      <c r="I493" s="105">
        <f t="shared" ca="1" si="145"/>
        <v>0</v>
      </c>
      <c r="J493" s="105">
        <f t="shared" ca="1" si="146"/>
        <v>0</v>
      </c>
      <c r="K493" s="105">
        <f t="shared" ca="1" si="147"/>
        <v>0</v>
      </c>
      <c r="L493" s="105">
        <f t="shared" ca="1" si="156"/>
        <v>0</v>
      </c>
      <c r="M493" s="105">
        <f t="shared" ca="1" si="148"/>
        <v>0</v>
      </c>
      <c r="N493" s="105">
        <f t="shared" ca="1" si="157"/>
        <v>0</v>
      </c>
      <c r="O493" s="105">
        <f t="shared" ca="1" si="149"/>
        <v>0</v>
      </c>
      <c r="P493" s="105">
        <f t="shared" ca="1" si="150"/>
        <v>0</v>
      </c>
      <c r="Q493" s="105">
        <f t="shared" ca="1" si="151"/>
        <v>0</v>
      </c>
      <c r="R493" s="105">
        <f t="shared" ca="1" si="152"/>
        <v>0</v>
      </c>
      <c r="S493" s="105">
        <f t="shared" ca="1" si="153"/>
        <v>10</v>
      </c>
    </row>
    <row r="494" spans="1:19" x14ac:dyDescent="0.35">
      <c r="A494" s="105">
        <f t="shared" ca="1" si="139"/>
        <v>694.76499999999851</v>
      </c>
      <c r="B494" s="105">
        <f t="shared" ca="1" si="140"/>
        <v>0</v>
      </c>
      <c r="C494" s="105">
        <f t="shared" ca="1" si="141"/>
        <v>2</v>
      </c>
      <c r="D494" s="105">
        <f t="shared" ca="1" si="142"/>
        <v>0</v>
      </c>
      <c r="E494" s="105">
        <f t="shared" ca="1" si="143"/>
        <v>0</v>
      </c>
      <c r="F494" s="105">
        <f t="shared" ca="1" si="144"/>
        <v>0</v>
      </c>
      <c r="G494" s="105">
        <f t="shared" ca="1" si="154"/>
        <v>0</v>
      </c>
      <c r="H494" s="105">
        <f t="shared" ca="1" si="155"/>
        <v>0</v>
      </c>
      <c r="I494" s="105">
        <f t="shared" ca="1" si="145"/>
        <v>0</v>
      </c>
      <c r="J494" s="105">
        <f t="shared" ca="1" si="146"/>
        <v>0</v>
      </c>
      <c r="K494" s="105">
        <f t="shared" ca="1" si="147"/>
        <v>0</v>
      </c>
      <c r="L494" s="105">
        <f t="shared" ca="1" si="156"/>
        <v>0</v>
      </c>
      <c r="M494" s="105">
        <f t="shared" ca="1" si="148"/>
        <v>0</v>
      </c>
      <c r="N494" s="105">
        <f t="shared" ca="1" si="157"/>
        <v>0</v>
      </c>
      <c r="O494" s="105">
        <f t="shared" ca="1" si="149"/>
        <v>0</v>
      </c>
      <c r="P494" s="105">
        <f t="shared" ca="1" si="150"/>
        <v>0</v>
      </c>
      <c r="Q494" s="105">
        <f t="shared" ca="1" si="151"/>
        <v>0</v>
      </c>
      <c r="R494" s="105">
        <f t="shared" ca="1" si="152"/>
        <v>0</v>
      </c>
      <c r="S494" s="105">
        <f t="shared" ca="1" si="153"/>
        <v>10</v>
      </c>
    </row>
    <row r="495" spans="1:19" x14ac:dyDescent="0.35">
      <c r="A495" s="105">
        <f t="shared" ca="1" si="139"/>
        <v>696.17999999999847</v>
      </c>
      <c r="B495" s="105">
        <f t="shared" ca="1" si="140"/>
        <v>0</v>
      </c>
      <c r="C495" s="105">
        <f t="shared" ca="1" si="141"/>
        <v>2</v>
      </c>
      <c r="D495" s="105">
        <f t="shared" ca="1" si="142"/>
        <v>0</v>
      </c>
      <c r="E495" s="105">
        <f t="shared" ca="1" si="143"/>
        <v>0</v>
      </c>
      <c r="F495" s="105">
        <f t="shared" ca="1" si="144"/>
        <v>0</v>
      </c>
      <c r="G495" s="105">
        <f t="shared" ca="1" si="154"/>
        <v>0</v>
      </c>
      <c r="H495" s="105">
        <f t="shared" ca="1" si="155"/>
        <v>0</v>
      </c>
      <c r="I495" s="105">
        <f t="shared" ca="1" si="145"/>
        <v>0</v>
      </c>
      <c r="J495" s="105">
        <f t="shared" ca="1" si="146"/>
        <v>0</v>
      </c>
      <c r="K495" s="105">
        <f t="shared" ca="1" si="147"/>
        <v>0</v>
      </c>
      <c r="L495" s="105">
        <f t="shared" ca="1" si="156"/>
        <v>0</v>
      </c>
      <c r="M495" s="105">
        <f t="shared" ca="1" si="148"/>
        <v>0</v>
      </c>
      <c r="N495" s="105">
        <f t="shared" ca="1" si="157"/>
        <v>0</v>
      </c>
      <c r="O495" s="105">
        <f t="shared" ca="1" si="149"/>
        <v>0</v>
      </c>
      <c r="P495" s="105">
        <f t="shared" ca="1" si="150"/>
        <v>0</v>
      </c>
      <c r="Q495" s="105">
        <f t="shared" ca="1" si="151"/>
        <v>0</v>
      </c>
      <c r="R495" s="105">
        <f t="shared" ca="1" si="152"/>
        <v>0</v>
      </c>
      <c r="S495" s="105">
        <f t="shared" ca="1" si="153"/>
        <v>10</v>
      </c>
    </row>
    <row r="496" spans="1:19" x14ac:dyDescent="0.35">
      <c r="A496" s="105">
        <f t="shared" ca="1" si="139"/>
        <v>697.59499999999844</v>
      </c>
      <c r="B496" s="105">
        <f t="shared" ca="1" si="140"/>
        <v>0</v>
      </c>
      <c r="C496" s="105">
        <f t="shared" ca="1" si="141"/>
        <v>2</v>
      </c>
      <c r="D496" s="105">
        <f t="shared" ca="1" si="142"/>
        <v>0</v>
      </c>
      <c r="E496" s="105">
        <f t="shared" ca="1" si="143"/>
        <v>0</v>
      </c>
      <c r="F496" s="105">
        <f t="shared" ca="1" si="144"/>
        <v>0</v>
      </c>
      <c r="G496" s="105">
        <f t="shared" ca="1" si="154"/>
        <v>0</v>
      </c>
      <c r="H496" s="105">
        <f t="shared" ca="1" si="155"/>
        <v>0</v>
      </c>
      <c r="I496" s="105">
        <f t="shared" ca="1" si="145"/>
        <v>0</v>
      </c>
      <c r="J496" s="105">
        <f t="shared" ca="1" si="146"/>
        <v>0</v>
      </c>
      <c r="K496" s="105">
        <f t="shared" ca="1" si="147"/>
        <v>0</v>
      </c>
      <c r="L496" s="105">
        <f t="shared" ca="1" si="156"/>
        <v>0</v>
      </c>
      <c r="M496" s="105">
        <f t="shared" ca="1" si="148"/>
        <v>0</v>
      </c>
      <c r="N496" s="105">
        <f t="shared" ca="1" si="157"/>
        <v>0</v>
      </c>
      <c r="O496" s="105">
        <f t="shared" ca="1" si="149"/>
        <v>0</v>
      </c>
      <c r="P496" s="105">
        <f t="shared" ca="1" si="150"/>
        <v>0</v>
      </c>
      <c r="Q496" s="105">
        <f t="shared" ca="1" si="151"/>
        <v>0</v>
      </c>
      <c r="R496" s="105">
        <f t="shared" ca="1" si="152"/>
        <v>0</v>
      </c>
      <c r="S496" s="105">
        <f t="shared" ca="1" si="153"/>
        <v>10</v>
      </c>
    </row>
    <row r="497" spans="1:19" x14ac:dyDescent="0.35">
      <c r="A497" s="105">
        <f t="shared" ca="1" si="139"/>
        <v>699.0099999999984</v>
      </c>
      <c r="B497" s="105">
        <f t="shared" ca="1" si="140"/>
        <v>0</v>
      </c>
      <c r="C497" s="105">
        <f t="shared" ca="1" si="141"/>
        <v>2</v>
      </c>
      <c r="D497" s="105">
        <f t="shared" ca="1" si="142"/>
        <v>0</v>
      </c>
      <c r="E497" s="105">
        <f t="shared" ca="1" si="143"/>
        <v>0</v>
      </c>
      <c r="F497" s="105">
        <f t="shared" ca="1" si="144"/>
        <v>0</v>
      </c>
      <c r="G497" s="105">
        <f t="shared" ca="1" si="154"/>
        <v>0</v>
      </c>
      <c r="H497" s="105">
        <f t="shared" ca="1" si="155"/>
        <v>0</v>
      </c>
      <c r="I497" s="105">
        <f t="shared" ca="1" si="145"/>
        <v>0</v>
      </c>
      <c r="J497" s="105">
        <f t="shared" ca="1" si="146"/>
        <v>0</v>
      </c>
      <c r="K497" s="105">
        <f t="shared" ca="1" si="147"/>
        <v>0</v>
      </c>
      <c r="L497" s="105">
        <f t="shared" ca="1" si="156"/>
        <v>0</v>
      </c>
      <c r="M497" s="105">
        <f t="shared" ca="1" si="148"/>
        <v>0</v>
      </c>
      <c r="N497" s="105">
        <f t="shared" ca="1" si="157"/>
        <v>0</v>
      </c>
      <c r="O497" s="105">
        <f t="shared" ca="1" si="149"/>
        <v>0</v>
      </c>
      <c r="P497" s="105">
        <f t="shared" ca="1" si="150"/>
        <v>0</v>
      </c>
      <c r="Q497" s="105">
        <f t="shared" ca="1" si="151"/>
        <v>0</v>
      </c>
      <c r="R497" s="105">
        <f t="shared" ca="1" si="152"/>
        <v>0</v>
      </c>
      <c r="S497" s="105">
        <f t="shared" ca="1" si="153"/>
        <v>10</v>
      </c>
    </row>
    <row r="498" spans="1:19" x14ac:dyDescent="0.35">
      <c r="A498" s="105">
        <f t="shared" ca="1" si="139"/>
        <v>700.42499999999836</v>
      </c>
      <c r="B498" s="105">
        <f t="shared" ca="1" si="140"/>
        <v>0</v>
      </c>
      <c r="C498" s="105">
        <f t="shared" ca="1" si="141"/>
        <v>2</v>
      </c>
      <c r="D498" s="105">
        <f t="shared" ca="1" si="142"/>
        <v>0</v>
      </c>
      <c r="E498" s="105">
        <f t="shared" ca="1" si="143"/>
        <v>0</v>
      </c>
      <c r="F498" s="105">
        <f t="shared" ca="1" si="144"/>
        <v>0</v>
      </c>
      <c r="G498" s="105">
        <f t="shared" ca="1" si="154"/>
        <v>0</v>
      </c>
      <c r="H498" s="105">
        <f t="shared" ca="1" si="155"/>
        <v>0</v>
      </c>
      <c r="I498" s="105">
        <f t="shared" ca="1" si="145"/>
        <v>0</v>
      </c>
      <c r="J498" s="105">
        <f t="shared" ca="1" si="146"/>
        <v>0</v>
      </c>
      <c r="K498" s="105">
        <f t="shared" ca="1" si="147"/>
        <v>0</v>
      </c>
      <c r="L498" s="105">
        <f t="shared" ca="1" si="156"/>
        <v>0</v>
      </c>
      <c r="M498" s="105">
        <f t="shared" ca="1" si="148"/>
        <v>0</v>
      </c>
      <c r="N498" s="105">
        <f t="shared" ca="1" si="157"/>
        <v>0</v>
      </c>
      <c r="O498" s="105">
        <f t="shared" ca="1" si="149"/>
        <v>0</v>
      </c>
      <c r="P498" s="105">
        <f t="shared" ca="1" si="150"/>
        <v>0</v>
      </c>
      <c r="Q498" s="105">
        <f t="shared" ca="1" si="151"/>
        <v>0</v>
      </c>
      <c r="R498" s="105">
        <f t="shared" ca="1" si="152"/>
        <v>0</v>
      </c>
      <c r="S498" s="105">
        <f t="shared" ca="1" si="153"/>
        <v>10</v>
      </c>
    </row>
    <row r="499" spans="1:19" x14ac:dyDescent="0.35">
      <c r="A499" s="105">
        <f t="shared" ca="1" si="139"/>
        <v>701.83999999999833</v>
      </c>
      <c r="B499" s="105">
        <f t="shared" ca="1" si="140"/>
        <v>0</v>
      </c>
      <c r="C499" s="105">
        <f t="shared" ca="1" si="141"/>
        <v>2</v>
      </c>
      <c r="D499" s="105">
        <f t="shared" ca="1" si="142"/>
        <v>0</v>
      </c>
      <c r="E499" s="105">
        <f t="shared" ca="1" si="143"/>
        <v>0</v>
      </c>
      <c r="F499" s="105">
        <f t="shared" ca="1" si="144"/>
        <v>0</v>
      </c>
      <c r="G499" s="105">
        <f t="shared" ca="1" si="154"/>
        <v>0</v>
      </c>
      <c r="H499" s="105">
        <f t="shared" ca="1" si="155"/>
        <v>0</v>
      </c>
      <c r="I499" s="105">
        <f t="shared" ca="1" si="145"/>
        <v>0</v>
      </c>
      <c r="J499" s="105">
        <f t="shared" ca="1" si="146"/>
        <v>0</v>
      </c>
      <c r="K499" s="105">
        <f t="shared" ca="1" si="147"/>
        <v>0</v>
      </c>
      <c r="L499" s="105">
        <f t="shared" ca="1" si="156"/>
        <v>0</v>
      </c>
      <c r="M499" s="105">
        <f t="shared" ca="1" si="148"/>
        <v>0</v>
      </c>
      <c r="N499" s="105">
        <f t="shared" ca="1" si="157"/>
        <v>0</v>
      </c>
      <c r="O499" s="105">
        <f t="shared" ca="1" si="149"/>
        <v>0</v>
      </c>
      <c r="P499" s="105">
        <f t="shared" ca="1" si="150"/>
        <v>0</v>
      </c>
      <c r="Q499" s="105">
        <f t="shared" ca="1" si="151"/>
        <v>0</v>
      </c>
      <c r="R499" s="105">
        <f t="shared" ca="1" si="152"/>
        <v>0</v>
      </c>
      <c r="S499" s="105">
        <f t="shared" ca="1" si="153"/>
        <v>10</v>
      </c>
    </row>
    <row r="500" spans="1:19" x14ac:dyDescent="0.35">
      <c r="A500" s="105">
        <f t="shared" ca="1" si="139"/>
        <v>703.25499999999829</v>
      </c>
      <c r="B500" s="105">
        <f t="shared" ca="1" si="140"/>
        <v>0</v>
      </c>
      <c r="C500" s="105">
        <f t="shared" ca="1" si="141"/>
        <v>2</v>
      </c>
      <c r="D500" s="105">
        <f t="shared" ca="1" si="142"/>
        <v>0</v>
      </c>
      <c r="E500" s="105">
        <f t="shared" ca="1" si="143"/>
        <v>0</v>
      </c>
      <c r="F500" s="105">
        <f t="shared" ca="1" si="144"/>
        <v>0</v>
      </c>
      <c r="G500" s="105">
        <f t="shared" ca="1" si="154"/>
        <v>0</v>
      </c>
      <c r="H500" s="105">
        <f t="shared" ca="1" si="155"/>
        <v>0</v>
      </c>
      <c r="I500" s="105">
        <f t="shared" ca="1" si="145"/>
        <v>0</v>
      </c>
      <c r="J500" s="105">
        <f t="shared" ca="1" si="146"/>
        <v>0</v>
      </c>
      <c r="K500" s="105">
        <f t="shared" ca="1" si="147"/>
        <v>0</v>
      </c>
      <c r="L500" s="105">
        <f t="shared" ca="1" si="156"/>
        <v>0</v>
      </c>
      <c r="M500" s="105">
        <f t="shared" ca="1" si="148"/>
        <v>0</v>
      </c>
      <c r="N500" s="105">
        <f t="shared" ca="1" si="157"/>
        <v>0</v>
      </c>
      <c r="O500" s="105">
        <f t="shared" ca="1" si="149"/>
        <v>0</v>
      </c>
      <c r="P500" s="105">
        <f t="shared" ca="1" si="150"/>
        <v>0</v>
      </c>
      <c r="Q500" s="105">
        <f t="shared" ca="1" si="151"/>
        <v>0</v>
      </c>
      <c r="R500" s="105">
        <f t="shared" ca="1" si="152"/>
        <v>0</v>
      </c>
      <c r="S500" s="105">
        <f t="shared" ca="1" si="153"/>
        <v>10</v>
      </c>
    </row>
    <row r="501" spans="1:19" x14ac:dyDescent="0.35">
      <c r="A501" s="105">
        <f t="shared" ca="1" si="139"/>
        <v>704.66999999999825</v>
      </c>
      <c r="B501" s="105">
        <f t="shared" ca="1" si="140"/>
        <v>0</v>
      </c>
      <c r="C501" s="105">
        <f t="shared" ca="1" si="141"/>
        <v>2</v>
      </c>
      <c r="D501" s="105">
        <f t="shared" ca="1" si="142"/>
        <v>0</v>
      </c>
      <c r="E501" s="105">
        <f t="shared" ca="1" si="143"/>
        <v>0</v>
      </c>
      <c r="F501" s="105">
        <f t="shared" ca="1" si="144"/>
        <v>0</v>
      </c>
      <c r="G501" s="105">
        <f t="shared" ca="1" si="154"/>
        <v>0</v>
      </c>
      <c r="H501" s="105">
        <f t="shared" ca="1" si="155"/>
        <v>0</v>
      </c>
      <c r="I501" s="105">
        <f t="shared" ca="1" si="145"/>
        <v>0</v>
      </c>
      <c r="J501" s="105">
        <f t="shared" ca="1" si="146"/>
        <v>0</v>
      </c>
      <c r="K501" s="105">
        <f t="shared" ca="1" si="147"/>
        <v>0</v>
      </c>
      <c r="L501" s="105">
        <f t="shared" ca="1" si="156"/>
        <v>0</v>
      </c>
      <c r="M501" s="105">
        <f t="shared" ca="1" si="148"/>
        <v>0</v>
      </c>
      <c r="N501" s="105">
        <f t="shared" ca="1" si="157"/>
        <v>0</v>
      </c>
      <c r="O501" s="105">
        <f t="shared" ca="1" si="149"/>
        <v>0</v>
      </c>
      <c r="P501" s="105">
        <f t="shared" ca="1" si="150"/>
        <v>0</v>
      </c>
      <c r="Q501" s="105">
        <f t="shared" ca="1" si="151"/>
        <v>0</v>
      </c>
      <c r="R501" s="105">
        <f t="shared" ca="1" si="152"/>
        <v>0</v>
      </c>
      <c r="S501" s="105">
        <f t="shared" ca="1" si="153"/>
        <v>10</v>
      </c>
    </row>
    <row r="502" spans="1:19" x14ac:dyDescent="0.35">
      <c r="A502" s="105">
        <f t="shared" ca="1" si="139"/>
        <v>706.08499999999822</v>
      </c>
      <c r="B502" s="105">
        <f t="shared" ca="1" si="140"/>
        <v>0</v>
      </c>
      <c r="C502" s="105">
        <f t="shared" ca="1" si="141"/>
        <v>2</v>
      </c>
      <c r="D502" s="105">
        <f t="shared" ca="1" si="142"/>
        <v>0</v>
      </c>
      <c r="E502" s="105">
        <f t="shared" ca="1" si="143"/>
        <v>0</v>
      </c>
      <c r="F502" s="105">
        <f t="shared" ca="1" si="144"/>
        <v>0</v>
      </c>
      <c r="G502" s="105">
        <f t="shared" ca="1" si="154"/>
        <v>0</v>
      </c>
      <c r="H502" s="105">
        <f t="shared" ca="1" si="155"/>
        <v>0</v>
      </c>
      <c r="I502" s="105">
        <f t="shared" ca="1" si="145"/>
        <v>0</v>
      </c>
      <c r="J502" s="105">
        <f t="shared" ca="1" si="146"/>
        <v>0</v>
      </c>
      <c r="K502" s="105">
        <f t="shared" ca="1" si="147"/>
        <v>0</v>
      </c>
      <c r="L502" s="105">
        <f t="shared" ca="1" si="156"/>
        <v>0</v>
      </c>
      <c r="M502" s="105">
        <f t="shared" ca="1" si="148"/>
        <v>0</v>
      </c>
      <c r="N502" s="105">
        <f t="shared" ca="1" si="157"/>
        <v>0</v>
      </c>
      <c r="O502" s="105">
        <f t="shared" ca="1" si="149"/>
        <v>0</v>
      </c>
      <c r="P502" s="105">
        <f t="shared" ca="1" si="150"/>
        <v>0</v>
      </c>
      <c r="Q502" s="105">
        <f t="shared" ca="1" si="151"/>
        <v>0</v>
      </c>
      <c r="R502" s="105">
        <f t="shared" ca="1" si="152"/>
        <v>0</v>
      </c>
      <c r="S502" s="105">
        <f t="shared" ca="1" si="153"/>
        <v>10</v>
      </c>
    </row>
    <row r="503" spans="1:19" x14ac:dyDescent="0.35">
      <c r="A503" s="105">
        <f t="shared" ca="1" si="139"/>
        <v>707.49999999999818</v>
      </c>
      <c r="B503" s="105">
        <f t="shared" ca="1" si="140"/>
        <v>0</v>
      </c>
      <c r="C503" s="105">
        <f t="shared" ca="1" si="141"/>
        <v>2</v>
      </c>
      <c r="D503" s="105">
        <f t="shared" ca="1" si="142"/>
        <v>0</v>
      </c>
      <c r="E503" s="105">
        <f t="shared" ca="1" si="143"/>
        <v>0</v>
      </c>
      <c r="F503" s="105">
        <f t="shared" ca="1" si="144"/>
        <v>0</v>
      </c>
      <c r="G503" s="105">
        <f t="shared" ca="1" si="154"/>
        <v>0</v>
      </c>
      <c r="H503" s="105">
        <f t="shared" ca="1" si="155"/>
        <v>0</v>
      </c>
      <c r="I503" s="105">
        <f t="shared" ca="1" si="145"/>
        <v>0</v>
      </c>
      <c r="J503" s="105">
        <f t="shared" ca="1" si="146"/>
        <v>0</v>
      </c>
      <c r="K503" s="105">
        <f t="shared" ca="1" si="147"/>
        <v>0</v>
      </c>
      <c r="L503" s="105">
        <f t="shared" ca="1" si="156"/>
        <v>0</v>
      </c>
      <c r="M503" s="105">
        <f t="shared" ca="1" si="148"/>
        <v>0</v>
      </c>
      <c r="N503" s="105">
        <f t="shared" ca="1" si="157"/>
        <v>0</v>
      </c>
      <c r="O503" s="105">
        <f t="shared" ca="1" si="149"/>
        <v>0</v>
      </c>
      <c r="P503" s="105">
        <f t="shared" ca="1" si="150"/>
        <v>0</v>
      </c>
      <c r="Q503" s="105">
        <f t="shared" ca="1" si="151"/>
        <v>0</v>
      </c>
      <c r="R503" s="105">
        <f t="shared" ca="1" si="152"/>
        <v>0</v>
      </c>
      <c r="S503" s="105">
        <f t="shared" ca="1" si="153"/>
        <v>10</v>
      </c>
    </row>
    <row r="504" spans="1:19" x14ac:dyDescent="0.35">
      <c r="A504" s="105">
        <f t="shared" ca="1" si="139"/>
        <v>708.91499999999814</v>
      </c>
      <c r="B504" s="105">
        <f t="shared" ca="1" si="140"/>
        <v>0</v>
      </c>
      <c r="C504" s="105">
        <f t="shared" ca="1" si="141"/>
        <v>2</v>
      </c>
      <c r="D504" s="105">
        <f t="shared" ca="1" si="142"/>
        <v>0</v>
      </c>
      <c r="E504" s="105">
        <f t="shared" ca="1" si="143"/>
        <v>0</v>
      </c>
      <c r="F504" s="105">
        <f t="shared" ca="1" si="144"/>
        <v>0</v>
      </c>
      <c r="G504" s="105">
        <f t="shared" ca="1" si="154"/>
        <v>0</v>
      </c>
      <c r="H504" s="105">
        <f t="shared" ca="1" si="155"/>
        <v>0</v>
      </c>
      <c r="I504" s="105">
        <f t="shared" ca="1" si="145"/>
        <v>0</v>
      </c>
      <c r="J504" s="105">
        <f t="shared" ca="1" si="146"/>
        <v>0</v>
      </c>
      <c r="K504" s="105">
        <f t="shared" ca="1" si="147"/>
        <v>0</v>
      </c>
      <c r="L504" s="105">
        <f t="shared" ca="1" si="156"/>
        <v>0</v>
      </c>
      <c r="M504" s="105">
        <f t="shared" ca="1" si="148"/>
        <v>0</v>
      </c>
      <c r="N504" s="105">
        <f t="shared" ca="1" si="157"/>
        <v>0</v>
      </c>
      <c r="O504" s="105">
        <f t="shared" ca="1" si="149"/>
        <v>0</v>
      </c>
      <c r="P504" s="105">
        <f t="shared" ca="1" si="150"/>
        <v>0</v>
      </c>
      <c r="Q504" s="105">
        <f t="shared" ca="1" si="151"/>
        <v>0</v>
      </c>
      <c r="R504" s="105">
        <f t="shared" ca="1" si="152"/>
        <v>0</v>
      </c>
      <c r="S504" s="105">
        <f t="shared" ca="1" si="153"/>
        <v>10</v>
      </c>
    </row>
    <row r="505" spans="1:19" x14ac:dyDescent="0.35">
      <c r="A505" s="105">
        <f t="shared" ca="1" si="139"/>
        <v>710.32999999999811</v>
      </c>
      <c r="B505" s="105">
        <f t="shared" ca="1" si="140"/>
        <v>0</v>
      </c>
      <c r="C505" s="105">
        <f t="shared" ca="1" si="141"/>
        <v>2</v>
      </c>
      <c r="D505" s="105">
        <f t="shared" ca="1" si="142"/>
        <v>0</v>
      </c>
      <c r="E505" s="105">
        <f t="shared" ca="1" si="143"/>
        <v>0</v>
      </c>
      <c r="F505" s="105">
        <f t="shared" ca="1" si="144"/>
        <v>0</v>
      </c>
      <c r="G505" s="105">
        <f t="shared" ca="1" si="154"/>
        <v>0</v>
      </c>
      <c r="H505" s="105">
        <f t="shared" ca="1" si="155"/>
        <v>0</v>
      </c>
      <c r="I505" s="105">
        <f t="shared" ca="1" si="145"/>
        <v>0</v>
      </c>
      <c r="J505" s="105">
        <f t="shared" ca="1" si="146"/>
        <v>0</v>
      </c>
      <c r="K505" s="105">
        <f t="shared" ca="1" si="147"/>
        <v>0</v>
      </c>
      <c r="L505" s="105">
        <f t="shared" ca="1" si="156"/>
        <v>0</v>
      </c>
      <c r="M505" s="105">
        <f t="shared" ca="1" si="148"/>
        <v>0</v>
      </c>
      <c r="N505" s="105">
        <f t="shared" ca="1" si="157"/>
        <v>0</v>
      </c>
      <c r="O505" s="105">
        <f t="shared" ca="1" si="149"/>
        <v>0</v>
      </c>
      <c r="P505" s="105">
        <f t="shared" ca="1" si="150"/>
        <v>0</v>
      </c>
      <c r="Q505" s="105">
        <f t="shared" ca="1" si="151"/>
        <v>0</v>
      </c>
      <c r="R505" s="105">
        <f t="shared" ca="1" si="152"/>
        <v>0</v>
      </c>
      <c r="S505" s="105">
        <f t="shared" ca="1" si="153"/>
        <v>10</v>
      </c>
    </row>
    <row r="506" spans="1:19" x14ac:dyDescent="0.35">
      <c r="A506" s="105">
        <f t="shared" ca="1" si="139"/>
        <v>711.74499999999807</v>
      </c>
      <c r="B506" s="105">
        <f t="shared" ca="1" si="140"/>
        <v>0</v>
      </c>
      <c r="C506" s="105">
        <f t="shared" ca="1" si="141"/>
        <v>2</v>
      </c>
      <c r="D506" s="105">
        <f t="shared" ca="1" si="142"/>
        <v>0</v>
      </c>
      <c r="E506" s="105">
        <f t="shared" ca="1" si="143"/>
        <v>0</v>
      </c>
      <c r="F506" s="105">
        <f t="shared" ca="1" si="144"/>
        <v>0</v>
      </c>
      <c r="G506" s="105">
        <f t="shared" ca="1" si="154"/>
        <v>0</v>
      </c>
      <c r="H506" s="105">
        <f t="shared" ca="1" si="155"/>
        <v>0</v>
      </c>
      <c r="I506" s="105">
        <f t="shared" ca="1" si="145"/>
        <v>0</v>
      </c>
      <c r="J506" s="105">
        <f t="shared" ca="1" si="146"/>
        <v>0</v>
      </c>
      <c r="K506" s="105">
        <f t="shared" ca="1" si="147"/>
        <v>0</v>
      </c>
      <c r="L506" s="105">
        <f t="shared" ca="1" si="156"/>
        <v>0</v>
      </c>
      <c r="M506" s="105">
        <f t="shared" ca="1" si="148"/>
        <v>0</v>
      </c>
      <c r="N506" s="105">
        <f t="shared" ca="1" si="157"/>
        <v>0</v>
      </c>
      <c r="O506" s="105">
        <f t="shared" ca="1" si="149"/>
        <v>0</v>
      </c>
      <c r="P506" s="105">
        <f t="shared" ca="1" si="150"/>
        <v>0</v>
      </c>
      <c r="Q506" s="105">
        <f t="shared" ca="1" si="151"/>
        <v>0</v>
      </c>
      <c r="R506" s="105">
        <f t="shared" ca="1" si="152"/>
        <v>0</v>
      </c>
      <c r="S506" s="105">
        <f t="shared" ca="1" si="153"/>
        <v>10</v>
      </c>
    </row>
    <row r="507" spans="1:19" x14ac:dyDescent="0.35">
      <c r="A507" s="105">
        <f t="shared" ca="1" si="139"/>
        <v>713.15999999999804</v>
      </c>
      <c r="B507" s="105">
        <f t="shared" ca="1" si="140"/>
        <v>0</v>
      </c>
      <c r="C507" s="105">
        <f t="shared" ca="1" si="141"/>
        <v>2</v>
      </c>
      <c r="D507" s="105">
        <f t="shared" ca="1" si="142"/>
        <v>0</v>
      </c>
      <c r="E507" s="105">
        <f t="shared" ca="1" si="143"/>
        <v>0</v>
      </c>
      <c r="F507" s="105">
        <f t="shared" ca="1" si="144"/>
        <v>0</v>
      </c>
      <c r="G507" s="105">
        <f t="shared" ca="1" si="154"/>
        <v>0</v>
      </c>
      <c r="H507" s="105">
        <f t="shared" ca="1" si="155"/>
        <v>0</v>
      </c>
      <c r="I507" s="105">
        <f t="shared" ca="1" si="145"/>
        <v>0</v>
      </c>
      <c r="J507" s="105">
        <f t="shared" ca="1" si="146"/>
        <v>0</v>
      </c>
      <c r="K507" s="105">
        <f t="shared" ca="1" si="147"/>
        <v>0</v>
      </c>
      <c r="L507" s="105">
        <f t="shared" ca="1" si="156"/>
        <v>0</v>
      </c>
      <c r="M507" s="105">
        <f t="shared" ca="1" si="148"/>
        <v>0</v>
      </c>
      <c r="N507" s="105">
        <f t="shared" ca="1" si="157"/>
        <v>0</v>
      </c>
      <c r="O507" s="105">
        <f t="shared" ca="1" si="149"/>
        <v>0</v>
      </c>
      <c r="P507" s="105">
        <f t="shared" ca="1" si="150"/>
        <v>0</v>
      </c>
      <c r="Q507" s="105">
        <f t="shared" ca="1" si="151"/>
        <v>0</v>
      </c>
      <c r="R507" s="105">
        <f t="shared" ca="1" si="152"/>
        <v>0</v>
      </c>
      <c r="S507" s="105">
        <f t="shared" ca="1" si="153"/>
        <v>10</v>
      </c>
    </row>
    <row r="508" spans="1:19" x14ac:dyDescent="0.35">
      <c r="A508" s="105">
        <f t="shared" ca="1" si="139"/>
        <v>714.574999999998</v>
      </c>
      <c r="B508" s="105">
        <f t="shared" ca="1" si="140"/>
        <v>0</v>
      </c>
      <c r="C508" s="105">
        <f t="shared" ca="1" si="141"/>
        <v>2</v>
      </c>
      <c r="D508" s="105">
        <f t="shared" ca="1" si="142"/>
        <v>0</v>
      </c>
      <c r="E508" s="105">
        <f t="shared" ca="1" si="143"/>
        <v>0</v>
      </c>
      <c r="F508" s="105">
        <f t="shared" ca="1" si="144"/>
        <v>0</v>
      </c>
      <c r="G508" s="105">
        <f t="shared" ca="1" si="154"/>
        <v>0</v>
      </c>
      <c r="H508" s="105">
        <f t="shared" ca="1" si="155"/>
        <v>0</v>
      </c>
      <c r="I508" s="105">
        <f t="shared" ca="1" si="145"/>
        <v>0</v>
      </c>
      <c r="J508" s="105">
        <f t="shared" ca="1" si="146"/>
        <v>0</v>
      </c>
      <c r="K508" s="105">
        <f t="shared" ca="1" si="147"/>
        <v>0</v>
      </c>
      <c r="L508" s="105">
        <f t="shared" ca="1" si="156"/>
        <v>0</v>
      </c>
      <c r="M508" s="105">
        <f t="shared" ca="1" si="148"/>
        <v>0</v>
      </c>
      <c r="N508" s="105">
        <f t="shared" ca="1" si="157"/>
        <v>0</v>
      </c>
      <c r="O508" s="105">
        <f t="shared" ca="1" si="149"/>
        <v>0</v>
      </c>
      <c r="P508" s="105">
        <f t="shared" ca="1" si="150"/>
        <v>0</v>
      </c>
      <c r="Q508" s="105">
        <f t="shared" ca="1" si="151"/>
        <v>0</v>
      </c>
      <c r="R508" s="105">
        <f t="shared" ca="1" si="152"/>
        <v>0</v>
      </c>
      <c r="S508" s="105">
        <f t="shared" ca="1" si="153"/>
        <v>10</v>
      </c>
    </row>
    <row r="509" spans="1:19" x14ac:dyDescent="0.35">
      <c r="A509" s="105">
        <f t="shared" ca="1" si="139"/>
        <v>715.98999999999796</v>
      </c>
      <c r="B509" s="105">
        <f t="shared" ca="1" si="140"/>
        <v>0</v>
      </c>
      <c r="C509" s="105">
        <f t="shared" ca="1" si="141"/>
        <v>2</v>
      </c>
      <c r="D509" s="105">
        <f t="shared" ca="1" si="142"/>
        <v>0</v>
      </c>
      <c r="E509" s="105">
        <f t="shared" ca="1" si="143"/>
        <v>0</v>
      </c>
      <c r="F509" s="105">
        <f t="shared" ca="1" si="144"/>
        <v>0</v>
      </c>
      <c r="G509" s="105">
        <f t="shared" ca="1" si="154"/>
        <v>0</v>
      </c>
      <c r="H509" s="105">
        <f t="shared" ca="1" si="155"/>
        <v>0</v>
      </c>
      <c r="I509" s="105">
        <f t="shared" ca="1" si="145"/>
        <v>0</v>
      </c>
      <c r="J509" s="105">
        <f t="shared" ca="1" si="146"/>
        <v>0</v>
      </c>
      <c r="K509" s="105">
        <f t="shared" ca="1" si="147"/>
        <v>0</v>
      </c>
      <c r="L509" s="105">
        <f t="shared" ca="1" si="156"/>
        <v>0</v>
      </c>
      <c r="M509" s="105">
        <f t="shared" ca="1" si="148"/>
        <v>0</v>
      </c>
      <c r="N509" s="105">
        <f t="shared" ca="1" si="157"/>
        <v>0</v>
      </c>
      <c r="O509" s="105">
        <f t="shared" ca="1" si="149"/>
        <v>0</v>
      </c>
      <c r="P509" s="105">
        <f t="shared" ca="1" si="150"/>
        <v>0</v>
      </c>
      <c r="Q509" s="105">
        <f t="shared" ca="1" si="151"/>
        <v>0</v>
      </c>
      <c r="R509" s="105">
        <f t="shared" ca="1" si="152"/>
        <v>0</v>
      </c>
      <c r="S509" s="105">
        <f t="shared" ca="1" si="153"/>
        <v>10</v>
      </c>
    </row>
    <row r="510" spans="1:19" x14ac:dyDescent="0.35">
      <c r="A510" s="105">
        <f t="shared" ca="1" si="139"/>
        <v>717.40499999999793</v>
      </c>
      <c r="B510" s="105">
        <f t="shared" ca="1" si="140"/>
        <v>0</v>
      </c>
      <c r="C510" s="105">
        <f t="shared" ca="1" si="141"/>
        <v>2</v>
      </c>
      <c r="D510" s="105">
        <f t="shared" ca="1" si="142"/>
        <v>0</v>
      </c>
      <c r="E510" s="105">
        <f t="shared" ca="1" si="143"/>
        <v>0</v>
      </c>
      <c r="F510" s="105">
        <f t="shared" ca="1" si="144"/>
        <v>0</v>
      </c>
      <c r="G510" s="105">
        <f t="shared" ca="1" si="154"/>
        <v>0</v>
      </c>
      <c r="H510" s="105">
        <f t="shared" ca="1" si="155"/>
        <v>0</v>
      </c>
      <c r="I510" s="105">
        <f t="shared" ca="1" si="145"/>
        <v>0</v>
      </c>
      <c r="J510" s="105">
        <f t="shared" ca="1" si="146"/>
        <v>0</v>
      </c>
      <c r="K510" s="105">
        <f t="shared" ca="1" si="147"/>
        <v>0</v>
      </c>
      <c r="L510" s="105">
        <f t="shared" ca="1" si="156"/>
        <v>0</v>
      </c>
      <c r="M510" s="105">
        <f t="shared" ca="1" si="148"/>
        <v>0</v>
      </c>
      <c r="N510" s="105">
        <f t="shared" ca="1" si="157"/>
        <v>0</v>
      </c>
      <c r="O510" s="105">
        <f t="shared" ca="1" si="149"/>
        <v>0</v>
      </c>
      <c r="P510" s="105">
        <f t="shared" ca="1" si="150"/>
        <v>0</v>
      </c>
      <c r="Q510" s="105">
        <f t="shared" ca="1" si="151"/>
        <v>0</v>
      </c>
      <c r="R510" s="105">
        <f t="shared" ca="1" si="152"/>
        <v>0</v>
      </c>
      <c r="S510" s="105">
        <f t="shared" ca="1" si="153"/>
        <v>10</v>
      </c>
    </row>
    <row r="511" spans="1:19" x14ac:dyDescent="0.35">
      <c r="A511" s="105">
        <f t="shared" ca="1" si="139"/>
        <v>718.81999999999789</v>
      </c>
      <c r="B511" s="105">
        <f t="shared" ca="1" si="140"/>
        <v>0</v>
      </c>
      <c r="C511" s="105">
        <f t="shared" ca="1" si="141"/>
        <v>2</v>
      </c>
      <c r="D511" s="105">
        <f t="shared" ca="1" si="142"/>
        <v>0</v>
      </c>
      <c r="E511" s="105">
        <f t="shared" ca="1" si="143"/>
        <v>0</v>
      </c>
      <c r="F511" s="105">
        <f t="shared" ca="1" si="144"/>
        <v>0</v>
      </c>
      <c r="G511" s="105">
        <f t="shared" ca="1" si="154"/>
        <v>0</v>
      </c>
      <c r="H511" s="105">
        <f t="shared" ca="1" si="155"/>
        <v>0</v>
      </c>
      <c r="I511" s="105">
        <f t="shared" ca="1" si="145"/>
        <v>0</v>
      </c>
      <c r="J511" s="105">
        <f t="shared" ca="1" si="146"/>
        <v>0</v>
      </c>
      <c r="K511" s="105">
        <f t="shared" ca="1" si="147"/>
        <v>0</v>
      </c>
      <c r="L511" s="105">
        <f t="shared" ca="1" si="156"/>
        <v>0</v>
      </c>
      <c r="M511" s="105">
        <f t="shared" ca="1" si="148"/>
        <v>0</v>
      </c>
      <c r="N511" s="105">
        <f t="shared" ca="1" si="157"/>
        <v>0</v>
      </c>
      <c r="O511" s="105">
        <f t="shared" ca="1" si="149"/>
        <v>0</v>
      </c>
      <c r="P511" s="105">
        <f t="shared" ca="1" si="150"/>
        <v>0</v>
      </c>
      <c r="Q511" s="105">
        <f t="shared" ca="1" si="151"/>
        <v>0</v>
      </c>
      <c r="R511" s="105">
        <f t="shared" ca="1" si="152"/>
        <v>0</v>
      </c>
      <c r="S511" s="105">
        <f t="shared" ca="1" si="153"/>
        <v>10</v>
      </c>
    </row>
    <row r="512" spans="1:19" x14ac:dyDescent="0.35">
      <c r="A512" s="105">
        <f t="shared" ca="1" si="139"/>
        <v>720.23499999999785</v>
      </c>
      <c r="B512" s="105">
        <f t="shared" ca="1" si="140"/>
        <v>0</v>
      </c>
      <c r="C512" s="105">
        <f t="shared" ca="1" si="141"/>
        <v>2</v>
      </c>
      <c r="D512" s="105">
        <f t="shared" ca="1" si="142"/>
        <v>0</v>
      </c>
      <c r="E512" s="105">
        <f t="shared" ca="1" si="143"/>
        <v>0</v>
      </c>
      <c r="F512" s="105">
        <f t="shared" ca="1" si="144"/>
        <v>0</v>
      </c>
      <c r="G512" s="105">
        <f t="shared" ca="1" si="154"/>
        <v>0</v>
      </c>
      <c r="H512" s="105">
        <f t="shared" ca="1" si="155"/>
        <v>0</v>
      </c>
      <c r="I512" s="105">
        <f t="shared" ca="1" si="145"/>
        <v>0</v>
      </c>
      <c r="J512" s="105">
        <f t="shared" ca="1" si="146"/>
        <v>0</v>
      </c>
      <c r="K512" s="105">
        <f t="shared" ca="1" si="147"/>
        <v>0</v>
      </c>
      <c r="L512" s="105">
        <f t="shared" ca="1" si="156"/>
        <v>0</v>
      </c>
      <c r="M512" s="105">
        <f t="shared" ca="1" si="148"/>
        <v>0</v>
      </c>
      <c r="N512" s="105">
        <f t="shared" ca="1" si="157"/>
        <v>0</v>
      </c>
      <c r="O512" s="105">
        <f t="shared" ca="1" si="149"/>
        <v>0</v>
      </c>
      <c r="P512" s="105">
        <f t="shared" ca="1" si="150"/>
        <v>0</v>
      </c>
      <c r="Q512" s="105">
        <f t="shared" ca="1" si="151"/>
        <v>0</v>
      </c>
      <c r="R512" s="105">
        <f t="shared" ca="1" si="152"/>
        <v>0</v>
      </c>
      <c r="S512" s="105">
        <f t="shared" ca="1" si="153"/>
        <v>10</v>
      </c>
    </row>
    <row r="513" spans="1:19" x14ac:dyDescent="0.35">
      <c r="A513" s="105">
        <f t="shared" ca="1" si="139"/>
        <v>721.64999999999782</v>
      </c>
      <c r="B513" s="105">
        <f t="shared" ca="1" si="140"/>
        <v>0</v>
      </c>
      <c r="C513" s="105">
        <f t="shared" ca="1" si="141"/>
        <v>2</v>
      </c>
      <c r="D513" s="105">
        <f t="shared" ca="1" si="142"/>
        <v>0</v>
      </c>
      <c r="E513" s="105">
        <f t="shared" ca="1" si="143"/>
        <v>0</v>
      </c>
      <c r="F513" s="105">
        <f t="shared" ca="1" si="144"/>
        <v>0</v>
      </c>
      <c r="G513" s="105">
        <f t="shared" ca="1" si="154"/>
        <v>0</v>
      </c>
      <c r="H513" s="105">
        <f t="shared" ca="1" si="155"/>
        <v>0</v>
      </c>
      <c r="I513" s="105">
        <f t="shared" ca="1" si="145"/>
        <v>0</v>
      </c>
      <c r="J513" s="105">
        <f t="shared" ca="1" si="146"/>
        <v>0</v>
      </c>
      <c r="K513" s="105">
        <f t="shared" ca="1" si="147"/>
        <v>0</v>
      </c>
      <c r="L513" s="105">
        <f t="shared" ca="1" si="156"/>
        <v>0</v>
      </c>
      <c r="M513" s="105">
        <f t="shared" ca="1" si="148"/>
        <v>0</v>
      </c>
      <c r="N513" s="105">
        <f t="shared" ca="1" si="157"/>
        <v>0</v>
      </c>
      <c r="O513" s="105">
        <f t="shared" ca="1" si="149"/>
        <v>0</v>
      </c>
      <c r="P513" s="105">
        <f t="shared" ca="1" si="150"/>
        <v>0</v>
      </c>
      <c r="Q513" s="105">
        <f t="shared" ca="1" si="151"/>
        <v>0</v>
      </c>
      <c r="R513" s="105">
        <f t="shared" ca="1" si="152"/>
        <v>0</v>
      </c>
      <c r="S513" s="105">
        <f t="shared" ca="1" si="153"/>
        <v>10</v>
      </c>
    </row>
    <row r="514" spans="1:19" x14ac:dyDescent="0.35">
      <c r="A514" s="105">
        <f t="shared" ca="1" si="139"/>
        <v>723.06499999999778</v>
      </c>
      <c r="B514" s="105">
        <f t="shared" ca="1" si="140"/>
        <v>0</v>
      </c>
      <c r="C514" s="105">
        <f t="shared" ca="1" si="141"/>
        <v>2</v>
      </c>
      <c r="D514" s="105">
        <f t="shared" ca="1" si="142"/>
        <v>0</v>
      </c>
      <c r="E514" s="105">
        <f t="shared" ca="1" si="143"/>
        <v>0</v>
      </c>
      <c r="F514" s="105">
        <f t="shared" ca="1" si="144"/>
        <v>0</v>
      </c>
      <c r="G514" s="105">
        <f t="shared" ca="1" si="154"/>
        <v>0</v>
      </c>
      <c r="H514" s="105">
        <f t="shared" ca="1" si="155"/>
        <v>0</v>
      </c>
      <c r="I514" s="105">
        <f t="shared" ca="1" si="145"/>
        <v>0</v>
      </c>
      <c r="J514" s="105">
        <f t="shared" ca="1" si="146"/>
        <v>0</v>
      </c>
      <c r="K514" s="105">
        <f t="shared" ca="1" si="147"/>
        <v>0</v>
      </c>
      <c r="L514" s="105">
        <f t="shared" ca="1" si="156"/>
        <v>0</v>
      </c>
      <c r="M514" s="105">
        <f t="shared" ca="1" si="148"/>
        <v>0</v>
      </c>
      <c r="N514" s="105">
        <f t="shared" ca="1" si="157"/>
        <v>0</v>
      </c>
      <c r="O514" s="105">
        <f t="shared" ca="1" si="149"/>
        <v>0</v>
      </c>
      <c r="P514" s="105">
        <f t="shared" ca="1" si="150"/>
        <v>0</v>
      </c>
      <c r="Q514" s="105">
        <f t="shared" ca="1" si="151"/>
        <v>0</v>
      </c>
      <c r="R514" s="105">
        <f t="shared" ca="1" si="152"/>
        <v>0</v>
      </c>
      <c r="S514" s="105">
        <f t="shared" ca="1" si="153"/>
        <v>10</v>
      </c>
    </row>
    <row r="515" spans="1:19" x14ac:dyDescent="0.35">
      <c r="A515" s="105">
        <f t="shared" ca="1" si="139"/>
        <v>724.47999999999774</v>
      </c>
      <c r="B515" s="105">
        <f t="shared" ca="1" si="140"/>
        <v>0</v>
      </c>
      <c r="C515" s="105">
        <f t="shared" ca="1" si="141"/>
        <v>2</v>
      </c>
      <c r="D515" s="105">
        <f t="shared" ca="1" si="142"/>
        <v>0</v>
      </c>
      <c r="E515" s="105">
        <f t="shared" ca="1" si="143"/>
        <v>0</v>
      </c>
      <c r="F515" s="105">
        <f t="shared" ca="1" si="144"/>
        <v>0</v>
      </c>
      <c r="G515" s="105">
        <f t="shared" ca="1" si="154"/>
        <v>0</v>
      </c>
      <c r="H515" s="105">
        <f t="shared" ca="1" si="155"/>
        <v>0</v>
      </c>
      <c r="I515" s="105">
        <f t="shared" ca="1" si="145"/>
        <v>0</v>
      </c>
      <c r="J515" s="105">
        <f t="shared" ca="1" si="146"/>
        <v>0</v>
      </c>
      <c r="K515" s="105">
        <f t="shared" ca="1" si="147"/>
        <v>0</v>
      </c>
      <c r="L515" s="105">
        <f t="shared" ca="1" si="156"/>
        <v>0</v>
      </c>
      <c r="M515" s="105">
        <f t="shared" ca="1" si="148"/>
        <v>0</v>
      </c>
      <c r="N515" s="105">
        <f t="shared" ca="1" si="157"/>
        <v>0</v>
      </c>
      <c r="O515" s="105">
        <f t="shared" ca="1" si="149"/>
        <v>0</v>
      </c>
      <c r="P515" s="105">
        <f t="shared" ca="1" si="150"/>
        <v>0</v>
      </c>
      <c r="Q515" s="105">
        <f t="shared" ca="1" si="151"/>
        <v>0</v>
      </c>
      <c r="R515" s="105">
        <f t="shared" ca="1" si="152"/>
        <v>0</v>
      </c>
      <c r="S515" s="105">
        <f t="shared" ca="1" si="153"/>
        <v>10</v>
      </c>
    </row>
    <row r="516" spans="1:19" x14ac:dyDescent="0.35">
      <c r="A516" s="105">
        <f t="shared" ref="A516:A579" ca="1" si="158">$V$4+A515</f>
        <v>725.89499999999771</v>
      </c>
      <c r="B516" s="105">
        <f t="shared" ref="B516:B579" ca="1" si="159">IF(AND(A515&gt;$X$1,P515=0,R515=0),0,IF(AND(G515=0,H515=0),"突","")&amp;IF($V$8=0,IF(AND(OR($V$13=0,AND(K515=0,C515&lt;1),AND(K515&gt;0,OR(M515&gt;0,$V$7=0))),$V$6=1,E515=0),"渊","")&amp;IF(AND(OR($V$13=0,AND(K515=0,C515&lt;1),AND(K515&gt;0,OR(M515&gt;0,$V$7=0))),F515=0),"雷","")&amp;IF(AND(C515&gt;0,$V$13=1,E515=0,F515=0,K515=0),"任",IF(AND(G515=1,$V$7=1,I515=0),"乘","循环")),IF(AND($V$6=1,E515=0),"渊","")&amp;IF(AND(OR($V$13=0,AND(K515=0,C515&lt;1),AND(K515&gt;0,OR(M515&gt;0,$V$7=0))),F515=0),"雷","")&amp;IF(AND(C515&gt;0,L515=0,E515=0),"任",IF(AND(G515=1,$V$7=1,I515=0),"乘","循环"))))</f>
        <v>0</v>
      </c>
      <c r="C516" s="105">
        <f t="shared" ref="C516:C579" ca="1" si="160">IF(COUNTIF(B516,"*任*"),C515-1,IF(AND(D515&lt;&gt;0,D515&lt;$V$4),MIN(2,C515+1),C515))</f>
        <v>2</v>
      </c>
      <c r="D516" s="105">
        <f t="shared" ref="D516:D579" ca="1" si="161">IF(AND(D515&lt;$V$4,C515&lt;2),D515+$Y$6-$V$4,IF(AND(C515=2,COUNTIF(B516,"*任*")&gt;0),$Y$6-$V$4,MAX(0,D515-$V$4)))</f>
        <v>0</v>
      </c>
      <c r="E516" s="105">
        <f t="shared" ref="E516:E579" ca="1" si="162">IF(COUNTIF(B516,"*渊*")&gt;0,$Y$8-$V$4,MAX(0,E515-$V$4))</f>
        <v>0</v>
      </c>
      <c r="F516" s="105">
        <f t="shared" ref="F516:F579" ca="1" si="163">IF(COUNTIF(B516,"*雷*")&gt;0,$Y$9-$V$4,MAX(0,F515-$V$4))</f>
        <v>0</v>
      </c>
      <c r="G516" s="105">
        <f t="shared" ca="1" si="154"/>
        <v>0</v>
      </c>
      <c r="H516" s="105">
        <f t="shared" ca="1" si="155"/>
        <v>0</v>
      </c>
      <c r="I516" s="105">
        <f t="shared" ref="I516:I579" ca="1" si="164">IF(COUNTIF(B516,"*乘*")&gt;0,$Y$7-$V$4,MAX(0,I515-$V$4))</f>
        <v>0</v>
      </c>
      <c r="J516" s="105">
        <f t="shared" ref="J516:J579" ca="1" si="165">IF(H515&lt;1,$V$16,MAX(0,J515-1))*$V$11</f>
        <v>0</v>
      </c>
      <c r="K516" s="105">
        <f t="shared" ref="K516:K579" ca="1" si="166">IF(COUNTIF(B516,"*任*")&gt;0,$Z$6-$V$4+0.6875,MAX(0,K515-$V$4))</f>
        <v>0</v>
      </c>
      <c r="L516" s="105">
        <f t="shared" ca="1" si="156"/>
        <v>0</v>
      </c>
      <c r="M516" s="105">
        <f t="shared" ref="M516:M579" ca="1" si="167">IF(COUNTIF(B516,"*乘*")&gt;0,$Z$7-$V$4,MAX(0,M515-$V$4))</f>
        <v>0</v>
      </c>
      <c r="N516" s="105">
        <f t="shared" ca="1" si="157"/>
        <v>0</v>
      </c>
      <c r="O516" s="105">
        <f t="shared" ref="O516:O579" ca="1" si="168">IF(COUNTIF(B516,"*雷*")&gt;0,$Z$9-$V$4,MAX(0,O515-$V$4))</f>
        <v>0</v>
      </c>
      <c r="P516" s="105">
        <f t="shared" ref="P516:P579" ca="1" si="169">IF(O516+O515&gt;0,1,0)</f>
        <v>0</v>
      </c>
      <c r="Q516" s="105">
        <f t="shared" ref="Q516:Q579" ca="1" si="170">IF(COUNTIF(B516,"*渊*")&gt;0,$Z$8-$V$4,MAX(0,Q515-$V$4))</f>
        <v>0</v>
      </c>
      <c r="R516" s="105">
        <f t="shared" ref="R516:R579" ca="1" si="171">IF(Q516+Q515&gt;0,1,0)</f>
        <v>0</v>
      </c>
      <c r="S516" s="105">
        <f t="shared" ref="S516:S579" ca="1" si="172">IF(COUNTIF(B516,"*雷*")&gt;0,S515+1,S515)</f>
        <v>10</v>
      </c>
    </row>
    <row r="517" spans="1:19" x14ac:dyDescent="0.35">
      <c r="A517" s="105">
        <f t="shared" ca="1" si="158"/>
        <v>727.30999999999767</v>
      </c>
      <c r="B517" s="105">
        <f t="shared" ca="1" si="159"/>
        <v>0</v>
      </c>
      <c r="C517" s="105">
        <f t="shared" ca="1" si="160"/>
        <v>2</v>
      </c>
      <c r="D517" s="105">
        <f t="shared" ca="1" si="161"/>
        <v>0</v>
      </c>
      <c r="E517" s="105">
        <f t="shared" ca="1" si="162"/>
        <v>0</v>
      </c>
      <c r="F517" s="105">
        <f t="shared" ca="1" si="163"/>
        <v>0</v>
      </c>
      <c r="G517" s="105">
        <f t="shared" ref="G517:G580" ca="1" si="173">IF(RIGHT(B517,1)="任",1,IF(OR($V$9=0,AND(K516&lt;$V$4,H516=0)),0,G516))</f>
        <v>0</v>
      </c>
      <c r="H517" s="105">
        <f t="shared" ref="H517:H580" ca="1" si="174">IF(COUNTIF(B517,"*突*")&gt;0,$Y$5-$V$4,MAX(0,H516-$V$4))</f>
        <v>0</v>
      </c>
      <c r="I517" s="105">
        <f t="shared" ca="1" si="164"/>
        <v>0</v>
      </c>
      <c r="J517" s="105">
        <f t="shared" ca="1" si="165"/>
        <v>0</v>
      </c>
      <c r="K517" s="105">
        <f t="shared" ca="1" si="166"/>
        <v>0</v>
      </c>
      <c r="L517" s="105">
        <f t="shared" ca="1" si="156"/>
        <v>0</v>
      </c>
      <c r="M517" s="105">
        <f t="shared" ca="1" si="167"/>
        <v>0</v>
      </c>
      <c r="N517" s="105">
        <f t="shared" ca="1" si="157"/>
        <v>0</v>
      </c>
      <c r="O517" s="105">
        <f t="shared" ca="1" si="168"/>
        <v>0</v>
      </c>
      <c r="P517" s="105">
        <f t="shared" ca="1" si="169"/>
        <v>0</v>
      </c>
      <c r="Q517" s="105">
        <f t="shared" ca="1" si="170"/>
        <v>0</v>
      </c>
      <c r="R517" s="105">
        <f t="shared" ca="1" si="171"/>
        <v>0</v>
      </c>
      <c r="S517" s="105">
        <f t="shared" ca="1" si="172"/>
        <v>10</v>
      </c>
    </row>
    <row r="518" spans="1:19" x14ac:dyDescent="0.35">
      <c r="A518" s="105">
        <f t="shared" ca="1" si="158"/>
        <v>728.72499999999764</v>
      </c>
      <c r="B518" s="105">
        <f t="shared" ca="1" si="159"/>
        <v>0</v>
      </c>
      <c r="C518" s="105">
        <f t="shared" ca="1" si="160"/>
        <v>2</v>
      </c>
      <c r="D518" s="105">
        <f t="shared" ca="1" si="161"/>
        <v>0</v>
      </c>
      <c r="E518" s="105">
        <f t="shared" ca="1" si="162"/>
        <v>0</v>
      </c>
      <c r="F518" s="105">
        <f t="shared" ca="1" si="163"/>
        <v>0</v>
      </c>
      <c r="G518" s="105">
        <f t="shared" ca="1" si="173"/>
        <v>0</v>
      </c>
      <c r="H518" s="105">
        <f t="shared" ca="1" si="174"/>
        <v>0</v>
      </c>
      <c r="I518" s="105">
        <f t="shared" ca="1" si="164"/>
        <v>0</v>
      </c>
      <c r="J518" s="105">
        <f t="shared" ca="1" si="165"/>
        <v>0</v>
      </c>
      <c r="K518" s="105">
        <f t="shared" ca="1" si="166"/>
        <v>0</v>
      </c>
      <c r="L518" s="105">
        <f t="shared" ca="1" si="156"/>
        <v>0</v>
      </c>
      <c r="M518" s="105">
        <f t="shared" ca="1" si="167"/>
        <v>0</v>
      </c>
      <c r="N518" s="105">
        <f t="shared" ca="1" si="157"/>
        <v>0</v>
      </c>
      <c r="O518" s="105">
        <f t="shared" ca="1" si="168"/>
        <v>0</v>
      </c>
      <c r="P518" s="105">
        <f t="shared" ca="1" si="169"/>
        <v>0</v>
      </c>
      <c r="Q518" s="105">
        <f t="shared" ca="1" si="170"/>
        <v>0</v>
      </c>
      <c r="R518" s="105">
        <f t="shared" ca="1" si="171"/>
        <v>0</v>
      </c>
      <c r="S518" s="105">
        <f t="shared" ca="1" si="172"/>
        <v>10</v>
      </c>
    </row>
    <row r="519" spans="1:19" x14ac:dyDescent="0.35">
      <c r="A519" s="105">
        <f t="shared" ca="1" si="158"/>
        <v>730.1399999999976</v>
      </c>
      <c r="B519" s="105">
        <f t="shared" ca="1" si="159"/>
        <v>0</v>
      </c>
      <c r="C519" s="105">
        <f t="shared" ca="1" si="160"/>
        <v>2</v>
      </c>
      <c r="D519" s="105">
        <f t="shared" ca="1" si="161"/>
        <v>0</v>
      </c>
      <c r="E519" s="105">
        <f t="shared" ca="1" si="162"/>
        <v>0</v>
      </c>
      <c r="F519" s="105">
        <f t="shared" ca="1" si="163"/>
        <v>0</v>
      </c>
      <c r="G519" s="105">
        <f t="shared" ca="1" si="173"/>
        <v>0</v>
      </c>
      <c r="H519" s="105">
        <f t="shared" ca="1" si="174"/>
        <v>0</v>
      </c>
      <c r="I519" s="105">
        <f t="shared" ca="1" si="164"/>
        <v>0</v>
      </c>
      <c r="J519" s="105">
        <f t="shared" ca="1" si="165"/>
        <v>0</v>
      </c>
      <c r="K519" s="105">
        <f t="shared" ca="1" si="166"/>
        <v>0</v>
      </c>
      <c r="L519" s="105">
        <f t="shared" ca="1" si="156"/>
        <v>0</v>
      </c>
      <c r="M519" s="105">
        <f t="shared" ca="1" si="167"/>
        <v>0</v>
      </c>
      <c r="N519" s="105">
        <f t="shared" ca="1" si="157"/>
        <v>0</v>
      </c>
      <c r="O519" s="105">
        <f t="shared" ca="1" si="168"/>
        <v>0</v>
      </c>
      <c r="P519" s="105">
        <f t="shared" ca="1" si="169"/>
        <v>0</v>
      </c>
      <c r="Q519" s="105">
        <f t="shared" ca="1" si="170"/>
        <v>0</v>
      </c>
      <c r="R519" s="105">
        <f t="shared" ca="1" si="171"/>
        <v>0</v>
      </c>
      <c r="S519" s="105">
        <f t="shared" ca="1" si="172"/>
        <v>10</v>
      </c>
    </row>
    <row r="520" spans="1:19" x14ac:dyDescent="0.35">
      <c r="A520" s="105">
        <f t="shared" ca="1" si="158"/>
        <v>731.55499999999756</v>
      </c>
      <c r="B520" s="105">
        <f t="shared" ca="1" si="159"/>
        <v>0</v>
      </c>
      <c r="C520" s="105">
        <f t="shared" ca="1" si="160"/>
        <v>2</v>
      </c>
      <c r="D520" s="105">
        <f t="shared" ca="1" si="161"/>
        <v>0</v>
      </c>
      <c r="E520" s="105">
        <f t="shared" ca="1" si="162"/>
        <v>0</v>
      </c>
      <c r="F520" s="105">
        <f t="shared" ca="1" si="163"/>
        <v>0</v>
      </c>
      <c r="G520" s="105">
        <f t="shared" ca="1" si="173"/>
        <v>0</v>
      </c>
      <c r="H520" s="105">
        <f t="shared" ca="1" si="174"/>
        <v>0</v>
      </c>
      <c r="I520" s="105">
        <f t="shared" ca="1" si="164"/>
        <v>0</v>
      </c>
      <c r="J520" s="105">
        <f t="shared" ca="1" si="165"/>
        <v>0</v>
      </c>
      <c r="K520" s="105">
        <f t="shared" ca="1" si="166"/>
        <v>0</v>
      </c>
      <c r="L520" s="105">
        <f t="shared" ca="1" si="156"/>
        <v>0</v>
      </c>
      <c r="M520" s="105">
        <f t="shared" ca="1" si="167"/>
        <v>0</v>
      </c>
      <c r="N520" s="105">
        <f t="shared" ca="1" si="157"/>
        <v>0</v>
      </c>
      <c r="O520" s="105">
        <f t="shared" ca="1" si="168"/>
        <v>0</v>
      </c>
      <c r="P520" s="105">
        <f t="shared" ca="1" si="169"/>
        <v>0</v>
      </c>
      <c r="Q520" s="105">
        <f t="shared" ca="1" si="170"/>
        <v>0</v>
      </c>
      <c r="R520" s="105">
        <f t="shared" ca="1" si="171"/>
        <v>0</v>
      </c>
      <c r="S520" s="105">
        <f t="shared" ca="1" si="172"/>
        <v>10</v>
      </c>
    </row>
    <row r="521" spans="1:19" x14ac:dyDescent="0.35">
      <c r="A521" s="105">
        <f t="shared" ca="1" si="158"/>
        <v>732.96999999999753</v>
      </c>
      <c r="B521" s="105">
        <f t="shared" ca="1" si="159"/>
        <v>0</v>
      </c>
      <c r="C521" s="105">
        <f t="shared" ca="1" si="160"/>
        <v>2</v>
      </c>
      <c r="D521" s="105">
        <f t="shared" ca="1" si="161"/>
        <v>0</v>
      </c>
      <c r="E521" s="105">
        <f t="shared" ca="1" si="162"/>
        <v>0</v>
      </c>
      <c r="F521" s="105">
        <f t="shared" ca="1" si="163"/>
        <v>0</v>
      </c>
      <c r="G521" s="105">
        <f t="shared" ca="1" si="173"/>
        <v>0</v>
      </c>
      <c r="H521" s="105">
        <f t="shared" ca="1" si="174"/>
        <v>0</v>
      </c>
      <c r="I521" s="105">
        <f t="shared" ca="1" si="164"/>
        <v>0</v>
      </c>
      <c r="J521" s="105">
        <f t="shared" ca="1" si="165"/>
        <v>0</v>
      </c>
      <c r="K521" s="105">
        <f t="shared" ca="1" si="166"/>
        <v>0</v>
      </c>
      <c r="L521" s="105">
        <f t="shared" ca="1" si="156"/>
        <v>0</v>
      </c>
      <c r="M521" s="105">
        <f t="shared" ca="1" si="167"/>
        <v>0</v>
      </c>
      <c r="N521" s="105">
        <f t="shared" ca="1" si="157"/>
        <v>0</v>
      </c>
      <c r="O521" s="105">
        <f t="shared" ca="1" si="168"/>
        <v>0</v>
      </c>
      <c r="P521" s="105">
        <f t="shared" ca="1" si="169"/>
        <v>0</v>
      </c>
      <c r="Q521" s="105">
        <f t="shared" ca="1" si="170"/>
        <v>0</v>
      </c>
      <c r="R521" s="105">
        <f t="shared" ca="1" si="171"/>
        <v>0</v>
      </c>
      <c r="S521" s="105">
        <f t="shared" ca="1" si="172"/>
        <v>10</v>
      </c>
    </row>
    <row r="522" spans="1:19" x14ac:dyDescent="0.35">
      <c r="A522" s="105">
        <f t="shared" ca="1" si="158"/>
        <v>734.38499999999749</v>
      </c>
      <c r="B522" s="105">
        <f t="shared" ca="1" si="159"/>
        <v>0</v>
      </c>
      <c r="C522" s="105">
        <f t="shared" ca="1" si="160"/>
        <v>2</v>
      </c>
      <c r="D522" s="105">
        <f t="shared" ca="1" si="161"/>
        <v>0</v>
      </c>
      <c r="E522" s="105">
        <f t="shared" ca="1" si="162"/>
        <v>0</v>
      </c>
      <c r="F522" s="105">
        <f t="shared" ca="1" si="163"/>
        <v>0</v>
      </c>
      <c r="G522" s="105">
        <f t="shared" ca="1" si="173"/>
        <v>0</v>
      </c>
      <c r="H522" s="105">
        <f t="shared" ca="1" si="174"/>
        <v>0</v>
      </c>
      <c r="I522" s="105">
        <f t="shared" ca="1" si="164"/>
        <v>0</v>
      </c>
      <c r="J522" s="105">
        <f t="shared" ca="1" si="165"/>
        <v>0</v>
      </c>
      <c r="K522" s="105">
        <f t="shared" ca="1" si="166"/>
        <v>0</v>
      </c>
      <c r="L522" s="105">
        <f t="shared" ca="1" si="156"/>
        <v>0</v>
      </c>
      <c r="M522" s="105">
        <f t="shared" ca="1" si="167"/>
        <v>0</v>
      </c>
      <c r="N522" s="105">
        <f t="shared" ca="1" si="157"/>
        <v>0</v>
      </c>
      <c r="O522" s="105">
        <f t="shared" ca="1" si="168"/>
        <v>0</v>
      </c>
      <c r="P522" s="105">
        <f t="shared" ca="1" si="169"/>
        <v>0</v>
      </c>
      <c r="Q522" s="105">
        <f t="shared" ca="1" si="170"/>
        <v>0</v>
      </c>
      <c r="R522" s="105">
        <f t="shared" ca="1" si="171"/>
        <v>0</v>
      </c>
      <c r="S522" s="105">
        <f t="shared" ca="1" si="172"/>
        <v>10</v>
      </c>
    </row>
    <row r="523" spans="1:19" x14ac:dyDescent="0.35">
      <c r="A523" s="105">
        <f t="shared" ca="1" si="158"/>
        <v>735.79999999999745</v>
      </c>
      <c r="B523" s="105">
        <f t="shared" ca="1" si="159"/>
        <v>0</v>
      </c>
      <c r="C523" s="105">
        <f t="shared" ca="1" si="160"/>
        <v>2</v>
      </c>
      <c r="D523" s="105">
        <f t="shared" ca="1" si="161"/>
        <v>0</v>
      </c>
      <c r="E523" s="105">
        <f t="shared" ca="1" si="162"/>
        <v>0</v>
      </c>
      <c r="F523" s="105">
        <f t="shared" ca="1" si="163"/>
        <v>0</v>
      </c>
      <c r="G523" s="105">
        <f t="shared" ca="1" si="173"/>
        <v>0</v>
      </c>
      <c r="H523" s="105">
        <f t="shared" ca="1" si="174"/>
        <v>0</v>
      </c>
      <c r="I523" s="105">
        <f t="shared" ca="1" si="164"/>
        <v>0</v>
      </c>
      <c r="J523" s="105">
        <f t="shared" ca="1" si="165"/>
        <v>0</v>
      </c>
      <c r="K523" s="105">
        <f t="shared" ca="1" si="166"/>
        <v>0</v>
      </c>
      <c r="L523" s="105">
        <f t="shared" ca="1" si="156"/>
        <v>0</v>
      </c>
      <c r="M523" s="105">
        <f t="shared" ca="1" si="167"/>
        <v>0</v>
      </c>
      <c r="N523" s="105">
        <f t="shared" ca="1" si="157"/>
        <v>0</v>
      </c>
      <c r="O523" s="105">
        <f t="shared" ca="1" si="168"/>
        <v>0</v>
      </c>
      <c r="P523" s="105">
        <f t="shared" ca="1" si="169"/>
        <v>0</v>
      </c>
      <c r="Q523" s="105">
        <f t="shared" ca="1" si="170"/>
        <v>0</v>
      </c>
      <c r="R523" s="105">
        <f t="shared" ca="1" si="171"/>
        <v>0</v>
      </c>
      <c r="S523" s="105">
        <f t="shared" ca="1" si="172"/>
        <v>10</v>
      </c>
    </row>
    <row r="524" spans="1:19" x14ac:dyDescent="0.35">
      <c r="A524" s="105">
        <f t="shared" ca="1" si="158"/>
        <v>737.21499999999742</v>
      </c>
      <c r="B524" s="105">
        <f t="shared" ca="1" si="159"/>
        <v>0</v>
      </c>
      <c r="C524" s="105">
        <f t="shared" ca="1" si="160"/>
        <v>2</v>
      </c>
      <c r="D524" s="105">
        <f t="shared" ca="1" si="161"/>
        <v>0</v>
      </c>
      <c r="E524" s="105">
        <f t="shared" ca="1" si="162"/>
        <v>0</v>
      </c>
      <c r="F524" s="105">
        <f t="shared" ca="1" si="163"/>
        <v>0</v>
      </c>
      <c r="G524" s="105">
        <f t="shared" ca="1" si="173"/>
        <v>0</v>
      </c>
      <c r="H524" s="105">
        <f t="shared" ca="1" si="174"/>
        <v>0</v>
      </c>
      <c r="I524" s="105">
        <f t="shared" ca="1" si="164"/>
        <v>0</v>
      </c>
      <c r="J524" s="105">
        <f t="shared" ca="1" si="165"/>
        <v>0</v>
      </c>
      <c r="K524" s="105">
        <f t="shared" ca="1" si="166"/>
        <v>0</v>
      </c>
      <c r="L524" s="105">
        <f t="shared" ca="1" si="156"/>
        <v>0</v>
      </c>
      <c r="M524" s="105">
        <f t="shared" ca="1" si="167"/>
        <v>0</v>
      </c>
      <c r="N524" s="105">
        <f t="shared" ca="1" si="157"/>
        <v>0</v>
      </c>
      <c r="O524" s="105">
        <f t="shared" ca="1" si="168"/>
        <v>0</v>
      </c>
      <c r="P524" s="105">
        <f t="shared" ca="1" si="169"/>
        <v>0</v>
      </c>
      <c r="Q524" s="105">
        <f t="shared" ca="1" si="170"/>
        <v>0</v>
      </c>
      <c r="R524" s="105">
        <f t="shared" ca="1" si="171"/>
        <v>0</v>
      </c>
      <c r="S524" s="105">
        <f t="shared" ca="1" si="172"/>
        <v>10</v>
      </c>
    </row>
    <row r="525" spans="1:19" x14ac:dyDescent="0.35">
      <c r="A525" s="105">
        <f t="shared" ca="1" si="158"/>
        <v>738.62999999999738</v>
      </c>
      <c r="B525" s="105">
        <f t="shared" ca="1" si="159"/>
        <v>0</v>
      </c>
      <c r="C525" s="105">
        <f t="shared" ca="1" si="160"/>
        <v>2</v>
      </c>
      <c r="D525" s="105">
        <f t="shared" ca="1" si="161"/>
        <v>0</v>
      </c>
      <c r="E525" s="105">
        <f t="shared" ca="1" si="162"/>
        <v>0</v>
      </c>
      <c r="F525" s="105">
        <f t="shared" ca="1" si="163"/>
        <v>0</v>
      </c>
      <c r="G525" s="105">
        <f t="shared" ca="1" si="173"/>
        <v>0</v>
      </c>
      <c r="H525" s="105">
        <f t="shared" ca="1" si="174"/>
        <v>0</v>
      </c>
      <c r="I525" s="105">
        <f t="shared" ca="1" si="164"/>
        <v>0</v>
      </c>
      <c r="J525" s="105">
        <f t="shared" ca="1" si="165"/>
        <v>0</v>
      </c>
      <c r="K525" s="105">
        <f t="shared" ca="1" si="166"/>
        <v>0</v>
      </c>
      <c r="L525" s="105">
        <f t="shared" ca="1" si="156"/>
        <v>0</v>
      </c>
      <c r="M525" s="105">
        <f t="shared" ca="1" si="167"/>
        <v>0</v>
      </c>
      <c r="N525" s="105">
        <f t="shared" ca="1" si="157"/>
        <v>0</v>
      </c>
      <c r="O525" s="105">
        <f t="shared" ca="1" si="168"/>
        <v>0</v>
      </c>
      <c r="P525" s="105">
        <f t="shared" ca="1" si="169"/>
        <v>0</v>
      </c>
      <c r="Q525" s="105">
        <f t="shared" ca="1" si="170"/>
        <v>0</v>
      </c>
      <c r="R525" s="105">
        <f t="shared" ca="1" si="171"/>
        <v>0</v>
      </c>
      <c r="S525" s="105">
        <f t="shared" ca="1" si="172"/>
        <v>10</v>
      </c>
    </row>
    <row r="526" spans="1:19" x14ac:dyDescent="0.35">
      <c r="A526" s="105">
        <f t="shared" ca="1" si="158"/>
        <v>740.04499999999734</v>
      </c>
      <c r="B526" s="105">
        <f t="shared" ca="1" si="159"/>
        <v>0</v>
      </c>
      <c r="C526" s="105">
        <f t="shared" ca="1" si="160"/>
        <v>2</v>
      </c>
      <c r="D526" s="105">
        <f t="shared" ca="1" si="161"/>
        <v>0</v>
      </c>
      <c r="E526" s="105">
        <f t="shared" ca="1" si="162"/>
        <v>0</v>
      </c>
      <c r="F526" s="105">
        <f t="shared" ca="1" si="163"/>
        <v>0</v>
      </c>
      <c r="G526" s="105">
        <f t="shared" ca="1" si="173"/>
        <v>0</v>
      </c>
      <c r="H526" s="105">
        <f t="shared" ca="1" si="174"/>
        <v>0</v>
      </c>
      <c r="I526" s="105">
        <f t="shared" ca="1" si="164"/>
        <v>0</v>
      </c>
      <c r="J526" s="105">
        <f t="shared" ca="1" si="165"/>
        <v>0</v>
      </c>
      <c r="K526" s="105">
        <f t="shared" ca="1" si="166"/>
        <v>0</v>
      </c>
      <c r="L526" s="105">
        <f t="shared" ca="1" si="156"/>
        <v>0</v>
      </c>
      <c r="M526" s="105">
        <f t="shared" ca="1" si="167"/>
        <v>0</v>
      </c>
      <c r="N526" s="105">
        <f t="shared" ca="1" si="157"/>
        <v>0</v>
      </c>
      <c r="O526" s="105">
        <f t="shared" ca="1" si="168"/>
        <v>0</v>
      </c>
      <c r="P526" s="105">
        <f t="shared" ca="1" si="169"/>
        <v>0</v>
      </c>
      <c r="Q526" s="105">
        <f t="shared" ca="1" si="170"/>
        <v>0</v>
      </c>
      <c r="R526" s="105">
        <f t="shared" ca="1" si="171"/>
        <v>0</v>
      </c>
      <c r="S526" s="105">
        <f t="shared" ca="1" si="172"/>
        <v>10</v>
      </c>
    </row>
    <row r="527" spans="1:19" x14ac:dyDescent="0.35">
      <c r="A527" s="105">
        <f t="shared" ca="1" si="158"/>
        <v>741.45999999999731</v>
      </c>
      <c r="B527" s="105">
        <f t="shared" ca="1" si="159"/>
        <v>0</v>
      </c>
      <c r="C527" s="105">
        <f t="shared" ca="1" si="160"/>
        <v>2</v>
      </c>
      <c r="D527" s="105">
        <f t="shared" ca="1" si="161"/>
        <v>0</v>
      </c>
      <c r="E527" s="105">
        <f t="shared" ca="1" si="162"/>
        <v>0</v>
      </c>
      <c r="F527" s="105">
        <f t="shared" ca="1" si="163"/>
        <v>0</v>
      </c>
      <c r="G527" s="105">
        <f t="shared" ca="1" si="173"/>
        <v>0</v>
      </c>
      <c r="H527" s="105">
        <f t="shared" ca="1" si="174"/>
        <v>0</v>
      </c>
      <c r="I527" s="105">
        <f t="shared" ca="1" si="164"/>
        <v>0</v>
      </c>
      <c r="J527" s="105">
        <f t="shared" ca="1" si="165"/>
        <v>0</v>
      </c>
      <c r="K527" s="105">
        <f t="shared" ca="1" si="166"/>
        <v>0</v>
      </c>
      <c r="L527" s="105">
        <f t="shared" ca="1" si="156"/>
        <v>0</v>
      </c>
      <c r="M527" s="105">
        <f t="shared" ca="1" si="167"/>
        <v>0</v>
      </c>
      <c r="N527" s="105">
        <f t="shared" ca="1" si="157"/>
        <v>0</v>
      </c>
      <c r="O527" s="105">
        <f t="shared" ca="1" si="168"/>
        <v>0</v>
      </c>
      <c r="P527" s="105">
        <f t="shared" ca="1" si="169"/>
        <v>0</v>
      </c>
      <c r="Q527" s="105">
        <f t="shared" ca="1" si="170"/>
        <v>0</v>
      </c>
      <c r="R527" s="105">
        <f t="shared" ca="1" si="171"/>
        <v>0</v>
      </c>
      <c r="S527" s="105">
        <f t="shared" ca="1" si="172"/>
        <v>10</v>
      </c>
    </row>
    <row r="528" spans="1:19" x14ac:dyDescent="0.35">
      <c r="A528" s="105">
        <f t="shared" ca="1" si="158"/>
        <v>742.87499999999727</v>
      </c>
      <c r="B528" s="105">
        <f t="shared" ca="1" si="159"/>
        <v>0</v>
      </c>
      <c r="C528" s="105">
        <f t="shared" ca="1" si="160"/>
        <v>2</v>
      </c>
      <c r="D528" s="105">
        <f t="shared" ca="1" si="161"/>
        <v>0</v>
      </c>
      <c r="E528" s="105">
        <f t="shared" ca="1" si="162"/>
        <v>0</v>
      </c>
      <c r="F528" s="105">
        <f t="shared" ca="1" si="163"/>
        <v>0</v>
      </c>
      <c r="G528" s="105">
        <f t="shared" ca="1" si="173"/>
        <v>0</v>
      </c>
      <c r="H528" s="105">
        <f t="shared" ca="1" si="174"/>
        <v>0</v>
      </c>
      <c r="I528" s="105">
        <f t="shared" ca="1" si="164"/>
        <v>0</v>
      </c>
      <c r="J528" s="105">
        <f t="shared" ca="1" si="165"/>
        <v>0</v>
      </c>
      <c r="K528" s="105">
        <f t="shared" ca="1" si="166"/>
        <v>0</v>
      </c>
      <c r="L528" s="105">
        <f t="shared" ca="1" si="156"/>
        <v>0</v>
      </c>
      <c r="M528" s="105">
        <f t="shared" ca="1" si="167"/>
        <v>0</v>
      </c>
      <c r="N528" s="105">
        <f t="shared" ca="1" si="157"/>
        <v>0</v>
      </c>
      <c r="O528" s="105">
        <f t="shared" ca="1" si="168"/>
        <v>0</v>
      </c>
      <c r="P528" s="105">
        <f t="shared" ca="1" si="169"/>
        <v>0</v>
      </c>
      <c r="Q528" s="105">
        <f t="shared" ca="1" si="170"/>
        <v>0</v>
      </c>
      <c r="R528" s="105">
        <f t="shared" ca="1" si="171"/>
        <v>0</v>
      </c>
      <c r="S528" s="105">
        <f t="shared" ca="1" si="172"/>
        <v>10</v>
      </c>
    </row>
    <row r="529" spans="1:19" x14ac:dyDescent="0.35">
      <c r="A529" s="105">
        <f t="shared" ca="1" si="158"/>
        <v>744.28999999999724</v>
      </c>
      <c r="B529" s="105">
        <f t="shared" ca="1" si="159"/>
        <v>0</v>
      </c>
      <c r="C529" s="105">
        <f t="shared" ca="1" si="160"/>
        <v>2</v>
      </c>
      <c r="D529" s="105">
        <f t="shared" ca="1" si="161"/>
        <v>0</v>
      </c>
      <c r="E529" s="105">
        <f t="shared" ca="1" si="162"/>
        <v>0</v>
      </c>
      <c r="F529" s="105">
        <f t="shared" ca="1" si="163"/>
        <v>0</v>
      </c>
      <c r="G529" s="105">
        <f t="shared" ca="1" si="173"/>
        <v>0</v>
      </c>
      <c r="H529" s="105">
        <f t="shared" ca="1" si="174"/>
        <v>0</v>
      </c>
      <c r="I529" s="105">
        <f t="shared" ca="1" si="164"/>
        <v>0</v>
      </c>
      <c r="J529" s="105">
        <f t="shared" ca="1" si="165"/>
        <v>0</v>
      </c>
      <c r="K529" s="105">
        <f t="shared" ca="1" si="166"/>
        <v>0</v>
      </c>
      <c r="L529" s="105">
        <f t="shared" ca="1" si="156"/>
        <v>0</v>
      </c>
      <c r="M529" s="105">
        <f t="shared" ca="1" si="167"/>
        <v>0</v>
      </c>
      <c r="N529" s="105">
        <f t="shared" ca="1" si="157"/>
        <v>0</v>
      </c>
      <c r="O529" s="105">
        <f t="shared" ca="1" si="168"/>
        <v>0</v>
      </c>
      <c r="P529" s="105">
        <f t="shared" ca="1" si="169"/>
        <v>0</v>
      </c>
      <c r="Q529" s="105">
        <f t="shared" ca="1" si="170"/>
        <v>0</v>
      </c>
      <c r="R529" s="105">
        <f t="shared" ca="1" si="171"/>
        <v>0</v>
      </c>
      <c r="S529" s="105">
        <f t="shared" ca="1" si="172"/>
        <v>10</v>
      </c>
    </row>
    <row r="530" spans="1:19" x14ac:dyDescent="0.35">
      <c r="A530" s="105">
        <f t="shared" ca="1" si="158"/>
        <v>745.7049999999972</v>
      </c>
      <c r="B530" s="105">
        <f t="shared" ca="1" si="159"/>
        <v>0</v>
      </c>
      <c r="C530" s="105">
        <f t="shared" ca="1" si="160"/>
        <v>2</v>
      </c>
      <c r="D530" s="105">
        <f t="shared" ca="1" si="161"/>
        <v>0</v>
      </c>
      <c r="E530" s="105">
        <f t="shared" ca="1" si="162"/>
        <v>0</v>
      </c>
      <c r="F530" s="105">
        <f t="shared" ca="1" si="163"/>
        <v>0</v>
      </c>
      <c r="G530" s="105">
        <f t="shared" ca="1" si="173"/>
        <v>0</v>
      </c>
      <c r="H530" s="105">
        <f t="shared" ca="1" si="174"/>
        <v>0</v>
      </c>
      <c r="I530" s="105">
        <f t="shared" ca="1" si="164"/>
        <v>0</v>
      </c>
      <c r="J530" s="105">
        <f t="shared" ca="1" si="165"/>
        <v>0</v>
      </c>
      <c r="K530" s="105">
        <f t="shared" ca="1" si="166"/>
        <v>0</v>
      </c>
      <c r="L530" s="105">
        <f t="shared" ca="1" si="156"/>
        <v>0</v>
      </c>
      <c r="M530" s="105">
        <f t="shared" ca="1" si="167"/>
        <v>0</v>
      </c>
      <c r="N530" s="105">
        <f t="shared" ca="1" si="157"/>
        <v>0</v>
      </c>
      <c r="O530" s="105">
        <f t="shared" ca="1" si="168"/>
        <v>0</v>
      </c>
      <c r="P530" s="105">
        <f t="shared" ca="1" si="169"/>
        <v>0</v>
      </c>
      <c r="Q530" s="105">
        <f t="shared" ca="1" si="170"/>
        <v>0</v>
      </c>
      <c r="R530" s="105">
        <f t="shared" ca="1" si="171"/>
        <v>0</v>
      </c>
      <c r="S530" s="105">
        <f t="shared" ca="1" si="172"/>
        <v>10</v>
      </c>
    </row>
    <row r="531" spans="1:19" x14ac:dyDescent="0.35">
      <c r="A531" s="105">
        <f t="shared" ca="1" si="158"/>
        <v>747.11999999999716</v>
      </c>
      <c r="B531" s="105">
        <f t="shared" ca="1" si="159"/>
        <v>0</v>
      </c>
      <c r="C531" s="105">
        <f t="shared" ca="1" si="160"/>
        <v>2</v>
      </c>
      <c r="D531" s="105">
        <f t="shared" ca="1" si="161"/>
        <v>0</v>
      </c>
      <c r="E531" s="105">
        <f t="shared" ca="1" si="162"/>
        <v>0</v>
      </c>
      <c r="F531" s="105">
        <f t="shared" ca="1" si="163"/>
        <v>0</v>
      </c>
      <c r="G531" s="105">
        <f t="shared" ca="1" si="173"/>
        <v>0</v>
      </c>
      <c r="H531" s="105">
        <f t="shared" ca="1" si="174"/>
        <v>0</v>
      </c>
      <c r="I531" s="105">
        <f t="shared" ca="1" si="164"/>
        <v>0</v>
      </c>
      <c r="J531" s="105">
        <f t="shared" ca="1" si="165"/>
        <v>0</v>
      </c>
      <c r="K531" s="105">
        <f t="shared" ca="1" si="166"/>
        <v>0</v>
      </c>
      <c r="L531" s="105">
        <f t="shared" ca="1" si="156"/>
        <v>0</v>
      </c>
      <c r="M531" s="105">
        <f t="shared" ca="1" si="167"/>
        <v>0</v>
      </c>
      <c r="N531" s="105">
        <f t="shared" ca="1" si="157"/>
        <v>0</v>
      </c>
      <c r="O531" s="105">
        <f t="shared" ca="1" si="168"/>
        <v>0</v>
      </c>
      <c r="P531" s="105">
        <f t="shared" ca="1" si="169"/>
        <v>0</v>
      </c>
      <c r="Q531" s="105">
        <f t="shared" ca="1" si="170"/>
        <v>0</v>
      </c>
      <c r="R531" s="105">
        <f t="shared" ca="1" si="171"/>
        <v>0</v>
      </c>
      <c r="S531" s="105">
        <f t="shared" ca="1" si="172"/>
        <v>10</v>
      </c>
    </row>
    <row r="532" spans="1:19" x14ac:dyDescent="0.35">
      <c r="A532" s="105">
        <f t="shared" ca="1" si="158"/>
        <v>748.53499999999713</v>
      </c>
      <c r="B532" s="105">
        <f t="shared" ca="1" si="159"/>
        <v>0</v>
      </c>
      <c r="C532" s="105">
        <f t="shared" ca="1" si="160"/>
        <v>2</v>
      </c>
      <c r="D532" s="105">
        <f t="shared" ca="1" si="161"/>
        <v>0</v>
      </c>
      <c r="E532" s="105">
        <f t="shared" ca="1" si="162"/>
        <v>0</v>
      </c>
      <c r="F532" s="105">
        <f t="shared" ca="1" si="163"/>
        <v>0</v>
      </c>
      <c r="G532" s="105">
        <f t="shared" ca="1" si="173"/>
        <v>0</v>
      </c>
      <c r="H532" s="105">
        <f t="shared" ca="1" si="174"/>
        <v>0</v>
      </c>
      <c r="I532" s="105">
        <f t="shared" ca="1" si="164"/>
        <v>0</v>
      </c>
      <c r="J532" s="105">
        <f t="shared" ca="1" si="165"/>
        <v>0</v>
      </c>
      <c r="K532" s="105">
        <f t="shared" ca="1" si="166"/>
        <v>0</v>
      </c>
      <c r="L532" s="105">
        <f t="shared" ca="1" si="156"/>
        <v>0</v>
      </c>
      <c r="M532" s="105">
        <f t="shared" ca="1" si="167"/>
        <v>0</v>
      </c>
      <c r="N532" s="105">
        <f t="shared" ca="1" si="157"/>
        <v>0</v>
      </c>
      <c r="O532" s="105">
        <f t="shared" ca="1" si="168"/>
        <v>0</v>
      </c>
      <c r="P532" s="105">
        <f t="shared" ca="1" si="169"/>
        <v>0</v>
      </c>
      <c r="Q532" s="105">
        <f t="shared" ca="1" si="170"/>
        <v>0</v>
      </c>
      <c r="R532" s="105">
        <f t="shared" ca="1" si="171"/>
        <v>0</v>
      </c>
      <c r="S532" s="105">
        <f t="shared" ca="1" si="172"/>
        <v>10</v>
      </c>
    </row>
    <row r="533" spans="1:19" x14ac:dyDescent="0.35">
      <c r="A533" s="105">
        <f t="shared" ca="1" si="158"/>
        <v>749.94999999999709</v>
      </c>
      <c r="B533" s="105">
        <f t="shared" ca="1" si="159"/>
        <v>0</v>
      </c>
      <c r="C533" s="105">
        <f t="shared" ca="1" si="160"/>
        <v>2</v>
      </c>
      <c r="D533" s="105">
        <f t="shared" ca="1" si="161"/>
        <v>0</v>
      </c>
      <c r="E533" s="105">
        <f t="shared" ca="1" si="162"/>
        <v>0</v>
      </c>
      <c r="F533" s="105">
        <f t="shared" ca="1" si="163"/>
        <v>0</v>
      </c>
      <c r="G533" s="105">
        <f t="shared" ca="1" si="173"/>
        <v>0</v>
      </c>
      <c r="H533" s="105">
        <f t="shared" ca="1" si="174"/>
        <v>0</v>
      </c>
      <c r="I533" s="105">
        <f t="shared" ca="1" si="164"/>
        <v>0</v>
      </c>
      <c r="J533" s="105">
        <f t="shared" ca="1" si="165"/>
        <v>0</v>
      </c>
      <c r="K533" s="105">
        <f t="shared" ca="1" si="166"/>
        <v>0</v>
      </c>
      <c r="L533" s="105">
        <f t="shared" ca="1" si="156"/>
        <v>0</v>
      </c>
      <c r="M533" s="105">
        <f t="shared" ca="1" si="167"/>
        <v>0</v>
      </c>
      <c r="N533" s="105">
        <f t="shared" ca="1" si="157"/>
        <v>0</v>
      </c>
      <c r="O533" s="105">
        <f t="shared" ca="1" si="168"/>
        <v>0</v>
      </c>
      <c r="P533" s="105">
        <f t="shared" ca="1" si="169"/>
        <v>0</v>
      </c>
      <c r="Q533" s="105">
        <f t="shared" ca="1" si="170"/>
        <v>0</v>
      </c>
      <c r="R533" s="105">
        <f t="shared" ca="1" si="171"/>
        <v>0</v>
      </c>
      <c r="S533" s="105">
        <f t="shared" ca="1" si="172"/>
        <v>10</v>
      </c>
    </row>
    <row r="534" spans="1:19" x14ac:dyDescent="0.35">
      <c r="A534" s="105">
        <f t="shared" ca="1" si="158"/>
        <v>751.36499999999705</v>
      </c>
      <c r="B534" s="105">
        <f t="shared" ca="1" si="159"/>
        <v>0</v>
      </c>
      <c r="C534" s="105">
        <f t="shared" ca="1" si="160"/>
        <v>2</v>
      </c>
      <c r="D534" s="105">
        <f t="shared" ca="1" si="161"/>
        <v>0</v>
      </c>
      <c r="E534" s="105">
        <f t="shared" ca="1" si="162"/>
        <v>0</v>
      </c>
      <c r="F534" s="105">
        <f t="shared" ca="1" si="163"/>
        <v>0</v>
      </c>
      <c r="G534" s="105">
        <f t="shared" ca="1" si="173"/>
        <v>0</v>
      </c>
      <c r="H534" s="105">
        <f t="shared" ca="1" si="174"/>
        <v>0</v>
      </c>
      <c r="I534" s="105">
        <f t="shared" ca="1" si="164"/>
        <v>0</v>
      </c>
      <c r="J534" s="105">
        <f t="shared" ca="1" si="165"/>
        <v>0</v>
      </c>
      <c r="K534" s="105">
        <f t="shared" ca="1" si="166"/>
        <v>0</v>
      </c>
      <c r="L534" s="105">
        <f t="shared" ca="1" si="156"/>
        <v>0</v>
      </c>
      <c r="M534" s="105">
        <f t="shared" ca="1" si="167"/>
        <v>0</v>
      </c>
      <c r="N534" s="105">
        <f t="shared" ca="1" si="157"/>
        <v>0</v>
      </c>
      <c r="O534" s="105">
        <f t="shared" ca="1" si="168"/>
        <v>0</v>
      </c>
      <c r="P534" s="105">
        <f t="shared" ca="1" si="169"/>
        <v>0</v>
      </c>
      <c r="Q534" s="105">
        <f t="shared" ca="1" si="170"/>
        <v>0</v>
      </c>
      <c r="R534" s="105">
        <f t="shared" ca="1" si="171"/>
        <v>0</v>
      </c>
      <c r="S534" s="105">
        <f t="shared" ca="1" si="172"/>
        <v>10</v>
      </c>
    </row>
    <row r="535" spans="1:19" x14ac:dyDescent="0.35">
      <c r="A535" s="105">
        <f t="shared" ca="1" si="158"/>
        <v>752.77999999999702</v>
      </c>
      <c r="B535" s="105">
        <f t="shared" ca="1" si="159"/>
        <v>0</v>
      </c>
      <c r="C535" s="105">
        <f t="shared" ca="1" si="160"/>
        <v>2</v>
      </c>
      <c r="D535" s="105">
        <f t="shared" ca="1" si="161"/>
        <v>0</v>
      </c>
      <c r="E535" s="105">
        <f t="shared" ca="1" si="162"/>
        <v>0</v>
      </c>
      <c r="F535" s="105">
        <f t="shared" ca="1" si="163"/>
        <v>0</v>
      </c>
      <c r="G535" s="105">
        <f t="shared" ca="1" si="173"/>
        <v>0</v>
      </c>
      <c r="H535" s="105">
        <f t="shared" ca="1" si="174"/>
        <v>0</v>
      </c>
      <c r="I535" s="105">
        <f t="shared" ca="1" si="164"/>
        <v>0</v>
      </c>
      <c r="J535" s="105">
        <f t="shared" ca="1" si="165"/>
        <v>0</v>
      </c>
      <c r="K535" s="105">
        <f t="shared" ca="1" si="166"/>
        <v>0</v>
      </c>
      <c r="L535" s="105">
        <f t="shared" ca="1" si="156"/>
        <v>0</v>
      </c>
      <c r="M535" s="105">
        <f t="shared" ca="1" si="167"/>
        <v>0</v>
      </c>
      <c r="N535" s="105">
        <f t="shared" ca="1" si="157"/>
        <v>0</v>
      </c>
      <c r="O535" s="105">
        <f t="shared" ca="1" si="168"/>
        <v>0</v>
      </c>
      <c r="P535" s="105">
        <f t="shared" ca="1" si="169"/>
        <v>0</v>
      </c>
      <c r="Q535" s="105">
        <f t="shared" ca="1" si="170"/>
        <v>0</v>
      </c>
      <c r="R535" s="105">
        <f t="shared" ca="1" si="171"/>
        <v>0</v>
      </c>
      <c r="S535" s="105">
        <f t="shared" ca="1" si="172"/>
        <v>10</v>
      </c>
    </row>
    <row r="536" spans="1:19" x14ac:dyDescent="0.35">
      <c r="A536" s="105">
        <f t="shared" ca="1" si="158"/>
        <v>754.19499999999698</v>
      </c>
      <c r="B536" s="105">
        <f t="shared" ca="1" si="159"/>
        <v>0</v>
      </c>
      <c r="C536" s="105">
        <f t="shared" ca="1" si="160"/>
        <v>2</v>
      </c>
      <c r="D536" s="105">
        <f t="shared" ca="1" si="161"/>
        <v>0</v>
      </c>
      <c r="E536" s="105">
        <f t="shared" ca="1" si="162"/>
        <v>0</v>
      </c>
      <c r="F536" s="105">
        <f t="shared" ca="1" si="163"/>
        <v>0</v>
      </c>
      <c r="G536" s="105">
        <f t="shared" ca="1" si="173"/>
        <v>0</v>
      </c>
      <c r="H536" s="105">
        <f t="shared" ca="1" si="174"/>
        <v>0</v>
      </c>
      <c r="I536" s="105">
        <f t="shared" ca="1" si="164"/>
        <v>0</v>
      </c>
      <c r="J536" s="105">
        <f t="shared" ca="1" si="165"/>
        <v>0</v>
      </c>
      <c r="K536" s="105">
        <f t="shared" ca="1" si="166"/>
        <v>0</v>
      </c>
      <c r="L536" s="105">
        <f t="shared" ref="L536:L599" ca="1" si="175">IF(K536+K535&gt;0,1,0)</f>
        <v>0</v>
      </c>
      <c r="M536" s="105">
        <f t="shared" ca="1" si="167"/>
        <v>0</v>
      </c>
      <c r="N536" s="105">
        <f t="shared" ref="N536:N599" ca="1" si="176">IF(M536+M535&gt;0,1,0)</f>
        <v>0</v>
      </c>
      <c r="O536" s="105">
        <f t="shared" ca="1" si="168"/>
        <v>0</v>
      </c>
      <c r="P536" s="105">
        <f t="shared" ca="1" si="169"/>
        <v>0</v>
      </c>
      <c r="Q536" s="105">
        <f t="shared" ca="1" si="170"/>
        <v>0</v>
      </c>
      <c r="R536" s="105">
        <f t="shared" ca="1" si="171"/>
        <v>0</v>
      </c>
      <c r="S536" s="105">
        <f t="shared" ca="1" si="172"/>
        <v>10</v>
      </c>
    </row>
    <row r="537" spans="1:19" x14ac:dyDescent="0.35">
      <c r="A537" s="105">
        <f t="shared" ca="1" si="158"/>
        <v>755.60999999999694</v>
      </c>
      <c r="B537" s="105">
        <f t="shared" ca="1" si="159"/>
        <v>0</v>
      </c>
      <c r="C537" s="105">
        <f t="shared" ca="1" si="160"/>
        <v>2</v>
      </c>
      <c r="D537" s="105">
        <f t="shared" ca="1" si="161"/>
        <v>0</v>
      </c>
      <c r="E537" s="105">
        <f t="shared" ca="1" si="162"/>
        <v>0</v>
      </c>
      <c r="F537" s="105">
        <f t="shared" ca="1" si="163"/>
        <v>0</v>
      </c>
      <c r="G537" s="105">
        <f t="shared" ca="1" si="173"/>
        <v>0</v>
      </c>
      <c r="H537" s="105">
        <f t="shared" ca="1" si="174"/>
        <v>0</v>
      </c>
      <c r="I537" s="105">
        <f t="shared" ca="1" si="164"/>
        <v>0</v>
      </c>
      <c r="J537" s="105">
        <f t="shared" ca="1" si="165"/>
        <v>0</v>
      </c>
      <c r="K537" s="105">
        <f t="shared" ca="1" si="166"/>
        <v>0</v>
      </c>
      <c r="L537" s="105">
        <f t="shared" ca="1" si="175"/>
        <v>0</v>
      </c>
      <c r="M537" s="105">
        <f t="shared" ca="1" si="167"/>
        <v>0</v>
      </c>
      <c r="N537" s="105">
        <f t="shared" ca="1" si="176"/>
        <v>0</v>
      </c>
      <c r="O537" s="105">
        <f t="shared" ca="1" si="168"/>
        <v>0</v>
      </c>
      <c r="P537" s="105">
        <f t="shared" ca="1" si="169"/>
        <v>0</v>
      </c>
      <c r="Q537" s="105">
        <f t="shared" ca="1" si="170"/>
        <v>0</v>
      </c>
      <c r="R537" s="105">
        <f t="shared" ca="1" si="171"/>
        <v>0</v>
      </c>
      <c r="S537" s="105">
        <f t="shared" ca="1" si="172"/>
        <v>10</v>
      </c>
    </row>
    <row r="538" spans="1:19" x14ac:dyDescent="0.35">
      <c r="A538" s="105">
        <f t="shared" ca="1" si="158"/>
        <v>757.02499999999691</v>
      </c>
      <c r="B538" s="105">
        <f t="shared" ca="1" si="159"/>
        <v>0</v>
      </c>
      <c r="C538" s="105">
        <f t="shared" ca="1" si="160"/>
        <v>2</v>
      </c>
      <c r="D538" s="105">
        <f t="shared" ca="1" si="161"/>
        <v>0</v>
      </c>
      <c r="E538" s="105">
        <f t="shared" ca="1" si="162"/>
        <v>0</v>
      </c>
      <c r="F538" s="105">
        <f t="shared" ca="1" si="163"/>
        <v>0</v>
      </c>
      <c r="G538" s="105">
        <f t="shared" ca="1" si="173"/>
        <v>0</v>
      </c>
      <c r="H538" s="105">
        <f t="shared" ca="1" si="174"/>
        <v>0</v>
      </c>
      <c r="I538" s="105">
        <f t="shared" ca="1" si="164"/>
        <v>0</v>
      </c>
      <c r="J538" s="105">
        <f t="shared" ca="1" si="165"/>
        <v>0</v>
      </c>
      <c r="K538" s="105">
        <f t="shared" ca="1" si="166"/>
        <v>0</v>
      </c>
      <c r="L538" s="105">
        <f t="shared" ca="1" si="175"/>
        <v>0</v>
      </c>
      <c r="M538" s="105">
        <f t="shared" ca="1" si="167"/>
        <v>0</v>
      </c>
      <c r="N538" s="105">
        <f t="shared" ca="1" si="176"/>
        <v>0</v>
      </c>
      <c r="O538" s="105">
        <f t="shared" ca="1" si="168"/>
        <v>0</v>
      </c>
      <c r="P538" s="105">
        <f t="shared" ca="1" si="169"/>
        <v>0</v>
      </c>
      <c r="Q538" s="105">
        <f t="shared" ca="1" si="170"/>
        <v>0</v>
      </c>
      <c r="R538" s="105">
        <f t="shared" ca="1" si="171"/>
        <v>0</v>
      </c>
      <c r="S538" s="105">
        <f t="shared" ca="1" si="172"/>
        <v>10</v>
      </c>
    </row>
    <row r="539" spans="1:19" x14ac:dyDescent="0.35">
      <c r="A539" s="105">
        <f t="shared" ca="1" si="158"/>
        <v>758.43999999999687</v>
      </c>
      <c r="B539" s="105">
        <f t="shared" ca="1" si="159"/>
        <v>0</v>
      </c>
      <c r="C539" s="105">
        <f t="shared" ca="1" si="160"/>
        <v>2</v>
      </c>
      <c r="D539" s="105">
        <f t="shared" ca="1" si="161"/>
        <v>0</v>
      </c>
      <c r="E539" s="105">
        <f t="shared" ca="1" si="162"/>
        <v>0</v>
      </c>
      <c r="F539" s="105">
        <f t="shared" ca="1" si="163"/>
        <v>0</v>
      </c>
      <c r="G539" s="105">
        <f t="shared" ca="1" si="173"/>
        <v>0</v>
      </c>
      <c r="H539" s="105">
        <f t="shared" ca="1" si="174"/>
        <v>0</v>
      </c>
      <c r="I539" s="105">
        <f t="shared" ca="1" si="164"/>
        <v>0</v>
      </c>
      <c r="J539" s="105">
        <f t="shared" ca="1" si="165"/>
        <v>0</v>
      </c>
      <c r="K539" s="105">
        <f t="shared" ca="1" si="166"/>
        <v>0</v>
      </c>
      <c r="L539" s="105">
        <f t="shared" ca="1" si="175"/>
        <v>0</v>
      </c>
      <c r="M539" s="105">
        <f t="shared" ca="1" si="167"/>
        <v>0</v>
      </c>
      <c r="N539" s="105">
        <f t="shared" ca="1" si="176"/>
        <v>0</v>
      </c>
      <c r="O539" s="105">
        <f t="shared" ca="1" si="168"/>
        <v>0</v>
      </c>
      <c r="P539" s="105">
        <f t="shared" ca="1" si="169"/>
        <v>0</v>
      </c>
      <c r="Q539" s="105">
        <f t="shared" ca="1" si="170"/>
        <v>0</v>
      </c>
      <c r="R539" s="105">
        <f t="shared" ca="1" si="171"/>
        <v>0</v>
      </c>
      <c r="S539" s="105">
        <f t="shared" ca="1" si="172"/>
        <v>10</v>
      </c>
    </row>
    <row r="540" spans="1:19" x14ac:dyDescent="0.35">
      <c r="A540" s="105">
        <f t="shared" ca="1" si="158"/>
        <v>759.85499999999683</v>
      </c>
      <c r="B540" s="105">
        <f t="shared" ca="1" si="159"/>
        <v>0</v>
      </c>
      <c r="C540" s="105">
        <f t="shared" ca="1" si="160"/>
        <v>2</v>
      </c>
      <c r="D540" s="105">
        <f t="shared" ca="1" si="161"/>
        <v>0</v>
      </c>
      <c r="E540" s="105">
        <f t="shared" ca="1" si="162"/>
        <v>0</v>
      </c>
      <c r="F540" s="105">
        <f t="shared" ca="1" si="163"/>
        <v>0</v>
      </c>
      <c r="G540" s="105">
        <f t="shared" ca="1" si="173"/>
        <v>0</v>
      </c>
      <c r="H540" s="105">
        <f t="shared" ca="1" si="174"/>
        <v>0</v>
      </c>
      <c r="I540" s="105">
        <f t="shared" ca="1" si="164"/>
        <v>0</v>
      </c>
      <c r="J540" s="105">
        <f t="shared" ca="1" si="165"/>
        <v>0</v>
      </c>
      <c r="K540" s="105">
        <f t="shared" ca="1" si="166"/>
        <v>0</v>
      </c>
      <c r="L540" s="105">
        <f t="shared" ca="1" si="175"/>
        <v>0</v>
      </c>
      <c r="M540" s="105">
        <f t="shared" ca="1" si="167"/>
        <v>0</v>
      </c>
      <c r="N540" s="105">
        <f t="shared" ca="1" si="176"/>
        <v>0</v>
      </c>
      <c r="O540" s="105">
        <f t="shared" ca="1" si="168"/>
        <v>0</v>
      </c>
      <c r="P540" s="105">
        <f t="shared" ca="1" si="169"/>
        <v>0</v>
      </c>
      <c r="Q540" s="105">
        <f t="shared" ca="1" si="170"/>
        <v>0</v>
      </c>
      <c r="R540" s="105">
        <f t="shared" ca="1" si="171"/>
        <v>0</v>
      </c>
      <c r="S540" s="105">
        <f t="shared" ca="1" si="172"/>
        <v>10</v>
      </c>
    </row>
    <row r="541" spans="1:19" x14ac:dyDescent="0.35">
      <c r="A541" s="105">
        <f t="shared" ca="1" si="158"/>
        <v>761.2699999999968</v>
      </c>
      <c r="B541" s="105">
        <f t="shared" ca="1" si="159"/>
        <v>0</v>
      </c>
      <c r="C541" s="105">
        <f t="shared" ca="1" si="160"/>
        <v>2</v>
      </c>
      <c r="D541" s="105">
        <f t="shared" ca="1" si="161"/>
        <v>0</v>
      </c>
      <c r="E541" s="105">
        <f t="shared" ca="1" si="162"/>
        <v>0</v>
      </c>
      <c r="F541" s="105">
        <f t="shared" ca="1" si="163"/>
        <v>0</v>
      </c>
      <c r="G541" s="105">
        <f t="shared" ca="1" si="173"/>
        <v>0</v>
      </c>
      <c r="H541" s="105">
        <f t="shared" ca="1" si="174"/>
        <v>0</v>
      </c>
      <c r="I541" s="105">
        <f t="shared" ca="1" si="164"/>
        <v>0</v>
      </c>
      <c r="J541" s="105">
        <f t="shared" ca="1" si="165"/>
        <v>0</v>
      </c>
      <c r="K541" s="105">
        <f t="shared" ca="1" si="166"/>
        <v>0</v>
      </c>
      <c r="L541" s="105">
        <f t="shared" ca="1" si="175"/>
        <v>0</v>
      </c>
      <c r="M541" s="105">
        <f t="shared" ca="1" si="167"/>
        <v>0</v>
      </c>
      <c r="N541" s="105">
        <f t="shared" ca="1" si="176"/>
        <v>0</v>
      </c>
      <c r="O541" s="105">
        <f t="shared" ca="1" si="168"/>
        <v>0</v>
      </c>
      <c r="P541" s="105">
        <f t="shared" ca="1" si="169"/>
        <v>0</v>
      </c>
      <c r="Q541" s="105">
        <f t="shared" ca="1" si="170"/>
        <v>0</v>
      </c>
      <c r="R541" s="105">
        <f t="shared" ca="1" si="171"/>
        <v>0</v>
      </c>
      <c r="S541" s="105">
        <f t="shared" ca="1" si="172"/>
        <v>10</v>
      </c>
    </row>
    <row r="542" spans="1:19" x14ac:dyDescent="0.35">
      <c r="A542" s="105">
        <f t="shared" ca="1" si="158"/>
        <v>762.68499999999676</v>
      </c>
      <c r="B542" s="105">
        <f t="shared" ca="1" si="159"/>
        <v>0</v>
      </c>
      <c r="C542" s="105">
        <f t="shared" ca="1" si="160"/>
        <v>2</v>
      </c>
      <c r="D542" s="105">
        <f t="shared" ca="1" si="161"/>
        <v>0</v>
      </c>
      <c r="E542" s="105">
        <f t="shared" ca="1" si="162"/>
        <v>0</v>
      </c>
      <c r="F542" s="105">
        <f t="shared" ca="1" si="163"/>
        <v>0</v>
      </c>
      <c r="G542" s="105">
        <f t="shared" ca="1" si="173"/>
        <v>0</v>
      </c>
      <c r="H542" s="105">
        <f t="shared" ca="1" si="174"/>
        <v>0</v>
      </c>
      <c r="I542" s="105">
        <f t="shared" ca="1" si="164"/>
        <v>0</v>
      </c>
      <c r="J542" s="105">
        <f t="shared" ca="1" si="165"/>
        <v>0</v>
      </c>
      <c r="K542" s="105">
        <f t="shared" ca="1" si="166"/>
        <v>0</v>
      </c>
      <c r="L542" s="105">
        <f t="shared" ca="1" si="175"/>
        <v>0</v>
      </c>
      <c r="M542" s="105">
        <f t="shared" ca="1" si="167"/>
        <v>0</v>
      </c>
      <c r="N542" s="105">
        <f t="shared" ca="1" si="176"/>
        <v>0</v>
      </c>
      <c r="O542" s="105">
        <f t="shared" ca="1" si="168"/>
        <v>0</v>
      </c>
      <c r="P542" s="105">
        <f t="shared" ca="1" si="169"/>
        <v>0</v>
      </c>
      <c r="Q542" s="105">
        <f t="shared" ca="1" si="170"/>
        <v>0</v>
      </c>
      <c r="R542" s="105">
        <f t="shared" ca="1" si="171"/>
        <v>0</v>
      </c>
      <c r="S542" s="105">
        <f t="shared" ca="1" si="172"/>
        <v>10</v>
      </c>
    </row>
    <row r="543" spans="1:19" x14ac:dyDescent="0.35">
      <c r="A543" s="105">
        <f t="shared" ca="1" si="158"/>
        <v>764.09999999999673</v>
      </c>
      <c r="B543" s="105">
        <f t="shared" ca="1" si="159"/>
        <v>0</v>
      </c>
      <c r="C543" s="105">
        <f t="shared" ca="1" si="160"/>
        <v>2</v>
      </c>
      <c r="D543" s="105">
        <f t="shared" ca="1" si="161"/>
        <v>0</v>
      </c>
      <c r="E543" s="105">
        <f t="shared" ca="1" si="162"/>
        <v>0</v>
      </c>
      <c r="F543" s="105">
        <f t="shared" ca="1" si="163"/>
        <v>0</v>
      </c>
      <c r="G543" s="105">
        <f t="shared" ca="1" si="173"/>
        <v>0</v>
      </c>
      <c r="H543" s="105">
        <f t="shared" ca="1" si="174"/>
        <v>0</v>
      </c>
      <c r="I543" s="105">
        <f t="shared" ca="1" si="164"/>
        <v>0</v>
      </c>
      <c r="J543" s="105">
        <f t="shared" ca="1" si="165"/>
        <v>0</v>
      </c>
      <c r="K543" s="105">
        <f t="shared" ca="1" si="166"/>
        <v>0</v>
      </c>
      <c r="L543" s="105">
        <f t="shared" ca="1" si="175"/>
        <v>0</v>
      </c>
      <c r="M543" s="105">
        <f t="shared" ca="1" si="167"/>
        <v>0</v>
      </c>
      <c r="N543" s="105">
        <f t="shared" ca="1" si="176"/>
        <v>0</v>
      </c>
      <c r="O543" s="105">
        <f t="shared" ca="1" si="168"/>
        <v>0</v>
      </c>
      <c r="P543" s="105">
        <f t="shared" ca="1" si="169"/>
        <v>0</v>
      </c>
      <c r="Q543" s="105">
        <f t="shared" ca="1" si="170"/>
        <v>0</v>
      </c>
      <c r="R543" s="105">
        <f t="shared" ca="1" si="171"/>
        <v>0</v>
      </c>
      <c r="S543" s="105">
        <f t="shared" ca="1" si="172"/>
        <v>10</v>
      </c>
    </row>
    <row r="544" spans="1:19" x14ac:dyDescent="0.35">
      <c r="A544" s="105">
        <f t="shared" ca="1" si="158"/>
        <v>765.51499999999669</v>
      </c>
      <c r="B544" s="105">
        <f t="shared" ca="1" si="159"/>
        <v>0</v>
      </c>
      <c r="C544" s="105">
        <f t="shared" ca="1" si="160"/>
        <v>2</v>
      </c>
      <c r="D544" s="105">
        <f t="shared" ca="1" si="161"/>
        <v>0</v>
      </c>
      <c r="E544" s="105">
        <f t="shared" ca="1" si="162"/>
        <v>0</v>
      </c>
      <c r="F544" s="105">
        <f t="shared" ca="1" si="163"/>
        <v>0</v>
      </c>
      <c r="G544" s="105">
        <f t="shared" ca="1" si="173"/>
        <v>0</v>
      </c>
      <c r="H544" s="105">
        <f t="shared" ca="1" si="174"/>
        <v>0</v>
      </c>
      <c r="I544" s="105">
        <f t="shared" ca="1" si="164"/>
        <v>0</v>
      </c>
      <c r="J544" s="105">
        <f t="shared" ca="1" si="165"/>
        <v>0</v>
      </c>
      <c r="K544" s="105">
        <f t="shared" ca="1" si="166"/>
        <v>0</v>
      </c>
      <c r="L544" s="105">
        <f t="shared" ca="1" si="175"/>
        <v>0</v>
      </c>
      <c r="M544" s="105">
        <f t="shared" ca="1" si="167"/>
        <v>0</v>
      </c>
      <c r="N544" s="105">
        <f t="shared" ca="1" si="176"/>
        <v>0</v>
      </c>
      <c r="O544" s="105">
        <f t="shared" ca="1" si="168"/>
        <v>0</v>
      </c>
      <c r="P544" s="105">
        <f t="shared" ca="1" si="169"/>
        <v>0</v>
      </c>
      <c r="Q544" s="105">
        <f t="shared" ca="1" si="170"/>
        <v>0</v>
      </c>
      <c r="R544" s="105">
        <f t="shared" ca="1" si="171"/>
        <v>0</v>
      </c>
      <c r="S544" s="105">
        <f t="shared" ca="1" si="172"/>
        <v>10</v>
      </c>
    </row>
    <row r="545" spans="1:19" x14ac:dyDescent="0.35">
      <c r="A545" s="105">
        <f t="shared" ca="1" si="158"/>
        <v>766.92999999999665</v>
      </c>
      <c r="B545" s="105">
        <f t="shared" ca="1" si="159"/>
        <v>0</v>
      </c>
      <c r="C545" s="105">
        <f t="shared" ca="1" si="160"/>
        <v>2</v>
      </c>
      <c r="D545" s="105">
        <f t="shared" ca="1" si="161"/>
        <v>0</v>
      </c>
      <c r="E545" s="105">
        <f t="shared" ca="1" si="162"/>
        <v>0</v>
      </c>
      <c r="F545" s="105">
        <f t="shared" ca="1" si="163"/>
        <v>0</v>
      </c>
      <c r="G545" s="105">
        <f t="shared" ca="1" si="173"/>
        <v>0</v>
      </c>
      <c r="H545" s="105">
        <f t="shared" ca="1" si="174"/>
        <v>0</v>
      </c>
      <c r="I545" s="105">
        <f t="shared" ca="1" si="164"/>
        <v>0</v>
      </c>
      <c r="J545" s="105">
        <f t="shared" ca="1" si="165"/>
        <v>0</v>
      </c>
      <c r="K545" s="105">
        <f t="shared" ca="1" si="166"/>
        <v>0</v>
      </c>
      <c r="L545" s="105">
        <f t="shared" ca="1" si="175"/>
        <v>0</v>
      </c>
      <c r="M545" s="105">
        <f t="shared" ca="1" si="167"/>
        <v>0</v>
      </c>
      <c r="N545" s="105">
        <f t="shared" ca="1" si="176"/>
        <v>0</v>
      </c>
      <c r="O545" s="105">
        <f t="shared" ca="1" si="168"/>
        <v>0</v>
      </c>
      <c r="P545" s="105">
        <f t="shared" ca="1" si="169"/>
        <v>0</v>
      </c>
      <c r="Q545" s="105">
        <f t="shared" ca="1" si="170"/>
        <v>0</v>
      </c>
      <c r="R545" s="105">
        <f t="shared" ca="1" si="171"/>
        <v>0</v>
      </c>
      <c r="S545" s="105">
        <f t="shared" ca="1" si="172"/>
        <v>10</v>
      </c>
    </row>
    <row r="546" spans="1:19" x14ac:dyDescent="0.35">
      <c r="A546" s="105">
        <f t="shared" ca="1" si="158"/>
        <v>768.34499999999662</v>
      </c>
      <c r="B546" s="105">
        <f t="shared" ca="1" si="159"/>
        <v>0</v>
      </c>
      <c r="C546" s="105">
        <f t="shared" ca="1" si="160"/>
        <v>2</v>
      </c>
      <c r="D546" s="105">
        <f t="shared" ca="1" si="161"/>
        <v>0</v>
      </c>
      <c r="E546" s="105">
        <f t="shared" ca="1" si="162"/>
        <v>0</v>
      </c>
      <c r="F546" s="105">
        <f t="shared" ca="1" si="163"/>
        <v>0</v>
      </c>
      <c r="G546" s="105">
        <f t="shared" ca="1" si="173"/>
        <v>0</v>
      </c>
      <c r="H546" s="105">
        <f t="shared" ca="1" si="174"/>
        <v>0</v>
      </c>
      <c r="I546" s="105">
        <f t="shared" ca="1" si="164"/>
        <v>0</v>
      </c>
      <c r="J546" s="105">
        <f t="shared" ca="1" si="165"/>
        <v>0</v>
      </c>
      <c r="K546" s="105">
        <f t="shared" ca="1" si="166"/>
        <v>0</v>
      </c>
      <c r="L546" s="105">
        <f t="shared" ca="1" si="175"/>
        <v>0</v>
      </c>
      <c r="M546" s="105">
        <f t="shared" ca="1" si="167"/>
        <v>0</v>
      </c>
      <c r="N546" s="105">
        <f t="shared" ca="1" si="176"/>
        <v>0</v>
      </c>
      <c r="O546" s="105">
        <f t="shared" ca="1" si="168"/>
        <v>0</v>
      </c>
      <c r="P546" s="105">
        <f t="shared" ca="1" si="169"/>
        <v>0</v>
      </c>
      <c r="Q546" s="105">
        <f t="shared" ca="1" si="170"/>
        <v>0</v>
      </c>
      <c r="R546" s="105">
        <f t="shared" ca="1" si="171"/>
        <v>0</v>
      </c>
      <c r="S546" s="105">
        <f t="shared" ca="1" si="172"/>
        <v>10</v>
      </c>
    </row>
    <row r="547" spans="1:19" x14ac:dyDescent="0.35">
      <c r="A547" s="105">
        <f t="shared" ca="1" si="158"/>
        <v>769.75999999999658</v>
      </c>
      <c r="B547" s="105">
        <f t="shared" ca="1" si="159"/>
        <v>0</v>
      </c>
      <c r="C547" s="105">
        <f t="shared" ca="1" si="160"/>
        <v>2</v>
      </c>
      <c r="D547" s="105">
        <f t="shared" ca="1" si="161"/>
        <v>0</v>
      </c>
      <c r="E547" s="105">
        <f t="shared" ca="1" si="162"/>
        <v>0</v>
      </c>
      <c r="F547" s="105">
        <f t="shared" ca="1" si="163"/>
        <v>0</v>
      </c>
      <c r="G547" s="105">
        <f t="shared" ca="1" si="173"/>
        <v>0</v>
      </c>
      <c r="H547" s="105">
        <f t="shared" ca="1" si="174"/>
        <v>0</v>
      </c>
      <c r="I547" s="105">
        <f t="shared" ca="1" si="164"/>
        <v>0</v>
      </c>
      <c r="J547" s="105">
        <f t="shared" ca="1" si="165"/>
        <v>0</v>
      </c>
      <c r="K547" s="105">
        <f t="shared" ca="1" si="166"/>
        <v>0</v>
      </c>
      <c r="L547" s="105">
        <f t="shared" ca="1" si="175"/>
        <v>0</v>
      </c>
      <c r="M547" s="105">
        <f t="shared" ca="1" si="167"/>
        <v>0</v>
      </c>
      <c r="N547" s="105">
        <f t="shared" ca="1" si="176"/>
        <v>0</v>
      </c>
      <c r="O547" s="105">
        <f t="shared" ca="1" si="168"/>
        <v>0</v>
      </c>
      <c r="P547" s="105">
        <f t="shared" ca="1" si="169"/>
        <v>0</v>
      </c>
      <c r="Q547" s="105">
        <f t="shared" ca="1" si="170"/>
        <v>0</v>
      </c>
      <c r="R547" s="105">
        <f t="shared" ca="1" si="171"/>
        <v>0</v>
      </c>
      <c r="S547" s="105">
        <f t="shared" ca="1" si="172"/>
        <v>10</v>
      </c>
    </row>
    <row r="548" spans="1:19" x14ac:dyDescent="0.35">
      <c r="A548" s="105">
        <f t="shared" ca="1" si="158"/>
        <v>771.17499999999654</v>
      </c>
      <c r="B548" s="105">
        <f t="shared" ca="1" si="159"/>
        <v>0</v>
      </c>
      <c r="C548" s="105">
        <f t="shared" ca="1" si="160"/>
        <v>2</v>
      </c>
      <c r="D548" s="105">
        <f t="shared" ca="1" si="161"/>
        <v>0</v>
      </c>
      <c r="E548" s="105">
        <f t="shared" ca="1" si="162"/>
        <v>0</v>
      </c>
      <c r="F548" s="105">
        <f t="shared" ca="1" si="163"/>
        <v>0</v>
      </c>
      <c r="G548" s="105">
        <f t="shared" ca="1" si="173"/>
        <v>0</v>
      </c>
      <c r="H548" s="105">
        <f t="shared" ca="1" si="174"/>
        <v>0</v>
      </c>
      <c r="I548" s="105">
        <f t="shared" ca="1" si="164"/>
        <v>0</v>
      </c>
      <c r="J548" s="105">
        <f t="shared" ca="1" si="165"/>
        <v>0</v>
      </c>
      <c r="K548" s="105">
        <f t="shared" ca="1" si="166"/>
        <v>0</v>
      </c>
      <c r="L548" s="105">
        <f t="shared" ca="1" si="175"/>
        <v>0</v>
      </c>
      <c r="M548" s="105">
        <f t="shared" ca="1" si="167"/>
        <v>0</v>
      </c>
      <c r="N548" s="105">
        <f t="shared" ca="1" si="176"/>
        <v>0</v>
      </c>
      <c r="O548" s="105">
        <f t="shared" ca="1" si="168"/>
        <v>0</v>
      </c>
      <c r="P548" s="105">
        <f t="shared" ca="1" si="169"/>
        <v>0</v>
      </c>
      <c r="Q548" s="105">
        <f t="shared" ca="1" si="170"/>
        <v>0</v>
      </c>
      <c r="R548" s="105">
        <f t="shared" ca="1" si="171"/>
        <v>0</v>
      </c>
      <c r="S548" s="105">
        <f t="shared" ca="1" si="172"/>
        <v>10</v>
      </c>
    </row>
    <row r="549" spans="1:19" x14ac:dyDescent="0.35">
      <c r="A549" s="105">
        <f t="shared" ca="1" si="158"/>
        <v>772.58999999999651</v>
      </c>
      <c r="B549" s="105">
        <f t="shared" ca="1" si="159"/>
        <v>0</v>
      </c>
      <c r="C549" s="105">
        <f t="shared" ca="1" si="160"/>
        <v>2</v>
      </c>
      <c r="D549" s="105">
        <f t="shared" ca="1" si="161"/>
        <v>0</v>
      </c>
      <c r="E549" s="105">
        <f t="shared" ca="1" si="162"/>
        <v>0</v>
      </c>
      <c r="F549" s="105">
        <f t="shared" ca="1" si="163"/>
        <v>0</v>
      </c>
      <c r="G549" s="105">
        <f t="shared" ca="1" si="173"/>
        <v>0</v>
      </c>
      <c r="H549" s="105">
        <f t="shared" ca="1" si="174"/>
        <v>0</v>
      </c>
      <c r="I549" s="105">
        <f t="shared" ca="1" si="164"/>
        <v>0</v>
      </c>
      <c r="J549" s="105">
        <f t="shared" ca="1" si="165"/>
        <v>0</v>
      </c>
      <c r="K549" s="105">
        <f t="shared" ca="1" si="166"/>
        <v>0</v>
      </c>
      <c r="L549" s="105">
        <f t="shared" ca="1" si="175"/>
        <v>0</v>
      </c>
      <c r="M549" s="105">
        <f t="shared" ca="1" si="167"/>
        <v>0</v>
      </c>
      <c r="N549" s="105">
        <f t="shared" ca="1" si="176"/>
        <v>0</v>
      </c>
      <c r="O549" s="105">
        <f t="shared" ca="1" si="168"/>
        <v>0</v>
      </c>
      <c r="P549" s="105">
        <f t="shared" ca="1" si="169"/>
        <v>0</v>
      </c>
      <c r="Q549" s="105">
        <f t="shared" ca="1" si="170"/>
        <v>0</v>
      </c>
      <c r="R549" s="105">
        <f t="shared" ca="1" si="171"/>
        <v>0</v>
      </c>
      <c r="S549" s="105">
        <f t="shared" ca="1" si="172"/>
        <v>10</v>
      </c>
    </row>
    <row r="550" spans="1:19" x14ac:dyDescent="0.35">
      <c r="A550" s="105">
        <f t="shared" ca="1" si="158"/>
        <v>774.00499999999647</v>
      </c>
      <c r="B550" s="105">
        <f t="shared" ca="1" si="159"/>
        <v>0</v>
      </c>
      <c r="C550" s="105">
        <f t="shared" ca="1" si="160"/>
        <v>2</v>
      </c>
      <c r="D550" s="105">
        <f t="shared" ca="1" si="161"/>
        <v>0</v>
      </c>
      <c r="E550" s="105">
        <f t="shared" ca="1" si="162"/>
        <v>0</v>
      </c>
      <c r="F550" s="105">
        <f t="shared" ca="1" si="163"/>
        <v>0</v>
      </c>
      <c r="G550" s="105">
        <f t="shared" ca="1" si="173"/>
        <v>0</v>
      </c>
      <c r="H550" s="105">
        <f t="shared" ca="1" si="174"/>
        <v>0</v>
      </c>
      <c r="I550" s="105">
        <f t="shared" ca="1" si="164"/>
        <v>0</v>
      </c>
      <c r="J550" s="105">
        <f t="shared" ca="1" si="165"/>
        <v>0</v>
      </c>
      <c r="K550" s="105">
        <f t="shared" ca="1" si="166"/>
        <v>0</v>
      </c>
      <c r="L550" s="105">
        <f t="shared" ca="1" si="175"/>
        <v>0</v>
      </c>
      <c r="M550" s="105">
        <f t="shared" ca="1" si="167"/>
        <v>0</v>
      </c>
      <c r="N550" s="105">
        <f t="shared" ca="1" si="176"/>
        <v>0</v>
      </c>
      <c r="O550" s="105">
        <f t="shared" ca="1" si="168"/>
        <v>0</v>
      </c>
      <c r="P550" s="105">
        <f t="shared" ca="1" si="169"/>
        <v>0</v>
      </c>
      <c r="Q550" s="105">
        <f t="shared" ca="1" si="170"/>
        <v>0</v>
      </c>
      <c r="R550" s="105">
        <f t="shared" ca="1" si="171"/>
        <v>0</v>
      </c>
      <c r="S550" s="105">
        <f t="shared" ca="1" si="172"/>
        <v>10</v>
      </c>
    </row>
    <row r="551" spans="1:19" x14ac:dyDescent="0.35">
      <c r="A551" s="105">
        <f t="shared" ca="1" si="158"/>
        <v>775.41999999999643</v>
      </c>
      <c r="B551" s="105">
        <f t="shared" ca="1" si="159"/>
        <v>0</v>
      </c>
      <c r="C551" s="105">
        <f t="shared" ca="1" si="160"/>
        <v>2</v>
      </c>
      <c r="D551" s="105">
        <f t="shared" ca="1" si="161"/>
        <v>0</v>
      </c>
      <c r="E551" s="105">
        <f t="shared" ca="1" si="162"/>
        <v>0</v>
      </c>
      <c r="F551" s="105">
        <f t="shared" ca="1" si="163"/>
        <v>0</v>
      </c>
      <c r="G551" s="105">
        <f t="shared" ca="1" si="173"/>
        <v>0</v>
      </c>
      <c r="H551" s="105">
        <f t="shared" ca="1" si="174"/>
        <v>0</v>
      </c>
      <c r="I551" s="105">
        <f t="shared" ca="1" si="164"/>
        <v>0</v>
      </c>
      <c r="J551" s="105">
        <f t="shared" ca="1" si="165"/>
        <v>0</v>
      </c>
      <c r="K551" s="105">
        <f t="shared" ca="1" si="166"/>
        <v>0</v>
      </c>
      <c r="L551" s="105">
        <f t="shared" ca="1" si="175"/>
        <v>0</v>
      </c>
      <c r="M551" s="105">
        <f t="shared" ca="1" si="167"/>
        <v>0</v>
      </c>
      <c r="N551" s="105">
        <f t="shared" ca="1" si="176"/>
        <v>0</v>
      </c>
      <c r="O551" s="105">
        <f t="shared" ca="1" si="168"/>
        <v>0</v>
      </c>
      <c r="P551" s="105">
        <f t="shared" ca="1" si="169"/>
        <v>0</v>
      </c>
      <c r="Q551" s="105">
        <f t="shared" ca="1" si="170"/>
        <v>0</v>
      </c>
      <c r="R551" s="105">
        <f t="shared" ca="1" si="171"/>
        <v>0</v>
      </c>
      <c r="S551" s="105">
        <f t="shared" ca="1" si="172"/>
        <v>10</v>
      </c>
    </row>
    <row r="552" spans="1:19" x14ac:dyDescent="0.35">
      <c r="A552" s="105">
        <f t="shared" ca="1" si="158"/>
        <v>776.8349999999964</v>
      </c>
      <c r="B552" s="105">
        <f t="shared" ca="1" si="159"/>
        <v>0</v>
      </c>
      <c r="C552" s="105">
        <f t="shared" ca="1" si="160"/>
        <v>2</v>
      </c>
      <c r="D552" s="105">
        <f t="shared" ca="1" si="161"/>
        <v>0</v>
      </c>
      <c r="E552" s="105">
        <f t="shared" ca="1" si="162"/>
        <v>0</v>
      </c>
      <c r="F552" s="105">
        <f t="shared" ca="1" si="163"/>
        <v>0</v>
      </c>
      <c r="G552" s="105">
        <f t="shared" ca="1" si="173"/>
        <v>0</v>
      </c>
      <c r="H552" s="105">
        <f t="shared" ca="1" si="174"/>
        <v>0</v>
      </c>
      <c r="I552" s="105">
        <f t="shared" ca="1" si="164"/>
        <v>0</v>
      </c>
      <c r="J552" s="105">
        <f t="shared" ca="1" si="165"/>
        <v>0</v>
      </c>
      <c r="K552" s="105">
        <f t="shared" ca="1" si="166"/>
        <v>0</v>
      </c>
      <c r="L552" s="105">
        <f t="shared" ca="1" si="175"/>
        <v>0</v>
      </c>
      <c r="M552" s="105">
        <f t="shared" ca="1" si="167"/>
        <v>0</v>
      </c>
      <c r="N552" s="105">
        <f t="shared" ca="1" si="176"/>
        <v>0</v>
      </c>
      <c r="O552" s="105">
        <f t="shared" ca="1" si="168"/>
        <v>0</v>
      </c>
      <c r="P552" s="105">
        <f t="shared" ca="1" si="169"/>
        <v>0</v>
      </c>
      <c r="Q552" s="105">
        <f t="shared" ca="1" si="170"/>
        <v>0</v>
      </c>
      <c r="R552" s="105">
        <f t="shared" ca="1" si="171"/>
        <v>0</v>
      </c>
      <c r="S552" s="105">
        <f t="shared" ca="1" si="172"/>
        <v>10</v>
      </c>
    </row>
    <row r="553" spans="1:19" x14ac:dyDescent="0.35">
      <c r="A553" s="105">
        <f t="shared" ca="1" si="158"/>
        <v>778.24999999999636</v>
      </c>
      <c r="B553" s="105">
        <f t="shared" ca="1" si="159"/>
        <v>0</v>
      </c>
      <c r="C553" s="105">
        <f t="shared" ca="1" si="160"/>
        <v>2</v>
      </c>
      <c r="D553" s="105">
        <f t="shared" ca="1" si="161"/>
        <v>0</v>
      </c>
      <c r="E553" s="105">
        <f t="shared" ca="1" si="162"/>
        <v>0</v>
      </c>
      <c r="F553" s="105">
        <f t="shared" ca="1" si="163"/>
        <v>0</v>
      </c>
      <c r="G553" s="105">
        <f t="shared" ca="1" si="173"/>
        <v>0</v>
      </c>
      <c r="H553" s="105">
        <f t="shared" ca="1" si="174"/>
        <v>0</v>
      </c>
      <c r="I553" s="105">
        <f t="shared" ca="1" si="164"/>
        <v>0</v>
      </c>
      <c r="J553" s="105">
        <f t="shared" ca="1" si="165"/>
        <v>0</v>
      </c>
      <c r="K553" s="105">
        <f t="shared" ca="1" si="166"/>
        <v>0</v>
      </c>
      <c r="L553" s="105">
        <f t="shared" ca="1" si="175"/>
        <v>0</v>
      </c>
      <c r="M553" s="105">
        <f t="shared" ca="1" si="167"/>
        <v>0</v>
      </c>
      <c r="N553" s="105">
        <f t="shared" ca="1" si="176"/>
        <v>0</v>
      </c>
      <c r="O553" s="105">
        <f t="shared" ca="1" si="168"/>
        <v>0</v>
      </c>
      <c r="P553" s="105">
        <f t="shared" ca="1" si="169"/>
        <v>0</v>
      </c>
      <c r="Q553" s="105">
        <f t="shared" ca="1" si="170"/>
        <v>0</v>
      </c>
      <c r="R553" s="105">
        <f t="shared" ca="1" si="171"/>
        <v>0</v>
      </c>
      <c r="S553" s="105">
        <f t="shared" ca="1" si="172"/>
        <v>10</v>
      </c>
    </row>
    <row r="554" spans="1:19" x14ac:dyDescent="0.35">
      <c r="A554" s="105">
        <f t="shared" ca="1" si="158"/>
        <v>779.66499999999633</v>
      </c>
      <c r="B554" s="105">
        <f t="shared" ca="1" si="159"/>
        <v>0</v>
      </c>
      <c r="C554" s="105">
        <f t="shared" ca="1" si="160"/>
        <v>2</v>
      </c>
      <c r="D554" s="105">
        <f t="shared" ca="1" si="161"/>
        <v>0</v>
      </c>
      <c r="E554" s="105">
        <f t="shared" ca="1" si="162"/>
        <v>0</v>
      </c>
      <c r="F554" s="105">
        <f t="shared" ca="1" si="163"/>
        <v>0</v>
      </c>
      <c r="G554" s="105">
        <f t="shared" ca="1" si="173"/>
        <v>0</v>
      </c>
      <c r="H554" s="105">
        <f t="shared" ca="1" si="174"/>
        <v>0</v>
      </c>
      <c r="I554" s="105">
        <f t="shared" ca="1" si="164"/>
        <v>0</v>
      </c>
      <c r="J554" s="105">
        <f t="shared" ca="1" si="165"/>
        <v>0</v>
      </c>
      <c r="K554" s="105">
        <f t="shared" ca="1" si="166"/>
        <v>0</v>
      </c>
      <c r="L554" s="105">
        <f t="shared" ca="1" si="175"/>
        <v>0</v>
      </c>
      <c r="M554" s="105">
        <f t="shared" ca="1" si="167"/>
        <v>0</v>
      </c>
      <c r="N554" s="105">
        <f t="shared" ca="1" si="176"/>
        <v>0</v>
      </c>
      <c r="O554" s="105">
        <f t="shared" ca="1" si="168"/>
        <v>0</v>
      </c>
      <c r="P554" s="105">
        <f t="shared" ca="1" si="169"/>
        <v>0</v>
      </c>
      <c r="Q554" s="105">
        <f t="shared" ca="1" si="170"/>
        <v>0</v>
      </c>
      <c r="R554" s="105">
        <f t="shared" ca="1" si="171"/>
        <v>0</v>
      </c>
      <c r="S554" s="105">
        <f t="shared" ca="1" si="172"/>
        <v>10</v>
      </c>
    </row>
    <row r="555" spans="1:19" x14ac:dyDescent="0.35">
      <c r="A555" s="105">
        <f t="shared" ca="1" si="158"/>
        <v>781.07999999999629</v>
      </c>
      <c r="B555" s="105">
        <f t="shared" ca="1" si="159"/>
        <v>0</v>
      </c>
      <c r="C555" s="105">
        <f t="shared" ca="1" si="160"/>
        <v>2</v>
      </c>
      <c r="D555" s="105">
        <f t="shared" ca="1" si="161"/>
        <v>0</v>
      </c>
      <c r="E555" s="105">
        <f t="shared" ca="1" si="162"/>
        <v>0</v>
      </c>
      <c r="F555" s="105">
        <f t="shared" ca="1" si="163"/>
        <v>0</v>
      </c>
      <c r="G555" s="105">
        <f t="shared" ca="1" si="173"/>
        <v>0</v>
      </c>
      <c r="H555" s="105">
        <f t="shared" ca="1" si="174"/>
        <v>0</v>
      </c>
      <c r="I555" s="105">
        <f t="shared" ca="1" si="164"/>
        <v>0</v>
      </c>
      <c r="J555" s="105">
        <f t="shared" ca="1" si="165"/>
        <v>0</v>
      </c>
      <c r="K555" s="105">
        <f t="shared" ca="1" si="166"/>
        <v>0</v>
      </c>
      <c r="L555" s="105">
        <f t="shared" ca="1" si="175"/>
        <v>0</v>
      </c>
      <c r="M555" s="105">
        <f t="shared" ca="1" si="167"/>
        <v>0</v>
      </c>
      <c r="N555" s="105">
        <f t="shared" ca="1" si="176"/>
        <v>0</v>
      </c>
      <c r="O555" s="105">
        <f t="shared" ca="1" si="168"/>
        <v>0</v>
      </c>
      <c r="P555" s="105">
        <f t="shared" ca="1" si="169"/>
        <v>0</v>
      </c>
      <c r="Q555" s="105">
        <f t="shared" ca="1" si="170"/>
        <v>0</v>
      </c>
      <c r="R555" s="105">
        <f t="shared" ca="1" si="171"/>
        <v>0</v>
      </c>
      <c r="S555" s="105">
        <f t="shared" ca="1" si="172"/>
        <v>10</v>
      </c>
    </row>
    <row r="556" spans="1:19" x14ac:dyDescent="0.35">
      <c r="A556" s="105">
        <f t="shared" ca="1" si="158"/>
        <v>782.49499999999625</v>
      </c>
      <c r="B556" s="105">
        <f t="shared" ca="1" si="159"/>
        <v>0</v>
      </c>
      <c r="C556" s="105">
        <f t="shared" ca="1" si="160"/>
        <v>2</v>
      </c>
      <c r="D556" s="105">
        <f t="shared" ca="1" si="161"/>
        <v>0</v>
      </c>
      <c r="E556" s="105">
        <f t="shared" ca="1" si="162"/>
        <v>0</v>
      </c>
      <c r="F556" s="105">
        <f t="shared" ca="1" si="163"/>
        <v>0</v>
      </c>
      <c r="G556" s="105">
        <f t="shared" ca="1" si="173"/>
        <v>0</v>
      </c>
      <c r="H556" s="105">
        <f t="shared" ca="1" si="174"/>
        <v>0</v>
      </c>
      <c r="I556" s="105">
        <f t="shared" ca="1" si="164"/>
        <v>0</v>
      </c>
      <c r="J556" s="105">
        <f t="shared" ca="1" si="165"/>
        <v>0</v>
      </c>
      <c r="K556" s="105">
        <f t="shared" ca="1" si="166"/>
        <v>0</v>
      </c>
      <c r="L556" s="105">
        <f t="shared" ca="1" si="175"/>
        <v>0</v>
      </c>
      <c r="M556" s="105">
        <f t="shared" ca="1" si="167"/>
        <v>0</v>
      </c>
      <c r="N556" s="105">
        <f t="shared" ca="1" si="176"/>
        <v>0</v>
      </c>
      <c r="O556" s="105">
        <f t="shared" ca="1" si="168"/>
        <v>0</v>
      </c>
      <c r="P556" s="105">
        <f t="shared" ca="1" si="169"/>
        <v>0</v>
      </c>
      <c r="Q556" s="105">
        <f t="shared" ca="1" si="170"/>
        <v>0</v>
      </c>
      <c r="R556" s="105">
        <f t="shared" ca="1" si="171"/>
        <v>0</v>
      </c>
      <c r="S556" s="105">
        <f t="shared" ca="1" si="172"/>
        <v>10</v>
      </c>
    </row>
    <row r="557" spans="1:19" x14ac:dyDescent="0.35">
      <c r="A557" s="105">
        <f t="shared" ca="1" si="158"/>
        <v>783.90999999999622</v>
      </c>
      <c r="B557" s="105">
        <f t="shared" ca="1" si="159"/>
        <v>0</v>
      </c>
      <c r="C557" s="105">
        <f t="shared" ca="1" si="160"/>
        <v>2</v>
      </c>
      <c r="D557" s="105">
        <f t="shared" ca="1" si="161"/>
        <v>0</v>
      </c>
      <c r="E557" s="105">
        <f t="shared" ca="1" si="162"/>
        <v>0</v>
      </c>
      <c r="F557" s="105">
        <f t="shared" ca="1" si="163"/>
        <v>0</v>
      </c>
      <c r="G557" s="105">
        <f t="shared" ca="1" si="173"/>
        <v>0</v>
      </c>
      <c r="H557" s="105">
        <f t="shared" ca="1" si="174"/>
        <v>0</v>
      </c>
      <c r="I557" s="105">
        <f t="shared" ca="1" si="164"/>
        <v>0</v>
      </c>
      <c r="J557" s="105">
        <f t="shared" ca="1" si="165"/>
        <v>0</v>
      </c>
      <c r="K557" s="105">
        <f t="shared" ca="1" si="166"/>
        <v>0</v>
      </c>
      <c r="L557" s="105">
        <f t="shared" ca="1" si="175"/>
        <v>0</v>
      </c>
      <c r="M557" s="105">
        <f t="shared" ca="1" si="167"/>
        <v>0</v>
      </c>
      <c r="N557" s="105">
        <f t="shared" ca="1" si="176"/>
        <v>0</v>
      </c>
      <c r="O557" s="105">
        <f t="shared" ca="1" si="168"/>
        <v>0</v>
      </c>
      <c r="P557" s="105">
        <f t="shared" ca="1" si="169"/>
        <v>0</v>
      </c>
      <c r="Q557" s="105">
        <f t="shared" ca="1" si="170"/>
        <v>0</v>
      </c>
      <c r="R557" s="105">
        <f t="shared" ca="1" si="171"/>
        <v>0</v>
      </c>
      <c r="S557" s="105">
        <f t="shared" ca="1" si="172"/>
        <v>10</v>
      </c>
    </row>
    <row r="558" spans="1:19" x14ac:dyDescent="0.35">
      <c r="A558" s="105">
        <f t="shared" ca="1" si="158"/>
        <v>785.32499999999618</v>
      </c>
      <c r="B558" s="105">
        <f t="shared" ca="1" si="159"/>
        <v>0</v>
      </c>
      <c r="C558" s="105">
        <f t="shared" ca="1" si="160"/>
        <v>2</v>
      </c>
      <c r="D558" s="105">
        <f t="shared" ca="1" si="161"/>
        <v>0</v>
      </c>
      <c r="E558" s="105">
        <f t="shared" ca="1" si="162"/>
        <v>0</v>
      </c>
      <c r="F558" s="105">
        <f t="shared" ca="1" si="163"/>
        <v>0</v>
      </c>
      <c r="G558" s="105">
        <f t="shared" ca="1" si="173"/>
        <v>0</v>
      </c>
      <c r="H558" s="105">
        <f t="shared" ca="1" si="174"/>
        <v>0</v>
      </c>
      <c r="I558" s="105">
        <f t="shared" ca="1" si="164"/>
        <v>0</v>
      </c>
      <c r="J558" s="105">
        <f t="shared" ca="1" si="165"/>
        <v>0</v>
      </c>
      <c r="K558" s="105">
        <f t="shared" ca="1" si="166"/>
        <v>0</v>
      </c>
      <c r="L558" s="105">
        <f t="shared" ca="1" si="175"/>
        <v>0</v>
      </c>
      <c r="M558" s="105">
        <f t="shared" ca="1" si="167"/>
        <v>0</v>
      </c>
      <c r="N558" s="105">
        <f t="shared" ca="1" si="176"/>
        <v>0</v>
      </c>
      <c r="O558" s="105">
        <f t="shared" ca="1" si="168"/>
        <v>0</v>
      </c>
      <c r="P558" s="105">
        <f t="shared" ca="1" si="169"/>
        <v>0</v>
      </c>
      <c r="Q558" s="105">
        <f t="shared" ca="1" si="170"/>
        <v>0</v>
      </c>
      <c r="R558" s="105">
        <f t="shared" ca="1" si="171"/>
        <v>0</v>
      </c>
      <c r="S558" s="105">
        <f t="shared" ca="1" si="172"/>
        <v>10</v>
      </c>
    </row>
    <row r="559" spans="1:19" x14ac:dyDescent="0.35">
      <c r="A559" s="105">
        <f t="shared" ca="1" si="158"/>
        <v>786.73999999999614</v>
      </c>
      <c r="B559" s="105">
        <f t="shared" ca="1" si="159"/>
        <v>0</v>
      </c>
      <c r="C559" s="105">
        <f t="shared" ca="1" si="160"/>
        <v>2</v>
      </c>
      <c r="D559" s="105">
        <f t="shared" ca="1" si="161"/>
        <v>0</v>
      </c>
      <c r="E559" s="105">
        <f t="shared" ca="1" si="162"/>
        <v>0</v>
      </c>
      <c r="F559" s="105">
        <f t="shared" ca="1" si="163"/>
        <v>0</v>
      </c>
      <c r="G559" s="105">
        <f t="shared" ca="1" si="173"/>
        <v>0</v>
      </c>
      <c r="H559" s="105">
        <f t="shared" ca="1" si="174"/>
        <v>0</v>
      </c>
      <c r="I559" s="105">
        <f t="shared" ca="1" si="164"/>
        <v>0</v>
      </c>
      <c r="J559" s="105">
        <f t="shared" ca="1" si="165"/>
        <v>0</v>
      </c>
      <c r="K559" s="105">
        <f t="shared" ca="1" si="166"/>
        <v>0</v>
      </c>
      <c r="L559" s="105">
        <f t="shared" ca="1" si="175"/>
        <v>0</v>
      </c>
      <c r="M559" s="105">
        <f t="shared" ca="1" si="167"/>
        <v>0</v>
      </c>
      <c r="N559" s="105">
        <f t="shared" ca="1" si="176"/>
        <v>0</v>
      </c>
      <c r="O559" s="105">
        <f t="shared" ca="1" si="168"/>
        <v>0</v>
      </c>
      <c r="P559" s="105">
        <f t="shared" ca="1" si="169"/>
        <v>0</v>
      </c>
      <c r="Q559" s="105">
        <f t="shared" ca="1" si="170"/>
        <v>0</v>
      </c>
      <c r="R559" s="105">
        <f t="shared" ca="1" si="171"/>
        <v>0</v>
      </c>
      <c r="S559" s="105">
        <f t="shared" ca="1" si="172"/>
        <v>10</v>
      </c>
    </row>
    <row r="560" spans="1:19" x14ac:dyDescent="0.35">
      <c r="A560" s="105">
        <f t="shared" ca="1" si="158"/>
        <v>788.15499999999611</v>
      </c>
      <c r="B560" s="105">
        <f t="shared" ca="1" si="159"/>
        <v>0</v>
      </c>
      <c r="C560" s="105">
        <f t="shared" ca="1" si="160"/>
        <v>2</v>
      </c>
      <c r="D560" s="105">
        <f t="shared" ca="1" si="161"/>
        <v>0</v>
      </c>
      <c r="E560" s="105">
        <f t="shared" ca="1" si="162"/>
        <v>0</v>
      </c>
      <c r="F560" s="105">
        <f t="shared" ca="1" si="163"/>
        <v>0</v>
      </c>
      <c r="G560" s="105">
        <f t="shared" ca="1" si="173"/>
        <v>0</v>
      </c>
      <c r="H560" s="105">
        <f t="shared" ca="1" si="174"/>
        <v>0</v>
      </c>
      <c r="I560" s="105">
        <f t="shared" ca="1" si="164"/>
        <v>0</v>
      </c>
      <c r="J560" s="105">
        <f t="shared" ca="1" si="165"/>
        <v>0</v>
      </c>
      <c r="K560" s="105">
        <f t="shared" ca="1" si="166"/>
        <v>0</v>
      </c>
      <c r="L560" s="105">
        <f t="shared" ca="1" si="175"/>
        <v>0</v>
      </c>
      <c r="M560" s="105">
        <f t="shared" ca="1" si="167"/>
        <v>0</v>
      </c>
      <c r="N560" s="105">
        <f t="shared" ca="1" si="176"/>
        <v>0</v>
      </c>
      <c r="O560" s="105">
        <f t="shared" ca="1" si="168"/>
        <v>0</v>
      </c>
      <c r="P560" s="105">
        <f t="shared" ca="1" si="169"/>
        <v>0</v>
      </c>
      <c r="Q560" s="105">
        <f t="shared" ca="1" si="170"/>
        <v>0</v>
      </c>
      <c r="R560" s="105">
        <f t="shared" ca="1" si="171"/>
        <v>0</v>
      </c>
      <c r="S560" s="105">
        <f t="shared" ca="1" si="172"/>
        <v>10</v>
      </c>
    </row>
    <row r="561" spans="1:19" x14ac:dyDescent="0.35">
      <c r="A561" s="105">
        <f t="shared" ca="1" si="158"/>
        <v>789.56999999999607</v>
      </c>
      <c r="B561" s="105">
        <f t="shared" ca="1" si="159"/>
        <v>0</v>
      </c>
      <c r="C561" s="105">
        <f t="shared" ca="1" si="160"/>
        <v>2</v>
      </c>
      <c r="D561" s="105">
        <f t="shared" ca="1" si="161"/>
        <v>0</v>
      </c>
      <c r="E561" s="105">
        <f t="shared" ca="1" si="162"/>
        <v>0</v>
      </c>
      <c r="F561" s="105">
        <f t="shared" ca="1" si="163"/>
        <v>0</v>
      </c>
      <c r="G561" s="105">
        <f t="shared" ca="1" si="173"/>
        <v>0</v>
      </c>
      <c r="H561" s="105">
        <f t="shared" ca="1" si="174"/>
        <v>0</v>
      </c>
      <c r="I561" s="105">
        <f t="shared" ca="1" si="164"/>
        <v>0</v>
      </c>
      <c r="J561" s="105">
        <f t="shared" ca="1" si="165"/>
        <v>0</v>
      </c>
      <c r="K561" s="105">
        <f t="shared" ca="1" si="166"/>
        <v>0</v>
      </c>
      <c r="L561" s="105">
        <f t="shared" ca="1" si="175"/>
        <v>0</v>
      </c>
      <c r="M561" s="105">
        <f t="shared" ca="1" si="167"/>
        <v>0</v>
      </c>
      <c r="N561" s="105">
        <f t="shared" ca="1" si="176"/>
        <v>0</v>
      </c>
      <c r="O561" s="105">
        <f t="shared" ca="1" si="168"/>
        <v>0</v>
      </c>
      <c r="P561" s="105">
        <f t="shared" ca="1" si="169"/>
        <v>0</v>
      </c>
      <c r="Q561" s="105">
        <f t="shared" ca="1" si="170"/>
        <v>0</v>
      </c>
      <c r="R561" s="105">
        <f t="shared" ca="1" si="171"/>
        <v>0</v>
      </c>
      <c r="S561" s="105">
        <f t="shared" ca="1" si="172"/>
        <v>10</v>
      </c>
    </row>
    <row r="562" spans="1:19" x14ac:dyDescent="0.35">
      <c r="A562" s="105">
        <f t="shared" ca="1" si="158"/>
        <v>790.98499999999603</v>
      </c>
      <c r="B562" s="105">
        <f t="shared" ca="1" si="159"/>
        <v>0</v>
      </c>
      <c r="C562" s="105">
        <f t="shared" ca="1" si="160"/>
        <v>2</v>
      </c>
      <c r="D562" s="105">
        <f t="shared" ca="1" si="161"/>
        <v>0</v>
      </c>
      <c r="E562" s="105">
        <f t="shared" ca="1" si="162"/>
        <v>0</v>
      </c>
      <c r="F562" s="105">
        <f t="shared" ca="1" si="163"/>
        <v>0</v>
      </c>
      <c r="G562" s="105">
        <f t="shared" ca="1" si="173"/>
        <v>0</v>
      </c>
      <c r="H562" s="105">
        <f t="shared" ca="1" si="174"/>
        <v>0</v>
      </c>
      <c r="I562" s="105">
        <f t="shared" ca="1" si="164"/>
        <v>0</v>
      </c>
      <c r="J562" s="105">
        <f t="shared" ca="1" si="165"/>
        <v>0</v>
      </c>
      <c r="K562" s="105">
        <f t="shared" ca="1" si="166"/>
        <v>0</v>
      </c>
      <c r="L562" s="105">
        <f t="shared" ca="1" si="175"/>
        <v>0</v>
      </c>
      <c r="M562" s="105">
        <f t="shared" ca="1" si="167"/>
        <v>0</v>
      </c>
      <c r="N562" s="105">
        <f t="shared" ca="1" si="176"/>
        <v>0</v>
      </c>
      <c r="O562" s="105">
        <f t="shared" ca="1" si="168"/>
        <v>0</v>
      </c>
      <c r="P562" s="105">
        <f t="shared" ca="1" si="169"/>
        <v>0</v>
      </c>
      <c r="Q562" s="105">
        <f t="shared" ca="1" si="170"/>
        <v>0</v>
      </c>
      <c r="R562" s="105">
        <f t="shared" ca="1" si="171"/>
        <v>0</v>
      </c>
      <c r="S562" s="105">
        <f t="shared" ca="1" si="172"/>
        <v>10</v>
      </c>
    </row>
    <row r="563" spans="1:19" x14ac:dyDescent="0.35">
      <c r="A563" s="105">
        <f t="shared" ca="1" si="158"/>
        <v>792.399999999996</v>
      </c>
      <c r="B563" s="105">
        <f t="shared" ca="1" si="159"/>
        <v>0</v>
      </c>
      <c r="C563" s="105">
        <f t="shared" ca="1" si="160"/>
        <v>2</v>
      </c>
      <c r="D563" s="105">
        <f t="shared" ca="1" si="161"/>
        <v>0</v>
      </c>
      <c r="E563" s="105">
        <f t="shared" ca="1" si="162"/>
        <v>0</v>
      </c>
      <c r="F563" s="105">
        <f t="shared" ca="1" si="163"/>
        <v>0</v>
      </c>
      <c r="G563" s="105">
        <f t="shared" ca="1" si="173"/>
        <v>0</v>
      </c>
      <c r="H563" s="105">
        <f t="shared" ca="1" si="174"/>
        <v>0</v>
      </c>
      <c r="I563" s="105">
        <f t="shared" ca="1" si="164"/>
        <v>0</v>
      </c>
      <c r="J563" s="105">
        <f t="shared" ca="1" si="165"/>
        <v>0</v>
      </c>
      <c r="K563" s="105">
        <f t="shared" ca="1" si="166"/>
        <v>0</v>
      </c>
      <c r="L563" s="105">
        <f t="shared" ca="1" si="175"/>
        <v>0</v>
      </c>
      <c r="M563" s="105">
        <f t="shared" ca="1" si="167"/>
        <v>0</v>
      </c>
      <c r="N563" s="105">
        <f t="shared" ca="1" si="176"/>
        <v>0</v>
      </c>
      <c r="O563" s="105">
        <f t="shared" ca="1" si="168"/>
        <v>0</v>
      </c>
      <c r="P563" s="105">
        <f t="shared" ca="1" si="169"/>
        <v>0</v>
      </c>
      <c r="Q563" s="105">
        <f t="shared" ca="1" si="170"/>
        <v>0</v>
      </c>
      <c r="R563" s="105">
        <f t="shared" ca="1" si="171"/>
        <v>0</v>
      </c>
      <c r="S563" s="105">
        <f t="shared" ca="1" si="172"/>
        <v>10</v>
      </c>
    </row>
    <row r="564" spans="1:19" x14ac:dyDescent="0.35">
      <c r="A564" s="105">
        <f t="shared" ca="1" si="158"/>
        <v>793.81499999999596</v>
      </c>
      <c r="B564" s="105">
        <f t="shared" ca="1" si="159"/>
        <v>0</v>
      </c>
      <c r="C564" s="105">
        <f t="shared" ca="1" si="160"/>
        <v>2</v>
      </c>
      <c r="D564" s="105">
        <f t="shared" ca="1" si="161"/>
        <v>0</v>
      </c>
      <c r="E564" s="105">
        <f t="shared" ca="1" si="162"/>
        <v>0</v>
      </c>
      <c r="F564" s="105">
        <f t="shared" ca="1" si="163"/>
        <v>0</v>
      </c>
      <c r="G564" s="105">
        <f t="shared" ca="1" si="173"/>
        <v>0</v>
      </c>
      <c r="H564" s="105">
        <f t="shared" ca="1" si="174"/>
        <v>0</v>
      </c>
      <c r="I564" s="105">
        <f t="shared" ca="1" si="164"/>
        <v>0</v>
      </c>
      <c r="J564" s="105">
        <f t="shared" ca="1" si="165"/>
        <v>0</v>
      </c>
      <c r="K564" s="105">
        <f t="shared" ca="1" si="166"/>
        <v>0</v>
      </c>
      <c r="L564" s="105">
        <f t="shared" ca="1" si="175"/>
        <v>0</v>
      </c>
      <c r="M564" s="105">
        <f t="shared" ca="1" si="167"/>
        <v>0</v>
      </c>
      <c r="N564" s="105">
        <f t="shared" ca="1" si="176"/>
        <v>0</v>
      </c>
      <c r="O564" s="105">
        <f t="shared" ca="1" si="168"/>
        <v>0</v>
      </c>
      <c r="P564" s="105">
        <f t="shared" ca="1" si="169"/>
        <v>0</v>
      </c>
      <c r="Q564" s="105">
        <f t="shared" ca="1" si="170"/>
        <v>0</v>
      </c>
      <c r="R564" s="105">
        <f t="shared" ca="1" si="171"/>
        <v>0</v>
      </c>
      <c r="S564" s="105">
        <f t="shared" ca="1" si="172"/>
        <v>10</v>
      </c>
    </row>
    <row r="565" spans="1:19" x14ac:dyDescent="0.35">
      <c r="A565" s="105">
        <f t="shared" ca="1" si="158"/>
        <v>795.22999999999593</v>
      </c>
      <c r="B565" s="105">
        <f t="shared" ca="1" si="159"/>
        <v>0</v>
      </c>
      <c r="C565" s="105">
        <f t="shared" ca="1" si="160"/>
        <v>2</v>
      </c>
      <c r="D565" s="105">
        <f t="shared" ca="1" si="161"/>
        <v>0</v>
      </c>
      <c r="E565" s="105">
        <f t="shared" ca="1" si="162"/>
        <v>0</v>
      </c>
      <c r="F565" s="105">
        <f t="shared" ca="1" si="163"/>
        <v>0</v>
      </c>
      <c r="G565" s="105">
        <f t="shared" ca="1" si="173"/>
        <v>0</v>
      </c>
      <c r="H565" s="105">
        <f t="shared" ca="1" si="174"/>
        <v>0</v>
      </c>
      <c r="I565" s="105">
        <f t="shared" ca="1" si="164"/>
        <v>0</v>
      </c>
      <c r="J565" s="105">
        <f t="shared" ca="1" si="165"/>
        <v>0</v>
      </c>
      <c r="K565" s="105">
        <f t="shared" ca="1" si="166"/>
        <v>0</v>
      </c>
      <c r="L565" s="105">
        <f t="shared" ca="1" si="175"/>
        <v>0</v>
      </c>
      <c r="M565" s="105">
        <f t="shared" ca="1" si="167"/>
        <v>0</v>
      </c>
      <c r="N565" s="105">
        <f t="shared" ca="1" si="176"/>
        <v>0</v>
      </c>
      <c r="O565" s="105">
        <f t="shared" ca="1" si="168"/>
        <v>0</v>
      </c>
      <c r="P565" s="105">
        <f t="shared" ca="1" si="169"/>
        <v>0</v>
      </c>
      <c r="Q565" s="105">
        <f t="shared" ca="1" si="170"/>
        <v>0</v>
      </c>
      <c r="R565" s="105">
        <f t="shared" ca="1" si="171"/>
        <v>0</v>
      </c>
      <c r="S565" s="105">
        <f t="shared" ca="1" si="172"/>
        <v>10</v>
      </c>
    </row>
    <row r="566" spans="1:19" x14ac:dyDescent="0.35">
      <c r="A566" s="105">
        <f t="shared" ca="1" si="158"/>
        <v>796.64499999999589</v>
      </c>
      <c r="B566" s="105">
        <f t="shared" ca="1" si="159"/>
        <v>0</v>
      </c>
      <c r="C566" s="105">
        <f t="shared" ca="1" si="160"/>
        <v>2</v>
      </c>
      <c r="D566" s="105">
        <f t="shared" ca="1" si="161"/>
        <v>0</v>
      </c>
      <c r="E566" s="105">
        <f t="shared" ca="1" si="162"/>
        <v>0</v>
      </c>
      <c r="F566" s="105">
        <f t="shared" ca="1" si="163"/>
        <v>0</v>
      </c>
      <c r="G566" s="105">
        <f t="shared" ca="1" si="173"/>
        <v>0</v>
      </c>
      <c r="H566" s="105">
        <f t="shared" ca="1" si="174"/>
        <v>0</v>
      </c>
      <c r="I566" s="105">
        <f t="shared" ca="1" si="164"/>
        <v>0</v>
      </c>
      <c r="J566" s="105">
        <f t="shared" ca="1" si="165"/>
        <v>0</v>
      </c>
      <c r="K566" s="105">
        <f t="shared" ca="1" si="166"/>
        <v>0</v>
      </c>
      <c r="L566" s="105">
        <f t="shared" ca="1" si="175"/>
        <v>0</v>
      </c>
      <c r="M566" s="105">
        <f t="shared" ca="1" si="167"/>
        <v>0</v>
      </c>
      <c r="N566" s="105">
        <f t="shared" ca="1" si="176"/>
        <v>0</v>
      </c>
      <c r="O566" s="105">
        <f t="shared" ca="1" si="168"/>
        <v>0</v>
      </c>
      <c r="P566" s="105">
        <f t="shared" ca="1" si="169"/>
        <v>0</v>
      </c>
      <c r="Q566" s="105">
        <f t="shared" ca="1" si="170"/>
        <v>0</v>
      </c>
      <c r="R566" s="105">
        <f t="shared" ca="1" si="171"/>
        <v>0</v>
      </c>
      <c r="S566" s="105">
        <f t="shared" ca="1" si="172"/>
        <v>10</v>
      </c>
    </row>
    <row r="567" spans="1:19" x14ac:dyDescent="0.35">
      <c r="A567" s="105">
        <f t="shared" ca="1" si="158"/>
        <v>798.05999999999585</v>
      </c>
      <c r="B567" s="105">
        <f t="shared" ca="1" si="159"/>
        <v>0</v>
      </c>
      <c r="C567" s="105">
        <f t="shared" ca="1" si="160"/>
        <v>2</v>
      </c>
      <c r="D567" s="105">
        <f t="shared" ca="1" si="161"/>
        <v>0</v>
      </c>
      <c r="E567" s="105">
        <f t="shared" ca="1" si="162"/>
        <v>0</v>
      </c>
      <c r="F567" s="105">
        <f t="shared" ca="1" si="163"/>
        <v>0</v>
      </c>
      <c r="G567" s="105">
        <f t="shared" ca="1" si="173"/>
        <v>0</v>
      </c>
      <c r="H567" s="105">
        <f t="shared" ca="1" si="174"/>
        <v>0</v>
      </c>
      <c r="I567" s="105">
        <f t="shared" ca="1" si="164"/>
        <v>0</v>
      </c>
      <c r="J567" s="105">
        <f t="shared" ca="1" si="165"/>
        <v>0</v>
      </c>
      <c r="K567" s="105">
        <f t="shared" ca="1" si="166"/>
        <v>0</v>
      </c>
      <c r="L567" s="105">
        <f t="shared" ca="1" si="175"/>
        <v>0</v>
      </c>
      <c r="M567" s="105">
        <f t="shared" ca="1" si="167"/>
        <v>0</v>
      </c>
      <c r="N567" s="105">
        <f t="shared" ca="1" si="176"/>
        <v>0</v>
      </c>
      <c r="O567" s="105">
        <f t="shared" ca="1" si="168"/>
        <v>0</v>
      </c>
      <c r="P567" s="105">
        <f t="shared" ca="1" si="169"/>
        <v>0</v>
      </c>
      <c r="Q567" s="105">
        <f t="shared" ca="1" si="170"/>
        <v>0</v>
      </c>
      <c r="R567" s="105">
        <f t="shared" ca="1" si="171"/>
        <v>0</v>
      </c>
      <c r="S567" s="105">
        <f t="shared" ca="1" si="172"/>
        <v>10</v>
      </c>
    </row>
    <row r="568" spans="1:19" x14ac:dyDescent="0.35">
      <c r="A568" s="105">
        <f t="shared" ca="1" si="158"/>
        <v>799.47499999999582</v>
      </c>
      <c r="B568" s="105">
        <f t="shared" ca="1" si="159"/>
        <v>0</v>
      </c>
      <c r="C568" s="105">
        <f t="shared" ca="1" si="160"/>
        <v>2</v>
      </c>
      <c r="D568" s="105">
        <f t="shared" ca="1" si="161"/>
        <v>0</v>
      </c>
      <c r="E568" s="105">
        <f t="shared" ca="1" si="162"/>
        <v>0</v>
      </c>
      <c r="F568" s="105">
        <f t="shared" ca="1" si="163"/>
        <v>0</v>
      </c>
      <c r="G568" s="105">
        <f t="shared" ca="1" si="173"/>
        <v>0</v>
      </c>
      <c r="H568" s="105">
        <f t="shared" ca="1" si="174"/>
        <v>0</v>
      </c>
      <c r="I568" s="105">
        <f t="shared" ca="1" si="164"/>
        <v>0</v>
      </c>
      <c r="J568" s="105">
        <f t="shared" ca="1" si="165"/>
        <v>0</v>
      </c>
      <c r="K568" s="105">
        <f t="shared" ca="1" si="166"/>
        <v>0</v>
      </c>
      <c r="L568" s="105">
        <f t="shared" ca="1" si="175"/>
        <v>0</v>
      </c>
      <c r="M568" s="105">
        <f t="shared" ca="1" si="167"/>
        <v>0</v>
      </c>
      <c r="N568" s="105">
        <f t="shared" ca="1" si="176"/>
        <v>0</v>
      </c>
      <c r="O568" s="105">
        <f t="shared" ca="1" si="168"/>
        <v>0</v>
      </c>
      <c r="P568" s="105">
        <f t="shared" ca="1" si="169"/>
        <v>0</v>
      </c>
      <c r="Q568" s="105">
        <f t="shared" ca="1" si="170"/>
        <v>0</v>
      </c>
      <c r="R568" s="105">
        <f t="shared" ca="1" si="171"/>
        <v>0</v>
      </c>
      <c r="S568" s="105">
        <f t="shared" ca="1" si="172"/>
        <v>10</v>
      </c>
    </row>
    <row r="569" spans="1:19" x14ac:dyDescent="0.35">
      <c r="A569" s="105">
        <f t="shared" ca="1" si="158"/>
        <v>800.88999999999578</v>
      </c>
      <c r="B569" s="105">
        <f t="shared" ca="1" si="159"/>
        <v>0</v>
      </c>
      <c r="C569" s="105">
        <f t="shared" ca="1" si="160"/>
        <v>2</v>
      </c>
      <c r="D569" s="105">
        <f t="shared" ca="1" si="161"/>
        <v>0</v>
      </c>
      <c r="E569" s="105">
        <f t="shared" ca="1" si="162"/>
        <v>0</v>
      </c>
      <c r="F569" s="105">
        <f t="shared" ca="1" si="163"/>
        <v>0</v>
      </c>
      <c r="G569" s="105">
        <f t="shared" ca="1" si="173"/>
        <v>0</v>
      </c>
      <c r="H569" s="105">
        <f t="shared" ca="1" si="174"/>
        <v>0</v>
      </c>
      <c r="I569" s="105">
        <f t="shared" ca="1" si="164"/>
        <v>0</v>
      </c>
      <c r="J569" s="105">
        <f t="shared" ca="1" si="165"/>
        <v>0</v>
      </c>
      <c r="K569" s="105">
        <f t="shared" ca="1" si="166"/>
        <v>0</v>
      </c>
      <c r="L569" s="105">
        <f t="shared" ca="1" si="175"/>
        <v>0</v>
      </c>
      <c r="M569" s="105">
        <f t="shared" ca="1" si="167"/>
        <v>0</v>
      </c>
      <c r="N569" s="105">
        <f t="shared" ca="1" si="176"/>
        <v>0</v>
      </c>
      <c r="O569" s="105">
        <f t="shared" ca="1" si="168"/>
        <v>0</v>
      </c>
      <c r="P569" s="105">
        <f t="shared" ca="1" si="169"/>
        <v>0</v>
      </c>
      <c r="Q569" s="105">
        <f t="shared" ca="1" si="170"/>
        <v>0</v>
      </c>
      <c r="R569" s="105">
        <f t="shared" ca="1" si="171"/>
        <v>0</v>
      </c>
      <c r="S569" s="105">
        <f t="shared" ca="1" si="172"/>
        <v>10</v>
      </c>
    </row>
    <row r="570" spans="1:19" x14ac:dyDescent="0.35">
      <c r="A570" s="105">
        <f t="shared" ca="1" si="158"/>
        <v>802.30499999999574</v>
      </c>
      <c r="B570" s="105">
        <f t="shared" ca="1" si="159"/>
        <v>0</v>
      </c>
      <c r="C570" s="105">
        <f t="shared" ca="1" si="160"/>
        <v>2</v>
      </c>
      <c r="D570" s="105">
        <f t="shared" ca="1" si="161"/>
        <v>0</v>
      </c>
      <c r="E570" s="105">
        <f t="shared" ca="1" si="162"/>
        <v>0</v>
      </c>
      <c r="F570" s="105">
        <f t="shared" ca="1" si="163"/>
        <v>0</v>
      </c>
      <c r="G570" s="105">
        <f t="shared" ca="1" si="173"/>
        <v>0</v>
      </c>
      <c r="H570" s="105">
        <f t="shared" ca="1" si="174"/>
        <v>0</v>
      </c>
      <c r="I570" s="105">
        <f t="shared" ca="1" si="164"/>
        <v>0</v>
      </c>
      <c r="J570" s="105">
        <f t="shared" ca="1" si="165"/>
        <v>0</v>
      </c>
      <c r="K570" s="105">
        <f t="shared" ca="1" si="166"/>
        <v>0</v>
      </c>
      <c r="L570" s="105">
        <f t="shared" ca="1" si="175"/>
        <v>0</v>
      </c>
      <c r="M570" s="105">
        <f t="shared" ca="1" si="167"/>
        <v>0</v>
      </c>
      <c r="N570" s="105">
        <f t="shared" ca="1" si="176"/>
        <v>0</v>
      </c>
      <c r="O570" s="105">
        <f t="shared" ca="1" si="168"/>
        <v>0</v>
      </c>
      <c r="P570" s="105">
        <f t="shared" ca="1" si="169"/>
        <v>0</v>
      </c>
      <c r="Q570" s="105">
        <f t="shared" ca="1" si="170"/>
        <v>0</v>
      </c>
      <c r="R570" s="105">
        <f t="shared" ca="1" si="171"/>
        <v>0</v>
      </c>
      <c r="S570" s="105">
        <f t="shared" ca="1" si="172"/>
        <v>10</v>
      </c>
    </row>
    <row r="571" spans="1:19" x14ac:dyDescent="0.35">
      <c r="A571" s="105">
        <f t="shared" ca="1" si="158"/>
        <v>803.71999999999571</v>
      </c>
      <c r="B571" s="105">
        <f t="shared" ca="1" si="159"/>
        <v>0</v>
      </c>
      <c r="C571" s="105">
        <f t="shared" ca="1" si="160"/>
        <v>2</v>
      </c>
      <c r="D571" s="105">
        <f t="shared" ca="1" si="161"/>
        <v>0</v>
      </c>
      <c r="E571" s="105">
        <f t="shared" ca="1" si="162"/>
        <v>0</v>
      </c>
      <c r="F571" s="105">
        <f t="shared" ca="1" si="163"/>
        <v>0</v>
      </c>
      <c r="G571" s="105">
        <f t="shared" ca="1" si="173"/>
        <v>0</v>
      </c>
      <c r="H571" s="105">
        <f t="shared" ca="1" si="174"/>
        <v>0</v>
      </c>
      <c r="I571" s="105">
        <f t="shared" ca="1" si="164"/>
        <v>0</v>
      </c>
      <c r="J571" s="105">
        <f t="shared" ca="1" si="165"/>
        <v>0</v>
      </c>
      <c r="K571" s="105">
        <f t="shared" ca="1" si="166"/>
        <v>0</v>
      </c>
      <c r="L571" s="105">
        <f t="shared" ca="1" si="175"/>
        <v>0</v>
      </c>
      <c r="M571" s="105">
        <f t="shared" ca="1" si="167"/>
        <v>0</v>
      </c>
      <c r="N571" s="105">
        <f t="shared" ca="1" si="176"/>
        <v>0</v>
      </c>
      <c r="O571" s="105">
        <f t="shared" ca="1" si="168"/>
        <v>0</v>
      </c>
      <c r="P571" s="105">
        <f t="shared" ca="1" si="169"/>
        <v>0</v>
      </c>
      <c r="Q571" s="105">
        <f t="shared" ca="1" si="170"/>
        <v>0</v>
      </c>
      <c r="R571" s="105">
        <f t="shared" ca="1" si="171"/>
        <v>0</v>
      </c>
      <c r="S571" s="105">
        <f t="shared" ca="1" si="172"/>
        <v>10</v>
      </c>
    </row>
    <row r="572" spans="1:19" x14ac:dyDescent="0.35">
      <c r="A572" s="105">
        <f t="shared" ca="1" si="158"/>
        <v>805.13499999999567</v>
      </c>
      <c r="B572" s="105">
        <f t="shared" ca="1" si="159"/>
        <v>0</v>
      </c>
      <c r="C572" s="105">
        <f t="shared" ca="1" si="160"/>
        <v>2</v>
      </c>
      <c r="D572" s="105">
        <f t="shared" ca="1" si="161"/>
        <v>0</v>
      </c>
      <c r="E572" s="105">
        <f t="shared" ca="1" si="162"/>
        <v>0</v>
      </c>
      <c r="F572" s="105">
        <f t="shared" ca="1" si="163"/>
        <v>0</v>
      </c>
      <c r="G572" s="105">
        <f t="shared" ca="1" si="173"/>
        <v>0</v>
      </c>
      <c r="H572" s="105">
        <f t="shared" ca="1" si="174"/>
        <v>0</v>
      </c>
      <c r="I572" s="105">
        <f t="shared" ca="1" si="164"/>
        <v>0</v>
      </c>
      <c r="J572" s="105">
        <f t="shared" ca="1" si="165"/>
        <v>0</v>
      </c>
      <c r="K572" s="105">
        <f t="shared" ca="1" si="166"/>
        <v>0</v>
      </c>
      <c r="L572" s="105">
        <f t="shared" ca="1" si="175"/>
        <v>0</v>
      </c>
      <c r="M572" s="105">
        <f t="shared" ca="1" si="167"/>
        <v>0</v>
      </c>
      <c r="N572" s="105">
        <f t="shared" ca="1" si="176"/>
        <v>0</v>
      </c>
      <c r="O572" s="105">
        <f t="shared" ca="1" si="168"/>
        <v>0</v>
      </c>
      <c r="P572" s="105">
        <f t="shared" ca="1" si="169"/>
        <v>0</v>
      </c>
      <c r="Q572" s="105">
        <f t="shared" ca="1" si="170"/>
        <v>0</v>
      </c>
      <c r="R572" s="105">
        <f t="shared" ca="1" si="171"/>
        <v>0</v>
      </c>
      <c r="S572" s="105">
        <f t="shared" ca="1" si="172"/>
        <v>10</v>
      </c>
    </row>
    <row r="573" spans="1:19" x14ac:dyDescent="0.35">
      <c r="A573" s="105">
        <f t="shared" ca="1" si="158"/>
        <v>806.54999999999563</v>
      </c>
      <c r="B573" s="105">
        <f t="shared" ca="1" si="159"/>
        <v>0</v>
      </c>
      <c r="C573" s="105">
        <f t="shared" ca="1" si="160"/>
        <v>2</v>
      </c>
      <c r="D573" s="105">
        <f t="shared" ca="1" si="161"/>
        <v>0</v>
      </c>
      <c r="E573" s="105">
        <f t="shared" ca="1" si="162"/>
        <v>0</v>
      </c>
      <c r="F573" s="105">
        <f t="shared" ca="1" si="163"/>
        <v>0</v>
      </c>
      <c r="G573" s="105">
        <f t="shared" ca="1" si="173"/>
        <v>0</v>
      </c>
      <c r="H573" s="105">
        <f t="shared" ca="1" si="174"/>
        <v>0</v>
      </c>
      <c r="I573" s="105">
        <f t="shared" ca="1" si="164"/>
        <v>0</v>
      </c>
      <c r="J573" s="105">
        <f t="shared" ca="1" si="165"/>
        <v>0</v>
      </c>
      <c r="K573" s="105">
        <f t="shared" ca="1" si="166"/>
        <v>0</v>
      </c>
      <c r="L573" s="105">
        <f t="shared" ca="1" si="175"/>
        <v>0</v>
      </c>
      <c r="M573" s="105">
        <f t="shared" ca="1" si="167"/>
        <v>0</v>
      </c>
      <c r="N573" s="105">
        <f t="shared" ca="1" si="176"/>
        <v>0</v>
      </c>
      <c r="O573" s="105">
        <f t="shared" ca="1" si="168"/>
        <v>0</v>
      </c>
      <c r="P573" s="105">
        <f t="shared" ca="1" si="169"/>
        <v>0</v>
      </c>
      <c r="Q573" s="105">
        <f t="shared" ca="1" si="170"/>
        <v>0</v>
      </c>
      <c r="R573" s="105">
        <f t="shared" ca="1" si="171"/>
        <v>0</v>
      </c>
      <c r="S573" s="105">
        <f t="shared" ca="1" si="172"/>
        <v>10</v>
      </c>
    </row>
    <row r="574" spans="1:19" x14ac:dyDescent="0.35">
      <c r="A574" s="105">
        <f t="shared" ca="1" si="158"/>
        <v>807.9649999999956</v>
      </c>
      <c r="B574" s="105">
        <f t="shared" ca="1" si="159"/>
        <v>0</v>
      </c>
      <c r="C574" s="105">
        <f t="shared" ca="1" si="160"/>
        <v>2</v>
      </c>
      <c r="D574" s="105">
        <f t="shared" ca="1" si="161"/>
        <v>0</v>
      </c>
      <c r="E574" s="105">
        <f t="shared" ca="1" si="162"/>
        <v>0</v>
      </c>
      <c r="F574" s="105">
        <f t="shared" ca="1" si="163"/>
        <v>0</v>
      </c>
      <c r="G574" s="105">
        <f t="shared" ca="1" si="173"/>
        <v>0</v>
      </c>
      <c r="H574" s="105">
        <f t="shared" ca="1" si="174"/>
        <v>0</v>
      </c>
      <c r="I574" s="105">
        <f t="shared" ca="1" si="164"/>
        <v>0</v>
      </c>
      <c r="J574" s="105">
        <f t="shared" ca="1" si="165"/>
        <v>0</v>
      </c>
      <c r="K574" s="105">
        <f t="shared" ca="1" si="166"/>
        <v>0</v>
      </c>
      <c r="L574" s="105">
        <f t="shared" ca="1" si="175"/>
        <v>0</v>
      </c>
      <c r="M574" s="105">
        <f t="shared" ca="1" si="167"/>
        <v>0</v>
      </c>
      <c r="N574" s="105">
        <f t="shared" ca="1" si="176"/>
        <v>0</v>
      </c>
      <c r="O574" s="105">
        <f t="shared" ca="1" si="168"/>
        <v>0</v>
      </c>
      <c r="P574" s="105">
        <f t="shared" ca="1" si="169"/>
        <v>0</v>
      </c>
      <c r="Q574" s="105">
        <f t="shared" ca="1" si="170"/>
        <v>0</v>
      </c>
      <c r="R574" s="105">
        <f t="shared" ca="1" si="171"/>
        <v>0</v>
      </c>
      <c r="S574" s="105">
        <f t="shared" ca="1" si="172"/>
        <v>10</v>
      </c>
    </row>
    <row r="575" spans="1:19" x14ac:dyDescent="0.35">
      <c r="A575" s="105">
        <f t="shared" ca="1" si="158"/>
        <v>809.37999999999556</v>
      </c>
      <c r="B575" s="105">
        <f t="shared" ca="1" si="159"/>
        <v>0</v>
      </c>
      <c r="C575" s="105">
        <f t="shared" ca="1" si="160"/>
        <v>2</v>
      </c>
      <c r="D575" s="105">
        <f t="shared" ca="1" si="161"/>
        <v>0</v>
      </c>
      <c r="E575" s="105">
        <f t="shared" ca="1" si="162"/>
        <v>0</v>
      </c>
      <c r="F575" s="105">
        <f t="shared" ca="1" si="163"/>
        <v>0</v>
      </c>
      <c r="G575" s="105">
        <f t="shared" ca="1" si="173"/>
        <v>0</v>
      </c>
      <c r="H575" s="105">
        <f t="shared" ca="1" si="174"/>
        <v>0</v>
      </c>
      <c r="I575" s="105">
        <f t="shared" ca="1" si="164"/>
        <v>0</v>
      </c>
      <c r="J575" s="105">
        <f t="shared" ca="1" si="165"/>
        <v>0</v>
      </c>
      <c r="K575" s="105">
        <f t="shared" ca="1" si="166"/>
        <v>0</v>
      </c>
      <c r="L575" s="105">
        <f t="shared" ca="1" si="175"/>
        <v>0</v>
      </c>
      <c r="M575" s="105">
        <f t="shared" ca="1" si="167"/>
        <v>0</v>
      </c>
      <c r="N575" s="105">
        <f t="shared" ca="1" si="176"/>
        <v>0</v>
      </c>
      <c r="O575" s="105">
        <f t="shared" ca="1" si="168"/>
        <v>0</v>
      </c>
      <c r="P575" s="105">
        <f t="shared" ca="1" si="169"/>
        <v>0</v>
      </c>
      <c r="Q575" s="105">
        <f t="shared" ca="1" si="170"/>
        <v>0</v>
      </c>
      <c r="R575" s="105">
        <f t="shared" ca="1" si="171"/>
        <v>0</v>
      </c>
      <c r="S575" s="105">
        <f t="shared" ca="1" si="172"/>
        <v>10</v>
      </c>
    </row>
    <row r="576" spans="1:19" x14ac:dyDescent="0.35">
      <c r="A576" s="105">
        <f t="shared" ca="1" si="158"/>
        <v>810.79499999999553</v>
      </c>
      <c r="B576" s="105">
        <f t="shared" ca="1" si="159"/>
        <v>0</v>
      </c>
      <c r="C576" s="105">
        <f t="shared" ca="1" si="160"/>
        <v>2</v>
      </c>
      <c r="D576" s="105">
        <f t="shared" ca="1" si="161"/>
        <v>0</v>
      </c>
      <c r="E576" s="105">
        <f t="shared" ca="1" si="162"/>
        <v>0</v>
      </c>
      <c r="F576" s="105">
        <f t="shared" ca="1" si="163"/>
        <v>0</v>
      </c>
      <c r="G576" s="105">
        <f t="shared" ca="1" si="173"/>
        <v>0</v>
      </c>
      <c r="H576" s="105">
        <f t="shared" ca="1" si="174"/>
        <v>0</v>
      </c>
      <c r="I576" s="105">
        <f t="shared" ca="1" si="164"/>
        <v>0</v>
      </c>
      <c r="J576" s="105">
        <f t="shared" ca="1" si="165"/>
        <v>0</v>
      </c>
      <c r="K576" s="105">
        <f t="shared" ca="1" si="166"/>
        <v>0</v>
      </c>
      <c r="L576" s="105">
        <f t="shared" ca="1" si="175"/>
        <v>0</v>
      </c>
      <c r="M576" s="105">
        <f t="shared" ca="1" si="167"/>
        <v>0</v>
      </c>
      <c r="N576" s="105">
        <f t="shared" ca="1" si="176"/>
        <v>0</v>
      </c>
      <c r="O576" s="105">
        <f t="shared" ca="1" si="168"/>
        <v>0</v>
      </c>
      <c r="P576" s="105">
        <f t="shared" ca="1" si="169"/>
        <v>0</v>
      </c>
      <c r="Q576" s="105">
        <f t="shared" ca="1" si="170"/>
        <v>0</v>
      </c>
      <c r="R576" s="105">
        <f t="shared" ca="1" si="171"/>
        <v>0</v>
      </c>
      <c r="S576" s="105">
        <f t="shared" ca="1" si="172"/>
        <v>10</v>
      </c>
    </row>
    <row r="577" spans="1:19" x14ac:dyDescent="0.35">
      <c r="A577" s="105">
        <f t="shared" ca="1" si="158"/>
        <v>812.20999999999549</v>
      </c>
      <c r="B577" s="105">
        <f t="shared" ca="1" si="159"/>
        <v>0</v>
      </c>
      <c r="C577" s="105">
        <f t="shared" ca="1" si="160"/>
        <v>2</v>
      </c>
      <c r="D577" s="105">
        <f t="shared" ca="1" si="161"/>
        <v>0</v>
      </c>
      <c r="E577" s="105">
        <f t="shared" ca="1" si="162"/>
        <v>0</v>
      </c>
      <c r="F577" s="105">
        <f t="shared" ca="1" si="163"/>
        <v>0</v>
      </c>
      <c r="G577" s="105">
        <f t="shared" ca="1" si="173"/>
        <v>0</v>
      </c>
      <c r="H577" s="105">
        <f t="shared" ca="1" si="174"/>
        <v>0</v>
      </c>
      <c r="I577" s="105">
        <f t="shared" ca="1" si="164"/>
        <v>0</v>
      </c>
      <c r="J577" s="105">
        <f t="shared" ca="1" si="165"/>
        <v>0</v>
      </c>
      <c r="K577" s="105">
        <f t="shared" ca="1" si="166"/>
        <v>0</v>
      </c>
      <c r="L577" s="105">
        <f t="shared" ca="1" si="175"/>
        <v>0</v>
      </c>
      <c r="M577" s="105">
        <f t="shared" ca="1" si="167"/>
        <v>0</v>
      </c>
      <c r="N577" s="105">
        <f t="shared" ca="1" si="176"/>
        <v>0</v>
      </c>
      <c r="O577" s="105">
        <f t="shared" ca="1" si="168"/>
        <v>0</v>
      </c>
      <c r="P577" s="105">
        <f t="shared" ca="1" si="169"/>
        <v>0</v>
      </c>
      <c r="Q577" s="105">
        <f t="shared" ca="1" si="170"/>
        <v>0</v>
      </c>
      <c r="R577" s="105">
        <f t="shared" ca="1" si="171"/>
        <v>0</v>
      </c>
      <c r="S577" s="105">
        <f t="shared" ca="1" si="172"/>
        <v>10</v>
      </c>
    </row>
    <row r="578" spans="1:19" x14ac:dyDescent="0.35">
      <c r="A578" s="105">
        <f t="shared" ca="1" si="158"/>
        <v>813.62499999999545</v>
      </c>
      <c r="B578" s="105">
        <f t="shared" ca="1" si="159"/>
        <v>0</v>
      </c>
      <c r="C578" s="105">
        <f t="shared" ca="1" si="160"/>
        <v>2</v>
      </c>
      <c r="D578" s="105">
        <f t="shared" ca="1" si="161"/>
        <v>0</v>
      </c>
      <c r="E578" s="105">
        <f t="shared" ca="1" si="162"/>
        <v>0</v>
      </c>
      <c r="F578" s="105">
        <f t="shared" ca="1" si="163"/>
        <v>0</v>
      </c>
      <c r="G578" s="105">
        <f t="shared" ca="1" si="173"/>
        <v>0</v>
      </c>
      <c r="H578" s="105">
        <f t="shared" ca="1" si="174"/>
        <v>0</v>
      </c>
      <c r="I578" s="105">
        <f t="shared" ca="1" si="164"/>
        <v>0</v>
      </c>
      <c r="J578" s="105">
        <f t="shared" ca="1" si="165"/>
        <v>0</v>
      </c>
      <c r="K578" s="105">
        <f t="shared" ca="1" si="166"/>
        <v>0</v>
      </c>
      <c r="L578" s="105">
        <f t="shared" ca="1" si="175"/>
        <v>0</v>
      </c>
      <c r="M578" s="105">
        <f t="shared" ca="1" si="167"/>
        <v>0</v>
      </c>
      <c r="N578" s="105">
        <f t="shared" ca="1" si="176"/>
        <v>0</v>
      </c>
      <c r="O578" s="105">
        <f t="shared" ca="1" si="168"/>
        <v>0</v>
      </c>
      <c r="P578" s="105">
        <f t="shared" ca="1" si="169"/>
        <v>0</v>
      </c>
      <c r="Q578" s="105">
        <f t="shared" ca="1" si="170"/>
        <v>0</v>
      </c>
      <c r="R578" s="105">
        <f t="shared" ca="1" si="171"/>
        <v>0</v>
      </c>
      <c r="S578" s="105">
        <f t="shared" ca="1" si="172"/>
        <v>10</v>
      </c>
    </row>
    <row r="579" spans="1:19" x14ac:dyDescent="0.35">
      <c r="A579" s="105">
        <f t="shared" ca="1" si="158"/>
        <v>815.03999999999542</v>
      </c>
      <c r="B579" s="105">
        <f t="shared" ca="1" si="159"/>
        <v>0</v>
      </c>
      <c r="C579" s="105">
        <f t="shared" ca="1" si="160"/>
        <v>2</v>
      </c>
      <c r="D579" s="105">
        <f t="shared" ca="1" si="161"/>
        <v>0</v>
      </c>
      <c r="E579" s="105">
        <f t="shared" ca="1" si="162"/>
        <v>0</v>
      </c>
      <c r="F579" s="105">
        <f t="shared" ca="1" si="163"/>
        <v>0</v>
      </c>
      <c r="G579" s="105">
        <f t="shared" ca="1" si="173"/>
        <v>0</v>
      </c>
      <c r="H579" s="105">
        <f t="shared" ca="1" si="174"/>
        <v>0</v>
      </c>
      <c r="I579" s="105">
        <f t="shared" ca="1" si="164"/>
        <v>0</v>
      </c>
      <c r="J579" s="105">
        <f t="shared" ca="1" si="165"/>
        <v>0</v>
      </c>
      <c r="K579" s="105">
        <f t="shared" ca="1" si="166"/>
        <v>0</v>
      </c>
      <c r="L579" s="105">
        <f t="shared" ca="1" si="175"/>
        <v>0</v>
      </c>
      <c r="M579" s="105">
        <f t="shared" ca="1" si="167"/>
        <v>0</v>
      </c>
      <c r="N579" s="105">
        <f t="shared" ca="1" si="176"/>
        <v>0</v>
      </c>
      <c r="O579" s="105">
        <f t="shared" ca="1" si="168"/>
        <v>0</v>
      </c>
      <c r="P579" s="105">
        <f t="shared" ca="1" si="169"/>
        <v>0</v>
      </c>
      <c r="Q579" s="105">
        <f t="shared" ca="1" si="170"/>
        <v>0</v>
      </c>
      <c r="R579" s="105">
        <f t="shared" ca="1" si="171"/>
        <v>0</v>
      </c>
      <c r="S579" s="105">
        <f t="shared" ca="1" si="172"/>
        <v>10</v>
      </c>
    </row>
    <row r="580" spans="1:19" x14ac:dyDescent="0.35">
      <c r="A580" s="105">
        <f t="shared" ref="A580:A635" ca="1" si="177">$V$4+A579</f>
        <v>816.45499999999538</v>
      </c>
      <c r="B580" s="105">
        <f t="shared" ref="B580:B635" ca="1" si="178">IF(AND(A579&gt;$X$1,P579=0,R579=0),0,IF(AND(G579=0,H579=0),"突","")&amp;IF($V$8=0,IF(AND(OR($V$13=0,AND(K579=0,C579&lt;1),AND(K579&gt;0,OR(M579&gt;0,$V$7=0))),$V$6=1,E579=0),"渊","")&amp;IF(AND(OR($V$13=0,AND(K579=0,C579&lt;1),AND(K579&gt;0,OR(M579&gt;0,$V$7=0))),F579=0),"雷","")&amp;IF(AND(C579&gt;0,$V$13=1,E579=0,F579=0,K579=0),"任",IF(AND(G579=1,$V$7=1,I579=0),"乘","循环")),IF(AND($V$6=1,E579=0),"渊","")&amp;IF(AND(OR($V$13=0,AND(K579=0,C579&lt;1),AND(K579&gt;0,OR(M579&gt;0,$V$7=0))),F579=0),"雷","")&amp;IF(AND(C579&gt;0,L579=0,E579=0),"任",IF(AND(G579=1,$V$7=1,I579=0),"乘","循环"))))</f>
        <v>0</v>
      </c>
      <c r="C580" s="105">
        <f t="shared" ref="C580:C635" ca="1" si="179">IF(COUNTIF(B580,"*任*"),C579-1,IF(AND(D579&lt;&gt;0,D579&lt;$V$4),MIN(2,C579+1),C579))</f>
        <v>2</v>
      </c>
      <c r="D580" s="105">
        <f t="shared" ref="D580:D635" ca="1" si="180">IF(AND(D579&lt;$V$4,C579&lt;2),D579+$Y$6-$V$4,IF(AND(C579=2,COUNTIF(B580,"*任*")&gt;0),$Y$6-$V$4,MAX(0,D579-$V$4)))</f>
        <v>0</v>
      </c>
      <c r="E580" s="105">
        <f t="shared" ref="E580:E635" ca="1" si="181">IF(COUNTIF(B580,"*渊*")&gt;0,$Y$8-$V$4,MAX(0,E579-$V$4))</f>
        <v>0</v>
      </c>
      <c r="F580" s="105">
        <f t="shared" ref="F580:F635" ca="1" si="182">IF(COUNTIF(B580,"*雷*")&gt;0,$Y$9-$V$4,MAX(0,F579-$V$4))</f>
        <v>0</v>
      </c>
      <c r="G580" s="105">
        <f t="shared" ca="1" si="173"/>
        <v>0</v>
      </c>
      <c r="H580" s="105">
        <f t="shared" ca="1" si="174"/>
        <v>0</v>
      </c>
      <c r="I580" s="105">
        <f t="shared" ref="I580:I635" ca="1" si="183">IF(COUNTIF(B580,"*乘*")&gt;0,$Y$7-$V$4,MAX(0,I579-$V$4))</f>
        <v>0</v>
      </c>
      <c r="J580" s="105">
        <f t="shared" ref="J580:J635" ca="1" si="184">IF(H579&lt;1,$V$16,MAX(0,J579-1))*$V$11</f>
        <v>0</v>
      </c>
      <c r="K580" s="105">
        <f t="shared" ref="K580:K635" ca="1" si="185">IF(COUNTIF(B580,"*任*")&gt;0,$Z$6-$V$4+0.6875,MAX(0,K579-$V$4))</f>
        <v>0</v>
      </c>
      <c r="L580" s="105">
        <f t="shared" ca="1" si="175"/>
        <v>0</v>
      </c>
      <c r="M580" s="105">
        <f t="shared" ref="M580:M635" ca="1" si="186">IF(COUNTIF(B580,"*乘*")&gt;0,$Z$7-$V$4,MAX(0,M579-$V$4))</f>
        <v>0</v>
      </c>
      <c r="N580" s="105">
        <f t="shared" ca="1" si="176"/>
        <v>0</v>
      </c>
      <c r="O580" s="105">
        <f t="shared" ref="O580:O635" ca="1" si="187">IF(COUNTIF(B580,"*雷*")&gt;0,$Z$9-$V$4,MAX(0,O579-$V$4))</f>
        <v>0</v>
      </c>
      <c r="P580" s="105">
        <f t="shared" ref="P580:P635" ca="1" si="188">IF(O580+O579&gt;0,1,0)</f>
        <v>0</v>
      </c>
      <c r="Q580" s="105">
        <f t="shared" ref="Q580:Q635" ca="1" si="189">IF(COUNTIF(B580,"*渊*")&gt;0,$Z$8-$V$4,MAX(0,Q579-$V$4))</f>
        <v>0</v>
      </c>
      <c r="R580" s="105">
        <f t="shared" ref="R580:R635" ca="1" si="190">IF(Q580+Q579&gt;0,1,0)</f>
        <v>0</v>
      </c>
      <c r="S580" s="105">
        <f t="shared" ref="S580:S635" ca="1" si="191">IF(COUNTIF(B580,"*雷*")&gt;0,S579+1,S579)</f>
        <v>10</v>
      </c>
    </row>
    <row r="581" spans="1:19" x14ac:dyDescent="0.35">
      <c r="A581" s="105">
        <f t="shared" ca="1" si="177"/>
        <v>817.86999999999534</v>
      </c>
      <c r="B581" s="105">
        <f t="shared" ca="1" si="178"/>
        <v>0</v>
      </c>
      <c r="C581" s="105">
        <f t="shared" ca="1" si="179"/>
        <v>2</v>
      </c>
      <c r="D581" s="105">
        <f t="shared" ca="1" si="180"/>
        <v>0</v>
      </c>
      <c r="E581" s="105">
        <f t="shared" ca="1" si="181"/>
        <v>0</v>
      </c>
      <c r="F581" s="105">
        <f t="shared" ca="1" si="182"/>
        <v>0</v>
      </c>
      <c r="G581" s="105">
        <f t="shared" ref="G581:G635" ca="1" si="192">IF(RIGHT(B581,1)="任",1,IF(OR($V$9=0,AND(K580&lt;$V$4,H580=0)),0,G580))</f>
        <v>0</v>
      </c>
      <c r="H581" s="105">
        <f t="shared" ref="H581:H635" ca="1" si="193">IF(COUNTIF(B581,"*突*")&gt;0,$Y$5-$V$4,MAX(0,H580-$V$4))</f>
        <v>0</v>
      </c>
      <c r="I581" s="105">
        <f t="shared" ca="1" si="183"/>
        <v>0</v>
      </c>
      <c r="J581" s="105">
        <f t="shared" ca="1" si="184"/>
        <v>0</v>
      </c>
      <c r="K581" s="105">
        <f t="shared" ca="1" si="185"/>
        <v>0</v>
      </c>
      <c r="L581" s="105">
        <f t="shared" ca="1" si="175"/>
        <v>0</v>
      </c>
      <c r="M581" s="105">
        <f t="shared" ca="1" si="186"/>
        <v>0</v>
      </c>
      <c r="N581" s="105">
        <f t="shared" ca="1" si="176"/>
        <v>0</v>
      </c>
      <c r="O581" s="105">
        <f t="shared" ca="1" si="187"/>
        <v>0</v>
      </c>
      <c r="P581" s="105">
        <f t="shared" ca="1" si="188"/>
        <v>0</v>
      </c>
      <c r="Q581" s="105">
        <f t="shared" ca="1" si="189"/>
        <v>0</v>
      </c>
      <c r="R581" s="105">
        <f t="shared" ca="1" si="190"/>
        <v>0</v>
      </c>
      <c r="S581" s="105">
        <f t="shared" ca="1" si="191"/>
        <v>10</v>
      </c>
    </row>
    <row r="582" spans="1:19" x14ac:dyDescent="0.35">
      <c r="A582" s="105">
        <f t="shared" ca="1" si="177"/>
        <v>819.28499999999531</v>
      </c>
      <c r="B582" s="105">
        <f t="shared" ca="1" si="178"/>
        <v>0</v>
      </c>
      <c r="C582" s="105">
        <f t="shared" ca="1" si="179"/>
        <v>2</v>
      </c>
      <c r="D582" s="105">
        <f t="shared" ca="1" si="180"/>
        <v>0</v>
      </c>
      <c r="E582" s="105">
        <f t="shared" ca="1" si="181"/>
        <v>0</v>
      </c>
      <c r="F582" s="105">
        <f t="shared" ca="1" si="182"/>
        <v>0</v>
      </c>
      <c r="G582" s="105">
        <f t="shared" ca="1" si="192"/>
        <v>0</v>
      </c>
      <c r="H582" s="105">
        <f t="shared" ca="1" si="193"/>
        <v>0</v>
      </c>
      <c r="I582" s="105">
        <f t="shared" ca="1" si="183"/>
        <v>0</v>
      </c>
      <c r="J582" s="105">
        <f t="shared" ca="1" si="184"/>
        <v>0</v>
      </c>
      <c r="K582" s="105">
        <f t="shared" ca="1" si="185"/>
        <v>0</v>
      </c>
      <c r="L582" s="105">
        <f t="shared" ca="1" si="175"/>
        <v>0</v>
      </c>
      <c r="M582" s="105">
        <f t="shared" ca="1" si="186"/>
        <v>0</v>
      </c>
      <c r="N582" s="105">
        <f t="shared" ca="1" si="176"/>
        <v>0</v>
      </c>
      <c r="O582" s="105">
        <f t="shared" ca="1" si="187"/>
        <v>0</v>
      </c>
      <c r="P582" s="105">
        <f t="shared" ca="1" si="188"/>
        <v>0</v>
      </c>
      <c r="Q582" s="105">
        <f t="shared" ca="1" si="189"/>
        <v>0</v>
      </c>
      <c r="R582" s="105">
        <f t="shared" ca="1" si="190"/>
        <v>0</v>
      </c>
      <c r="S582" s="105">
        <f t="shared" ca="1" si="191"/>
        <v>10</v>
      </c>
    </row>
    <row r="583" spans="1:19" x14ac:dyDescent="0.35">
      <c r="A583" s="105">
        <f t="shared" ca="1" si="177"/>
        <v>820.69999999999527</v>
      </c>
      <c r="B583" s="105">
        <f t="shared" ca="1" si="178"/>
        <v>0</v>
      </c>
      <c r="C583" s="105">
        <f t="shared" ca="1" si="179"/>
        <v>2</v>
      </c>
      <c r="D583" s="105">
        <f t="shared" ca="1" si="180"/>
        <v>0</v>
      </c>
      <c r="E583" s="105">
        <f t="shared" ca="1" si="181"/>
        <v>0</v>
      </c>
      <c r="F583" s="105">
        <f t="shared" ca="1" si="182"/>
        <v>0</v>
      </c>
      <c r="G583" s="105">
        <f t="shared" ca="1" si="192"/>
        <v>0</v>
      </c>
      <c r="H583" s="105">
        <f t="shared" ca="1" si="193"/>
        <v>0</v>
      </c>
      <c r="I583" s="105">
        <f t="shared" ca="1" si="183"/>
        <v>0</v>
      </c>
      <c r="J583" s="105">
        <f t="shared" ca="1" si="184"/>
        <v>0</v>
      </c>
      <c r="K583" s="105">
        <f t="shared" ca="1" si="185"/>
        <v>0</v>
      </c>
      <c r="L583" s="105">
        <f t="shared" ca="1" si="175"/>
        <v>0</v>
      </c>
      <c r="M583" s="105">
        <f t="shared" ca="1" si="186"/>
        <v>0</v>
      </c>
      <c r="N583" s="105">
        <f t="shared" ca="1" si="176"/>
        <v>0</v>
      </c>
      <c r="O583" s="105">
        <f t="shared" ca="1" si="187"/>
        <v>0</v>
      </c>
      <c r="P583" s="105">
        <f t="shared" ca="1" si="188"/>
        <v>0</v>
      </c>
      <c r="Q583" s="105">
        <f t="shared" ca="1" si="189"/>
        <v>0</v>
      </c>
      <c r="R583" s="105">
        <f t="shared" ca="1" si="190"/>
        <v>0</v>
      </c>
      <c r="S583" s="105">
        <f t="shared" ca="1" si="191"/>
        <v>10</v>
      </c>
    </row>
    <row r="584" spans="1:19" x14ac:dyDescent="0.35">
      <c r="A584" s="105">
        <f t="shared" ca="1" si="177"/>
        <v>822.11499999999523</v>
      </c>
      <c r="B584" s="105">
        <f t="shared" ca="1" si="178"/>
        <v>0</v>
      </c>
      <c r="C584" s="105">
        <f t="shared" ca="1" si="179"/>
        <v>2</v>
      </c>
      <c r="D584" s="105">
        <f t="shared" ca="1" si="180"/>
        <v>0</v>
      </c>
      <c r="E584" s="105">
        <f t="shared" ca="1" si="181"/>
        <v>0</v>
      </c>
      <c r="F584" s="105">
        <f t="shared" ca="1" si="182"/>
        <v>0</v>
      </c>
      <c r="G584" s="105">
        <f t="shared" ca="1" si="192"/>
        <v>0</v>
      </c>
      <c r="H584" s="105">
        <f t="shared" ca="1" si="193"/>
        <v>0</v>
      </c>
      <c r="I584" s="105">
        <f t="shared" ca="1" si="183"/>
        <v>0</v>
      </c>
      <c r="J584" s="105">
        <f t="shared" ca="1" si="184"/>
        <v>0</v>
      </c>
      <c r="K584" s="105">
        <f t="shared" ca="1" si="185"/>
        <v>0</v>
      </c>
      <c r="L584" s="105">
        <f t="shared" ca="1" si="175"/>
        <v>0</v>
      </c>
      <c r="M584" s="105">
        <f t="shared" ca="1" si="186"/>
        <v>0</v>
      </c>
      <c r="N584" s="105">
        <f t="shared" ca="1" si="176"/>
        <v>0</v>
      </c>
      <c r="O584" s="105">
        <f t="shared" ca="1" si="187"/>
        <v>0</v>
      </c>
      <c r="P584" s="105">
        <f t="shared" ca="1" si="188"/>
        <v>0</v>
      </c>
      <c r="Q584" s="105">
        <f t="shared" ca="1" si="189"/>
        <v>0</v>
      </c>
      <c r="R584" s="105">
        <f t="shared" ca="1" si="190"/>
        <v>0</v>
      </c>
      <c r="S584" s="105">
        <f t="shared" ca="1" si="191"/>
        <v>10</v>
      </c>
    </row>
    <row r="585" spans="1:19" x14ac:dyDescent="0.35">
      <c r="A585" s="105">
        <f t="shared" ca="1" si="177"/>
        <v>823.5299999999952</v>
      </c>
      <c r="B585" s="105">
        <f t="shared" ca="1" si="178"/>
        <v>0</v>
      </c>
      <c r="C585" s="105">
        <f t="shared" ca="1" si="179"/>
        <v>2</v>
      </c>
      <c r="D585" s="105">
        <f t="shared" ca="1" si="180"/>
        <v>0</v>
      </c>
      <c r="E585" s="105">
        <f t="shared" ca="1" si="181"/>
        <v>0</v>
      </c>
      <c r="F585" s="105">
        <f t="shared" ca="1" si="182"/>
        <v>0</v>
      </c>
      <c r="G585" s="105">
        <f t="shared" ca="1" si="192"/>
        <v>0</v>
      </c>
      <c r="H585" s="105">
        <f t="shared" ca="1" si="193"/>
        <v>0</v>
      </c>
      <c r="I585" s="105">
        <f t="shared" ca="1" si="183"/>
        <v>0</v>
      </c>
      <c r="J585" s="105">
        <f t="shared" ca="1" si="184"/>
        <v>0</v>
      </c>
      <c r="K585" s="105">
        <f t="shared" ca="1" si="185"/>
        <v>0</v>
      </c>
      <c r="L585" s="105">
        <f t="shared" ca="1" si="175"/>
        <v>0</v>
      </c>
      <c r="M585" s="105">
        <f t="shared" ca="1" si="186"/>
        <v>0</v>
      </c>
      <c r="N585" s="105">
        <f t="shared" ca="1" si="176"/>
        <v>0</v>
      </c>
      <c r="O585" s="105">
        <f t="shared" ca="1" si="187"/>
        <v>0</v>
      </c>
      <c r="P585" s="105">
        <f t="shared" ca="1" si="188"/>
        <v>0</v>
      </c>
      <c r="Q585" s="105">
        <f t="shared" ca="1" si="189"/>
        <v>0</v>
      </c>
      <c r="R585" s="105">
        <f t="shared" ca="1" si="190"/>
        <v>0</v>
      </c>
      <c r="S585" s="105">
        <f t="shared" ca="1" si="191"/>
        <v>10</v>
      </c>
    </row>
    <row r="586" spans="1:19" x14ac:dyDescent="0.35">
      <c r="A586" s="105">
        <f t="shared" ca="1" si="177"/>
        <v>824.94499999999516</v>
      </c>
      <c r="B586" s="105">
        <f t="shared" ca="1" si="178"/>
        <v>0</v>
      </c>
      <c r="C586" s="105">
        <f t="shared" ca="1" si="179"/>
        <v>2</v>
      </c>
      <c r="D586" s="105">
        <f t="shared" ca="1" si="180"/>
        <v>0</v>
      </c>
      <c r="E586" s="105">
        <f t="shared" ca="1" si="181"/>
        <v>0</v>
      </c>
      <c r="F586" s="105">
        <f t="shared" ca="1" si="182"/>
        <v>0</v>
      </c>
      <c r="G586" s="105">
        <f t="shared" ca="1" si="192"/>
        <v>0</v>
      </c>
      <c r="H586" s="105">
        <f t="shared" ca="1" si="193"/>
        <v>0</v>
      </c>
      <c r="I586" s="105">
        <f t="shared" ca="1" si="183"/>
        <v>0</v>
      </c>
      <c r="J586" s="105">
        <f t="shared" ca="1" si="184"/>
        <v>0</v>
      </c>
      <c r="K586" s="105">
        <f t="shared" ca="1" si="185"/>
        <v>0</v>
      </c>
      <c r="L586" s="105">
        <f t="shared" ca="1" si="175"/>
        <v>0</v>
      </c>
      <c r="M586" s="105">
        <f t="shared" ca="1" si="186"/>
        <v>0</v>
      </c>
      <c r="N586" s="105">
        <f t="shared" ca="1" si="176"/>
        <v>0</v>
      </c>
      <c r="O586" s="105">
        <f t="shared" ca="1" si="187"/>
        <v>0</v>
      </c>
      <c r="P586" s="105">
        <f t="shared" ca="1" si="188"/>
        <v>0</v>
      </c>
      <c r="Q586" s="105">
        <f t="shared" ca="1" si="189"/>
        <v>0</v>
      </c>
      <c r="R586" s="105">
        <f t="shared" ca="1" si="190"/>
        <v>0</v>
      </c>
      <c r="S586" s="105">
        <f t="shared" ca="1" si="191"/>
        <v>10</v>
      </c>
    </row>
    <row r="587" spans="1:19" x14ac:dyDescent="0.35">
      <c r="A587" s="105">
        <f t="shared" ca="1" si="177"/>
        <v>826.35999999999513</v>
      </c>
      <c r="B587" s="105">
        <f t="shared" ca="1" si="178"/>
        <v>0</v>
      </c>
      <c r="C587" s="105">
        <f t="shared" ca="1" si="179"/>
        <v>2</v>
      </c>
      <c r="D587" s="105">
        <f t="shared" ca="1" si="180"/>
        <v>0</v>
      </c>
      <c r="E587" s="105">
        <f t="shared" ca="1" si="181"/>
        <v>0</v>
      </c>
      <c r="F587" s="105">
        <f t="shared" ca="1" si="182"/>
        <v>0</v>
      </c>
      <c r="G587" s="105">
        <f t="shared" ca="1" si="192"/>
        <v>0</v>
      </c>
      <c r="H587" s="105">
        <f t="shared" ca="1" si="193"/>
        <v>0</v>
      </c>
      <c r="I587" s="105">
        <f t="shared" ca="1" si="183"/>
        <v>0</v>
      </c>
      <c r="J587" s="105">
        <f t="shared" ca="1" si="184"/>
        <v>0</v>
      </c>
      <c r="K587" s="105">
        <f t="shared" ca="1" si="185"/>
        <v>0</v>
      </c>
      <c r="L587" s="105">
        <f t="shared" ca="1" si="175"/>
        <v>0</v>
      </c>
      <c r="M587" s="105">
        <f t="shared" ca="1" si="186"/>
        <v>0</v>
      </c>
      <c r="N587" s="105">
        <f t="shared" ca="1" si="176"/>
        <v>0</v>
      </c>
      <c r="O587" s="105">
        <f t="shared" ca="1" si="187"/>
        <v>0</v>
      </c>
      <c r="P587" s="105">
        <f t="shared" ca="1" si="188"/>
        <v>0</v>
      </c>
      <c r="Q587" s="105">
        <f t="shared" ca="1" si="189"/>
        <v>0</v>
      </c>
      <c r="R587" s="105">
        <f t="shared" ca="1" si="190"/>
        <v>0</v>
      </c>
      <c r="S587" s="105">
        <f t="shared" ca="1" si="191"/>
        <v>10</v>
      </c>
    </row>
    <row r="588" spans="1:19" x14ac:dyDescent="0.35">
      <c r="A588" s="105">
        <f t="shared" ca="1" si="177"/>
        <v>827.77499999999509</v>
      </c>
      <c r="B588" s="105">
        <f t="shared" ca="1" si="178"/>
        <v>0</v>
      </c>
      <c r="C588" s="105">
        <f t="shared" ca="1" si="179"/>
        <v>2</v>
      </c>
      <c r="D588" s="105">
        <f t="shared" ca="1" si="180"/>
        <v>0</v>
      </c>
      <c r="E588" s="105">
        <f t="shared" ca="1" si="181"/>
        <v>0</v>
      </c>
      <c r="F588" s="105">
        <f t="shared" ca="1" si="182"/>
        <v>0</v>
      </c>
      <c r="G588" s="105">
        <f t="shared" ca="1" si="192"/>
        <v>0</v>
      </c>
      <c r="H588" s="105">
        <f t="shared" ca="1" si="193"/>
        <v>0</v>
      </c>
      <c r="I588" s="105">
        <f t="shared" ca="1" si="183"/>
        <v>0</v>
      </c>
      <c r="J588" s="105">
        <f t="shared" ca="1" si="184"/>
        <v>0</v>
      </c>
      <c r="K588" s="105">
        <f t="shared" ca="1" si="185"/>
        <v>0</v>
      </c>
      <c r="L588" s="105">
        <f t="shared" ca="1" si="175"/>
        <v>0</v>
      </c>
      <c r="M588" s="105">
        <f t="shared" ca="1" si="186"/>
        <v>0</v>
      </c>
      <c r="N588" s="105">
        <f t="shared" ca="1" si="176"/>
        <v>0</v>
      </c>
      <c r="O588" s="105">
        <f t="shared" ca="1" si="187"/>
        <v>0</v>
      </c>
      <c r="P588" s="105">
        <f t="shared" ca="1" si="188"/>
        <v>0</v>
      </c>
      <c r="Q588" s="105">
        <f t="shared" ca="1" si="189"/>
        <v>0</v>
      </c>
      <c r="R588" s="105">
        <f t="shared" ca="1" si="190"/>
        <v>0</v>
      </c>
      <c r="S588" s="105">
        <f t="shared" ca="1" si="191"/>
        <v>10</v>
      </c>
    </row>
    <row r="589" spans="1:19" x14ac:dyDescent="0.35">
      <c r="A589" s="105">
        <f t="shared" ca="1" si="177"/>
        <v>829.18999999999505</v>
      </c>
      <c r="B589" s="105">
        <f t="shared" ca="1" si="178"/>
        <v>0</v>
      </c>
      <c r="C589" s="105">
        <f t="shared" ca="1" si="179"/>
        <v>2</v>
      </c>
      <c r="D589" s="105">
        <f t="shared" ca="1" si="180"/>
        <v>0</v>
      </c>
      <c r="E589" s="105">
        <f t="shared" ca="1" si="181"/>
        <v>0</v>
      </c>
      <c r="F589" s="105">
        <f t="shared" ca="1" si="182"/>
        <v>0</v>
      </c>
      <c r="G589" s="105">
        <f t="shared" ca="1" si="192"/>
        <v>0</v>
      </c>
      <c r="H589" s="105">
        <f t="shared" ca="1" si="193"/>
        <v>0</v>
      </c>
      <c r="I589" s="105">
        <f t="shared" ca="1" si="183"/>
        <v>0</v>
      </c>
      <c r="J589" s="105">
        <f t="shared" ca="1" si="184"/>
        <v>0</v>
      </c>
      <c r="K589" s="105">
        <f t="shared" ca="1" si="185"/>
        <v>0</v>
      </c>
      <c r="L589" s="105">
        <f t="shared" ca="1" si="175"/>
        <v>0</v>
      </c>
      <c r="M589" s="105">
        <f t="shared" ca="1" si="186"/>
        <v>0</v>
      </c>
      <c r="N589" s="105">
        <f t="shared" ca="1" si="176"/>
        <v>0</v>
      </c>
      <c r="O589" s="105">
        <f t="shared" ca="1" si="187"/>
        <v>0</v>
      </c>
      <c r="P589" s="105">
        <f t="shared" ca="1" si="188"/>
        <v>0</v>
      </c>
      <c r="Q589" s="105">
        <f t="shared" ca="1" si="189"/>
        <v>0</v>
      </c>
      <c r="R589" s="105">
        <f t="shared" ca="1" si="190"/>
        <v>0</v>
      </c>
      <c r="S589" s="105">
        <f t="shared" ca="1" si="191"/>
        <v>10</v>
      </c>
    </row>
    <row r="590" spans="1:19" x14ac:dyDescent="0.35">
      <c r="A590" s="105">
        <f t="shared" ca="1" si="177"/>
        <v>830.60499999999502</v>
      </c>
      <c r="B590" s="105">
        <f t="shared" ca="1" si="178"/>
        <v>0</v>
      </c>
      <c r="C590" s="105">
        <f t="shared" ca="1" si="179"/>
        <v>2</v>
      </c>
      <c r="D590" s="105">
        <f t="shared" ca="1" si="180"/>
        <v>0</v>
      </c>
      <c r="E590" s="105">
        <f t="shared" ca="1" si="181"/>
        <v>0</v>
      </c>
      <c r="F590" s="105">
        <f t="shared" ca="1" si="182"/>
        <v>0</v>
      </c>
      <c r="G590" s="105">
        <f t="shared" ca="1" si="192"/>
        <v>0</v>
      </c>
      <c r="H590" s="105">
        <f t="shared" ca="1" si="193"/>
        <v>0</v>
      </c>
      <c r="I590" s="105">
        <f t="shared" ca="1" si="183"/>
        <v>0</v>
      </c>
      <c r="J590" s="105">
        <f t="shared" ca="1" si="184"/>
        <v>0</v>
      </c>
      <c r="K590" s="105">
        <f t="shared" ca="1" si="185"/>
        <v>0</v>
      </c>
      <c r="L590" s="105">
        <f t="shared" ca="1" si="175"/>
        <v>0</v>
      </c>
      <c r="M590" s="105">
        <f t="shared" ca="1" si="186"/>
        <v>0</v>
      </c>
      <c r="N590" s="105">
        <f t="shared" ca="1" si="176"/>
        <v>0</v>
      </c>
      <c r="O590" s="105">
        <f t="shared" ca="1" si="187"/>
        <v>0</v>
      </c>
      <c r="P590" s="105">
        <f t="shared" ca="1" si="188"/>
        <v>0</v>
      </c>
      <c r="Q590" s="105">
        <f t="shared" ca="1" si="189"/>
        <v>0</v>
      </c>
      <c r="R590" s="105">
        <f t="shared" ca="1" si="190"/>
        <v>0</v>
      </c>
      <c r="S590" s="105">
        <f t="shared" ca="1" si="191"/>
        <v>10</v>
      </c>
    </row>
    <row r="591" spans="1:19" x14ac:dyDescent="0.35">
      <c r="A591" s="105">
        <f t="shared" ca="1" si="177"/>
        <v>832.01999999999498</v>
      </c>
      <c r="B591" s="105">
        <f t="shared" ca="1" si="178"/>
        <v>0</v>
      </c>
      <c r="C591" s="105">
        <f t="shared" ca="1" si="179"/>
        <v>2</v>
      </c>
      <c r="D591" s="105">
        <f t="shared" ca="1" si="180"/>
        <v>0</v>
      </c>
      <c r="E591" s="105">
        <f t="shared" ca="1" si="181"/>
        <v>0</v>
      </c>
      <c r="F591" s="105">
        <f t="shared" ca="1" si="182"/>
        <v>0</v>
      </c>
      <c r="G591" s="105">
        <f t="shared" ca="1" si="192"/>
        <v>0</v>
      </c>
      <c r="H591" s="105">
        <f t="shared" ca="1" si="193"/>
        <v>0</v>
      </c>
      <c r="I591" s="105">
        <f t="shared" ca="1" si="183"/>
        <v>0</v>
      </c>
      <c r="J591" s="105">
        <f t="shared" ca="1" si="184"/>
        <v>0</v>
      </c>
      <c r="K591" s="105">
        <f t="shared" ca="1" si="185"/>
        <v>0</v>
      </c>
      <c r="L591" s="105">
        <f t="shared" ca="1" si="175"/>
        <v>0</v>
      </c>
      <c r="M591" s="105">
        <f t="shared" ca="1" si="186"/>
        <v>0</v>
      </c>
      <c r="N591" s="105">
        <f t="shared" ca="1" si="176"/>
        <v>0</v>
      </c>
      <c r="O591" s="105">
        <f t="shared" ca="1" si="187"/>
        <v>0</v>
      </c>
      <c r="P591" s="105">
        <f t="shared" ca="1" si="188"/>
        <v>0</v>
      </c>
      <c r="Q591" s="105">
        <f t="shared" ca="1" si="189"/>
        <v>0</v>
      </c>
      <c r="R591" s="105">
        <f t="shared" ca="1" si="190"/>
        <v>0</v>
      </c>
      <c r="S591" s="105">
        <f t="shared" ca="1" si="191"/>
        <v>10</v>
      </c>
    </row>
    <row r="592" spans="1:19" x14ac:dyDescent="0.35">
      <c r="A592" s="105">
        <f t="shared" ca="1" si="177"/>
        <v>833.43499999999494</v>
      </c>
      <c r="B592" s="105">
        <f t="shared" ca="1" si="178"/>
        <v>0</v>
      </c>
      <c r="C592" s="105">
        <f t="shared" ca="1" si="179"/>
        <v>2</v>
      </c>
      <c r="D592" s="105">
        <f t="shared" ca="1" si="180"/>
        <v>0</v>
      </c>
      <c r="E592" s="105">
        <f t="shared" ca="1" si="181"/>
        <v>0</v>
      </c>
      <c r="F592" s="105">
        <f t="shared" ca="1" si="182"/>
        <v>0</v>
      </c>
      <c r="G592" s="105">
        <f t="shared" ca="1" si="192"/>
        <v>0</v>
      </c>
      <c r="H592" s="105">
        <f t="shared" ca="1" si="193"/>
        <v>0</v>
      </c>
      <c r="I592" s="105">
        <f t="shared" ca="1" si="183"/>
        <v>0</v>
      </c>
      <c r="J592" s="105">
        <f t="shared" ca="1" si="184"/>
        <v>0</v>
      </c>
      <c r="K592" s="105">
        <f t="shared" ca="1" si="185"/>
        <v>0</v>
      </c>
      <c r="L592" s="105">
        <f t="shared" ca="1" si="175"/>
        <v>0</v>
      </c>
      <c r="M592" s="105">
        <f t="shared" ca="1" si="186"/>
        <v>0</v>
      </c>
      <c r="N592" s="105">
        <f t="shared" ca="1" si="176"/>
        <v>0</v>
      </c>
      <c r="O592" s="105">
        <f t="shared" ca="1" si="187"/>
        <v>0</v>
      </c>
      <c r="P592" s="105">
        <f t="shared" ca="1" si="188"/>
        <v>0</v>
      </c>
      <c r="Q592" s="105">
        <f t="shared" ca="1" si="189"/>
        <v>0</v>
      </c>
      <c r="R592" s="105">
        <f t="shared" ca="1" si="190"/>
        <v>0</v>
      </c>
      <c r="S592" s="105">
        <f t="shared" ca="1" si="191"/>
        <v>10</v>
      </c>
    </row>
    <row r="593" spans="1:19" x14ac:dyDescent="0.35">
      <c r="A593" s="105">
        <f t="shared" ca="1" si="177"/>
        <v>834.84999999999491</v>
      </c>
      <c r="B593" s="105">
        <f t="shared" ca="1" si="178"/>
        <v>0</v>
      </c>
      <c r="C593" s="105">
        <f t="shared" ca="1" si="179"/>
        <v>2</v>
      </c>
      <c r="D593" s="105">
        <f t="shared" ca="1" si="180"/>
        <v>0</v>
      </c>
      <c r="E593" s="105">
        <f t="shared" ca="1" si="181"/>
        <v>0</v>
      </c>
      <c r="F593" s="105">
        <f t="shared" ca="1" si="182"/>
        <v>0</v>
      </c>
      <c r="G593" s="105">
        <f t="shared" ca="1" si="192"/>
        <v>0</v>
      </c>
      <c r="H593" s="105">
        <f t="shared" ca="1" si="193"/>
        <v>0</v>
      </c>
      <c r="I593" s="105">
        <f t="shared" ca="1" si="183"/>
        <v>0</v>
      </c>
      <c r="J593" s="105">
        <f t="shared" ca="1" si="184"/>
        <v>0</v>
      </c>
      <c r="K593" s="105">
        <f t="shared" ca="1" si="185"/>
        <v>0</v>
      </c>
      <c r="L593" s="105">
        <f t="shared" ca="1" si="175"/>
        <v>0</v>
      </c>
      <c r="M593" s="105">
        <f t="shared" ca="1" si="186"/>
        <v>0</v>
      </c>
      <c r="N593" s="105">
        <f t="shared" ca="1" si="176"/>
        <v>0</v>
      </c>
      <c r="O593" s="105">
        <f t="shared" ca="1" si="187"/>
        <v>0</v>
      </c>
      <c r="P593" s="105">
        <f t="shared" ca="1" si="188"/>
        <v>0</v>
      </c>
      <c r="Q593" s="105">
        <f t="shared" ca="1" si="189"/>
        <v>0</v>
      </c>
      <c r="R593" s="105">
        <f t="shared" ca="1" si="190"/>
        <v>0</v>
      </c>
      <c r="S593" s="105">
        <f t="shared" ca="1" si="191"/>
        <v>10</v>
      </c>
    </row>
    <row r="594" spans="1:19" x14ac:dyDescent="0.35">
      <c r="A594" s="105">
        <f t="shared" ca="1" si="177"/>
        <v>836.26499999999487</v>
      </c>
      <c r="B594" s="105">
        <f t="shared" ca="1" si="178"/>
        <v>0</v>
      </c>
      <c r="C594" s="105">
        <f t="shared" ca="1" si="179"/>
        <v>2</v>
      </c>
      <c r="D594" s="105">
        <f t="shared" ca="1" si="180"/>
        <v>0</v>
      </c>
      <c r="E594" s="105">
        <f t="shared" ca="1" si="181"/>
        <v>0</v>
      </c>
      <c r="F594" s="105">
        <f t="shared" ca="1" si="182"/>
        <v>0</v>
      </c>
      <c r="G594" s="105">
        <f t="shared" ca="1" si="192"/>
        <v>0</v>
      </c>
      <c r="H594" s="105">
        <f t="shared" ca="1" si="193"/>
        <v>0</v>
      </c>
      <c r="I594" s="105">
        <f t="shared" ca="1" si="183"/>
        <v>0</v>
      </c>
      <c r="J594" s="105">
        <f t="shared" ca="1" si="184"/>
        <v>0</v>
      </c>
      <c r="K594" s="105">
        <f t="shared" ca="1" si="185"/>
        <v>0</v>
      </c>
      <c r="L594" s="105">
        <f t="shared" ca="1" si="175"/>
        <v>0</v>
      </c>
      <c r="M594" s="105">
        <f t="shared" ca="1" si="186"/>
        <v>0</v>
      </c>
      <c r="N594" s="105">
        <f t="shared" ca="1" si="176"/>
        <v>0</v>
      </c>
      <c r="O594" s="105">
        <f t="shared" ca="1" si="187"/>
        <v>0</v>
      </c>
      <c r="P594" s="105">
        <f t="shared" ca="1" si="188"/>
        <v>0</v>
      </c>
      <c r="Q594" s="105">
        <f t="shared" ca="1" si="189"/>
        <v>0</v>
      </c>
      <c r="R594" s="105">
        <f t="shared" ca="1" si="190"/>
        <v>0</v>
      </c>
      <c r="S594" s="105">
        <f t="shared" ca="1" si="191"/>
        <v>10</v>
      </c>
    </row>
    <row r="595" spans="1:19" x14ac:dyDescent="0.35">
      <c r="A595" s="105">
        <f t="shared" ca="1" si="177"/>
        <v>837.67999999999483</v>
      </c>
      <c r="B595" s="105">
        <f t="shared" ca="1" si="178"/>
        <v>0</v>
      </c>
      <c r="C595" s="105">
        <f t="shared" ca="1" si="179"/>
        <v>2</v>
      </c>
      <c r="D595" s="105">
        <f t="shared" ca="1" si="180"/>
        <v>0</v>
      </c>
      <c r="E595" s="105">
        <f t="shared" ca="1" si="181"/>
        <v>0</v>
      </c>
      <c r="F595" s="105">
        <f t="shared" ca="1" si="182"/>
        <v>0</v>
      </c>
      <c r="G595" s="105">
        <f t="shared" ca="1" si="192"/>
        <v>0</v>
      </c>
      <c r="H595" s="105">
        <f t="shared" ca="1" si="193"/>
        <v>0</v>
      </c>
      <c r="I595" s="105">
        <f t="shared" ca="1" si="183"/>
        <v>0</v>
      </c>
      <c r="J595" s="105">
        <f t="shared" ca="1" si="184"/>
        <v>0</v>
      </c>
      <c r="K595" s="105">
        <f t="shared" ca="1" si="185"/>
        <v>0</v>
      </c>
      <c r="L595" s="105">
        <f t="shared" ca="1" si="175"/>
        <v>0</v>
      </c>
      <c r="M595" s="105">
        <f t="shared" ca="1" si="186"/>
        <v>0</v>
      </c>
      <c r="N595" s="105">
        <f t="shared" ca="1" si="176"/>
        <v>0</v>
      </c>
      <c r="O595" s="105">
        <f t="shared" ca="1" si="187"/>
        <v>0</v>
      </c>
      <c r="P595" s="105">
        <f t="shared" ca="1" si="188"/>
        <v>0</v>
      </c>
      <c r="Q595" s="105">
        <f t="shared" ca="1" si="189"/>
        <v>0</v>
      </c>
      <c r="R595" s="105">
        <f t="shared" ca="1" si="190"/>
        <v>0</v>
      </c>
      <c r="S595" s="105">
        <f t="shared" ca="1" si="191"/>
        <v>10</v>
      </c>
    </row>
    <row r="596" spans="1:19" x14ac:dyDescent="0.35">
      <c r="A596" s="105">
        <f t="shared" ca="1" si="177"/>
        <v>839.0949999999948</v>
      </c>
      <c r="B596" s="105">
        <f t="shared" ca="1" si="178"/>
        <v>0</v>
      </c>
      <c r="C596" s="105">
        <f t="shared" ca="1" si="179"/>
        <v>2</v>
      </c>
      <c r="D596" s="105">
        <f t="shared" ca="1" si="180"/>
        <v>0</v>
      </c>
      <c r="E596" s="105">
        <f t="shared" ca="1" si="181"/>
        <v>0</v>
      </c>
      <c r="F596" s="105">
        <f t="shared" ca="1" si="182"/>
        <v>0</v>
      </c>
      <c r="G596" s="105">
        <f t="shared" ca="1" si="192"/>
        <v>0</v>
      </c>
      <c r="H596" s="105">
        <f t="shared" ca="1" si="193"/>
        <v>0</v>
      </c>
      <c r="I596" s="105">
        <f t="shared" ca="1" si="183"/>
        <v>0</v>
      </c>
      <c r="J596" s="105">
        <f t="shared" ca="1" si="184"/>
        <v>0</v>
      </c>
      <c r="K596" s="105">
        <f t="shared" ca="1" si="185"/>
        <v>0</v>
      </c>
      <c r="L596" s="105">
        <f t="shared" ca="1" si="175"/>
        <v>0</v>
      </c>
      <c r="M596" s="105">
        <f t="shared" ca="1" si="186"/>
        <v>0</v>
      </c>
      <c r="N596" s="105">
        <f t="shared" ca="1" si="176"/>
        <v>0</v>
      </c>
      <c r="O596" s="105">
        <f t="shared" ca="1" si="187"/>
        <v>0</v>
      </c>
      <c r="P596" s="105">
        <f t="shared" ca="1" si="188"/>
        <v>0</v>
      </c>
      <c r="Q596" s="105">
        <f t="shared" ca="1" si="189"/>
        <v>0</v>
      </c>
      <c r="R596" s="105">
        <f t="shared" ca="1" si="190"/>
        <v>0</v>
      </c>
      <c r="S596" s="105">
        <f t="shared" ca="1" si="191"/>
        <v>10</v>
      </c>
    </row>
    <row r="597" spans="1:19" x14ac:dyDescent="0.35">
      <c r="A597" s="105">
        <f t="shared" ca="1" si="177"/>
        <v>840.50999999999476</v>
      </c>
      <c r="B597" s="105">
        <f t="shared" ca="1" si="178"/>
        <v>0</v>
      </c>
      <c r="C597" s="105">
        <f t="shared" ca="1" si="179"/>
        <v>2</v>
      </c>
      <c r="D597" s="105">
        <f t="shared" ca="1" si="180"/>
        <v>0</v>
      </c>
      <c r="E597" s="105">
        <f t="shared" ca="1" si="181"/>
        <v>0</v>
      </c>
      <c r="F597" s="105">
        <f t="shared" ca="1" si="182"/>
        <v>0</v>
      </c>
      <c r="G597" s="105">
        <f t="shared" ca="1" si="192"/>
        <v>0</v>
      </c>
      <c r="H597" s="105">
        <f t="shared" ca="1" si="193"/>
        <v>0</v>
      </c>
      <c r="I597" s="105">
        <f t="shared" ca="1" si="183"/>
        <v>0</v>
      </c>
      <c r="J597" s="105">
        <f t="shared" ca="1" si="184"/>
        <v>0</v>
      </c>
      <c r="K597" s="105">
        <f t="shared" ca="1" si="185"/>
        <v>0</v>
      </c>
      <c r="L597" s="105">
        <f t="shared" ca="1" si="175"/>
        <v>0</v>
      </c>
      <c r="M597" s="105">
        <f t="shared" ca="1" si="186"/>
        <v>0</v>
      </c>
      <c r="N597" s="105">
        <f t="shared" ca="1" si="176"/>
        <v>0</v>
      </c>
      <c r="O597" s="105">
        <f t="shared" ca="1" si="187"/>
        <v>0</v>
      </c>
      <c r="P597" s="105">
        <f t="shared" ca="1" si="188"/>
        <v>0</v>
      </c>
      <c r="Q597" s="105">
        <f t="shared" ca="1" si="189"/>
        <v>0</v>
      </c>
      <c r="R597" s="105">
        <f t="shared" ca="1" si="190"/>
        <v>0</v>
      </c>
      <c r="S597" s="105">
        <f t="shared" ca="1" si="191"/>
        <v>10</v>
      </c>
    </row>
    <row r="598" spans="1:19" x14ac:dyDescent="0.35">
      <c r="A598" s="105">
        <f t="shared" ca="1" si="177"/>
        <v>841.92499999999472</v>
      </c>
      <c r="B598" s="105">
        <f t="shared" ca="1" si="178"/>
        <v>0</v>
      </c>
      <c r="C598" s="105">
        <f t="shared" ca="1" si="179"/>
        <v>2</v>
      </c>
      <c r="D598" s="105">
        <f t="shared" ca="1" si="180"/>
        <v>0</v>
      </c>
      <c r="E598" s="105">
        <f t="shared" ca="1" si="181"/>
        <v>0</v>
      </c>
      <c r="F598" s="105">
        <f t="shared" ca="1" si="182"/>
        <v>0</v>
      </c>
      <c r="G598" s="105">
        <f t="shared" ca="1" si="192"/>
        <v>0</v>
      </c>
      <c r="H598" s="105">
        <f t="shared" ca="1" si="193"/>
        <v>0</v>
      </c>
      <c r="I598" s="105">
        <f t="shared" ca="1" si="183"/>
        <v>0</v>
      </c>
      <c r="J598" s="105">
        <f t="shared" ca="1" si="184"/>
        <v>0</v>
      </c>
      <c r="K598" s="105">
        <f t="shared" ca="1" si="185"/>
        <v>0</v>
      </c>
      <c r="L598" s="105">
        <f t="shared" ca="1" si="175"/>
        <v>0</v>
      </c>
      <c r="M598" s="105">
        <f t="shared" ca="1" si="186"/>
        <v>0</v>
      </c>
      <c r="N598" s="105">
        <f t="shared" ca="1" si="176"/>
        <v>0</v>
      </c>
      <c r="O598" s="105">
        <f t="shared" ca="1" si="187"/>
        <v>0</v>
      </c>
      <c r="P598" s="105">
        <f t="shared" ca="1" si="188"/>
        <v>0</v>
      </c>
      <c r="Q598" s="105">
        <f t="shared" ca="1" si="189"/>
        <v>0</v>
      </c>
      <c r="R598" s="105">
        <f t="shared" ca="1" si="190"/>
        <v>0</v>
      </c>
      <c r="S598" s="105">
        <f t="shared" ca="1" si="191"/>
        <v>10</v>
      </c>
    </row>
    <row r="599" spans="1:19" x14ac:dyDescent="0.35">
      <c r="A599" s="105">
        <f t="shared" ca="1" si="177"/>
        <v>843.33999999999469</v>
      </c>
      <c r="B599" s="105">
        <f t="shared" ca="1" si="178"/>
        <v>0</v>
      </c>
      <c r="C599" s="105">
        <f t="shared" ca="1" si="179"/>
        <v>2</v>
      </c>
      <c r="D599" s="105">
        <f t="shared" ca="1" si="180"/>
        <v>0</v>
      </c>
      <c r="E599" s="105">
        <f t="shared" ca="1" si="181"/>
        <v>0</v>
      </c>
      <c r="F599" s="105">
        <f t="shared" ca="1" si="182"/>
        <v>0</v>
      </c>
      <c r="G599" s="105">
        <f t="shared" ca="1" si="192"/>
        <v>0</v>
      </c>
      <c r="H599" s="105">
        <f t="shared" ca="1" si="193"/>
        <v>0</v>
      </c>
      <c r="I599" s="105">
        <f t="shared" ca="1" si="183"/>
        <v>0</v>
      </c>
      <c r="J599" s="105">
        <f t="shared" ca="1" si="184"/>
        <v>0</v>
      </c>
      <c r="K599" s="105">
        <f t="shared" ca="1" si="185"/>
        <v>0</v>
      </c>
      <c r="L599" s="105">
        <f t="shared" ca="1" si="175"/>
        <v>0</v>
      </c>
      <c r="M599" s="105">
        <f t="shared" ca="1" si="186"/>
        <v>0</v>
      </c>
      <c r="N599" s="105">
        <f t="shared" ca="1" si="176"/>
        <v>0</v>
      </c>
      <c r="O599" s="105">
        <f t="shared" ca="1" si="187"/>
        <v>0</v>
      </c>
      <c r="P599" s="105">
        <f t="shared" ca="1" si="188"/>
        <v>0</v>
      </c>
      <c r="Q599" s="105">
        <f t="shared" ca="1" si="189"/>
        <v>0</v>
      </c>
      <c r="R599" s="105">
        <f t="shared" ca="1" si="190"/>
        <v>0</v>
      </c>
      <c r="S599" s="105">
        <f t="shared" ca="1" si="191"/>
        <v>10</v>
      </c>
    </row>
    <row r="600" spans="1:19" x14ac:dyDescent="0.35">
      <c r="A600" s="105">
        <f t="shared" ca="1" si="177"/>
        <v>844.75499999999465</v>
      </c>
      <c r="B600" s="105">
        <f t="shared" ca="1" si="178"/>
        <v>0</v>
      </c>
      <c r="C600" s="105">
        <f t="shared" ca="1" si="179"/>
        <v>2</v>
      </c>
      <c r="D600" s="105">
        <f t="shared" ca="1" si="180"/>
        <v>0</v>
      </c>
      <c r="E600" s="105">
        <f t="shared" ca="1" si="181"/>
        <v>0</v>
      </c>
      <c r="F600" s="105">
        <f t="shared" ca="1" si="182"/>
        <v>0</v>
      </c>
      <c r="G600" s="105">
        <f t="shared" ca="1" si="192"/>
        <v>0</v>
      </c>
      <c r="H600" s="105">
        <f t="shared" ca="1" si="193"/>
        <v>0</v>
      </c>
      <c r="I600" s="105">
        <f t="shared" ca="1" si="183"/>
        <v>0</v>
      </c>
      <c r="J600" s="105">
        <f t="shared" ca="1" si="184"/>
        <v>0</v>
      </c>
      <c r="K600" s="105">
        <f t="shared" ca="1" si="185"/>
        <v>0</v>
      </c>
      <c r="L600" s="105">
        <f t="shared" ref="L600:L635" ca="1" si="194">IF(K600+K599&gt;0,1,0)</f>
        <v>0</v>
      </c>
      <c r="M600" s="105">
        <f t="shared" ca="1" si="186"/>
        <v>0</v>
      </c>
      <c r="N600" s="105">
        <f t="shared" ref="N600:N635" ca="1" si="195">IF(M600+M599&gt;0,1,0)</f>
        <v>0</v>
      </c>
      <c r="O600" s="105">
        <f t="shared" ca="1" si="187"/>
        <v>0</v>
      </c>
      <c r="P600" s="105">
        <f t="shared" ca="1" si="188"/>
        <v>0</v>
      </c>
      <c r="Q600" s="105">
        <f t="shared" ca="1" si="189"/>
        <v>0</v>
      </c>
      <c r="R600" s="105">
        <f t="shared" ca="1" si="190"/>
        <v>0</v>
      </c>
      <c r="S600" s="105">
        <f t="shared" ca="1" si="191"/>
        <v>10</v>
      </c>
    </row>
    <row r="601" spans="1:19" x14ac:dyDescent="0.35">
      <c r="A601" s="105">
        <f t="shared" ca="1" si="177"/>
        <v>846.16999999999462</v>
      </c>
      <c r="B601" s="105">
        <f t="shared" ca="1" si="178"/>
        <v>0</v>
      </c>
      <c r="C601" s="105">
        <f t="shared" ca="1" si="179"/>
        <v>2</v>
      </c>
      <c r="D601" s="105">
        <f t="shared" ca="1" si="180"/>
        <v>0</v>
      </c>
      <c r="E601" s="105">
        <f t="shared" ca="1" si="181"/>
        <v>0</v>
      </c>
      <c r="F601" s="105">
        <f t="shared" ca="1" si="182"/>
        <v>0</v>
      </c>
      <c r="G601" s="105">
        <f t="shared" ca="1" si="192"/>
        <v>0</v>
      </c>
      <c r="H601" s="105">
        <f t="shared" ca="1" si="193"/>
        <v>0</v>
      </c>
      <c r="I601" s="105">
        <f t="shared" ca="1" si="183"/>
        <v>0</v>
      </c>
      <c r="J601" s="105">
        <f t="shared" ca="1" si="184"/>
        <v>0</v>
      </c>
      <c r="K601" s="105">
        <f t="shared" ca="1" si="185"/>
        <v>0</v>
      </c>
      <c r="L601" s="105">
        <f t="shared" ca="1" si="194"/>
        <v>0</v>
      </c>
      <c r="M601" s="105">
        <f t="shared" ca="1" si="186"/>
        <v>0</v>
      </c>
      <c r="N601" s="105">
        <f t="shared" ca="1" si="195"/>
        <v>0</v>
      </c>
      <c r="O601" s="105">
        <f t="shared" ca="1" si="187"/>
        <v>0</v>
      </c>
      <c r="P601" s="105">
        <f t="shared" ca="1" si="188"/>
        <v>0</v>
      </c>
      <c r="Q601" s="105">
        <f t="shared" ca="1" si="189"/>
        <v>0</v>
      </c>
      <c r="R601" s="105">
        <f t="shared" ca="1" si="190"/>
        <v>0</v>
      </c>
      <c r="S601" s="105">
        <f t="shared" ca="1" si="191"/>
        <v>10</v>
      </c>
    </row>
    <row r="602" spans="1:19" x14ac:dyDescent="0.35">
      <c r="A602" s="105">
        <f t="shared" ca="1" si="177"/>
        <v>847.58499999999458</v>
      </c>
      <c r="B602" s="105">
        <f t="shared" ca="1" si="178"/>
        <v>0</v>
      </c>
      <c r="C602" s="105">
        <f t="shared" ca="1" si="179"/>
        <v>2</v>
      </c>
      <c r="D602" s="105">
        <f t="shared" ca="1" si="180"/>
        <v>0</v>
      </c>
      <c r="E602" s="105">
        <f t="shared" ca="1" si="181"/>
        <v>0</v>
      </c>
      <c r="F602" s="105">
        <f t="shared" ca="1" si="182"/>
        <v>0</v>
      </c>
      <c r="G602" s="105">
        <f t="shared" ca="1" si="192"/>
        <v>0</v>
      </c>
      <c r="H602" s="105">
        <f t="shared" ca="1" si="193"/>
        <v>0</v>
      </c>
      <c r="I602" s="105">
        <f t="shared" ca="1" si="183"/>
        <v>0</v>
      </c>
      <c r="J602" s="105">
        <f t="shared" ca="1" si="184"/>
        <v>0</v>
      </c>
      <c r="K602" s="105">
        <f t="shared" ca="1" si="185"/>
        <v>0</v>
      </c>
      <c r="L602" s="105">
        <f t="shared" ca="1" si="194"/>
        <v>0</v>
      </c>
      <c r="M602" s="105">
        <f t="shared" ca="1" si="186"/>
        <v>0</v>
      </c>
      <c r="N602" s="105">
        <f t="shared" ca="1" si="195"/>
        <v>0</v>
      </c>
      <c r="O602" s="105">
        <f t="shared" ca="1" si="187"/>
        <v>0</v>
      </c>
      <c r="P602" s="105">
        <f t="shared" ca="1" si="188"/>
        <v>0</v>
      </c>
      <c r="Q602" s="105">
        <f t="shared" ca="1" si="189"/>
        <v>0</v>
      </c>
      <c r="R602" s="105">
        <f t="shared" ca="1" si="190"/>
        <v>0</v>
      </c>
      <c r="S602" s="105">
        <f t="shared" ca="1" si="191"/>
        <v>10</v>
      </c>
    </row>
    <row r="603" spans="1:19" x14ac:dyDescent="0.35">
      <c r="A603" s="105">
        <f t="shared" ca="1" si="177"/>
        <v>848.99999999999454</v>
      </c>
      <c r="B603" s="105">
        <f t="shared" ca="1" si="178"/>
        <v>0</v>
      </c>
      <c r="C603" s="105">
        <f t="shared" ca="1" si="179"/>
        <v>2</v>
      </c>
      <c r="D603" s="105">
        <f t="shared" ca="1" si="180"/>
        <v>0</v>
      </c>
      <c r="E603" s="105">
        <f t="shared" ca="1" si="181"/>
        <v>0</v>
      </c>
      <c r="F603" s="105">
        <f t="shared" ca="1" si="182"/>
        <v>0</v>
      </c>
      <c r="G603" s="105">
        <f t="shared" ca="1" si="192"/>
        <v>0</v>
      </c>
      <c r="H603" s="105">
        <f t="shared" ca="1" si="193"/>
        <v>0</v>
      </c>
      <c r="I603" s="105">
        <f t="shared" ca="1" si="183"/>
        <v>0</v>
      </c>
      <c r="J603" s="105">
        <f t="shared" ca="1" si="184"/>
        <v>0</v>
      </c>
      <c r="K603" s="105">
        <f t="shared" ca="1" si="185"/>
        <v>0</v>
      </c>
      <c r="L603" s="105">
        <f t="shared" ca="1" si="194"/>
        <v>0</v>
      </c>
      <c r="M603" s="105">
        <f t="shared" ca="1" si="186"/>
        <v>0</v>
      </c>
      <c r="N603" s="105">
        <f t="shared" ca="1" si="195"/>
        <v>0</v>
      </c>
      <c r="O603" s="105">
        <f t="shared" ca="1" si="187"/>
        <v>0</v>
      </c>
      <c r="P603" s="105">
        <f t="shared" ca="1" si="188"/>
        <v>0</v>
      </c>
      <c r="Q603" s="105">
        <f t="shared" ca="1" si="189"/>
        <v>0</v>
      </c>
      <c r="R603" s="105">
        <f t="shared" ca="1" si="190"/>
        <v>0</v>
      </c>
      <c r="S603" s="105">
        <f t="shared" ca="1" si="191"/>
        <v>10</v>
      </c>
    </row>
    <row r="604" spans="1:19" x14ac:dyDescent="0.35">
      <c r="A604" s="105">
        <f t="shared" ca="1" si="177"/>
        <v>850.41499999999451</v>
      </c>
      <c r="B604" s="105">
        <f t="shared" ca="1" si="178"/>
        <v>0</v>
      </c>
      <c r="C604" s="105">
        <f t="shared" ca="1" si="179"/>
        <v>2</v>
      </c>
      <c r="D604" s="105">
        <f t="shared" ca="1" si="180"/>
        <v>0</v>
      </c>
      <c r="E604" s="105">
        <f t="shared" ca="1" si="181"/>
        <v>0</v>
      </c>
      <c r="F604" s="105">
        <f t="shared" ca="1" si="182"/>
        <v>0</v>
      </c>
      <c r="G604" s="105">
        <f t="shared" ca="1" si="192"/>
        <v>0</v>
      </c>
      <c r="H604" s="105">
        <f t="shared" ca="1" si="193"/>
        <v>0</v>
      </c>
      <c r="I604" s="105">
        <f t="shared" ca="1" si="183"/>
        <v>0</v>
      </c>
      <c r="J604" s="105">
        <f t="shared" ca="1" si="184"/>
        <v>0</v>
      </c>
      <c r="K604" s="105">
        <f t="shared" ca="1" si="185"/>
        <v>0</v>
      </c>
      <c r="L604" s="105">
        <f t="shared" ca="1" si="194"/>
        <v>0</v>
      </c>
      <c r="M604" s="105">
        <f t="shared" ca="1" si="186"/>
        <v>0</v>
      </c>
      <c r="N604" s="105">
        <f t="shared" ca="1" si="195"/>
        <v>0</v>
      </c>
      <c r="O604" s="105">
        <f t="shared" ca="1" si="187"/>
        <v>0</v>
      </c>
      <c r="P604" s="105">
        <f t="shared" ca="1" si="188"/>
        <v>0</v>
      </c>
      <c r="Q604" s="105">
        <f t="shared" ca="1" si="189"/>
        <v>0</v>
      </c>
      <c r="R604" s="105">
        <f t="shared" ca="1" si="190"/>
        <v>0</v>
      </c>
      <c r="S604" s="105">
        <f t="shared" ca="1" si="191"/>
        <v>10</v>
      </c>
    </row>
    <row r="605" spans="1:19" x14ac:dyDescent="0.35">
      <c r="A605" s="105">
        <f t="shared" ca="1" si="177"/>
        <v>851.82999999999447</v>
      </c>
      <c r="B605" s="105">
        <f t="shared" ca="1" si="178"/>
        <v>0</v>
      </c>
      <c r="C605" s="105">
        <f t="shared" ca="1" si="179"/>
        <v>2</v>
      </c>
      <c r="D605" s="105">
        <f t="shared" ca="1" si="180"/>
        <v>0</v>
      </c>
      <c r="E605" s="105">
        <f t="shared" ca="1" si="181"/>
        <v>0</v>
      </c>
      <c r="F605" s="105">
        <f t="shared" ca="1" si="182"/>
        <v>0</v>
      </c>
      <c r="G605" s="105">
        <f t="shared" ca="1" si="192"/>
        <v>0</v>
      </c>
      <c r="H605" s="105">
        <f t="shared" ca="1" si="193"/>
        <v>0</v>
      </c>
      <c r="I605" s="105">
        <f t="shared" ca="1" si="183"/>
        <v>0</v>
      </c>
      <c r="J605" s="105">
        <f t="shared" ca="1" si="184"/>
        <v>0</v>
      </c>
      <c r="K605" s="105">
        <f t="shared" ca="1" si="185"/>
        <v>0</v>
      </c>
      <c r="L605" s="105">
        <f t="shared" ca="1" si="194"/>
        <v>0</v>
      </c>
      <c r="M605" s="105">
        <f t="shared" ca="1" si="186"/>
        <v>0</v>
      </c>
      <c r="N605" s="105">
        <f t="shared" ca="1" si="195"/>
        <v>0</v>
      </c>
      <c r="O605" s="105">
        <f t="shared" ca="1" si="187"/>
        <v>0</v>
      </c>
      <c r="P605" s="105">
        <f t="shared" ca="1" si="188"/>
        <v>0</v>
      </c>
      <c r="Q605" s="105">
        <f t="shared" ca="1" si="189"/>
        <v>0</v>
      </c>
      <c r="R605" s="105">
        <f t="shared" ca="1" si="190"/>
        <v>0</v>
      </c>
      <c r="S605" s="105">
        <f t="shared" ca="1" si="191"/>
        <v>10</v>
      </c>
    </row>
    <row r="606" spans="1:19" x14ac:dyDescent="0.35">
      <c r="A606" s="105">
        <f t="shared" ca="1" si="177"/>
        <v>853.24499999999443</v>
      </c>
      <c r="B606" s="105">
        <f t="shared" ca="1" si="178"/>
        <v>0</v>
      </c>
      <c r="C606" s="105">
        <f t="shared" ca="1" si="179"/>
        <v>2</v>
      </c>
      <c r="D606" s="105">
        <f t="shared" ca="1" si="180"/>
        <v>0</v>
      </c>
      <c r="E606" s="105">
        <f t="shared" ca="1" si="181"/>
        <v>0</v>
      </c>
      <c r="F606" s="105">
        <f t="shared" ca="1" si="182"/>
        <v>0</v>
      </c>
      <c r="G606" s="105">
        <f t="shared" ca="1" si="192"/>
        <v>0</v>
      </c>
      <c r="H606" s="105">
        <f t="shared" ca="1" si="193"/>
        <v>0</v>
      </c>
      <c r="I606" s="105">
        <f t="shared" ca="1" si="183"/>
        <v>0</v>
      </c>
      <c r="J606" s="105">
        <f t="shared" ca="1" si="184"/>
        <v>0</v>
      </c>
      <c r="K606" s="105">
        <f t="shared" ca="1" si="185"/>
        <v>0</v>
      </c>
      <c r="L606" s="105">
        <f t="shared" ca="1" si="194"/>
        <v>0</v>
      </c>
      <c r="M606" s="105">
        <f t="shared" ca="1" si="186"/>
        <v>0</v>
      </c>
      <c r="N606" s="105">
        <f t="shared" ca="1" si="195"/>
        <v>0</v>
      </c>
      <c r="O606" s="105">
        <f t="shared" ca="1" si="187"/>
        <v>0</v>
      </c>
      <c r="P606" s="105">
        <f t="shared" ca="1" si="188"/>
        <v>0</v>
      </c>
      <c r="Q606" s="105">
        <f t="shared" ca="1" si="189"/>
        <v>0</v>
      </c>
      <c r="R606" s="105">
        <f t="shared" ca="1" si="190"/>
        <v>0</v>
      </c>
      <c r="S606" s="105">
        <f t="shared" ca="1" si="191"/>
        <v>10</v>
      </c>
    </row>
    <row r="607" spans="1:19" x14ac:dyDescent="0.35">
      <c r="A607" s="105">
        <f t="shared" ca="1" si="177"/>
        <v>854.6599999999944</v>
      </c>
      <c r="B607" s="105">
        <f t="shared" ca="1" si="178"/>
        <v>0</v>
      </c>
      <c r="C607" s="105">
        <f t="shared" ca="1" si="179"/>
        <v>2</v>
      </c>
      <c r="D607" s="105">
        <f t="shared" ca="1" si="180"/>
        <v>0</v>
      </c>
      <c r="E607" s="105">
        <f t="shared" ca="1" si="181"/>
        <v>0</v>
      </c>
      <c r="F607" s="105">
        <f t="shared" ca="1" si="182"/>
        <v>0</v>
      </c>
      <c r="G607" s="105">
        <f t="shared" ca="1" si="192"/>
        <v>0</v>
      </c>
      <c r="H607" s="105">
        <f t="shared" ca="1" si="193"/>
        <v>0</v>
      </c>
      <c r="I607" s="105">
        <f t="shared" ca="1" si="183"/>
        <v>0</v>
      </c>
      <c r="J607" s="105">
        <f t="shared" ca="1" si="184"/>
        <v>0</v>
      </c>
      <c r="K607" s="105">
        <f t="shared" ca="1" si="185"/>
        <v>0</v>
      </c>
      <c r="L607" s="105">
        <f t="shared" ca="1" si="194"/>
        <v>0</v>
      </c>
      <c r="M607" s="105">
        <f t="shared" ca="1" si="186"/>
        <v>0</v>
      </c>
      <c r="N607" s="105">
        <f t="shared" ca="1" si="195"/>
        <v>0</v>
      </c>
      <c r="O607" s="105">
        <f t="shared" ca="1" si="187"/>
        <v>0</v>
      </c>
      <c r="P607" s="105">
        <f t="shared" ca="1" si="188"/>
        <v>0</v>
      </c>
      <c r="Q607" s="105">
        <f t="shared" ca="1" si="189"/>
        <v>0</v>
      </c>
      <c r="R607" s="105">
        <f t="shared" ca="1" si="190"/>
        <v>0</v>
      </c>
      <c r="S607" s="105">
        <f t="shared" ca="1" si="191"/>
        <v>10</v>
      </c>
    </row>
    <row r="608" spans="1:19" x14ac:dyDescent="0.35">
      <c r="A608" s="105">
        <f t="shared" ca="1" si="177"/>
        <v>856.07499999999436</v>
      </c>
      <c r="B608" s="105">
        <f t="shared" ca="1" si="178"/>
        <v>0</v>
      </c>
      <c r="C608" s="105">
        <f t="shared" ca="1" si="179"/>
        <v>2</v>
      </c>
      <c r="D608" s="105">
        <f t="shared" ca="1" si="180"/>
        <v>0</v>
      </c>
      <c r="E608" s="105">
        <f t="shared" ca="1" si="181"/>
        <v>0</v>
      </c>
      <c r="F608" s="105">
        <f t="shared" ca="1" si="182"/>
        <v>0</v>
      </c>
      <c r="G608" s="105">
        <f t="shared" ca="1" si="192"/>
        <v>0</v>
      </c>
      <c r="H608" s="105">
        <f t="shared" ca="1" si="193"/>
        <v>0</v>
      </c>
      <c r="I608" s="105">
        <f t="shared" ca="1" si="183"/>
        <v>0</v>
      </c>
      <c r="J608" s="105">
        <f t="shared" ca="1" si="184"/>
        <v>0</v>
      </c>
      <c r="K608" s="105">
        <f t="shared" ca="1" si="185"/>
        <v>0</v>
      </c>
      <c r="L608" s="105">
        <f t="shared" ca="1" si="194"/>
        <v>0</v>
      </c>
      <c r="M608" s="105">
        <f t="shared" ca="1" si="186"/>
        <v>0</v>
      </c>
      <c r="N608" s="105">
        <f t="shared" ca="1" si="195"/>
        <v>0</v>
      </c>
      <c r="O608" s="105">
        <f t="shared" ca="1" si="187"/>
        <v>0</v>
      </c>
      <c r="P608" s="105">
        <f t="shared" ca="1" si="188"/>
        <v>0</v>
      </c>
      <c r="Q608" s="105">
        <f t="shared" ca="1" si="189"/>
        <v>0</v>
      </c>
      <c r="R608" s="105">
        <f t="shared" ca="1" si="190"/>
        <v>0</v>
      </c>
      <c r="S608" s="105">
        <f t="shared" ca="1" si="191"/>
        <v>10</v>
      </c>
    </row>
    <row r="609" spans="1:19" x14ac:dyDescent="0.35">
      <c r="A609" s="105">
        <f t="shared" ca="1" si="177"/>
        <v>857.48999999999432</v>
      </c>
      <c r="B609" s="105">
        <f t="shared" ca="1" si="178"/>
        <v>0</v>
      </c>
      <c r="C609" s="105">
        <f t="shared" ca="1" si="179"/>
        <v>2</v>
      </c>
      <c r="D609" s="105">
        <f t="shared" ca="1" si="180"/>
        <v>0</v>
      </c>
      <c r="E609" s="105">
        <f t="shared" ca="1" si="181"/>
        <v>0</v>
      </c>
      <c r="F609" s="105">
        <f t="shared" ca="1" si="182"/>
        <v>0</v>
      </c>
      <c r="G609" s="105">
        <f t="shared" ca="1" si="192"/>
        <v>0</v>
      </c>
      <c r="H609" s="105">
        <f t="shared" ca="1" si="193"/>
        <v>0</v>
      </c>
      <c r="I609" s="105">
        <f t="shared" ca="1" si="183"/>
        <v>0</v>
      </c>
      <c r="J609" s="105">
        <f t="shared" ca="1" si="184"/>
        <v>0</v>
      </c>
      <c r="K609" s="105">
        <f t="shared" ca="1" si="185"/>
        <v>0</v>
      </c>
      <c r="L609" s="105">
        <f t="shared" ca="1" si="194"/>
        <v>0</v>
      </c>
      <c r="M609" s="105">
        <f t="shared" ca="1" si="186"/>
        <v>0</v>
      </c>
      <c r="N609" s="105">
        <f t="shared" ca="1" si="195"/>
        <v>0</v>
      </c>
      <c r="O609" s="105">
        <f t="shared" ca="1" si="187"/>
        <v>0</v>
      </c>
      <c r="P609" s="105">
        <f t="shared" ca="1" si="188"/>
        <v>0</v>
      </c>
      <c r="Q609" s="105">
        <f t="shared" ca="1" si="189"/>
        <v>0</v>
      </c>
      <c r="R609" s="105">
        <f t="shared" ca="1" si="190"/>
        <v>0</v>
      </c>
      <c r="S609" s="105">
        <f t="shared" ca="1" si="191"/>
        <v>10</v>
      </c>
    </row>
    <row r="610" spans="1:19" x14ac:dyDescent="0.35">
      <c r="A610" s="105">
        <f t="shared" ca="1" si="177"/>
        <v>858.90499999999429</v>
      </c>
      <c r="B610" s="105">
        <f t="shared" ca="1" si="178"/>
        <v>0</v>
      </c>
      <c r="C610" s="105">
        <f t="shared" ca="1" si="179"/>
        <v>2</v>
      </c>
      <c r="D610" s="105">
        <f t="shared" ca="1" si="180"/>
        <v>0</v>
      </c>
      <c r="E610" s="105">
        <f t="shared" ca="1" si="181"/>
        <v>0</v>
      </c>
      <c r="F610" s="105">
        <f t="shared" ca="1" si="182"/>
        <v>0</v>
      </c>
      <c r="G610" s="105">
        <f t="shared" ca="1" si="192"/>
        <v>0</v>
      </c>
      <c r="H610" s="105">
        <f t="shared" ca="1" si="193"/>
        <v>0</v>
      </c>
      <c r="I610" s="105">
        <f t="shared" ca="1" si="183"/>
        <v>0</v>
      </c>
      <c r="J610" s="105">
        <f t="shared" ca="1" si="184"/>
        <v>0</v>
      </c>
      <c r="K610" s="105">
        <f t="shared" ca="1" si="185"/>
        <v>0</v>
      </c>
      <c r="L610" s="105">
        <f t="shared" ca="1" si="194"/>
        <v>0</v>
      </c>
      <c r="M610" s="105">
        <f t="shared" ca="1" si="186"/>
        <v>0</v>
      </c>
      <c r="N610" s="105">
        <f t="shared" ca="1" si="195"/>
        <v>0</v>
      </c>
      <c r="O610" s="105">
        <f t="shared" ca="1" si="187"/>
        <v>0</v>
      </c>
      <c r="P610" s="105">
        <f t="shared" ca="1" si="188"/>
        <v>0</v>
      </c>
      <c r="Q610" s="105">
        <f t="shared" ca="1" si="189"/>
        <v>0</v>
      </c>
      <c r="R610" s="105">
        <f t="shared" ca="1" si="190"/>
        <v>0</v>
      </c>
      <c r="S610" s="105">
        <f t="shared" ca="1" si="191"/>
        <v>10</v>
      </c>
    </row>
    <row r="611" spans="1:19" x14ac:dyDescent="0.35">
      <c r="A611" s="105">
        <f t="shared" ca="1" si="177"/>
        <v>860.31999999999425</v>
      </c>
      <c r="B611" s="105">
        <f t="shared" ca="1" si="178"/>
        <v>0</v>
      </c>
      <c r="C611" s="105">
        <f t="shared" ca="1" si="179"/>
        <v>2</v>
      </c>
      <c r="D611" s="105">
        <f t="shared" ca="1" si="180"/>
        <v>0</v>
      </c>
      <c r="E611" s="105">
        <f t="shared" ca="1" si="181"/>
        <v>0</v>
      </c>
      <c r="F611" s="105">
        <f t="shared" ca="1" si="182"/>
        <v>0</v>
      </c>
      <c r="G611" s="105">
        <f t="shared" ca="1" si="192"/>
        <v>0</v>
      </c>
      <c r="H611" s="105">
        <f t="shared" ca="1" si="193"/>
        <v>0</v>
      </c>
      <c r="I611" s="105">
        <f t="shared" ca="1" si="183"/>
        <v>0</v>
      </c>
      <c r="J611" s="105">
        <f t="shared" ca="1" si="184"/>
        <v>0</v>
      </c>
      <c r="K611" s="105">
        <f t="shared" ca="1" si="185"/>
        <v>0</v>
      </c>
      <c r="L611" s="105">
        <f t="shared" ca="1" si="194"/>
        <v>0</v>
      </c>
      <c r="M611" s="105">
        <f t="shared" ca="1" si="186"/>
        <v>0</v>
      </c>
      <c r="N611" s="105">
        <f t="shared" ca="1" si="195"/>
        <v>0</v>
      </c>
      <c r="O611" s="105">
        <f t="shared" ca="1" si="187"/>
        <v>0</v>
      </c>
      <c r="P611" s="105">
        <f t="shared" ca="1" si="188"/>
        <v>0</v>
      </c>
      <c r="Q611" s="105">
        <f t="shared" ca="1" si="189"/>
        <v>0</v>
      </c>
      <c r="R611" s="105">
        <f t="shared" ca="1" si="190"/>
        <v>0</v>
      </c>
      <c r="S611" s="105">
        <f t="shared" ca="1" si="191"/>
        <v>10</v>
      </c>
    </row>
    <row r="612" spans="1:19" x14ac:dyDescent="0.35">
      <c r="A612" s="105">
        <f t="shared" ca="1" si="177"/>
        <v>861.73499999999422</v>
      </c>
      <c r="B612" s="105">
        <f t="shared" ca="1" si="178"/>
        <v>0</v>
      </c>
      <c r="C612" s="105">
        <f t="shared" ca="1" si="179"/>
        <v>2</v>
      </c>
      <c r="D612" s="105">
        <f t="shared" ca="1" si="180"/>
        <v>0</v>
      </c>
      <c r="E612" s="105">
        <f t="shared" ca="1" si="181"/>
        <v>0</v>
      </c>
      <c r="F612" s="105">
        <f t="shared" ca="1" si="182"/>
        <v>0</v>
      </c>
      <c r="G612" s="105">
        <f t="shared" ca="1" si="192"/>
        <v>0</v>
      </c>
      <c r="H612" s="105">
        <f t="shared" ca="1" si="193"/>
        <v>0</v>
      </c>
      <c r="I612" s="105">
        <f t="shared" ca="1" si="183"/>
        <v>0</v>
      </c>
      <c r="J612" s="105">
        <f t="shared" ca="1" si="184"/>
        <v>0</v>
      </c>
      <c r="K612" s="105">
        <f t="shared" ca="1" si="185"/>
        <v>0</v>
      </c>
      <c r="L612" s="105">
        <f t="shared" ca="1" si="194"/>
        <v>0</v>
      </c>
      <c r="M612" s="105">
        <f t="shared" ca="1" si="186"/>
        <v>0</v>
      </c>
      <c r="N612" s="105">
        <f t="shared" ca="1" si="195"/>
        <v>0</v>
      </c>
      <c r="O612" s="105">
        <f t="shared" ca="1" si="187"/>
        <v>0</v>
      </c>
      <c r="P612" s="105">
        <f t="shared" ca="1" si="188"/>
        <v>0</v>
      </c>
      <c r="Q612" s="105">
        <f t="shared" ca="1" si="189"/>
        <v>0</v>
      </c>
      <c r="R612" s="105">
        <f t="shared" ca="1" si="190"/>
        <v>0</v>
      </c>
      <c r="S612" s="105">
        <f t="shared" ca="1" si="191"/>
        <v>10</v>
      </c>
    </row>
    <row r="613" spans="1:19" x14ac:dyDescent="0.35">
      <c r="A613" s="105">
        <f t="shared" ca="1" si="177"/>
        <v>863.14999999999418</v>
      </c>
      <c r="B613" s="105">
        <f t="shared" ca="1" si="178"/>
        <v>0</v>
      </c>
      <c r="C613" s="105">
        <f t="shared" ca="1" si="179"/>
        <v>2</v>
      </c>
      <c r="D613" s="105">
        <f t="shared" ca="1" si="180"/>
        <v>0</v>
      </c>
      <c r="E613" s="105">
        <f t="shared" ca="1" si="181"/>
        <v>0</v>
      </c>
      <c r="F613" s="105">
        <f t="shared" ca="1" si="182"/>
        <v>0</v>
      </c>
      <c r="G613" s="105">
        <f t="shared" ca="1" si="192"/>
        <v>0</v>
      </c>
      <c r="H613" s="105">
        <f t="shared" ca="1" si="193"/>
        <v>0</v>
      </c>
      <c r="I613" s="105">
        <f t="shared" ca="1" si="183"/>
        <v>0</v>
      </c>
      <c r="J613" s="105">
        <f t="shared" ca="1" si="184"/>
        <v>0</v>
      </c>
      <c r="K613" s="105">
        <f t="shared" ca="1" si="185"/>
        <v>0</v>
      </c>
      <c r="L613" s="105">
        <f t="shared" ca="1" si="194"/>
        <v>0</v>
      </c>
      <c r="M613" s="105">
        <f t="shared" ca="1" si="186"/>
        <v>0</v>
      </c>
      <c r="N613" s="105">
        <f t="shared" ca="1" si="195"/>
        <v>0</v>
      </c>
      <c r="O613" s="105">
        <f t="shared" ca="1" si="187"/>
        <v>0</v>
      </c>
      <c r="P613" s="105">
        <f t="shared" ca="1" si="188"/>
        <v>0</v>
      </c>
      <c r="Q613" s="105">
        <f t="shared" ca="1" si="189"/>
        <v>0</v>
      </c>
      <c r="R613" s="105">
        <f t="shared" ca="1" si="190"/>
        <v>0</v>
      </c>
      <c r="S613" s="105">
        <f t="shared" ca="1" si="191"/>
        <v>10</v>
      </c>
    </row>
    <row r="614" spans="1:19" x14ac:dyDescent="0.35">
      <c r="A614" s="105">
        <f t="shared" ca="1" si="177"/>
        <v>864.56499999999414</v>
      </c>
      <c r="B614" s="105">
        <f t="shared" ca="1" si="178"/>
        <v>0</v>
      </c>
      <c r="C614" s="105">
        <f t="shared" ca="1" si="179"/>
        <v>2</v>
      </c>
      <c r="D614" s="105">
        <f t="shared" ca="1" si="180"/>
        <v>0</v>
      </c>
      <c r="E614" s="105">
        <f t="shared" ca="1" si="181"/>
        <v>0</v>
      </c>
      <c r="F614" s="105">
        <f t="shared" ca="1" si="182"/>
        <v>0</v>
      </c>
      <c r="G614" s="105">
        <f t="shared" ca="1" si="192"/>
        <v>0</v>
      </c>
      <c r="H614" s="105">
        <f t="shared" ca="1" si="193"/>
        <v>0</v>
      </c>
      <c r="I614" s="105">
        <f t="shared" ca="1" si="183"/>
        <v>0</v>
      </c>
      <c r="J614" s="105">
        <f t="shared" ca="1" si="184"/>
        <v>0</v>
      </c>
      <c r="K614" s="105">
        <f t="shared" ca="1" si="185"/>
        <v>0</v>
      </c>
      <c r="L614" s="105">
        <f t="shared" ca="1" si="194"/>
        <v>0</v>
      </c>
      <c r="M614" s="105">
        <f t="shared" ca="1" si="186"/>
        <v>0</v>
      </c>
      <c r="N614" s="105">
        <f t="shared" ca="1" si="195"/>
        <v>0</v>
      </c>
      <c r="O614" s="105">
        <f t="shared" ca="1" si="187"/>
        <v>0</v>
      </c>
      <c r="P614" s="105">
        <f t="shared" ca="1" si="188"/>
        <v>0</v>
      </c>
      <c r="Q614" s="105">
        <f t="shared" ca="1" si="189"/>
        <v>0</v>
      </c>
      <c r="R614" s="105">
        <f t="shared" ca="1" si="190"/>
        <v>0</v>
      </c>
      <c r="S614" s="105">
        <f t="shared" ca="1" si="191"/>
        <v>10</v>
      </c>
    </row>
    <row r="615" spans="1:19" x14ac:dyDescent="0.35">
      <c r="A615" s="105">
        <f t="shared" ca="1" si="177"/>
        <v>865.97999999999411</v>
      </c>
      <c r="B615" s="105">
        <f t="shared" ca="1" si="178"/>
        <v>0</v>
      </c>
      <c r="C615" s="105">
        <f t="shared" ca="1" si="179"/>
        <v>2</v>
      </c>
      <c r="D615" s="105">
        <f t="shared" ca="1" si="180"/>
        <v>0</v>
      </c>
      <c r="E615" s="105">
        <f t="shared" ca="1" si="181"/>
        <v>0</v>
      </c>
      <c r="F615" s="105">
        <f t="shared" ca="1" si="182"/>
        <v>0</v>
      </c>
      <c r="G615" s="105">
        <f t="shared" ca="1" si="192"/>
        <v>0</v>
      </c>
      <c r="H615" s="105">
        <f t="shared" ca="1" si="193"/>
        <v>0</v>
      </c>
      <c r="I615" s="105">
        <f t="shared" ca="1" si="183"/>
        <v>0</v>
      </c>
      <c r="J615" s="105">
        <f t="shared" ca="1" si="184"/>
        <v>0</v>
      </c>
      <c r="K615" s="105">
        <f t="shared" ca="1" si="185"/>
        <v>0</v>
      </c>
      <c r="L615" s="105">
        <f t="shared" ca="1" si="194"/>
        <v>0</v>
      </c>
      <c r="M615" s="105">
        <f t="shared" ca="1" si="186"/>
        <v>0</v>
      </c>
      <c r="N615" s="105">
        <f t="shared" ca="1" si="195"/>
        <v>0</v>
      </c>
      <c r="O615" s="105">
        <f t="shared" ca="1" si="187"/>
        <v>0</v>
      </c>
      <c r="P615" s="105">
        <f t="shared" ca="1" si="188"/>
        <v>0</v>
      </c>
      <c r="Q615" s="105">
        <f t="shared" ca="1" si="189"/>
        <v>0</v>
      </c>
      <c r="R615" s="105">
        <f t="shared" ca="1" si="190"/>
        <v>0</v>
      </c>
      <c r="S615" s="105">
        <f t="shared" ca="1" si="191"/>
        <v>10</v>
      </c>
    </row>
    <row r="616" spans="1:19" x14ac:dyDescent="0.35">
      <c r="A616" s="105">
        <f t="shared" ca="1" si="177"/>
        <v>867.39499999999407</v>
      </c>
      <c r="B616" s="105">
        <f t="shared" ca="1" si="178"/>
        <v>0</v>
      </c>
      <c r="C616" s="105">
        <f t="shared" ca="1" si="179"/>
        <v>2</v>
      </c>
      <c r="D616" s="105">
        <f t="shared" ca="1" si="180"/>
        <v>0</v>
      </c>
      <c r="E616" s="105">
        <f t="shared" ca="1" si="181"/>
        <v>0</v>
      </c>
      <c r="F616" s="105">
        <f t="shared" ca="1" si="182"/>
        <v>0</v>
      </c>
      <c r="G616" s="105">
        <f t="shared" ca="1" si="192"/>
        <v>0</v>
      </c>
      <c r="H616" s="105">
        <f t="shared" ca="1" si="193"/>
        <v>0</v>
      </c>
      <c r="I616" s="105">
        <f t="shared" ca="1" si="183"/>
        <v>0</v>
      </c>
      <c r="J616" s="105">
        <f t="shared" ca="1" si="184"/>
        <v>0</v>
      </c>
      <c r="K616" s="105">
        <f t="shared" ca="1" si="185"/>
        <v>0</v>
      </c>
      <c r="L616" s="105">
        <f t="shared" ca="1" si="194"/>
        <v>0</v>
      </c>
      <c r="M616" s="105">
        <f t="shared" ca="1" si="186"/>
        <v>0</v>
      </c>
      <c r="N616" s="105">
        <f t="shared" ca="1" si="195"/>
        <v>0</v>
      </c>
      <c r="O616" s="105">
        <f t="shared" ca="1" si="187"/>
        <v>0</v>
      </c>
      <c r="P616" s="105">
        <f t="shared" ca="1" si="188"/>
        <v>0</v>
      </c>
      <c r="Q616" s="105">
        <f t="shared" ca="1" si="189"/>
        <v>0</v>
      </c>
      <c r="R616" s="105">
        <f t="shared" ca="1" si="190"/>
        <v>0</v>
      </c>
      <c r="S616" s="105">
        <f t="shared" ca="1" si="191"/>
        <v>10</v>
      </c>
    </row>
    <row r="617" spans="1:19" x14ac:dyDescent="0.35">
      <c r="A617" s="105">
        <f t="shared" ca="1" si="177"/>
        <v>868.80999999999403</v>
      </c>
      <c r="B617" s="105">
        <f t="shared" ca="1" si="178"/>
        <v>0</v>
      </c>
      <c r="C617" s="105">
        <f t="shared" ca="1" si="179"/>
        <v>2</v>
      </c>
      <c r="D617" s="105">
        <f t="shared" ca="1" si="180"/>
        <v>0</v>
      </c>
      <c r="E617" s="105">
        <f t="shared" ca="1" si="181"/>
        <v>0</v>
      </c>
      <c r="F617" s="105">
        <f t="shared" ca="1" si="182"/>
        <v>0</v>
      </c>
      <c r="G617" s="105">
        <f t="shared" ca="1" si="192"/>
        <v>0</v>
      </c>
      <c r="H617" s="105">
        <f t="shared" ca="1" si="193"/>
        <v>0</v>
      </c>
      <c r="I617" s="105">
        <f t="shared" ca="1" si="183"/>
        <v>0</v>
      </c>
      <c r="J617" s="105">
        <f t="shared" ca="1" si="184"/>
        <v>0</v>
      </c>
      <c r="K617" s="105">
        <f t="shared" ca="1" si="185"/>
        <v>0</v>
      </c>
      <c r="L617" s="105">
        <f t="shared" ca="1" si="194"/>
        <v>0</v>
      </c>
      <c r="M617" s="105">
        <f t="shared" ca="1" si="186"/>
        <v>0</v>
      </c>
      <c r="N617" s="105">
        <f t="shared" ca="1" si="195"/>
        <v>0</v>
      </c>
      <c r="O617" s="105">
        <f t="shared" ca="1" si="187"/>
        <v>0</v>
      </c>
      <c r="P617" s="105">
        <f t="shared" ca="1" si="188"/>
        <v>0</v>
      </c>
      <c r="Q617" s="105">
        <f t="shared" ca="1" si="189"/>
        <v>0</v>
      </c>
      <c r="R617" s="105">
        <f t="shared" ca="1" si="190"/>
        <v>0</v>
      </c>
      <c r="S617" s="105">
        <f t="shared" ca="1" si="191"/>
        <v>10</v>
      </c>
    </row>
    <row r="618" spans="1:19" x14ac:dyDescent="0.35">
      <c r="A618" s="105">
        <f t="shared" ca="1" si="177"/>
        <v>870.224999999994</v>
      </c>
      <c r="B618" s="105">
        <f t="shared" ca="1" si="178"/>
        <v>0</v>
      </c>
      <c r="C618" s="105">
        <f t="shared" ca="1" si="179"/>
        <v>2</v>
      </c>
      <c r="D618" s="105">
        <f t="shared" ca="1" si="180"/>
        <v>0</v>
      </c>
      <c r="E618" s="105">
        <f t="shared" ca="1" si="181"/>
        <v>0</v>
      </c>
      <c r="F618" s="105">
        <f t="shared" ca="1" si="182"/>
        <v>0</v>
      </c>
      <c r="G618" s="105">
        <f t="shared" ca="1" si="192"/>
        <v>0</v>
      </c>
      <c r="H618" s="105">
        <f t="shared" ca="1" si="193"/>
        <v>0</v>
      </c>
      <c r="I618" s="105">
        <f t="shared" ca="1" si="183"/>
        <v>0</v>
      </c>
      <c r="J618" s="105">
        <f t="shared" ca="1" si="184"/>
        <v>0</v>
      </c>
      <c r="K618" s="105">
        <f t="shared" ca="1" si="185"/>
        <v>0</v>
      </c>
      <c r="L618" s="105">
        <f t="shared" ca="1" si="194"/>
        <v>0</v>
      </c>
      <c r="M618" s="105">
        <f t="shared" ca="1" si="186"/>
        <v>0</v>
      </c>
      <c r="N618" s="105">
        <f t="shared" ca="1" si="195"/>
        <v>0</v>
      </c>
      <c r="O618" s="105">
        <f t="shared" ca="1" si="187"/>
        <v>0</v>
      </c>
      <c r="P618" s="105">
        <f t="shared" ca="1" si="188"/>
        <v>0</v>
      </c>
      <c r="Q618" s="105">
        <f t="shared" ca="1" si="189"/>
        <v>0</v>
      </c>
      <c r="R618" s="105">
        <f t="shared" ca="1" si="190"/>
        <v>0</v>
      </c>
      <c r="S618" s="105">
        <f t="shared" ca="1" si="191"/>
        <v>10</v>
      </c>
    </row>
    <row r="619" spans="1:19" x14ac:dyDescent="0.35">
      <c r="A619" s="105">
        <f t="shared" ca="1" si="177"/>
        <v>871.63999999999396</v>
      </c>
      <c r="B619" s="105">
        <f t="shared" ca="1" si="178"/>
        <v>0</v>
      </c>
      <c r="C619" s="105">
        <f t="shared" ca="1" si="179"/>
        <v>2</v>
      </c>
      <c r="D619" s="105">
        <f t="shared" ca="1" si="180"/>
        <v>0</v>
      </c>
      <c r="E619" s="105">
        <f t="shared" ca="1" si="181"/>
        <v>0</v>
      </c>
      <c r="F619" s="105">
        <f t="shared" ca="1" si="182"/>
        <v>0</v>
      </c>
      <c r="G619" s="105">
        <f t="shared" ca="1" si="192"/>
        <v>0</v>
      </c>
      <c r="H619" s="105">
        <f t="shared" ca="1" si="193"/>
        <v>0</v>
      </c>
      <c r="I619" s="105">
        <f t="shared" ca="1" si="183"/>
        <v>0</v>
      </c>
      <c r="J619" s="105">
        <f t="shared" ca="1" si="184"/>
        <v>0</v>
      </c>
      <c r="K619" s="105">
        <f t="shared" ca="1" si="185"/>
        <v>0</v>
      </c>
      <c r="L619" s="105">
        <f t="shared" ca="1" si="194"/>
        <v>0</v>
      </c>
      <c r="M619" s="105">
        <f t="shared" ca="1" si="186"/>
        <v>0</v>
      </c>
      <c r="N619" s="105">
        <f t="shared" ca="1" si="195"/>
        <v>0</v>
      </c>
      <c r="O619" s="105">
        <f t="shared" ca="1" si="187"/>
        <v>0</v>
      </c>
      <c r="P619" s="105">
        <f t="shared" ca="1" si="188"/>
        <v>0</v>
      </c>
      <c r="Q619" s="105">
        <f t="shared" ca="1" si="189"/>
        <v>0</v>
      </c>
      <c r="R619" s="105">
        <f t="shared" ca="1" si="190"/>
        <v>0</v>
      </c>
      <c r="S619" s="105">
        <f t="shared" ca="1" si="191"/>
        <v>10</v>
      </c>
    </row>
    <row r="620" spans="1:19" x14ac:dyDescent="0.35">
      <c r="A620" s="105">
        <f t="shared" ca="1" si="177"/>
        <v>873.05499999999392</v>
      </c>
      <c r="B620" s="105">
        <f t="shared" ca="1" si="178"/>
        <v>0</v>
      </c>
      <c r="C620" s="105">
        <f t="shared" ca="1" si="179"/>
        <v>2</v>
      </c>
      <c r="D620" s="105">
        <f t="shared" ca="1" si="180"/>
        <v>0</v>
      </c>
      <c r="E620" s="105">
        <f t="shared" ca="1" si="181"/>
        <v>0</v>
      </c>
      <c r="F620" s="105">
        <f t="shared" ca="1" si="182"/>
        <v>0</v>
      </c>
      <c r="G620" s="105">
        <f t="shared" ca="1" si="192"/>
        <v>0</v>
      </c>
      <c r="H620" s="105">
        <f t="shared" ca="1" si="193"/>
        <v>0</v>
      </c>
      <c r="I620" s="105">
        <f t="shared" ca="1" si="183"/>
        <v>0</v>
      </c>
      <c r="J620" s="105">
        <f t="shared" ca="1" si="184"/>
        <v>0</v>
      </c>
      <c r="K620" s="105">
        <f t="shared" ca="1" si="185"/>
        <v>0</v>
      </c>
      <c r="L620" s="105">
        <f t="shared" ca="1" si="194"/>
        <v>0</v>
      </c>
      <c r="M620" s="105">
        <f t="shared" ca="1" si="186"/>
        <v>0</v>
      </c>
      <c r="N620" s="105">
        <f t="shared" ca="1" si="195"/>
        <v>0</v>
      </c>
      <c r="O620" s="105">
        <f t="shared" ca="1" si="187"/>
        <v>0</v>
      </c>
      <c r="P620" s="105">
        <f t="shared" ca="1" si="188"/>
        <v>0</v>
      </c>
      <c r="Q620" s="105">
        <f t="shared" ca="1" si="189"/>
        <v>0</v>
      </c>
      <c r="R620" s="105">
        <f t="shared" ca="1" si="190"/>
        <v>0</v>
      </c>
      <c r="S620" s="105">
        <f t="shared" ca="1" si="191"/>
        <v>10</v>
      </c>
    </row>
    <row r="621" spans="1:19" x14ac:dyDescent="0.35">
      <c r="A621" s="105">
        <f t="shared" ca="1" si="177"/>
        <v>874.46999999999389</v>
      </c>
      <c r="B621" s="105">
        <f t="shared" ca="1" si="178"/>
        <v>0</v>
      </c>
      <c r="C621" s="105">
        <f t="shared" ca="1" si="179"/>
        <v>2</v>
      </c>
      <c r="D621" s="105">
        <f t="shared" ca="1" si="180"/>
        <v>0</v>
      </c>
      <c r="E621" s="105">
        <f t="shared" ca="1" si="181"/>
        <v>0</v>
      </c>
      <c r="F621" s="105">
        <f t="shared" ca="1" si="182"/>
        <v>0</v>
      </c>
      <c r="G621" s="105">
        <f t="shared" ca="1" si="192"/>
        <v>0</v>
      </c>
      <c r="H621" s="105">
        <f t="shared" ca="1" si="193"/>
        <v>0</v>
      </c>
      <c r="I621" s="105">
        <f t="shared" ca="1" si="183"/>
        <v>0</v>
      </c>
      <c r="J621" s="105">
        <f t="shared" ca="1" si="184"/>
        <v>0</v>
      </c>
      <c r="K621" s="105">
        <f t="shared" ca="1" si="185"/>
        <v>0</v>
      </c>
      <c r="L621" s="105">
        <f t="shared" ca="1" si="194"/>
        <v>0</v>
      </c>
      <c r="M621" s="105">
        <f t="shared" ca="1" si="186"/>
        <v>0</v>
      </c>
      <c r="N621" s="105">
        <f t="shared" ca="1" si="195"/>
        <v>0</v>
      </c>
      <c r="O621" s="105">
        <f t="shared" ca="1" si="187"/>
        <v>0</v>
      </c>
      <c r="P621" s="105">
        <f t="shared" ca="1" si="188"/>
        <v>0</v>
      </c>
      <c r="Q621" s="105">
        <f t="shared" ca="1" si="189"/>
        <v>0</v>
      </c>
      <c r="R621" s="105">
        <f t="shared" ca="1" si="190"/>
        <v>0</v>
      </c>
      <c r="S621" s="105">
        <f t="shared" ca="1" si="191"/>
        <v>10</v>
      </c>
    </row>
    <row r="622" spans="1:19" x14ac:dyDescent="0.35">
      <c r="A622" s="105">
        <f t="shared" ca="1" si="177"/>
        <v>875.88499999999385</v>
      </c>
      <c r="B622" s="105">
        <f t="shared" ca="1" si="178"/>
        <v>0</v>
      </c>
      <c r="C622" s="105">
        <f t="shared" ca="1" si="179"/>
        <v>2</v>
      </c>
      <c r="D622" s="105">
        <f t="shared" ca="1" si="180"/>
        <v>0</v>
      </c>
      <c r="E622" s="105">
        <f t="shared" ca="1" si="181"/>
        <v>0</v>
      </c>
      <c r="F622" s="105">
        <f t="shared" ca="1" si="182"/>
        <v>0</v>
      </c>
      <c r="G622" s="105">
        <f t="shared" ca="1" si="192"/>
        <v>0</v>
      </c>
      <c r="H622" s="105">
        <f t="shared" ca="1" si="193"/>
        <v>0</v>
      </c>
      <c r="I622" s="105">
        <f t="shared" ca="1" si="183"/>
        <v>0</v>
      </c>
      <c r="J622" s="105">
        <f t="shared" ca="1" si="184"/>
        <v>0</v>
      </c>
      <c r="K622" s="105">
        <f t="shared" ca="1" si="185"/>
        <v>0</v>
      </c>
      <c r="L622" s="105">
        <f t="shared" ca="1" si="194"/>
        <v>0</v>
      </c>
      <c r="M622" s="105">
        <f t="shared" ca="1" si="186"/>
        <v>0</v>
      </c>
      <c r="N622" s="105">
        <f t="shared" ca="1" si="195"/>
        <v>0</v>
      </c>
      <c r="O622" s="105">
        <f t="shared" ca="1" si="187"/>
        <v>0</v>
      </c>
      <c r="P622" s="105">
        <f t="shared" ca="1" si="188"/>
        <v>0</v>
      </c>
      <c r="Q622" s="105">
        <f t="shared" ca="1" si="189"/>
        <v>0</v>
      </c>
      <c r="R622" s="105">
        <f t="shared" ca="1" si="190"/>
        <v>0</v>
      </c>
      <c r="S622" s="105">
        <f t="shared" ca="1" si="191"/>
        <v>10</v>
      </c>
    </row>
    <row r="623" spans="1:19" x14ac:dyDescent="0.35">
      <c r="A623" s="105">
        <f t="shared" ca="1" si="177"/>
        <v>877.29999999999382</v>
      </c>
      <c r="B623" s="105">
        <f t="shared" ca="1" si="178"/>
        <v>0</v>
      </c>
      <c r="C623" s="105">
        <f t="shared" ca="1" si="179"/>
        <v>2</v>
      </c>
      <c r="D623" s="105">
        <f t="shared" ca="1" si="180"/>
        <v>0</v>
      </c>
      <c r="E623" s="105">
        <f t="shared" ca="1" si="181"/>
        <v>0</v>
      </c>
      <c r="F623" s="105">
        <f t="shared" ca="1" si="182"/>
        <v>0</v>
      </c>
      <c r="G623" s="105">
        <f t="shared" ca="1" si="192"/>
        <v>0</v>
      </c>
      <c r="H623" s="105">
        <f t="shared" ca="1" si="193"/>
        <v>0</v>
      </c>
      <c r="I623" s="105">
        <f t="shared" ca="1" si="183"/>
        <v>0</v>
      </c>
      <c r="J623" s="105">
        <f t="shared" ca="1" si="184"/>
        <v>0</v>
      </c>
      <c r="K623" s="105">
        <f t="shared" ca="1" si="185"/>
        <v>0</v>
      </c>
      <c r="L623" s="105">
        <f t="shared" ca="1" si="194"/>
        <v>0</v>
      </c>
      <c r="M623" s="105">
        <f t="shared" ca="1" si="186"/>
        <v>0</v>
      </c>
      <c r="N623" s="105">
        <f t="shared" ca="1" si="195"/>
        <v>0</v>
      </c>
      <c r="O623" s="105">
        <f t="shared" ca="1" si="187"/>
        <v>0</v>
      </c>
      <c r="P623" s="105">
        <f t="shared" ca="1" si="188"/>
        <v>0</v>
      </c>
      <c r="Q623" s="105">
        <f t="shared" ca="1" si="189"/>
        <v>0</v>
      </c>
      <c r="R623" s="105">
        <f t="shared" ca="1" si="190"/>
        <v>0</v>
      </c>
      <c r="S623" s="105">
        <f t="shared" ca="1" si="191"/>
        <v>10</v>
      </c>
    </row>
    <row r="624" spans="1:19" x14ac:dyDescent="0.35">
      <c r="A624" s="105">
        <f t="shared" ca="1" si="177"/>
        <v>878.71499999999378</v>
      </c>
      <c r="B624" s="105">
        <f t="shared" ca="1" si="178"/>
        <v>0</v>
      </c>
      <c r="C624" s="105">
        <f t="shared" ca="1" si="179"/>
        <v>2</v>
      </c>
      <c r="D624" s="105">
        <f t="shared" ca="1" si="180"/>
        <v>0</v>
      </c>
      <c r="E624" s="105">
        <f t="shared" ca="1" si="181"/>
        <v>0</v>
      </c>
      <c r="F624" s="105">
        <f t="shared" ca="1" si="182"/>
        <v>0</v>
      </c>
      <c r="G624" s="105">
        <f t="shared" ca="1" si="192"/>
        <v>0</v>
      </c>
      <c r="H624" s="105">
        <f t="shared" ca="1" si="193"/>
        <v>0</v>
      </c>
      <c r="I624" s="105">
        <f t="shared" ca="1" si="183"/>
        <v>0</v>
      </c>
      <c r="J624" s="105">
        <f t="shared" ca="1" si="184"/>
        <v>0</v>
      </c>
      <c r="K624" s="105">
        <f t="shared" ca="1" si="185"/>
        <v>0</v>
      </c>
      <c r="L624" s="105">
        <f t="shared" ca="1" si="194"/>
        <v>0</v>
      </c>
      <c r="M624" s="105">
        <f t="shared" ca="1" si="186"/>
        <v>0</v>
      </c>
      <c r="N624" s="105">
        <f t="shared" ca="1" si="195"/>
        <v>0</v>
      </c>
      <c r="O624" s="105">
        <f t="shared" ca="1" si="187"/>
        <v>0</v>
      </c>
      <c r="P624" s="105">
        <f t="shared" ca="1" si="188"/>
        <v>0</v>
      </c>
      <c r="Q624" s="105">
        <f t="shared" ca="1" si="189"/>
        <v>0</v>
      </c>
      <c r="R624" s="105">
        <f t="shared" ca="1" si="190"/>
        <v>0</v>
      </c>
      <c r="S624" s="105">
        <f t="shared" ca="1" si="191"/>
        <v>10</v>
      </c>
    </row>
    <row r="625" spans="1:19" x14ac:dyDescent="0.35">
      <c r="A625" s="105">
        <f t="shared" ca="1" si="177"/>
        <v>880.12999999999374</v>
      </c>
      <c r="B625" s="105">
        <f t="shared" ca="1" si="178"/>
        <v>0</v>
      </c>
      <c r="C625" s="105">
        <f t="shared" ca="1" si="179"/>
        <v>2</v>
      </c>
      <c r="D625" s="105">
        <f t="shared" ca="1" si="180"/>
        <v>0</v>
      </c>
      <c r="E625" s="105">
        <f t="shared" ca="1" si="181"/>
        <v>0</v>
      </c>
      <c r="F625" s="105">
        <f t="shared" ca="1" si="182"/>
        <v>0</v>
      </c>
      <c r="G625" s="105">
        <f t="shared" ca="1" si="192"/>
        <v>0</v>
      </c>
      <c r="H625" s="105">
        <f t="shared" ca="1" si="193"/>
        <v>0</v>
      </c>
      <c r="I625" s="105">
        <f t="shared" ca="1" si="183"/>
        <v>0</v>
      </c>
      <c r="J625" s="105">
        <f t="shared" ca="1" si="184"/>
        <v>0</v>
      </c>
      <c r="K625" s="105">
        <f t="shared" ca="1" si="185"/>
        <v>0</v>
      </c>
      <c r="L625" s="105">
        <f t="shared" ca="1" si="194"/>
        <v>0</v>
      </c>
      <c r="M625" s="105">
        <f t="shared" ca="1" si="186"/>
        <v>0</v>
      </c>
      <c r="N625" s="105">
        <f t="shared" ca="1" si="195"/>
        <v>0</v>
      </c>
      <c r="O625" s="105">
        <f t="shared" ca="1" si="187"/>
        <v>0</v>
      </c>
      <c r="P625" s="105">
        <f t="shared" ca="1" si="188"/>
        <v>0</v>
      </c>
      <c r="Q625" s="105">
        <f t="shared" ca="1" si="189"/>
        <v>0</v>
      </c>
      <c r="R625" s="105">
        <f t="shared" ca="1" si="190"/>
        <v>0</v>
      </c>
      <c r="S625" s="105">
        <f t="shared" ca="1" si="191"/>
        <v>10</v>
      </c>
    </row>
    <row r="626" spans="1:19" x14ac:dyDescent="0.35">
      <c r="A626" s="105">
        <f t="shared" ca="1" si="177"/>
        <v>881.54499999999371</v>
      </c>
      <c r="B626" s="105">
        <f t="shared" ca="1" si="178"/>
        <v>0</v>
      </c>
      <c r="C626" s="105">
        <f t="shared" ca="1" si="179"/>
        <v>2</v>
      </c>
      <c r="D626" s="105">
        <f t="shared" ca="1" si="180"/>
        <v>0</v>
      </c>
      <c r="E626" s="105">
        <f t="shared" ca="1" si="181"/>
        <v>0</v>
      </c>
      <c r="F626" s="105">
        <f t="shared" ca="1" si="182"/>
        <v>0</v>
      </c>
      <c r="G626" s="105">
        <f t="shared" ca="1" si="192"/>
        <v>0</v>
      </c>
      <c r="H626" s="105">
        <f t="shared" ca="1" si="193"/>
        <v>0</v>
      </c>
      <c r="I626" s="105">
        <f t="shared" ca="1" si="183"/>
        <v>0</v>
      </c>
      <c r="J626" s="105">
        <f t="shared" ca="1" si="184"/>
        <v>0</v>
      </c>
      <c r="K626" s="105">
        <f t="shared" ca="1" si="185"/>
        <v>0</v>
      </c>
      <c r="L626" s="105">
        <f t="shared" ca="1" si="194"/>
        <v>0</v>
      </c>
      <c r="M626" s="105">
        <f t="shared" ca="1" si="186"/>
        <v>0</v>
      </c>
      <c r="N626" s="105">
        <f t="shared" ca="1" si="195"/>
        <v>0</v>
      </c>
      <c r="O626" s="105">
        <f t="shared" ca="1" si="187"/>
        <v>0</v>
      </c>
      <c r="P626" s="105">
        <f t="shared" ca="1" si="188"/>
        <v>0</v>
      </c>
      <c r="Q626" s="105">
        <f t="shared" ca="1" si="189"/>
        <v>0</v>
      </c>
      <c r="R626" s="105">
        <f t="shared" ca="1" si="190"/>
        <v>0</v>
      </c>
      <c r="S626" s="105">
        <f t="shared" ca="1" si="191"/>
        <v>10</v>
      </c>
    </row>
    <row r="627" spans="1:19" x14ac:dyDescent="0.35">
      <c r="A627" s="105">
        <f t="shared" ca="1" si="177"/>
        <v>882.95999999999367</v>
      </c>
      <c r="B627" s="105">
        <f t="shared" ca="1" si="178"/>
        <v>0</v>
      </c>
      <c r="C627" s="105">
        <f t="shared" ca="1" si="179"/>
        <v>2</v>
      </c>
      <c r="D627" s="105">
        <f t="shared" ca="1" si="180"/>
        <v>0</v>
      </c>
      <c r="E627" s="105">
        <f t="shared" ca="1" si="181"/>
        <v>0</v>
      </c>
      <c r="F627" s="105">
        <f t="shared" ca="1" si="182"/>
        <v>0</v>
      </c>
      <c r="G627" s="105">
        <f t="shared" ca="1" si="192"/>
        <v>0</v>
      </c>
      <c r="H627" s="105">
        <f t="shared" ca="1" si="193"/>
        <v>0</v>
      </c>
      <c r="I627" s="105">
        <f t="shared" ca="1" si="183"/>
        <v>0</v>
      </c>
      <c r="J627" s="105">
        <f t="shared" ca="1" si="184"/>
        <v>0</v>
      </c>
      <c r="K627" s="105">
        <f t="shared" ca="1" si="185"/>
        <v>0</v>
      </c>
      <c r="L627" s="105">
        <f t="shared" ca="1" si="194"/>
        <v>0</v>
      </c>
      <c r="M627" s="105">
        <f t="shared" ca="1" si="186"/>
        <v>0</v>
      </c>
      <c r="N627" s="105">
        <f t="shared" ca="1" si="195"/>
        <v>0</v>
      </c>
      <c r="O627" s="105">
        <f t="shared" ca="1" si="187"/>
        <v>0</v>
      </c>
      <c r="P627" s="105">
        <f t="shared" ca="1" si="188"/>
        <v>0</v>
      </c>
      <c r="Q627" s="105">
        <f t="shared" ca="1" si="189"/>
        <v>0</v>
      </c>
      <c r="R627" s="105">
        <f t="shared" ca="1" si="190"/>
        <v>0</v>
      </c>
      <c r="S627" s="105">
        <f t="shared" ca="1" si="191"/>
        <v>10</v>
      </c>
    </row>
    <row r="628" spans="1:19" x14ac:dyDescent="0.35">
      <c r="A628" s="105">
        <f t="shared" ca="1" si="177"/>
        <v>884.37499999999363</v>
      </c>
      <c r="B628" s="105">
        <f t="shared" ca="1" si="178"/>
        <v>0</v>
      </c>
      <c r="C628" s="105">
        <f t="shared" ca="1" si="179"/>
        <v>2</v>
      </c>
      <c r="D628" s="105">
        <f t="shared" ca="1" si="180"/>
        <v>0</v>
      </c>
      <c r="E628" s="105">
        <f t="shared" ca="1" si="181"/>
        <v>0</v>
      </c>
      <c r="F628" s="105">
        <f t="shared" ca="1" si="182"/>
        <v>0</v>
      </c>
      <c r="G628" s="105">
        <f t="shared" ca="1" si="192"/>
        <v>0</v>
      </c>
      <c r="H628" s="105">
        <f t="shared" ca="1" si="193"/>
        <v>0</v>
      </c>
      <c r="I628" s="105">
        <f t="shared" ca="1" si="183"/>
        <v>0</v>
      </c>
      <c r="J628" s="105">
        <f t="shared" ca="1" si="184"/>
        <v>0</v>
      </c>
      <c r="K628" s="105">
        <f t="shared" ca="1" si="185"/>
        <v>0</v>
      </c>
      <c r="L628" s="105">
        <f t="shared" ca="1" si="194"/>
        <v>0</v>
      </c>
      <c r="M628" s="105">
        <f t="shared" ca="1" si="186"/>
        <v>0</v>
      </c>
      <c r="N628" s="105">
        <f t="shared" ca="1" si="195"/>
        <v>0</v>
      </c>
      <c r="O628" s="105">
        <f t="shared" ca="1" si="187"/>
        <v>0</v>
      </c>
      <c r="P628" s="105">
        <f t="shared" ca="1" si="188"/>
        <v>0</v>
      </c>
      <c r="Q628" s="105">
        <f t="shared" ca="1" si="189"/>
        <v>0</v>
      </c>
      <c r="R628" s="105">
        <f t="shared" ca="1" si="190"/>
        <v>0</v>
      </c>
      <c r="S628" s="105">
        <f t="shared" ca="1" si="191"/>
        <v>10</v>
      </c>
    </row>
    <row r="629" spans="1:19" x14ac:dyDescent="0.35">
      <c r="A629" s="105">
        <f t="shared" ca="1" si="177"/>
        <v>885.7899999999936</v>
      </c>
      <c r="B629" s="105">
        <f t="shared" ca="1" si="178"/>
        <v>0</v>
      </c>
      <c r="C629" s="105">
        <f t="shared" ca="1" si="179"/>
        <v>2</v>
      </c>
      <c r="D629" s="105">
        <f t="shared" ca="1" si="180"/>
        <v>0</v>
      </c>
      <c r="E629" s="105">
        <f t="shared" ca="1" si="181"/>
        <v>0</v>
      </c>
      <c r="F629" s="105">
        <f t="shared" ca="1" si="182"/>
        <v>0</v>
      </c>
      <c r="G629" s="105">
        <f t="shared" ca="1" si="192"/>
        <v>0</v>
      </c>
      <c r="H629" s="105">
        <f t="shared" ca="1" si="193"/>
        <v>0</v>
      </c>
      <c r="I629" s="105">
        <f t="shared" ca="1" si="183"/>
        <v>0</v>
      </c>
      <c r="J629" s="105">
        <f t="shared" ca="1" si="184"/>
        <v>0</v>
      </c>
      <c r="K629" s="105">
        <f t="shared" ca="1" si="185"/>
        <v>0</v>
      </c>
      <c r="L629" s="105">
        <f t="shared" ca="1" si="194"/>
        <v>0</v>
      </c>
      <c r="M629" s="105">
        <f t="shared" ca="1" si="186"/>
        <v>0</v>
      </c>
      <c r="N629" s="105">
        <f t="shared" ca="1" si="195"/>
        <v>0</v>
      </c>
      <c r="O629" s="105">
        <f t="shared" ca="1" si="187"/>
        <v>0</v>
      </c>
      <c r="P629" s="105">
        <f t="shared" ca="1" si="188"/>
        <v>0</v>
      </c>
      <c r="Q629" s="105">
        <f t="shared" ca="1" si="189"/>
        <v>0</v>
      </c>
      <c r="R629" s="105">
        <f t="shared" ca="1" si="190"/>
        <v>0</v>
      </c>
      <c r="S629" s="105">
        <f t="shared" ca="1" si="191"/>
        <v>10</v>
      </c>
    </row>
    <row r="630" spans="1:19" x14ac:dyDescent="0.35">
      <c r="A630" s="105">
        <f t="shared" ca="1" si="177"/>
        <v>887.20499999999356</v>
      </c>
      <c r="B630" s="105">
        <f t="shared" ca="1" si="178"/>
        <v>0</v>
      </c>
      <c r="C630" s="105">
        <f t="shared" ca="1" si="179"/>
        <v>2</v>
      </c>
      <c r="D630" s="105">
        <f t="shared" ca="1" si="180"/>
        <v>0</v>
      </c>
      <c r="E630" s="105">
        <f t="shared" ca="1" si="181"/>
        <v>0</v>
      </c>
      <c r="F630" s="105">
        <f t="shared" ca="1" si="182"/>
        <v>0</v>
      </c>
      <c r="G630" s="105">
        <f t="shared" ca="1" si="192"/>
        <v>0</v>
      </c>
      <c r="H630" s="105">
        <f t="shared" ca="1" si="193"/>
        <v>0</v>
      </c>
      <c r="I630" s="105">
        <f t="shared" ca="1" si="183"/>
        <v>0</v>
      </c>
      <c r="J630" s="105">
        <f t="shared" ca="1" si="184"/>
        <v>0</v>
      </c>
      <c r="K630" s="105">
        <f t="shared" ca="1" si="185"/>
        <v>0</v>
      </c>
      <c r="L630" s="105">
        <f t="shared" ca="1" si="194"/>
        <v>0</v>
      </c>
      <c r="M630" s="105">
        <f t="shared" ca="1" si="186"/>
        <v>0</v>
      </c>
      <c r="N630" s="105">
        <f t="shared" ca="1" si="195"/>
        <v>0</v>
      </c>
      <c r="O630" s="105">
        <f t="shared" ca="1" si="187"/>
        <v>0</v>
      </c>
      <c r="P630" s="105">
        <f t="shared" ca="1" si="188"/>
        <v>0</v>
      </c>
      <c r="Q630" s="105">
        <f t="shared" ca="1" si="189"/>
        <v>0</v>
      </c>
      <c r="R630" s="105">
        <f t="shared" ca="1" si="190"/>
        <v>0</v>
      </c>
      <c r="S630" s="105">
        <f t="shared" ca="1" si="191"/>
        <v>10</v>
      </c>
    </row>
    <row r="631" spans="1:19" x14ac:dyDescent="0.35">
      <c r="A631" s="105">
        <f t="shared" ca="1" si="177"/>
        <v>888.61999999999352</v>
      </c>
      <c r="B631" s="105">
        <f t="shared" ca="1" si="178"/>
        <v>0</v>
      </c>
      <c r="C631" s="105">
        <f t="shared" ca="1" si="179"/>
        <v>2</v>
      </c>
      <c r="D631" s="105">
        <f t="shared" ca="1" si="180"/>
        <v>0</v>
      </c>
      <c r="E631" s="105">
        <f t="shared" ca="1" si="181"/>
        <v>0</v>
      </c>
      <c r="F631" s="105">
        <f t="shared" ca="1" si="182"/>
        <v>0</v>
      </c>
      <c r="G631" s="105">
        <f t="shared" ca="1" si="192"/>
        <v>0</v>
      </c>
      <c r="H631" s="105">
        <f t="shared" ca="1" si="193"/>
        <v>0</v>
      </c>
      <c r="I631" s="105">
        <f t="shared" ca="1" si="183"/>
        <v>0</v>
      </c>
      <c r="J631" s="105">
        <f t="shared" ca="1" si="184"/>
        <v>0</v>
      </c>
      <c r="K631" s="105">
        <f t="shared" ca="1" si="185"/>
        <v>0</v>
      </c>
      <c r="L631" s="105">
        <f t="shared" ca="1" si="194"/>
        <v>0</v>
      </c>
      <c r="M631" s="105">
        <f t="shared" ca="1" si="186"/>
        <v>0</v>
      </c>
      <c r="N631" s="105">
        <f t="shared" ca="1" si="195"/>
        <v>0</v>
      </c>
      <c r="O631" s="105">
        <f t="shared" ca="1" si="187"/>
        <v>0</v>
      </c>
      <c r="P631" s="105">
        <f t="shared" ca="1" si="188"/>
        <v>0</v>
      </c>
      <c r="Q631" s="105">
        <f t="shared" ca="1" si="189"/>
        <v>0</v>
      </c>
      <c r="R631" s="105">
        <f t="shared" ca="1" si="190"/>
        <v>0</v>
      </c>
      <c r="S631" s="105">
        <f t="shared" ca="1" si="191"/>
        <v>10</v>
      </c>
    </row>
    <row r="632" spans="1:19" x14ac:dyDescent="0.35">
      <c r="A632" s="105">
        <f t="shared" ca="1" si="177"/>
        <v>890.03499999999349</v>
      </c>
      <c r="B632" s="105">
        <f t="shared" ca="1" si="178"/>
        <v>0</v>
      </c>
      <c r="C632" s="105">
        <f t="shared" ca="1" si="179"/>
        <v>2</v>
      </c>
      <c r="D632" s="105">
        <f t="shared" ca="1" si="180"/>
        <v>0</v>
      </c>
      <c r="E632" s="105">
        <f t="shared" ca="1" si="181"/>
        <v>0</v>
      </c>
      <c r="F632" s="105">
        <f t="shared" ca="1" si="182"/>
        <v>0</v>
      </c>
      <c r="G632" s="105">
        <f t="shared" ca="1" si="192"/>
        <v>0</v>
      </c>
      <c r="H632" s="105">
        <f t="shared" ca="1" si="193"/>
        <v>0</v>
      </c>
      <c r="I632" s="105">
        <f t="shared" ca="1" si="183"/>
        <v>0</v>
      </c>
      <c r="J632" s="105">
        <f t="shared" ca="1" si="184"/>
        <v>0</v>
      </c>
      <c r="K632" s="105">
        <f t="shared" ca="1" si="185"/>
        <v>0</v>
      </c>
      <c r="L632" s="105">
        <f t="shared" ca="1" si="194"/>
        <v>0</v>
      </c>
      <c r="M632" s="105">
        <f t="shared" ca="1" si="186"/>
        <v>0</v>
      </c>
      <c r="N632" s="105">
        <f t="shared" ca="1" si="195"/>
        <v>0</v>
      </c>
      <c r="O632" s="105">
        <f t="shared" ca="1" si="187"/>
        <v>0</v>
      </c>
      <c r="P632" s="105">
        <f t="shared" ca="1" si="188"/>
        <v>0</v>
      </c>
      <c r="Q632" s="105">
        <f t="shared" ca="1" si="189"/>
        <v>0</v>
      </c>
      <c r="R632" s="105">
        <f t="shared" ca="1" si="190"/>
        <v>0</v>
      </c>
      <c r="S632" s="105">
        <f t="shared" ca="1" si="191"/>
        <v>10</v>
      </c>
    </row>
    <row r="633" spans="1:19" x14ac:dyDescent="0.35">
      <c r="A633" s="105">
        <f t="shared" ca="1" si="177"/>
        <v>891.44999999999345</v>
      </c>
      <c r="B633" s="105">
        <f t="shared" ca="1" si="178"/>
        <v>0</v>
      </c>
      <c r="C633" s="105">
        <f t="shared" ca="1" si="179"/>
        <v>2</v>
      </c>
      <c r="D633" s="105">
        <f t="shared" ca="1" si="180"/>
        <v>0</v>
      </c>
      <c r="E633" s="105">
        <f t="shared" ca="1" si="181"/>
        <v>0</v>
      </c>
      <c r="F633" s="105">
        <f t="shared" ca="1" si="182"/>
        <v>0</v>
      </c>
      <c r="G633" s="105">
        <f t="shared" ca="1" si="192"/>
        <v>0</v>
      </c>
      <c r="H633" s="105">
        <f t="shared" ca="1" si="193"/>
        <v>0</v>
      </c>
      <c r="I633" s="105">
        <f t="shared" ca="1" si="183"/>
        <v>0</v>
      </c>
      <c r="J633" s="105">
        <f t="shared" ca="1" si="184"/>
        <v>0</v>
      </c>
      <c r="K633" s="105">
        <f t="shared" ca="1" si="185"/>
        <v>0</v>
      </c>
      <c r="L633" s="105">
        <f t="shared" ca="1" si="194"/>
        <v>0</v>
      </c>
      <c r="M633" s="105">
        <f t="shared" ca="1" si="186"/>
        <v>0</v>
      </c>
      <c r="N633" s="105">
        <f t="shared" ca="1" si="195"/>
        <v>0</v>
      </c>
      <c r="O633" s="105">
        <f t="shared" ca="1" si="187"/>
        <v>0</v>
      </c>
      <c r="P633" s="105">
        <f t="shared" ca="1" si="188"/>
        <v>0</v>
      </c>
      <c r="Q633" s="105">
        <f t="shared" ca="1" si="189"/>
        <v>0</v>
      </c>
      <c r="R633" s="105">
        <f t="shared" ca="1" si="190"/>
        <v>0</v>
      </c>
      <c r="S633" s="105">
        <f t="shared" ca="1" si="191"/>
        <v>10</v>
      </c>
    </row>
    <row r="634" spans="1:19" x14ac:dyDescent="0.35">
      <c r="A634" s="105">
        <f t="shared" ca="1" si="177"/>
        <v>892.86499999999342</v>
      </c>
      <c r="B634" s="105">
        <f t="shared" ca="1" si="178"/>
        <v>0</v>
      </c>
      <c r="C634" s="105">
        <f t="shared" ca="1" si="179"/>
        <v>2</v>
      </c>
      <c r="D634" s="105">
        <f t="shared" ca="1" si="180"/>
        <v>0</v>
      </c>
      <c r="E634" s="105">
        <f t="shared" ca="1" si="181"/>
        <v>0</v>
      </c>
      <c r="F634" s="105">
        <f t="shared" ca="1" si="182"/>
        <v>0</v>
      </c>
      <c r="G634" s="105">
        <f t="shared" ca="1" si="192"/>
        <v>0</v>
      </c>
      <c r="H634" s="105">
        <f t="shared" ca="1" si="193"/>
        <v>0</v>
      </c>
      <c r="I634" s="105">
        <f t="shared" ca="1" si="183"/>
        <v>0</v>
      </c>
      <c r="J634" s="105">
        <f t="shared" ca="1" si="184"/>
        <v>0</v>
      </c>
      <c r="K634" s="105">
        <f t="shared" ca="1" si="185"/>
        <v>0</v>
      </c>
      <c r="L634" s="105">
        <f t="shared" ca="1" si="194"/>
        <v>0</v>
      </c>
      <c r="M634" s="105">
        <f t="shared" ca="1" si="186"/>
        <v>0</v>
      </c>
      <c r="N634" s="105">
        <f t="shared" ca="1" si="195"/>
        <v>0</v>
      </c>
      <c r="O634" s="105">
        <f t="shared" ca="1" si="187"/>
        <v>0</v>
      </c>
      <c r="P634" s="105">
        <f t="shared" ca="1" si="188"/>
        <v>0</v>
      </c>
      <c r="Q634" s="105">
        <f t="shared" ca="1" si="189"/>
        <v>0</v>
      </c>
      <c r="R634" s="105">
        <f t="shared" ca="1" si="190"/>
        <v>0</v>
      </c>
      <c r="S634" s="105">
        <f t="shared" ca="1" si="191"/>
        <v>10</v>
      </c>
    </row>
    <row r="635" spans="1:19" x14ac:dyDescent="0.35">
      <c r="A635" s="105">
        <f t="shared" ca="1" si="177"/>
        <v>894.27999999999338</v>
      </c>
      <c r="B635" s="105">
        <f t="shared" ca="1" si="178"/>
        <v>0</v>
      </c>
      <c r="C635" s="105">
        <f t="shared" ca="1" si="179"/>
        <v>2</v>
      </c>
      <c r="D635" s="105">
        <f t="shared" ca="1" si="180"/>
        <v>0</v>
      </c>
      <c r="E635" s="105">
        <f t="shared" ca="1" si="181"/>
        <v>0</v>
      </c>
      <c r="F635" s="105">
        <f t="shared" ca="1" si="182"/>
        <v>0</v>
      </c>
      <c r="G635" s="105">
        <f t="shared" ca="1" si="192"/>
        <v>0</v>
      </c>
      <c r="H635" s="105">
        <f t="shared" ca="1" si="193"/>
        <v>0</v>
      </c>
      <c r="I635" s="105">
        <f t="shared" ca="1" si="183"/>
        <v>0</v>
      </c>
      <c r="J635" s="105">
        <f t="shared" ca="1" si="184"/>
        <v>0</v>
      </c>
      <c r="K635" s="105">
        <f t="shared" ca="1" si="185"/>
        <v>0</v>
      </c>
      <c r="L635" s="105">
        <f t="shared" ca="1" si="194"/>
        <v>0</v>
      </c>
      <c r="M635" s="105">
        <f t="shared" ca="1" si="186"/>
        <v>0</v>
      </c>
      <c r="N635" s="105">
        <f t="shared" ca="1" si="195"/>
        <v>0</v>
      </c>
      <c r="O635" s="105">
        <f t="shared" ca="1" si="187"/>
        <v>0</v>
      </c>
      <c r="P635" s="105">
        <f t="shared" ca="1" si="188"/>
        <v>0</v>
      </c>
      <c r="Q635" s="105">
        <f t="shared" ca="1" si="189"/>
        <v>0</v>
      </c>
      <c r="R635" s="105">
        <f t="shared" ca="1" si="190"/>
        <v>0</v>
      </c>
      <c r="S635" s="105">
        <f t="shared" ca="1" si="191"/>
        <v>10</v>
      </c>
    </row>
  </sheetData>
  <customSheetViews>
    <customSheetView guid="{1FA5F82F-E003-4967-9CFA-E539A86F7F8F}" state="hidden" topLeftCell="C1">
      <selection activeCell="G34" sqref="G34:K34"/>
      <pageMargins left="0.7" right="0.7" top="0.75" bottom="0.75" header="0.3" footer="0.3"/>
    </customSheetView>
  </customSheetViews>
  <phoneticPr fontId="11" type="noConversion"/>
  <conditionalFormatting sqref="B1:B2 B636:B1048576">
    <cfRule type="containsText" dxfId="89" priority="2" operator="containsText" text="任">
      <formula>NOT(ISERROR(SEARCH("任",B1)))</formula>
    </cfRule>
  </conditionalFormatting>
  <conditionalFormatting sqref="B3:B635">
    <cfRule type="containsText" dxfId="88" priority="1" operator="containsText" text="任">
      <formula>NOT(ISERROR(SEARCH("任",B3)))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Q96"/>
  <sheetViews>
    <sheetView topLeftCell="Q19" workbookViewId="0">
      <selection activeCell="S15" sqref="S15"/>
    </sheetView>
  </sheetViews>
  <sheetFormatPr defaultColWidth="9" defaultRowHeight="15.6" x14ac:dyDescent="0.35"/>
  <cols>
    <col min="1" max="1" width="7.6328125" customWidth="1"/>
    <col min="2" max="2" width="11.1796875" customWidth="1"/>
    <col min="3" max="3" width="8.08984375" customWidth="1"/>
    <col min="4" max="4" width="14.36328125" bestFit="1" customWidth="1"/>
    <col min="6" max="6" width="15.36328125" customWidth="1"/>
    <col min="7" max="7" width="12.81640625" bestFit="1" customWidth="1"/>
    <col min="8" max="8" width="21.453125" customWidth="1"/>
    <col min="9" max="16" width="12.81640625" bestFit="1" customWidth="1"/>
    <col min="17" max="17" width="14.1796875" customWidth="1"/>
    <col min="20" max="20" width="13.6328125" bestFit="1" customWidth="1"/>
    <col min="29" max="29" width="9.453125" bestFit="1" customWidth="1"/>
    <col min="47" max="47" width="11.54296875" customWidth="1"/>
    <col min="54" max="58" width="12.81640625" customWidth="1"/>
    <col min="69" max="76" width="9.90625" customWidth="1"/>
    <col min="79" max="81" width="12.81640625" bestFit="1" customWidth="1"/>
    <col min="82" max="82" width="12.81640625" customWidth="1"/>
    <col min="83" max="83" width="13.54296875" bestFit="1" customWidth="1"/>
    <col min="84" max="85" width="12.81640625" bestFit="1" customWidth="1"/>
    <col min="86" max="86" width="13.54296875" bestFit="1" customWidth="1"/>
    <col min="87" max="87" width="17.08984375" bestFit="1" customWidth="1"/>
    <col min="88" max="88" width="13.54296875" bestFit="1" customWidth="1"/>
  </cols>
  <sheetData>
    <row r="1" spans="2:95" x14ac:dyDescent="0.35">
      <c r="AR1" s="34">
        <f ca="1">AC37/SUM(AC37:AC40)*加速循环!Y12*加速循环!V9*D22</f>
        <v>34.080166385207626</v>
      </c>
      <c r="CN1" s="34" t="s">
        <v>1521</v>
      </c>
    </row>
    <row r="2" spans="2:95" x14ac:dyDescent="0.35">
      <c r="D2">
        <v>0</v>
      </c>
      <c r="E2">
        <f ca="1">(FLOOR(1.5*16*1024/(1024+FLOOR(I3/属性开关!U28*1024,1)),1)/16)+MAX(0,大附魔数值!I18)/1000</f>
        <v>1.3525</v>
      </c>
      <c r="F2">
        <f ca="1">(FLOOR(1.5*16*1024/(1024+FLOOR(装备库!E1114/属性开关!U28*1024,1)),1)/16)</f>
        <v>1.375</v>
      </c>
      <c r="AR2">
        <f ca="1">AE41/SUM(AE41:AE44)*加速循环!Y12*加速循环!V9*C22</f>
        <v>0</v>
      </c>
      <c r="CN2">
        <f ca="1">MAX(0,(MATCH(配装页面!AE19,属性开关!Y102:Y104,0)-2)*INT((MAX(循环!X2,循环!X1)-20)/120))*(3+1.5+8)</f>
        <v>0</v>
      </c>
      <c r="CP2">
        <f>IF(AND(CHOOSE(大附魔数值!F19,COUNTIF(配装页面!G34,"*炎枪重黎*"),COUNTIF(导出数据处理!D22,"*炎枪重黎*"))=0,配装页面!AE19="全程用"),1,MATCH(配装页面!AE19,属性开关!Y102:Y104,0))</f>
        <v>1</v>
      </c>
    </row>
    <row r="3" spans="2:95" x14ac:dyDescent="0.35">
      <c r="D3">
        <v>95</v>
      </c>
      <c r="E3">
        <f ca="1">(FLOOR((2*16-属性开关!AB25*4)*1024/(1024+FLOOR(I3/属性开关!U28*1024,1)),1)/16)</f>
        <v>1.8125</v>
      </c>
      <c r="F3">
        <f ca="1">(FLOOR(1.75*16*1024/(1024+FLOOR(I3/属性开关!U28*1024,1)),1)/16)</f>
        <v>1.5625</v>
      </c>
      <c r="G3">
        <f ca="1">MIN(5,(1.5-F2)/0.0625+1)</f>
        <v>3</v>
      </c>
      <c r="H3" s="51"/>
      <c r="I3">
        <f ca="1">CEILING((INT(16*1.5/(16*1.5-G3+1)*1024)-1023)*属性开关!U28/1024,1)</f>
        <v>8857</v>
      </c>
      <c r="AR3">
        <f ca="1">AR1+AR2</f>
        <v>34.080166385207626</v>
      </c>
      <c r="AS3" s="34" t="s">
        <v>432</v>
      </c>
      <c r="AT3" s="34" t="s">
        <v>537</v>
      </c>
      <c r="AU3" s="34"/>
      <c r="BB3">
        <f ca="1">(1*1+1*2+1*3+1*4+7*5)*BB26/IF(配装页面!Y22="60s",65,95)*属性开关!B2*IF(配装页面!Y22&lt;&gt;"无",1,0)</f>
        <v>0</v>
      </c>
      <c r="BC3">
        <f ca="1">BC26*INT(10/1.5)/79*属性开关!B2*配装页面!AB18</f>
        <v>20640.29812371463</v>
      </c>
      <c r="BH3">
        <v>30</v>
      </c>
      <c r="CA3" s="34" t="s">
        <v>730</v>
      </c>
      <c r="CB3">
        <f>正常!$CB$3</f>
        <v>70</v>
      </c>
      <c r="CD3">
        <f>C22</f>
        <v>0</v>
      </c>
      <c r="CN3">
        <f ca="1">INT((MAX(循环!X2,循环!X1)-20)/120)</f>
        <v>2</v>
      </c>
      <c r="CO3">
        <f ca="1">INT((MAX(循环!X2,循环!X1)-20)/120)</f>
        <v>2</v>
      </c>
      <c r="CP3" s="34">
        <v>0</v>
      </c>
      <c r="CQ3">
        <f ca="1">IF(CP2=2,1,INT((MAX(循环!X2,循环!X1)-20)/120)+1)</f>
        <v>3</v>
      </c>
    </row>
    <row r="4" spans="2:95" x14ac:dyDescent="0.35">
      <c r="B4" t="s">
        <v>0</v>
      </c>
      <c r="D4">
        <v>4241</v>
      </c>
      <c r="AP4">
        <f>装备库!BC1079*配装页面!AE16</f>
        <v>614985</v>
      </c>
      <c r="AS4" s="27">
        <f>307/1024*大附魔数值!Q18</f>
        <v>0</v>
      </c>
      <c r="AT4" s="27">
        <f>IF(大附魔数值!$S$5&gt;0,1,0)</f>
        <v>0</v>
      </c>
      <c r="AU4" s="27"/>
      <c r="BG4">
        <f>1-BH4</f>
        <v>0.53488372093023251</v>
      </c>
      <c r="BH4">
        <f>IF(配装页面!D32="单体木桩",0,(0.5/(0.15+1))/(0.5/(0.15+1)+0.5))</f>
        <v>0.46511627906976749</v>
      </c>
      <c r="CN4">
        <v>3</v>
      </c>
      <c r="CO4">
        <v>3</v>
      </c>
      <c r="CP4">
        <v>3</v>
      </c>
      <c r="CQ4">
        <v>2</v>
      </c>
    </row>
    <row r="5" spans="2:95" x14ac:dyDescent="0.35">
      <c r="B5" t="s">
        <v>1</v>
      </c>
      <c r="C5">
        <f ca="1">属性开关!D31</f>
        <v>24811</v>
      </c>
      <c r="F5" t="s">
        <v>2</v>
      </c>
      <c r="G5" t="s">
        <v>3</v>
      </c>
      <c r="H5" s="34" t="s">
        <v>645</v>
      </c>
      <c r="I5" t="s">
        <v>32</v>
      </c>
      <c r="J5" t="s">
        <v>4</v>
      </c>
      <c r="K5" t="s">
        <v>5</v>
      </c>
      <c r="L5" t="s">
        <v>6</v>
      </c>
      <c r="M5" s="34" t="s">
        <v>230</v>
      </c>
      <c r="N5" t="s">
        <v>7</v>
      </c>
      <c r="O5" t="s">
        <v>8</v>
      </c>
      <c r="P5" t="s">
        <v>1328</v>
      </c>
      <c r="Q5" t="str">
        <f>IF(大附魔数值!$R$40&gt;1,"刃凌","昆吾·折锋")</f>
        <v>刃凌</v>
      </c>
      <c r="R5" t="s">
        <v>9</v>
      </c>
      <c r="AM5" s="34" t="s">
        <v>1511</v>
      </c>
      <c r="AP5" s="34" t="s">
        <v>1381</v>
      </c>
      <c r="AQ5" s="34" t="s">
        <v>1382</v>
      </c>
      <c r="AR5" s="34" t="s">
        <v>1379</v>
      </c>
      <c r="AS5" s="34" t="s">
        <v>431</v>
      </c>
      <c r="AT5" s="34" t="s">
        <v>534</v>
      </c>
      <c r="AU5" s="34" t="s">
        <v>633</v>
      </c>
      <c r="AV5" s="34" t="s">
        <v>324</v>
      </c>
      <c r="AX5" s="34" t="s">
        <v>697</v>
      </c>
      <c r="AY5" s="34"/>
      <c r="AZ5" s="34" t="s">
        <v>716</v>
      </c>
      <c r="BB5" s="34" t="s">
        <v>579</v>
      </c>
      <c r="BC5" s="34" t="s">
        <v>580</v>
      </c>
      <c r="BD5" s="34" t="s">
        <v>722</v>
      </c>
      <c r="BE5" s="34" t="s">
        <v>724</v>
      </c>
      <c r="BF5" s="34" t="s">
        <v>725</v>
      </c>
      <c r="BG5" s="34" t="s">
        <v>463</v>
      </c>
      <c r="BH5" s="34" t="s">
        <v>465</v>
      </c>
      <c r="CA5" s="34" t="s">
        <v>731</v>
      </c>
      <c r="CB5" s="34" t="s">
        <v>732</v>
      </c>
      <c r="CC5" s="34" t="s">
        <v>734</v>
      </c>
      <c r="CD5" s="34" t="s">
        <v>745</v>
      </c>
      <c r="CE5" s="34" t="s">
        <v>733</v>
      </c>
      <c r="CF5" s="34" t="s">
        <v>338</v>
      </c>
      <c r="CG5" s="34" t="s">
        <v>735</v>
      </c>
      <c r="CH5" s="34" t="s">
        <v>736</v>
      </c>
      <c r="CI5" s="34" t="s">
        <v>1329</v>
      </c>
      <c r="CJ5" s="34" t="s">
        <v>737</v>
      </c>
      <c r="CK5" s="34" t="s">
        <v>738</v>
      </c>
      <c r="CN5" s="1" t="s">
        <v>1522</v>
      </c>
      <c r="CO5" s="1" t="s">
        <v>1523</v>
      </c>
      <c r="CP5" s="1" t="s">
        <v>1524</v>
      </c>
      <c r="CQ5" s="38" t="s">
        <v>1525</v>
      </c>
    </row>
    <row r="6" spans="2:95" x14ac:dyDescent="0.35">
      <c r="B6" t="s">
        <v>10</v>
      </c>
      <c r="C6" s="20">
        <f ca="1">INT(属性开关!E31)</f>
        <v>41609</v>
      </c>
      <c r="F6" t="s">
        <v>11</v>
      </c>
      <c r="G6">
        <f>INT(197 * 1.1 * 1.1*1.15*1.1*1.1*(1+属性开关!X49*0.12)*(1-属性开关!W95*0.1))/160</f>
        <v>2.0874999999999999</v>
      </c>
      <c r="H6">
        <v>0</v>
      </c>
      <c r="I6">
        <f>INT(197 * 1.1 * 1.1*1.15*(0.25+群侠万变*0.05)*1.1*1.1*(1+属性开关!X49*0.12))/160*属性开关!$AB$26</f>
        <v>0.69374999999999998</v>
      </c>
      <c r="J6">
        <f>INT(193 * 1.1*1.1*(1+属性开关!X49*0.12))/160+属性开关!T45*(INT(193 * 1.1*1.1*(1.2+属性开关!X37*0.1)*(1+属性开关!X49*0.12))/160-INT(193 * 1.1*1.1*(1+属性开关!X49*0.12))/160)</f>
        <v>1.6312500000000001</v>
      </c>
      <c r="K6">
        <f>INT(158 * 1.05*1.1*1.1*(1+属性开关!X49*0.12))/160</f>
        <v>1.4</v>
      </c>
      <c r="L6">
        <f>INT(170*(1+属性开关!X49*0.12))/160</f>
        <v>1.1875</v>
      </c>
      <c r="M6">
        <f>INT(170*(0.4+群侠万变*0.1))/160</f>
        <v>0.53125</v>
      </c>
      <c r="N6">
        <f>IF(配装页面!D26="骁勇",INT(248*1.15*1.05*1.05*1.1*(1+属性开关!X49*0.1)*(群侠万变*0.1+1)),INT(248*1.15*1.05*1.05*(1+属性开关!X49*0.1)*(群侠万变*0.1+1)))/160*9/56</f>
        <v>0.38169642857142855</v>
      </c>
      <c r="O6">
        <f ca="1">INT(F3*16-1)/160</f>
        <v>0.15</v>
      </c>
      <c r="P6">
        <f>0.95*大附魔数值!S39</f>
        <v>0.46875</v>
      </c>
      <c r="Q6">
        <f>0.38125*大附魔数值!R39</f>
        <v>0.375</v>
      </c>
      <c r="R6">
        <v>0.1</v>
      </c>
      <c r="AM6">
        <f ca="1">SUM(G69:Q69,AS44*IF(COUNTIF(INDIRECT(ADDRESS(ROW(),6)),"*雷*")&gt;0,$B$21/$D$21,1)*(1+大附魔数值!$O$10*21/1024),-J69)</f>
        <v>131886.49002620424</v>
      </c>
      <c r="AP6">
        <f>AP4*0.02</f>
        <v>12299.7</v>
      </c>
      <c r="AQ6">
        <f>AP4*0.03</f>
        <v>18449.55</v>
      </c>
      <c r="AR6">
        <f>42/160</f>
        <v>0.26250000000000001</v>
      </c>
      <c r="AS6">
        <f>50/160</f>
        <v>0.3125</v>
      </c>
      <c r="AT6">
        <v>0</v>
      </c>
      <c r="AU6">
        <f>205/160</f>
        <v>1.28125</v>
      </c>
      <c r="AV6">
        <v>0</v>
      </c>
      <c r="AX6">
        <f>160/160</f>
        <v>1</v>
      </c>
      <c r="AZ6">
        <f>INT(100*1.3)/160</f>
        <v>0.8125</v>
      </c>
      <c r="BB6" s="1">
        <f>(62-属性开关!X37*18.6-4.4*属性开关!W95)/160*(1-群侠万变)*IFERROR(IF(配装页面!Y22&lt;6,0,1),1)</f>
        <v>0</v>
      </c>
      <c r="BC6" s="1">
        <f>INT(200*1.2)/160</f>
        <v>1.5</v>
      </c>
      <c r="BD6" s="1">
        <f>INT(110*1.1*(1+群侠万变*0.15)*(1+群侠万变*0.15))/160</f>
        <v>1</v>
      </c>
      <c r="BE6" s="1">
        <f>INT(100*1.1*(1+群侠万变*0.15)*(1+群侠万变*0.15))/160</f>
        <v>0.90625</v>
      </c>
      <c r="BF6" s="1">
        <f>INT(300*1.1*(1+群侠万变*0.15)*(1+群侠万变*0.15))/160</f>
        <v>2.7250000000000001</v>
      </c>
      <c r="BG6">
        <f>INT(330 * 1.3 * 1.25 * 1.12 *0.9 *1.1)/160</f>
        <v>3.7124999999999999</v>
      </c>
      <c r="BH6">
        <f>INT(330 * 1.3 * 2 * 1.25 * (0.8+0.05*群侠万变) * 1.12 *0.9 *1.1)/160</f>
        <v>6.3125</v>
      </c>
      <c r="CA6">
        <f>INT(40 * 1.3 * 1.5 * 4 * 1.1 * 0.65 * 1.1)/160</f>
        <v>1.53125</v>
      </c>
      <c r="CB6">
        <f>INT(150*3.5*0.45*1.05*1.1)/160</f>
        <v>1.7</v>
      </c>
      <c r="CC6">
        <f>L6</f>
        <v>1.1875</v>
      </c>
      <c r="CD6">
        <f>M6</f>
        <v>0.53125</v>
      </c>
      <c r="CE6">
        <f t="shared" ref="CE6:CF14" si="0">J6</f>
        <v>1.6312500000000001</v>
      </c>
      <c r="CF6">
        <f t="shared" si="0"/>
        <v>1.4</v>
      </c>
      <c r="CG6">
        <f ca="1">O6</f>
        <v>0.15</v>
      </c>
      <c r="CH6">
        <f t="shared" ref="CH6:CH13" si="1">N6</f>
        <v>0.38169642857142855</v>
      </c>
      <c r="CI6">
        <f>Q6</f>
        <v>0.375</v>
      </c>
      <c r="CN6">
        <v>0</v>
      </c>
      <c r="CO6">
        <v>0</v>
      </c>
      <c r="CP6">
        <v>0</v>
      </c>
      <c r="CQ6">
        <v>0</v>
      </c>
    </row>
    <row r="7" spans="2:95" x14ac:dyDescent="0.35">
      <c r="B7" t="s">
        <v>12</v>
      </c>
      <c r="C7">
        <f ca="1">属性开关!F31</f>
        <v>8200</v>
      </c>
      <c r="F7" t="s">
        <v>13</v>
      </c>
      <c r="G7">
        <v>1</v>
      </c>
      <c r="H7">
        <v>0</v>
      </c>
      <c r="I7">
        <f>102/1024*属性开关!$AB$26</f>
        <v>9.9609375E-2</v>
      </c>
      <c r="J7">
        <v>1</v>
      </c>
      <c r="K7">
        <v>1</v>
      </c>
      <c r="L7">
        <v>1</v>
      </c>
      <c r="M7">
        <v>0.25</v>
      </c>
      <c r="O7">
        <v>1</v>
      </c>
      <c r="S7" s="34" t="s">
        <v>252</v>
      </c>
      <c r="T7">
        <f ca="1">INT(G$6*($E18+$E$19)/2+G$7*($C$8+$C$9)/2+G$8)*(G$14+G$15)*$D$21*IF(COUNTIF($S7,"*雷*")&gt;0,G$17*(G$13*0.25+G$9*G$10+1-G$9-G$13-G$12),G$11*(G$13*0.25+G$9*G$10+1-G$9-G$13-G$12))</f>
        <v>235670.9537941828</v>
      </c>
      <c r="U7">
        <f ca="1">INT(I$6*($E18+$E$19)/2+I$7*($C$8+$C$9)/2+I$8)*(I$14+I$15)*$D$21*IF(COUNTIF($S7,"*雷*")&gt;0,I$17*(I$13*0.25+I$9*I$10+1-I$9-I$13-I$12),I$11*(I$13*0.25+I$9*I$10+1-I$9-I$13-I$12))</f>
        <v>75557.76096672588</v>
      </c>
      <c r="V7">
        <f ca="1">INT(J$6*($E18+$E$19)/2+J$7*($C$8+$C$9)/2+J$8)*(J$14+J$15)*$D$21*IF(COUNTIF($S7,"*雷*")&gt;0,J$17*(J$13*0.25+J$9*J$10+1-J$9-J$13-J$12),J$11*(J$13*0.25+J$9*J$10+1-J$9-J$13-J$12))</f>
        <v>136840.38922865712</v>
      </c>
      <c r="W7">
        <f ca="1">INT(K$6*($E18+$E$19)/2+K$7*($C$8+$C$9)/2+K$8)*(K$14+K$15)*$D$21*IF(COUNTIF($S7,"*雷*")&gt;0,K$17*(K$13*0.25+K$9*K$10+1-K$9-K$13-K$12),K$11*(K$13*0.25+K$9*K$10+1-K$9-K$13-K$12))</f>
        <v>142827.76577910193</v>
      </c>
      <c r="AJ7" s="34" t="s">
        <v>277</v>
      </c>
      <c r="AK7" s="34" t="s">
        <v>356</v>
      </c>
      <c r="AL7" s="34" t="s">
        <v>1510</v>
      </c>
      <c r="AM7" s="34" t="s">
        <v>1512</v>
      </c>
      <c r="AP7">
        <f ca="1">加速循环!V14*3*加速循环!V8</f>
        <v>30</v>
      </c>
      <c r="AQ7">
        <f ca="1">(加速循环!V17-加速循环!V14)*(AC37/SUM(AC37:AC40)*D22+AE41/SUM(AE41:AE44)*C22)</f>
        <v>36.396294197794553</v>
      </c>
      <c r="AR7">
        <v>1</v>
      </c>
      <c r="AS7">
        <v>0</v>
      </c>
      <c r="AT7">
        <v>0</v>
      </c>
      <c r="AU7">
        <v>0</v>
      </c>
      <c r="AV7">
        <v>0</v>
      </c>
      <c r="AX7">
        <v>0</v>
      </c>
      <c r="AZ7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>
        <v>0</v>
      </c>
      <c r="BH7">
        <f>BG7</f>
        <v>0</v>
      </c>
      <c r="CA7">
        <v>1</v>
      </c>
      <c r="CB7">
        <v>1</v>
      </c>
      <c r="CC7">
        <f t="shared" ref="CC7:CD17" si="2">L7</f>
        <v>1</v>
      </c>
      <c r="CD7">
        <f t="shared" si="2"/>
        <v>0.25</v>
      </c>
      <c r="CE7">
        <f t="shared" si="0"/>
        <v>1</v>
      </c>
      <c r="CF7">
        <f t="shared" si="0"/>
        <v>1</v>
      </c>
      <c r="CG7">
        <f t="shared" ref="CG7:CG17" si="3">O7</f>
        <v>1</v>
      </c>
      <c r="CH7">
        <f t="shared" si="1"/>
        <v>0</v>
      </c>
      <c r="CI7">
        <f t="shared" ref="CI7:CI17" si="4">Q7</f>
        <v>0</v>
      </c>
      <c r="CN7">
        <v>0</v>
      </c>
      <c r="CO7">
        <v>0</v>
      </c>
      <c r="CP7">
        <v>0</v>
      </c>
      <c r="CQ7">
        <v>0</v>
      </c>
    </row>
    <row r="8" spans="2:95" x14ac:dyDescent="0.35">
      <c r="B8" t="s">
        <v>14</v>
      </c>
      <c r="C8">
        <f ca="1">属性开关!G31</f>
        <v>3282</v>
      </c>
      <c r="F8" t="s">
        <v>15</v>
      </c>
      <c r="G8">
        <f>222/2+237/2</f>
        <v>229.5</v>
      </c>
      <c r="H8">
        <f ca="1">INT((1+IF(属性开关!$U$32&lt;0,INT(属性开关!$U$32)+1,INT(属性开关!$U$32))/1048576)*属性开关!$T$17*属性开关!$U$31)</f>
        <v>100937</v>
      </c>
      <c r="I8" s="34">
        <f>22.5*属性开关!$AB$26</f>
        <v>22.5</v>
      </c>
      <c r="J8">
        <f>187/2+202/2</f>
        <v>194.5</v>
      </c>
      <c r="K8">
        <f>160/2+175/2</f>
        <v>167.5</v>
      </c>
      <c r="L8">
        <v>213</v>
      </c>
      <c r="M8">
        <v>63</v>
      </c>
      <c r="N8">
        <v>60</v>
      </c>
      <c r="P8">
        <f>IF(P6=0,0,1)*48.5</f>
        <v>48.5</v>
      </c>
      <c r="Q8">
        <f>IF(Q6=0,0,1)*IF(大附魔数值!$R$40&gt;1,48.5,109.5)</f>
        <v>48.5</v>
      </c>
      <c r="R8">
        <v>38.5</v>
      </c>
      <c r="AJ8">
        <f ca="1">(G44+I44)/(G44+H44+I44)*AM8</f>
        <v>0</v>
      </c>
      <c r="AK8">
        <f ca="1">AM8-AJ8</f>
        <v>0</v>
      </c>
      <c r="AL8">
        <f ca="1">CHOOSE(循环!V8+1,R25*循环!V14/2*(1+大附魔数值!$O$10*21/1024)/MAX(循环!$X$1,循环!$X$2),R24*循环!V14*(1+大附魔数值!$O$10*21/1024)/MAX(循环!$X$1,循环!$X$2))*配装页面!AE17</f>
        <v>0</v>
      </c>
      <c r="AM8">
        <f ca="1">CHOOSE(循环!V8+1,(AM12-AM13)*(1+大附魔数值!$O$10*21/1024)*E42,(AM10-AM11)*(1+大附魔数值!$O$10*21/1024)*E42)</f>
        <v>0</v>
      </c>
      <c r="AP8">
        <f ca="1">AP6*AP7</f>
        <v>368991</v>
      </c>
      <c r="AQ8">
        <f ca="1">AQ6*AQ7</f>
        <v>671495.24961692048</v>
      </c>
      <c r="AR8">
        <v>0</v>
      </c>
      <c r="AS8">
        <v>21.5</v>
      </c>
      <c r="AT8">
        <f>CHOOSE(大附魔数值!$S$5+1,0,1500,1690,3040)</f>
        <v>0</v>
      </c>
      <c r="AU8">
        <f>496+52/2</f>
        <v>522</v>
      </c>
      <c r="AV8" s="34">
        <v>0</v>
      </c>
      <c r="AX8">
        <f>218+23*0.5</f>
        <v>229.5</v>
      </c>
      <c r="AZ8">
        <f>78+10/2</f>
        <v>83</v>
      </c>
      <c r="BB8" s="1">
        <f>100*(1-群侠万变)*IFERROR(IF(配装页面!Y22&lt;6,0,1),1)</f>
        <v>0</v>
      </c>
      <c r="BC8" s="1">
        <f>40+17/2</f>
        <v>48.5</v>
      </c>
      <c r="BD8" s="1">
        <f>160+317/2</f>
        <v>318.5</v>
      </c>
      <c r="BE8" s="1">
        <f>78+10/2</f>
        <v>83</v>
      </c>
      <c r="BF8" s="1">
        <f>78+10/2</f>
        <v>83</v>
      </c>
      <c r="BG8">
        <f>160+317/2</f>
        <v>318.5</v>
      </c>
      <c r="BH8">
        <f t="shared" ref="BH8:BH14" si="5">BG8</f>
        <v>318.5</v>
      </c>
      <c r="CA8">
        <f>INT(445*0.95)+15/2</f>
        <v>429.5</v>
      </c>
      <c r="CB8">
        <f>180+50/2</f>
        <v>205</v>
      </c>
      <c r="CC8">
        <f t="shared" si="2"/>
        <v>213</v>
      </c>
      <c r="CD8">
        <f t="shared" si="2"/>
        <v>63</v>
      </c>
      <c r="CE8">
        <f t="shared" si="0"/>
        <v>194.5</v>
      </c>
      <c r="CF8">
        <f t="shared" si="0"/>
        <v>167.5</v>
      </c>
      <c r="CG8">
        <f t="shared" si="3"/>
        <v>0</v>
      </c>
      <c r="CH8">
        <f t="shared" si="1"/>
        <v>60</v>
      </c>
      <c r="CI8">
        <f t="shared" si="4"/>
        <v>48.5</v>
      </c>
      <c r="CN8" s="126">
        <v>6600</v>
      </c>
      <c r="CO8" s="126">
        <v>1329824</v>
      </c>
      <c r="CP8" s="126">
        <v>426789</v>
      </c>
      <c r="CQ8">
        <v>2250534</v>
      </c>
    </row>
    <row r="9" spans="2:95" x14ac:dyDescent="0.35">
      <c r="B9" t="s">
        <v>16</v>
      </c>
      <c r="C9">
        <f ca="1">属性开关!H31</f>
        <v>5470</v>
      </c>
      <c r="F9" t="s">
        <v>17</v>
      </c>
      <c r="G9" s="22">
        <f ca="1">C10+0.1*属性开关!R37+0.05*大附魔数值!Q19+属性开关!AC60</f>
        <v>0.5554469528209216</v>
      </c>
      <c r="H9" s="22">
        <f ca="1">O9</f>
        <v>0.38544695282092156</v>
      </c>
      <c r="I9" s="21">
        <f ca="1">G9*(1-G12)</f>
        <v>0.5554469528209216</v>
      </c>
      <c r="J9" s="21">
        <f ca="1">C10</f>
        <v>0.38544695282092156</v>
      </c>
      <c r="K9" s="21">
        <f ca="1">C10+IF(配装页面!D24="扬戈",0.1,0)+属性开关!AC68</f>
        <v>0.53544695282092158</v>
      </c>
      <c r="L9" s="21">
        <f ca="1">C10+属性开关!AC65</f>
        <v>0.41544695282092159</v>
      </c>
      <c r="M9" s="21">
        <f t="shared" ref="M9:M15" ca="1" si="6">L9</f>
        <v>0.41544695282092159</v>
      </c>
      <c r="N9" s="21">
        <f ca="1">C10</f>
        <v>0.38544695282092156</v>
      </c>
      <c r="O9" s="21">
        <f ca="1">N9</f>
        <v>0.38544695282092156</v>
      </c>
      <c r="P9" s="21">
        <f ca="1">C10</f>
        <v>0.38544695282092156</v>
      </c>
      <c r="Q9" s="21">
        <f t="shared" ref="Q9:Q14" ca="1" si="7">P9</f>
        <v>0.38544695282092156</v>
      </c>
      <c r="R9" s="21">
        <f ca="1">Q9</f>
        <v>0.38544695282092156</v>
      </c>
      <c r="AJ9" t="e">
        <f ca="1">AJ8/$V$51</f>
        <v>#DIV/0!</v>
      </c>
      <c r="AK9" t="e">
        <f t="shared" ref="AK9:AL9" ca="1" si="8">AK8/$V$51</f>
        <v>#DIV/0!</v>
      </c>
      <c r="AL9" t="e">
        <f t="shared" ca="1" si="8"/>
        <v>#DIV/0!</v>
      </c>
      <c r="AM9" s="34" t="s">
        <v>1514</v>
      </c>
      <c r="AQ9">
        <f ca="1">(AP8+AQ8)/加速循环!X1</f>
        <v>3468.2874987230684</v>
      </c>
      <c r="AR9" s="21">
        <f t="shared" ref="AR9:AR16" ca="1" si="9">AT9</f>
        <v>0.38544695282092156</v>
      </c>
      <c r="AS9" s="22">
        <f ca="1">$C$10</f>
        <v>0.38544695282092156</v>
      </c>
      <c r="AT9" s="22">
        <f ca="1">AV9</f>
        <v>0.38544695282092156</v>
      </c>
      <c r="AU9" s="22">
        <f ca="1">AV9</f>
        <v>0.38544695282092156</v>
      </c>
      <c r="AV9" s="21">
        <f t="shared" ref="AV9:AV14" ca="1" si="10">P9</f>
        <v>0.38544695282092156</v>
      </c>
      <c r="AX9" s="21">
        <f t="shared" ref="AX9:AX14" ca="1" si="11">AV9</f>
        <v>0.38544695282092156</v>
      </c>
      <c r="AZ9" s="21">
        <f ca="1">AX9</f>
        <v>0.38544695282092156</v>
      </c>
      <c r="BB9" s="21">
        <f ca="1">AV9</f>
        <v>0.38544695282092156</v>
      </c>
      <c r="BC9" s="21">
        <f ca="1">AV9</f>
        <v>0.38544695282092156</v>
      </c>
      <c r="BD9" s="21">
        <f t="shared" ref="BD9:BD17" ca="1" si="12">AZ9</f>
        <v>0.38544695282092156</v>
      </c>
      <c r="BE9" s="21">
        <f ca="1">BD9</f>
        <v>0.38544695282092156</v>
      </c>
      <c r="BF9" s="21">
        <f ca="1">BE9</f>
        <v>0.38544695282092156</v>
      </c>
      <c r="BG9" s="21">
        <f ca="1">AV9</f>
        <v>0.38544695282092156</v>
      </c>
      <c r="BH9">
        <f t="shared" ca="1" si="5"/>
        <v>0.38544695282092156</v>
      </c>
      <c r="CA9" s="21">
        <f ca="1">AZ9</f>
        <v>0.38544695282092156</v>
      </c>
      <c r="CB9" s="21">
        <f ca="1">AZ9</f>
        <v>0.38544695282092156</v>
      </c>
      <c r="CC9">
        <f t="shared" ca="1" si="2"/>
        <v>0.41544695282092159</v>
      </c>
      <c r="CD9">
        <f t="shared" ca="1" si="2"/>
        <v>0.41544695282092159</v>
      </c>
      <c r="CE9">
        <f t="shared" ca="1" si="0"/>
        <v>0.38544695282092156</v>
      </c>
      <c r="CF9">
        <f t="shared" ca="1" si="0"/>
        <v>0.53544695282092158</v>
      </c>
      <c r="CG9">
        <f t="shared" ca="1" si="3"/>
        <v>0.38544695282092156</v>
      </c>
      <c r="CH9">
        <f t="shared" ca="1" si="1"/>
        <v>0.38544695282092156</v>
      </c>
      <c r="CI9">
        <f t="shared" ca="1" si="4"/>
        <v>0.38544695282092156</v>
      </c>
      <c r="CN9" s="21">
        <f ca="1">$R$9</f>
        <v>0.38544695282092156</v>
      </c>
      <c r="CO9" s="21">
        <f>属性开关!$AI$47</f>
        <v>3.6249165315272347E-3</v>
      </c>
      <c r="CP9" s="21">
        <f>属性开关!$AI$47</f>
        <v>3.6249165315272347E-3</v>
      </c>
      <c r="CQ9" s="21">
        <f ca="1">$R$9-(3-CP2)*0.12</f>
        <v>0.14544695282092157</v>
      </c>
    </row>
    <row r="10" spans="2:95" x14ac:dyDescent="0.35">
      <c r="B10" t="s">
        <v>17</v>
      </c>
      <c r="C10" s="21">
        <f ca="1">属性开关!I31</f>
        <v>0.38544695282092156</v>
      </c>
      <c r="F10" t="s">
        <v>18</v>
      </c>
      <c r="G10" s="21">
        <f ca="1">C11+102/1024*属性开关!R37</f>
        <v>2.3451991236586527</v>
      </c>
      <c r="H10" s="21">
        <f ca="1">O10</f>
        <v>2.2455897486586527</v>
      </c>
      <c r="I10" s="21">
        <f ca="1">G10</f>
        <v>2.3451991236586527</v>
      </c>
      <c r="J10" s="21">
        <f ca="1">C11</f>
        <v>2.2455897486586527</v>
      </c>
      <c r="K10" s="21">
        <f ca="1">C11+IF(配装页面!D24="扬戈",0.1,0)</f>
        <v>2.3455897486586528</v>
      </c>
      <c r="L10" s="21">
        <f ca="1">C11</f>
        <v>2.2455897486586527</v>
      </c>
      <c r="M10" s="21">
        <f t="shared" ca="1" si="6"/>
        <v>2.2455897486586527</v>
      </c>
      <c r="N10" s="21">
        <f ca="1">C11</f>
        <v>2.2455897486586527</v>
      </c>
      <c r="O10" s="21">
        <f t="shared" ref="O10:O13" ca="1" si="13">N10</f>
        <v>2.2455897486586527</v>
      </c>
      <c r="P10" s="21">
        <f ca="1">C11</f>
        <v>2.2455897486586527</v>
      </c>
      <c r="Q10" s="21">
        <f t="shared" ca="1" si="7"/>
        <v>2.2455897486586527</v>
      </c>
      <c r="R10" s="21">
        <f ca="1">Q10</f>
        <v>2.2455897486586527</v>
      </c>
      <c r="AL10" s="34" t="s">
        <v>646</v>
      </c>
      <c r="AM10">
        <f ca="1">(G33+H33+I33)/AD38*AD37*D22+(G33+H33+I33)/AE42*AF41*C22</f>
        <v>555308.68955462275</v>
      </c>
      <c r="AR10" s="21">
        <f t="shared" ca="1" si="9"/>
        <v>2.2455897486586527</v>
      </c>
      <c r="AS10" s="21">
        <f ca="1">$C$11</f>
        <v>2.2455897486586527</v>
      </c>
      <c r="AT10" s="22">
        <f t="shared" ref="AT10:AT17" ca="1" si="14">AV10</f>
        <v>2.2455897486586527</v>
      </c>
      <c r="AU10" s="22">
        <f t="shared" ref="AU10:AU17" ca="1" si="15">AV10</f>
        <v>2.2455897486586527</v>
      </c>
      <c r="AV10" s="21">
        <f t="shared" ca="1" si="10"/>
        <v>2.2455897486586527</v>
      </c>
      <c r="AX10" s="21">
        <f t="shared" ca="1" si="11"/>
        <v>2.2455897486586527</v>
      </c>
      <c r="AZ10" s="21">
        <f t="shared" ref="AZ10:AZ17" ca="1" si="16">AX10</f>
        <v>2.2455897486586527</v>
      </c>
      <c r="BB10" s="21">
        <f t="shared" ref="BB10:BB14" ca="1" si="17">AV10</f>
        <v>2.2455897486586527</v>
      </c>
      <c r="BC10" s="21">
        <f t="shared" ref="BC10:BC14" ca="1" si="18">AV10</f>
        <v>2.2455897486586527</v>
      </c>
      <c r="BD10" s="21">
        <f t="shared" ca="1" si="12"/>
        <v>2.2455897486586527</v>
      </c>
      <c r="BE10" s="21">
        <f t="shared" ref="BE10:BF17" ca="1" si="19">BD10</f>
        <v>2.2455897486586527</v>
      </c>
      <c r="BF10" s="21">
        <f t="shared" ca="1" si="19"/>
        <v>2.2455897486586527</v>
      </c>
      <c r="BG10" s="21">
        <f ca="1">AV10</f>
        <v>2.2455897486586527</v>
      </c>
      <c r="BH10">
        <f t="shared" ca="1" si="5"/>
        <v>2.2455897486586527</v>
      </c>
      <c r="CA10" s="21">
        <f t="shared" ref="CA10:CA17" ca="1" si="20">AZ10</f>
        <v>2.2455897486586527</v>
      </c>
      <c r="CB10" s="21">
        <f t="shared" ref="CB10:CB17" ca="1" si="21">AZ10</f>
        <v>2.2455897486586527</v>
      </c>
      <c r="CC10">
        <f t="shared" ca="1" si="2"/>
        <v>2.2455897486586527</v>
      </c>
      <c r="CD10">
        <f t="shared" ca="1" si="2"/>
        <v>2.2455897486586527</v>
      </c>
      <c r="CE10">
        <f t="shared" ca="1" si="0"/>
        <v>2.2455897486586527</v>
      </c>
      <c r="CF10">
        <f t="shared" ca="1" si="0"/>
        <v>2.3455897486586528</v>
      </c>
      <c r="CG10">
        <f t="shared" ca="1" si="3"/>
        <v>2.2455897486586527</v>
      </c>
      <c r="CH10">
        <f t="shared" ca="1" si="1"/>
        <v>2.2455897486586527</v>
      </c>
      <c r="CI10">
        <f t="shared" ca="1" si="4"/>
        <v>2.2455897486586527</v>
      </c>
      <c r="CN10" s="21">
        <f ca="1">$R$10</f>
        <v>2.2455897486586527</v>
      </c>
      <c r="CO10" s="21">
        <f>属性开关!$AJ$47</f>
        <v>1.75</v>
      </c>
      <c r="CP10" s="21">
        <f>属性开关!$AJ$47</f>
        <v>1.75</v>
      </c>
      <c r="CQ10" s="21">
        <f ca="1">$R$10-(3-CP2)*0.24</f>
        <v>1.7655897486586527</v>
      </c>
    </row>
    <row r="11" spans="2:95" x14ac:dyDescent="0.35">
      <c r="B11" t="s">
        <v>18</v>
      </c>
      <c r="C11" s="21">
        <f ca="1">属性开关!J31</f>
        <v>2.2455897486586527</v>
      </c>
      <c r="F11" t="s">
        <v>19</v>
      </c>
      <c r="G11" s="21">
        <f ca="1">$C$12+1</f>
        <v>1.3631784794429076</v>
      </c>
      <c r="H11" s="21">
        <f ca="1">O11</f>
        <v>1.3631784794429076</v>
      </c>
      <c r="I11" s="21">
        <f ca="1">G11</f>
        <v>1.3631784794429076</v>
      </c>
      <c r="J11" s="21">
        <f ca="1">$C$12+1</f>
        <v>1.3631784794429076</v>
      </c>
      <c r="K11" s="21">
        <f ca="1">$C$12+1</f>
        <v>1.3631784794429076</v>
      </c>
      <c r="L11" s="21">
        <f t="shared" ref="L11" ca="1" si="22">$C$12+1</f>
        <v>1.3631784794429076</v>
      </c>
      <c r="M11" s="21">
        <f t="shared" ca="1" si="6"/>
        <v>1.3631784794429076</v>
      </c>
      <c r="N11" s="21">
        <f ca="1">C12+1</f>
        <v>1.3631784794429076</v>
      </c>
      <c r="O11" s="21">
        <f t="shared" ca="1" si="13"/>
        <v>1.3631784794429076</v>
      </c>
      <c r="P11" s="21">
        <f ca="1">O11</f>
        <v>1.3631784794429076</v>
      </c>
      <c r="Q11" s="21">
        <f t="shared" ca="1" si="7"/>
        <v>1.3631784794429076</v>
      </c>
      <c r="R11" s="21">
        <f ca="1">Q11</f>
        <v>1.3631784794429076</v>
      </c>
      <c r="AL11" s="34"/>
      <c r="AM11">
        <f ca="1">G33+H33+I33+J33+K33+L33</f>
        <v>347713.52763381362</v>
      </c>
      <c r="AR11" s="21">
        <f t="shared" ca="1" si="9"/>
        <v>1.3631784794429076</v>
      </c>
      <c r="AS11" s="21">
        <f ca="1">($C$12+1)*AS4</f>
        <v>0</v>
      </c>
      <c r="AT11" s="22">
        <f t="shared" ca="1" si="14"/>
        <v>1.3631784794429076</v>
      </c>
      <c r="AU11" s="22">
        <f t="shared" ca="1" si="15"/>
        <v>1.3631784794429076</v>
      </c>
      <c r="AV11" s="21">
        <f t="shared" ca="1" si="10"/>
        <v>1.3631784794429076</v>
      </c>
      <c r="AX11" s="21">
        <f t="shared" ca="1" si="11"/>
        <v>1.3631784794429076</v>
      </c>
      <c r="AZ11" s="21">
        <f t="shared" ca="1" si="16"/>
        <v>1.3631784794429076</v>
      </c>
      <c r="BB11" s="21">
        <f t="shared" ca="1" si="17"/>
        <v>1.3631784794429076</v>
      </c>
      <c r="BC11" s="21">
        <f t="shared" ca="1" si="18"/>
        <v>1.3631784794429076</v>
      </c>
      <c r="BD11" s="21">
        <f t="shared" ca="1" si="12"/>
        <v>1.3631784794429076</v>
      </c>
      <c r="BE11" s="21">
        <f t="shared" ca="1" si="19"/>
        <v>1.3631784794429076</v>
      </c>
      <c r="BF11" s="21">
        <f t="shared" ca="1" si="19"/>
        <v>1.3631784794429076</v>
      </c>
      <c r="BG11" s="21">
        <f ca="1">$C$12+1</f>
        <v>1.3631784794429076</v>
      </c>
      <c r="BH11">
        <f t="shared" ca="1" si="5"/>
        <v>1.3631784794429076</v>
      </c>
      <c r="CA11" s="21">
        <f t="shared" ca="1" si="20"/>
        <v>1.3631784794429076</v>
      </c>
      <c r="CB11" s="21">
        <f t="shared" ca="1" si="21"/>
        <v>1.3631784794429076</v>
      </c>
      <c r="CC11">
        <f t="shared" ca="1" si="2"/>
        <v>1.3631784794429076</v>
      </c>
      <c r="CD11">
        <f t="shared" ca="1" si="2"/>
        <v>1.3631784794429076</v>
      </c>
      <c r="CE11">
        <f t="shared" ca="1" si="0"/>
        <v>1.3631784794429076</v>
      </c>
      <c r="CF11">
        <f t="shared" ca="1" si="0"/>
        <v>1.3631784794429076</v>
      </c>
      <c r="CG11">
        <f t="shared" ca="1" si="3"/>
        <v>1.3631784794429076</v>
      </c>
      <c r="CH11">
        <f t="shared" ca="1" si="1"/>
        <v>1.3631784794429076</v>
      </c>
      <c r="CI11">
        <f t="shared" ca="1" si="4"/>
        <v>1.3631784794429076</v>
      </c>
      <c r="CN11" s="21">
        <f ca="1">$R$11</f>
        <v>1.3631784794429076</v>
      </c>
      <c r="CO11" s="21">
        <v>1</v>
      </c>
      <c r="CP11" s="21">
        <v>1</v>
      </c>
      <c r="CQ11" s="21">
        <f t="shared" ref="CQ11" ca="1" si="23">$R$11</f>
        <v>1.3631784794429076</v>
      </c>
    </row>
    <row r="12" spans="2:95" x14ac:dyDescent="0.35">
      <c r="B12" t="s">
        <v>20</v>
      </c>
      <c r="C12" s="21">
        <f ca="1">(属性开关!K31)/属性开关!U25</f>
        <v>0.36317847944290754</v>
      </c>
      <c r="D12" s="22">
        <f ca="1">(属性开关!K32)/属性开关!U25</f>
        <v>0.36317847944290754</v>
      </c>
      <c r="F12" t="s">
        <v>21</v>
      </c>
      <c r="G12" s="21">
        <f>MAX(0,$C$15-$C$13-属性开关!$AB$60)</f>
        <v>0</v>
      </c>
      <c r="H12" s="21">
        <f>O12</f>
        <v>0</v>
      </c>
      <c r="I12" s="21">
        <f>G12+(1-G12)*G12</f>
        <v>0</v>
      </c>
      <c r="J12" s="21">
        <f>MAX(0,$C$15-$C$13-属性开关!AB62)</f>
        <v>0</v>
      </c>
      <c r="K12" s="21">
        <f t="shared" ref="K12:N12" si="24">MAX(0,$C$15-$C$13)</f>
        <v>0</v>
      </c>
      <c r="L12" s="21">
        <f t="shared" si="24"/>
        <v>0</v>
      </c>
      <c r="M12" s="21">
        <f t="shared" si="6"/>
        <v>0</v>
      </c>
      <c r="N12" s="21">
        <f t="shared" si="24"/>
        <v>0</v>
      </c>
      <c r="O12" s="21">
        <f t="shared" si="13"/>
        <v>0</v>
      </c>
      <c r="P12" s="21">
        <f>O12</f>
        <v>0</v>
      </c>
      <c r="Q12" s="21">
        <f t="shared" si="7"/>
        <v>0</v>
      </c>
      <c r="R12" s="21">
        <f>Q12</f>
        <v>0</v>
      </c>
      <c r="AL12" s="34" t="s">
        <v>1513</v>
      </c>
      <c r="AM12">
        <f ca="1">(G48+H48+I48)/AD38*AD37*D22+(G48+H48+I48)/AE42*AF41*C22</f>
        <v>480913.45415635704</v>
      </c>
      <c r="AR12" s="21">
        <f t="shared" si="9"/>
        <v>0</v>
      </c>
      <c r="AS12" s="21">
        <f>MAX(0,$C$15-$C$13-属性开关!$AB$60)</f>
        <v>0</v>
      </c>
      <c r="AT12" s="22">
        <f t="shared" si="14"/>
        <v>0</v>
      </c>
      <c r="AU12" s="22">
        <f t="shared" si="15"/>
        <v>0</v>
      </c>
      <c r="AV12" s="21">
        <f t="shared" si="10"/>
        <v>0</v>
      </c>
      <c r="AX12" s="21">
        <f t="shared" si="11"/>
        <v>0</v>
      </c>
      <c r="AZ12" s="21">
        <f t="shared" si="16"/>
        <v>0</v>
      </c>
      <c r="BB12" s="21">
        <f t="shared" si="17"/>
        <v>0</v>
      </c>
      <c r="BC12" s="21">
        <f t="shared" si="18"/>
        <v>0</v>
      </c>
      <c r="BD12" s="21">
        <f t="shared" si="12"/>
        <v>0</v>
      </c>
      <c r="BE12" s="21">
        <f t="shared" si="19"/>
        <v>0</v>
      </c>
      <c r="BF12" s="21">
        <f t="shared" si="19"/>
        <v>0</v>
      </c>
      <c r="BG12" s="21">
        <f>MAX(0,$C$15-$C$13-属性开关!BG62)</f>
        <v>0</v>
      </c>
      <c r="BH12">
        <f t="shared" si="5"/>
        <v>0</v>
      </c>
      <c r="CA12" s="21">
        <f t="shared" si="20"/>
        <v>0</v>
      </c>
      <c r="CB12" s="21">
        <f t="shared" si="21"/>
        <v>0</v>
      </c>
      <c r="CC12">
        <f t="shared" si="2"/>
        <v>0</v>
      </c>
      <c r="CD12">
        <f t="shared" si="2"/>
        <v>0</v>
      </c>
      <c r="CE12">
        <f t="shared" si="0"/>
        <v>0</v>
      </c>
      <c r="CF12">
        <f t="shared" si="0"/>
        <v>0</v>
      </c>
      <c r="CG12">
        <f t="shared" si="3"/>
        <v>0</v>
      </c>
      <c r="CH12">
        <f t="shared" si="1"/>
        <v>0</v>
      </c>
      <c r="CI12">
        <f t="shared" si="4"/>
        <v>0</v>
      </c>
      <c r="CN12" s="21">
        <f>$R$12</f>
        <v>0</v>
      </c>
      <c r="CO12" s="21">
        <f t="shared" ref="CO12:CQ12" si="25">$R$12</f>
        <v>0</v>
      </c>
      <c r="CP12" s="21">
        <f t="shared" si="25"/>
        <v>0</v>
      </c>
      <c r="CQ12" s="21">
        <f t="shared" si="25"/>
        <v>0</v>
      </c>
    </row>
    <row r="13" spans="2:95" x14ac:dyDescent="0.35">
      <c r="B13" t="s">
        <v>22</v>
      </c>
      <c r="C13" s="21">
        <f>属性开关!L31</f>
        <v>1</v>
      </c>
      <c r="F13" t="s">
        <v>23</v>
      </c>
      <c r="G13" s="21">
        <f ca="1">MAX(0,$C$16-$C$14)</f>
        <v>0</v>
      </c>
      <c r="H13" s="21">
        <f ca="1">O13</f>
        <v>0</v>
      </c>
      <c r="I13" s="21">
        <f ca="1">G13*(1-G12)</f>
        <v>0</v>
      </c>
      <c r="J13" s="21">
        <f ca="1">MAX(0,$C$16-$C$14)</f>
        <v>0</v>
      </c>
      <c r="K13" s="21">
        <f t="shared" ref="K13:N13" ca="1" si="26">MAX(0,$C$16-$C$14)</f>
        <v>0</v>
      </c>
      <c r="L13" s="21">
        <f t="shared" ca="1" si="26"/>
        <v>0</v>
      </c>
      <c r="M13" s="21">
        <f t="shared" ca="1" si="6"/>
        <v>0</v>
      </c>
      <c r="N13" s="21">
        <f t="shared" ca="1" si="26"/>
        <v>0</v>
      </c>
      <c r="O13" s="21">
        <f t="shared" ca="1" si="13"/>
        <v>0</v>
      </c>
      <c r="P13" s="21">
        <f ca="1">O13</f>
        <v>0</v>
      </c>
      <c r="Q13" s="21">
        <f t="shared" ca="1" si="7"/>
        <v>0</v>
      </c>
      <c r="R13" s="21">
        <f ca="1">Q13</f>
        <v>0</v>
      </c>
      <c r="AM13">
        <f ca="1">G48+H48+I48+J48+K48+L48</f>
        <v>295520.48858272401</v>
      </c>
      <c r="AR13" s="21">
        <f t="shared" ca="1" si="9"/>
        <v>0</v>
      </c>
      <c r="AS13" s="21">
        <f ca="1">MAX(0,$C$16-$C$14)</f>
        <v>0</v>
      </c>
      <c r="AT13" s="22">
        <f t="shared" ca="1" si="14"/>
        <v>0</v>
      </c>
      <c r="AU13" s="22">
        <f t="shared" ca="1" si="15"/>
        <v>0</v>
      </c>
      <c r="AV13" s="21">
        <f t="shared" ca="1" si="10"/>
        <v>0</v>
      </c>
      <c r="AX13" s="21">
        <f t="shared" ca="1" si="11"/>
        <v>0</v>
      </c>
      <c r="AZ13" s="21">
        <f t="shared" ca="1" si="16"/>
        <v>0</v>
      </c>
      <c r="BB13" s="21">
        <f t="shared" ca="1" si="17"/>
        <v>0</v>
      </c>
      <c r="BC13" s="21">
        <f t="shared" ca="1" si="18"/>
        <v>0</v>
      </c>
      <c r="BD13" s="21">
        <f t="shared" ca="1" si="12"/>
        <v>0</v>
      </c>
      <c r="BE13" s="21">
        <f t="shared" ca="1" si="19"/>
        <v>0</v>
      </c>
      <c r="BF13" s="21">
        <f t="shared" ca="1" si="19"/>
        <v>0</v>
      </c>
      <c r="BG13" s="21">
        <f ca="1">MAX(0,$C$16-$C$14)</f>
        <v>0</v>
      </c>
      <c r="BH13">
        <f t="shared" ca="1" si="5"/>
        <v>0</v>
      </c>
      <c r="CA13" s="21">
        <f t="shared" ca="1" si="20"/>
        <v>0</v>
      </c>
      <c r="CB13" s="21">
        <f t="shared" ca="1" si="21"/>
        <v>0</v>
      </c>
      <c r="CC13">
        <f t="shared" ca="1" si="2"/>
        <v>0</v>
      </c>
      <c r="CD13">
        <f t="shared" ca="1" si="2"/>
        <v>0</v>
      </c>
      <c r="CE13">
        <f t="shared" ca="1" si="0"/>
        <v>0</v>
      </c>
      <c r="CF13">
        <f t="shared" ca="1" si="0"/>
        <v>0</v>
      </c>
      <c r="CG13">
        <f t="shared" ca="1" si="3"/>
        <v>0</v>
      </c>
      <c r="CH13">
        <f t="shared" ca="1" si="1"/>
        <v>0</v>
      </c>
      <c r="CI13">
        <f t="shared" ca="1" si="4"/>
        <v>0</v>
      </c>
      <c r="CN13" s="21">
        <f ca="1">$R$13</f>
        <v>0</v>
      </c>
      <c r="CO13" s="21">
        <f t="shared" ref="CO13:CQ13" ca="1" si="27">$R$13</f>
        <v>0</v>
      </c>
      <c r="CP13" s="21">
        <f t="shared" ca="1" si="27"/>
        <v>0</v>
      </c>
      <c r="CQ13" s="21">
        <f t="shared" ca="1" si="27"/>
        <v>0</v>
      </c>
    </row>
    <row r="14" spans="2:95" x14ac:dyDescent="0.35">
      <c r="B14" t="s">
        <v>24</v>
      </c>
      <c r="C14" s="21">
        <f ca="1">属性开关!M31</f>
        <v>0.39590155554896006</v>
      </c>
      <c r="F14" t="s">
        <v>25</v>
      </c>
      <c r="G14">
        <f ca="1">1+属性开关!N31+属性开关!C40*0.1+属性开关!AA60</f>
        <v>1.3848305481229386</v>
      </c>
      <c r="H14" s="21">
        <f ca="1">1+属性开关!N31</f>
        <v>1.1949867981229385</v>
      </c>
      <c r="I14" s="21">
        <f ca="1">1+属性开关!C40*0.1+属性开关!AA60+属性开关!N31</f>
        <v>1.3848305481229386</v>
      </c>
      <c r="J14">
        <f ca="1">1+属性开关!N31+属性开关!AA62+大附魔数值!Q18*0.05</f>
        <v>1.3151039856229385</v>
      </c>
      <c r="K14">
        <f ca="1">1+属性开关!N31+属性开关!T45*(205+属性开关!X37*102)/1024+属性开关!AA68+大附魔数值!Q18*0.05+IF(配装页面!D24="封侯",102/1024,0)</f>
        <v>1.2652992981229385</v>
      </c>
      <c r="L14">
        <f ca="1">1+属性开关!N31+属性开关!AA65+512/1024*大附魔数值!O21*0</f>
        <v>1.2652992981229385</v>
      </c>
      <c r="M14" s="21">
        <f t="shared" ca="1" si="6"/>
        <v>1.2652992981229385</v>
      </c>
      <c r="N14">
        <f ca="1">IF(配装页面!D27="击水",3,2)*(1+属性开关!N31)</f>
        <v>2.389973596245877</v>
      </c>
      <c r="O14">
        <f ca="1">1+属性开关!N31+205/1024</f>
        <v>1.3951821106229385</v>
      </c>
      <c r="P14">
        <f ca="1">1++属性开关!N31</f>
        <v>1.1949867981229385</v>
      </c>
      <c r="Q14" s="21">
        <f t="shared" ca="1" si="7"/>
        <v>1.1949867981229385</v>
      </c>
      <c r="R14" s="21">
        <f ca="1">1+属性开关!N31+属性开关!AA70</f>
        <v>1.2652992981229385</v>
      </c>
      <c r="AR14" s="21">
        <f t="shared" ca="1" si="9"/>
        <v>1.1949867981229385</v>
      </c>
      <c r="AS14" s="21">
        <f ca="1">AV14</f>
        <v>1.1949867981229385</v>
      </c>
      <c r="AT14" s="22">
        <f t="shared" ca="1" si="14"/>
        <v>1.1949867981229385</v>
      </c>
      <c r="AU14" s="22">
        <f t="shared" ca="1" si="15"/>
        <v>1.1949867981229385</v>
      </c>
      <c r="AV14" s="21">
        <f t="shared" ca="1" si="10"/>
        <v>1.1949867981229385</v>
      </c>
      <c r="AX14" s="21">
        <f t="shared" ca="1" si="11"/>
        <v>1.1949867981229385</v>
      </c>
      <c r="AZ14" s="21">
        <f t="shared" ca="1" si="16"/>
        <v>1.1949867981229385</v>
      </c>
      <c r="BB14" s="21">
        <f t="shared" ca="1" si="17"/>
        <v>1.1949867981229385</v>
      </c>
      <c r="BC14" s="21">
        <f t="shared" ca="1" si="18"/>
        <v>1.1949867981229385</v>
      </c>
      <c r="BD14" s="21">
        <f t="shared" ca="1" si="12"/>
        <v>1.1949867981229385</v>
      </c>
      <c r="BE14" s="21">
        <f t="shared" ca="1" si="19"/>
        <v>1.1949867981229385</v>
      </c>
      <c r="BF14" s="21">
        <f t="shared" ca="1" si="19"/>
        <v>1.1949867981229385</v>
      </c>
      <c r="BG14" s="21">
        <f ca="1">AV14</f>
        <v>1.1949867981229385</v>
      </c>
      <c r="BH14">
        <f t="shared" ca="1" si="5"/>
        <v>1.1949867981229385</v>
      </c>
      <c r="CA14" s="21">
        <f ca="1">$AZ$14+10/1024*(1+$CB$30)*$CB$30/2*$CB$3/$CB$30/$CB$30</f>
        <v>1.5989285594865748</v>
      </c>
      <c r="CB14" s="21">
        <f ca="1">AZ14+CB3*10/1024</f>
        <v>1.8785805481229385</v>
      </c>
      <c r="CC14">
        <f ca="1">L14+CB3*10/1024*0.8</f>
        <v>1.8121742981229385</v>
      </c>
      <c r="CD14" s="21">
        <f ca="1">M14+CB3*10/1024*0.8</f>
        <v>1.8121742981229385</v>
      </c>
      <c r="CE14">
        <f ca="1">J14+CB3*10/1024*0.8</f>
        <v>1.8619789856229385</v>
      </c>
      <c r="CF14">
        <f t="shared" ca="1" si="0"/>
        <v>1.2652992981229385</v>
      </c>
      <c r="CG14">
        <f t="shared" ca="1" si="3"/>
        <v>1.3951821106229385</v>
      </c>
      <c r="CH14">
        <f ca="1">IF(配装页面!D27="击水",3,2)*(1+属性开关!N31+CB3*10/1024*0.8)</f>
        <v>3.483723596245877</v>
      </c>
      <c r="CI14" s="115">
        <f ca="1">Q14+$CB$3/4*10/1024</f>
        <v>1.3658852356229385</v>
      </c>
      <c r="CN14" s="21">
        <f ca="1">1+属性开关!N31-循环!$Y$11*72*3*属性开关!AB32/1024</f>
        <v>1.0081564409800814</v>
      </c>
      <c r="CO14" s="21">
        <f ca="1">1+属性开关!N31-循环!$Y$11*72*3*属性开关!AB32/1024</f>
        <v>1.0081564409800814</v>
      </c>
      <c r="CP14" s="21">
        <f ca="1">1+属性开关!N31-循环!$Y$11*72*3*属性开关!AB32/1024</f>
        <v>1.0081564409800814</v>
      </c>
      <c r="CQ14" s="21">
        <f ca="1">1+属性开关!N31-循环!$Y$11*72*3*属性开关!AB32/1024</f>
        <v>1.0081564409800814</v>
      </c>
    </row>
    <row r="15" spans="2:95" x14ac:dyDescent="0.35">
      <c r="B15" t="s">
        <v>26</v>
      </c>
      <c r="C15" s="27">
        <v>0.9</v>
      </c>
      <c r="F15" s="34" t="s">
        <v>231</v>
      </c>
      <c r="G15" s="36">
        <f>D39</f>
        <v>0.25</v>
      </c>
      <c r="H15" s="36">
        <f>0</f>
        <v>0</v>
      </c>
      <c r="I15" s="36">
        <f>G15</f>
        <v>0.25</v>
      </c>
      <c r="J15" s="36">
        <f>D36</f>
        <v>9.9609375E-2</v>
      </c>
      <c r="K15" s="36">
        <f>D38</f>
        <v>0.2001953125</v>
      </c>
      <c r="L15" s="36">
        <f>D36</f>
        <v>9.9609375E-2</v>
      </c>
      <c r="M15" s="36">
        <f t="shared" si="6"/>
        <v>9.9609375E-2</v>
      </c>
      <c r="N15">
        <v>0</v>
      </c>
      <c r="AR15" s="21">
        <f t="shared" si="9"/>
        <v>0</v>
      </c>
      <c r="AS15" s="36"/>
      <c r="AT15" s="22">
        <f t="shared" si="14"/>
        <v>0</v>
      </c>
      <c r="AU15" s="22">
        <f t="shared" si="15"/>
        <v>0</v>
      </c>
      <c r="AX15" s="21">
        <f t="shared" ref="AX15:AX17" si="28">AV15</f>
        <v>0</v>
      </c>
      <c r="AZ15" s="21">
        <f t="shared" si="16"/>
        <v>0</v>
      </c>
      <c r="BD15" s="21">
        <f t="shared" si="12"/>
        <v>0</v>
      </c>
      <c r="BE15" s="21">
        <f t="shared" si="19"/>
        <v>0</v>
      </c>
      <c r="BF15" s="21">
        <f t="shared" si="19"/>
        <v>0</v>
      </c>
      <c r="BG15" s="36"/>
      <c r="CA15" s="21">
        <f t="shared" si="20"/>
        <v>0</v>
      </c>
      <c r="CB15" s="21">
        <f t="shared" si="21"/>
        <v>0</v>
      </c>
      <c r="CC15">
        <f t="shared" si="2"/>
        <v>9.9609375E-2</v>
      </c>
      <c r="CD15">
        <f t="shared" si="2"/>
        <v>9.9609375E-2</v>
      </c>
      <c r="CE15">
        <f t="shared" ref="CE15:CF17" si="29">J15</f>
        <v>9.9609375E-2</v>
      </c>
      <c r="CF15">
        <f t="shared" si="29"/>
        <v>0.2001953125</v>
      </c>
      <c r="CG15">
        <f t="shared" si="3"/>
        <v>0</v>
      </c>
      <c r="CH15">
        <f>N15</f>
        <v>0</v>
      </c>
      <c r="CI15">
        <f t="shared" si="4"/>
        <v>0</v>
      </c>
      <c r="CN15" s="21">
        <f>$R$15</f>
        <v>0</v>
      </c>
      <c r="CO15" s="21">
        <f t="shared" ref="CO15:CQ15" si="30">$R$15</f>
        <v>0</v>
      </c>
      <c r="CP15" s="21">
        <f t="shared" si="30"/>
        <v>0</v>
      </c>
      <c r="CQ15" s="21">
        <f t="shared" si="30"/>
        <v>0</v>
      </c>
    </row>
    <row r="16" spans="2:95" x14ac:dyDescent="0.35">
      <c r="B16" t="s">
        <v>27</v>
      </c>
      <c r="C16" s="27">
        <v>0</v>
      </c>
      <c r="F16" s="34" t="s">
        <v>232</v>
      </c>
      <c r="G16" s="21">
        <f ca="1">MIN(1-G12-G13,G9+0.3+属性开关!$X$55)</f>
        <v>0.85544695282092165</v>
      </c>
      <c r="H16" s="21">
        <f ca="1">MIN(1-H12-H13,H9+0.3+属性开关!$X$55)</f>
        <v>0.6854469528209215</v>
      </c>
      <c r="I16" s="21">
        <f ca="1">MIN(1-I12-I13,I9+0.3+属性开关!$X$55)</f>
        <v>0.85544695282092165</v>
      </c>
      <c r="J16" s="21">
        <f ca="1">MIN(1-J12-J13,J9+0.3+属性开关!$X$55)</f>
        <v>0.6854469528209215</v>
      </c>
      <c r="K16" s="21">
        <f ca="1">MIN(1-K12-K13,K9+0.3+属性开关!$X$55)</f>
        <v>0.83544695282092163</v>
      </c>
      <c r="L16" s="21">
        <f ca="1">MIN(1-L12-L13,L9+0.3+属性开关!$X$55)</f>
        <v>0.71544695282092152</v>
      </c>
      <c r="M16" s="21">
        <f ca="1">MIN(1-M12-M13,M9+0.3+属性开关!$X$55)</f>
        <v>0.71544695282092152</v>
      </c>
      <c r="N16" s="21">
        <f ca="1">MIN(1-N12-N13,N9+0.3+属性开关!$X$55)</f>
        <v>0.6854469528209215</v>
      </c>
      <c r="O16" s="21">
        <f ca="1">MIN(1-O12-O13,O9+0.3+属性开关!$X$55)</f>
        <v>0.6854469528209215</v>
      </c>
      <c r="P16" s="21">
        <f ca="1">MIN(1-P12-P13,P9+0.3+属性开关!$X$55)</f>
        <v>0.6854469528209215</v>
      </c>
      <c r="Q16" s="21">
        <f ca="1">MIN(1-Q12-Q13,Q9+0.3+属性开关!$X$55)</f>
        <v>0.6854469528209215</v>
      </c>
      <c r="R16" s="21">
        <f ca="1">MIN(1-R12-R13,R9+0.3+属性开关!$X$55)</f>
        <v>0.6854469528209215</v>
      </c>
      <c r="AR16" s="21">
        <f t="shared" ca="1" si="9"/>
        <v>0.6854469528209215</v>
      </c>
      <c r="AS16" s="21">
        <f ca="1">MIN(1-AS12-AS13,AS9+0.3+属性开关!$X$55)</f>
        <v>0.6854469528209215</v>
      </c>
      <c r="AT16" s="22">
        <f t="shared" ca="1" si="14"/>
        <v>0.6854469528209215</v>
      </c>
      <c r="AU16" s="22">
        <f t="shared" ca="1" si="15"/>
        <v>0.6854469528209215</v>
      </c>
      <c r="AV16" s="21">
        <f ca="1">MIN(1-AV12-AV13,AV9+0.3+属性开关!$X$55)</f>
        <v>0.6854469528209215</v>
      </c>
      <c r="AX16" s="21">
        <f t="shared" ca="1" si="28"/>
        <v>0.6854469528209215</v>
      </c>
      <c r="AZ16" s="21">
        <f t="shared" ca="1" si="16"/>
        <v>0.6854469528209215</v>
      </c>
      <c r="BB16" s="21">
        <f ca="1">AV16</f>
        <v>0.6854469528209215</v>
      </c>
      <c r="BC16" s="21">
        <f ca="1">AV16</f>
        <v>0.6854469528209215</v>
      </c>
      <c r="BD16" s="21">
        <f t="shared" ca="1" si="12"/>
        <v>0.6854469528209215</v>
      </c>
      <c r="BE16" s="21">
        <f t="shared" ca="1" si="19"/>
        <v>0.6854469528209215</v>
      </c>
      <c r="BF16" s="21">
        <f t="shared" ca="1" si="19"/>
        <v>0.6854469528209215</v>
      </c>
      <c r="BG16" s="21">
        <f ca="1">MIN(1-BG12-BG13,BG9+0.3+属性开关!$X$55)</f>
        <v>0.6854469528209215</v>
      </c>
      <c r="BH16" s="21">
        <f ca="1">BG16</f>
        <v>0.6854469528209215</v>
      </c>
      <c r="CA16" s="21">
        <f t="shared" ca="1" si="20"/>
        <v>0.6854469528209215</v>
      </c>
      <c r="CB16" s="21">
        <f t="shared" ca="1" si="21"/>
        <v>0.6854469528209215</v>
      </c>
      <c r="CC16">
        <f t="shared" ca="1" si="2"/>
        <v>0.71544695282092152</v>
      </c>
      <c r="CD16">
        <f t="shared" ca="1" si="2"/>
        <v>0.71544695282092152</v>
      </c>
      <c r="CE16">
        <f t="shared" ca="1" si="29"/>
        <v>0.6854469528209215</v>
      </c>
      <c r="CF16">
        <f t="shared" ca="1" si="29"/>
        <v>0.83544695282092163</v>
      </c>
      <c r="CG16">
        <f t="shared" ca="1" si="3"/>
        <v>0.6854469528209215</v>
      </c>
      <c r="CH16">
        <f ca="1">N16</f>
        <v>0.6854469528209215</v>
      </c>
      <c r="CI16">
        <f t="shared" ca="1" si="4"/>
        <v>0.6854469528209215</v>
      </c>
      <c r="CN16" s="21">
        <f ca="1">$R$16</f>
        <v>0.6854469528209215</v>
      </c>
      <c r="CO16" s="21">
        <f t="shared" ref="CO16:CQ16" ca="1" si="31">$R$16</f>
        <v>0.6854469528209215</v>
      </c>
      <c r="CP16" s="21">
        <f t="shared" ca="1" si="31"/>
        <v>0.6854469528209215</v>
      </c>
      <c r="CQ16" s="21">
        <f t="shared" ca="1" si="31"/>
        <v>0.6854469528209215</v>
      </c>
    </row>
    <row r="17" spans="1:95" x14ac:dyDescent="0.35">
      <c r="B17" t="s">
        <v>28</v>
      </c>
      <c r="C17" s="21">
        <f>D17/(D17+C18)</f>
        <v>0.34999882486782941</v>
      </c>
      <c r="D17">
        <f>CHOOSE(B24,11073,15528,26317,27550)</f>
        <v>27550</v>
      </c>
      <c r="F17" s="34" t="s">
        <v>233</v>
      </c>
      <c r="G17" s="22">
        <f ca="1">$D$12+1</f>
        <v>1.3631784794429076</v>
      </c>
      <c r="H17" s="22">
        <f ca="1">$D$12+1</f>
        <v>1.3631784794429076</v>
      </c>
      <c r="I17" s="21">
        <f ca="1">G17</f>
        <v>1.3631784794429076</v>
      </c>
      <c r="J17" s="22">
        <f ca="1">$D$12+1</f>
        <v>1.3631784794429076</v>
      </c>
      <c r="K17" s="22">
        <f ca="1">$D$12+1</f>
        <v>1.3631784794429076</v>
      </c>
      <c r="L17" s="21">
        <f ca="1">$D$12+1</f>
        <v>1.3631784794429076</v>
      </c>
      <c r="M17" s="21">
        <f ca="1">$D$12+1</f>
        <v>1.3631784794429076</v>
      </c>
      <c r="N17" s="22">
        <f ca="1">D12+1</f>
        <v>1.3631784794429076</v>
      </c>
      <c r="O17" s="22">
        <f ca="1">N17</f>
        <v>1.3631784794429076</v>
      </c>
      <c r="P17" s="22">
        <f t="shared" ref="P17:R17" ca="1" si="32">O17</f>
        <v>1.3631784794429076</v>
      </c>
      <c r="Q17" s="22">
        <f t="shared" ca="1" si="32"/>
        <v>1.3631784794429076</v>
      </c>
      <c r="R17" s="22">
        <f t="shared" ca="1" si="32"/>
        <v>1.3631784794429076</v>
      </c>
      <c r="AR17" s="21">
        <f ca="1">AT17</f>
        <v>1.3631784794429076</v>
      </c>
      <c r="AS17" s="22">
        <f ca="1">($D$12+1)*AS4</f>
        <v>0</v>
      </c>
      <c r="AT17" s="22">
        <f t="shared" ca="1" si="14"/>
        <v>1.3631784794429076</v>
      </c>
      <c r="AU17" s="22">
        <f t="shared" ca="1" si="15"/>
        <v>1.3631784794429076</v>
      </c>
      <c r="AV17" s="22">
        <f ca="1">P17</f>
        <v>1.3631784794429076</v>
      </c>
      <c r="AX17" s="21">
        <f t="shared" ca="1" si="28"/>
        <v>1.3631784794429076</v>
      </c>
      <c r="AZ17" s="21">
        <f t="shared" ca="1" si="16"/>
        <v>1.3631784794429076</v>
      </c>
      <c r="BB17" s="21">
        <f ca="1">AV17</f>
        <v>1.3631784794429076</v>
      </c>
      <c r="BC17" s="21">
        <f ca="1">AV17</f>
        <v>1.3631784794429076</v>
      </c>
      <c r="BD17" s="21">
        <f t="shared" ca="1" si="12"/>
        <v>1.3631784794429076</v>
      </c>
      <c r="BE17" s="21">
        <f t="shared" ca="1" si="19"/>
        <v>1.3631784794429076</v>
      </c>
      <c r="BF17" s="21">
        <f t="shared" ca="1" si="19"/>
        <v>1.3631784794429076</v>
      </c>
      <c r="BG17" s="22">
        <f ca="1">$D$12+1</f>
        <v>1.3631784794429076</v>
      </c>
      <c r="BH17" s="21">
        <f ca="1">BG17</f>
        <v>1.3631784794429076</v>
      </c>
      <c r="BI17" s="34" t="s">
        <v>260</v>
      </c>
      <c r="BJ17" s="34" t="s">
        <v>261</v>
      </c>
      <c r="BK17" s="34" t="s">
        <v>262</v>
      </c>
      <c r="BL17" s="34" t="s">
        <v>263</v>
      </c>
      <c r="BM17" s="34" t="s">
        <v>265</v>
      </c>
      <c r="BN17" s="34" t="s">
        <v>266</v>
      </c>
      <c r="BO17" s="34" t="s">
        <v>267</v>
      </c>
      <c r="BP17" s="34" t="s">
        <v>268</v>
      </c>
      <c r="BQ17" s="34" t="s">
        <v>647</v>
      </c>
      <c r="BR17" t="s">
        <v>648</v>
      </c>
      <c r="BS17" t="s">
        <v>649</v>
      </c>
      <c r="BT17" t="s">
        <v>650</v>
      </c>
      <c r="BU17" t="s">
        <v>651</v>
      </c>
      <c r="BV17" t="s">
        <v>652</v>
      </c>
      <c r="BW17" t="s">
        <v>653</v>
      </c>
      <c r="BX17" t="s">
        <v>654</v>
      </c>
      <c r="BY17" s="34" t="s">
        <v>464</v>
      </c>
      <c r="CA17" s="21">
        <f t="shared" ca="1" si="20"/>
        <v>1.3631784794429076</v>
      </c>
      <c r="CB17" s="21">
        <f t="shared" ca="1" si="21"/>
        <v>1.3631784794429076</v>
      </c>
      <c r="CC17">
        <f t="shared" ca="1" si="2"/>
        <v>1.3631784794429076</v>
      </c>
      <c r="CD17">
        <f t="shared" ca="1" si="2"/>
        <v>1.3631784794429076</v>
      </c>
      <c r="CE17">
        <f t="shared" ca="1" si="29"/>
        <v>1.3631784794429076</v>
      </c>
      <c r="CF17">
        <f t="shared" ca="1" si="29"/>
        <v>1.3631784794429076</v>
      </c>
      <c r="CG17">
        <f t="shared" ca="1" si="3"/>
        <v>1.3631784794429076</v>
      </c>
      <c r="CH17">
        <f ca="1">N17</f>
        <v>1.3631784794429076</v>
      </c>
      <c r="CI17">
        <f t="shared" ca="1" si="4"/>
        <v>1.3631784794429076</v>
      </c>
      <c r="CN17" s="21">
        <f ca="1">$R$17</f>
        <v>1.3631784794429076</v>
      </c>
      <c r="CO17" s="21">
        <f t="shared" ref="CO17:CQ17" ca="1" si="33">$R$17</f>
        <v>1.3631784794429076</v>
      </c>
      <c r="CP17" s="21">
        <f t="shared" ca="1" si="33"/>
        <v>1.3631784794429076</v>
      </c>
      <c r="CQ17" s="21">
        <f t="shared" ca="1" si="33"/>
        <v>1.3631784794429076</v>
      </c>
    </row>
    <row r="18" spans="1:95" x14ac:dyDescent="0.35">
      <c r="C18">
        <f>5.091*(CHOOSE(B24,121,122,123,124)*450-45750)</f>
        <v>51164.55</v>
      </c>
      <c r="D18">
        <f>(D17-1150-属性开关!C41*(1397-1150))*(1-配装页面!Y23*51*属性开关!B2/1024-MIN(3-配装页面!AE18,配装页面!Y20)*102*属性开关!B2/1024*10/(30+配装页面!AE18*10))</f>
        <v>26153</v>
      </c>
      <c r="E18" s="20">
        <f ca="1">属性开关!E31</f>
        <v>41609</v>
      </c>
      <c r="F18" s="34" t="s">
        <v>223</v>
      </c>
      <c r="G18">
        <f ca="1">INT(G$6*$E18+G$7*($C$8+$C$9)/2+G$8)*(G$14+G$15)*$D$21*IF(COUNTIF($F18,"*雷*")&gt;0,G$17*(G$13*0.25+G$16*(G$10+属性开关!$X$56)+1-G$16-G$13-G$12),G$11*(G$13*0.25+G$9*G$10+1-G$9-G$13-G$12))</f>
        <v>235670.9537941828</v>
      </c>
      <c r="H18">
        <f ca="1">INT(H$6*$E18+H$7*($C$8+$C$9)/2+H$8)*(H$14+H$15)*$D$21*IF(COUNTIF($F18,"*雷*")&gt;0,H$17*(H$13*0.25+H$16*(H$10+属性开关!$X$56)+1-H$16-H$13-H$12),H$11*(H$13*0.25+H$9*H$10+1-H$9-H$13-H$12))</f>
        <v>161046.36586023981</v>
      </c>
      <c r="I18">
        <f ca="1">INT(I$6*$E18+I$7*($C$8+$C$9)/2+I$8)*(I$14+I$15)*$D$21*IF(COUNTIF($F18,"*雷*")&gt;0,I$17*(I$13*0.25+I$16*(I$10+属性开关!$X$56)+1-I$16-I$13-I$12),I$11*(I$13*0.25+I$9*I$10+1-I$9-I$13-I$12))</f>
        <v>75557.76096672588</v>
      </c>
      <c r="J18">
        <f ca="1">INT(J$6*$E18+J$7*($C$8+$C$9)/2+J$8)*(J$14+J$15)*$D$21*IF(COUNTIF($F18,"*雷*")&gt;0,J$17*(J$13*0.25+J$16*(J$10+属性开关!$X$56)+1-J$16-J$13-J$12),J$11*(J$13*0.25+J$9*J$10+1-J$9-J$13-J$12))</f>
        <v>136840.38922865712</v>
      </c>
      <c r="K18">
        <f ca="1">INT(K$6*$E18+K$7*($C$8+$C$9)/2+K$8)*(K$14+K$15)*$D$21*IF(COUNTIF($F18,"*雷*")&gt;0,K$17*(K$13*0.25+K$16*(K$10+属性开关!$X$56)+1-K$16-K$13-K$12),K$11*(K$13*0.25+K$9*K$10+1-K$9-K$13-K$12))</f>
        <v>142827.76577910193</v>
      </c>
      <c r="L18">
        <f ca="1">INT(L$6*$E18+L$7*($C$8+$C$9)/2+L$8)*(L$14+L$15)*$D$21*IF(COUNTIF($F18,"*雷*")&gt;0,L$17*(L$13*0.25+L$16*(L$10+属性开关!$X$56)+1-L$16-L$13-L$12),L$11*(L$13*0.25+L$9*L$10+1-L$9-L$13-L$12))</f>
        <v>100891.61436436513</v>
      </c>
      <c r="M18">
        <f ca="1">INT(M$6*$E18+M$7*($C$8+$C$9)/2+M$8)*(M$14+M$15)*$D$21*IF(COUNTIF($F18,"*雷*")&gt;0,M$17*(M$13*0.25+M$16*(M$10+属性开关!$X$56)+1-M$16-M$13-M$12),M$11*(M$13*0.25+M$9*M$10+1-M$9-M$13-M$12))</f>
        <v>43460.801898729558</v>
      </c>
      <c r="N18">
        <f ca="1">INT(N$6*$E18+N$7*($C$8+$C$9)/2+N$8)*(N$14+N$15)*$D$21*IF(COUNTIF($F18,"*雷*")&gt;0,N$17*(N$13*0.25+N$16*(N$10+属性开关!$X$56)+1-N$16-N$13-N$12),N$11*(N$13*0.25+N$9*N$10+1-N$9-N$13-N$12))</f>
        <v>50871.358660232479</v>
      </c>
      <c r="O18">
        <f ca="1">INT(O$6*$E18+O$7*($C$8+$C$9)/2+O$8)*(O$14+O$15)*$D$21*IF(COUNTIF($F18,"*雷*")&gt;0,O$17*(O$13*0.25+O$16*(O$10+属性开关!$X$56)+1-O$16-O$13-O$12),O$11*(O$13*0.25+O$9*O$10+1-O$9-O$13-O$12))</f>
        <v>19777.443175039873</v>
      </c>
      <c r="P18">
        <f ca="1">INT(P$6*$E18+P$7*($C$8+$C$9)/2+P$8)*(P$14+P$15)*$D$21*IF(COUNTIF($F18,"*雷*")&gt;0,P$17*(P$13*0.25+P$16*(P$10+属性开关!$X$56)+1-P$16-P$13-P$12),P$11*(P$13*0.25+P$9*P$10+1-P$9-P$13-P$12))</f>
        <v>31195.483770068546</v>
      </c>
      <c r="Q18">
        <f ca="1">INT(Q$6*$E18+Q$7*($C$8+$C$9)/2+Q$8)*(Q$14+Q$15)*$D$21*IF(COUNTIF($F18,"*雷*")&gt;0,Q$17*(Q$13*0.25+Q$16*(Q$10+属性开关!$X$56)+1-Q$16-Q$13-Q$12),Q$11*(Q$13*0.25+Q$9*Q$10+1-Q$9-Q$13-Q$12))</f>
        <v>24971.384844790442</v>
      </c>
      <c r="R18">
        <f ca="1">INT(R$6*$E18+R$7*($C$8+$C$9)/2+R$8)*(R$14+R$15)*$D$21*IF(COUNTIF($F18,"*雷*")&gt;0,R$17*(R$13*0.25+R$16*(R$10+属性开关!$X$56)+1-R$16-R$13-R$12),R$11*(R$13*0.25+R$9*R$10+1-R$9-R$13-R$12))</f>
        <v>7093.761301659636</v>
      </c>
      <c r="AR18">
        <f ca="1">INT(AR$6*$E18+AR$7*($C$8+$C$9)/2+AR$8)*(AR$14+AR$15)*IF(COUNTIF($BA18,"*雷*")&gt;0,$B$34,$B$29)*IF(COUNTIF($F18,"*雷*")&gt;0,AR$17*(AR$13*0.25+AR$16*(AR$10+属性开关!$X$56)+1-AR$16-AR$13-AR$12),AR$11*(AR$13*0.25+AR$9*AR$10+1-AR$9-AR$13-AR$12))</f>
        <v>25259.235705234398</v>
      </c>
      <c r="AS18">
        <f ca="1">INT(AS$6*$E18+AS$7*($C$8+$C$9)/2+AS$8)*(AS$14+AS$15)*$D$21*IF(COUNTIF($F18,"*雷*")&gt;0,AS$17*(AS$13*0.25+AS$16*(AS$10+属性开关!$X$56)+1-AS$16-AS$13-AS$12),AS$11*(AS$13*0.25+AS$9*AS$10+1-AS$9-AS$13-AS$12))</f>
        <v>0</v>
      </c>
      <c r="AT18" s="24">
        <f ca="1">INT(AT$6*$E18+AT$7*($C$8+$C$9)/2+AT$8)*(AT$14+AT$15)*$D$21*IF(COUNTIF($F18,"*雷*")&gt;0,AT$17*(AT$13*0.25+AT$16*(AT$10+属性开关!$X$56)+1-AT$16-AT$13-AT$12),AT$11*(AT$13*0.25+AT$9*AT$10+1-AT$9-AT$13-AT$12))/$E$57*IF(COUNTIF(F27,"*雷*")&gt;0,$B$21/$D$21,1)*(1+大附魔数值!$O$10*21/1024)</f>
        <v>0</v>
      </c>
      <c r="AU18">
        <f ca="1">INT(AU$6*$E18+AU$7*($C$8+$C$9)/2+AU$8)*(AU$14+AU$15)*$D$21*IF(COUNTIF($F18,"*雷*")&gt;0,AU$17*(AU$13*0.25+AU$16*(AU$10+属性开关!$X$56)+1-AU$16-AU$13-AU$12),AU$11*(AU$13*0.25+AU$9*AU$10+1-AU$9-AU$13-AU$12))/$E$2*(1-(2)/(3+2*$D$33)/(3+$D$33))</f>
        <v>58608.999396127983</v>
      </c>
      <c r="AV18">
        <f ca="1">INT(AV$6*$E18+AV$7*($C$8+$C$9)/2+AV$8)*(AV$14+AV$15)*$D$21*IF(COUNTIF($F18,"*雷*")&gt;0,AV$17*(AV$13*0.25+AV$16*(AV$10+属性开关!$X$56)+1-AV$16-AV$13-AV$12),AV$11*(AV$13*0.25+AV$9*AV$10+1-AV$9-AV$13-AV$12))</f>
        <v>0</v>
      </c>
      <c r="AX18">
        <f ca="1">INT(AX$6*$E18+AX$7*($C$8+$C$9)/2+AX$8)*(AX$14+AX$15)*IF(COUNTIF($BA18,"*雷*")&gt;0,$B$34,$B$29)*IF(COUNTIF($F18,"*雷*")&gt;0,AX$17*(AX$13*0.25+AX$16*(AX$10+属性开关!$X$56)+1-AX$16-AX$13-AX$12),AX$11*(AX$13*0.25+AX$9*AX$10+1-AX$9-AX$13-AX$12))</f>
        <v>69080.657826879105</v>
      </c>
      <c r="AY18" s="21">
        <f ca="1">循环!Y19</f>
        <v>0</v>
      </c>
      <c r="AZ18">
        <f ca="1">INT(AZ$6*$E18+AZ$7*($C$8+$C$9)/2+AZ$8)*(AZ$14+AZ$15)*IF(COUNTIF($BA18,"*雷*")&gt;0,$B$34,$B$29)*IF(COUNTIF($F18,"*雷*")&gt;0,AZ$17*(AZ$13*0.25+AZ$16*(AZ$10+属性开关!$X$56)+1-AZ$16-AZ$13-AZ$12),AZ$11*(AZ$13*0.25+AZ$9*AZ$10+1-AZ$9-AZ$13-AZ$12))</f>
        <v>55957.347238226808</v>
      </c>
      <c r="BA18" s="34" t="s">
        <v>223</v>
      </c>
      <c r="BB18">
        <f ca="1">INT(BB$6*$E18+BB$7*($C$8+$C$9)/2+BB$8)*(BB$14+BB$15)*IF(COUNTIF(BA18,"*雷*")&gt;0,$B$21,$D$21)*IF(COUNTIF($BA18,"*雷*")&gt;0,BB$17*(BB$13*0.25+BB$16*(BB$10+属性开关!$X$56)+1-BB$16-BB$13-BB$12),BB$11*(BB$13*0.25+BB$9*BB$10+1-BB$9-BB$13-BB$12))</f>
        <v>0</v>
      </c>
      <c r="BC18">
        <f ca="1">INT(BC$6*$E18+BC$7*($C$8+$C$9)/2+BC$8)*(BC$14+BC$15)*1*IF(COUNTIF($F18,"*雷*")&gt;0,BC$17*(BC$13*0.25+BC$16*(BC$10+属性开关!$X$56)+1-BC$16-BC$13-BC$12),BC$11*(BC$13*0.25+BC$9*BC$10+1-BC$9-BC$13-BC$12))</f>
        <v>150600.13023505622</v>
      </c>
      <c r="BD18">
        <f ca="1">INT(BD$6*$E18+BD$7*($C$8+$C$9)/2+BD$8)*(BD$14+BD$15)*IF(COUNTIF($BA18,"*雷*")&gt;0,$B$34,$B$29)*IF(COUNTIF($F18,"*雷*")&gt;0,BD$17*(BD$13*0.25+BD$16*(BD$10+属性开关!$X$56)+1-BD$16-BD$13-BD$12),BD$11*(BD$13*0.25+BD$9*BD$10+1-BD$9-BD$13-BD$12))</f>
        <v>69227.6098452976</v>
      </c>
      <c r="BE18">
        <f ca="1">INT(BE$6*$E18+BE$7*($C$8+$C$9)/2+BE$8)*(BE$14+BE$15)*IF(COUNTIF($BA18,"*雷*")&gt;0,$B$34,$B$29)*IF(COUNTIF($F18,"*雷*")&gt;0,BE$17*(BE$13*0.25+BE$16*(BE$10+属性开关!$X$56)+1-BE$16-BE$13-BE$12),BE$11*(BE$13*0.25+BE$9*BE$10+1-BE$9-BE$13-BE$12))</f>
        <v>62398.468854524333</v>
      </c>
      <c r="BF18">
        <f ca="1">INT(BF$6*$E18+BF$7*($C$8+$C$9)/2+BF$8)*(BF$14+BF$15)*IF(COUNTIF($BA18,"*雷*")&gt;0,$B$34,$B$29)*IF(COUNTIF($F18,"*雷*")&gt;0,BF$17*(BF$13*0.25+BF$16*(BF$10+属性开关!$X$56)+1-BF$16-BF$13-BF$12),BF$11*(BF$13*0.25+BF$9*BF$10+1-BF$9-BF$13-BF$12))</f>
        <v>187350.61431336327</v>
      </c>
      <c r="BG18">
        <f ca="1">INT(BG$6*$E18+BG$7*($C$8+$C$9)/2+BG$8)*(BG$14+BG$15)*$D$21*IF(COUNTIF($F18,"*雷*")&gt;0,BG$17*(BG$13*0.25+BG$16*(BG$10+属性开关!$X$56)+1-BG$16-BG$13-BG$12),BG$11*(BG$13*0.25+BG$9*BG$10+1-BG$9-BG$13-BG$12))*IF(COUNTIF(BA18,"*雷*")&gt;0,$B$21/$D$21,1)*(1+大附魔数值!$O$10*21/1024)/BH3</f>
        <v>8232.3720135240728</v>
      </c>
      <c r="BH18">
        <f ca="1">INT(BH$6*$E18+BH$7*($C$8+$C$9)/2+BH$8)*(BH$14+BH$15)*$D$21*IF(COUNTIF($F18,"*雷*")&gt;0,BH$17*(BH$13*0.25+BH$16*(BH$10+属性开关!$X$56)+1-BH$16-BH$13-BH$12),BH$11*(BH$13*0.25+BH$9*BH$10+1-BH$9-BH$13-BH$12))*IF(COUNTIF(BG18,"*雷*")&gt;0,$B$21/$D$21,1)*(1+大附魔数值!$O$10*21/1024)/BH3</f>
        <v>13986.007133854637</v>
      </c>
      <c r="BI18">
        <f>IF($BH$3=40,1,0)</f>
        <v>0</v>
      </c>
      <c r="BJ18">
        <f>IF($BH$3=40,2,0)</f>
        <v>0</v>
      </c>
      <c r="BK18">
        <f t="shared" ref="BK18:BO18" si="34">IF($BH$3=40,1,0)</f>
        <v>0</v>
      </c>
      <c r="BL18">
        <f>IF($BH$3=40,2,0)</f>
        <v>0</v>
      </c>
      <c r="BM18">
        <f t="shared" si="34"/>
        <v>0</v>
      </c>
      <c r="BN18">
        <f>IF($BH$3=40,2,0)</f>
        <v>0</v>
      </c>
      <c r="BO18">
        <f t="shared" si="34"/>
        <v>0</v>
      </c>
      <c r="BP18">
        <f>IF($BH$3=40,2,0)</f>
        <v>0</v>
      </c>
      <c r="BQ18">
        <f>IF($BH$3=40,1,0)</f>
        <v>0</v>
      </c>
      <c r="BR18">
        <f>IF($BH$3=40,2,0)</f>
        <v>0</v>
      </c>
      <c r="BS18">
        <f t="shared" ref="BS18:BW18" si="35">IF($BH$3=40,1,0)</f>
        <v>0</v>
      </c>
      <c r="BT18">
        <f>IF($BH$3=40,2,0)</f>
        <v>0</v>
      </c>
      <c r="BU18">
        <f t="shared" si="35"/>
        <v>0</v>
      </c>
      <c r="BV18">
        <f>IF($BH$3=40,2,0)</f>
        <v>0</v>
      </c>
      <c r="BW18">
        <f t="shared" si="35"/>
        <v>0</v>
      </c>
      <c r="BX18">
        <f>IF($BH$3=40,2,0)</f>
        <v>0</v>
      </c>
      <c r="BY18">
        <f>INDEX($BI18:$BX18,1,$AQ$25)/3</f>
        <v>0</v>
      </c>
      <c r="CA18">
        <f ca="1">INT(CA$6*$E18+CA$7*($C$8+$C$9)/2+CA$8)*(CA$14+CA$15)*IF(COUNTIF($BA18,"*雷*")&gt;0,$B$34,$B$29)*IF(COUNTIF($F18,"*雷*")&gt;0,CA$17*(CA$13*0.25+CA$16*(CA$10+属性开关!$X$56)+1-CA$16-CA$13-CA$12),CA$11*(CA$13*0.25+CA$9*CA$10+1-CA$9-CA$13-CA$12))</f>
        <v>151377.91437944505</v>
      </c>
      <c r="CB18">
        <f ca="1">INT(CB$6*$E18+CB$7*($C$8+$C$9)/2+CB$8)*(CB$14+CB$15)*IF(COUNTIF($BA18,"*雷*")&gt;0,$B$34,$B$29)*IF(COUNTIF($F18,"*雷*")&gt;0,CB$17*(CB$13*0.25+CB$16*(CB$10+属性开关!$X$56)+1-CB$16-CB$13-CB$12),CB$11*(CB$13*0.25+CB$9*CB$10+1-CB$9-CB$13-CB$12))</f>
        <v>195496.73537300687</v>
      </c>
      <c r="CC18">
        <f ca="1">INT(CC$6*$E18+CC$7*($C$8+$C$9)/2+CC$8)*(CC$14+CC$15)*IF(COUNTIF($BA18,"*雷*")&gt;0,$B$34,$B$29)*IF(COUNTIF($F18,"*雷*")&gt;0,CC$17*(CC$13*0.25+CC$16*(CC$10+属性开关!$X$56)+1-CC$16-CC$13-CC$12),CC$11*(CC$13*0.25+CC$9*CC$10+1-CC$9-CC$13-CC$12))</f>
        <v>146243.05091592669</v>
      </c>
      <c r="CD18">
        <f ca="1">INT(CD$6*$E18+CD$7*($C$8+$C$9)/2+CD$8)*(CD$14+CD$15)*IF(COUNTIF($BA18,"*雷*")&gt;0,$B$34,$B$29)*IF(COUNTIF($F18,"*雷*")&gt;0,CD$17*(CD$13*0.25+CD$16*(CD$10+属性开关!$X$56)+1-CD$16-CD$13-CD$12),CD$11*(CD$13*0.25+CD$9*CD$10+1-CD$9-CD$13-CD$12))</f>
        <v>62996.714890190022</v>
      </c>
      <c r="CE18">
        <f ca="1">INT(CE$6*$E18+CE$7*($C$8+$C$9)/2+CE$8)*(CE$14+CE$15)*IF(COUNTIF($BA18,"*雷*")&gt;0,$B$34,$B$29)*IF(COUNTIF($F18,"*雷*")&gt;0,CE$17*(CE$13*0.25+CE$16*(CE$10+属性开关!$X$56)+1-CE$16-CE$13-CE$12),CE$11*(CE$13*0.25+CE$9*CE$10+1-CE$9-CE$13-CE$12))</f>
        <v>196353.53945636572</v>
      </c>
      <c r="CF18">
        <f ca="1">INT(CF$6*$E18+CF$7*($C$8+$C$9)/2+CF$8)*(CF$14+CF$15)*IF(COUNTIF($BA18,"*雷*")&gt;0,$B$34,$B$29)*IF(COUNTIF($F18,"*雷*")&gt;0,CF$17*(CF$13*0.25+CF$16*(CF$10+属性开关!$X$56)+1-CF$16-CF$13-CF$12),CF$11*(CF$13*0.25+CF$9*CF$10+1-CF$9-CF$13-CF$12))</f>
        <v>147807.90289674691</v>
      </c>
      <c r="CG18">
        <f ca="1">INT(CG$6*$E18+CG$7*($C$8+$C$9)/2+CG$8)*(CG$14+CG$15)*IF(COUNTIF($BA18,"*雷*")&gt;0,$B$34,$B$29)*IF(COUNTIF($F18,"*雷*")&gt;0,CG$17*(CG$13*0.25+CG$16*(CG$10+属性开关!$X$56)+1-CG$16-CG$13-CG$12),CG$11*(CG$13*0.25+CG$9*CG$10+1-CG$9-CG$13-CG$12))</f>
        <v>20467.045636514078</v>
      </c>
      <c r="CH18">
        <f ca="1">INT(CH$6*$E18+CH$7*($C$8+$C$9)/2+CH$8)*(CH$14+CH$15)*IF(COUNTIF($BA18,"*雷*")&gt;0,$B$34,$B$29)*IF(COUNTIF($F18,"*雷*")&gt;0,CH$17*(CH$13*0.25+CH$16*(CH$10+属性开关!$X$56)+1-CH$16-CH$13-CH$12),CH$11*(CH$13*0.25+CH$9*CH$10+1-CH$9-CH$13-CH$12))</f>
        <v>76737.727959873489</v>
      </c>
      <c r="CI18">
        <f ca="1">INT(CI$6*$E18+CI$7*($C$8+$C$9)/2+CI$8)*(CI$14+CI$15)*IF(COUNTIF($BA18,"*雷*")&gt;0,$B$34,$B$29)*IF(COUNTIF($F18,"*雷*")&gt;0,CI$17*(CI$13*0.25+CI$16*(CI$10+属性开关!$X$56)+1-CI$16-CI$13-CI$12),CI$11*(CI$13*0.25+CI$9*CI$10+1-CI$9-CI$13-CI$12))</f>
        <v>29537.840676232485</v>
      </c>
      <c r="CK18" s="20">
        <f ca="1">((CA18*$CB$30+CB18)*$CB$31+CC18+CE18+CF18+CD18*$CD$3)/(3*$E$2+8)*$E$2/MAX(加速循环!$X$1,加速循环!$X$2)*加速循环!$AD$17</f>
        <v>0</v>
      </c>
      <c r="CL18">
        <f ca="1">加速循环!AE19</f>
        <v>0.37391304347826088</v>
      </c>
      <c r="CN18">
        <f ca="1">INT(CN$6*$E18+CN$7*($C$8+$C$9)/2+CN$8)*(CN$14+CN$15)*IF(COUNTIF($BA18,"*雷*")&gt;0,$B$34,$B$29)*IF(COUNTIF($F18,"*雷*")&gt;0,CN$17*(CN$13*0.25+CN$16*(CN$10+属性开关!$X$56)+1-CN$16-CN$13-CN$12),CN$11*(CN$13*0.25+CN$9*CN$10+1-CN$9-CN$13-CN$12))</f>
        <v>9193.7842134871626</v>
      </c>
      <c r="CO18">
        <f ca="1">INT(CO$6*$E18+CO$7*($C$8+$C$9)/2+CO$8)*(CO$14+CO$15)*IF(COUNTIF($BA18,"*雷*")&gt;0,$B$34,$B$29)*IF(COUNTIF($F18,"*雷*")&gt;0,CO$17*(CO$13*0.25+CO$16*(CO$10+属性开关!$X$56)+1-CO$16-CO$13-CO$12),CO$11*(CO$13*0.25+CO$9*CO$10+1-CO$9-CO$13-CO$12))</f>
        <v>920613.40020141704</v>
      </c>
      <c r="CP18">
        <f ca="1">INT(CP$6*$E18+CP$7*($C$8+$C$9)/2+CP$8)*(CP$14+CP$15)*IF(COUNTIF($BA18,"*雷*")&gt;0,$B$34,$B$29)*IF(COUNTIF($F18,"*雷*")&gt;0,CP$17*(CP$13*0.25+CP$16*(CP$10+属性开关!$X$56)+1-CP$16-CP$13-CP$12),CP$11*(CP$13*0.25+CP$9*CP$10+1-CP$9-CP$13-CP$12))</f>
        <v>295458.40085497225</v>
      </c>
      <c r="CQ18">
        <f ca="1">INT(CQ$6*$E18+CQ$7*($C$8+$C$9)/2+CQ$8)*(CQ$14+CQ$15)*IF(COUNTIF($BA18,"*雷*")&gt;0,$B$34,$B$29)*IF(COUNTIF($F18,"*雷*")&gt;0,CQ$17*(CQ$13*0.25+CQ$16*(CQ$10+属性开关!$X$56)+1-CQ$16-CQ$13-CQ$12),CQ$11*(CQ$13*0.25+CQ$9*CQ$10+1-CQ$9-CQ$13-CQ$12))</f>
        <v>2353933.6848345543</v>
      </c>
    </row>
    <row r="19" spans="1:95" x14ac:dyDescent="0.35">
      <c r="A19">
        <f>(1-(153*(群侠万变-1)+属性开关!T37*(雷无视))/1024-IF(属性开关!B17=8,1,0)*52/1024)*D18</f>
        <v>7840.7919921875</v>
      </c>
      <c r="B19">
        <f>(1-属性开关!T37*(雷无视)/1024-IF(属性开关!B17=8,1,0)*52/1024)*D18</f>
        <v>7840.7919921875</v>
      </c>
      <c r="C19">
        <f>(1-(153*(群侠万变-1))/1024-IF(属性开关!B17=8,1,0)*52/1024)*D18</f>
        <v>26153</v>
      </c>
      <c r="D19">
        <f>(1-IF(属性开关!B17=8,1,0)*52/1024)*D18</f>
        <v>26153</v>
      </c>
      <c r="E19" s="20">
        <f ca="1">属性开关!E32</f>
        <v>41609</v>
      </c>
      <c r="F19" s="34" t="s">
        <v>224</v>
      </c>
      <c r="G19">
        <f ca="1">INT(G$6*$E19+G$7*($C$8+$C$9)/2+G$8)*(G$14+G$15)*$D$21*IF(COUNTIF($F19,"*雷*")&gt;0,G$17*(G$13*0.25+G$16*(G$10+属性开关!$X$56)+1-G$16-G$13-G$12),G$11*(G$13*0.25+G$9*G$10+1-G$9-G$13-G$12))</f>
        <v>290105.49430768745</v>
      </c>
      <c r="H19">
        <f ca="1">INT(H$6*$E19+H$7*($C$8+$C$9)/2+H$8)*(H$14+H$15)*$D$21*IF(COUNTIF($F19,"*雷*")&gt;0,H$17*(H$13*0.25+H$16*(H$10+属性开关!$X$56)+1-H$16-H$13-H$12),H$11*(H$13*0.25+H$9*H$10+1-H$9-H$13-H$12))</f>
        <v>201705.07406235597</v>
      </c>
      <c r="I19">
        <f ca="1">INT(I$6*$E19+I$7*($C$8+$C$9)/2+I$8)*(I$14+I$15)*$D$21*IF(COUNTIF($F19,"*雷*")&gt;0,I$17*(I$13*0.25+I$16*(I$10+属性开关!$X$56)+1-I$16-I$13-I$12),I$11*(I$13*0.25+I$9*I$10+1-I$9-I$13-I$12))</f>
        <v>93009.856501778035</v>
      </c>
      <c r="J19">
        <f ca="1">INT(J$6*$E19+J$7*($C$8+$C$9)/2+J$8)*(J$14+J$15)*$D$21*IF(COUNTIF($F19,"*雷*")&gt;0,J$17*(J$13*0.25+J$16*(J$10+属性开关!$X$56)+1-J$16-J$13-J$12),J$11*(J$13*0.25+J$9*J$10+1-J$9-J$13-J$12))</f>
        <v>171387.91488186148</v>
      </c>
      <c r="K19">
        <f ca="1">INT(K$6*$E19+K$7*($C$8+$C$9)/2+K$8)*(K$14+K$15)*$D$21*IF(COUNTIF($F19,"*雷*")&gt;0,K$17*(K$13*0.25+K$16*(K$10+属性开关!$X$56)+1-K$16-K$13-K$12),K$11*(K$13*0.25+K$9*K$10+1-K$9-K$13-K$12))</f>
        <v>176339.27037216531</v>
      </c>
      <c r="L19">
        <f ca="1">INT(L$6*$E19+L$7*($C$8+$C$9)/2+L$8)*(L$14+L$15)*$D$21*IF(COUNTIF($F19,"*雷*")&gt;0,L$17*(L$13*0.25+L$16*(L$10+属性开关!$X$56)+1-L$16-L$13-L$12),L$11*(L$13*0.25+L$9*L$10+1-L$9-L$13-L$12))</f>
        <v>125736.0643636717</v>
      </c>
      <c r="M19">
        <f ca="1">INT(M$6*$E19+M$7*($C$8+$C$9)/2+M$8)*(M$14+M$15)*$D$21*IF(COUNTIF($F19,"*雷*")&gt;0,M$17*(M$13*0.25+M$16*(M$10+属性开关!$X$56)+1-M$16-M$13-M$12),M$11*(M$13*0.25+M$9*M$10+1-M$9-M$13-M$12))</f>
        <v>54162.976965561727</v>
      </c>
      <c r="N19">
        <f ca="1">INT(N$6*$E19+N$7*($C$8+$C$9)/2+N$8)*(N$14+N$15)*$D$21*IF(COUNTIF($F19,"*雷*")&gt;0,N$17*(N$13*0.25+N$16*(N$10+属性开关!$X$56)+1-N$16-N$13-N$12),N$11*(N$13*0.25+N$9*N$10+1-N$9-N$13-N$12))</f>
        <v>63714.639640609064</v>
      </c>
      <c r="O19">
        <f ca="1">INT(O$6*$E19+O$7*($C$8+$C$9)/2+O$8)*(O$14+O$15)*$D$21*IF(COUNTIF($F19,"*雷*")&gt;0,O$17*(O$13*0.25+O$16*(O$10+属性开关!$X$56)+1-O$16-O$13-O$12),O$11*(O$13*0.25+O$9*O$10+1-O$9-O$13-O$12))</f>
        <v>24770.572245308496</v>
      </c>
      <c r="P19">
        <f ca="1">INT(P$6*$E19+P$7*($C$8+$C$9)/2+P$8)*(P$14+P$15)*$D$21*IF(COUNTIF($F19,"*雷*")&gt;0,P$17*(P$13*0.25+P$16*(P$10+属性开关!$X$56)+1-P$16-P$13-P$12),P$11*(P$13*0.25+P$9*P$10+1-P$9-P$13-P$12))</f>
        <v>39071.278203901282</v>
      </c>
      <c r="Q19">
        <f ca="1">INT(Q$6*$E19+Q$7*($C$8+$C$9)/2+Q$8)*(Q$14+Q$15)*$D$21*IF(COUNTIF($F19,"*雷*")&gt;0,Q$17*(Q$13*0.25+Q$16*(Q$10+属性开关!$X$56)+1-Q$16-Q$13-Q$12),Q$11*(Q$13*0.25+Q$9*Q$10+1-Q$9-Q$13-Q$12))</f>
        <v>31275.806831488284</v>
      </c>
      <c r="R19">
        <f ca="1">INT(R$6*$E19+R$7*($C$8+$C$9)/2+R$8)*(R$14+R$15)*$D$21*IF(COUNTIF($F19,"*雷*")&gt;0,R$17*(R$13*0.25+R$16*(R$10+属性开关!$X$56)+1-R$16-R$13-R$12),R$11*(R$13*0.25+R$9*R$10+1-R$9-R$13-R$12))</f>
        <v>8884.6938028620771</v>
      </c>
      <c r="U19">
        <v>0.28700000000000003</v>
      </c>
      <c r="V19" s="36"/>
      <c r="AR19">
        <f ca="1">INT(AR$6*$E19+AR$7*($C$8+$C$9)/2+AR$8)*(AR$14+AR$15)*IF(COUNTIF($BA19,"*雷*")&gt;0,$B$34,$B$29)*IF(COUNTIF($F19,"*雷*")&gt;0,AR$17*(AR$13*0.25+AR$16*(AR$10+属性开关!$X$56)+1-AR$16-AR$13-AR$12),AR$11*(AR$13*0.25+AR$9*AR$10+1-AR$9-AR$13-AR$12))</f>
        <v>40595.201762391465</v>
      </c>
      <c r="AS19">
        <f ca="1">INT(AS$6*$E19+AS$7*($C$8+$C$9)/2+AS$8)*(AS$14+AS$15)*$D$21*IF(COUNTIF($F19,"*雷*")&gt;0,AS$17*(AS$13*0.25+AS$16*(AS$10+属性开关!$X$56)+1-AS$16-AS$13-AS$12),AS$11*(AS$13*0.25+AS$9*AS$10+1-AS$9-AS$13-AS$12))</f>
        <v>0</v>
      </c>
      <c r="AT19" s="24">
        <f ca="1">INT(AT$6*$E19+AT$7*($C$8+$C$9)/2+AT$8)*(AT$14+AT$15)*$D$21*IF(COUNTIF($F19,"*雷*")&gt;0,AT$17*(AT$13*0.25+AT$16*(AT$10+属性开关!$X$56)+1-AT$16-AT$13-AT$12),AT$11*(AT$13*0.25+AT$9*AT$10+1-AT$9-AT$13-AT$12))/$E$57*IF(COUNTIF(F28,"*雷*")&gt;0,$B$21/$D$21,1)*(1+大附魔数值!$O$10*21/1024)</f>
        <v>0</v>
      </c>
      <c r="AU19">
        <f ca="1">INT(AU$6*$E19+AU$7*($C$8+$C$9)/2+AU$8)*(AU$14+AU$15)*$D$21*IF(COUNTIF($F19,"*雷*")&gt;0,AU$17*(AU$13*0.25+AU$16*(AU$10+属性开关!$X$56)+1-AU$16-AU$13-AU$12),AU$11*(AU$13*0.25+AU$9*AU$10+1-AU$9-AU$13-AU$12))/$E$2*(1-(2)/(3+2*$D$33)/(3+$D$33))</f>
        <v>73405.770448591036</v>
      </c>
      <c r="AV19">
        <f ca="1">INT(AV$6*$E19+AV$7*($C$8+$C$9)/2+AV$8)*(AV$14+AV$15)*$D$21*IF(COUNTIF($F19,"*雷*")&gt;0,AV$17*(AV$13*0.25+AV$16*(AV$10+属性开关!$X$56)+1-AV$16-AV$13-AV$12),AV$11*(AV$13*0.25+AV$9*AV$10+1-AV$9-AV$13-AV$12))</f>
        <v>0</v>
      </c>
      <c r="AX19">
        <f ca="1">INT(AX$6*$E19+AX$7*($C$8+$C$9)/2+AX$8)*(AX$14+AX$15)*IF(COUNTIF($BA19,"*雷*")&gt;0,$B$34,$B$29)*IF(COUNTIF($F19,"*雷*")&gt;0,AX$17*(AX$13*0.25+AX$16*(AX$10+属性开关!$X$56)+1-AX$16-AX$13-AX$12),AX$11*(AX$13*0.25+AX$9*AX$10+1-AX$9-AX$13-AX$12))</f>
        <v>111022.4899552186</v>
      </c>
      <c r="AY19" s="21">
        <f ca="1">循环!Y20</f>
        <v>0</v>
      </c>
      <c r="AZ19">
        <f ca="1">INT(AZ$6*$E19+AZ$7*($C$8+$C$9)/2+AZ$8)*(AZ$14+AZ$15)*IF(COUNTIF($BA19,"*雷*")&gt;0,$B$34,$B$29)*IF(COUNTIF($F19,"*雷*")&gt;0,AZ$17*(AZ$13*0.25+AZ$16*(AZ$10+属性开关!$X$56)+1-AZ$16-AZ$13-AZ$12),AZ$11*(AZ$13*0.25+AZ$9*AZ$10+1-AZ$9-AZ$13-AZ$12))</f>
        <v>89931.454289936388</v>
      </c>
      <c r="BA19" s="34" t="s">
        <v>224</v>
      </c>
      <c r="BB19">
        <f ca="1">INT(BB$6*$E19+BB$7*($C$8+$C$9)/2+BB$8)*(BB$14+BB$15)*IF(COUNTIF(BA19,"*雷*")&gt;0,$B$21,$D$21)*IF(COUNTIF($BA19,"*雷*")&gt;0,BB$17*(BB$13*0.25+BB$16*(BB$10+属性开关!$X$56)+1-BB$16-BB$13-BB$12),BB$11*(BB$13*0.25+BB$9*BB$10+1-BB$9-BB$13-BB$12))</f>
        <v>0</v>
      </c>
      <c r="BC19">
        <f ca="1">INT(BC$6*$E19+BC$7*($C$8+$C$9)/2+BC$8)*(BC$14+BC$15)*1*IF(COUNTIF($F19,"*雷*")&gt;0,BC$17*(BC$13*0.25+BC$16*(BC$10+属性开关!$X$56)+1-BC$16-BC$13-BC$12),BC$11*(BC$13*0.25+BC$9*BC$10+1-BC$9-BC$13-BC$12))</f>
        <v>188621.5206447083</v>
      </c>
      <c r="BD19">
        <f ca="1">INT(BD$6*$E19+BD$7*($C$8+$C$9)/2+BD$8)*(BD$14+BD$15)*IF(COUNTIF($BA19,"*雷*")&gt;0,$B$34,$B$29)*IF(COUNTIF($F19,"*雷*")&gt;0,BD$17*(BD$13*0.25+BD$16*(BD$10+属性开关!$X$56)+1-BD$16-BD$13-BD$12),BD$11*(BD$13*0.25+BD$9*BD$10+1-BD$9-BD$13-BD$12))</f>
        <v>111258.66285081627</v>
      </c>
      <c r="BE19">
        <f ca="1">INT(BE$6*$E19+BE$7*($C$8+$C$9)/2+BE$8)*(BE$14+BE$15)*IF(COUNTIF($BA19,"*雷*")&gt;0,$B$34,$B$29)*IF(COUNTIF($F19,"*雷*")&gt;0,BE$17*(BE$13*0.25+BE$16*(BE$10+属性开关!$X$56)+1-BE$16-BE$13-BE$12),BE$11*(BE$13*0.25+BE$9*BE$10+1-BE$9-BE$13-BE$12))</f>
        <v>100283.25727562662</v>
      </c>
      <c r="BF19">
        <f ca="1">INT(BF$6*$E19+BF$7*($C$8+$C$9)/2+BF$8)*(BF$14+BF$15)*IF(COUNTIF($BA19,"*雷*")&gt;0,$B$34,$B$29)*IF(COUNTIF($F19,"*雷*")&gt;0,BF$17*(BF$13*0.25+BF$16*(BF$10+属性开关!$X$56)+1-BF$16-BF$13-BF$12),BF$11*(BF$13*0.25+BF$9*BF$10+1-BF$9-BF$13-BF$12))</f>
        <v>301099.21286267962</v>
      </c>
      <c r="BG19">
        <f ca="1">INT(BG$6*$E19+BG$7*($C$8+$C$9)/2+BG$8)*(BG$14+BG$15)*$D$21*IF(COUNTIF($F19,"*雷*")&gt;0,BG$17*(BG$13*0.25+BG$16*(BG$10+属性开关!$X$56)+1-BG$16-BG$13-BG$12),BG$11*(BG$13*0.25+BG$9*BG$10+1-BG$9-BG$13-BG$12))*IF(COUNTIF(BA19,"*雷*")&gt;0,$B$21/$D$21,1)*(1+大附魔数值!$O$10*21/1024)/BH3</f>
        <v>13510.693254664793</v>
      </c>
      <c r="BH19">
        <f ca="1">INT(BH$6*$E19+BH$7*($C$8+$C$9)/2+BH$8)*(BH$14+BH$15)*$D$21*IF(COUNTIF($F19,"*雷*")&gt;0,BH$17*(BH$13*0.25+BH$16*(BH$10+属性开关!$X$56)+1-BH$16-BH$13-BH$12),BH$11*(BH$13*0.25+BH$9*BH$10+1-BH$9-BH$13-BH$12))*IF(COUNTIF(BG19,"*雷*")&gt;0,$B$21/$D$21,1)*(1+大附魔数值!$O$10*21/1024)/BH3</f>
        <v>17516.996361277517</v>
      </c>
      <c r="BI19">
        <f>3-BI18</f>
        <v>3</v>
      </c>
      <c r="BJ19">
        <f>3-BJ18</f>
        <v>3</v>
      </c>
      <c r="BM19">
        <f>(3-BM18)*0.2</f>
        <v>0.60000000000000009</v>
      </c>
      <c r="BN19">
        <f>(3-BN18)*0.2</f>
        <v>0.60000000000000009</v>
      </c>
      <c r="BP19">
        <f>(3-BP18)*0.2</f>
        <v>0.60000000000000009</v>
      </c>
      <c r="BQ19">
        <f>3-BQ18</f>
        <v>3</v>
      </c>
      <c r="BR19">
        <f>3-BR18</f>
        <v>3</v>
      </c>
      <c r="BU19">
        <f>(3-BU18)*0.2</f>
        <v>0.60000000000000009</v>
      </c>
      <c r="BV19">
        <f>(3-BV18)*0.2</f>
        <v>0.60000000000000009</v>
      </c>
      <c r="BX19">
        <f>(3-BX18)*0.2</f>
        <v>0.60000000000000009</v>
      </c>
      <c r="BY19">
        <f t="shared" ref="BY19:BY25" si="36">INDEX($BI19:$BX19,1,$AQ$25)/3</f>
        <v>0</v>
      </c>
      <c r="CA19">
        <f ca="1">INT(CA$6*$E19+CA$7*($C$8+$C$9)/2+CA$8)*(CA$14+CA$15)*IF(COUNTIF($BA19,"*雷*")&gt;0,$B$34,$B$29)*IF(COUNTIF($F19,"*雷*")&gt;0,CA$17*(CA$13*0.25+CA$16*(CA$10+属性开关!$X$56)+1-CA$16-CA$13-CA$12),CA$11*(CA$13*0.25+CA$9*CA$10+1-CA$9-CA$13-CA$12))</f>
        <v>243285.9429444311</v>
      </c>
      <c r="CB19">
        <f ca="1">INT(CB$6*$E19+CB$7*($C$8+$C$9)/2+CB$8)*(CB$14+CB$15)*IF(COUNTIF($BA19,"*雷*")&gt;0,$B$34,$B$29)*IF(COUNTIF($F19,"*雷*")&gt;0,CB$17*(CB$13*0.25+CB$16*(CB$10+属性开关!$X$56)+1-CB$16-CB$13-CB$12),CB$11*(CB$13*0.25+CB$9*CB$10+1-CB$9-CB$13-CB$12))</f>
        <v>314191.19362790009</v>
      </c>
      <c r="CC19">
        <f ca="1">INT(CC$6*$E19+CC$7*($C$8+$C$9)/2+CC$8)*(CC$14+CC$15)*IF(COUNTIF($BA19,"*雷*")&gt;0,$B$34,$B$29)*IF(COUNTIF($F19,"*雷*")&gt;0,CC$17*(CC$13*0.25+CC$16*(CC$10+属性开关!$X$56)+1-CC$16-CC$13-CC$12),CC$11*(CC$13*0.25+CC$9*CC$10+1-CC$9-CC$13-CC$12))</f>
        <v>233866.83290483747</v>
      </c>
      <c r="CD19">
        <f ca="1">INT(CD$6*$E19+CD$7*($C$8+$C$9)/2+CD$8)*(CD$14+CD$15)*IF(COUNTIF($BA19,"*雷*")&gt;0,$B$34,$B$29)*IF(COUNTIF($F19,"*雷*")&gt;0,CD$17*(CD$13*0.25+CD$16*(CD$10+属性开关!$X$56)+1-CD$16-CD$13-CD$12),CD$11*(CD$13*0.25+CD$9*CD$10+1-CD$9-CD$13-CD$12))</f>
        <v>100742.1693031246</v>
      </c>
      <c r="CE19">
        <f ca="1">INT(CE$6*$E19+CE$7*($C$8+$C$9)/2+CE$8)*(CE$14+CE$15)*IF(COUNTIF($BA19,"*雷*")&gt;0,$B$34,$B$29)*IF(COUNTIF($F19,"*雷*")&gt;0,CE$17*(CE$13*0.25+CE$16*(CE$10+属性开关!$X$56)+1-CE$16-CE$13-CE$12),CE$11*(CE$13*0.25+CE$9*CE$10+1-CE$9-CE$13-CE$12))</f>
        <v>315568.20024206239</v>
      </c>
      <c r="CF19">
        <f ca="1">INT(CF$6*$E19+CF$7*($C$8+$C$9)/2+CF$8)*(CF$14+CF$15)*IF(COUNTIF($BA19,"*雷*")&gt;0,$B$34,$B$29)*IF(COUNTIF($F19,"*雷*")&gt;0,CF$17*(CF$13*0.25+CF$16*(CF$10+属性开关!$X$56)+1-CF$16-CF$13-CF$12),CF$11*(CF$13*0.25+CF$9*CF$10+1-CF$9-CF$13-CF$12))</f>
        <v>234165.36323806382</v>
      </c>
      <c r="CG19">
        <f ca="1">INT(CG$6*$E19+CG$7*($C$8+$C$9)/2+CG$8)*(CG$14+CG$15)*IF(COUNTIF($BA19,"*雷*")&gt;0,$B$34,$B$29)*IF(COUNTIF($F19,"*雷*")&gt;0,CG$17*(CG$13*0.25+CG$16*(CG$10+属性开关!$X$56)+1-CG$16-CG$13-CG$12),CG$11*(CG$13*0.25+CG$9*CG$10+1-CG$9-CG$13-CG$12))</f>
        <v>32893.46743465343</v>
      </c>
      <c r="CH19">
        <f ca="1">INT(CH$6*$E19+CH$7*($C$8+$C$9)/2+CH$8)*(CH$14+CH$15)*IF(COUNTIF($BA19,"*雷*")&gt;0,$B$34,$B$29)*IF(COUNTIF($F19,"*雷*")&gt;0,CH$17*(CH$13*0.25+CH$16*(CH$10+属性开关!$X$56)+1-CH$16-CH$13-CH$12),CH$11*(CH$13*0.25+CH$9*CH$10+1-CH$9-CH$13-CH$12))</f>
        <v>123328.49598743097</v>
      </c>
      <c r="CI19">
        <f ca="1">INT(CI$6*$E19+CI$7*($C$8+$C$9)/2+CI$8)*(CI$14+CI$15)*IF(COUNTIF($BA19,"*雷*")&gt;0,$B$34,$B$29)*IF(COUNTIF($F19,"*雷*")&gt;0,CI$17*(CI$13*0.25+CI$16*(CI$10+属性开关!$X$56)+1-CI$16-CI$13-CI$12),CI$11*(CI$13*0.25+CI$9*CI$10+1-CI$9-CI$13-CI$12))</f>
        <v>47471.531437847363</v>
      </c>
      <c r="CK19" s="20">
        <f ca="1">((CA19*$CB$30+CB19)*$CB$31+CC19+CE19+CF19+CD19*$CD$3)/(3*$E$2+8)*$E$2/MAX(加速循环!$X$1,加速循环!$X$2)*加速循环!$AD$17</f>
        <v>0</v>
      </c>
      <c r="CL19">
        <f ca="1">加速循环!AE20</f>
        <v>4.3478260869565216E-2</v>
      </c>
      <c r="CN19">
        <f ca="1">IF($CP$2&gt;=CN4,1,0)*CN3</f>
        <v>0</v>
      </c>
      <c r="CO19">
        <f t="shared" ref="CO19:CP19" ca="1" si="37">IF($CP$2&gt;=CO4,1,0)*CO3</f>
        <v>0</v>
      </c>
      <c r="CP19">
        <f t="shared" si="37"/>
        <v>0</v>
      </c>
      <c r="CQ19">
        <f ca="1">IF($CP$2&gt;=CQ4,1,0)*CQ3</f>
        <v>0</v>
      </c>
    </row>
    <row r="20" spans="1:95" x14ac:dyDescent="0.35">
      <c r="A20">
        <f>A19/(A19+C18)</f>
        <v>0.13288274802687605</v>
      </c>
      <c r="B20">
        <f>B19/(B19+C18)</f>
        <v>0.13288274802687605</v>
      </c>
      <c r="C20">
        <f>C19/(C19+C18)</f>
        <v>0.33825438079711528</v>
      </c>
      <c r="D20">
        <f>D19/(D19+C18)</f>
        <v>0.33825438079711528</v>
      </c>
      <c r="E20" s="20">
        <f ca="1">属性开关!E33</f>
        <v>54014</v>
      </c>
      <c r="F20" s="34" t="s">
        <v>225</v>
      </c>
      <c r="G20">
        <f ca="1">INT(G$6*$E20+G$7*($C$8+$C$9)/2+G$8)*(G$14+G$15)*$D$21*IF(COUNTIF($F20,"*雷*")&gt;0,G$17*(G$13*0.25+G$16*(G$10+属性开关!$X$56)+1-G$16-G$13-G$12),G$11*(G$13*0.25+G$9*G$10+1-G$9-G$13-G$12))</f>
        <v>302393.3729809706</v>
      </c>
      <c r="H20">
        <f ca="1">INT(H$6*$E20+H$7*($C$8+$C$9)/2+H$8)*(H$14+H$15)*$D$21*IF(COUNTIF($F20,"*雷*")&gt;0,H$17*(H$13*0.25+H$16*(H$10+属性开关!$X$56)+1-H$16-H$13-H$12),H$11*(H$13*0.25+H$9*H$10+1-H$9-H$13-H$12))</f>
        <v>161046.36586023981</v>
      </c>
      <c r="I20">
        <f ca="1">INT(I$6*$E20+I$7*($C$8+$C$9)/2+I$8)*(I$14+I$15)*$D$21*IF(COUNTIF($F20,"*雷*")&gt;0,I$17*(I$13*0.25+I$16*(I$10+属性开关!$X$56)+1-I$16-I$13-I$12),I$11*(I$13*0.25+I$9*I$10+1-I$9-I$13-I$12))</f>
        <v>97732.433278813012</v>
      </c>
      <c r="J20">
        <f ca="1">INT(J$6*$E20+J$7*($C$8+$C$9)/2+J$8)*(J$14+J$15)*$D$21*IF(COUNTIF($F20,"*雷*")&gt;0,J$17*(J$13*0.25+J$16*(J$10+属性开关!$X$56)+1-J$16-J$13-J$12),J$11*(J$13*0.25+J$9*J$10+1-J$9-J$13-J$12))</f>
        <v>175062.00943766918</v>
      </c>
      <c r="K20">
        <f ca="1">INT(K$6*$E20+K$7*($C$8+$C$9)/2+K$8)*(K$14+K$15)*$D$21*IF(COUNTIF($F20,"*雷*")&gt;0,K$17*(K$13*0.25+K$16*(K$10+属性开关!$X$56)+1-K$16-K$13-K$12),K$11*(K$13*0.25+K$9*K$10+1-K$9-K$13-K$12))</f>
        <v>182328.52710602822</v>
      </c>
      <c r="L20">
        <f ca="1">INT(L$6*$E20+L$7*($C$8+$C$9)/2+L$8)*(L$14+L$15)*$D$21*IF(COUNTIF($F20,"*雷*")&gt;0,L$17*(L$13*0.25+L$16*(L$10+属性开关!$X$56)+1-L$16-L$13-L$12),L$11*(L$13*0.25+L$9*L$10+1-L$9-L$13-L$12))</f>
        <v>128414.9827823259</v>
      </c>
      <c r="M20">
        <f ca="1">INT(M$6*$E20+M$7*($C$8+$C$9)/2+M$8)*(M$14+M$15)*$D$21*IF(COUNTIF($F20,"*雷*")&gt;0,M$17*(M$13*0.25+M$16*(M$10+属性开关!$X$56)+1-M$16-M$13-M$12),M$11*(M$13*0.25+M$9*M$10+1-M$9-M$13-M$12))</f>
        <v>55773.543591375099</v>
      </c>
      <c r="N20">
        <f ca="1">INT(N$6*$E20+N$7*($C$8+$C$9)/2+N$8)*(N$14+N$15)*$D$21*IF(COUNTIF($F20,"*雷*")&gt;0,N$17*(N$13*0.25+N$16*(N$10+属性开关!$X$56)+1-N$16-N$13-N$12),N$11*(N$13*0.25+N$9*N$10+1-N$9-N$13-N$12))</f>
        <v>65977.682327121234</v>
      </c>
      <c r="O20">
        <f ca="1">INT(O$6*$E20+O$7*($C$8+$C$9)/2+O$8)*(O$14+O$15)*$D$21*IF(COUNTIF($F20,"*雷*")&gt;0,O$17*(O$13*0.25+O$16*(O$10+属性开关!$X$56)+1-O$16-O$13-O$12),O$11*(O$13*0.25+O$9*O$10+1-O$9-O$13-O$12))</f>
        <v>23244.130727903132</v>
      </c>
      <c r="P20">
        <f ca="1">INT(P$6*$E20+P$7*($C$8+$C$9)/2+P$8)*(P$14+P$15)*$D$21*IF(COUNTIF($F20,"*雷*")&gt;0,P$17*(P$13*0.25+P$16*(P$10+属性开关!$X$56)+1-P$16-P$13-P$12),P$11*(P$13*0.25+P$9*P$10+1-P$9-P$13-P$12))</f>
        <v>40473.395908108068</v>
      </c>
      <c r="Q20">
        <f ca="1">INT(Q$6*$E20+Q$7*($C$8+$C$9)/2+Q$8)*(Q$14+Q$15)*$D$21*IF(COUNTIF($F20,"*雷*")&gt;0,Q$17*(Q$13*0.25+Q$16*(Q$10+属性开关!$X$56)+1-Q$16-Q$13-Q$12),Q$11*(Q$13*0.25+Q$9*Q$10+1-Q$9-Q$13-Q$12))</f>
        <v>32393.714555222061</v>
      </c>
      <c r="R20">
        <f ca="1">INT(R$6*$E20+R$7*($C$8+$C$9)/2+R$8)*(R$14+R$15)*$D$21*IF(COUNTIF($F20,"*雷*")&gt;0,R$17*(R$13*0.25+R$16*(R$10+属性开关!$X$56)+1-R$16-R$13-R$12),R$11*(R$13*0.25+R$9*R$10+1-R$9-R$13-R$12))</f>
        <v>9188.6086496134212</v>
      </c>
      <c r="T20" s="34" t="s">
        <v>253</v>
      </c>
      <c r="AR20">
        <f ca="1">INT(AR$6*$E20+AR$7*($C$8+$C$9)/2+AR$8)*(AR$14+AR$15)*IF(COUNTIF($BA20,"*雷*")&gt;0,$B$34,$B$29)*IF(COUNTIF($F20,"*雷*")&gt;0,AR$17*(AR$13*0.25+AR$16*(AR$10+属性开关!$X$56)+1-AR$16-AR$13-AR$12),AR$11*(AR$13*0.25+AR$9*AR$10+1-AR$9-AR$13-AR$12))</f>
        <v>30635.367974566547</v>
      </c>
      <c r="AS20">
        <f ca="1">INT(AS$6*$E20+AS$7*($C$8+$C$9)/2+AS$8)*(AS$14+AS$15)*$D$21*IF(COUNTIF($F20,"*雷*")&gt;0,AS$17*(AS$13*0.25+AS$16*(AS$10+属性开关!$X$56)+1-AS$16-AS$13-AS$12),AS$11*(AS$13*0.25+AS$9*AS$10+1-AS$9-AS$13-AS$12))</f>
        <v>0</v>
      </c>
      <c r="AT20" s="24">
        <f ca="1">INT(AT$6*$E20+AT$7*($C$8+$C$9)/2+AT$8)*(AT$14+AT$15)*$D$21*IF(COUNTIF($F20,"*雷*")&gt;0,AT$17*(AT$13*0.25+AT$16*(AT$10+属性开关!$X$56)+1-AT$16-AT$13-AT$12),AT$11*(AT$13*0.25+AT$9*AT$10+1-AT$9-AT$13-AT$12))/$E$57*IF(COUNTIF(F29,"*雷*")&gt;0,$B$21/$D$21,1)*(1+大附魔数值!$O$10*21/1024)</f>
        <v>0</v>
      </c>
      <c r="AU20">
        <f ca="1">INT(AU$6*$E20+AU$7*($C$8+$C$9)/2+AU$8)*(AU$14+AU$15)*$D$21*IF(COUNTIF($F20,"*雷*")&gt;0,AU$17*(AU$13*0.25+AU$16*(AU$10+属性开关!$X$56)+1-AU$16-AU$13-AU$12),AU$11*(AU$13*0.25+AU$9*AU$10+1-AU$9-AU$13-AU$12))/$E$2*(1-(2)/(3+2*$D$33)/(3+$D$33))</f>
        <v>75913.096072925837</v>
      </c>
      <c r="AV20">
        <f ca="1">INT(AV$6*$E20+AV$7*($C$8+$C$9)/2+AV$8)*(AV$14+AV$15)*$D$21*IF(COUNTIF($F20,"*雷*")&gt;0,AV$17*(AV$13*0.25+AV$16*(AV$10+属性开关!$X$56)+1-AV$16-AV$13-AV$12),AV$11*(AV$13*0.25+AV$9*AV$10+1-AV$9-AV$13-AV$12))</f>
        <v>0</v>
      </c>
      <c r="AX20">
        <f ca="1">INT(AX$6*$E20+AX$7*($C$8+$C$9)/2+AX$8)*(AX$14+AX$15)*IF(COUNTIF($BA20,"*雷*")&gt;0,$B$34,$B$29)*IF(COUNTIF($F20,"*雷*")&gt;0,AX$17*(AX$13*0.25+AX$16*(AX$10+属性开关!$X$56)+1-AX$16-AX$13-AX$12),AX$11*(AX$13*0.25+AX$9*AX$10+1-AX$9-AX$13-AX$12))</f>
        <v>89563.127360375831</v>
      </c>
      <c r="AY20" s="21">
        <f ca="1">循环!Y21</f>
        <v>0</v>
      </c>
      <c r="AZ20">
        <f ca="1">INT(AZ$6*$E20+AZ$7*($C$8+$C$9)/2+AZ$8)*(AZ$14+AZ$15)*IF(COUNTIF($BA20,"*雷*")&gt;0,$B$34,$B$29)*IF(COUNTIF($F20,"*雷*")&gt;0,AZ$17*(AZ$13*0.25+AZ$16*(AZ$10+属性开关!$X$56)+1-AZ$16-AZ$13-AZ$12),AZ$11*(AZ$13*0.25+AZ$9*AZ$10+1-AZ$9-AZ$13-AZ$12))</f>
        <v>72599.250537550746</v>
      </c>
      <c r="BA20" s="34" t="s">
        <v>225</v>
      </c>
      <c r="BB20">
        <f ca="1">INT(BB$6*$E20+BB$7*($C$8+$C$9)/2+BB$8)*(BB$14+BB$15)*IF(COUNTIF(BA20,"*雷*")&gt;0,$B$21,$D$21)*IF(COUNTIF($BA20,"*雷*")&gt;0,BB$17*(BB$13*0.25+BB$16*(BB$10+属性开关!$X$56)+1-BB$16-BB$13-BB$12),BB$11*(BB$13*0.25+BB$9*BB$10+1-BB$9-BB$13-BB$12))</f>
        <v>0</v>
      </c>
      <c r="BC20">
        <f ca="1">INT(BC$6*$E20+BC$7*($C$8+$C$9)/2+BC$8)*(BC$14+BC$15)*1*IF(COUNTIF($F20,"*雷*")&gt;0,BC$17*(BC$13*0.25+BC$16*(BC$10+属性开关!$X$56)+1-BC$16-BC$13-BC$12),BC$11*(BC$13*0.25+BC$9*BC$10+1-BC$9-BC$13-BC$12))</f>
        <v>195462.87275504743</v>
      </c>
      <c r="BD20">
        <f ca="1">INT(BD$6*$E20+BD$7*($C$8+$C$9)/2+BD$8)*(BD$14+BD$15)*IF(COUNTIF($BA20,"*雷*")&gt;0,$B$34,$B$29)*IF(COUNTIF($F20,"*雷*")&gt;0,BD$17*(BD$13*0.25+BD$16*(BD$10+属性开关!$X$56)+1-BD$16-BD$13-BD$12),BD$11*(BD$13*0.25+BD$9*BD$10+1-BD$9-BD$13-BD$12))</f>
        <v>89710.079378794311</v>
      </c>
      <c r="BE20">
        <f ca="1">INT(BE$6*$E20+BE$7*($C$8+$C$9)/2+BE$8)*(BE$14+BE$15)*IF(COUNTIF($BA20,"*雷*")&gt;0,$B$34,$B$29)*IF(COUNTIF($F20,"*雷*")&gt;0,BE$17*(BE$13*0.25+BE$16*(BE$10+属性开关!$X$56)+1-BE$16-BE$13-BE$12),BE$11*(BE$13*0.25+BE$9*BE$10+1-BE$9-BE$13-BE$12))</f>
        <v>80960.655270934658</v>
      </c>
      <c r="BF20">
        <f ca="1">INT(BF$6*$E20+BF$7*($C$8+$C$9)/2+BF$8)*(BF$14+BF$15)*IF(COUNTIF($BA20,"*雷*")&gt;0,$B$34,$B$29)*IF(COUNTIF($F20,"*雷*")&gt;0,BF$17*(BF$13*0.25+BF$16*(BF$10+属性开关!$X$56)+1-BF$16-BF$13-BF$12),BF$11*(BF$13*0.25+BF$9*BF$10+1-BF$9-BF$13-BF$12))</f>
        <v>243165.96297199471</v>
      </c>
      <c r="BG20">
        <f ca="1">INT(BG$6*$E20+BG$7*($C$8+$C$9)/2+BG$8)*(BG$14+BG$15)*$D$21*IF(COUNTIF($F20,"*雷*")&gt;0,BG$17*(BG$13*0.25+BG$16*(BG$10+属性开关!$X$56)+1-BG$16-BG$13-BG$12),BG$11*(BG$13*0.25+BG$9*BG$10+1-BG$9-BG$13-BG$12))*IF(COUNTIF(BA20,"*雷*")&gt;0,$B$21/$D$21,1)*(1+大附魔数值!$O$10*21/1024)/BH3</f>
        <v>10681.69827093463</v>
      </c>
      <c r="BH20">
        <f ca="1">INT(BH$6*$E20+BH$7*($C$8+$C$9)/2+BH$8)*(BH$14+BH$15)*$D$21*IF(COUNTIF($F20,"*雷*")&gt;0,BH$17*(BH$13*0.25+BH$16*(BH$10+属性开关!$X$56)+1-BH$16-BH$13-BH$12),BH$11*(BH$13*0.25+BH$9*BH$10+1-BH$9-BH$13-BH$12))*IF(COUNTIF(BG20,"*雷*")&gt;0,$B$21/$D$21,1)*(1+大附魔数值!$O$10*21/1024)/BH3</f>
        <v>18150.616981268347</v>
      </c>
      <c r="BY20">
        <f t="shared" si="36"/>
        <v>0</v>
      </c>
      <c r="CA20">
        <f ca="1">INT(CA$6*$E20+CA$7*($C$8+$C$9)/2+CA$8)*(CA$14+CA$15)*IF(COUNTIF($BA20,"*雷*")&gt;0,$B$34,$B$29)*IF(COUNTIF($F20,"*雷*")&gt;0,CA$17*(CA$13*0.25+CA$16*(CA$10+属性开关!$X$56)+1-CA$16-CA$13-CA$12),CA$11*(CA$13*0.25+CA$9*CA$10+1-CA$9-CA$13-CA$12))</f>
        <v>193343.25951929763</v>
      </c>
      <c r="CB20">
        <f ca="1">INT(CB$6*$E20+CB$7*($C$8+$C$9)/2+CB$8)*(CB$14+CB$15)*IF(COUNTIF($BA20,"*雷*")&gt;0,$B$34,$B$29)*IF(COUNTIF($F20,"*雷*")&gt;0,CB$17*(CB$13*0.25+CB$16*(CB$10+属性开关!$X$56)+1-CB$16-CB$13-CB$12),CB$11*(CB$13*0.25+CB$9*CB$10+1-CB$9-CB$13-CB$12))</f>
        <v>250234.57534785906</v>
      </c>
      <c r="CC20">
        <f ca="1">INT(CC$6*$E20+CC$7*($C$8+$C$9)/2+CC$8)*(CC$14+CC$15)*IF(COUNTIF($BA20,"*雷*")&gt;0,$B$34,$B$29)*IF(COUNTIF($F20,"*雷*")&gt;0,CC$17*(CC$13*0.25+CC$16*(CC$10+属性开关!$X$56)+1-CC$16-CC$13-CC$12),CC$11*(CC$13*0.25+CC$9*CC$10+1-CC$9-CC$13-CC$12))</f>
        <v>186138.3523667409</v>
      </c>
      <c r="CD20">
        <f ca="1">INT(CD$6*$E20+CD$7*($C$8+$C$9)/2+CD$8)*(CD$14+CD$15)*IF(COUNTIF($BA20,"*雷*")&gt;0,$B$34,$B$29)*IF(COUNTIF($F20,"*雷*")&gt;0,CD$17*(CD$13*0.25+CD$16*(CD$10+属性开关!$X$56)+1-CD$16-CD$13-CD$12),CD$11*(CD$13*0.25+CD$9*CD$10+1-CD$9-CD$13-CD$12))</f>
        <v>80844.114018617533</v>
      </c>
      <c r="CE20">
        <f ca="1">INT(CE$6*$E20+CE$7*($C$8+$C$9)/2+CE$8)*(CE$14+CE$15)*IF(COUNTIF($BA20,"*雷*")&gt;0,$B$34,$B$29)*IF(COUNTIF($F20,"*雷*")&gt;0,CE$17*(CE$13*0.25+CE$16*(CE$10+属性开关!$X$56)+1-CE$16-CE$13-CE$12),CE$11*(CE$13*0.25+CE$9*CE$10+1-CE$9-CE$13-CE$12))</f>
        <v>251198.09561482468</v>
      </c>
      <c r="CF20">
        <f ca="1">INT(CF$6*$E20+CF$7*($C$8+$C$9)/2+CF$8)*(CF$14+CF$15)*IF(COUNTIF($BA20,"*雷*")&gt;0,$B$34,$B$29)*IF(COUNTIF($F20,"*雷*")&gt;0,CF$17*(CF$13*0.25+CF$16*(CF$10+属性开关!$X$56)+1-CF$16-CF$13-CF$12),CF$11*(CF$13*0.25+CF$9*CF$10+1-CF$9-CF$13-CF$12))</f>
        <v>188685.98190827318</v>
      </c>
      <c r="CG20">
        <f ca="1">INT(CG$6*$E20+CG$7*($C$8+$C$9)/2+CG$8)*(CG$14+CG$15)*IF(COUNTIF($BA20,"*雷*")&gt;0,$B$34,$B$29)*IF(COUNTIF($F20,"*雷*")&gt;0,CG$17*(CG$13*0.25+CG$16*(CG$10+属性开关!$X$56)+1-CG$16-CG$13-CG$12),CG$11*(CG$13*0.25+CG$9*CG$10+1-CG$9-CG$13-CG$12))</f>
        <v>24054.610101951843</v>
      </c>
      <c r="CH20">
        <f ca="1">INT(CH$6*$E20+CH$7*($C$8+$C$9)/2+CH$8)*(CH$14+CH$15)*IF(COUNTIF($BA20,"*雷*")&gt;0,$B$34,$B$29)*IF(COUNTIF($F20,"*雷*")&gt;0,CH$17*(CH$13*0.25+CH$16*(CH$10+属性开关!$X$56)+1-CH$16-CH$13-CH$12),CH$11*(CH$13*0.25+CH$9*CH$10+1-CH$9-CH$13-CH$12))</f>
        <v>99525.107470727904</v>
      </c>
      <c r="CI20">
        <f ca="1">INT(CI$6*$E20+CI$7*($C$8+$C$9)/2+CI$8)*(CI$14+CI$15)*IF(COUNTIF($BA20,"*雷*")&gt;0,$B$34,$B$29)*IF(COUNTIF($F20,"*雷*")&gt;0,CI$17*(CI$13*0.25+CI$16*(CI$10+属性开关!$X$56)+1-CI$16-CI$13-CI$12),CI$11*(CI$13*0.25+CI$9*CI$10+1-CI$9-CI$13-CI$12))</f>
        <v>38317.47359590749</v>
      </c>
      <c r="CK20" s="20">
        <f ca="1">((CA20*$CB$30+CB20)*$CB$31+CC20+CE20+CF20+CD20*$CD$3)/(3*$E$2+8)*$E$2/MAX(加速循环!$X$1,加速循环!$X$2)*加速循环!$AD$17</f>
        <v>0</v>
      </c>
      <c r="CL20">
        <f ca="1">加速循环!AE21</f>
        <v>0</v>
      </c>
      <c r="CQ20">
        <f ca="1">CQ18*(1+大附魔数值!$O$10*21/1024)/MAX(循环!$X$1,循环!$X$2)</f>
        <v>7596.1523947094947</v>
      </c>
    </row>
    <row r="21" spans="1:95" x14ac:dyDescent="0.35">
      <c r="A21" s="34" t="s">
        <v>708</v>
      </c>
      <c r="B21">
        <f>(1-A20)*属性开关!$C$88+(1-属性开关!$C$88)*(1-B20)</f>
        <v>0.86711725197312395</v>
      </c>
      <c r="D21">
        <f>(1-C20)*属性开关!$C$88+(1-属性开关!$C$88)*(1-D20)</f>
        <v>0.66174561920288477</v>
      </c>
      <c r="E21" s="20">
        <f ca="1">属性开关!E34</f>
        <v>54014</v>
      </c>
      <c r="F21" s="34" t="s">
        <v>226</v>
      </c>
      <c r="G21">
        <f ca="1">INT(G$6*$E21+G$7*($C$8+$C$9)/2+G$8)*(G$14+G$15)*$D$21*IF(COUNTIF($F21,"*雷*")&gt;0,G$17*(G$13*0.25+G$16*(G$10+属性开关!$X$56)+1-G$16-G$13-G$12),G$11*(G$13*0.25+G$9*G$10+1-G$9-G$13-G$12))</f>
        <v>372239.24939272163</v>
      </c>
      <c r="H21">
        <f ca="1">INT(H$6*$E21+H$7*($C$8+$C$9)/2+H$8)*(H$14+H$15)*$D$21*IF(COUNTIF($F21,"*雷*")&gt;0,H$17*(H$13*0.25+H$16*(H$10+属性开关!$X$56)+1-H$16-H$13-H$12),H$11*(H$13*0.25+H$9*H$10+1-H$9-H$13-H$12))</f>
        <v>201705.07406235597</v>
      </c>
      <c r="I21">
        <f ca="1">INT(I$6*$E21+I$7*($C$8+$C$9)/2+I$8)*(I$14+I$15)*$D$21*IF(COUNTIF($F21,"*雷*")&gt;0,I$17*(I$13*0.25+I$16*(I$10+属性开关!$X$56)+1-I$16-I$13-I$12),I$11*(I$13*0.25+I$9*I$10+1-I$9-I$13-I$12))</f>
        <v>120306.36533598558</v>
      </c>
      <c r="J21">
        <f ca="1">INT(J$6*$E21+J$7*($C$8+$C$9)/2+J$8)*(J$14+J$15)*$D$21*IF(COUNTIF($F21,"*雷*")&gt;0,J$17*(J$13*0.25+J$16*(J$10+属性开关!$X$56)+1-J$16-J$13-J$12),J$11*(J$13*0.25+J$9*J$10+1-J$9-J$13-J$12))</f>
        <v>219259.18905722859</v>
      </c>
      <c r="K21">
        <f ca="1">INT(K$6*$E21+K$7*($C$8+$C$9)/2+K$8)*(K$14+K$15)*$D$21*IF(COUNTIF($F21,"*雷*")&gt;0,K$17*(K$13*0.25+K$16*(K$10+属性开关!$X$56)+1-K$16-K$13-K$12),K$11*(K$13*0.25+K$9*K$10+1-K$9-K$13-K$12))</f>
        <v>225108.047182048</v>
      </c>
      <c r="L21">
        <f ca="1">INT(L$6*$E21+L$7*($C$8+$C$9)/2+L$8)*(L$14+L$15)*$D$21*IF(COUNTIF($F21,"*雷*")&gt;0,L$17*(L$13*0.25+L$16*(L$10+属性开关!$X$56)+1-L$16-L$13-L$12),L$11*(L$13*0.25+L$9*L$10+1-L$9-L$13-L$12))</f>
        <v>160037.03223606283</v>
      </c>
      <c r="M21">
        <f ca="1">INT(M$6*$E21+M$7*($C$8+$C$9)/2+M$8)*(M$14+M$15)*$D$21*IF(COUNTIF($F21,"*雷*")&gt;0,M$17*(M$13*0.25+M$16*(M$10+属性开关!$X$56)+1-M$16-M$13-M$12),M$11*(M$13*0.25+M$9*M$10+1-M$9-M$13-M$12))</f>
        <v>69507.717871071029</v>
      </c>
      <c r="N21">
        <f ca="1">INT(N$6*$E21+N$7*($C$8+$C$9)/2+N$8)*(N$14+N$15)*$D$21*IF(COUNTIF($F21,"*雷*")&gt;0,N$17*(N$13*0.25+N$16*(N$10+属性开关!$X$56)+1-N$16-N$13-N$12),N$11*(N$13*0.25+N$9*N$10+1-N$9-N$13-N$12))</f>
        <v>82634.794204568636</v>
      </c>
      <c r="O21">
        <f ca="1">INT(O$6*$E21+O$7*($C$8+$C$9)/2+O$8)*(O$14+O$15)*$D$21*IF(COUNTIF($F21,"*雷*")&gt;0,O$17*(O$13*0.25+O$16*(O$10+属性开关!$X$56)+1-O$16-O$13-O$12),O$11*(O$13*0.25+O$9*O$10+1-O$9-O$13-O$12))</f>
        <v>29112.480029853956</v>
      </c>
      <c r="P21">
        <f ca="1">INT(P$6*$E21+P$7*($C$8+$C$9)/2+P$8)*(P$14+P$15)*$D$21*IF(COUNTIF($F21,"*雷*")&gt;0,P$17*(P$13*0.25+P$16*(P$10+属性开关!$X$56)+1-P$16-P$13-P$12),P$11*(P$13*0.25+P$9*P$10+1-P$9-P$13-P$12))</f>
        <v>50691.546348115997</v>
      </c>
      <c r="Q21">
        <f ca="1">INT(Q$6*$E21+Q$7*($C$8+$C$9)/2+Q$8)*(Q$14+Q$15)*$D$21*IF(COUNTIF($F21,"*雷*")&gt;0,Q$17*(Q$13*0.25+Q$16*(Q$10+属性开关!$X$56)+1-Q$16-Q$13-Q$12),Q$11*(Q$13*0.25+Q$9*Q$10+1-Q$9-Q$13-Q$12))</f>
        <v>40572.021346860056</v>
      </c>
      <c r="R21">
        <f ca="1">INT(R$6*$E21+R$7*($C$8+$C$9)/2+R$8)*(R$14+R$15)*$D$21*IF(COUNTIF($F21,"*雷*")&gt;0,R$17*(R$13*0.25+R$16*(R$10+属性开关!$X$56)+1-R$16-R$13-R$12),R$11*(R$13*0.25+R$9*R$10+1-R$9-R$13-R$12))</f>
        <v>11508.418574366955</v>
      </c>
      <c r="T21" s="34" t="s">
        <v>248</v>
      </c>
      <c r="U21" s="34" t="s">
        <v>249</v>
      </c>
      <c r="AA21">
        <f ca="1">10*(30+E53)</f>
        <v>320.9403354846454</v>
      </c>
      <c r="AE21">
        <f ca="1">MIN(CEILING(14.5/E2,1),CEILING((12+大附魔数值!Q21*5)/E2,1))*8</f>
        <v>72</v>
      </c>
      <c r="AR21">
        <f ca="1">INT(AR$6*$E21+AR$7*($C$8+$C$9)/2+AR$8)*(AR$14+AR$15)*IF(COUNTIF($BA21,"*雷*")&gt;0,$B$34,$B$29)*IF(COUNTIF($F21,"*雷*")&gt;0,AR$17*(AR$13*0.25+AR$16*(AR$10+属性开关!$X$56)+1-AR$16-AR$13-AR$12),AR$11*(AR$13*0.25+AR$9*AR$10+1-AR$9-AR$13-AR$12))</f>
        <v>49235.41466200885</v>
      </c>
      <c r="AS21">
        <f ca="1">INT(AS$6*$E21+AS$7*($C$8+$C$9)/2+AS$8)*(AS$14+AS$15)*$D$21*IF(COUNTIF($F21,"*雷*")&gt;0,AS$17*(AS$13*0.25+AS$16*(AS$10+属性开关!$X$56)+1-AS$16-AS$13-AS$12),AS$11*(AS$13*0.25+AS$9*AS$10+1-AS$9-AS$13-AS$12))</f>
        <v>0</v>
      </c>
      <c r="AT21" s="24">
        <f ca="1">INT(AT$6*$E21+AT$7*($C$8+$C$9)/2+AT$8)*(AT$14+AT$15)*$D$21*IF(COUNTIF($F21,"*雷*")&gt;0,AT$17*(AT$13*0.25+AT$16*(AT$10+属性开关!$X$56)+1-AT$16-AT$13-AT$12),AT$11*(AT$13*0.25+AT$9*AT$10+1-AT$9-AT$13-AT$12))/$E$57*IF(COUNTIF(F30,"*雷*")&gt;0,$B$21/$D$21,1)*(1+大附魔数值!$O$10*21/1024)</f>
        <v>0</v>
      </c>
      <c r="AU21">
        <f ca="1">INT(AU$6*$E21+AU$7*($C$8+$C$9)/2+AU$8)*(AU$14+AU$15)*$D$21*IF(COUNTIF($F21,"*雷*")&gt;0,AU$17*(AU$13*0.25+AU$16*(AU$10+属性开关!$X$56)+1-AU$16-AU$13-AU$12),AU$11*(AU$13*0.25+AU$9*AU$10+1-AU$9-AU$13-AU$12))/$E$2*(1-(2)/(3+2*$D$33)/(3+$D$33))</f>
        <v>95078.560661098352</v>
      </c>
      <c r="AV21">
        <f ca="1">INT(AV$6*$E21+AV$7*($C$8+$C$9)/2+AV$8)*(AV$14+AV$15)*$D$21*IF(COUNTIF($F21,"*雷*")&gt;0,AV$17*(AV$13*0.25+AV$16*(AV$10+属性开关!$X$56)+1-AV$16-AV$13-AV$12),AV$11*(AV$13*0.25+AV$9*AV$10+1-AV$9-AV$13-AV$12))</f>
        <v>0</v>
      </c>
      <c r="AX21">
        <f ca="1">INT(AX$6*$E21+AX$7*($C$8+$C$9)/2+AX$8)*(AX$14+AX$15)*IF(COUNTIF($BA21,"*雷*")&gt;0,$B$34,$B$29)*IF(COUNTIF($F21,"*雷*")&gt;0,AX$17*(AX$13*0.25+AX$16*(AX$10+属性开关!$X$56)+1-AX$16-AX$13-AX$12),AX$11*(AX$13*0.25+AX$9*AX$10+1-AX$9-AX$13-AX$12))</f>
        <v>143940.74579666625</v>
      </c>
      <c r="AY21" s="21">
        <f ca="1">循环!Y22</f>
        <v>0</v>
      </c>
      <c r="AZ21">
        <f ca="1">INT(AZ$6*$E21+AZ$7*($C$8+$C$9)/2+AZ$8)*(AZ$14+AZ$15)*IF(COUNTIF($BA21,"*雷*")&gt;0,$B$34,$B$29)*IF(COUNTIF($F21,"*雷*")&gt;0,AZ$17*(AZ$13*0.25+AZ$16*(AZ$10+属性开关!$X$56)+1-AZ$16-AZ$13-AZ$12),AZ$11*(AZ$13*0.25+AZ$9*AZ$10+1-AZ$9-AZ$13-AZ$12))</f>
        <v>116677.37130936008</v>
      </c>
      <c r="BA21" s="34" t="s">
        <v>226</v>
      </c>
      <c r="BB21">
        <f ca="1">INT(BB$6*$E21+BB$7*($C$8+$C$9)/2+BB$8)*(BB$14+BB$15)*IF(COUNTIF(BA21,"*雷*")&gt;0,$B$21,$D$21)*IF(COUNTIF($BA21,"*雷*")&gt;0,BB$17*(BB$13*0.25+BB$16*(BB$10+属性开关!$X$56)+1-BB$16-BB$13-BB$12),BB$11*(BB$13*0.25+BB$9*BB$10+1-BB$9-BB$13-BB$12))</f>
        <v>0</v>
      </c>
      <c r="BC21">
        <f ca="1">INT(BC$6*$E21+BC$7*($C$8+$C$9)/2+BC$8)*(BC$14+BC$15)*1*IF(COUNTIF($F21,"*雷*")&gt;0,BC$17*(BC$13*0.25+BC$16*(BC$10+属性开关!$X$56)+1-BC$16-BC$13-BC$12),BC$11*(BC$13*0.25+BC$9*BC$10+1-BC$9-BC$13-BC$12))</f>
        <v>244810.57374316957</v>
      </c>
      <c r="BD21">
        <f ca="1">INT(BD$6*$E21+BD$7*($C$8+$C$9)/2+BD$8)*(BD$14+BD$15)*IF(COUNTIF($BA21,"*雷*")&gt;0,$B$34,$B$29)*IF(COUNTIF($F21,"*雷*")&gt;0,BD$17*(BD$13*0.25+BD$16*(BD$10+属性开关!$X$56)+1-BD$16-BD$13-BD$12),BD$11*(BD$13*0.25+BD$9*BD$10+1-BD$9-BD$13-BD$12))</f>
        <v>144176.91869226392</v>
      </c>
      <c r="BE21">
        <f ca="1">INT(BE$6*$E21+BE$7*($C$8+$C$9)/2+BE$8)*(BE$14+BE$15)*IF(COUNTIF($BA21,"*雷*")&gt;0,$B$34,$B$29)*IF(COUNTIF($F21,"*雷*")&gt;0,BE$17*(BE$13*0.25+BE$16*(BE$10+属性开关!$X$56)+1-BE$16-BE$13-BE$12),BE$11*(BE$13*0.25+BE$9*BE$10+1-BE$9-BE$13-BE$12))</f>
        <v>130115.3437060623</v>
      </c>
      <c r="BF21">
        <f ca="1">INT(BF$6*$E21+BF$7*($C$8+$C$9)/2+BF$8)*(BF$14+BF$15)*IF(COUNTIF($BA21,"*雷*")&gt;0,$B$34,$B$29)*IF(COUNTIF($F21,"*雷*")&gt;0,BF$17*(BF$13*0.25+BF$16*(BF$10+属性开关!$X$56)+1-BF$16-BF$13-BF$12),BF$11*(BF$13*0.25+BF$9*BF$10+1-BF$9-BF$13-BF$12))</f>
        <v>390802.45514113962</v>
      </c>
      <c r="BG21">
        <f ca="1">INT(BG$6*$E21+BG$7*($C$8+$C$9)/2+BG$8)*(BG$14+BG$15)*$D$21*IF(COUNTIF($F21,"*雷*")&gt;0,BG$17*(BG$13*0.25+BG$16*(BG$10+属性开关!$X$56)+1-BG$16-BG$13-BG$12),BG$11*(BG$13*0.25+BG$9*BG$10+1-BG$9-BG$13-BG$12))*IF(COUNTIF(BA21,"*雷*")&gt;0,$B$21/$D$21,1)*(1+大附魔数值!$O$10*21/1024)/BH3</f>
        <v>17530.44548283266</v>
      </c>
      <c r="BH21">
        <f ca="1">INT(BH$6*$E21+BH$7*($C$8+$C$9)/2+BH$8)*(BH$14+BH$15)*$D$21*IF(COUNTIF($F21,"*雷*")&gt;0,BH$17*(BH$13*0.25+BH$16*(BH$10+属性开关!$X$56)+1-BH$16-BH$13-BH$12),BH$11*(BH$13*0.25+BH$9*BH$10+1-BH$9-BH$13-BH$12))*IF(COUNTIF(BG21,"*雷*")&gt;0,$B$21/$D$21,1)*(1+大附魔数值!$O$10*21/1024)/BH3</f>
        <v>22733.027988109716</v>
      </c>
      <c r="BK21">
        <f>3-BK18</f>
        <v>3</v>
      </c>
      <c r="BL21">
        <f>3-BL18</f>
        <v>3</v>
      </c>
      <c r="BO21">
        <f>(3-BO18)*0.2</f>
        <v>0.60000000000000009</v>
      </c>
      <c r="BS21">
        <f>3-BS18</f>
        <v>3</v>
      </c>
      <c r="BT21">
        <f>3-BT18</f>
        <v>3</v>
      </c>
      <c r="BW21">
        <f>(3-BW18)*0.2</f>
        <v>0.60000000000000009</v>
      </c>
      <c r="BY21">
        <f t="shared" si="36"/>
        <v>0.20000000000000004</v>
      </c>
      <c r="CA21">
        <f ca="1">INT(CA$6*$E21+CA$7*($C$8+$C$9)/2+CA$8)*(CA$14+CA$15)*IF(COUNTIF($BA21,"*雷*")&gt;0,$B$34,$B$29)*IF(COUNTIF($F21,"*雷*")&gt;0,CA$17*(CA$13*0.25+CA$16*(CA$10+属性开关!$X$56)+1-CA$16-CA$13-CA$12),CA$11*(CA$13*0.25+CA$9*CA$10+1-CA$9-CA$13-CA$12))</f>
        <v>310730.2501618375</v>
      </c>
      <c r="CB21">
        <f ca="1">INT(CB$6*$E21+CB$7*($C$8+$C$9)/2+CB$8)*(CB$14+CB$15)*IF(COUNTIF($BA21,"*雷*")&gt;0,$B$34,$B$29)*IF(COUNTIF($F21,"*雷*")&gt;0,CB$17*(CB$13*0.25+CB$16*(CB$10+属性开关!$X$56)+1-CB$16-CB$13-CB$12),CB$11*(CB$13*0.25+CB$9*CB$10+1-CB$9-CB$13-CB$12))</f>
        <v>402162.72545679635</v>
      </c>
      <c r="CC21">
        <f ca="1">INT(CC$6*$E21+CC$7*($C$8+$C$9)/2+CC$8)*(CC$14+CC$15)*IF(COUNTIF($BA21,"*雷*")&gt;0,$B$34,$B$29)*IF(COUNTIF($F21,"*雷*")&gt;0,CC$17*(CC$13*0.25+CC$16*(CC$10+属性开关!$X$56)+1-CC$16-CC$13-CC$12),CC$11*(CC$13*0.25+CC$9*CC$10+1-CC$9-CC$13-CC$12))</f>
        <v>297666.02021425357</v>
      </c>
      <c r="CD21">
        <f ca="1">INT(CD$6*$E21+CD$7*($C$8+$C$9)/2+CD$8)*(CD$14+CD$15)*IF(COUNTIF($BA21,"*雷*")&gt;0,$B$34,$B$29)*IF(COUNTIF($F21,"*雷*")&gt;0,CD$17*(CD$13*0.25+CD$16*(CD$10+属性开关!$X$56)+1-CD$16-CD$13-CD$12),CD$11*(CD$13*0.25+CD$9*CD$10+1-CD$9-CD$13-CD$12))</f>
        <v>129283.11318806466</v>
      </c>
      <c r="CE21">
        <f ca="1">INT(CE$6*$E21+CE$7*($C$8+$C$9)/2+CE$8)*(CE$14+CE$15)*IF(COUNTIF($BA21,"*雷*")&gt;0,$B$34,$B$29)*IF(COUNTIF($F21,"*雷*")&gt;0,CE$17*(CE$13*0.25+CE$16*(CE$10+属性开关!$X$56)+1-CE$16-CE$13-CE$12),CE$11*(CE$13*0.25+CE$9*CE$10+1-CE$9-CE$13-CE$12))</f>
        <v>403711.24022961344</v>
      </c>
      <c r="CF21">
        <f ca="1">INT(CF$6*$E21+CF$7*($C$8+$C$9)/2+CF$8)*(CF$14+CF$15)*IF(COUNTIF($BA21,"*雷*")&gt;0,$B$34,$B$29)*IF(COUNTIF($F21,"*雷*")&gt;0,CF$17*(CF$13*0.25+CF$16*(CF$10+属性开关!$X$56)+1-CF$16-CF$13-CF$12),CF$11*(CF$13*0.25+CF$9*CF$10+1-CF$9-CF$13-CF$12))</f>
        <v>298926.6515901158</v>
      </c>
      <c r="CG21">
        <f ca="1">INT(CG$6*$E21+CG$7*($C$8+$C$9)/2+CG$8)*(CG$14+CG$15)*IF(COUNTIF($BA21,"*雷*")&gt;0,$B$34,$B$29)*IF(COUNTIF($F21,"*雷*")&gt;0,CG$17*(CG$13*0.25+CG$16*(CG$10+属性开关!$X$56)+1-CG$16-CG$13-CG$12),CG$11*(CG$13*0.25+CG$9*CG$10+1-CG$9-CG$13-CG$12))</f>
        <v>38659.19625596737</v>
      </c>
      <c r="CH21">
        <f ca="1">INT(CH$6*$E21+CH$7*($C$8+$C$9)/2+CH$8)*(CH$14+CH$15)*IF(COUNTIF($BA21,"*雷*")&gt;0,$B$34,$B$29)*IF(COUNTIF($F21,"*雷*")&gt;0,CH$17*(CH$13*0.25+CH$16*(CH$10+属性开关!$X$56)+1-CH$16-CH$13-CH$12),CH$11*(CH$13*0.25+CH$9*CH$10+1-CH$9-CH$13-CH$12))</f>
        <v>159951.07157421421</v>
      </c>
      <c r="CI21">
        <f ca="1">INT(CI$6*$E21+CI$7*($C$8+$C$9)/2+CI$8)*(CI$14+CI$15)*IF(COUNTIF($BA21,"*雷*")&gt;0,$B$34,$B$29)*IF(COUNTIF($F21,"*雷*")&gt;0,CI$17*(CI$13*0.25+CI$16*(CI$10+属性开关!$X$56)+1-CI$16-CI$13-CI$12),CI$11*(CI$13*0.25+CI$9*CI$10+1-CI$9-CI$13-CI$12))</f>
        <v>61581.65630200084</v>
      </c>
      <c r="CK21" s="20">
        <f ca="1">((CA21*$CB$30+CB21)*$CB$31+CC21+CE21+CF21+CD21*$CD$3)/(3*$E$2+8)*$E$2/MAX(加速循环!$X$1,加速循环!$X$2)*加速循环!$AD$17</f>
        <v>0</v>
      </c>
      <c r="CL21">
        <f ca="1">加速循环!AE22</f>
        <v>0</v>
      </c>
    </row>
    <row r="22" spans="1:95" x14ac:dyDescent="0.35">
      <c r="B22" t="s">
        <v>30</v>
      </c>
      <c r="C22">
        <f>IF(配装页面!D32="破楼兰",(0.4/(0.15+1))/(0.4/(0.15+1)+0.6),0)</f>
        <v>0</v>
      </c>
      <c r="D22">
        <f>1-C22</f>
        <v>1</v>
      </c>
      <c r="E22" s="20">
        <f ca="1">属性开关!E35</f>
        <v>49047</v>
      </c>
      <c r="F22" s="34" t="s">
        <v>227</v>
      </c>
      <c r="G22">
        <f ca="1">INT(G$6*$E22+G$7*($C$8+$C$9)/2+G$8)*(G$14+G$15)*$D$21*IF(COUNTIF($F22,"*雷*")&gt;0,G$17*(G$13*0.25+G$16*(G$10+属性开关!$X$56)+1-G$16-G$13-G$12),G$11*(G$13*0.25+G$9*G$10+1-G$9-G$13-G$12))</f>
        <v>275678.63878021308</v>
      </c>
      <c r="H22">
        <f ca="1">INT(H$6*$E22+H$7*($C$8+$C$9)/2+H$8)*(H$14+H$15)*$D$21*IF(COUNTIF($F22,"*雷*")&gt;0,H$17*(H$13*0.25+H$16*(H$10+属性开关!$X$56)+1-H$16-H$13-H$12),H$11*(H$13*0.25+H$9*H$10+1-H$9-H$13-H$12))</f>
        <v>161046.36586023981</v>
      </c>
      <c r="I22">
        <f ca="1">INT(I$6*$E22+I$7*($C$8+$C$9)/2+I$8)*(I$14+I$15)*$D$21*IF(COUNTIF($F22,"*雷*")&gt;0,I$17*(I$13*0.25+I$16*(I$10+属性开关!$X$56)+1-I$16-I$13-I$12),I$11*(I$13*0.25+I$9*I$10+1-I$9-I$13-I$12))</f>
        <v>88853.288404602892</v>
      </c>
      <c r="J22">
        <f ca="1">INT(J$6*$E22+J$7*($C$8+$C$9)/2+J$8)*(J$14+J$15)*$D$21*IF(COUNTIF($F22,"*雷*")&gt;0,J$17*(J$13*0.25+J$16*(J$10+属性开关!$X$56)+1-J$16-J$13-J$12),J$11*(J$13*0.25+J$9*J$10+1-J$9-J$13-J$12))</f>
        <v>159758.2502613205</v>
      </c>
      <c r="K22">
        <f ca="1">INT(K$6*$E22+K$7*($C$8+$C$9)/2+K$8)*(K$14+K$15)*$D$21*IF(COUNTIF($F22,"*雷*")&gt;0,K$17*(K$13*0.25+K$16*(K$10+属性开关!$X$56)+1-K$16-K$13-K$12),K$11*(K$13*0.25+K$9*K$10+1-K$9-K$13-K$12))</f>
        <v>166511.84637432758</v>
      </c>
      <c r="L22">
        <f ca="1">INT(L$6*$E22+L$7*($C$8+$C$9)/2+L$8)*(L$14+L$15)*$D$21*IF(COUNTIF($F22,"*雷*")&gt;0,L$17*(L$13*0.25+L$16*(L$10+属性开关!$X$56)+1-L$16-L$13-L$12),L$11*(L$13*0.25+L$9*L$10+1-L$9-L$13-L$12))</f>
        <v>117395.17238729959</v>
      </c>
      <c r="M22">
        <f ca="1">INT(M$6*$E22+M$7*($C$8+$C$9)/2+M$8)*(M$14+M$15)*$D$21*IF(COUNTIF($F22,"*雷*")&gt;0,M$17*(M$13*0.25+M$16*(M$10+属性开关!$X$56)+1-M$16-M$13-M$12),M$11*(M$13*0.25+M$9*M$10+1-M$9-M$13-M$12))</f>
        <v>50844.710118659023</v>
      </c>
      <c r="N22">
        <f ca="1">INT(N$6*$E22+N$7*($C$8+$C$9)/2+N$8)*(N$14+N$15)*$D$21*IF(COUNTIF($F22,"*雷*")&gt;0,N$17*(N$13*0.25+N$16*(N$10+属性开关!$X$56)+1-N$16-N$13-N$12),N$11*(N$13*0.25+N$9*N$10+1-N$9-N$13-N$12))</f>
        <v>59930.685422018963</v>
      </c>
      <c r="O22">
        <f ca="1">INT(O$6*$E22+O$7*($C$8+$C$9)/2+O$8)*(O$14+O$15)*$D$21*IF(COUNTIF($F22,"*雷*")&gt;0,O$17*(O$13*0.25+O$16*(O$10+属性开关!$X$56)+1-O$16-O$13-O$12),O$11*(O$13*0.25+O$9*O$10+1-O$9-O$13-O$12))</f>
        <v>21856.33802135658</v>
      </c>
      <c r="P22">
        <f ca="1">INT(P$6*$E22+P$7*($C$8+$C$9)/2+P$8)*(P$14+P$15)*$D$21*IF(COUNTIF($F22,"*雷*")&gt;0,P$17*(P$13*0.25+P$16*(P$10+属性开关!$X$56)+1-P$16-P$13-P$12),P$11*(P$13*0.25+P$9*P$10+1-P$9-P$13-P$12))</f>
        <v>36759.040025501701</v>
      </c>
      <c r="Q22">
        <f ca="1">INT(Q$6*$E22+Q$7*($C$8+$C$9)/2+Q$8)*(Q$14+Q$15)*$D$21*IF(COUNTIF($F22,"*雷*")&gt;0,Q$17*(Q$13*0.25+Q$16*(Q$10+属性开关!$X$56)+1-Q$16-Q$13-Q$12),Q$11*(Q$13*0.25+Q$9*Q$10+1-Q$9-Q$13-Q$12))</f>
        <v>29422.868054615083</v>
      </c>
      <c r="R22">
        <f ca="1">INT(R$6*$E22+R$7*($C$8+$C$9)/2+R$8)*(R$14+R$15)*$D$21*IF(COUNTIF($F22,"*雷*")&gt;0,R$17*(R$13*0.25+R$16*(R$10+属性开关!$X$56)+1-R$16-R$13-R$12),R$11*(R$13*0.25+R$9*R$10+1-R$9-R$13-R$12))</f>
        <v>8350.6697104319064</v>
      </c>
      <c r="T22" s="34">
        <f ca="1">(G21+I21)/(G14+G15)*(G14+D38)</f>
        <v>477540.34066576266</v>
      </c>
      <c r="U22">
        <f ca="1">K20/(K14+K15)*(K14+D35)</f>
        <v>163617.77856554103</v>
      </c>
      <c r="V22">
        <f ca="1">T22+U22</f>
        <v>641158.11923130369</v>
      </c>
      <c r="AR22">
        <f ca="1">INT(AR$6*$E22+AR$7*($C$8+$C$9)/2+AR$8)*(AR$14+AR$15)*IF(COUNTIF($BA22,"*雷*")&gt;0,$B$34,$B$29)*IF(COUNTIF($F22,"*雷*")&gt;0,AR$17*(AR$13*0.25+AR$16*(AR$10+属性开关!$X$56)+1-AR$16-AR$13-AR$12),AR$11*(AR$13*0.25+AR$9*AR$10+1-AR$9-AR$13-AR$12))</f>
        <v>28482.273232794705</v>
      </c>
      <c r="AS22">
        <f ca="1">INT(AS$6*$E22+AS$7*($C$8+$C$9)/2+AS$8)*(AS$14+AS$15)*$D$21*IF(COUNTIF($F22,"*雷*")&gt;0,AS$17*(AS$13*0.25+AS$16*(AS$10+属性开关!$X$56)+1-AS$16-AS$13-AS$12),AS$11*(AS$13*0.25+AS$9*AS$10+1-AS$9-AS$13-AS$12))</f>
        <v>0</v>
      </c>
      <c r="AT22" s="24">
        <f ca="1">INT(AT$6*$E22+AT$7*($C$8+$C$9)/2+AT$8)*(AT$14+AT$15)*$D$21*IF(COUNTIF($F22,"*雷*")&gt;0,AT$17*(AT$13*0.25+AT$16*(AT$10+属性开关!$X$56)+1-AT$16-AT$13-AT$12),AT$11*(AT$13*0.25+AT$9*AT$10+1-AT$9-AT$13-AT$12))/$E$57*IF(COUNTIF(F31,"*雷*")&gt;0,$B$21/$D$21,1)*(1+大附魔数值!$O$10*21/1024)</f>
        <v>0</v>
      </c>
      <c r="AU22">
        <f ca="1">INT(AU$6*$E22+AU$7*($C$8+$C$9)/2+AU$8)*(AU$14+AU$15)*$D$21*IF(COUNTIF($F22,"*雷*")&gt;0,AU$17*(AU$13*0.25+AU$16*(AU$10+属性开关!$X$56)+1-AU$16-AU$13-AU$12),AU$11*(AU$13*0.25+AU$9*AU$10+1-AU$9-AU$13-AU$12))/$E$2*(1-(2)/(3+2*$D$33)/(3+$D$33))</f>
        <v>68984.489601858673</v>
      </c>
      <c r="AV22">
        <f ca="1">INT(AV$6*$E22+AV$7*($C$8+$C$9)/2+AV$8)*(AV$14+AV$15)*$D$21*IF(COUNTIF($F22,"*雷*")&gt;0,AV$17*(AV$13*0.25+AV$16*(AV$10+属性开关!$X$56)+1-AV$16-AV$13-AV$12),AV$11*(AV$13*0.25+AV$9*AV$10+1-AV$9-AV$13-AV$12))</f>
        <v>0</v>
      </c>
      <c r="AX22">
        <f ca="1">INT(AX$6*$E22+AX$7*($C$8+$C$9)/2+AX$8)*(AX$14+AX$15)*IF(COUNTIF($BA22,"*雷*")&gt;0,$B$34,$B$29)*IF(COUNTIF($F22,"*雷*")&gt;0,AX$17*(AX$13*0.25+AX$16*(AX$10+属性开关!$X$56)+1-AX$16-AX$13-AX$12),AX$11*(AX$13*0.25+AX$9*AX$10+1-AX$9-AX$13-AX$12))</f>
        <v>81361.88381560531</v>
      </c>
      <c r="AY22" s="21">
        <f ca="1">循环!Y23</f>
        <v>0</v>
      </c>
      <c r="AZ22">
        <f ca="1">INT(AZ$6*$E22+AZ$7*($C$8+$C$9)/2+AZ$8)*(AZ$14+AZ$15)*IF(COUNTIF($BA22,"*雷*")&gt;0,$B$34,$B$29)*IF(COUNTIF($F22,"*雷*")&gt;0,AZ$17*(AZ$13*0.25+AZ$16*(AZ$10+属性开关!$X$56)+1-AZ$16-AZ$13-AZ$12),AZ$11*(AZ$13*0.25+AZ$9*AZ$10+1-AZ$9-AZ$13-AZ$12))</f>
        <v>65935.224174213974</v>
      </c>
      <c r="BA22" s="34" t="s">
        <v>227</v>
      </c>
      <c r="BB22">
        <f ca="1">INT(BB$6*$E22+BB$7*($C$8+$C$9)/2+BB$8)*(BB$14+BB$15)*IF(COUNTIF(BA22,"*雷*")&gt;0,$B$21,$D$21)*IF(COUNTIF($BA22,"*雷*")&gt;0,BB$17*(BB$13*0.25+BB$16*(BB$10+属性开关!$X$56)+1-BB$16-BB$13-BB$12),BB$11*(BB$13*0.25+BB$9*BB$10+1-BB$9-BB$13-BB$12))</f>
        <v>0</v>
      </c>
      <c r="BC22">
        <f ca="1">INT(BC$6*$E22+BC$7*($C$8+$C$9)/2+BC$8)*(BC$14+BC$15)*1*IF(COUNTIF($F22,"*雷*")&gt;0,BC$17*(BC$13*0.25+BC$16*(BC$10+属性开关!$X$56)+1-BC$16-BC$13-BC$12),BC$11*(BC$13*0.25+BC$9*BC$10+1-BC$9-BC$13-BC$12))</f>
        <v>177500.41605735652</v>
      </c>
      <c r="BD22">
        <f ca="1">INT(BD$6*$E22+BD$7*($C$8+$C$9)/2+BD$8)*(BD$14+BD$15)*IF(COUNTIF($BA22,"*雷*")&gt;0,$B$34,$B$29)*IF(COUNTIF($F22,"*雷*")&gt;0,BD$17*(BD$13*0.25+BD$16*(BD$10+属性开关!$X$56)+1-BD$16-BD$13-BD$12),BD$11*(BD$13*0.25+BD$9*BD$10+1-BD$9-BD$13-BD$12))</f>
        <v>81508.835834023805</v>
      </c>
      <c r="BE22">
        <f ca="1">INT(BE$6*$E22+BE$7*($C$8+$C$9)/2+BE$8)*(BE$14+BE$15)*IF(COUNTIF($BA22,"*雷*")&gt;0,$B$34,$B$29)*IF(COUNTIF($F22,"*雷*")&gt;0,BE$17*(BE$13*0.25+BE$16*(BE$10+属性开关!$X$56)+1-BE$16-BE$13-BE$12),BE$11*(BE$13*0.25+BE$9*BE$10+1-BE$9-BE$13-BE$12))</f>
        <v>73527.194743743821</v>
      </c>
      <c r="BF22">
        <f ca="1">INT(BF$6*$E22+BF$7*($C$8+$C$9)/2+BF$8)*(BF$14+BF$15)*IF(COUNTIF($BA22,"*雷*")&gt;0,$B$34,$B$29)*IF(COUNTIF($F22,"*雷*")&gt;0,BF$17*(BF$13*0.25+BF$16*(BF$10+属性开关!$X$56)+1-BF$16-BF$13-BF$12),BF$11*(BF$13*0.25+BF$9*BF$10+1-BF$9-BF$13-BF$12))</f>
        <v>220817.69814846563</v>
      </c>
      <c r="BG22">
        <f ca="1">INT(BG$6*$E22+BG$7*($C$8+$C$9)/2+BG$8)*(BG$14+BG$15)*$D$21*IF(COUNTIF($F22,"*雷*")&gt;0,BG$17*(BG$13*0.25+BG$16*(BG$10+属性开关!$X$56)+1-BG$16-BG$13-BG$12),BG$11*(BG$13*0.25+BG$9*BG$10+1-BG$9-BG$13-BG$12))*IF(COUNTIF(BA22,"*雷*")&gt;0,$B$21/$D$21,1)*(1+大附魔数值!$O$10*21/1024)/BH3</f>
        <v>9700.9891862373042</v>
      </c>
      <c r="BH22">
        <f ca="1">INT(BH$6*$E22+BH$7*($C$8+$C$9)/2+BH$8)*(BH$14+BH$15)*$D$21*IF(COUNTIF($F22,"*雷*")&gt;0,BH$17*(BH$13*0.25+BH$16*(BH$10+属性开关!$X$56)+1-BH$16-BH$13-BH$12),BH$11*(BH$13*0.25+BH$9*BH$10+1-BH$9-BH$13-BH$12))*IF(COUNTIF(BG22,"*雷*")&gt;0,$B$21/$D$21,1)*(1+大附魔数值!$O$10*21/1024)/BH3</f>
        <v>16483.09243454384</v>
      </c>
      <c r="BY22">
        <f t="shared" si="36"/>
        <v>0</v>
      </c>
      <c r="CA22">
        <f ca="1">INT(CA$6*$E22+CA$7*($C$8+$C$9)/2+CA$8)*(CA$14+CA$15)*IF(COUNTIF($BA22,"*雷*")&gt;0,$B$34,$B$29)*IF(COUNTIF($F22,"*雷*")&gt;0,CA$17*(CA$13*0.25+CA$16*(CA$10+属性开关!$X$56)+1-CA$16-CA$13-CA$12),CA$11*(CA$13*0.25+CA$9*CA$10+1-CA$9-CA$13-CA$12))</f>
        <v>176539.4471932266</v>
      </c>
      <c r="CB22">
        <f ca="1">INT(CB$6*$E22+CB$7*($C$8+$C$9)/2+CB$8)*(CB$14+CB$15)*IF(COUNTIF($BA22,"*雷*")&gt;0,$B$34,$B$29)*IF(COUNTIF($F22,"*雷*")&gt;0,CB$17*(CB$13*0.25+CB$16*(CB$10+属性开关!$X$56)+1-CB$16-CB$13-CB$12),CB$11*(CB$13*0.25+CB$9*CB$10+1-CB$9-CB$13-CB$12))</f>
        <v>228316.5973154401</v>
      </c>
      <c r="CC22">
        <f ca="1">INT(CC$6*$E22+CC$7*($C$8+$C$9)/2+CC$8)*(CC$14+CC$15)*IF(COUNTIF($BA22,"*雷*")&gt;0,$B$34,$B$29)*IF(COUNTIF($F22,"*雷*")&gt;0,CC$17*(CC$13*0.25+CC$16*(CC$10+属性开关!$X$56)+1-CC$16-CC$13-CC$12),CC$11*(CC$13*0.25+CC$9*CC$10+1-CC$9-CC$13-CC$12))</f>
        <v>170165.06555953826</v>
      </c>
      <c r="CD22">
        <f ca="1">INT(CD$6*$E22+CD$7*($C$8+$C$9)/2+CD$8)*(CD$14+CD$15)*IF(COUNTIF($BA22,"*雷*")&gt;0,$B$34,$B$29)*IF(COUNTIF($F22,"*雷*")&gt;0,CD$17*(CD$13*0.25+CD$16*(CD$10+属性开关!$X$56)+1-CD$16-CD$13-CD$12),CD$11*(CD$13*0.25+CD$9*CD$10+1-CD$9-CD$13-CD$12))</f>
        <v>73699.737857647604</v>
      </c>
      <c r="CE22">
        <f ca="1">INT(CE$6*$E22+CE$7*($C$8+$C$9)/2+CE$8)*(CE$14+CE$15)*IF(COUNTIF($BA22,"*雷*")&gt;0,$B$34,$B$29)*IF(COUNTIF($F22,"*雷*")&gt;0,CE$17*(CE$13*0.25+CE$16*(CE$10+属性开关!$X$56)+1-CE$16-CE$13-CE$12),CE$11*(CE$13*0.25+CE$9*CE$10+1-CE$9-CE$13-CE$12))</f>
        <v>229238.59010477603</v>
      </c>
      <c r="CF22">
        <f ca="1">INT(CF$6*$E22+CF$7*($C$8+$C$9)/2+CF$8)*(CF$14+CF$15)*IF(COUNTIF($BA22,"*雷*")&gt;0,$B$34,$B$29)*IF(COUNTIF($F22,"*雷*")&gt;0,CF$17*(CF$13*0.25+CF$16*(CF$10+属性开关!$X$56)+1-CF$16-CF$13-CF$12),CF$11*(CF$13*0.25+CF$9*CF$10+1-CF$9-CF$13-CF$12))</f>
        <v>172317.80309522816</v>
      </c>
      <c r="CG22">
        <f ca="1">INT(CG$6*$E22+CG$7*($C$8+$C$9)/2+CG$8)*(CG$14+CG$15)*IF(COUNTIF($BA22,"*雷*")&gt;0,$B$34,$B$29)*IF(COUNTIF($F22,"*雷*")&gt;0,CG$17*(CG$13*0.25+CG$16*(CG$10+属性开关!$X$56)+1-CG$16-CG$13-CG$12),CG$11*(CG$13*0.25+CG$9*CG$10+1-CG$9-CG$13-CG$12))</f>
        <v>22618.427658775519</v>
      </c>
      <c r="CH22">
        <f ca="1">INT(CH$6*$E22+CH$7*($C$8+$C$9)/2+CH$8)*(CH$14+CH$15)*IF(COUNTIF($BA22,"*雷*")&gt;0,$B$34,$B$29)*IF(COUNTIF($F22,"*雷*")&gt;0,CH$17*(CH$13*0.25+CH$16*(CH$10+属性开关!$X$56)+1-CH$16-CH$13-CH$12),CH$11*(CH$13*0.25+CH$9*CH$10+1-CH$9-CH$13-CH$12))</f>
        <v>90403.416686387165</v>
      </c>
      <c r="CI22">
        <f ca="1">INT(CI$6*$E22+CI$7*($C$8+$C$9)/2+CI$8)*(CI$14+CI$15)*IF(COUNTIF($BA22,"*雷*")&gt;0,$B$34,$B$29)*IF(COUNTIF($F22,"*雷*")&gt;0,CI$17*(CI$13*0.25+CI$16*(CI$10+属性开关!$X$56)+1-CI$16-CI$13-CI$12),CI$11*(CI$13*0.25+CI$9*CI$10+1-CI$9-CI$13-CI$12))</f>
        <v>34803.355690396995</v>
      </c>
      <c r="CK22" s="20">
        <f ca="1">((CA22*$CB$30+CB22)*$CB$31+CC22+CE22+CF22+CD22*$CD$3)/(3*$E$2+8)*$E$2/MAX(加速循环!$X$1,加速循环!$X$2)*加速循环!$AD$17</f>
        <v>0</v>
      </c>
      <c r="CL22">
        <f ca="1">加速循环!AE23</f>
        <v>0</v>
      </c>
      <c r="CQ22">
        <f ca="1">SUMPRODUCT(CN18:CQ18,CN19:CQ19)*(1+大附魔数值!$O$10*21/1024)</f>
        <v>0</v>
      </c>
    </row>
    <row r="23" spans="1:95" x14ac:dyDescent="0.35">
      <c r="B23" t="s">
        <v>31</v>
      </c>
      <c r="C23">
        <v>1</v>
      </c>
      <c r="D23" s="34" t="s">
        <v>246</v>
      </c>
      <c r="E23" s="20">
        <f ca="1">属性开关!E36</f>
        <v>61452</v>
      </c>
      <c r="F23" s="34" t="s">
        <v>228</v>
      </c>
      <c r="G23">
        <f ca="1">INT(G$6*$E23+G$7*($C$8+$C$9)/2+G$8)*(G$14+G$15)*$D$21*IF(COUNTIF($F23,"*雷*")&gt;0,G$17*(G$13*0.25+G$16*(G$10+属性开关!$X$56)+1-G$16-G$13-G$12),G$11*(G$13*0.25+G$9*G$10+1-G$9-G$13-G$12))</f>
        <v>342401.05796700093</v>
      </c>
      <c r="H23">
        <f ca="1">INT(H$6*$E23+H$7*($C$8+$C$9)/2+H$8)*(H$14+H$15)*$D$21*IF(COUNTIF($F23,"*雷*")&gt;0,H$17*(H$13*0.25+H$16*(H$10+属性开关!$X$56)+1-H$16-H$13-H$12),H$11*(H$13*0.25+H$9*H$10+1-H$9-H$13-H$12))</f>
        <v>161046.36586023981</v>
      </c>
      <c r="I23">
        <f ca="1">INT(I$6*$E23+I$7*($C$8+$C$9)/2+I$8)*(I$14+I$15)*$D$21*IF(COUNTIF($F23,"*雷*")&gt;0,I$17*(I$13*0.25+I$16*(I$10+属性开关!$X$56)+1-I$16-I$13-I$12),I$11*(I$13*0.25+I$9*I$10+1-I$9-I$13-I$12))</f>
        <v>111027.96071669002</v>
      </c>
      <c r="J23">
        <f ca="1">INT(J$6*$E23+J$7*($C$8+$C$9)/2+J$8)*(J$14+J$15)*$D$21*IF(COUNTIF($F23,"*雷*")&gt;0,J$17*(J$13*0.25+J$16*(J$10+属性开关!$X$56)+1-J$16-J$13-J$12),J$11*(J$13*0.25+J$9*J$10+1-J$9-J$13-J$12))</f>
        <v>197981.75935692553</v>
      </c>
      <c r="K23">
        <f ca="1">INT(K$6*$E23+K$7*($C$8+$C$9)/2+K$8)*(K$14+K$15)*$D$21*IF(COUNTIF($F23,"*雷*")&gt;0,K$17*(K$13*0.25+K$16*(K$10+属性开关!$X$56)+1-K$16-K$13-K$12),K$11*(K$13*0.25+K$9*K$10+1-K$9-K$13-K$12))</f>
        <v>206012.6077012539</v>
      </c>
      <c r="L23">
        <f ca="1">INT(L$6*$E23+L$7*($C$8+$C$9)/2+L$8)*(L$14+L$15)*$D$21*IF(COUNTIF($F23,"*雷*")&gt;0,L$17*(L$13*0.25+L$16*(L$10+属性开关!$X$56)+1-L$16-L$13-L$12),L$11*(L$13*0.25+L$9*L$10+1-L$9-L$13-L$12))</f>
        <v>144918.54080526036</v>
      </c>
      <c r="M23">
        <f ca="1">INT(M$6*$E23+M$7*($C$8+$C$9)/2+M$8)*(M$14+M$15)*$D$21*IF(COUNTIF($F23,"*雷*")&gt;0,M$17*(M$13*0.25+M$16*(M$10+属性开关!$X$56)+1-M$16-M$13-M$12),M$11*(M$13*0.25+M$9*M$10+1-M$9-M$13-M$12))</f>
        <v>63157.451811304556</v>
      </c>
      <c r="N23">
        <f ca="1">INT(N$6*$E23+N$7*($C$8+$C$9)/2+N$8)*(N$14+N$15)*$D$21*IF(COUNTIF($F23,"*雷*")&gt;0,N$17*(N$13*0.25+N$16*(N$10+属性开关!$X$56)+1-N$16-N$13-N$12),N$11*(N$13*0.25+N$9*N$10+1-N$9-N$13-N$12))</f>
        <v>75040.200116298278</v>
      </c>
      <c r="O23">
        <f ca="1">INT(O$6*$E23+O$7*($C$8+$C$9)/2+O$8)*(O$14+O$15)*$D$21*IF(COUNTIF($F23,"*雷*")&gt;0,O$17*(O$13*0.25+O$16*(O$10+属性开关!$X$56)+1-O$16-O$13-O$12),O$11*(O$13*0.25+O$9*O$10+1-O$9-O$13-O$12))</f>
        <v>25321.162765217763</v>
      </c>
      <c r="P23">
        <f ca="1">INT(P$6*$E23+P$7*($C$8+$C$9)/2+P$8)*(P$14+P$15)*$D$21*IF(COUNTIF($F23,"*雷*")&gt;0,P$17*(P$13*0.25+P$16*(P$10+属性开关!$X$56)+1-P$16-P$13-P$12),P$11*(P$13*0.25+P$9*P$10+1-P$9-P$13-P$12))</f>
        <v>46036.952163541209</v>
      </c>
      <c r="Q23">
        <f ca="1">INT(Q$6*$E23+Q$7*($C$8+$C$9)/2+Q$8)*(Q$14+Q$15)*$D$21*IF(COUNTIF($F23,"*雷*")&gt;0,Q$17*(Q$13*0.25+Q$16*(Q$10+属性开关!$X$56)+1-Q$16-Q$13-Q$12),Q$11*(Q$13*0.25+Q$9*Q$10+1-Q$9-Q$13-Q$12))</f>
        <v>36845.197765046694</v>
      </c>
      <c r="R23">
        <f ca="1">INT(R$6*$E23+R$7*($C$8+$C$9)/2+R$8)*(R$14+R$15)*$D$21*IF(COUNTIF($F23,"*雷*")&gt;0,R$17*(R$13*0.25+R$16*(R$10+属性开关!$X$56)+1-R$16-R$13-R$12),R$11*(R$13*0.25+R$9*R$10+1-R$9-R$13-R$12))</f>
        <v>10445.517058385693</v>
      </c>
      <c r="T23" s="34" t="s">
        <v>250</v>
      </c>
      <c r="U23" s="34" t="s">
        <v>251</v>
      </c>
      <c r="AR23">
        <f ca="1">INT(AR$6*$E23+AR$7*($C$8+$C$9)/2+AR$8)*(AR$14+AR$15)*IF(COUNTIF($BA23,"*雷*")&gt;0,$B$34,$B$29)*IF(COUNTIF($F23,"*雷*")&gt;0,AR$17*(AR$13*0.25+AR$16*(AR$10+属性开关!$X$56)+1-AR$16-AR$13-AR$12),AR$11*(AR$13*0.25+AR$9*AR$10+1-AR$9-AR$13-AR$12))</f>
        <v>33860.056648401216</v>
      </c>
      <c r="AS23">
        <f ca="1">INT(AS$6*$E23+AS$7*($C$8+$C$9)/2+AS$8)*(AS$14+AS$15)*$D$21*IF(COUNTIF($F23,"*雷*")&gt;0,AS$17*(AS$13*0.25+AS$16*(AS$10+属性开关!$X$56)+1-AS$16-AS$13-AS$12),AS$11*(AS$13*0.25+AS$9*AS$10+1-AS$9-AS$13-AS$12))</f>
        <v>0</v>
      </c>
      <c r="AT23" s="24">
        <f ca="1">INT(AT$6*$E23+AT$7*($C$8+$C$9)/2+AT$8)*(AT$14+AT$15)*$D$21*IF(COUNTIF($F23,"*雷*")&gt;0,AT$17*(AT$13*0.25+AT$16*(AT$10+属性开关!$X$56)+1-AT$16-AT$13-AT$12),AT$11*(AT$13*0.25+AT$9*AT$10+1-AT$9-AT$13-AT$12))/$E$57*IF(COUNTIF(F32,"*雷*")&gt;0,$B$21/$D$21,1)*(1+大附魔数值!$O$10*21/1024)</f>
        <v>0</v>
      </c>
      <c r="AU23">
        <f ca="1">INT(AU$6*$E23+AU$7*($C$8+$C$9)/2+AU$8)*(AU$14+AU$15)*$D$21*IF(COUNTIF($F23,"*雷*")&gt;0,AU$17*(AU$13*0.25+AU$16*(AU$10+属性开关!$X$56)+1-AU$16-AU$13-AU$12),AU$11*(AU$13*0.25+AU$9*AU$10+1-AU$9-AU$13-AU$12))/$E$2*(1-(2)/(3+2*$D$33)/(3+$D$33))</f>
        <v>86288.586278656512</v>
      </c>
      <c r="AV23">
        <f ca="1">INT(AV$6*$E23+AV$7*($C$8+$C$9)/2+AV$8)*(AV$14+AV$15)*$D$21*IF(COUNTIF($F23,"*雷*")&gt;0,AV$17*(AV$13*0.25+AV$16*(AV$10+属性开关!$X$56)+1-AV$16-AV$13-AV$12),AV$11*(AV$13*0.25+AV$9*AV$10+1-AV$9-AV$13-AV$12))</f>
        <v>0</v>
      </c>
      <c r="AX23">
        <f ca="1">INT(AX$6*$E23+AX$7*($C$8+$C$9)/2+AX$8)*(AX$14+AX$15)*IF(COUNTIF($BA23,"*雷*")&gt;0,$B$34,$B$29)*IF(COUNTIF($F23,"*雷*")&gt;0,AX$17*(AX$13*0.25+AX$16*(AX$10+属性开关!$X$56)+1-AX$16-AX$13-AX$12),AX$11*(AX$13*0.25+AX$9*AX$10+1-AX$9-AX$13-AX$12))</f>
        <v>101844.35334910205</v>
      </c>
      <c r="AY23" s="21">
        <f ca="1">循环!Y24</f>
        <v>0</v>
      </c>
      <c r="AZ23">
        <f ca="1">INT(AZ$6*$E23+AZ$7*($C$8+$C$9)/2+AZ$8)*(AZ$14+AZ$15)*IF(COUNTIF($BA23,"*雷*")&gt;0,$B$34,$B$29)*IF(COUNTIF($F23,"*雷*")&gt;0,AZ$17*(AZ$13*0.25+AZ$16*(AZ$10+属性开关!$X$56)+1-AZ$16-AZ$13-AZ$12),AZ$11*(AZ$13*0.25+AZ$9*AZ$10+1-AZ$9-AZ$13-AZ$12))</f>
        <v>82577.127473537912</v>
      </c>
      <c r="BA23" s="34" t="s">
        <v>228</v>
      </c>
      <c r="BB23">
        <f ca="1">INT(BB$6*$E23+BB$7*($C$8+$C$9)/2+BB$8)*(BB$14+BB$15)*IF(COUNTIF(BA23,"*雷*")&gt;0,$B$21,$D$21)*IF(COUNTIF($BA23,"*雷*")&gt;0,BB$17*(BB$13*0.25+BB$16*(BB$10+属性开关!$X$56)+1-BB$16-BB$13-BB$12),BB$11*(BB$13*0.25+BB$9*BB$10+1-BB$9-BB$13-BB$12))</f>
        <v>0</v>
      </c>
      <c r="BC23">
        <f ca="1">INT(BC$6*$E23+BC$7*($C$8+$C$9)/2+BC$8)*(BC$14+BC$15)*1*IF(COUNTIF($F23,"*雷*")&gt;0,BC$17*(BC$13*0.25+BC$16*(BC$10+属性开关!$X$56)+1-BC$16-BC$13-BC$12),BC$11*(BC$13*0.25+BC$9*BC$10+1-BC$9-BC$13-BC$12))</f>
        <v>222363.15857734776</v>
      </c>
      <c r="BD23">
        <f ca="1">INT(BD$6*$E23+BD$7*($C$8+$C$9)/2+BD$8)*(BD$14+BD$15)*IF(COUNTIF($BA23,"*雷*")&gt;0,$B$34,$B$29)*IF(COUNTIF($F23,"*雷*")&gt;0,BD$17*(BD$13*0.25+BD$16*(BD$10+属性开关!$X$56)+1-BD$16-BD$13-BD$12),BD$11*(BD$13*0.25+BD$9*BD$10+1-BD$9-BD$13-BD$12))</f>
        <v>101991.30536752052</v>
      </c>
      <c r="BE23">
        <f ca="1">INT(BE$6*$E23+BE$7*($C$8+$C$9)/2+BE$8)*(BE$14+BE$15)*IF(COUNTIF($BA23,"*雷*")&gt;0,$B$34,$B$29)*IF(COUNTIF($F23,"*雷*")&gt;0,BE$17*(BE$13*0.25+BE$16*(BE$10+属性开关!$X$56)+1-BE$16-BE$13-BE$12),BE$11*(BE$13*0.25+BE$9*BE$10+1-BE$9-BE$13-BE$12))</f>
        <v>92089.381160154138</v>
      </c>
      <c r="BF23">
        <f ca="1">INT(BF$6*$E23+BF$7*($C$8+$C$9)/2+BF$8)*(BF$14+BF$15)*IF(COUNTIF($BA23,"*雷*")&gt;0,$B$34,$B$29)*IF(COUNTIF($F23,"*雷*")&gt;0,BF$17*(BF$13*0.25+BF$16*(BF$10+属性开关!$X$56)+1-BF$16-BF$13-BF$12),BF$11*(BF$13*0.25+BF$9*BF$10+1-BF$9-BF$13-BF$12))</f>
        <v>276631.39566082269</v>
      </c>
      <c r="BG23">
        <f ca="1">INT(BG$6*$E23+BG$7*($C$8+$C$9)/2+BG$8)*(BG$14+BG$15)*$D$21*IF(COUNTIF($F23,"*雷*")&gt;0,BG$17*(BG$13*0.25+BG$16*(BG$10+属性开关!$X$56)+1-BG$16-BG$13-BG$12),BG$11*(BG$13*0.25+BG$9*BG$10+1-BG$9-BG$13-BG$12))*IF(COUNTIF(BA23,"*雷*")&gt;0,$B$21/$D$21,1)*(1+大附魔数值!$O$10*21/1024)/BH3</f>
        <v>12150.315443647862</v>
      </c>
      <c r="BH23">
        <f ca="1">INT(BH$6*$E23+BH$7*($C$8+$C$9)/2+BH$8)*(BH$14+BH$15)*$D$21*IF(COUNTIF($F23,"*雷*")&gt;0,BH$17*(BH$13*0.25+BH$16*(BH$10+属性开关!$X$56)+1-BH$16-BH$13-BH$12),BH$11*(BH$13*0.25+BH$9*BH$10+1-BH$9-BH$13-BH$12))*IF(COUNTIF(BG23,"*雷*")&gt;0,$B$21/$D$21,1)*(1+大附魔数值!$O$10*21/1024)/BH3</f>
        <v>20647.755465747392</v>
      </c>
      <c r="BY23">
        <f t="shared" si="36"/>
        <v>0</v>
      </c>
      <c r="CA23">
        <f ca="1">INT(CA$6*$E23+CA$7*($C$8+$C$9)/2+CA$8)*(CA$14+CA$15)*IF(COUNTIF($BA23,"*雷*")&gt;0,$B$34,$B$29)*IF(COUNTIF($F23,"*雷*")&gt;0,CA$17*(CA$13*0.25+CA$16*(CA$10+属性开关!$X$56)+1-CA$16-CA$13-CA$12),CA$11*(CA$13*0.25+CA$9*CA$10+1-CA$9-CA$13-CA$12))</f>
        <v>218504.79233307921</v>
      </c>
      <c r="CB23">
        <f ca="1">INT(CB$6*$E23+CB$7*($C$8+$C$9)/2+CB$8)*(CB$14+CB$15)*IF(COUNTIF($BA23,"*雷*")&gt;0,$B$34,$B$29)*IF(COUNTIF($F23,"*雷*")&gt;0,CB$17*(CB$13*0.25+CB$16*(CB$10+属性开关!$X$56)+1-CB$16-CB$13-CB$12),CB$11*(CB$13*0.25+CB$9*CB$10+1-CB$9-CB$13-CB$12))</f>
        <v>283057.03297693754</v>
      </c>
      <c r="CC23">
        <f ca="1">INT(CC$6*$E23+CC$7*($C$8+$C$9)/2+CC$8)*(CC$14+CC$15)*IF(COUNTIF($BA23,"*雷*")&gt;0,$B$34,$B$29)*IF(COUNTIF($F23,"*雷*")&gt;0,CC$17*(CC$13*0.25+CC$16*(CC$10+属性开关!$X$56)+1-CC$16-CC$13-CC$12),CC$11*(CC$13*0.25+CC$9*CC$10+1-CC$9-CC$13-CC$12))</f>
        <v>210060.36701035246</v>
      </c>
      <c r="CD23">
        <f ca="1">INT(CD$6*$E23+CD$7*($C$8+$C$9)/2+CD$8)*(CD$14+CD$15)*IF(COUNTIF($BA23,"*雷*")&gt;0,$B$34,$B$29)*IF(COUNTIF($F23,"*雷*")&gt;0,CD$17*(CD$13*0.25+CD$16*(CD$10+属性开关!$X$56)+1-CD$16-CD$13-CD$12),CD$11*(CD$13*0.25+CD$9*CD$10+1-CD$9-CD$13-CD$12))</f>
        <v>91547.136986075115</v>
      </c>
      <c r="CE23">
        <f ca="1">INT(CE$6*$E23+CE$7*($C$8+$C$9)/2+CE$8)*(CE$14+CE$15)*IF(COUNTIF($BA23,"*雷*")&gt;0,$B$34,$B$29)*IF(COUNTIF($F23,"*雷*")&gt;0,CE$17*(CE$13*0.25+CE$16*(CE$10+属性开关!$X$56)+1-CE$16-CE$13-CE$12),CE$11*(CE$13*0.25+CE$9*CE$10+1-CE$9-CE$13-CE$12))</f>
        <v>284085.85664406815</v>
      </c>
      <c r="CF23">
        <f ca="1">INT(CF$6*$E23+CF$7*($C$8+$C$9)/2+CF$8)*(CF$14+CF$15)*IF(COUNTIF($BA23,"*雷*")&gt;0,$B$34,$B$29)*IF(COUNTIF($F23,"*雷*")&gt;0,CF$17*(CF$13*0.25+CF$16*(CF$10+属性开关!$X$56)+1-CF$16-CF$13-CF$12),CF$11*(CF$13*0.25+CF$9*CF$10+1-CF$9-CF$13-CF$12))</f>
        <v>213195.8821067544</v>
      </c>
      <c r="CG23">
        <f ca="1">INT(CG$6*$E23+CG$7*($C$8+$C$9)/2+CG$8)*(CG$14+CG$15)*IF(COUNTIF($BA23,"*雷*")&gt;0,$B$34,$B$29)*IF(COUNTIF($F23,"*雷*")&gt;0,CG$17*(CG$13*0.25+CG$16*(CG$10+属性开关!$X$56)+1-CG$16-CG$13-CG$12),CG$11*(CG$13*0.25+CG$9*CG$10+1-CG$9-CG$13-CG$12))</f>
        <v>26204.064362544588</v>
      </c>
      <c r="CH23">
        <f ca="1">INT(CH$6*$E23+CH$7*($C$8+$C$9)/2+CH$8)*(CH$14+CH$15)*IF(COUNTIF($BA23,"*雷*")&gt;0,$B$34,$B$29)*IF(COUNTIF($F23,"*雷*")&gt;0,CH$17*(CH$13*0.25+CH$16*(CH$10+属性开关!$X$56)+1-CH$16-CH$13-CH$12),CH$11*(CH$13*0.25+CH$9*CH$10+1-CH$9-CH$13-CH$12))</f>
        <v>113195.60975438371</v>
      </c>
      <c r="CI23">
        <f ca="1">INT(CI$6*$E23+CI$7*($C$8+$C$9)/2+CI$8)*(CI$14+CI$15)*IF(COUNTIF($BA23,"*雷*")&gt;0,$B$34,$B$29)*IF(COUNTIF($F23,"*雷*")&gt;0,CI$17*(CI$13*0.25+CI$16*(CI$10+属性开关!$X$56)+1-CI$16-CI$13-CI$12),CI$11*(CI$13*0.25+CI$9*CI$10+1-CI$9-CI$13-CI$12))</f>
        <v>43582.988610071996</v>
      </c>
      <c r="CK23" s="20">
        <f ca="1">((CA23*$CB$30+CB23)*$CB$31+CC23+CE23+CF23+CD23*$CD$3)/(3*$E$2+8)*$E$2/MAX(加速循环!$X$1,加速循环!$X$2)*加速循环!$AD$17</f>
        <v>0</v>
      </c>
      <c r="CL23">
        <f ca="1">加速循环!AE24</f>
        <v>0</v>
      </c>
      <c r="CQ23">
        <f ca="1">(CQ22-CQ21)/MAX(循环!X2,循环!X1)</f>
        <v>0</v>
      </c>
    </row>
    <row r="24" spans="1:95" x14ac:dyDescent="0.35">
      <c r="B24">
        <f>INDEX(属性开关!AJ33:AJ40,MATCH(配装页面!AE12,属性开关!AI33:AI40,0),1)</f>
        <v>4</v>
      </c>
      <c r="C24">
        <v>2</v>
      </c>
      <c r="D24" s="34" t="s">
        <v>247</v>
      </c>
      <c r="E24" s="20">
        <f ca="1">属性开关!E37</f>
        <v>61452</v>
      </c>
      <c r="F24" s="34" t="s">
        <v>229</v>
      </c>
      <c r="G24">
        <f ca="1">INT(G$6*$E24+G$7*($C$8+$C$9)/2+G$8)*(G$14+G$15)*$D$21*IF(COUNTIF($F24,"*雷*")&gt;0,G$17*(G$13*0.25+G$16*(G$10+属性开关!$X$56)+1-G$16-G$13-G$12),G$11*(G$13*0.25+G$9*G$10+1-G$9-G$13-G$12))</f>
        <v>421487.78444602631</v>
      </c>
      <c r="H24">
        <f ca="1">INT(H$6*$E24+H$7*($C$8+$C$9)/2+H$8)*(H$14+H$15)*$D$21*IF(COUNTIF($F24,"*雷*")&gt;0,H$17*(H$13*0.25+H$16*(H$10+属性开关!$X$56)+1-H$16-H$13-H$12),H$11*(H$13*0.25+H$9*H$10+1-H$9-H$13-H$12))</f>
        <v>201705.07406235597</v>
      </c>
      <c r="I24">
        <f ca="1">INT(I$6*$E24+I$7*($C$8+$C$9)/2+I$8)*(I$14+I$15)*$D$21*IF(COUNTIF($F24,"*雷*")&gt;0,I$17*(I$13*0.25+I$16*(I$10+属性开关!$X$56)+1-I$16-I$13-I$12),I$11*(I$13*0.25+I$9*I$10+1-I$9-I$13-I$12))</f>
        <v>136672.85215733241</v>
      </c>
      <c r="J24">
        <f ca="1">INT(J$6*$E24+J$7*($C$8+$C$9)/2+J$8)*(J$14+J$15)*$D$21*IF(COUNTIF($F24,"*雷*")&gt;0,J$17*(J$13*0.25+J$16*(J$10+属性开关!$X$56)+1-J$16-J$13-J$12),J$11*(J$13*0.25+J$9*J$10+1-J$9-J$13-J$12))</f>
        <v>247965.39320073754</v>
      </c>
      <c r="K24">
        <f ca="1">INT(K$6*$E24+K$7*($C$8+$C$9)/2+K$8)*(K$14+K$15)*$D$21*IF(COUNTIF($F24,"*雷*")&gt;0,K$17*(K$13*0.25+K$16*(K$10+属性开关!$X$56)+1-K$16-K$13-K$12),K$11*(K$13*0.25+K$9*K$10+1-K$9-K$13-K$12))</f>
        <v>254349.0947389841</v>
      </c>
      <c r="L24">
        <f ca="1">INT(L$6*$E24+L$7*($C$8+$C$9)/2+L$8)*(L$14+L$15)*$D$21*IF(COUNTIF($F24,"*雷*")&gt;0,L$17*(L$13*0.25+L$16*(L$10+属性开关!$X$56)+1-L$16-L$13-L$12),L$11*(L$13*0.25+L$9*L$10+1-L$9-L$13-L$12))</f>
        <v>180604.57342246096</v>
      </c>
      <c r="M24">
        <f ca="1">INT(M$6*$E24+M$7*($C$8+$C$9)/2+M$8)*(M$14+M$15)*$D$21*IF(COUNTIF($F24,"*雷*")&gt;0,M$17*(M$13*0.25+M$16*(M$10+属性开关!$X$56)+1-M$16-M$13-M$12),M$11*(M$13*0.25+M$9*M$10+1-M$9-M$13-M$12))</f>
        <v>78709.905436863555</v>
      </c>
      <c r="N24">
        <f ca="1">INT(N$6*$E24+N$7*($C$8+$C$9)/2+N$8)*(N$14+N$15)*$D$21*IF(COUNTIF($F24,"*雷*")&gt;0,N$17*(N$13*0.25+N$16*(N$10+属性开关!$X$56)+1-N$16-N$13-N$12),N$11*(N$13*0.25+N$9*N$10+1-N$9-N$13-N$12))</f>
        <v>93985.288281806745</v>
      </c>
      <c r="O24">
        <f ca="1">INT(O$6*$E24+O$7*($C$8+$C$9)/2+O$8)*(O$14+O$15)*$D$21*IF(COUNTIF($F24,"*雷*")&gt;0,O$17*(O$13*0.25+O$16*(O$10+属性开关!$X$56)+1-O$16-O$13-O$12),O$11*(O$13*0.25+O$9*O$10+1-O$9-O$13-O$12))</f>
        <v>31713.891733114666</v>
      </c>
      <c r="P24">
        <f ca="1">INT(P$6*$E24+P$7*($C$8+$C$9)/2+P$8)*(P$14+P$15)*$D$21*IF(COUNTIF($F24,"*雷*")&gt;0,P$17*(P$13*0.25+P$16*(P$10+属性开关!$X$56)+1-P$16-P$13-P$12),P$11*(P$13*0.25+P$9*P$10+1-P$9-P$13-P$12))</f>
        <v>57659.710581800719</v>
      </c>
      <c r="Q24">
        <f ca="1">INT(Q$6*$E24+Q$7*($C$8+$C$9)/2+Q$8)*(Q$14+Q$15)*$D$21*IF(COUNTIF($F24,"*雷*")&gt;0,Q$17*(Q$13*0.25+Q$16*(Q$10+属性开关!$X$56)+1-Q$16-Q$13-Q$12),Q$11*(Q$13*0.25+Q$9*Q$10+1-Q$9-Q$13-Q$12))</f>
        <v>46147.352064376653</v>
      </c>
      <c r="R24">
        <f ca="1">INT(R$6*$E24+R$7*($C$8+$C$9)/2+R$8)*(R$14+R$15)*$D$21*IF(COUNTIF($F24,"*雷*")&gt;0,R$17*(R$13*0.25+R$16*(R$10+属性开关!$X$56)+1-R$16-R$13-R$12),R$11*(R$13*0.25+R$9*R$10+1-R$9-R$13-R$12))</f>
        <v>13082.653437269881</v>
      </c>
      <c r="T24">
        <f ca="1">K21</f>
        <v>225108.047182048</v>
      </c>
      <c r="U24">
        <f ca="1">G20+I20</f>
        <v>400125.80625978363</v>
      </c>
      <c r="V24">
        <f ca="1">T24+U24</f>
        <v>625233.85344183166</v>
      </c>
      <c r="AR24">
        <f ca="1">INT(AR$6*$E24+AR$7*($C$8+$C$9)/2+AR$8)*(AR$14+AR$15)*IF(COUNTIF($BA24,"*雷*")&gt;0,$B$34,$B$29)*IF(COUNTIF($F24,"*雷*")&gt;0,AR$17*(AR$13*0.25+AR$16*(AR$10+属性开关!$X$56)+1-AR$16-AR$13-AR$12),AR$11*(AR$13*0.25+AR$9*AR$10+1-AR$9-AR$13-AR$12))</f>
        <v>54417.950224955013</v>
      </c>
      <c r="AS24">
        <f ca="1">INT(AS$6*$E24+AS$7*($C$8+$C$9)/2+AS$8)*(AS$14+AS$15)*$D$21*IF(COUNTIF($F24,"*雷*")&gt;0,AS$17*(AS$13*0.25+AS$16*(AS$10+属性开关!$X$56)+1-AS$16-AS$13-AS$12),AS$11*(AS$13*0.25+AS$9*AS$10+1-AS$9-AS$13-AS$12))</f>
        <v>0</v>
      </c>
      <c r="AT24" s="24">
        <f ca="1">INT(AT$6*$E24+AT$7*($C$8+$C$9)/2+AT$8)*(AT$14+AT$15)*$D$21*IF(COUNTIF($F24,"*雷*")&gt;0,AT$17*(AT$13*0.25+AT$16*(AT$10+属性开关!$X$56)+1-AT$16-AT$13-AT$12),AT$11*(AT$13*0.25+AT$9*AT$10+1-AT$9-AT$13-AT$12))/$E$57*IF(COUNTIF(F33,"*雷*")&gt;0,$B$21/$D$21,1)*(1+大附魔数值!$O$10*21/1024)</f>
        <v>0</v>
      </c>
      <c r="AU24">
        <f ca="1">INT(AU$6*$E24+AU$7*($C$8+$C$9)/2+AU$8)*(AU$14+AU$15)*$D$21*IF(COUNTIF($F24,"*雷*")&gt;0,AU$17*(AU$13*0.25+AU$16*(AU$10+属性开关!$X$56)+1-AU$16-AU$13-AU$12),AU$11*(AU$13*0.25+AU$9*AU$10+1-AU$9-AU$13-AU$12))/$E$2*(1-(2)/(3+2*$D$33)/(3+$D$33))</f>
        <v>108073.50785659316</v>
      </c>
      <c r="AV24">
        <f ca="1">INT(AV$6*$E24+AV$7*($C$8+$C$9)/2+AV$8)*(AV$14+AV$15)*$D$21*IF(COUNTIF($F24,"*雷*")&gt;0,AV$17*(AV$13*0.25+AV$16*(AV$10+属性开关!$X$56)+1-AV$16-AV$13-AV$12),AV$11*(AV$13*0.25+AV$9*AV$10+1-AV$9-AV$13-AV$12))</f>
        <v>0</v>
      </c>
      <c r="AW24" s="34"/>
      <c r="AX24">
        <f ca="1">INT(AX$6*$E24+AX$7*($C$8+$C$9)/2+AX$8)*(AX$14+AX$15)*IF(COUNTIF($BA24,"*雷*")&gt;0,$B$34,$B$29)*IF(COUNTIF($F24,"*雷*")&gt;0,AX$17*(AX$13*0.25+AX$16*(AX$10+属性开关!$X$56)+1-AX$16-AX$13-AX$12),AX$11*(AX$13*0.25+AX$9*AX$10+1-AX$9-AX$13-AX$12))</f>
        <v>163678.43116133276</v>
      </c>
      <c r="AY24" s="21">
        <f ca="1">循环!Y25</f>
        <v>0</v>
      </c>
      <c r="AZ24">
        <f ca="1">INT(AZ$6*$E24+AZ$7*($C$8+$C$9)/2+AZ$8)*(AZ$14+AZ$15)*IF(COUNTIF($BA24,"*雷*")&gt;0,$B$34,$B$29)*IF(COUNTIF($F24,"*雷*")&gt;0,AZ$17*(AZ$13*0.25+AZ$16*(AZ$10+属性开关!$X$56)+1-AZ$16-AZ$13-AZ$12),AZ$11*(AZ$13*0.25+AZ$9*AZ$10+1-AZ$9-AZ$13-AZ$12))</f>
        <v>132713.24555763643</v>
      </c>
      <c r="BA24" s="34" t="s">
        <v>229</v>
      </c>
      <c r="BB24">
        <f ca="1">INT(BB$6*$E24+BB$7*($C$8+$C$9)/2+BB$8)*(BB$14+BB$15)*IF(COUNTIF(BA24,"*雷*")&gt;0,$B$21,$D$21)*IF(COUNTIF($BA24,"*雷*")&gt;0,BB$17*(BB$13*0.25+BB$16*(BB$10+属性开关!$X$56)+1-BB$16-BB$13-BB$12),BB$11*(BB$13*0.25+BB$9*BB$10+1-BB$9-BB$13-BB$12))</f>
        <v>0</v>
      </c>
      <c r="BC24">
        <f ca="1">INT(BC$6*$E24+BC$7*($C$8+$C$9)/2+BC$8)*(BC$14+BC$15)*1*IF(COUNTIF($F24,"*雷*")&gt;0,BC$17*(BC$13*0.25+BC$16*(BC$10+属性开关!$X$56)+1-BC$16-BC$13-BC$12),BC$11*(BC$13*0.25+BC$9*BC$10+1-BC$9-BC$13-BC$12))</f>
        <v>278502.26318367757</v>
      </c>
      <c r="BD24">
        <f ca="1">INT(BD$6*$E24+BD$7*($C$8+$C$9)/2+BD$8)*(BD$14+BD$15)*IF(COUNTIF($BA24,"*雷*")&gt;0,$B$34,$B$29)*IF(COUNTIF($F24,"*雷*")&gt;0,BD$17*(BD$13*0.25+BD$16*(BD$10+属性开关!$X$56)+1-BD$16-BD$13-BD$12),BD$11*(BD$13*0.25+BD$9*BD$10+1-BD$9-BD$13-BD$12))</f>
        <v>163914.6040569304</v>
      </c>
      <c r="BE24">
        <f ca="1">INT(BE$6*$E24+BE$7*($C$8+$C$9)/2+BE$8)*(BE$14+BE$15)*IF(COUNTIF($BA24,"*雷*")&gt;0,$B$34,$B$29)*IF(COUNTIF($F24,"*雷*")&gt;0,BE$17*(BE$13*0.25+BE$16*(BE$10+属性开关!$X$56)+1-BE$16-BE$13-BE$12),BE$11*(BE$13*0.25+BE$9*BE$10+1-BE$9-BE$13-BE$12))</f>
        <v>148000.7966985135</v>
      </c>
      <c r="BF24">
        <f ca="1">INT(BF$6*$E24+BF$7*($C$8+$C$9)/2+BF$8)*(BF$14+BF$15)*IF(COUNTIF($BA24,"*雷*")&gt;0,$B$34,$B$29)*IF(COUNTIF($F24,"*雷*")&gt;0,BF$17*(BF$13*0.25+BF$16*(BF$10+属性开关!$X$56)+1-BF$16-BF$13-BF$12),BF$11*(BF$13*0.25+BF$9*BF$10+1-BF$9-BF$13-BF$12))</f>
        <v>444586.18826443359</v>
      </c>
      <c r="BG24">
        <f ca="1">INT(BG$6*$E24+BG$7*($C$8+$C$9)/2+BG$8)*(BG$14+BG$15)*$D$21*IF(COUNTIF($F24,"*雷*")&gt;0,BG$17*(BG$13*0.25+BG$16*(BG$10+属性开关!$X$56)+1-BG$16-BG$13-BG$12),BG$11*(BG$13*0.25+BG$9*BG$10+1-BG$9-BG$13-BG$12))*IF(COUNTIF(BA24,"*雷*")&gt;0,$B$21/$D$21,1)*(1+大附魔数值!$O$10*21/1024)/BH3</f>
        <v>19940.690804164737</v>
      </c>
      <c r="BH24">
        <f ca="1">INT(BH$6*$E24+BH$7*($C$8+$C$9)/2+BH$8)*(BH$14+BH$15)*$D$21*IF(COUNTIF($F24,"*雷*")&gt;0,BH$17*(BH$13*0.25+BH$16*(BH$10+属性开关!$X$56)+1-BH$16-BH$13-BH$12),BH$11*(BH$13*0.25+BH$9*BH$10+1-BH$9-BH$13-BH$12))*IF(COUNTIF(BG24,"*雷*")&gt;0,$B$21/$D$21,1)*(1+大附魔数值!$O$10*21/1024)/BH3</f>
        <v>25860.608671258542</v>
      </c>
      <c r="BO24">
        <f>(3-BO18)*0.8</f>
        <v>2.4000000000000004</v>
      </c>
      <c r="BP24">
        <f>(3-BP18)*0.8</f>
        <v>2.4000000000000004</v>
      </c>
      <c r="BW24">
        <f>(3-BW18)*0.8</f>
        <v>2.4000000000000004</v>
      </c>
      <c r="BX24">
        <f>(3-BX18)*0.8</f>
        <v>2.4000000000000004</v>
      </c>
      <c r="BY24">
        <f t="shared" si="36"/>
        <v>0.80000000000000016</v>
      </c>
      <c r="CA24">
        <f ca="1">INT(CA$6*$E24+CA$7*($C$8+$C$9)/2+CA$8)*(CA$14+CA$15)*IF(COUNTIF($BA24,"*雷*")&gt;0,$B$34,$B$29)*IF(COUNTIF($F24,"*雷*")&gt;0,CA$17*(CA$13*0.25+CA$16*(CA$10+属性开关!$X$56)+1-CA$16-CA$13-CA$12),CA$11*(CA$13*0.25+CA$9*CA$10+1-CA$9-CA$13-CA$12))</f>
        <v>351168.4294142219</v>
      </c>
      <c r="CB24">
        <f ca="1">INT(CB$6*$E24+CB$7*($C$8+$C$9)/2+CB$8)*(CB$14+CB$15)*IF(COUNTIF($BA24,"*雷*")&gt;0,$B$34,$B$29)*IF(COUNTIF($F24,"*雷*")&gt;0,CB$17*(CB$13*0.25+CB$16*(CB$10+属性开关!$X$56)+1-CB$16-CB$13-CB$12),CB$11*(CB$13*0.25+CB$9*CB$10+1-CB$9-CB$13-CB$12))</f>
        <v>454913.10576675442</v>
      </c>
      <c r="CC24">
        <f ca="1">INT(CC$6*$E24+CC$7*($C$8+$C$9)/2+CC$8)*(CC$14+CC$15)*IF(COUNTIF($BA24,"*雷*")&gt;0,$B$34,$B$29)*IF(COUNTIF($F24,"*雷*")&gt;0,CC$17*(CC$13*0.25+CC$16*(CC$10+属性开关!$X$56)+1-CC$16-CC$13-CC$12),CC$11*(CC$13*0.25+CC$9*CC$10+1-CC$9-CC$13-CC$12))</f>
        <v>335921.2792940223</v>
      </c>
      <c r="CD24">
        <f ca="1">INT(CD$6*$E24+CD$7*($C$8+$C$9)/2+CD$8)*(CD$14+CD$15)*IF(COUNTIF($BA24,"*雷*")&gt;0,$B$34,$B$29)*IF(COUNTIF($F24,"*雷*")&gt;0,CD$17*(CD$13*0.25+CD$16*(CD$10+属性开关!$X$56)+1-CD$16-CD$13-CD$12),CD$11*(CD$13*0.25+CD$9*CD$10+1-CD$9-CD$13-CD$12))</f>
        <v>146399.01762407122</v>
      </c>
      <c r="CE24">
        <f ca="1">INT(CE$6*$E24+CE$7*($C$8+$C$9)/2+CE$8)*(CE$14+CE$15)*IF(COUNTIF($BA24,"*雷*")&gt;0,$B$34,$B$29)*IF(COUNTIF($F24,"*雷*")&gt;0,CE$17*(CE$13*0.25+CE$16*(CE$10+属性开关!$X$56)+1-CE$16-CE$13-CE$12),CE$11*(CE$13*0.25+CE$9*CE$10+1-CE$9-CE$13-CE$12))</f>
        <v>456566.57243662811</v>
      </c>
      <c r="CF24">
        <f ca="1">INT(CF$6*$E24+CF$7*($C$8+$C$9)/2+CF$8)*(CF$14+CF$15)*IF(COUNTIF($BA24,"*雷*")&gt;0,$B$34,$B$29)*IF(COUNTIF($F24,"*雷*")&gt;0,CF$17*(CF$13*0.25+CF$16*(CF$10+属性开关!$X$56)+1-CF$16-CF$13-CF$12),CF$11*(CF$13*0.25+CF$9*CF$10+1-CF$9-CF$13-CF$12))</f>
        <v>337756.57590691873</v>
      </c>
      <c r="CG24">
        <f ca="1">INT(CG$6*$E24+CG$7*($C$8+$C$9)/2+CG$8)*(CG$14+CG$15)*IF(COUNTIF($BA24,"*雷*")&gt;0,$B$34,$B$29)*IF(COUNTIF($F24,"*雷*")&gt;0,CG$17*(CG$13*0.25+CG$16*(CG$10+属性开关!$X$56)+1-CG$16-CG$13-CG$12),CG$11*(CG$13*0.25+CG$9*CG$10+1-CG$9-CG$13-CG$12))</f>
        <v>42113.676447136117</v>
      </c>
      <c r="CH24">
        <f ca="1">INT(CH$6*$E24+CH$7*($C$8+$C$9)/2+CH$8)*(CH$14+CH$15)*IF(COUNTIF($BA24,"*雷*")&gt;0,$B$34,$B$29)*IF(COUNTIF($F24,"*雷*")&gt;0,CH$17*(CH$13*0.25+CH$16*(CH$10+属性开关!$X$56)+1-CH$16-CH$13-CH$12),CH$11*(CH$13*0.25+CH$9*CH$10+1-CH$9-CH$13-CH$12))</f>
        <v>181921.52249657677</v>
      </c>
      <c r="CI24">
        <f ca="1">INT(CI$6*$E24+CI$7*($C$8+$C$9)/2+CI$8)*(CI$14+CI$15)*IF(COUNTIF($BA24,"*雷*")&gt;0,$B$34,$B$29)*IF(COUNTIF($F24,"*雷*")&gt;0,CI$17*(CI$13*0.25+CI$16*(CI$10+属性开关!$X$56)+1-CI$16-CI$13-CI$12),CI$11*(CI$13*0.25+CI$9*CI$10+1-CI$9-CI$13-CI$12))</f>
        <v>70044.091463434233</v>
      </c>
      <c r="CK24" s="20">
        <f ca="1">((CA24*$CB$30+CB24)*$CB$31+CC24+CE24+CF24+CD24*$CD$3)/(3*$E$2+8)*$E$2/MAX(加速循环!$X$1,加速循环!$X$2)*加速循环!$AD$17</f>
        <v>0</v>
      </c>
      <c r="CL24">
        <f ca="1">加速循环!AE25</f>
        <v>0.30434782608695654</v>
      </c>
      <c r="CQ24">
        <f>CHOOSE(CP2,0,CQ20,CQ23)</f>
        <v>0</v>
      </c>
    </row>
    <row r="25" spans="1:95" x14ac:dyDescent="0.35">
      <c r="A25" s="34" t="s">
        <v>706</v>
      </c>
      <c r="B25" s="20">
        <f>(D17-1150-属性开关!C41*(1397-1150))*(1-配装页面!Y23*51*属性开关!B2/1024-102/1024)</f>
        <v>23547.916015625</v>
      </c>
      <c r="C25">
        <v>3</v>
      </c>
      <c r="D25" s="34" t="s">
        <v>299</v>
      </c>
      <c r="E25" s="20">
        <f ca="1">INT(154/1024*属性开关!D31)+属性开关!E31</f>
        <v>45340</v>
      </c>
      <c r="F25" s="34" t="s">
        <v>237</v>
      </c>
      <c r="G25">
        <f ca="1">INT(G$6*$E25+G$7*($C$8+$C$9)/2+G$8)*(G$14+G$15)*$D$21*IF(COUNTIF($F25,"*雷*")&gt;0,G$17*(G$13*0.25+G$16*(G$10+属性开关!$X$56)+1-G$16-G$13-G$12),G$11*(G$13*0.25+G$9*G$10+1-G$9-G$13-G$12))</f>
        <v>255737.92427600184</v>
      </c>
      <c r="H25">
        <f ca="1">INT(H$6*$E25+H$7*($C$8+$C$9)/2+H$8)*(H$14+H$15)*$D$21*IF(COUNTIF($F25,"*雷*")&gt;0,H$17*(H$13*0.25+H$16*(H$10+属性开关!$X$56)+1-H$16-H$13-H$12),H$11*(H$13*0.25+H$9*H$10+1-H$9-H$13-H$12))</f>
        <v>161046.36586023981</v>
      </c>
      <c r="I25">
        <f ca="1">INT(I$6*$E25+I$7*($C$8+$C$9)/2+I$8)*(I$14+I$15)*$D$21*IF(COUNTIF($F25,"*雷*")&gt;0,I$17*(I$13*0.25+I$16*(I$10+属性开关!$X$56)+1-I$16-I$13-I$12),I$11*(I$13*0.25+I$9*I$10+1-I$9-I$13-I$12))</f>
        <v>82228.714559102533</v>
      </c>
      <c r="J25">
        <f ca="1">INT(J$6*$E25+J$7*($C$8+$C$9)/2+J$8)*(J$14+J$15)*$D$21*IF(COUNTIF($F25,"*雷*")&gt;0,J$17*(J$13*0.25+J$16*(J$10+属性开关!$X$56)+1-J$16-J$13-J$12),J$11*(J$13*0.25+J$9*J$10+1-J$9-J$13-J$12))</f>
        <v>148336.15303355196</v>
      </c>
      <c r="K25">
        <f ca="1">INT(K$6*$E25+K$7*($C$8+$C$9)/2+K$8)*(K$14+K$15)*$D$21*IF(COUNTIF($F25,"*雷*")&gt;0,K$17*(K$13*0.25+K$16*(K$10+属性开关!$X$56)+1-K$16-K$13-K$12),K$11*(K$13*0.25+K$9*K$10+1-K$9-K$13-K$12))</f>
        <v>154707.33487051303</v>
      </c>
      <c r="L25">
        <f ca="1">INT(L$6*$E25+L$7*($C$8+$C$9)/2+L$8)*(L$14+L$15)*$D$21*IF(COUNTIF($F25,"*雷*")&gt;0,L$17*(L$13*0.25+L$16*(L$10+属性开关!$X$56)+1-L$16-L$13-L$12),L$11*(L$13*0.25+L$9*L$10+1-L$9-L$13-L$12))</f>
        <v>109170.48514435184</v>
      </c>
      <c r="M25">
        <f ca="1">INT(M$6*$E25+M$7*($C$8+$C$9)/2+M$8)*(M$14+M$15)*$D$21*IF(COUNTIF($F25,"*雷*")&gt;0,M$17*(M$13*0.25+M$16*(M$10+属性开关!$X$56)+1-M$16-M$13-M$12),M$11*(M$13*0.25+M$9*M$10+1-M$9-M$13-M$12))</f>
        <v>47163.966395667863</v>
      </c>
      <c r="N25">
        <f ca="1">INT(N$6*$E25+N$7*($C$8+$C$9)/2+N$8)*(N$14+N$15)*$D$21*IF(COUNTIF($F25,"*雷*")&gt;0,N$17*(N$13*0.25+N$16*(N$10+属性开关!$X$56)+1-N$16-N$13-N$12),N$11*(N$13*0.25+N$9*N$10+1-N$9-N$13-N$12))</f>
        <v>55415.381664383218</v>
      </c>
      <c r="O25">
        <f ca="1">INT(O$6*$E25+O$7*($C$8+$C$9)/2+O$8)*(O$14+O$15)*$D$21*IF(COUNTIF($F25,"*雷*")&gt;0,O$17*(O$13*0.25+O$16*(O$10+属性开关!$X$56)+1-O$16-O$13-O$12),O$11*(O$13*0.25+O$9*O$10+1-O$9-O$13-O$12))</f>
        <v>20820.616216202379</v>
      </c>
      <c r="P25">
        <f ca="1">INT(P$6*$E25+P$7*($C$8+$C$9)/2+P$8)*(P$14+P$15)*$D$21*IF(COUNTIF($F25,"*雷*")&gt;0,P$17*(P$13*0.25+P$16*(P$10+属性开关!$X$56)+1-P$16-P$13-P$12),P$11*(P$13*0.25+P$9*P$10+1-P$9-P$13-P$12))</f>
        <v>33986.037223109153</v>
      </c>
      <c r="Q25">
        <f ca="1">INT(Q$6*$E25+Q$7*($C$8+$C$9)/2+Q$8)*(Q$14+Q$15)*$D$21*IF(COUNTIF($F25,"*雷*")&gt;0,Q$17*(Q$13*0.25+Q$16*(Q$10+属性开关!$X$56)+1-Q$16-Q$13-Q$12),Q$11*(Q$13*0.25+Q$9*Q$10+1-Q$9-Q$13-Q$12))</f>
        <v>27205.10401817915</v>
      </c>
      <c r="R25">
        <f ca="1">INT(R$6*$E25+R$7*($C$8+$C$9)/2+R$8)*(R$14+R$15)*$D$21*IF(COUNTIF($F25,"*雷*")&gt;0,R$17*(R$13*0.25+R$16*(R$10+属性开关!$X$56)+1-R$16-R$13-R$12),R$11*(R$13*0.25+R$9*R$10+1-R$9-R$13-R$12))</f>
        <v>7723.904899068315</v>
      </c>
      <c r="T25" s="36"/>
      <c r="Y25" s="34" t="s">
        <v>269</v>
      </c>
      <c r="AQ25">
        <f>属性开关!$AC$34</f>
        <v>15</v>
      </c>
      <c r="AR25">
        <f ca="1">INT(AR$6*$E25+AR$7*($C$8+$C$9)/2+AR$8)*(AR$14+AR$15)*IF(COUNTIF($BA25,"*雷*")&gt;0,$B$34,$B$29)*IF(COUNTIF($F25,"*雷*")&gt;0,AR$17*(AR$13*0.25+AR$16*(AR$10+属性开关!$X$56)+1-AR$16-AR$13-AR$12),AR$11*(AR$13*0.25+AR$9*AR$10+1-AR$9-AR$13-AR$12))</f>
        <v>34486.452061704287</v>
      </c>
      <c r="AS25">
        <f ca="1">INT(AS$6*$E25+AS$7*($C$8+$C$9)/2+AS$8)*(AS$14+AS$15)*$D$21*IF(COUNTIF($F25,"*雷*")&gt;0,AS$17*(AS$13*0.25+AS$16*(AS$10+属性开关!$X$56)+1-AS$16-AS$13-AS$12),AS$11*(AS$13*0.25+AS$9*AS$10+1-AS$9-AS$13-AS$12))</f>
        <v>0</v>
      </c>
      <c r="AT25" s="24">
        <f ca="1">INT(AT$6*$E26+AT$7*($C$8+$C$9)/2+AT$8)*(AT$14+AT$15)*$D$21*IF(COUNTIF($F47,"*雷*")&gt;0,AT$17*(AT$13*0.25+AT$16*(AT$10+属性开关!$X$56)+1-AT$16-AT$13-AT$12),AT$11*(AT$13*0.25+AT$9*AT$10+1-AT$9-AT$13-AT$12))/$E$57*IF(COUNTIF(F47,"*雷*")&gt;0,$B$21/$D$21,1)*(1+大附魔数值!$O$10*21/1024)</f>
        <v>0</v>
      </c>
      <c r="AU25">
        <f ca="1">INT(AU$6*$E26+AU$7*($C$8+$C$9)/2+AU$8)*(AU$14+AU$15)*$D$21*IF(COUNTIF($F47,"*雷*")&gt;0,AU$17*(AU$13*0.25+AU$16*(AU$10+属性开关!$X$56)+1-AU$16-AU$13-AU$12),AU$11*(AU$13*0.25+AU$9*AU$10+1-AU$9-AU$13-AU$12))/$E$2*(1-(2)/(3+2*$D$33)/(3+$D$33))</f>
        <v>86400.71764408586</v>
      </c>
      <c r="AV25">
        <f ca="1">INT(AV$6*$E25+AV$7*($C$8+$C$9)/2+AV$8)*(AV$14+AV$15)*$D$21*IF(COUNTIF($F25,"*雷*")&gt;0,AV$17*(AV$13*0.25+AV$16*(AV$10+属性开关!$X$56)+1-AV$16-AV$13-AV$12),AV$11*(AV$13*0.25+AV$9*AV$10+1-AV$9-AV$13-AV$12))</f>
        <v>0</v>
      </c>
      <c r="AX25">
        <f ca="1">INT(AX$6*$E25+AX$7*($C$8+$C$9)/2+AX$8)*(AX$14+AX$15)*IF(COUNTIF($BA25,"*雷*")&gt;0,$B$34,$B$29)*IF(COUNTIF($F25,"*雷*")&gt;0,AX$17*(AX$13*0.25+AX$16*(AX$10+属性开关!$X$56)+1-AX$16-AX$13-AX$12),AX$11*(AX$13*0.25+AX$9*AX$10+1-AX$9-AX$13-AX$12))</f>
        <v>96548.082201867845</v>
      </c>
      <c r="AY25" s="21">
        <f ca="1">循环!Y26</f>
        <v>0</v>
      </c>
      <c r="AZ25">
        <f ca="1">INT(AZ$6*$E25+AZ$7*($C$8+$C$9)/2+AZ$8)*(AZ$14+AZ$15)*IF(COUNTIF($BA25,"*雷*")&gt;0,$B$34,$B$29)*IF(COUNTIF($F25,"*雷*")&gt;0,AZ$17*(AZ$13*0.25+AZ$16*(AZ$10+属性开关!$X$56)+1-AZ$16-AZ$13-AZ$12),AZ$11*(AZ$13*0.25+AZ$9*AZ$10+1-AZ$9-AZ$13-AZ$12))</f>
        <v>78225.366871670718</v>
      </c>
      <c r="BA25" s="34" t="s">
        <v>288</v>
      </c>
      <c r="BB25">
        <f ca="1">INT(BB$6*$E25+BB$7*($C$8+$C$9)/2+BB$8)*(BB$14+BB$15)*IF(COUNTIF(BA25,"*雷*")&gt;0,$B$21,$D$21)*IF(COUNTIF($BA25,"*雷*")&gt;0,BB$17*(BB$13*0.25+BB$16*(BB$10+属性开关!$X$56)+1-BB$16-BB$13-BB$12),BB$11*(BB$13*0.25+BB$9*BB$10+1-BB$9-BB$13-BB$12))</f>
        <v>0</v>
      </c>
      <c r="BC25">
        <f ca="1">INT(BC$6*$E25+BC$7*($C$8+$C$9)/2+BC$8)*(BC$14+BC$15)*1*IF(COUNTIF($F25,"*雷*")&gt;0,BC$17*(BC$13*0.25+BC$16*(BC$10+属性开关!$X$56)+1-BC$16-BC$13-BC$12),BC$11*(BC$13*0.25+BC$9*BC$10+1-BC$9-BC$13-BC$12))</f>
        <v>164092.46683643587</v>
      </c>
      <c r="BD25">
        <f ca="1">INT(BD$6*$E25+BD$7*($C$8+$C$9)/2+BD$8)*(BD$14+BD$15)*IF(COUNTIF($BA25,"*雷*")&gt;0,$B$34,$B$29)*IF(COUNTIF($F25,"*雷*")&gt;0,BD$17*(BD$13*0.25+BD$16*(BD$10+属性开关!$X$56)+1-BD$16-BD$13-BD$12),BD$11*(BD$13*0.25+BD$9*BD$10+1-BD$9-BD$13-BD$12))</f>
        <v>96736.648536787761</v>
      </c>
      <c r="BE25">
        <f ca="1">INT(BE$6*$E25+BE$7*($C$8+$C$9)/2+BE$8)*(BE$14+BE$15)*IF(COUNTIF($BA25,"*雷*")&gt;0,$B$34,$B$29)*IF(COUNTIF($F25,"*雷*")&gt;0,BE$17*(BE$13*0.25+BE$16*(BE$10+属性开关!$X$56)+1-BE$16-BE$13-BE$12),BE$11*(BE$13*0.25+BE$9*BE$10+1-BE$9-BE$13-BE$12))</f>
        <v>87232.057767677645</v>
      </c>
      <c r="BF25">
        <f ca="1">INT(BF$6*$E25+BF$7*($C$8+$C$9)/2+BF$8)*(BF$14+BF$15)*IF(COUNTIF($BA25,"*雷*")&gt;0,$B$34,$B$29)*IF(COUNTIF($F25,"*雷*")&gt;0,BF$17*(BF$13*0.25+BF$16*(BF$10+属性开关!$X$56)+1-BF$16-BF$13-BF$12),BF$11*(BF$13*0.25+BF$9*BF$10+1-BF$9-BF$13-BF$12))</f>
        <v>261946.18260101666</v>
      </c>
      <c r="BG25">
        <f ca="1">INT(BG$6*$E26+BG$7*($C$8+$C$9)/2+BG$8)*(BG$14+BG$15)*$D$21*IF(COUNTIF($BA25,"*雷*")&gt;0,BG$17*(BG$13*0.25+BG$16*(BG$10+属性开关!$X$56)+1-BG$16-BG$13-BG$12),BG$11*(BG$13*0.25+BG$9*BG$10+1-BG$9-BG$13-BG$12))*IF(COUNTIF(BA25,"*雷*")&gt;0,$B$21/$D$21,1)*(1+大附魔数值!$O$10*21/1024)/BH3</f>
        <v>15920.938575996868</v>
      </c>
      <c r="BH25">
        <f ca="1">INT(BH$6*$E26+BH$7*($C$8+$C$9)/2+BH$8)*(BH$14+BH$15)*$D$21*IF(COUNTIF($BA25,"*雷*")&gt;0,BH$17*(BH$13*0.25+BH$16*(BH$10+属性开关!$X$56)+1-BH$16-BH$13-BH$12),BH$11*(BH$13*0.25+BH$9*BH$10+1-BH$9-BH$13-BH$12))*IF(COUNTIF(BA25,"*雷*")&gt;0,$B$21/$D$21,1)*(1+大附魔数值!$O$10*21/1024)/BH3</f>
        <v>27051.499301241645</v>
      </c>
      <c r="BM25">
        <f>(3-BM18)*0.8</f>
        <v>2.4000000000000004</v>
      </c>
      <c r="BN25">
        <f>(3-BN18)*0.8</f>
        <v>2.4000000000000004</v>
      </c>
      <c r="BU25">
        <f>(3-BU18)*0.8</f>
        <v>2.4000000000000004</v>
      </c>
      <c r="BV25">
        <f>(3-BV18)*0.8</f>
        <v>2.4000000000000004</v>
      </c>
      <c r="BY25">
        <f t="shared" si="36"/>
        <v>0</v>
      </c>
      <c r="CA25">
        <f ca="1">INT(CA$6*$E25+CA$7*($C$8+$C$9)/2+CA$8)*(CA$14+CA$15)*IF(COUNTIF($BA25,"*雷*")&gt;0,$B$34,$B$29)*IF(COUNTIF($F25,"*雷*")&gt;0,CA$17*(CA$13*0.25+CA$16*(CA$10+属性开关!$X$56)+1-CA$16-CA$13-CA$12),CA$11*(CA$13*0.25+CA$9*CA$10+1-CA$9-CA$13-CA$12))</f>
        <v>210441.44124757158</v>
      </c>
      <c r="CB25">
        <f ca="1">INT(CB$6*$E25+CB$7*($C$8+$C$9)/2+CB$8)*(CB$14+CB$15)*IF(COUNTIF($BA25,"*雷*")&gt;0,$B$34,$B$29)*IF(COUNTIF($F25,"*雷*")&gt;0,CB$17*(CB$13*0.25+CB$16*(CB$10+属性开关!$X$56)+1-CB$16-CB$13-CB$12),CB$11*(CB$13*0.25+CB$9*CB$10+1-CB$9-CB$13-CB$12))</f>
        <v>271984.9818277022</v>
      </c>
      <c r="CC25">
        <f ca="1">INT(CC$6*$E25+CC$7*($C$8+$C$9)/2+CC$8)*(CC$14+CC$15)*IF(COUNTIF($BA25,"*雷*")&gt;0,$B$34,$B$29)*IF(COUNTIF($F25,"*雷*")&gt;0,CC$17*(CC$13*0.25+CC$16*(CC$10+属性开关!$X$56)+1-CC$16-CC$13-CC$12),CC$11*(CC$13*0.25+CC$9*CC$10+1-CC$9-CC$13-CC$12))</f>
        <v>203055.15157169831</v>
      </c>
      <c r="CD25">
        <f ca="1">INT(CD$6*$E25+CD$7*($C$8+$C$9)/2+CD$8)*(CD$14+CD$15)*IF(COUNTIF($BA25,"*雷*")&gt;0,$B$34,$B$29)*IF(COUNTIF($F25,"*雷*")&gt;0,CD$17*(CD$13*0.25+CD$16*(CD$10+属性开关!$X$56)+1-CD$16-CD$13-CD$12),CD$11*(CD$13*0.25+CD$9*CD$10+1-CD$9-CD$13-CD$12))</f>
        <v>87724.134710326558</v>
      </c>
      <c r="CE25">
        <f ca="1">INT(CE$6*$E25+CE$7*($C$8+$C$9)/2+CE$8)*(CE$14+CE$15)*IF(COUNTIF($BA25,"*雷*")&gt;0,$B$34,$B$29)*IF(COUNTIF($F25,"*雷*")&gt;0,CE$17*(CE$13*0.25+CE$16*(CE$10+属性开关!$X$56)+1-CE$16-CE$13-CE$12),CE$11*(CE$13*0.25+CE$9*CE$10+1-CE$9-CE$13-CE$12))</f>
        <v>273124.11657435482</v>
      </c>
      <c r="CF25">
        <f ca="1">INT(CF$6*$E25+CF$7*($C$8+$C$9)/2+CF$8)*(CF$14+CF$15)*IF(COUNTIF($BA25,"*雷*")&gt;0,$B$34,$B$29)*IF(COUNTIF($F25,"*雷*")&gt;0,CF$17*(CF$13*0.25+CF$16*(CF$10+属性开关!$X$56)+1-CF$16-CF$13-CF$12),CF$11*(CF$13*0.25+CF$9*CF$10+1-CF$9-CF$13-CF$12))</f>
        <v>205439.77067098499</v>
      </c>
      <c r="CG25">
        <f ca="1">INT(CG$6*$E25+CG$7*($C$8+$C$9)/2+CG$8)*(CG$14+CG$15)*IF(COUNTIF($BA25,"*雷*")&gt;0,$B$34,$B$29)*IF(COUNTIF($F25,"*雷*")&gt;0,CG$17*(CG$13*0.25+CG$16*(CG$10+属性开关!$X$56)+1-CG$16-CG$13-CG$12),CG$11*(CG$13*0.25+CG$9*CG$10+1-CG$9-CG$13-CG$12))</f>
        <v>27648.221231820022</v>
      </c>
      <c r="CH25">
        <f ca="1">INT(CH$6*$E25+CH$7*($C$8+$C$9)/2+CH$8)*(CH$14+CH$15)*IF(COUNTIF($BA25,"*雷*")&gt;0,$B$34,$B$29)*IF(COUNTIF($F25,"*雷*")&gt;0,CH$17*(CH$13*0.25+CH$16*(CH$10+属性开关!$X$56)+1-CH$16-CH$13-CH$12),CH$11*(CH$13*0.25+CH$9*CH$10+1-CH$9-CH$13-CH$12))</f>
        <v>107264.1344875777</v>
      </c>
      <c r="CI25">
        <f ca="1">INT(CI$6*$E25+CI$7*($C$8+$C$9)/2+CI$8)*(CI$14+CI$15)*IF(COUNTIF($BA25,"*雷*")&gt;0,$B$34,$B$29)*IF(COUNTIF($F25,"*雷*")&gt;0,CI$17*(CI$13*0.25+CI$16*(CI$10+属性开关!$X$56)+1-CI$16-CI$13-CI$12),CI$11*(CI$13*0.25+CI$9*CI$10+1-CI$9-CI$13-CI$12))</f>
        <v>41292.873997695155</v>
      </c>
      <c r="CK25" s="20">
        <f ca="1">((CA25*$CB$30+CB25)*$CB$31+CC25+CE25+CF25+CD25*$CD$3)/(3*$E$2+8)*$E$2/MAX(加速循环!$X$1,加速循环!$X$2)*加速循环!$AD$17</f>
        <v>0</v>
      </c>
      <c r="CL25">
        <f ca="1">加速循环!AE26</f>
        <v>0.17391304347826086</v>
      </c>
    </row>
    <row r="26" spans="1:95" x14ac:dyDescent="0.35">
      <c r="A26" s="34" t="s">
        <v>707</v>
      </c>
      <c r="B26" s="20">
        <f>(1-(153*(群侠万变-1))/1024-IF(属性开关!B17=8,1,0)*52/1024)*B25</f>
        <v>23547.916015625</v>
      </c>
      <c r="C26">
        <v>4</v>
      </c>
      <c r="D26" s="34" t="s">
        <v>300</v>
      </c>
      <c r="E26" s="20">
        <f ca="1">属性开关!E39</f>
        <v>49047</v>
      </c>
      <c r="F26" s="34" t="s">
        <v>234</v>
      </c>
      <c r="G26" s="40">
        <f ca="1">SUMPRODUCT(G51:G58,$T$51:$T$58)/$U$33</f>
        <v>0</v>
      </c>
      <c r="H26" s="40">
        <f t="shared" ref="H26" ca="1" si="38">SUMPRODUCT(H51:H58,$T$51:$T$58)/$U$33</f>
        <v>0</v>
      </c>
      <c r="I26" s="40">
        <f t="shared" ref="I26:K26" ca="1" si="39">SUMPRODUCT(I51:I58,$T$51:$T$58)/$U$33</f>
        <v>0</v>
      </c>
      <c r="J26" s="40">
        <f t="shared" ca="1" si="39"/>
        <v>0</v>
      </c>
      <c r="K26" s="40">
        <f t="shared" ca="1" si="39"/>
        <v>0</v>
      </c>
      <c r="L26" s="40">
        <f t="shared" ref="L26:Q26" ca="1" si="40">SUMPRODUCT(L27:L36,$T$27:$T$36)/$U$33</f>
        <v>3.3550720597703566E-2</v>
      </c>
      <c r="M26" s="40">
        <f t="shared" ca="1" si="40"/>
        <v>0</v>
      </c>
      <c r="N26" s="40">
        <f t="shared" ca="1" si="40"/>
        <v>7.7613500613223835E-2</v>
      </c>
      <c r="O26" s="40">
        <f t="shared" ca="1" si="40"/>
        <v>3.2530322256962396E-2</v>
      </c>
      <c r="P26" s="40">
        <f t="shared" ca="1" si="40"/>
        <v>3.6595681702193271E-3</v>
      </c>
      <c r="Q26" s="40">
        <f t="shared" ca="1" si="40"/>
        <v>5.6943366056414358E-3</v>
      </c>
      <c r="R26" s="40">
        <f t="shared" ref="R26" ca="1" si="41">SUMPRODUCT(R51:R58,$T$51:$T$58)/$U$33</f>
        <v>0</v>
      </c>
      <c r="S26" s="41">
        <f>1-U37</f>
        <v>1</v>
      </c>
      <c r="U26" t="e">
        <f>(MIN((C15-0.9),MAX(0,(C15-0.9)-J12))/(C15-0.9))^0.5</f>
        <v>#DIV/0!</v>
      </c>
      <c r="V26" s="34"/>
      <c r="W26" s="34"/>
      <c r="X26" s="34"/>
      <c r="Z26">
        <f ca="1">FLOOR((300-E2/3*10*(1-属性开关!X53))/E2,1)</f>
        <v>221</v>
      </c>
      <c r="AA26" s="34" t="s">
        <v>260</v>
      </c>
      <c r="AB26" s="34" t="s">
        <v>261</v>
      </c>
      <c r="AC26" s="34" t="s">
        <v>262</v>
      </c>
      <c r="AD26" s="34" t="s">
        <v>263</v>
      </c>
      <c r="AE26" s="34" t="s">
        <v>265</v>
      </c>
      <c r="AF26" s="34" t="s">
        <v>266</v>
      </c>
      <c r="AG26" s="34" t="s">
        <v>267</v>
      </c>
      <c r="AH26" s="34" t="s">
        <v>268</v>
      </c>
      <c r="AI26" s="34" t="s">
        <v>647</v>
      </c>
      <c r="AJ26" t="s">
        <v>648</v>
      </c>
      <c r="AK26" t="s">
        <v>649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s="34" t="s">
        <v>243</v>
      </c>
      <c r="AR26">
        <f ca="1">SUMPRODUCT(AR18:AR25,AQ27:AQ34)*AR3/加速循环!X1</f>
        <v>4010.8849956132458</v>
      </c>
      <c r="AS26" s="40">
        <f t="shared" ref="AS26" ca="1" si="42">SUMPRODUCT(AS27:AS36,$T$27:$T$36)/$U$33</f>
        <v>0</v>
      </c>
      <c r="AT26" s="24"/>
      <c r="AU26" s="24"/>
      <c r="AV26" s="40">
        <f ca="1">SUMPRODUCT(S51:S58,$T$51:$T$58)/$U$33</f>
        <v>0</v>
      </c>
      <c r="AW26" s="34" t="s">
        <v>360</v>
      </c>
      <c r="AX26" s="34"/>
      <c r="AY26" s="34">
        <f ca="1">SUMPRODUCT($AX$18:$AX$25,AY18:AY25)*(1+大附魔数值!$O$10*21/1024)*加速循环!$X$17/MAX(加速循环!$X$1,加速循环!$X$2)</f>
        <v>0</v>
      </c>
      <c r="AZ26" s="34">
        <f ca="1">SUMPRODUCT(AQ27:AQ34,AZ18:AZ25)*2*(加速循环!V14-1)/MAX(加速循环!$X$1,加速循环!$X$2)*属性开关!R35</f>
        <v>0</v>
      </c>
      <c r="BB26">
        <f ca="1">SUMPRODUCT(BB18:BB25,$BY$18:$BY$25)*(1+大附魔数值!$O$10*21/1024)</f>
        <v>0</v>
      </c>
      <c r="BC26">
        <f ca="1">SUMPRODUCT(BC18:BC25,$BY$18:$BY$25)*(1+大附魔数值!$O$10*21/1024)</f>
        <v>271763.92529557599</v>
      </c>
      <c r="BD26">
        <f ca="1">SUMPRODUCT(BD18:BD25,加速循环!$AB$19:$AB$26)*(1+大附魔数值!$O$10*21/1024)*加速循环!$V$15*属性开关!$AB$30/MAX(加速循环!$X$1,加速循环!$X$2)</f>
        <v>0</v>
      </c>
      <c r="BE26">
        <f ca="1">SUMPRODUCT(BE18:BE25,加速循环!$AB$19:$AB$26)*(1+大附魔数值!$O$10*21/1024)*加速循环!$V$15*属性开关!$AB$30/MAX(加速循环!$X$1,加速循环!$X$2)</f>
        <v>0</v>
      </c>
      <c r="BF26">
        <f ca="1">SUMPRODUCT(BF18:BF25,加速循环!$AC$19:$AC$26)*(1+大附魔数值!$O$10*21/1024)*加速循环!$V$15*属性开关!$AB$30/MAX(加速循环!$X$1,加速循环!$X$2)</f>
        <v>0</v>
      </c>
      <c r="BG26">
        <f ca="1">SUMPRODUCT(BG18:BG25,$BY$18:$BY$25)</f>
        <v>19458.641739898325</v>
      </c>
      <c r="BH26">
        <f ca="1">SUMPRODUCT(BH18:BH25,$BY$18:$BY$25)</f>
        <v>25235.09253462878</v>
      </c>
      <c r="BI26">
        <f ca="1">SUMPRODUCT(BG26:BH26,BG4:BH4)*(1+大附魔数值!$O$10*21/1024)*属性开关!AB28</f>
        <v>0</v>
      </c>
      <c r="CA26" s="34"/>
      <c r="CG26">
        <f ca="1">SUMPRODUCT(CG18:CG25,$CL$18:$CL$25)*(1+大附魔数值!$O$10*21/1024)/E3*4/(3*$E$2+8)*加速循环!$V$11</f>
        <v>0</v>
      </c>
      <c r="CH26">
        <f ca="1">SUMPRODUCT(CH18:CH25,$CL$18:$CL$25)*(1+大附魔数值!$O$10*21/1024)/F3*加速循环!$V$11</f>
        <v>0</v>
      </c>
      <c r="CI26">
        <f ca="1">SUMPRODUCT(CI18:CI25,$CL$18:$CL$25)*(1+大附魔数值!$O$10*21/1024)/E45*加速循环!$V$11</f>
        <v>0</v>
      </c>
      <c r="CL26">
        <f ca="1">(SUMPRODUCT(CK18:CK25,CL18:CL25)*(1+大附魔数值!$O$10*21/1024)+CG26+CH26+CI26)*加速循环!$V$11</f>
        <v>0</v>
      </c>
    </row>
    <row r="27" spans="1:95" x14ac:dyDescent="0.35">
      <c r="A27" s="34" t="s">
        <v>709</v>
      </c>
      <c r="B27">
        <f>B25/(B25+C18)</f>
        <v>0.31518054846028376</v>
      </c>
      <c r="C27" s="27">
        <v>0.25</v>
      </c>
      <c r="D27">
        <v>2818</v>
      </c>
      <c r="F27" s="34" t="s">
        <v>223</v>
      </c>
      <c r="G27">
        <f t="shared" ref="G27:I33" ca="1" si="43">(G18*$AD$38)/$AD$37/$E$2*$D$22+(G18*$AE$42)/$AF$41/$E$2*$C$22</f>
        <v>78632.717540115962</v>
      </c>
      <c r="H27">
        <f ca="1">(H18*$AC$38)/$AD$37/$E$2*$D$22+(H18*$AF$42)/$AF$41/$E$2*$C$22</f>
        <v>51386.717250565911</v>
      </c>
      <c r="I27">
        <f t="shared" ca="1" si="43"/>
        <v>25210.200834714866</v>
      </c>
      <c r="J27">
        <f ca="1">J18*$AC$39/$AD$37/$E$2*$D$22+J18*$AE$43/$AF$41/$E$2*$C$22</f>
        <v>16286.372111461042</v>
      </c>
      <c r="K27">
        <f t="shared" ref="K27:K33" ca="1" si="44">K18*$AC$40/$AD$37/$E$2*$D$22+K18*$AE$44/$AF$41/$E$2*$C$22</f>
        <v>25559.607538891494</v>
      </c>
      <c r="L27">
        <f ca="1">L18*$AC$37/$AD$37/$E$2*$D$22+L18*$AE$41/$AF$41/$E$2*$C$22</f>
        <v>12341.054876477458</v>
      </c>
      <c r="M27">
        <f ca="1">M18*$AE$41/$AF$41/$E$2*$C$22</f>
        <v>0</v>
      </c>
      <c r="N27">
        <f ca="1">N18/$E$3</f>
        <v>28066.95650219723</v>
      </c>
      <c r="O27">
        <f ca="1">O18/$F$3</f>
        <v>12657.563632025518</v>
      </c>
      <c r="P27">
        <f ca="1">P18/$E$45*大附魔数值!$S$9</f>
        <v>1323.0737078982568</v>
      </c>
      <c r="Q27">
        <f ca="1">Q18/$E$47*大附魔数值!$S$10</f>
        <v>2058.9143825287315</v>
      </c>
      <c r="R27">
        <f ca="1">R18/45</f>
        <v>157.6391400368808</v>
      </c>
      <c r="S27">
        <f ca="1">SUM(G27:R27,AS27)*IF(COUNTIF(F27,"*雷*")&gt;0,$B$21/$D$21,1)</f>
        <v>253680.81751691335</v>
      </c>
      <c r="T27" s="15">
        <f ca="1">AQ27</f>
        <v>0.43478260869565211</v>
      </c>
      <c r="U27">
        <f ca="1">U28*(1+非侠士/1024)*(1+C14)*(1-B24*0.05)+AQ9</f>
        <v>532470.89478640375</v>
      </c>
      <c r="Y27" s="34" t="s">
        <v>223</v>
      </c>
      <c r="AA27">
        <f ca="1">$Z$26-SUM(AA28:AA34)-IF(COUNTIF(AA26,"*驰骋*")&gt;0,8,0)</f>
        <v>131</v>
      </c>
      <c r="AB27">
        <f t="shared" ref="AB27:AF27" ca="1" si="45">$Z$26-SUM(AB28:AB34)-IF(COUNTIF(AB26,"*驰骋*")&gt;0,8,0)</f>
        <v>171</v>
      </c>
      <c r="AC27">
        <f t="shared" ca="1" si="45"/>
        <v>131</v>
      </c>
      <c r="AD27">
        <f t="shared" ca="1" si="45"/>
        <v>141</v>
      </c>
      <c r="AE27">
        <f t="shared" ca="1" si="45"/>
        <v>107</v>
      </c>
      <c r="AF27">
        <f t="shared" ca="1" si="45"/>
        <v>119</v>
      </c>
      <c r="AG27">
        <f ca="1">$Z$26-SUM(AG28:AG34)-IF(COUNTIF(AG26,"*驰骋*")&gt;0,8,0)</f>
        <v>107</v>
      </c>
      <c r="AH27">
        <f ca="1">$Z$26-SUM(AH28:AH34)-IF(COUNTIF(AH26,"*驰骋*")&gt;0,8,0)</f>
        <v>109</v>
      </c>
      <c r="AI27">
        <f ca="1">$Z$26-7-SUM(AI28:AI34)</f>
        <v>65</v>
      </c>
      <c r="AJ27">
        <f t="shared" ref="AJ27" ca="1" si="46">$Z$26-SUM(AJ28:AJ34)</f>
        <v>122</v>
      </c>
      <c r="AK27">
        <v>81</v>
      </c>
      <c r="AL27">
        <v>81</v>
      </c>
      <c r="AM27">
        <v>57</v>
      </c>
      <c r="AN27">
        <v>114</v>
      </c>
      <c r="AO27">
        <f ca="1">(Z26-10)-SUM(AO28:AO34)</f>
        <v>89</v>
      </c>
      <c r="AP27">
        <f ca="1">(Z26-10)-SUM(AO28:AO34)</f>
        <v>89</v>
      </c>
      <c r="AQ27" s="50">
        <f ca="1">加速循环!W19*AY32</f>
        <v>0.43478260869565211</v>
      </c>
      <c r="AR27" t="e">
        <f ca="1">AR26/V51</f>
        <v>#DIV/0!</v>
      </c>
      <c r="AS27">
        <f ca="1">AS18*$AC$38/$AD$37/$E$2*$D$22+AS18*$AE$42/$AF$41/$E$2*$C$22</f>
        <v>0</v>
      </c>
      <c r="AV27">
        <f ca="1">AV18/$E$54*IF(COUNTIF(F27,"*雷*")&gt;0,$B$21/$D$21,1)*(1+大附魔数值!$O$10*21/1024)</f>
        <v>0</v>
      </c>
      <c r="AW27" s="21">
        <f ca="1">1-SUMIFS(AQ27:AQ34,Y27:Y34,"*雷*")</f>
        <v>0.47826086956521741</v>
      </c>
      <c r="AX27" s="21"/>
      <c r="AY27" s="21"/>
      <c r="AZ27" s="21"/>
      <c r="BA27">
        <f ca="1">1-BA28</f>
        <v>0.61290322580645162</v>
      </c>
      <c r="BF27">
        <f ca="1">IFERROR(SUM(BD26:BF26),0)</f>
        <v>0</v>
      </c>
      <c r="CA27">
        <f ca="1">SUMPRODUCT(CA18:CA25,$CL$18:$CL$25)*$CB$30*$CB$31/(3*$E$2+8)*(1+大附魔数值!$O$10*21/1024)*加速循环!$V$11*$E$2/MAX(加速循环!$X$1,加速循环!$X$2)*加速循环!$AD$17</f>
        <v>0</v>
      </c>
      <c r="CB27">
        <f ca="1">SUMPRODUCT(CB18:CB25,$CL$18:$CL$25)*$CB$31/(3*$E$2+8)*(1+大附魔数值!$O$10*21/1024)*加速循环!$V$11*$E$2/MAX(加速循环!$X$1,加速循环!$X$2)*加速循环!$AD$17</f>
        <v>0</v>
      </c>
      <c r="CC27">
        <f ca="1">SUMPRODUCT(CC18:CC25,$CL$18:$CL$25)*$CB$29/(3*$E$2+8)*(1+大附魔数值!$O$10*21/1024)*加速循环!$V$11*$E$2/MAX(加速循环!$X$1,加速循环!$X$2)*加速循环!$AD$17</f>
        <v>0</v>
      </c>
      <c r="CD27">
        <f ca="1">SUMPRODUCT(CD18:CD25,$CL$18:$CL$25)*$CB$29/(3*$E$2+8)*(1+大附魔数值!$O$10*21/1024)*加速循环!$V$11*$E$2/MAX(加速循环!$X$1,加速循环!$X$2)*加速循环!$AD$17*$CD$3</f>
        <v>0</v>
      </c>
      <c r="CE27">
        <f ca="1">SUMPRODUCT(CE18:CE25,$CL$18:$CL$25)*$CB$29/(3*$E$2+8)*(1+大附魔数值!$O$10*21/1024)*加速循环!$V$11*$E$2/MAX(加速循环!$X$1,加速循环!$X$2)*加速循环!$AD$17</f>
        <v>0</v>
      </c>
      <c r="CF27">
        <f ca="1">SUMPRODUCT(CF18:CF25,$CL$18:$CL$25)*$CB$29/(3*$E$2+8)*(1+大附魔数值!$O$10*21/1024)*加速循环!$V$11*$E$2/MAX(加速循环!$X$1,加速循环!$X$2)*加速循环!$AD$17</f>
        <v>0</v>
      </c>
      <c r="CL27">
        <f ca="1">SUM(CA26:CH27)</f>
        <v>0</v>
      </c>
    </row>
    <row r="28" spans="1:95" x14ac:dyDescent="0.35">
      <c r="A28" s="34" t="s">
        <v>710</v>
      </c>
      <c r="B28">
        <f>B26/(B26+C18)</f>
        <v>0.31518054846028376</v>
      </c>
      <c r="C28">
        <f>0.75*D27/C27</f>
        <v>8454</v>
      </c>
      <c r="D28">
        <f>(D27-280-属性开关!C41*280)*(1-配装页面!Y23*0.05)</f>
        <v>2258</v>
      </c>
      <c r="F28" s="34" t="s">
        <v>224</v>
      </c>
      <c r="G28">
        <f t="shared" ca="1" si="43"/>
        <v>96795.056936266308</v>
      </c>
      <c r="H28">
        <f t="shared" ref="H28:H33" ca="1" si="47">(H19*$AC$38)/$AD$37/$E$2*$D$22+(H19*$AF$42)/$AF$41/$E$2*$C$22</f>
        <v>64360.108677284436</v>
      </c>
      <c r="I28">
        <f t="shared" ca="1" si="43"/>
        <v>31033.174249967997</v>
      </c>
      <c r="J28">
        <f t="shared" ref="J28:J33" ca="1" si="48">J19*$AC$39/$AD$37/$E$2*$D$22+J19*$AE$43/$AF$41/$E$2*$C$22</f>
        <v>20398.124946204527</v>
      </c>
      <c r="K28">
        <f t="shared" ca="1" si="44"/>
        <v>31556.627101328599</v>
      </c>
      <c r="L28">
        <f t="shared" ref="L28:L33" ca="1" si="49">L19*$AC$37/$AD$37/$E$2*$D$22+L19*$AE$41/$AF$41/$E$2*$C$22</f>
        <v>15380.026179979923</v>
      </c>
      <c r="M28">
        <f t="shared" ref="M28:M33" ca="1" si="50">M19*$AE$41/$AF$41/$E$2*$C$22</f>
        <v>0</v>
      </c>
      <c r="N28">
        <f t="shared" ref="N28:N33" ca="1" si="51">N19/$E$3</f>
        <v>35152.904629301556</v>
      </c>
      <c r="O28">
        <f t="shared" ref="O28:O33" ca="1" si="52">O19/$F$3</f>
        <v>15853.166236997438</v>
      </c>
      <c r="P28">
        <f ca="1">P19/$E$45*大附魔数值!$S$9</f>
        <v>1657.1046407416052</v>
      </c>
      <c r="Q28">
        <f ca="1">Q19/$E$47*大附魔数值!$S$10</f>
        <v>2578.719959296754</v>
      </c>
      <c r="R28">
        <f t="shared" ref="R28:R33" ca="1" si="53">R19/45</f>
        <v>197.43764006360172</v>
      </c>
      <c r="S28">
        <f t="shared" ref="S28:S33" ca="1" si="54">SUM(G28:R28,AS28)*IF(COUNTIF(F28,"*雷*")&gt;0,$B$21/$D$21,1)</f>
        <v>412710.51478363376</v>
      </c>
      <c r="T28" s="15">
        <f t="shared" ref="T28:T33" ca="1" si="55">AQ28</f>
        <v>4.3478260869565216E-2</v>
      </c>
      <c r="U28">
        <f ca="1">U33+U39+AW29+BI26+AT32+BB3+BC3+AY26+AZ26+BF27+CL26+AR26+AM8+AL8+CQ24</f>
        <v>404907.82794688048</v>
      </c>
      <c r="V28">
        <f ca="1">U28-U33</f>
        <v>24651.183119327878</v>
      </c>
      <c r="X28" s="41"/>
      <c r="Y28" s="34" t="s">
        <v>224</v>
      </c>
      <c r="AA28">
        <f ca="1">(CEILING((12+大附魔数值!Q21*5)/E2,1)-0.5*属性开关!X51-E2/3*(1-属性开关!X53))*10</f>
        <v>90</v>
      </c>
      <c r="AB28">
        <f ca="1">(CEILING((6+大附魔数值!Q21*2.5)/E2,1)-0.5*属性开关!X51-E2/3*(1-属性开关!X53))*10</f>
        <v>50</v>
      </c>
      <c r="AC28">
        <f ca="1">AA28-AC30</f>
        <v>10</v>
      </c>
      <c r="AD28">
        <v>0</v>
      </c>
      <c r="AE28">
        <f ca="1">(CEILING((12+大附魔数值!Q21*5)/E2,1)-0.5*属性开关!X51-E2/3*(1-属性开关!X53))*2+MAX(0,(CEILING((12+大附魔数值!Q21*5)/E2,1)-0.5*属性开关!X51)-(CEILING(14.5/E2,1)-0.5*属性开关!X51))*8</f>
        <v>18</v>
      </c>
      <c r="AF28">
        <f ca="1">(CEILING((6+大附魔数值!Q21*2.5)/E2,1)-0.5*属性开关!X51-E2/3*(1-属性开关!X53))*2</f>
        <v>10</v>
      </c>
      <c r="AG28">
        <f ca="1">AE28-AG30</f>
        <v>2</v>
      </c>
      <c r="AH28">
        <v>0</v>
      </c>
      <c r="AI28">
        <f ca="1">AA28-AI34</f>
        <v>72</v>
      </c>
      <c r="AJ28">
        <f ca="1">AB28-AJ34</f>
        <v>40</v>
      </c>
      <c r="AK28">
        <v>3</v>
      </c>
      <c r="AL28">
        <v>0</v>
      </c>
      <c r="AM28">
        <v>72</v>
      </c>
      <c r="AN28">
        <v>40</v>
      </c>
      <c r="AO28">
        <f ca="1">AG28+AG30+AG33+AG34-SUM(AO30,AO33,AO34)</f>
        <v>3</v>
      </c>
      <c r="AP28">
        <v>0</v>
      </c>
      <c r="AQ28" s="50">
        <f ca="1">加速循环!W20*AY33</f>
        <v>4.3478260869565216E-2</v>
      </c>
      <c r="AS28">
        <f t="shared" ref="AS28:AS33" ca="1" si="56">AS19*$AC$38/$AD$37/$E$2*$D$22+AS19*$AE$42/$AF$41/$E$2*$C$22</f>
        <v>0</v>
      </c>
      <c r="AV28">
        <f ca="1">AV19/$E$54*$B$21/$D$21*(1+大附魔数值!$O$10*21/1024)</f>
        <v>0</v>
      </c>
      <c r="AW28" s="21">
        <f ca="1">SUMIFS(AQ27:AQ34,Y27:Y34,"*雷*")</f>
        <v>0.52173913043478259</v>
      </c>
      <c r="AX28" s="21"/>
      <c r="AY28" s="21"/>
      <c r="AZ28" s="21"/>
      <c r="BA28">
        <f ca="1">IF(配装页面!D33="夜征",12/CEILING(300/E54,1),6/CEILING(300/E54,1))</f>
        <v>0.38709677419354838</v>
      </c>
      <c r="CA28" t="e">
        <f ca="1">CA27/$V$51</f>
        <v>#DIV/0!</v>
      </c>
      <c r="CB28" t="e">
        <f t="shared" ref="CB28:CF28" ca="1" si="57">CB27/$V$51</f>
        <v>#DIV/0!</v>
      </c>
      <c r="CC28" t="e">
        <f t="shared" ca="1" si="57"/>
        <v>#DIV/0!</v>
      </c>
      <c r="CE28" t="e">
        <f t="shared" ca="1" si="57"/>
        <v>#DIV/0!</v>
      </c>
      <c r="CF28" t="e">
        <f t="shared" ca="1" si="57"/>
        <v>#DIV/0!</v>
      </c>
      <c r="CG28" t="e">
        <f ca="1">CG26/$V$51</f>
        <v>#DIV/0!</v>
      </c>
      <c r="CH28" t="e">
        <f ca="1">CH26/$V$51</f>
        <v>#DIV/0!</v>
      </c>
      <c r="CI28" t="e">
        <f ca="1">CI26/$V$51</f>
        <v>#DIV/0!</v>
      </c>
    </row>
    <row r="29" spans="1:95" x14ac:dyDescent="0.35">
      <c r="A29" s="34" t="s">
        <v>708</v>
      </c>
      <c r="B29" s="36">
        <f>(1-B28)*属性开关!$C$88+(1-属性开关!$C$88)*(1-B27)</f>
        <v>0.68481945153971624</v>
      </c>
      <c r="C29">
        <f>-0.54*D28+D28</f>
        <v>1038.6799999999998</v>
      </c>
      <c r="D29">
        <f>-0.24*D28+D28</f>
        <v>1716.08</v>
      </c>
      <c r="F29" s="34" t="s">
        <v>225</v>
      </c>
      <c r="G29">
        <f t="shared" ca="1" si="43"/>
        <v>100894.96520806513</v>
      </c>
      <c r="H29">
        <f t="shared" ca="1" si="47"/>
        <v>51386.717250565911</v>
      </c>
      <c r="I29">
        <f t="shared" ca="1" si="43"/>
        <v>32608.884110651172</v>
      </c>
      <c r="J29">
        <f t="shared" ca="1" si="48"/>
        <v>20835.405718686037</v>
      </c>
      <c r="K29">
        <f t="shared" ca="1" si="44"/>
        <v>32628.428867127819</v>
      </c>
      <c r="L29">
        <f t="shared" ca="1" si="49"/>
        <v>15707.711284658897</v>
      </c>
      <c r="M29">
        <f t="shared" ca="1" si="50"/>
        <v>0</v>
      </c>
      <c r="N29">
        <f t="shared" ca="1" si="51"/>
        <v>36401.479904618609</v>
      </c>
      <c r="O29">
        <f t="shared" ca="1" si="52"/>
        <v>14876.243665858005</v>
      </c>
      <c r="P29">
        <f ca="1">P20/$E$45*大附魔数值!$S$9</f>
        <v>1716.5717444893151</v>
      </c>
      <c r="Q29">
        <f ca="1">Q20/$E$47*大附魔数值!$S$10</f>
        <v>2670.8925122024693</v>
      </c>
      <c r="R29">
        <f t="shared" ca="1" si="53"/>
        <v>204.19130332474271</v>
      </c>
      <c r="S29">
        <f t="shared" ca="1" si="54"/>
        <v>309931.49157024815</v>
      </c>
      <c r="T29" s="15">
        <f t="shared" ca="1" si="55"/>
        <v>0</v>
      </c>
      <c r="W29" s="34"/>
      <c r="X29" s="21"/>
      <c r="Y29" s="34" t="s">
        <v>225</v>
      </c>
      <c r="AA29">
        <v>0</v>
      </c>
      <c r="AB29">
        <v>0</v>
      </c>
      <c r="AC29">
        <v>0</v>
      </c>
      <c r="AD29">
        <f ca="1">AC30-AD30</f>
        <v>30</v>
      </c>
      <c r="AE29">
        <v>0</v>
      </c>
      <c r="AF29">
        <v>0</v>
      </c>
      <c r="AG29">
        <v>0</v>
      </c>
      <c r="AH29">
        <f ca="1">AG30-AH30</f>
        <v>6</v>
      </c>
      <c r="AK29">
        <v>14</v>
      </c>
      <c r="AL29">
        <v>3</v>
      </c>
      <c r="AO29">
        <f ca="1">AG30+AG32+AG33-SUM(AO30,AO32,AO33)</f>
        <v>14</v>
      </c>
      <c r="AP29">
        <f>3</f>
        <v>3</v>
      </c>
      <c r="AQ29" s="50">
        <f ca="1">加速循环!W21*AY34</f>
        <v>0</v>
      </c>
      <c r="AS29">
        <f t="shared" ca="1" si="56"/>
        <v>0</v>
      </c>
      <c r="AW29">
        <f ca="1">SUMPRODUCT(AV27:AV28,BA27:BA28)</f>
        <v>0</v>
      </c>
      <c r="CA29" s="34" t="s">
        <v>245</v>
      </c>
      <c r="CB29">
        <v>1</v>
      </c>
    </row>
    <row r="30" spans="1:95" x14ac:dyDescent="0.35">
      <c r="A30" s="34" t="s">
        <v>711</v>
      </c>
      <c r="B30">
        <f>(1-属性开关!T37*(雷无视)/1024-IF(属性开关!B17=8,1,0)*52/1024)*B25</f>
        <v>7059.7756023406982</v>
      </c>
      <c r="C30">
        <f>C29/(C28+C29)</f>
        <v>0.10941904709734235</v>
      </c>
      <c r="D30">
        <f>D29/(C28+D29)</f>
        <v>0.16873810235514372</v>
      </c>
      <c r="F30" s="34" t="s">
        <v>226</v>
      </c>
      <c r="G30">
        <f t="shared" ca="1" si="43"/>
        <v>124199.36900838885</v>
      </c>
      <c r="H30">
        <f t="shared" ca="1" si="47"/>
        <v>64360.108677284436</v>
      </c>
      <c r="I30">
        <f t="shared" ca="1" si="43"/>
        <v>40140.782270539021</v>
      </c>
      <c r="J30">
        <f t="shared" ca="1" si="48"/>
        <v>26095.63420545567</v>
      </c>
      <c r="K30">
        <f t="shared" ca="1" si="44"/>
        <v>40283.997361675974</v>
      </c>
      <c r="L30">
        <f t="shared" ca="1" si="49"/>
        <v>19575.718056816244</v>
      </c>
      <c r="M30">
        <f t="shared" ca="1" si="50"/>
        <v>0</v>
      </c>
      <c r="N30">
        <f t="shared" ca="1" si="51"/>
        <v>45591.610595624072</v>
      </c>
      <c r="O30">
        <f t="shared" ca="1" si="52"/>
        <v>18631.987219106533</v>
      </c>
      <c r="P30">
        <f ca="1">P21/$E$45*大附魔数值!$S$9</f>
        <v>2149.9474949719879</v>
      </c>
      <c r="Q30">
        <f ca="1">Q21/$E$47*大附魔数值!$S$10</f>
        <v>3345.2016697720278</v>
      </c>
      <c r="R30">
        <f t="shared" ca="1" si="53"/>
        <v>255.74263498593234</v>
      </c>
      <c r="S30">
        <f t="shared" ca="1" si="54"/>
        <v>503999.39940899826</v>
      </c>
      <c r="T30" s="15">
        <f t="shared" ca="1" si="55"/>
        <v>0</v>
      </c>
      <c r="W30" s="34"/>
      <c r="X30" s="21"/>
      <c r="Y30" s="34" t="s">
        <v>226</v>
      </c>
      <c r="AA30">
        <v>0</v>
      </c>
      <c r="AB30">
        <v>0</v>
      </c>
      <c r="AC30">
        <f ca="1">(CEILING((10)/E2,1)-0.5*属性开关!X51-E2/3*(1-属性开关!X53))*10</f>
        <v>80</v>
      </c>
      <c r="AD30">
        <f ca="1">(CEILING((6+大附魔数值!Q21*2.5)/E2,1)-0.5*属性开关!X51-E2/3*(1-属性开关!X53))*10</f>
        <v>50</v>
      </c>
      <c r="AE30">
        <v>0</v>
      </c>
      <c r="AF30">
        <v>0</v>
      </c>
      <c r="AG30">
        <f ca="1">(CEILING((10)/E2,1)-0.5*属性开关!X51-E2/3*(1-属性开关!X53))*2</f>
        <v>16</v>
      </c>
      <c r="AH30">
        <f ca="1">(CEILING((6+大附魔数值!Q21*2.5)/E2,1)-0.5*属性开关!X51-E2/3*(1-属性开关!X53))*2</f>
        <v>10</v>
      </c>
      <c r="AK30">
        <v>24</v>
      </c>
      <c r="AL30">
        <v>15</v>
      </c>
      <c r="AO30">
        <f>66-AO33</f>
        <v>24</v>
      </c>
      <c r="AP30">
        <f>15</f>
        <v>15</v>
      </c>
      <c r="AQ30" s="50">
        <f ca="1">加速循环!W22*AY35</f>
        <v>0</v>
      </c>
      <c r="AS30">
        <f t="shared" ca="1" si="56"/>
        <v>0</v>
      </c>
      <c r="CA30" s="34" t="s">
        <v>744</v>
      </c>
      <c r="CB30">
        <f>正常!$CB$30</f>
        <v>5.5</v>
      </c>
    </row>
    <row r="31" spans="1:95" x14ac:dyDescent="0.35">
      <c r="A31" s="34" t="s">
        <v>712</v>
      </c>
      <c r="B31">
        <f>(1-(153*(群侠万变-1)+属性开关!T37*(雷无视))/1024-IF(属性开关!B17=8,1,0)*52/1024)*B25</f>
        <v>7059.7756023406982</v>
      </c>
      <c r="C31">
        <f>(1-C30)*属性开关!$C$88+(1-属性开关!$C$88)*(1-D30)</f>
        <v>0.86092142527375692</v>
      </c>
      <c r="D31">
        <f>1-D30</f>
        <v>0.83126189764485625</v>
      </c>
      <c r="F31" s="34" t="s">
        <v>227</v>
      </c>
      <c r="G31">
        <f t="shared" ca="1" si="43"/>
        <v>91981.469018789328</v>
      </c>
      <c r="H31">
        <f t="shared" ca="1" si="47"/>
        <v>51386.717250565911</v>
      </c>
      <c r="I31">
        <f t="shared" ca="1" si="43"/>
        <v>29646.315836322035</v>
      </c>
      <c r="J31">
        <f t="shared" ca="1" si="48"/>
        <v>19013.993794508282</v>
      </c>
      <c r="K31">
        <f t="shared" ca="1" si="44"/>
        <v>29797.969748307336</v>
      </c>
      <c r="L31">
        <f t="shared" ca="1" si="49"/>
        <v>14359.76888458734</v>
      </c>
      <c r="M31">
        <f t="shared" ca="1" si="50"/>
        <v>0</v>
      </c>
      <c r="N31">
        <f t="shared" ca="1" si="51"/>
        <v>33065.205750079425</v>
      </c>
      <c r="O31">
        <f t="shared" ca="1" si="52"/>
        <v>13988.056333668212</v>
      </c>
      <c r="P31">
        <f ca="1">P22/$E$45*大附魔数值!$S$9</f>
        <v>1559.0371908893178</v>
      </c>
      <c r="Q31">
        <f ca="1">Q22/$E$47*大附魔数值!$S$10</f>
        <v>2425.9433983906683</v>
      </c>
      <c r="R31">
        <f t="shared" ca="1" si="53"/>
        <v>185.57043800959792</v>
      </c>
      <c r="S31">
        <f t="shared" ca="1" si="54"/>
        <v>287410.04764411744</v>
      </c>
      <c r="T31" s="15">
        <f t="shared" ca="1" si="55"/>
        <v>0</v>
      </c>
      <c r="W31" s="34"/>
      <c r="X31" s="21"/>
      <c r="Y31" s="34" t="s">
        <v>227</v>
      </c>
      <c r="AA31">
        <v>0</v>
      </c>
      <c r="AB31">
        <v>0</v>
      </c>
      <c r="AC31">
        <v>0</v>
      </c>
      <c r="AD31">
        <v>0</v>
      </c>
      <c r="AE31">
        <f ca="1">MAX(0,(CEILING(14.5/E2,1)-0.5*属性开关!X51-(CEILING((12+大附魔数值!Q21*5)/E2,1)-0.5*属性开关!X51))*8)</f>
        <v>16</v>
      </c>
      <c r="AF31">
        <f ca="1">((CEILING(14.5/E2,1))-0.5)*8-AF34-E2/3*(1-属性开关!X53)*8</f>
        <v>44</v>
      </c>
      <c r="AG31">
        <f ca="1">MAX(0,((CEILING(14.5/E2,1)-0.5*属性开关!X51)-(CEILING((12+大附魔数值!Q21*5)/E2,1)-0.5*属性开关!X51))*8)</f>
        <v>16</v>
      </c>
      <c r="AH31">
        <f ca="1">(CEILING(14.5/E2,1)-0.5*属性开关!X51)*8-AH33-AH32</f>
        <v>24</v>
      </c>
      <c r="AI31">
        <f>7*11-AI34</f>
        <v>59</v>
      </c>
      <c r="AJ31">
        <f>AI31-AJ34</f>
        <v>49</v>
      </c>
      <c r="AK31">
        <v>18</v>
      </c>
      <c r="AL31">
        <v>39</v>
      </c>
      <c r="AM31">
        <v>59</v>
      </c>
      <c r="AN31">
        <v>49</v>
      </c>
      <c r="AO31">
        <f ca="1">(AG31+AG32+AG33+AG34)-AO32-AO33-AO34-7</f>
        <v>18</v>
      </c>
      <c r="AP31">
        <f ca="1">(AG31+AG32+AG33+AG34)-AP32-AP33-AP34-7</f>
        <v>39</v>
      </c>
      <c r="AQ31" s="50">
        <f ca="1">加速循环!W23*AY36</f>
        <v>0</v>
      </c>
      <c r="AS31">
        <f t="shared" ca="1" si="56"/>
        <v>0</v>
      </c>
      <c r="AW31">
        <f ca="1">SUMPRODUCT(AV27:AV28,T51:T52)</f>
        <v>0</v>
      </c>
      <c r="AX31" s="34" t="s">
        <v>715</v>
      </c>
      <c r="CA31" s="34" t="s">
        <v>743</v>
      </c>
      <c r="CB31">
        <f ca="1">2+加速循环!$AD$16/((加速循环!$AD$17-加速循环!$AD$16*4/$E$2)/(3+8/$E$2))</f>
        <v>-1.0143749999999998</v>
      </c>
    </row>
    <row r="32" spans="1:95" x14ac:dyDescent="0.35">
      <c r="A32" s="34" t="s">
        <v>713</v>
      </c>
      <c r="B32">
        <f>B30/(B30+C18)</f>
        <v>0.12125130740985147</v>
      </c>
      <c r="F32" s="34" t="s">
        <v>228</v>
      </c>
      <c r="G32">
        <f t="shared" ca="1" si="43"/>
        <v>114243.71668673852</v>
      </c>
      <c r="H32">
        <f t="shared" ca="1" si="47"/>
        <v>51386.717250565911</v>
      </c>
      <c r="I32">
        <f t="shared" ca="1" si="43"/>
        <v>37044.999112258345</v>
      </c>
      <c r="J32">
        <f ca="1">J24*$AC$39/$AD$37/$E$2*$D$22+J24*$AE$43/$AF$41/$E$2*$C$22</f>
        <v>29512.168791655484</v>
      </c>
      <c r="K32">
        <f t="shared" ca="1" si="44"/>
        <v>36866.791076543675</v>
      </c>
      <c r="L32">
        <f t="shared" ca="1" si="49"/>
        <v>17726.425292768781</v>
      </c>
      <c r="M32">
        <f t="shared" ca="1" si="50"/>
        <v>0</v>
      </c>
      <c r="N32">
        <f t="shared" ca="1" si="51"/>
        <v>41401.489719336983</v>
      </c>
      <c r="O32">
        <f t="shared" ca="1" si="52"/>
        <v>16205.544169739369</v>
      </c>
      <c r="P32">
        <f ca="1">P23/$E$45*大附魔数值!$S$9</f>
        <v>1952.5352274803752</v>
      </c>
      <c r="Q32">
        <f ca="1">Q23/$E$47*大附魔数值!$S$10</f>
        <v>3037.9215280644057</v>
      </c>
      <c r="R32">
        <f t="shared" ca="1" si="53"/>
        <v>232.12260129745982</v>
      </c>
      <c r="S32">
        <f t="shared" ca="1" si="54"/>
        <v>349610.43145644933</v>
      </c>
      <c r="T32" s="15">
        <f t="shared" ca="1" si="55"/>
        <v>0</v>
      </c>
      <c r="W32" s="34"/>
      <c r="X32" s="21"/>
      <c r="Y32" s="34" t="s">
        <v>228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ca="1">AG33-AH33</f>
        <v>24</v>
      </c>
      <c r="AK32">
        <v>0</v>
      </c>
      <c r="AL32">
        <v>7</v>
      </c>
      <c r="AO32">
        <v>0</v>
      </c>
      <c r="AP32">
        <f>7</f>
        <v>7</v>
      </c>
      <c r="AQ32" s="50">
        <f ca="1">加速循环!W24*AY37</f>
        <v>0</v>
      </c>
      <c r="AS32">
        <f t="shared" ca="1" si="56"/>
        <v>0</v>
      </c>
      <c r="AT32">
        <f ca="1">SUMPRODUCT(AT18:AT25,AQ27:AQ34)*AT4</f>
        <v>0</v>
      </c>
      <c r="AX32" s="21">
        <f ca="1">循环!Z19</f>
        <v>0</v>
      </c>
      <c r="AY32">
        <f ca="1">1/IF(COUNTIF(BA18,"*雷*")&gt;0,$B$21,$D$21)*(IF(COUNTIF(BA18,"*雷*")&gt;0,$B$21,$D$21)*(1-AX32)+IF(COUNTIF(BA18,"*雷*")&gt;0,$B$34,$B$29)*AX32)</f>
        <v>0.99999999999999989</v>
      </c>
      <c r="CA32" s="34" t="s">
        <v>278</v>
      </c>
      <c r="CB32">
        <v>1</v>
      </c>
    </row>
    <row r="33" spans="1:80" x14ac:dyDescent="0.35">
      <c r="A33" s="34" t="s">
        <v>714</v>
      </c>
      <c r="B33">
        <f>B31/(B31+C18)</f>
        <v>0.12125130740985147</v>
      </c>
      <c r="C33" t="s">
        <v>33</v>
      </c>
      <c r="D33" s="35">
        <f t="array" ref="D33">IFERROR(SUM(ROW($1:$20)*((AB36-AB36*G12)*(AB36*G12+Z36)^(ROW($1:$20)-1))),1)</f>
        <v>1.4285714278242601</v>
      </c>
      <c r="F33" s="34" t="s">
        <v>229</v>
      </c>
      <c r="G33">
        <f t="shared" ca="1" si="43"/>
        <v>140631.37339316763</v>
      </c>
      <c r="H33">
        <f t="shared" ca="1" si="47"/>
        <v>64360.108677284436</v>
      </c>
      <c r="I33">
        <f t="shared" ca="1" si="43"/>
        <v>45601.537253823524</v>
      </c>
      <c r="J33">
        <f t="shared" ca="1" si="48"/>
        <v>29512.168791655484</v>
      </c>
      <c r="K33">
        <f t="shared" ca="1" si="44"/>
        <v>45516.801330179303</v>
      </c>
      <c r="L33">
        <f t="shared" ca="1" si="49"/>
        <v>22091.538187703161</v>
      </c>
      <c r="M33">
        <f t="shared" ca="1" si="50"/>
        <v>0</v>
      </c>
      <c r="N33">
        <f t="shared" ca="1" si="51"/>
        <v>51853.952155479587</v>
      </c>
      <c r="O33">
        <f t="shared" ca="1" si="52"/>
        <v>20296.890709193387</v>
      </c>
      <c r="P33">
        <f ca="1">P24/$E$45*大附魔数值!$S$9</f>
        <v>2445.4837000796992</v>
      </c>
      <c r="Q33">
        <f ca="1">Q24/$E$47*大附魔数值!$S$10</f>
        <v>3804.8929793648931</v>
      </c>
      <c r="R33">
        <f t="shared" ca="1" si="53"/>
        <v>290.7256319393307</v>
      </c>
      <c r="S33">
        <f t="shared" ca="1" si="54"/>
        <v>558739.68951177259</v>
      </c>
      <c r="T33" s="15">
        <f t="shared" ca="1" si="55"/>
        <v>0.30434782608695654</v>
      </c>
      <c r="U33">
        <f ca="1">(S48*T48+SUMPRODUCT(S27:S33,T27:T33))*(1+大附魔数值!$O$10*21/1024)</f>
        <v>380256.64482755261</v>
      </c>
      <c r="W33" s="34"/>
      <c r="X33" s="21"/>
      <c r="Y33" s="34" t="s">
        <v>229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f ca="1">(CEILING((10)/E2,1)-0.5*属性开关!X51-E2/3*(1-属性开关!X53))*8</f>
        <v>64</v>
      </c>
      <c r="AH33">
        <f ca="1">(CEILING((6++大附魔数值!Q21*2.5)/E2,1)-0.5*属性开关!X51-E2/3*(1-属性开关!X53))*8</f>
        <v>40</v>
      </c>
      <c r="AK33">
        <v>42</v>
      </c>
      <c r="AL33">
        <v>35</v>
      </c>
      <c r="AO33">
        <v>42</v>
      </c>
      <c r="AP33">
        <f>5*7</f>
        <v>35</v>
      </c>
      <c r="AQ33" s="50">
        <f ca="1">加速循环!W25*AY38</f>
        <v>0.30434782608695654</v>
      </c>
      <c r="AS33">
        <f t="shared" ca="1" si="56"/>
        <v>0</v>
      </c>
      <c r="AX33" s="21">
        <f ca="1">循环!Z20</f>
        <v>0</v>
      </c>
      <c r="AY33">
        <f t="shared" ref="AY33:AY39" ca="1" si="58">1/IF(COUNTIF(BA19,"*雷*")&gt;0,$B$21,$D$21)*(IF(COUNTIF(BA19,"*雷*")&gt;0,$B$21,$D$21)*(1-AX33)+IF(COUNTIF(BA19,"*雷*")&gt;0,$B$34,$B$29)*AX33)</f>
        <v>1</v>
      </c>
      <c r="CA33" s="34" t="s">
        <v>279</v>
      </c>
      <c r="CB33">
        <v>1</v>
      </c>
    </row>
    <row r="34" spans="1:80" x14ac:dyDescent="0.35">
      <c r="A34" s="34" t="s">
        <v>708</v>
      </c>
      <c r="B34">
        <f>(1-B33)*属性开关!$C$88+(1-属性开关!$C$88)*(1-B32)</f>
        <v>0.87874869259014854</v>
      </c>
      <c r="C34" s="34" t="s">
        <v>244</v>
      </c>
      <c r="F34" s="34" t="s">
        <v>236</v>
      </c>
      <c r="G34">
        <f ca="1">G18*2*$D$33/(5+2*$D$33)/$E$2</f>
        <v>63363.052586992308</v>
      </c>
      <c r="H34">
        <f ca="1">H18*2*$D$33/(5+2*$D$33)/$E$2</f>
        <v>43299.308568412373</v>
      </c>
      <c r="I34">
        <f ca="1">I18*2*$D$33/(5+2*$D$33)/$E$2</f>
        <v>20314.639137376042</v>
      </c>
      <c r="J34">
        <v>0</v>
      </c>
      <c r="K34">
        <f ca="1">INT(K$6*$E18+K$7*($C$8+$C$9)/2+K$8)*(K$14+$D$37)*$D$21*IF(COUNTIF($F18,"*雷*")&gt;0,K$17*(K$13*0.25+K$16*(K$10+属性开关!$X$56)+1-K$16-K$13-K$12),K$11*(K$13*0.25+K$9*K$10+1-K$9-K$13-K$12))*3/(5+2*$D$33)/$E$2</f>
        <v>38950.755818238606</v>
      </c>
      <c r="L34">
        <f ca="1">L18/(5+2*$D$33)/$E$2</f>
        <v>9494.0857090892241</v>
      </c>
      <c r="M34">
        <v>0</v>
      </c>
      <c r="N34">
        <f ca="1">N27</f>
        <v>28066.95650219723</v>
      </c>
      <c r="O34">
        <f ca="1">O27</f>
        <v>12657.563632025518</v>
      </c>
      <c r="P34">
        <f ca="1">P27</f>
        <v>1323.0737078982568</v>
      </c>
      <c r="Q34">
        <f ca="1">Q27</f>
        <v>2058.9143825287315</v>
      </c>
      <c r="R34">
        <f ca="1">R27</f>
        <v>157.6391400368808</v>
      </c>
      <c r="S34">
        <f ca="1">SUM(G34:R34,AS34)</f>
        <v>219685.98918479515</v>
      </c>
      <c r="T34" s="21">
        <f>J12*IF(属性开关!V68,1,0)</f>
        <v>0</v>
      </c>
      <c r="W34" s="34"/>
      <c r="X34" s="21"/>
      <c r="Y34" s="34" t="s">
        <v>264</v>
      </c>
      <c r="AA34">
        <v>0</v>
      </c>
      <c r="AB34">
        <v>0</v>
      </c>
      <c r="AC34">
        <v>0</v>
      </c>
      <c r="AD34">
        <v>0</v>
      </c>
      <c r="AE34">
        <f ca="1">MIN(CEILING(14.5/E2,1)-0.5*属性开关!X51-E2/3*(1-属性开关!X53),CEILING((12+大附魔数值!Q21*5)/E2,1)-0.5*属性开关!X51-E2/3*(1-属性开关!X53))*8</f>
        <v>72</v>
      </c>
      <c r="AF34">
        <f ca="1">(CEILING((6+大附魔数值!Q21*2.5)/E2,1)-0.5*属性开关!X51-E2/3*(1-属性开关!X53))*8</f>
        <v>40</v>
      </c>
      <c r="AG34">
        <f ca="1">AE34-AG33-E2/3*(1-属性开关!X53)*8</f>
        <v>8</v>
      </c>
      <c r="AH34">
        <v>0</v>
      </c>
      <c r="AI34">
        <v>18</v>
      </c>
      <c r="AJ34">
        <f>2*5</f>
        <v>10</v>
      </c>
      <c r="AK34">
        <v>21</v>
      </c>
      <c r="AL34">
        <v>0</v>
      </c>
      <c r="AM34">
        <v>18</v>
      </c>
      <c r="AN34">
        <v>10</v>
      </c>
      <c r="AO34">
        <v>21</v>
      </c>
      <c r="AP34">
        <v>0</v>
      </c>
      <c r="AQ34" s="50">
        <f ca="1">加速循环!W26*AY39</f>
        <v>0.17391304347826086</v>
      </c>
      <c r="AS34">
        <f ca="1">AS18*2*$D$33/(5+2*$D$33)/$E$2</f>
        <v>0</v>
      </c>
      <c r="AX34" s="21">
        <f ca="1">循环!Z21</f>
        <v>0</v>
      </c>
      <c r="AY34">
        <f t="shared" ca="1" si="58"/>
        <v>0.99999999999999989</v>
      </c>
    </row>
    <row r="35" spans="1:80" x14ac:dyDescent="0.35">
      <c r="B35">
        <f>B34/B21</f>
        <v>1.0134139190410032</v>
      </c>
      <c r="C35">
        <v>1</v>
      </c>
      <c r="D35" s="15">
        <f>51/1024</f>
        <v>4.98046875E-2</v>
      </c>
      <c r="F35" s="34" t="s">
        <v>235</v>
      </c>
      <c r="G35">
        <f ca="1">G18*$D$33/(4+$D$33)/$E$2</f>
        <v>45854.840685545198</v>
      </c>
      <c r="H35">
        <f ca="1">H18*$D$33/(4+$D$33)/$E$2</f>
        <v>31335.025936020131</v>
      </c>
      <c r="I35">
        <f ca="1">I18*$D$33/(4+$D$33)/$E$2</f>
        <v>14701.383585486388</v>
      </c>
      <c r="J35">
        <v>0</v>
      </c>
      <c r="K35">
        <f ca="1">INT(K$6*$E18+K$7*($C$8+$C$9)/2+K$8)*(K$14+$D$36)*$D$21*IF(COUNTIF($F18,"*雷*")&gt;0,K$17*(K$13*0.25+K$16*(K$10+属性开关!$X$56)+1-K$16-K$13-K$12),K$11*(K$13*0.25+K$9*K$10+1-K$9-K$13-K$12))/(4+$D$33)/$E$2</f>
        <v>18117.955145592281</v>
      </c>
      <c r="L35">
        <f ca="1">L18/(4+$D$33)/$E$2+INT(L$6*$E25+L$7*($C$8+$C$9)/2+L$8)*($D$37-$D$36)*$D$21*IF(COUNTIF($F25,"*雷*")&gt;0,L$17*(L$13*0.25+L$16*(L$10+属性开关!$X$56)+1-L$16-L$13-L$12),L$11*(L$13*0.25+L$9*L$10+1-L$9-L$13-L$12))/(4+$D$33)/$E$2</f>
        <v>14294.639882238387</v>
      </c>
      <c r="N35">
        <f ca="1">N27</f>
        <v>28066.95650219723</v>
      </c>
      <c r="O35">
        <f t="shared" ref="O35:R35" ca="1" si="59">O27</f>
        <v>12657.563632025518</v>
      </c>
      <c r="P35">
        <f t="shared" ca="1" si="59"/>
        <v>1323.0737078982568</v>
      </c>
      <c r="Q35">
        <f t="shared" ca="1" si="59"/>
        <v>2058.9143825287315</v>
      </c>
      <c r="R35">
        <f t="shared" ca="1" si="59"/>
        <v>157.6391400368808</v>
      </c>
      <c r="S35">
        <f t="shared" ref="S35:S36" ca="1" si="60">SUM(G35:R35,AS35)</f>
        <v>168567.99259956903</v>
      </c>
      <c r="Y35" s="34" t="s">
        <v>276</v>
      </c>
      <c r="AS35">
        <f ca="1">AS18*$D$33/(4+$D$33)/$E$2</f>
        <v>0</v>
      </c>
      <c r="AX35" s="21">
        <f ca="1">循环!Z22</f>
        <v>0</v>
      </c>
      <c r="AY35">
        <f t="shared" ca="1" si="58"/>
        <v>1</v>
      </c>
    </row>
    <row r="36" spans="1:80" x14ac:dyDescent="0.35">
      <c r="C36">
        <v>2</v>
      </c>
      <c r="D36" s="15">
        <f>102/1024</f>
        <v>9.9609375E-2</v>
      </c>
      <c r="F36" s="34" t="s">
        <v>237</v>
      </c>
      <c r="G36">
        <f ca="1">G25*$D$33*2/(3+2*$D$33)/$E$2</f>
        <v>92236.751889452367</v>
      </c>
      <c r="H36">
        <f ca="1">H25*$D$33*2/(3+2*$D$33)/$E$2</f>
        <v>58084.438327252159</v>
      </c>
      <c r="I36">
        <f ca="1">I25*$D$33*2/(3+2*$D$33)/$E$2</f>
        <v>29657.35162060304</v>
      </c>
      <c r="J36">
        <f ca="1">J25/(3+2*$D$33)/$E$2</f>
        <v>18725.090329557359</v>
      </c>
      <c r="K36">
        <f ca="1">K25/(3+2*$D$33)/$E$2</f>
        <v>19529.351145031971</v>
      </c>
      <c r="L36">
        <f ca="1">L25/(3+2*$D$33)/$E$2</f>
        <v>13781.044970117344</v>
      </c>
      <c r="M36">
        <v>0</v>
      </c>
      <c r="N36">
        <f ca="1">N25/E3</f>
        <v>30574.003676901084</v>
      </c>
      <c r="O36">
        <f ca="1">O25/F3</f>
        <v>13325.194378369522</v>
      </c>
      <c r="P36">
        <f ca="1">P25/$E$45*大附魔数值!$S$9</f>
        <v>1441.4276315436155</v>
      </c>
      <c r="Q36">
        <f ca="1">Q25/$E$47*大附魔数值!$S$10</f>
        <v>2243.0866485526426</v>
      </c>
      <c r="R36">
        <f ca="1">R25/45</f>
        <v>171.642331090407</v>
      </c>
      <c r="S36">
        <f t="shared" ca="1" si="60"/>
        <v>279769.38294847152</v>
      </c>
      <c r="Y36" s="34" t="s">
        <v>274</v>
      </c>
      <c r="Z36" s="44">
        <f>0.3*属性开关!X53</f>
        <v>0.3</v>
      </c>
      <c r="AA36" s="34" t="s">
        <v>275</v>
      </c>
      <c r="AB36" s="44">
        <f>1-Z36</f>
        <v>0.7</v>
      </c>
      <c r="AC36" s="34" t="s">
        <v>545</v>
      </c>
      <c r="AD36">
        <f ca="1">IF(E2&lt;1.4,1,0)</f>
        <v>1</v>
      </c>
      <c r="AS36">
        <f ca="1">AS25*$D$33*2/(3+2*$D$33)/$E$2</f>
        <v>0</v>
      </c>
      <c r="AX36" s="21">
        <f ca="1">循环!Z23</f>
        <v>0</v>
      </c>
      <c r="AY36">
        <f t="shared" ca="1" si="58"/>
        <v>0.99999999999999989</v>
      </c>
    </row>
    <row r="37" spans="1:80" x14ac:dyDescent="0.35">
      <c r="C37">
        <v>3</v>
      </c>
      <c r="D37" s="15">
        <f>154/1024</f>
        <v>0.150390625</v>
      </c>
      <c r="F37" s="34" t="s">
        <v>241</v>
      </c>
      <c r="G37" s="15">
        <f ca="1">SUMPRODUCT(G38:G45,$S$38:$S$45)/$T$38</f>
        <v>0.26026428843385241</v>
      </c>
      <c r="H37" s="15">
        <f t="shared" ref="H37" ca="1" si="61">SUMPRODUCT(H38:H45,$S$38:$S$45)/$T$38</f>
        <v>0.14383741860770333</v>
      </c>
      <c r="I37" s="15">
        <f t="shared" ref="I37:Q37" ca="1" si="62">SUMPRODUCT(I38:I45,$S$38:$S$45)/$T$38</f>
        <v>8.3944110099313615E-2</v>
      </c>
      <c r="J37" s="15">
        <f t="shared" ca="1" si="62"/>
        <v>1.2741094696203756E-2</v>
      </c>
      <c r="K37" s="15">
        <f t="shared" ca="1" si="62"/>
        <v>0</v>
      </c>
      <c r="L37" s="15">
        <f t="shared" ca="1" si="62"/>
        <v>0</v>
      </c>
      <c r="M37" s="15">
        <f t="shared" ca="1" si="62"/>
        <v>0</v>
      </c>
      <c r="N37" s="15">
        <f t="shared" ca="1" si="62"/>
        <v>4.6314954005242291E-2</v>
      </c>
      <c r="O37" s="15">
        <f t="shared" ca="1" si="62"/>
        <v>1.9412091545967718E-2</v>
      </c>
      <c r="P37" s="15">
        <f t="shared" ca="1" si="62"/>
        <v>2.1838047523123644E-3</v>
      </c>
      <c r="Q37" s="15">
        <f t="shared" ca="1" si="62"/>
        <v>3.3980291559702644E-3</v>
      </c>
      <c r="R37">
        <v>0</v>
      </c>
      <c r="S37">
        <f ca="1">(S35*(4+D33)+S36*11)/(15+D33)</f>
        <v>243024.5757061335</v>
      </c>
      <c r="T37">
        <f>J12*IF(属性开关!V68,0,1)</f>
        <v>0</v>
      </c>
      <c r="Y37" s="34" t="s">
        <v>259</v>
      </c>
      <c r="Z37" s="34" t="s">
        <v>270</v>
      </c>
      <c r="AA37" s="21">
        <f ca="1">$AB$36-$AB$36*AD36*$AB$36</f>
        <v>0.21000000000000002</v>
      </c>
      <c r="AB37" s="47" t="s">
        <v>245</v>
      </c>
      <c r="AC37" s="48">
        <f ca="1">1*(1-大附魔数值!O21)+AC68*大附魔数值!O21</f>
        <v>1</v>
      </c>
      <c r="AD37">
        <f ca="1">SUM(AC37:AC40)*(1-大附魔数值!O21)+AE58*大附魔数值!O21</f>
        <v>6.0445714281903733</v>
      </c>
      <c r="AE37">
        <f ca="1">AC37/$AD$37</f>
        <v>0.16543770089906615</v>
      </c>
      <c r="AS37" s="15">
        <f ca="1">SUMPRODUCT(AS38:AS45,$S$38:$S$45)/$T$38</f>
        <v>0</v>
      </c>
      <c r="AT37" s="15"/>
      <c r="AU37" s="15"/>
      <c r="AX37" s="21">
        <f ca="1">循环!Z24</f>
        <v>0</v>
      </c>
      <c r="AY37">
        <f t="shared" ca="1" si="58"/>
        <v>0.99999999999999989</v>
      </c>
    </row>
    <row r="38" spans="1:80" x14ac:dyDescent="0.35">
      <c r="C38">
        <v>4</v>
      </c>
      <c r="D38" s="15">
        <f>205/1024</f>
        <v>0.2001953125</v>
      </c>
      <c r="F38" s="34" t="s">
        <v>223</v>
      </c>
      <c r="G38">
        <f ca="1">INT(G$6*$E18+G$7*($C$8+$C$9)/2+G$8)*(G$14+G$15)*$D$21*IF(COUNTIF($F18,"*雷*")&gt;0,G$17*(G$13*0.25+G$16*(G$10+属性开关!$X$56)+1-G$16-G$13-G$12),G$11*(G$13*0.25+G$9*G$10+1-G$9-G$13-G$12))/$E$2*(1-(3)/(3+2*$D$33)/(3+$D$33))+INT(G$6*$E18+G$7*($C$8+$C$9)/2+G$8)*(G$14+$D$38)*$D$21*IF(COUNTIF($F18,"*雷*")&gt;0,G$17*(G$13*0.25+G$16*(G$10+属性开关!$X$56)+1-G$16-G$13-G$12),G$11*(G$13*0.25+G$9*G$10+1-G$9-G$13-G$12))/$E$2*((属性开关!$X$37)/(3+2*$D$33)/(3+$D$33))</f>
        <v>160608.38219806307</v>
      </c>
      <c r="H38">
        <f ca="1">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</f>
        <v>105301.46563500322</v>
      </c>
      <c r="I38">
        <f ca="1">INT(I$6*$E18+I$7*($C$8+$C$9)/2+I$8)*(I$14+I$15)*$D$21*IF(COUNTIF($F18,"*雷*")&gt;0,I$17*(I$13*0.25+I$16*(I$10+属性开关!$X$56)+1-I$16-I$13-I$12),I$11*(I$13*0.25+I$9*I$10+1-I$9-I$13-I$12))/$E$2*(1-(3)/(3+2*$D$33)/(3+$D$33))+INT(I$6*$E18+I$7*($C$8+$C$9)/2+I$8)*(I$14+$D$38)*$D$21*IF(COUNTIF($F18,"*雷*")&gt;0,I$17*(I$13*0.25+I$16*(I$10+属性开关!$X$56)+1-I$16-I$13-I$12),I$11*(I$13*0.25+I$9*I$10+1-I$9-I$13-I$12))/$E$2*((属性开关!$X$37)/(3+2*$D$33)/(3+$D$33))</f>
        <v>51492.173965450893</v>
      </c>
      <c r="J38">
        <f ca="1">J18/$E$2*(3-属性开关!$X$37)/(3+2*$D$33)/(3+$D$33)</f>
        <v>7801.1306684112515</v>
      </c>
      <c r="N38">
        <f ca="1">N27</f>
        <v>28066.95650219723</v>
      </c>
      <c r="O38">
        <f ca="1">O27</f>
        <v>12657.563632025518</v>
      </c>
      <c r="P38">
        <f ca="1">P27</f>
        <v>1323.0737078982568</v>
      </c>
      <c r="Q38">
        <f ca="1">Q27</f>
        <v>2058.9143825287315</v>
      </c>
      <c r="R38">
        <f ca="1">SUM(G38:Q38,AS38,AU18*属性开关!$X$37)*IF(COUNTIF(F38,"*雷*")&gt;0,$B$21/$D$21,1)*(1+大附魔数值!$O$10*21/1024)</f>
        <v>427918.66008770623</v>
      </c>
      <c r="S38" s="36">
        <f t="shared" ref="S38:S45" ca="1" si="63">T27</f>
        <v>0.43478260869565211</v>
      </c>
      <c r="T38">
        <f ca="1">SUMPRODUCT(S38:S46,R38:R46)</f>
        <v>637225.05981902033</v>
      </c>
      <c r="U38">
        <f>大附魔数值!Q18</f>
        <v>0</v>
      </c>
      <c r="Y38" s="34" t="s">
        <v>271</v>
      </c>
      <c r="Z38" s="34" t="s">
        <v>270</v>
      </c>
      <c r="AA38" s="21">
        <f>$Z$36*$AB$36</f>
        <v>0.21</v>
      </c>
      <c r="AB38" s="47" t="s">
        <v>277</v>
      </c>
      <c r="AC38" s="64">
        <f ca="1">AA37+AA38*2+AA39*(3-大附魔数值!O21)+AA40*3+D33*SUM(AA37:AA40)+2*AD36*AB36*AB36</f>
        <v>2.6085714281903734</v>
      </c>
      <c r="AD38" s="69">
        <f ca="1">((AC38-AC39)*(G14+G15)+(G15+G14+205/1024*属性开关!X52)*AC39)/(G14+G15)*(1-大附魔数值!O21)+AC69*大附魔数值!O21</f>
        <v>2.7277214155001599</v>
      </c>
      <c r="AE38">
        <f t="shared" ref="AE38:AE40" ca="1" si="64">AC38/$AD$37</f>
        <v>0.43155605971080879</v>
      </c>
      <c r="AS38">
        <f ca="1">AS18/$E$2*(1-3/(3+2*$D$33)/(3+$D$33))</f>
        <v>0</v>
      </c>
      <c r="AX38" s="21">
        <f ca="1">循环!Z25</f>
        <v>0</v>
      </c>
      <c r="AY38">
        <f t="shared" ca="1" si="58"/>
        <v>1</v>
      </c>
    </row>
    <row r="39" spans="1:80" x14ac:dyDescent="0.35">
      <c r="C39">
        <v>5</v>
      </c>
      <c r="D39" s="15">
        <f>256/1024</f>
        <v>0.25</v>
      </c>
      <c r="F39" s="34" t="s">
        <v>224</v>
      </c>
      <c r="G39">
        <f ca="1">INT(G$6*$E19+G$7*($C$8+$C$9)/2+G$8)*(G$14+G$15)*$D$21*IF(COUNTIF($F19,"*雷*")&gt;0,G$17*(G$13*0.25+G$16*(G$10+属性开关!$X$56)+1-G$16-G$13-G$12),G$11*(G$13*0.25+G$9*G$10+1-G$9-G$13-G$12))/$E$2*(1-(3)/(3+2*$D$33)/(3+$D$33))+INT(G$6*$E19+G$7*($C$8+$C$9)/2+G$8)*(G$14+$D$38)*$D$21*IF(COUNTIF($F19,"*雷*")&gt;0,G$17*(G$13*0.25+G$16*(G$10+属性开关!$X$56)+1-G$16-G$13-G$12),G$11*(G$13*0.25+G$9*G$10+1-G$9-G$13-G$12))/$E$2*((属性开关!$X$37)/(3+2*$D$33)/(3+$D$33))</f>
        <v>197705.20447003495</v>
      </c>
      <c r="H39">
        <f ca="1">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</f>
        <v>131886.49002620424</v>
      </c>
      <c r="I39">
        <f ca="1">INT(I$6*$E19+I$7*($C$8+$C$9)/2+I$8)*(I$14+I$15)*$D$21*IF(COUNTIF($F19,"*雷*")&gt;0,I$17*(I$13*0.25+I$16*(I$10+属性开关!$X$56)+1-I$16-I$13-I$12),I$11*(I$13*0.25+I$9*I$10+1-I$9-I$13-I$12))/$E$2*(1-(3)/(3+2*$D$33)/(3+$D$33))+INT(I$6*$E19+I$7*($C$8+$C$9)/2+I$8)*(I$14+$D$38)*$D$21*IF(COUNTIF($F19,"*雷*")&gt;0,I$17*(I$13*0.25+I$16*(I$10+属性开关!$X$56)+1-I$16-I$13-I$12),I$11*(I$13*0.25+I$9*I$10+1-I$9-I$13-I$12))/$E$2*((属性开关!$X$37)/(3+2*$D$33)/(3+$D$33))</f>
        <v>63385.675411957767</v>
      </c>
      <c r="J39">
        <f ca="1">J19/$E$2*(3-属性开关!$X$37)/(3+2*$D$33)/(3+$D$33)</f>
        <v>9770.6497804958599</v>
      </c>
      <c r="N39">
        <f t="shared" ref="N39:Q45" ca="1" si="65">N28</f>
        <v>35152.904629301556</v>
      </c>
      <c r="O39">
        <f t="shared" ca="1" si="65"/>
        <v>15853.166236997438</v>
      </c>
      <c r="P39">
        <f t="shared" ca="1" si="65"/>
        <v>1657.1046407416052</v>
      </c>
      <c r="Q39">
        <f t="shared" ca="1" si="65"/>
        <v>2578.719959296754</v>
      </c>
      <c r="R39">
        <f ca="1">SUM(G39:Q39,AS39,AU19*属性开关!$X$37)*IF(COUNTIF(F39,"*雷*")&gt;0,$B$21/$D$21,1)*(1+大附魔数值!$O$10*21/1024)</f>
        <v>696313.43712713686</v>
      </c>
      <c r="S39" s="36">
        <f t="shared" ca="1" si="63"/>
        <v>4.3478260869565216E-2</v>
      </c>
      <c r="U39">
        <f ca="1">(T38-U33)*E56*U38</f>
        <v>0</v>
      </c>
      <c r="Y39" s="34" t="s">
        <v>272</v>
      </c>
      <c r="Z39" s="34" t="s">
        <v>270</v>
      </c>
      <c r="AA39" s="21">
        <f>$Z$36*$Z$36*$AB$36+Z36*Z36*Z36*大附魔数值!O21</f>
        <v>6.3E-2</v>
      </c>
      <c r="AB39" s="47" t="s">
        <v>278</v>
      </c>
      <c r="AC39" s="65">
        <f ca="1">(AA37+AA38+AA39*(1-大附魔数值!O21)+AB36*AB36*AD36)*(1-大附魔数值!O21)+AC70*大附魔数值!O21</f>
        <v>0.97299999999999998</v>
      </c>
      <c r="AD39" s="68"/>
      <c r="AE39">
        <f t="shared" ca="1" si="64"/>
        <v>0.16097088297479134</v>
      </c>
      <c r="AS39">
        <f t="shared" ref="AS39:AS45" ca="1" si="66">AS19/$E$2*(1-3/(3+2*$D$33)/(3+$D$33))</f>
        <v>0</v>
      </c>
      <c r="AX39" s="21">
        <f ca="1">循环!Z26</f>
        <v>0</v>
      </c>
      <c r="AY39">
        <f t="shared" ca="1" si="58"/>
        <v>1</v>
      </c>
    </row>
    <row r="40" spans="1:80" x14ac:dyDescent="0.35">
      <c r="F40" s="34" t="s">
        <v>225</v>
      </c>
      <c r="G40">
        <f ca="1">INT(G$6*$E20+G$7*($C$8+$C$9)/2+G$8)*(G$14+G$15)*$D$21*IF(COUNTIF($F20,"*雷*")&gt;0,G$17*(G$13*0.25+G$16*(G$10+属性开关!$X$56)+1-G$16-G$13-G$12),G$11*(G$13*0.25+G$9*G$10+1-G$9-G$13-G$12))/$E$2*(1-(3)/(3+2*$D$33)/(3+$D$33))+INT(G$6*$E20+G$7*($C$8+$C$9)/2+G$8)*(G$14+$D$38)*$D$21*IF(COUNTIF($F20,"*雷*")&gt;0,G$17*(G$13*0.25+G$16*(G$10+属性开关!$X$56)+1-G$16-G$13-G$12),G$11*(G$13*0.25+G$9*G$10+1-G$9-G$13-G$12))/$E$2*((属性开关!$X$37)/(3+2*$D$33)/(3+$D$33))</f>
        <v>206079.32220745296</v>
      </c>
      <c r="H40">
        <f ca="1">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</f>
        <v>105301.46563500322</v>
      </c>
      <c r="I40">
        <f ca="1">INT(I$6*$E20+I$7*($C$8+$C$9)/2+I$8)*(I$14+I$15)*$D$21*IF(COUNTIF($F20,"*雷*")&gt;0,I$17*(I$13*0.25+I$16*(I$10+属性开关!$X$56)+1-I$16-I$13-I$12),I$11*(I$13*0.25+I$9*I$10+1-I$9-I$13-I$12))/$E$2*(1-(3)/(3+2*$D$33)/(3+$D$33))+INT(I$6*$E20+I$7*($C$8+$C$9)/2+I$8)*(I$14+$D$38)*$D$21*IF(COUNTIF($F20,"*雷*")&gt;0,I$17*(I$13*0.25+I$16*(I$10+属性开关!$X$56)+1-I$16-I$13-I$12),I$11*(I$13*0.25+I$9*I$10+1-I$9-I$13-I$12))/$E$2*((属性开关!$X$37)/(3+2*$D$33)/(3+$D$33))</f>
        <v>66604.083975908899</v>
      </c>
      <c r="J40">
        <f ca="1">J20/$E$2*(3-属性开关!$X$37)/(3+2*$D$33)/(3+$D$33)</f>
        <v>9980.1061543012638</v>
      </c>
      <c r="N40">
        <f t="shared" ca="1" si="65"/>
        <v>36401.479904618609</v>
      </c>
      <c r="O40">
        <f t="shared" ca="1" si="65"/>
        <v>14876.243665858005</v>
      </c>
      <c r="P40">
        <f t="shared" ca="1" si="65"/>
        <v>1716.5717444893151</v>
      </c>
      <c r="Q40">
        <f t="shared" ca="1" si="65"/>
        <v>2670.8925122024693</v>
      </c>
      <c r="R40">
        <f ca="1">SUM(G40:Q40,AS40,AU20*属性开关!$X$37)*IF(COUNTIF(F40,"*雷*")&gt;0,$B$21/$D$21,1)*(1+大附魔数值!$O$10*21/1024)</f>
        <v>519543.2618727606</v>
      </c>
      <c r="S40" s="36">
        <f t="shared" ca="1" si="63"/>
        <v>0</v>
      </c>
      <c r="Y40" s="34" t="s">
        <v>273</v>
      </c>
      <c r="Z40" s="34"/>
      <c r="AA40" s="21">
        <f ca="1">1-AA37-AA38-AA39-AD36*$AB$36*$AB$36</f>
        <v>2.7000000000000191E-2</v>
      </c>
      <c r="AB40" s="47" t="s">
        <v>279</v>
      </c>
      <c r="AC40" s="65">
        <f ca="1">(AA37+AA38+AA39*(1-大附魔数值!O21)+AD36*2*AB36*AB36)*(1-大附魔数值!O21)+AC71*大附魔数值!O21</f>
        <v>1.4629999999999999</v>
      </c>
      <c r="AE40">
        <f t="shared" ca="1" si="64"/>
        <v>0.24203535641533375</v>
      </c>
      <c r="AS40">
        <f t="shared" ca="1" si="66"/>
        <v>0</v>
      </c>
    </row>
    <row r="41" spans="1:80" x14ac:dyDescent="0.35">
      <c r="F41" s="34" t="s">
        <v>226</v>
      </c>
      <c r="G41">
        <f ca="1">INT(G$6*$E21+G$7*($C$8+$C$9)/2+G$8)*(G$14+G$15)*$D$21*IF(COUNTIF($F21,"*雷*")&gt;0,G$17*(G$13*0.25+G$16*(G$10+属性开关!$X$56)+1-G$16-G$13-G$12),G$11*(G$13*0.25+G$9*G$10+1-G$9-G$13-G$12))/$E$2*(1-(3)/(3+2*$D$33)/(3+$D$33))+INT(G$6*$E21+G$7*($C$8+$C$9)/2+G$8)*(G$14+$D$38)*$D$21*IF(COUNTIF($F21,"*雷*")&gt;0,G$17*(G$13*0.25+G$16*(G$10+属性开关!$X$56)+1-G$16-G$13-G$12),G$11*(G$13*0.25+G$9*G$10+1-G$9-G$13-G$12))/$E$2*((属性开关!$X$37)/(3+2*$D$33)/(3+$D$33))</f>
        <v>253678.88012112779</v>
      </c>
      <c r="H41">
        <f ca="1">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</f>
        <v>131886.49002620424</v>
      </c>
      <c r="I41">
        <f ca="1">INT(I$6*$E21+I$7*($C$8+$C$9)/2+I$8)*(I$14+I$15)*$D$21*IF(COUNTIF($F21,"*雷*")&gt;0,I$17*(I$13*0.25+I$16*(I$10+属性开关!$X$56)+1-I$16-I$13-I$12),I$11*(I$13*0.25+I$9*I$10+1-I$9-I$13-I$12))/$E$2*(1-(3)/(3+2*$D$33)/(3+$D$33))+INT(I$6*$E21+I$7*($C$8+$C$9)/2+I$8)*(I$14+$D$38)*$D$21*IF(COUNTIF($F21,"*雷*")&gt;0,I$17*(I$13*0.25+I$16*(I$10+属性开关!$X$56)+1-I$16-I$13-I$12),I$11*(I$13*0.25+I$9*I$10+1-I$9-I$13-I$12))/$E$2*((属性开关!$X$37)/(3+2*$D$33)/(3+$D$33))</f>
        <v>81988.087176904868</v>
      </c>
      <c r="J41">
        <f ca="1">J21/$E$2*(3-属性开关!$X$37)/(3+2*$D$33)/(3+$D$33)</f>
        <v>12499.74217208029</v>
      </c>
      <c r="N41">
        <f t="shared" ca="1" si="65"/>
        <v>45591.610595624072</v>
      </c>
      <c r="O41">
        <f t="shared" ca="1" si="65"/>
        <v>18631.987219106533</v>
      </c>
      <c r="P41">
        <f t="shared" ca="1" si="65"/>
        <v>2149.9474949719879</v>
      </c>
      <c r="Q41">
        <f t="shared" ca="1" si="65"/>
        <v>3345.2016697720278</v>
      </c>
      <c r="R41">
        <f ca="1">SUM(G41:Q41,AS41,AU21*属性开关!$X$37)*IF(COUNTIF(F41,"*雷*")&gt;0,$B$21/$D$21,1)*(1+大附魔数值!$O$10*21/1024)</f>
        <v>844978.77047612483</v>
      </c>
      <c r="S41" s="36">
        <f t="shared" ca="1" si="63"/>
        <v>0</v>
      </c>
      <c r="T41">
        <f ca="1">(FLOOR((6+正常!F2)/正常!E2,1))/((30+正常!E2)/正常!E2)</f>
        <v>0.22521088651917875</v>
      </c>
      <c r="Y41" s="45" t="s">
        <v>280</v>
      </c>
      <c r="Z41" t="s">
        <v>280</v>
      </c>
      <c r="AA41" s="34" t="s">
        <v>270</v>
      </c>
      <c r="AB41" s="21">
        <f>$AB$36</f>
        <v>0.7</v>
      </c>
      <c r="AC41" s="21">
        <f ca="1">AB41*AB36*(1-AD36*AB36)</f>
        <v>0.14699999999999999</v>
      </c>
      <c r="AD41" s="49" t="s">
        <v>283</v>
      </c>
      <c r="AE41" s="49">
        <f ca="1">2*(1-大附魔数值!O21)+AC84*大附魔数值!O21</f>
        <v>2</v>
      </c>
      <c r="AF41">
        <f ca="1">SUM(AE41,AF42,AE43,AE44)*(1-大附魔数值!O21)+AE74*大附魔数值!O21</f>
        <v>7.7534714281903732</v>
      </c>
      <c r="AS41">
        <f t="shared" ca="1" si="66"/>
        <v>0</v>
      </c>
    </row>
    <row r="42" spans="1:80" x14ac:dyDescent="0.35">
      <c r="D42" s="34" t="s">
        <v>1508</v>
      </c>
      <c r="E42">
        <f ca="1">循环!V14*10/7/循环!V17*配装页面!AE17/(2-循环!V8)</f>
        <v>0</v>
      </c>
      <c r="F42" s="34" t="s">
        <v>227</v>
      </c>
      <c r="G42">
        <f ca="1">INT(G$6*$E22+G$7*($C$8+$C$9)/2+G$8)*(G$14+G$15)*$D$21*IF(COUNTIF($F22,"*雷*")&gt;0,G$17*(G$13*0.25+G$16*(G$10+属性开关!$X$56)+1-G$16-G$13-G$12),G$11*(G$13*0.25+G$9*G$10+1-G$9-G$13-G$12))/$E$2*(1-(3)/(3+2*$D$33)/(3+$D$33))+INT(G$6*$E22+G$7*($C$8+$C$9)/2+G$8)*(G$14+$D$38)*$D$21*IF(COUNTIF($F22,"*雷*")&gt;0,G$17*(G$13*0.25+G$16*(G$10+属性开关!$X$56)+1-G$16-G$13-G$12),G$11*(G$13*0.25+G$9*G$10+1-G$9-G$13-G$12))/$E$2*((属性开关!$X$37)/(3+2*$D$33)/(3+$D$33))</f>
        <v>187873.38646629234</v>
      </c>
      <c r="H42">
        <f ca="1">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</f>
        <v>105301.46563500322</v>
      </c>
      <c r="I42">
        <f ca="1">INT(I$6*$E22+I$7*($C$8+$C$9)/2+I$8)*(I$14+I$15)*$D$21*IF(COUNTIF($F22,"*雷*")&gt;0,I$17*(I$13*0.25+I$16*(I$10+属性开关!$X$56)+1-I$16-I$13-I$12),I$11*(I$13*0.25+I$9*I$10+1-I$9-I$13-I$12))/$E$2*(1-(3)/(3+2*$D$33)/(3+$D$33))+INT(I$6*$E22+I$7*($C$8+$C$9)/2+I$8)*(I$14+$D$38)*$D$21*IF(COUNTIF($F22,"*雷*")&gt;0,I$17*(I$13*0.25+I$16*(I$10+属性开关!$X$56)+1-I$16-I$13-I$12),I$11*(I$13*0.25+I$9*I$10+1-I$9-I$13-I$12))/$E$2*((属性开关!$X$37)/(3+2*$D$33)/(3+$D$33))</f>
        <v>60552.998466260004</v>
      </c>
      <c r="J42">
        <f ca="1">J22/$E$2*(3-属性开关!$X$37)/(3+2*$D$33)/(3+$D$33)</f>
        <v>9107.6544919992684</v>
      </c>
      <c r="N42">
        <f t="shared" ca="1" si="65"/>
        <v>33065.205750079425</v>
      </c>
      <c r="O42">
        <f t="shared" ca="1" si="65"/>
        <v>13988.056333668212</v>
      </c>
      <c r="P42">
        <f t="shared" ca="1" si="65"/>
        <v>1559.0371908893178</v>
      </c>
      <c r="Q42">
        <f t="shared" ca="1" si="65"/>
        <v>2425.9433983906683</v>
      </c>
      <c r="R42">
        <f ca="1">SUM(G42:Q42,AS42,AU22*属性开关!$X$37)*IF(COUNTIF(F42,"*雷*")&gt;0,$B$21/$D$21,1)*(1+大附魔数值!$O$10*21/1024)</f>
        <v>482858.23733444104</v>
      </c>
      <c r="S42" s="36">
        <f t="shared" ca="1" si="63"/>
        <v>0</v>
      </c>
      <c r="Y42" s="45" t="s">
        <v>280</v>
      </c>
      <c r="Z42" t="s">
        <v>281</v>
      </c>
      <c r="AA42" s="34" t="s">
        <v>270</v>
      </c>
      <c r="AB42" s="21">
        <f>$Z$36*$AB$36</f>
        <v>0.21</v>
      </c>
      <c r="AC42" s="41">
        <f>AB42*AB36</f>
        <v>0.14699999999999999</v>
      </c>
      <c r="AD42" s="49" t="s">
        <v>284</v>
      </c>
      <c r="AE42" s="49">
        <f ca="1">((AF42-AE43)*(G14+G15)+(G15+G14+205/1024*属性开关!X52)*AE43)/(G14+G15)*(1-大附魔数值!O21)+AC85*大附魔数值!O21</f>
        <v>3.4366214155001593</v>
      </c>
      <c r="AF42">
        <f ca="1">AC41*(1+1)+AC42*3+AC43*(4-大附魔数值!O21)+AC44*4+AC45*3+AC46*4+AC47*(5-大附魔数值!O21)+AC48*5+AC49*4+AC50*5+AC51*(6-大附魔数值!O21)+AC52*6+D33*SUM(AC41:AC52)+2*AD36*AB36*AB36</f>
        <v>3.3174714281903728</v>
      </c>
      <c r="AS42">
        <f t="shared" ca="1" si="66"/>
        <v>0</v>
      </c>
    </row>
    <row r="43" spans="1:80" x14ac:dyDescent="0.35">
      <c r="D43" t="s">
        <v>34</v>
      </c>
      <c r="E43">
        <f ca="1">(3+2*D33)/((3+2*D33)*E2)</f>
        <v>0.73937153419593349</v>
      </c>
      <c r="F43" s="34" t="s">
        <v>228</v>
      </c>
      <c r="G43">
        <f ca="1">INT(G$6*$E23+G$7*($C$8+$C$9)/2+G$8)*(G$14+G$15)*$D$21*IF(COUNTIF($F23,"*雷*")&gt;0,G$17*(G$13*0.25+G$16*(G$10+属性开关!$X$56)+1-G$16-G$13-G$12),G$11*(G$13*0.25+G$9*G$10+1-G$9-G$13-G$12))/$E$2*(1-(3)/(3+2*$D$33)/(3+$D$33))+INT(G$6*$E23+G$7*($C$8+$C$9)/2+G$8)*(G$14+$D$38)*$D$21*IF(COUNTIF($F23,"*雷*")&gt;0,G$17*(G$13*0.25+G$16*(G$10+属性开关!$X$56)+1-G$16-G$13-G$12),G$11*(G$13*0.25+G$9*G$10+1-G$9-G$13-G$12))/$E$2*((属性开关!$X$37)/(3+2*$D$33)/(3+$D$33))</f>
        <v>233344.32647568229</v>
      </c>
      <c r="H43">
        <f ca="1">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</f>
        <v>105301.46563500322</v>
      </c>
      <c r="I43">
        <f ca="1">INT(I$6*$E23+I$7*($C$8+$C$9)/2+I$8)*(I$14+I$15)*$D$21*IF(COUNTIF($F23,"*雷*")&gt;0,I$17*(I$13*0.25+I$16*(I$10+属性开关!$X$56)+1-I$16-I$13-I$12),I$11*(I$13*0.25+I$9*I$10+1-I$9-I$13-I$12))/$E$2*(1-(3)/(3+2*$D$33)/(3+$D$33))+INT(I$6*$E23+I$7*($C$8+$C$9)/2+I$8)*(I$14+$D$38)*$D$21*IF(COUNTIF($F23,"*雷*")&gt;0,I$17*(I$13*0.25+I$16*(I$10+属性开关!$X$56)+1-I$16-I$13-I$12),I$11*(I$13*0.25+I$9*I$10+1-I$9-I$13-I$12))/$E$2*((属性开关!$X$37)/(3+2*$D$33)/(3+$D$33))</f>
        <v>75664.908476718017</v>
      </c>
      <c r="J43">
        <f ca="1">J23/$E$2*(3-属性开关!$X$37)/(3+2*$D$33)/(3+$D$33)</f>
        <v>11286.737661382529</v>
      </c>
      <c r="N43">
        <f t="shared" ca="1" si="65"/>
        <v>41401.489719336983</v>
      </c>
      <c r="O43">
        <f t="shared" ca="1" si="65"/>
        <v>16205.544169739369</v>
      </c>
      <c r="P43">
        <f t="shared" ca="1" si="65"/>
        <v>1952.5352274803752</v>
      </c>
      <c r="Q43">
        <f t="shared" ca="1" si="65"/>
        <v>3037.9215280644057</v>
      </c>
      <c r="R43">
        <f ca="1">SUM(G43:Q43,AS43,AU23*属性开关!$X$37)*IF(COUNTIF(F43,"*雷*")&gt;0,$B$21/$D$21,1)*(1+大附魔数值!$O$10*21/1024)</f>
        <v>574483.51517206372</v>
      </c>
      <c r="S43" s="36">
        <f t="shared" ca="1" si="63"/>
        <v>0</v>
      </c>
      <c r="Y43" s="45" t="s">
        <v>280</v>
      </c>
      <c r="Z43" t="s">
        <v>282</v>
      </c>
      <c r="AA43" s="34" t="s">
        <v>270</v>
      </c>
      <c r="AB43" s="21">
        <f>$Z$36*$Z$36*$AB$36+Z36*Z36*Z36*大附魔数值!O21</f>
        <v>6.3E-2</v>
      </c>
      <c r="AC43" s="36">
        <f>AB43*AB36</f>
        <v>4.41E-2</v>
      </c>
      <c r="AD43" s="49" t="s">
        <v>285</v>
      </c>
      <c r="AE43" s="66">
        <f ca="1">(AC41+AC42+AC43*(1-大附魔数值!O21)+AC45+AC46+AC47*(1-大附魔数值!O21)+AC49+AC50+AC51*(1-大附魔数值!O21)+AB36*AB36*AD36)*(1-大附魔数值!O21)+AC86*大附魔数值!O21</f>
        <v>0.97299999999999998</v>
      </c>
      <c r="AF43" s="36"/>
      <c r="AS43">
        <f t="shared" ca="1" si="66"/>
        <v>0</v>
      </c>
    </row>
    <row r="44" spans="1:80" x14ac:dyDescent="0.35">
      <c r="D44" t="s">
        <v>35</v>
      </c>
      <c r="E44">
        <f ca="1">1/(FLOOR(1.75*16*1024/(1024+FLOOR(装备库!E1114/属性开关!U28*1024,1)),1)/16)</f>
        <v>0.61538461538461542</v>
      </c>
      <c r="F44" s="34" t="s">
        <v>229</v>
      </c>
      <c r="G44">
        <f ca="1">INT(G$6*$E24+G$7*($C$8+$C$9)/2+G$8)*(G$14+G$15)*$D$21*IF(COUNTIF($F24,"*雷*")&gt;0,G$17*(G$13*0.25+G$16*(G$10+属性开关!$X$56)+1-G$16-G$13-G$12),G$11*(G$13*0.25+G$9*G$10+1-G$9-G$13-G$12))/$E$2*(1-(3)/(3+2*$D$33)/(3+$D$33))+INT(G$6*$E24+G$7*($C$8+$C$9)/2+G$8)*(G$14+$D$38)*$D$21*IF(COUNTIF($F24,"*雷*")&gt;0,G$17*(G$13*0.25+G$16*(G$10+属性开关!$X$56)+1-G$16-G$13-G$12),G$11*(G$13*0.25+G$9*G$10+1-G$9-G$13-G$12))/$E$2*((属性开关!$X$37)/(3+2*$D$33)/(3+$D$33))</f>
        <v>287241.46988110145</v>
      </c>
      <c r="H44">
        <f ca="1">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</f>
        <v>131886.49002620424</v>
      </c>
      <c r="I44">
        <f ca="1">INT(I$6*$E24+I$7*($C$8+$C$9)/2+I$8)*(I$14+I$15)*$D$21*IF(COUNTIF($F24,"*雷*")&gt;0,I$17*(I$13*0.25+I$16*(I$10+属性开关!$X$56)+1-I$16-I$13-I$12),I$11*(I$13*0.25+I$9*I$10+1-I$9-I$13-I$12))/$E$2*(1-(3)/(3+2*$D$33)/(3+$D$33))+INT(I$6*$E24+I$7*($C$8+$C$9)/2+I$8)*(I$14+$D$38)*$D$21*IF(COUNTIF($F24,"*雷*")&gt;0,I$17*(I$13*0.25+I$16*(I$10+属性开关!$X$56)+1-I$16-I$13-I$12),I$11*(I$13*0.25+I$9*I$10+1-I$9-I$13-I$12))/$E$2*((属性开关!$X$37)/(3+2*$D$33)/(3+$D$33))</f>
        <v>93141.752608827577</v>
      </c>
      <c r="J44">
        <f ca="1">J24/$E$2*(3-属性开关!$X$37)/(3+2*$D$33)/(3+$D$33)</f>
        <v>14136.253517743024</v>
      </c>
      <c r="N44">
        <f t="shared" ca="1" si="65"/>
        <v>51853.952155479587</v>
      </c>
      <c r="O44">
        <f t="shared" ca="1" si="65"/>
        <v>20296.890709193387</v>
      </c>
      <c r="P44">
        <f t="shared" ca="1" si="65"/>
        <v>2445.4837000796992</v>
      </c>
      <c r="Q44">
        <f t="shared" ca="1" si="65"/>
        <v>3804.8929793648931</v>
      </c>
      <c r="R44">
        <f ca="1">SUM(G44:Q44,AS44,AU24*属性开关!$X$37)*IF(COUNTIF(F44,"*雷*")&gt;0,$B$21/$D$21,1)*(1+大附魔数值!$O$10*21/1024)</f>
        <v>934122.0099353235</v>
      </c>
      <c r="S44" s="36">
        <f t="shared" ca="1" si="63"/>
        <v>0.30434782608695654</v>
      </c>
      <c r="Y44" s="45" t="s">
        <v>280</v>
      </c>
      <c r="Z44" s="34" t="s">
        <v>273</v>
      </c>
      <c r="AB44" s="21">
        <f>1-AB41-AB42-AB43</f>
        <v>2.7000000000000052E-2</v>
      </c>
      <c r="AC44" s="36">
        <f>AB44*AB36</f>
        <v>1.8900000000000035E-2</v>
      </c>
      <c r="AD44" s="49" t="s">
        <v>286</v>
      </c>
      <c r="AE44" s="67">
        <f ca="1">(AE43+AB36*AB36*AD36)*(1-大附魔数值!O21)+AC87*大附魔数值!O21</f>
        <v>1.4629999999999999</v>
      </c>
      <c r="AS44">
        <f t="shared" ca="1" si="66"/>
        <v>0</v>
      </c>
    </row>
    <row r="45" spans="1:80" x14ac:dyDescent="0.35">
      <c r="D45" t="s">
        <v>36</v>
      </c>
      <c r="E45">
        <f ca="1">10+1024/102/(E43/(3+2*D33)*(3+2*D33))</f>
        <v>23.578039215686275</v>
      </c>
      <c r="F45" s="34" t="s">
        <v>237</v>
      </c>
      <c r="G45">
        <f ca="1">INT(G$6*$E25+G$7*($C$8+$C$9)/2+G$8)*(G$14+G$15)*$D$21*IF(COUNTIF($F25,"*雷*")&gt;0,G$17*(G$13*0.25+G$16*(G$10+属性开关!$X$56)+1-G$16-G$13-G$12),G$11*(G$13*0.25+G$9*G$10+1-G$9-G$13-G$12))/$E$2*(1-(3)/(3+2*$D$33)/(3+$D$33))+INT(G$6*$E25+G$7*($C$8+$C$9)/2+G$8)*(G$14+$D$38)*$D$21*IF(COUNTIF($F25,"*雷*")&gt;0,G$17*(G$13*0.25+G$16*(G$10+属性开关!$X$56)+1-G$16-G$13-G$12),G$11*(G$13*0.25+G$9*G$10+1-G$9-G$13-G$12))/$E$2*((属性开关!$X$37)/(3+2*$D$33)/(3+$D$33))</f>
        <v>174283.90568881913</v>
      </c>
      <c r="H45">
        <f ca="1">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</f>
        <v>105301.46563500322</v>
      </c>
      <c r="I45">
        <f ca="1">INT(I$6*$E25+I$7*($C$8+$C$9)/2+I$8)*(I$14+I$15)*$D$21*IF(COUNTIF($F25,"*雷*")&gt;0,I$17*(I$13*0.25+I$16*(I$10+属性开关!$X$56)+1-I$16-I$13-I$12),I$11*(I$13*0.25+I$9*I$10+1-I$9-I$13-I$12))/$E$2*(1-(3)/(3+2*$D$33)/(3+$D$33))+INT(I$6*$E25+I$7*($C$8+$C$9)/2+I$8)*(I$14+$D$38)*$D$21*IF(COUNTIF($F25,"*雷*")&gt;0,I$17*(I$13*0.25+I$16*(I$10+属性开关!$X$56)+1-I$16-I$13-I$12),I$11*(I$13*0.25+I$9*I$10+1-I$9-I$13-I$12))/$E$2*((属性开关!$X$37)/(3+2*$D$33)/(3+$D$33))</f>
        <v>56038.389979519648</v>
      </c>
      <c r="J45">
        <f ca="1">J25/$E$2*(3-属性开关!$X$37)/(3+2*$D$33)/(3+$D$33)</f>
        <v>8456.4924083236128</v>
      </c>
      <c r="N45">
        <f ca="1">N34</f>
        <v>28066.95650219723</v>
      </c>
      <c r="O45">
        <f t="shared" ca="1" si="65"/>
        <v>12657.563632025518</v>
      </c>
      <c r="P45">
        <f t="shared" ca="1" si="65"/>
        <v>1323.0737078982568</v>
      </c>
      <c r="Q45">
        <f t="shared" ca="1" si="65"/>
        <v>2058.9143825287315</v>
      </c>
      <c r="R45">
        <f ca="1">SUM(G45:Q45,AS45,AU22*属性开关!$X$37)*IF(COUNTIF(F45,"*雷*")&gt;0,$B$21/$D$21,1)*(1+大附魔数值!$O$10*21/1024)</f>
        <v>457171.25153817405</v>
      </c>
      <c r="S45" s="36">
        <f t="shared" si="63"/>
        <v>0</v>
      </c>
      <c r="Y45" s="45" t="s">
        <v>281</v>
      </c>
      <c r="Z45" t="s">
        <v>280</v>
      </c>
      <c r="AA45" s="34" t="s">
        <v>270</v>
      </c>
      <c r="AB45" s="21">
        <f>$AB$36</f>
        <v>0.7</v>
      </c>
      <c r="AC45" s="41">
        <f ca="1">AB45*AB42*(1-AD36*AB36)</f>
        <v>4.4100000000000007E-2</v>
      </c>
      <c r="AS45">
        <f t="shared" ca="1" si="66"/>
        <v>0</v>
      </c>
    </row>
    <row r="46" spans="1:80" x14ac:dyDescent="0.35">
      <c r="D46" t="s">
        <v>37</v>
      </c>
      <c r="E46">
        <f ca="1">30+1024/205/(E43/(3+2*D33)*(3+2*D33))</f>
        <v>36.755902439024389</v>
      </c>
      <c r="F46" s="34" t="s">
        <v>298</v>
      </c>
      <c r="G46">
        <f ca="1">INT(G$6*$E26+G$7*($C$8+$C$9)/2+G$8)*(G$14+G$15)*$D$21*IF(COUNTIF($F47,"*雷*")&gt;0,G$17*(G$13*0.25+G$16*(G$10+属性开关!$X$56)+1-G$16-G$13-G$12),G$11*(G$13*0.25+G$9*G$10+1-G$9-G$13-G$12))/$E$2*(1-(3)/(3+2*$D$33)/(3+$D$33))+INT(G$6*$E26+G$7*($C$8+$C$9)/2+G$8)*(G$14+$D$38)*$D$21*IF(COUNTIF($F47,"*雷*")&gt;0,G$17*(G$13*0.25+G$16*(G$10+属性开关!$X$56)+1-G$16-G$13-G$12),G$11*(G$13*0.25+G$9*G$10+1-G$9-G$13-G$12))/$E$2*((属性开关!$X$37)/(3+2*$D$33)/(3+$D$33))</f>
        <v>231267.79423000861</v>
      </c>
      <c r="H46">
        <f ca="1">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</f>
        <v>131886.49002620424</v>
      </c>
      <c r="I46">
        <f ca="1">INT(I$6*$E26+I$7*($C$8+$C$9)/2+I$8)*(I$14+I$15)*$D$21*IF(COUNTIF($F47,"*雷*")&gt;0,I$17*(I$13*0.25+I$16*(I$10+属性开关!$X$56)+1-I$16-I$13-I$12),I$11*(I$13*0.25+I$9*I$10+1-I$9-I$13-I$12))/$E$2*(1-(3)/(3+2*$D$33)/(3+$D$33))+INT(I$6*$E26+I$7*($C$8+$C$9)/2+I$8)*(I$14+$D$38)*$D$21*IF(COUNTIF($F47,"*雷*")&gt;0,I$17*(I$13*0.25+I$16*(I$10+属性开关!$X$56)+1-I$16-I$13-I$12),I$11*(I$13*0.25+I$9*I$10+1-I$9-I$13-I$12))/$E$2*((属性开关!$X$37)/(3+2*$D$33)/(3+$D$33))</f>
        <v>74539.340843880491</v>
      </c>
      <c r="J46">
        <f ca="1">J47/$E$2*(3-属性开关!X37)/(3+2*$D$33)/(3+$D$33)</f>
        <v>11407.026256260324</v>
      </c>
      <c r="N46">
        <f ca="1">N48</f>
        <v>41413.041139312038</v>
      </c>
      <c r="O46">
        <f t="shared" ref="O46:Q46" ca="1" si="67">O48</f>
        <v>17519.562914070917</v>
      </c>
      <c r="P46">
        <f t="shared" ca="1" si="67"/>
        <v>1952.640845849317</v>
      </c>
      <c r="Q46">
        <f t="shared" ca="1" si="67"/>
        <v>3038.4112688896207</v>
      </c>
      <c r="R46">
        <f ca="1">SUM(G46:Q46,AS46,AU25*属性开关!$X$37)*IF(COUNTIF(F46,"*雷*")&gt;0,$B$21/$D$21,1)*(1+大附魔数值!$O$10*21/1024)</f>
        <v>785455.56707150128</v>
      </c>
      <c r="S46" s="21">
        <f ca="1">T48</f>
        <v>0.17391304347826086</v>
      </c>
      <c r="Y46" s="45" t="s">
        <v>281</v>
      </c>
      <c r="Z46" t="s">
        <v>281</v>
      </c>
      <c r="AA46" s="34" t="s">
        <v>270</v>
      </c>
      <c r="AB46" s="21">
        <f>$Z$36*$AB$36</f>
        <v>0.21</v>
      </c>
      <c r="AC46" s="36">
        <f>AB46*AB42</f>
        <v>4.4099999999999993E-2</v>
      </c>
      <c r="AS46">
        <f ca="1">AS47/$E$2*(1-3/(3+2*$D$33)/(3+$D$33))</f>
        <v>0</v>
      </c>
    </row>
    <row r="47" spans="1:80" x14ac:dyDescent="0.35">
      <c r="D47" t="s">
        <v>38</v>
      </c>
      <c r="E47">
        <f ca="1">IF(大附魔数值!R40&gt;1,10+1/(0.1+C10+0.3*(6+属性开关!T37*9)/30)/(E43/(3+2*D33)*(3+2*D33)),22)</f>
        <v>12.128423142161411</v>
      </c>
      <c r="F47" s="34" t="s">
        <v>288</v>
      </c>
      <c r="G47">
        <f ca="1">INT(G$6*$E26+G$7*($C$8+$C$9)/2+G$8)*(G$14+G$15)*$D$21*IF(COUNTIF($F47,"*雷*")&gt;0,G$17*(G$13*0.25+G$16*(G$10+属性开关!$X$56)+1-G$16-G$13-G$12),G$11*(G$13*0.25+G$9*G$10+1-G$9-G$13-G$12))</f>
        <v>339354.02936099214</v>
      </c>
      <c r="H47">
        <f ca="1">INT(H$6*$E26+H$7*($C$8+$C$9)/2+H$8)*(H$14+H$15)*$D$21*IF(COUNTIF($F47,"*雷*")&gt;0,H$17*(H$13*0.25+H$16*(H$10+属性开关!$X$56)+1-H$16-H$13-H$12),H$11*(H$13*0.25+H$9*H$10+1-H$9-H$13-H$12))</f>
        <v>201705.07406235597</v>
      </c>
      <c r="I47">
        <f ca="1">INT(I$6*$E26+I$7*($C$8+$C$9)/2+I$8)*(I$14+I$15)*$D$21*IF(COUNTIF($F47,"*雷*")&gt;0,I$17*(I$13*0.25+I$16*(I$10+属性开关!$X$56)+1-I$16-I$13-I$12),I$11*(I$13*0.25+I$9*I$10+1-I$9-I$13-I$12))</f>
        <v>109376.34332312488</v>
      </c>
      <c r="J47">
        <f ca="1">INT(J$6*$E26+J$7*($C$8+$C$9)/2+J$8)*(J$14+J$15)*$D$21*IF(COUNTIF($F47,"*雷*")&gt;0,J$17*(J$13*0.25+J$16*(J$10+属性开关!$X$56)+1-J$16-J$13-J$12),J$11*(J$13*0.25+J$9*J$10+1-J$9-J$13-J$12))</f>
        <v>200091.75325941172</v>
      </c>
      <c r="K47">
        <f ca="1">INT(K$6*$E26+K$7*($C$8+$C$9)/2+K$8)*(K$14+K$15)*$D$21*IF(COUNTIF($F47,"*雷*")&gt;0,K$17*(K$13*0.25+K$16*(K$10+属性开关!$X$56)+1-K$16-K$13-K$12),K$11*(K$13*0.25+K$9*K$10+1-K$9-K$13-K$12))</f>
        <v>205580.31792910138</v>
      </c>
      <c r="L47">
        <f ca="1">INT(L$6*$E26+L$7*($C$8+$C$9)/2+L$8)*(L$14+L$15)*$D$21*IF(COUNTIF($F47,"*雷*")&gt;0,L$17*(L$13*0.25+L$16*(L$10+属性开关!$X$56)+1-L$16-L$13-L$12),L$11*(L$13*0.25+L$9*L$10+1-L$9-L$13-L$12))</f>
        <v>146303.60555006983</v>
      </c>
      <c r="M47">
        <f ca="1">INT(M$6*$E26+M$7*($C$8+$C$9)/2+M$8)*(M$14+M$15)*$D$21*IF(COUNTIF($F47,"*雷*")&gt;0,M$17*(M$13*0.25+M$16*(M$10+属性开关!$X$56)+1-M$16-M$13-M$12),M$11*(M$13*0.25+M$9*M$10+1-M$9-M$13-M$12))</f>
        <v>63365.164531354254</v>
      </c>
      <c r="N47">
        <f ca="1">INT(N$6*$E26+N$7*($C$8+$C$9)/2+N$8)*(N$14+N$15)*$D$21*IF(COUNTIF($F47,"*雷*")&gt;0,N$17*(N$13*0.25+N$16*(N$10+属性开关!$X$56)+1-N$16-N$13-N$12),N$11*(N$13*0.25+N$9*N$10+1-N$9-N$13-N$12))</f>
        <v>75061.137065003073</v>
      </c>
      <c r="O47">
        <f ca="1">INT(O$6*$E26+O$7*($C$8+$C$9)/2+O$8)*(O$14+O$15)*$D$21*IF(COUNTIF($F47,"*雷*")&gt;0,O$17*(O$13*0.25+O$16*(O$10+属性开关!$X$56)+1-O$16-O$13-O$12),O$11*(O$13*0.25+O$9*O$10+1-O$9-O$13-O$12))</f>
        <v>27374.317053235809</v>
      </c>
      <c r="P47">
        <f ca="1">INT(P$6*$E26+P$7*($C$8+$C$9)/2+P$8)*(P$14+P$15)*$D$21*IF(COUNTIF($F47,"*雷*")&gt;0,P$17*(P$13*0.25+P$16*(P$10+属性开关!$X$56)+1-P$16-P$13-P$12),P$11*(P$13*0.25+P$9*P$10+1-P$9-P$13-P$12))</f>
        <v>46039.442437586011</v>
      </c>
      <c r="Q47">
        <f ca="1">INT(Q$6*$E26+Q$7*($C$8+$C$9)/2+Q$8)*(Q$14+Q$15)*$D$21*IF(COUNTIF($F47,"*雷*")&gt;0,Q$17*(Q$13*0.25+Q$16*(Q$10+属性开关!$X$56)+1-Q$16-Q$13-Q$12),Q$11*(Q$13*0.25+Q$9*Q$10+1-Q$9-Q$13-Q$12))</f>
        <v>36851.137549004896</v>
      </c>
      <c r="R47">
        <f ca="1">INT(R$6*$E26+R$7*($C$8+$C$9)/2+R$8)*(R$14+R$15)*$D$21*IF(COUNTIF($F47,"*雷*")&gt;0,R$17*(R$13*0.25+R$16*(R$10+属性开关!$X$56)+1-R$16-R$13-R$12),R$11*(R$13*0.25+R$9*R$10+1-R$9-R$13-R$12))</f>
        <v>10458.928665765003</v>
      </c>
      <c r="Y47" s="45" t="s">
        <v>281</v>
      </c>
      <c r="Z47" t="s">
        <v>282</v>
      </c>
      <c r="AA47" s="34" t="s">
        <v>270</v>
      </c>
      <c r="AB47" s="21">
        <f>$Z$36*$Z$36*$AB$36+Z36*Z36*Z36*大附魔数值!O21</f>
        <v>6.3E-2</v>
      </c>
      <c r="AC47" s="46">
        <f>AB47*AB42</f>
        <v>1.323E-2</v>
      </c>
      <c r="AD47" s="21"/>
      <c r="AE47" s="36"/>
      <c r="AS47">
        <f ca="1">INT(AS$6*$E26+AS$7*($C$8+$C$9)/2+AS$8)*(AS$14+AS$15)*$D$21*IF(COUNTIF($F47,"*雷*")&gt;0,AS$17*(AS$13*0.25+AS$16*(AS$10+属性开关!$X$56)+1-AS$16-AS$13-AS$12),AS$11*(AS$13*0.25+AS$9*AS$10+1-AS$9-AS$13-AS$12))</f>
        <v>0</v>
      </c>
    </row>
    <row r="48" spans="1:80" x14ac:dyDescent="0.35">
      <c r="D48" s="34" t="s">
        <v>242</v>
      </c>
      <c r="E48">
        <f ca="1">30+1024/(31+51*属性开关!$X$37)/((3+2*D33)/((3+2*D33)*E2))</f>
        <v>46.889756097560976</v>
      </c>
      <c r="F48" s="34" t="s">
        <v>288</v>
      </c>
      <c r="G48">
        <f ca="1">(G47*$AD$38)/$AD$37/$E$2*$D$22+(G47*$AE$42)/$AF$41/$E$2*$C$22</f>
        <v>113227.06132104507</v>
      </c>
      <c r="H48">
        <f ca="1">(H47*$AD$38)/$AD$37/$E$2*$D$22+(H47*$AE$42)/$AF$41/$E$2*$C$22</f>
        <v>67299.842682373477</v>
      </c>
      <c r="I48">
        <f ca="1">(I47*$AD$38)/$AD$37/$E$2*$D$22+(I47*$AE$42)/$AF$41/$E$2*$C$22</f>
        <v>36493.929233252507</v>
      </c>
      <c r="J48">
        <f ca="1">J47*$AC$39/$AD$37/$E$2*$D$22+J47*$AE$43/$AF$41/$E$2*$C$22</f>
        <v>23814.377965354222</v>
      </c>
      <c r="K48">
        <f ca="1">K47*$AC$40/$AD$37/$E$2*$D$22+K47*$AE$44/$AF$41/$E$2*$C$22</f>
        <v>36789.431069831924</v>
      </c>
      <c r="L48">
        <f ca="1">L47*$AC$37/$AD$37/$E$2*$D$22+L47*$AE$41/$AF$41/$E$2*$C$22</f>
        <v>17895.846310866844</v>
      </c>
      <c r="M48">
        <f ca="1">M47*$AE$41/$AF$41/$E$2*$C$22</f>
        <v>0</v>
      </c>
      <c r="N48">
        <f ca="1">N47/$E$3</f>
        <v>41413.041139312038</v>
      </c>
      <c r="O48">
        <f ca="1">O47/$F$3</f>
        <v>17519.562914070917</v>
      </c>
      <c r="P48">
        <f ca="1">P47/$E$45*大附魔数值!$S$9</f>
        <v>1952.640845849317</v>
      </c>
      <c r="Q48">
        <f ca="1">Q47/$E$47*大附魔数值!$S$10</f>
        <v>3038.4112688896207</v>
      </c>
      <c r="R48">
        <f ca="1">R47/45</f>
        <v>232.42063701700005</v>
      </c>
      <c r="S48">
        <f ca="1">SUM(G48:R48,AS48)*IF(COUNTIF(F48,"*雷*")&gt;0,$B$21/$D$21,1)</f>
        <v>471301.57862463361</v>
      </c>
      <c r="T48" s="21">
        <f ca="1">AQ34</f>
        <v>0.17391304347826086</v>
      </c>
      <c r="Y48" s="45" t="s">
        <v>281</v>
      </c>
      <c r="Z48" s="34" t="s">
        <v>273</v>
      </c>
      <c r="AB48" s="21">
        <f>1-AB45-AB46-AB47</f>
        <v>2.7000000000000052E-2</v>
      </c>
      <c r="AC48" s="46">
        <f>AB48*AB42</f>
        <v>5.670000000000011E-3</v>
      </c>
      <c r="AD48" s="41"/>
      <c r="AS48">
        <f ca="1">AS47*$AC$38/$AD$37/$E$2*$D$22+AS47*$AE$42/$AF$41/$E$2*$C$22</f>
        <v>0</v>
      </c>
    </row>
    <row r="49" spans="4:32" x14ac:dyDescent="0.35">
      <c r="D49" s="34" t="s">
        <v>301</v>
      </c>
      <c r="E49">
        <f ca="1">CEILING(30/E2,1)*E2-30</f>
        <v>1.1075000000000017</v>
      </c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Y49" s="45" t="s">
        <v>282</v>
      </c>
      <c r="Z49" t="s">
        <v>280</v>
      </c>
      <c r="AA49" s="34" t="s">
        <v>270</v>
      </c>
      <c r="AB49" s="21">
        <f>$AB$36</f>
        <v>0.7</v>
      </c>
      <c r="AC49" s="41">
        <f ca="1">AB49*(1-$AB$36-$AA$38)*(1-AD36*AB36)</f>
        <v>1.8900000000000011E-2</v>
      </c>
    </row>
    <row r="50" spans="4:32" x14ac:dyDescent="0.35">
      <c r="D50">
        <v>0</v>
      </c>
      <c r="E50">
        <f ca="1">AC38/AD37</f>
        <v>0.43155605971080879</v>
      </c>
      <c r="H50" t="e">
        <f t="shared" ref="H50" ca="1" si="68">(SUMPRODUCT(H51:H58,$T$51:$T$58)*(1-$E$56*$U$38)+SUMPRODUCT(H63:H71,$S$63:$S$71)*$E$56*$U$38)/$V$51</f>
        <v>#DIV/0!</v>
      </c>
      <c r="Y50" s="45" t="s">
        <v>282</v>
      </c>
      <c r="Z50" t="s">
        <v>281</v>
      </c>
      <c r="AA50" s="34" t="s">
        <v>270</v>
      </c>
      <c r="AB50" s="21">
        <f>$Z$36*$AB$36</f>
        <v>0.21</v>
      </c>
      <c r="AC50" s="41">
        <f t="shared" ref="AC50:AC52" si="69">AB50*(1-$AB$36-$AA$38)</f>
        <v>1.8900000000000011E-2</v>
      </c>
    </row>
    <row r="51" spans="4:32" x14ac:dyDescent="0.35">
      <c r="D51">
        <v>1</v>
      </c>
      <c r="E51" s="34">
        <f ca="1">(AC37+AC40)/AD37</f>
        <v>0.40747305731439992</v>
      </c>
      <c r="F51" s="34"/>
      <c r="G51" s="21"/>
      <c r="H51">
        <f ca="1">H27*IF(COUNTIF($F27,"*雷*")&gt;0,$B$21/$D$21,1)*(1+大附魔数值!$O$10*21/1024)</f>
        <v>51386.717250565911</v>
      </c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Y51" s="45" t="s">
        <v>282</v>
      </c>
      <c r="Z51" t="s">
        <v>282</v>
      </c>
      <c r="AA51" s="34" t="s">
        <v>270</v>
      </c>
      <c r="AB51" s="21">
        <f>$Z$36*$Z$36*$AB$36+Z36*Z36*Z36*大附魔数值!O21</f>
        <v>6.3E-2</v>
      </c>
      <c r="AC51" s="41">
        <f t="shared" si="69"/>
        <v>5.6700000000000032E-3</v>
      </c>
    </row>
    <row r="52" spans="4:32" x14ac:dyDescent="0.35">
      <c r="D52">
        <v>2</v>
      </c>
      <c r="E52" s="34">
        <f ca="1">AC39/AD37</f>
        <v>0.16097088297479134</v>
      </c>
      <c r="F52" s="34"/>
      <c r="G52" s="43"/>
      <c r="H52">
        <f ca="1">H28*IF(COUNTIF($F28,"*雷*")&gt;0,$B$21/$D$21,1)*(1+大附魔数值!$O$10*21/1024)</f>
        <v>84334.159461701507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21"/>
      <c r="T52" s="21"/>
      <c r="Y52" s="45" t="s">
        <v>282</v>
      </c>
      <c r="Z52" s="34" t="s">
        <v>273</v>
      </c>
      <c r="AB52" s="21">
        <f>1-AB49-AB50-AB51</f>
        <v>2.7000000000000052E-2</v>
      </c>
      <c r="AC52" s="41">
        <f t="shared" si="69"/>
        <v>2.4300000000000059E-3</v>
      </c>
    </row>
    <row r="53" spans="4:32" x14ac:dyDescent="0.35">
      <c r="E53">
        <f ca="1">SUMPRODUCT(D50:D52,E50:E52)*E2+E49</f>
        <v>2.0940335484645383</v>
      </c>
      <c r="F53" s="34"/>
      <c r="H53">
        <f ca="1">H29*IF(COUNTIF($F29,"*雷*")&gt;0,$B$21/$D$21,1)*(1+大附魔数值!$O$10*21/1024)</f>
        <v>51386.717250565911</v>
      </c>
      <c r="AC53" s="21"/>
    </row>
    <row r="54" spans="4:32" x14ac:dyDescent="0.35">
      <c r="D54" s="34" t="s">
        <v>325</v>
      </c>
      <c r="E54">
        <f ca="1">(FLOOR(2*16*1024/(1024+FLOOR(装备库!E1114/属性开关!U28*1024,1)),1)/16)*5+1/(1/F3+1/E2+1/E3)</f>
        <v>9.892840733855806</v>
      </c>
      <c r="F54" s="34"/>
      <c r="G54" s="21"/>
      <c r="H54">
        <f ca="1">H30*IF(COUNTIF($F30,"*雷*")&gt;0,$B$21/$D$21,1)*(1+大附魔数值!$O$10*21/1024)</f>
        <v>84334.159461701507</v>
      </c>
      <c r="I54" s="21"/>
      <c r="J54" s="21"/>
      <c r="K54" s="21"/>
      <c r="L54" s="21"/>
      <c r="M54" s="21"/>
      <c r="N54" s="21"/>
      <c r="O54" s="21"/>
      <c r="P54" s="21"/>
      <c r="Q54" s="21"/>
      <c r="R54" s="21"/>
    </row>
    <row r="55" spans="4:32" x14ac:dyDescent="0.35">
      <c r="D55" s="34" t="s">
        <v>507</v>
      </c>
      <c r="E55">
        <f ca="1">1-(1-102/1024)^(6*(E43+E44))</f>
        <v>0.57382260263829199</v>
      </c>
      <c r="F55" s="34"/>
      <c r="H55">
        <f ca="1">H31*IF(COUNTIF($F31,"*雷*")&gt;0,$B$21/$D$21,1)*(1+大附魔数值!$O$10*21/1024)</f>
        <v>51386.717250565911</v>
      </c>
    </row>
    <row r="56" spans="4:32" x14ac:dyDescent="0.35">
      <c r="D56" s="34" t="s">
        <v>508</v>
      </c>
      <c r="E56">
        <f ca="1">6/E48</f>
        <v>0.12795971869668346</v>
      </c>
      <c r="F56" s="34"/>
      <c r="H56">
        <f ca="1">H32*IF(COUNTIF($F32,"*雷*")&gt;0,$B$21/$D$21,1)*(1+大附魔数值!$O$10*21/1024)</f>
        <v>51386.717250565911</v>
      </c>
    </row>
    <row r="57" spans="4:32" x14ac:dyDescent="0.35">
      <c r="D57" s="34" t="s">
        <v>535</v>
      </c>
      <c r="E57">
        <f ca="1">6+1/(1/F3+1/E2)</f>
        <v>6.7249678387650089</v>
      </c>
      <c r="F57" s="34"/>
      <c r="G57" s="21"/>
      <c r="H57">
        <f ca="1">H33*IF(COUNTIF($F33,"*雷*")&gt;0,$B$21/$D$21,1)*(1+大附魔数值!$O$10*21/1024)</f>
        <v>84334.159461701507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</row>
    <row r="58" spans="4:32" x14ac:dyDescent="0.35">
      <c r="F58" s="34"/>
      <c r="H58">
        <f ca="1">H48*IF(COUNTIF($F48,"*雷*")&gt;0,$B$21/$D$21,1)*(1+大附魔数值!$O$10*21/1024)</f>
        <v>88186.234939126356</v>
      </c>
      <c r="AB58" t="s">
        <v>564</v>
      </c>
      <c r="AC58">
        <f ca="1">$G$14+0.25</f>
        <v>1.6348305481229386</v>
      </c>
      <c r="AD58">
        <f>CHOOSE(属性开关!$X$53+1,正常!AQ69,正常!AH69)</f>
        <v>2.1285714285714286</v>
      </c>
      <c r="AE58">
        <f>SUM(AD58:AD66)</f>
        <v>7.2371428571428575</v>
      </c>
    </row>
    <row r="59" spans="4:32" x14ac:dyDescent="0.35">
      <c r="F59" s="34"/>
      <c r="H59" t="e">
        <f ca="1">H50*$V$51*(1+属性开关!$S$37*51/1024)*(1+$C$14)</f>
        <v>#DIV/0!</v>
      </c>
      <c r="AB59" t="s">
        <v>565</v>
      </c>
      <c r="AC59" s="36">
        <f ca="1">$G$14+D38+属性开关!X52*205/1024</f>
        <v>1.7852211731229386</v>
      </c>
      <c r="AD59">
        <f>CHOOSE(属性开关!$X$53+1,正常!AQ70,正常!AH70)</f>
        <v>1</v>
      </c>
      <c r="AF59" s="41"/>
    </row>
    <row r="60" spans="4:32" x14ac:dyDescent="0.35">
      <c r="F60" s="34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AB60" t="s">
        <v>566</v>
      </c>
      <c r="AC60">
        <f ca="1">$G$14+0.2001953125</f>
        <v>1.5850258606229386</v>
      </c>
      <c r="AD60">
        <f>CHOOSE(属性开关!$X$53+1,正常!AQ71,正常!AH71)</f>
        <v>0.4285714285714286</v>
      </c>
    </row>
    <row r="61" spans="4:32" x14ac:dyDescent="0.35">
      <c r="F61" s="34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AB61" t="s">
        <v>567</v>
      </c>
      <c r="AC61">
        <f ca="1">$G$14+0.150390625</f>
        <v>1.5352211731229386</v>
      </c>
      <c r="AD61">
        <f>CHOOSE(属性开关!$X$53+1,正常!AQ72,正常!AH72)</f>
        <v>0.69999999999999984</v>
      </c>
    </row>
    <row r="62" spans="4:32" x14ac:dyDescent="0.35">
      <c r="F62" s="34"/>
      <c r="AB62" t="s">
        <v>568</v>
      </c>
      <c r="AC62">
        <f ca="1">$L$14+0.099609375</f>
        <v>1.3649086731229385</v>
      </c>
      <c r="AD62">
        <f>CHOOSE(属性开关!$X$53+1,正常!AQ73,正常!AH73)</f>
        <v>0</v>
      </c>
    </row>
    <row r="63" spans="4:32" x14ac:dyDescent="0.35">
      <c r="F63" s="34"/>
      <c r="H63">
        <f ca="1">(INT(H$6*$E18+H$7*($C$8+$C$9)/2+H$8)*(H$14+H$15)*$D$21*IF(COUNTIF($F18,"*雷*")&gt;0,H$17*(H$13*0.25+H$16*(H$10+属性开关!$X$56)+1-H$16-H$13-H$12),H$11*(H$13*0.25+H$9*H$10+1-H$9-H$13-H$12))/$E$2*(1-(3)/(3+2*$D$33)/(3+$D$33))+INT(H$6*$E18+H$7*($C$8+$C$9)/2+H$8)*(H$14+$D$38)*$D$21*IF(COUNTIF($F18,"*雷*")&gt;0,H$17*(H$13*0.25+H$16*(H$10+属性开关!$X$56)+1-H$16-H$13-H$12),H$11*(H$13*0.25+H$9*H$10+1-H$9-H$13-H$12))/$E$2*((0)/(3+2*$D$33)/(3+$D$33)))*IF(COUNTIF(INDIRECT(ADDRESS(ROW(),6)),"*雷*")&gt;0,$B$21/$D$21,1)*(1+大附魔数值!$O$10*21/1024)</f>
        <v>105301.46563500322</v>
      </c>
      <c r="AB63" t="s">
        <v>569</v>
      </c>
      <c r="AC63">
        <f ca="1">$L$14+0.0498046875</f>
        <v>1.3151039856229385</v>
      </c>
      <c r="AD63">
        <f>CHOOSE(属性开关!$X$53+1,正常!AQ74,正常!AH74)</f>
        <v>1</v>
      </c>
    </row>
    <row r="64" spans="4:32" x14ac:dyDescent="0.35">
      <c r="F64" s="20"/>
      <c r="H64">
        <f ca="1">(INT(H$6*$E19+H$7*($C$8+$C$9)/2+H$8)*(H$14+H$15)*$D$21*IF(COUNTIF($F19,"*雷*")&gt;0,H$17*(H$13*0.25+H$16*(H$10+属性开关!$X$56)+1-H$16-H$13-H$12),H$11*(H$13*0.25+H$9*H$10+1-H$9-H$13-H$12))/$E$2*(1-(3)/(3+2*$D$33)/(3+$D$33))+INT(H$6*$E19+H$7*($C$8+$C$9)/2+H$8)*(H$14+$D$38)*$D$21*IF(COUNTIF($F19,"*雷*")&gt;0,H$17*(H$13*0.25+H$16*(H$10+属性开关!$X$56)+1-H$16-H$13-H$12),H$11*(H$13*0.25+H$9*H$10+1-H$9-H$13-H$12))/$E$2*((0)/(3+2*$D$33)/(3+$D$33)))*IF(COUNTIF(INDIRECT(ADDRESS(ROW(),6)),"*雷*")&gt;0,$B$21/$D$21,1)*(1+大附魔数值!$O$10*21/1024)</f>
        <v>131886.49002620424</v>
      </c>
      <c r="AB64" t="s">
        <v>570</v>
      </c>
      <c r="AC64">
        <f ca="1">$L$14+0</f>
        <v>1.2652992981229385</v>
      </c>
      <c r="AD64">
        <f>CHOOSE(属性开关!$X$53+1,正常!AQ75,正常!AH75)</f>
        <v>0.48999999999999994</v>
      </c>
    </row>
    <row r="65" spans="7:47" x14ac:dyDescent="0.35">
      <c r="H65">
        <f ca="1">(INT(H$6*$E20+H$7*($C$8+$C$9)/2+H$8)*(H$14+H$15)*$D$21*IF(COUNTIF($F20,"*雷*")&gt;0,H$17*(H$13*0.25+H$16*(H$10+属性开关!$X$56)+1-H$16-H$13-H$12),H$11*(H$13*0.25+H$9*H$10+1-H$9-H$13-H$12))/$E$2*(1-(3)/(3+2*$D$33)/(3+$D$33))+INT(H$6*$E20+H$7*($C$8+$C$9)/2+H$8)*(H$14+$D$38)*$D$21*IF(COUNTIF($F20,"*雷*")&gt;0,H$17*(H$13*0.25+H$16*(H$10+属性开关!$X$56)+1-H$16-H$13-H$12),H$11*(H$13*0.25+H$9*H$10+1-H$9-H$13-H$12))/$E$2*((0)/(3+2*$D$33)/(3+$D$33)))*IF(COUNTIF(INDIRECT(ADDRESS(ROW(),6)),"*雷*")&gt;0,$B$21/$D$21,1)*(1+大附魔数值!$O$10*21/1024)</f>
        <v>105301.46563500322</v>
      </c>
      <c r="AB65" t="s">
        <v>571</v>
      </c>
      <c r="AC65">
        <f ca="1">$J$14+0.099609375</f>
        <v>1.4147133606229385</v>
      </c>
      <c r="AD65">
        <f>CHOOSE(属性开关!$X$53+1,正常!AQ76,正常!AH76)</f>
        <v>1</v>
      </c>
    </row>
    <row r="66" spans="7:47" x14ac:dyDescent="0.35">
      <c r="H66">
        <f ca="1">(INT(H$6*$E21+H$7*($C$8+$C$9)/2+H$8)*(H$14+H$15)*$D$21*IF(COUNTIF($F21,"*雷*")&gt;0,H$17*(H$13*0.25+H$16*(H$10+属性开关!$X$56)+1-H$16-H$13-H$12),H$11*(H$13*0.25+H$9*H$10+1-H$9-H$13-H$12))/$E$2*(1-(3)/(3+2*$D$33)/(3+$D$33))+INT(H$6*$E21+H$7*($C$8+$C$9)/2+H$8)*(H$14+$D$38)*$D$21*IF(COUNTIF($F21,"*雷*")&gt;0,H$17*(H$13*0.25+H$16*(H$10+属性开关!$X$56)+1-H$16-H$13-H$12),H$11*(H$13*0.25+H$9*H$10+1-H$9-H$13-H$12))/$E$2*((0)/(3+2*$D$33)/(3+$D$33)))*IF(COUNTIF(INDIRECT(ADDRESS(ROW(),6)),"*雷*")&gt;0,$B$21/$D$21,1)*(1+大附魔数值!$O$10*21/1024)</f>
        <v>131886.49002620424</v>
      </c>
      <c r="AB66" t="s">
        <v>572</v>
      </c>
      <c r="AC66">
        <f ca="1">$K$14+0.099609375</f>
        <v>1.3649086731229385</v>
      </c>
      <c r="AD66">
        <f>CHOOSE(属性开关!$X$53+1,正常!AQ77,正常!AH77)</f>
        <v>0.48999999999999994</v>
      </c>
    </row>
    <row r="67" spans="7:47" x14ac:dyDescent="0.35">
      <c r="H67">
        <f ca="1">(INT(H$6*$E22+H$7*($C$8+$C$9)/2+H$8)*(H$14+H$15)*$D$21*IF(COUNTIF($F22,"*雷*")&gt;0,H$17*(H$13*0.25+H$16*(H$10+属性开关!$X$56)+1-H$16-H$13-H$12),H$11*(H$13*0.25+H$9*H$10+1-H$9-H$13-H$12))/$E$2*(1-(3)/(3+2*$D$33)/(3+$D$33))+INT(H$6*$E22+H$7*($C$8+$C$9)/2+H$8)*(H$14+$D$38)*$D$21*IF(COUNTIF($F22,"*雷*")&gt;0,H$17*(H$13*0.25+H$16*(H$10+属性开关!$X$56)+1-H$16-H$13-H$12),H$11*(H$13*0.25+H$9*H$10+1-H$9-H$13-H$12))/$E$2*((0)/(3+2*$D$33)/(3+$D$33)))*IF(COUNTIF(INDIRECT(ADDRESS(ROW(),6)),"*雷*")&gt;0,$B$21/$D$21,1)*(1+大附魔数值!$O$10*21/1024)</f>
        <v>105301.46563500322</v>
      </c>
    </row>
    <row r="68" spans="7:47" x14ac:dyDescent="0.35">
      <c r="H68">
        <f ca="1">(INT(H$6*$E23+H$7*($C$8+$C$9)/2+H$8)*(H$14+H$15)*$D$21*IF(COUNTIF($F23,"*雷*")&gt;0,H$17*(H$13*0.25+H$16*(H$10+属性开关!$X$56)+1-H$16-H$13-H$12),H$11*(H$13*0.25+H$9*H$10+1-H$9-H$13-H$12))/$E$2*(1-(3)/(3+2*$D$33)/(3+$D$33))+INT(H$6*$E23+H$7*($C$8+$C$9)/2+H$8)*(H$14+$D$38)*$D$21*IF(COUNTIF($F23,"*雷*")&gt;0,H$17*(H$13*0.25+H$16*(H$10+属性开关!$X$56)+1-H$16-H$13-H$12),H$11*(H$13*0.25+H$9*H$10+1-H$9-H$13-H$12))/$E$2*((0)/(3+2*$D$33)/(3+$D$33)))*IF(COUNTIF(INDIRECT(ADDRESS(ROW(),6)),"*雷*")&gt;0,$B$21/$D$21,1)*(1+大附魔数值!$O$10*21/1024)</f>
        <v>105301.46563500322</v>
      </c>
      <c r="AB68" s="47" t="s">
        <v>245</v>
      </c>
      <c r="AC68" s="48">
        <f ca="1">SUMPRODUCT(AC62:AC64,AD62:AD64)/($L$14+$L$15)</f>
        <v>1.4177510040108612</v>
      </c>
      <c r="AD68">
        <f ca="1">AC68+AC69+AC70+AC71</f>
        <v>7.1675467523958414</v>
      </c>
      <c r="AI68" s="34"/>
      <c r="AJ68" s="34"/>
      <c r="AK68" s="34"/>
      <c r="AL68" s="34"/>
      <c r="AM68" s="34"/>
      <c r="AN68" s="34"/>
      <c r="AO68" s="34"/>
      <c r="AP68" s="34"/>
      <c r="AU68" s="34"/>
    </row>
    <row r="69" spans="7:47" x14ac:dyDescent="0.35">
      <c r="H69">
        <f ca="1">(INT(H$6*$E24+H$7*($C$8+$C$9)/2+H$8)*(H$14+H$15)*$D$21*IF(COUNTIF($F24,"*雷*")&gt;0,H$17*(H$13*0.25+H$16*(H$10+属性开关!$X$56)+1-H$16-H$13-H$12),H$11*(H$13*0.25+H$9*H$10+1-H$9-H$13-H$12))/$E$2*(1-(3)/(3+2*$D$33)/(3+$D$33))+INT(H$6*$E24+H$7*($C$8+$C$9)/2+H$8)*(H$14+$D$38)*$D$21*IF(COUNTIF($F24,"*雷*")&gt;0,H$17*(H$13*0.25+H$16*(H$10+属性开关!$X$56)+1-H$16-H$13-H$12),H$11*(H$13*0.25+H$9*H$10+1-H$9-H$13-H$12))/$E$2*((0)/(3+2*$D$33)/(3+$D$33)))*IF(COUNTIF(INDIRECT(ADDRESS(ROW(),6)),"*雷*")&gt;0,$B$21/$D$21,1)*(1+大附魔数值!$O$10*21/1024)</f>
        <v>131886.49002620424</v>
      </c>
      <c r="AB69" s="47" t="s">
        <v>277</v>
      </c>
      <c r="AC69" s="48">
        <f ca="1">SUMPRODUCT(AC58:AC61,AD58:AD61)/($G$14+$G$15)</f>
        <v>4.293427471775658</v>
      </c>
    </row>
    <row r="70" spans="7:47" x14ac:dyDescent="0.35">
      <c r="H70">
        <f ca="1">(INT(H$6*$E25+H$7*($C$8+$C$9)/2+H$8)*(H$14+H$15)*$D$21*IF(COUNTIF($F25,"*雷*")&gt;0,H$17*(H$13*0.25+H$16*(H$10+属性开关!$X$56)+1-H$16-H$13-H$12),H$11*(H$13*0.25+H$9*H$10+1-H$9-H$13-H$12))/$E$2*(1-(3)/(3+2*$D$33)/(3+$D$33))+INT(H$6*$E25+H$7*($C$8+$C$9)/2+H$8)*(H$14+$D$38)*$D$21*IF(COUNTIF($F25,"*雷*")&gt;0,H$17*(H$13*0.25+H$16*(H$10+属性开关!$X$56)+1-H$16-H$13-H$12),H$11*(H$13*0.25+H$9*H$10+1-H$9-H$13-H$12))/$E$2*((0)/(3+2*$D$33)/(3+$D$33)))*IF(COUNTIF(INDIRECT(ADDRESS(ROW(),6)),"*雷*")&gt;0,$B$21/$D$21,1)*(1+大附魔数值!$O$10*21/1024)</f>
        <v>105301.46563500322</v>
      </c>
      <c r="AB70" s="47" t="s">
        <v>278</v>
      </c>
      <c r="AC70" s="48">
        <f ca="1">AD65*AC65/($J$14+$J$15)</f>
        <v>1</v>
      </c>
    </row>
    <row r="71" spans="7:47" x14ac:dyDescent="0.35">
      <c r="H71">
        <f ca="1">(INT(H$6*$E26+H$7*($C$8+$C$9)/2+H$8)*(H$14+H$15)*$D$21*IF(COUNTIF($F47,"*雷*")&gt;0,H$17*(H$13*0.25+H$16*(H$10+属性开关!$X$56)+1-H$16-H$13-H$12),H$11*(H$13*0.25+H$9*H$10+1-H$9-H$13-H$12))/$E$2*(1-(3)/(3+2*$D$33)/(3+$D$33))+INT(H$6*$E26+H$7*($C$8+$C$9)/2+H$8)*(H$14+$D$38)*$D$21*IF(COUNTIF($F47,"*雷*")&gt;0,H$17*(H$13*0.25+H$16*(H$10+属性开关!$X$56)+1-H$16-H$13-H$12),H$11*(H$13*0.25+H$9*H$10+1-H$9-H$13-H$12))/$E$2*((0)/(3+2*$D$33)/(3+$D$33)))*IF(COUNTIF(INDIRECT(ADDRESS(ROW(),6)),"*雷*")&gt;0,$B$21/$D$21,1)*(1+大附魔数值!$O$10*21/1024)</f>
        <v>131886.49002620424</v>
      </c>
      <c r="AB71" s="47" t="s">
        <v>279</v>
      </c>
      <c r="AC71" s="48">
        <f ca="1">AD66*AC66/($K$14+$K$15)</f>
        <v>0.456368276609322</v>
      </c>
    </row>
    <row r="74" spans="7:47" x14ac:dyDescent="0.35">
      <c r="AB74" t="s">
        <v>564</v>
      </c>
      <c r="AC74">
        <f ca="1">$G$14+0.25</f>
        <v>1.6348305481229386</v>
      </c>
      <c r="AD74">
        <f>CHOOSE(属性开关!$X$53+1,正常!AT69,正常!AS69)</f>
        <v>2.8185714285714285</v>
      </c>
      <c r="AE74">
        <f>SUM(AD74:AD82)</f>
        <v>7.2471428571428573</v>
      </c>
    </row>
    <row r="75" spans="7:47" x14ac:dyDescent="0.35">
      <c r="G75" s="20"/>
      <c r="H75" s="20"/>
      <c r="I75" s="20"/>
      <c r="AB75" t="s">
        <v>565</v>
      </c>
      <c r="AC75" s="36">
        <f ca="1">$G$14+D38+属性开关!X52*205/1024</f>
        <v>1.7852211731229386</v>
      </c>
      <c r="AD75">
        <f>CHOOSE(属性开关!$X$53+1,正常!AT70,正常!AS70)</f>
        <v>1</v>
      </c>
    </row>
    <row r="76" spans="7:47" x14ac:dyDescent="0.35">
      <c r="O76" s="39"/>
      <c r="P76" s="39"/>
      <c r="Q76" s="39"/>
      <c r="R76" s="39"/>
      <c r="AB76" t="s">
        <v>566</v>
      </c>
      <c r="AC76">
        <f ca="1">$G$14+0.2001953125</f>
        <v>1.5850258606229386</v>
      </c>
      <c r="AD76">
        <f>CHOOSE(属性开关!$X$53+1,正常!AT71,正常!AS71)</f>
        <v>0.42857142857142855</v>
      </c>
    </row>
    <row r="77" spans="7:47" x14ac:dyDescent="0.35">
      <c r="I77" s="34"/>
      <c r="J77" s="34"/>
      <c r="O77" s="39"/>
      <c r="P77" s="39"/>
      <c r="Q77" s="39"/>
      <c r="R77" s="39"/>
      <c r="AB77" t="s">
        <v>567</v>
      </c>
      <c r="AC77">
        <f ca="1">$G$14+0.150390625</f>
        <v>1.5352211731229386</v>
      </c>
      <c r="AD77">
        <f>CHOOSE(属性开关!$X$53+1,正常!AT72,正常!AS72)</f>
        <v>0</v>
      </c>
    </row>
    <row r="78" spans="7:47" x14ac:dyDescent="0.35">
      <c r="G78" s="34"/>
      <c r="H78" s="34"/>
      <c r="I78" s="20"/>
      <c r="P78" s="39"/>
      <c r="AB78" t="s">
        <v>568</v>
      </c>
      <c r="AC78">
        <f ca="1">$L$14+0.099609375</f>
        <v>1.3649086731229385</v>
      </c>
      <c r="AD78">
        <f>CHOOSE(属性开关!$X$53+1,正常!AT73,正常!AS73)</f>
        <v>1</v>
      </c>
    </row>
    <row r="79" spans="7:47" x14ac:dyDescent="0.35">
      <c r="G79" s="34"/>
      <c r="H79" s="34"/>
      <c r="I79" s="20"/>
      <c r="M79" s="34"/>
      <c r="N79" s="34"/>
      <c r="O79" s="34"/>
      <c r="AB79" t="s">
        <v>569</v>
      </c>
      <c r="AC79">
        <f ca="1">$L$14+0.0498046875</f>
        <v>1.3151039856229385</v>
      </c>
      <c r="AD79">
        <f>CHOOSE(属性开关!$X$53+1,正常!AT74,正常!AS74)</f>
        <v>1</v>
      </c>
    </row>
    <row r="80" spans="7:47" x14ac:dyDescent="0.35">
      <c r="AB80" t="s">
        <v>570</v>
      </c>
      <c r="AC80">
        <f ca="1">$L$14+0</f>
        <v>1.2652992981229385</v>
      </c>
      <c r="AD80">
        <f>CHOOSE(属性开关!$X$53+1,正常!AT75,正常!AS75)</f>
        <v>0</v>
      </c>
    </row>
    <row r="81" spans="8:30" x14ac:dyDescent="0.35">
      <c r="AB81" t="s">
        <v>571</v>
      </c>
      <c r="AC81">
        <f ca="1">$J$14+0.099609375</f>
        <v>1.4147133606229385</v>
      </c>
      <c r="AD81">
        <f>CHOOSE(属性开关!$X$53+1,正常!AT76,正常!AS76)</f>
        <v>1</v>
      </c>
    </row>
    <row r="82" spans="8:30" x14ac:dyDescent="0.35">
      <c r="AB82" t="s">
        <v>572</v>
      </c>
      <c r="AC82">
        <f ca="1">$K$14+0.099609375</f>
        <v>1.3649086731229385</v>
      </c>
      <c r="AD82">
        <f>CHOOSE(属性开关!$X$53+1,正常!AT77,正常!AS77)</f>
        <v>0</v>
      </c>
    </row>
    <row r="84" spans="8:30" x14ac:dyDescent="0.35">
      <c r="AB84" s="47" t="s">
        <v>245</v>
      </c>
      <c r="AC84" s="48">
        <f ca="1">SUMPRODUCT(AC78:AC80,AD78:AD80)/($L$14+$L$15)</f>
        <v>1.9635106080862934</v>
      </c>
    </row>
    <row r="85" spans="8:30" x14ac:dyDescent="0.35">
      <c r="AB85" s="47" t="s">
        <v>277</v>
      </c>
      <c r="AC85" s="48">
        <f ca="1">SUMPRODUCT(AC74:AC77,AD74:AD77)/($G$14+$G$15)</f>
        <v>4.3260781076963388</v>
      </c>
    </row>
    <row r="86" spans="8:30" x14ac:dyDescent="0.35">
      <c r="AB86" s="47" t="s">
        <v>278</v>
      </c>
      <c r="AC86" s="48">
        <f ca="1">AD81*AC81/($J$14+$J$15)</f>
        <v>1</v>
      </c>
    </row>
    <row r="87" spans="8:30" x14ac:dyDescent="0.35">
      <c r="AB87" s="47" t="s">
        <v>279</v>
      </c>
      <c r="AC87" s="48">
        <f ca="1">AD82*AC82/($K$14+$K$15)</f>
        <v>0</v>
      </c>
    </row>
    <row r="89" spans="8:30" x14ac:dyDescent="0.35">
      <c r="H89" s="21"/>
    </row>
    <row r="90" spans="8:30" x14ac:dyDescent="0.35">
      <c r="H90" s="22"/>
    </row>
    <row r="91" spans="8:30" x14ac:dyDescent="0.35">
      <c r="H91" s="39"/>
    </row>
    <row r="92" spans="8:30" x14ac:dyDescent="0.35">
      <c r="H92" s="39"/>
    </row>
    <row r="93" spans="8:30" x14ac:dyDescent="0.35">
      <c r="H93" s="39"/>
    </row>
    <row r="95" spans="8:30" x14ac:dyDescent="0.35">
      <c r="H95" s="21"/>
    </row>
    <row r="96" spans="8:30" x14ac:dyDescent="0.35">
      <c r="H96" s="21"/>
    </row>
  </sheetData>
  <sheetProtection selectLockedCells="1" selectUnlockedCells="1"/>
  <customSheetViews>
    <customSheetView guid="{1FA5F82F-E003-4967-9CFA-E539A86F7F8F}" topLeftCell="Q19">
      <selection activeCell="AA36" sqref="AA36:AF44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6CA0-4381-49F2-8B86-D06A7C75DAEC}">
  <dimension ref="A1:AG635"/>
  <sheetViews>
    <sheetView workbookViewId="0">
      <selection activeCell="G34" sqref="G34:K34"/>
    </sheetView>
  </sheetViews>
  <sheetFormatPr defaultColWidth="8.90625" defaultRowHeight="14.4" x14ac:dyDescent="0.35"/>
  <cols>
    <col min="1" max="10" width="8.90625" style="105"/>
    <col min="11" max="11" width="9.81640625" style="105" bestFit="1" customWidth="1"/>
    <col min="12" max="12" width="9.81640625" style="105" customWidth="1"/>
    <col min="13" max="24" width="8.90625" style="105"/>
    <col min="25" max="25" width="8.453125" style="105" bestFit="1" customWidth="1"/>
    <col min="26" max="16384" width="8.90625" style="105"/>
  </cols>
  <sheetData>
    <row r="1" spans="1:30" x14ac:dyDescent="0.35">
      <c r="A1" s="105" t="s">
        <v>655</v>
      </c>
      <c r="B1" s="105" t="s">
        <v>656</v>
      </c>
      <c r="C1" s="105" t="s">
        <v>657</v>
      </c>
      <c r="D1" s="105" t="s">
        <v>658</v>
      </c>
      <c r="E1" s="105" t="s">
        <v>659</v>
      </c>
      <c r="F1" s="105" t="s">
        <v>660</v>
      </c>
      <c r="G1" s="105" t="s">
        <v>661</v>
      </c>
      <c r="H1" s="105" t="s">
        <v>662</v>
      </c>
      <c r="I1" s="105" t="s">
        <v>663</v>
      </c>
      <c r="J1" s="105" t="s">
        <v>746</v>
      </c>
      <c r="K1" s="105" t="s">
        <v>664</v>
      </c>
      <c r="L1" s="105" t="s">
        <v>665</v>
      </c>
      <c r="M1" s="105" t="s">
        <v>666</v>
      </c>
      <c r="N1" s="105" t="s">
        <v>667</v>
      </c>
      <c r="O1" s="105" t="s">
        <v>668</v>
      </c>
      <c r="P1" s="105" t="s">
        <v>669</v>
      </c>
      <c r="Q1" s="105" t="s">
        <v>670</v>
      </c>
      <c r="R1" s="105" t="s">
        <v>671</v>
      </c>
      <c r="S1" s="105" t="s">
        <v>1327</v>
      </c>
      <c r="U1" s="105" t="s">
        <v>672</v>
      </c>
      <c r="V1" s="105" t="s">
        <v>673</v>
      </c>
      <c r="W1" s="105">
        <v>180</v>
      </c>
      <c r="X1" s="105">
        <f>IFERROR(INDEX(循环!$W$1:$W$3,MATCH(配装页面!$AE$14,循环!V1:V3,0),1),300)</f>
        <v>300</v>
      </c>
      <c r="Y1" s="105">
        <v>5</v>
      </c>
      <c r="AB1" s="105">
        <f>MAX(0,(IF(AND(CHOOSE(大附魔数值!F19,COUNTIF(配装页面!G34,"*炎枪重黎*"),COUNTIF(导出数据处理!D22,"*炎枪重黎*"))=0,配装页面!AE19="全程用"),1,MATCH(配装页面!AE19,属性开关!Y102:Y104,0))-2)*INT((IFERROR(INDEX(循环!$W$1:$W$3,MATCH(配装页面!$AE$14,循环!V1:V3,0),1),300)-20)/120))*(3+1.5+8)</f>
        <v>0</v>
      </c>
    </row>
    <row r="2" spans="1:30" x14ac:dyDescent="0.35">
      <c r="C2" s="105">
        <v>2</v>
      </c>
      <c r="D2" s="105">
        <v>0</v>
      </c>
      <c r="E2" s="105">
        <v>0</v>
      </c>
      <c r="F2" s="105">
        <v>0</v>
      </c>
      <c r="G2" s="105">
        <v>0</v>
      </c>
      <c r="H2" s="105">
        <v>0</v>
      </c>
      <c r="I2" s="105">
        <v>0</v>
      </c>
      <c r="J2" s="105">
        <f>V11</f>
        <v>0</v>
      </c>
      <c r="K2" s="105">
        <v>0</v>
      </c>
      <c r="L2" s="105">
        <v>0</v>
      </c>
      <c r="M2" s="105">
        <v>0</v>
      </c>
      <c r="N2" s="105">
        <v>0</v>
      </c>
      <c r="O2" s="105">
        <v>0</v>
      </c>
      <c r="P2" s="105">
        <v>0</v>
      </c>
      <c r="Q2" s="105">
        <v>0</v>
      </c>
      <c r="R2" s="105">
        <v>0</v>
      </c>
      <c r="S2" s="105">
        <v>0</v>
      </c>
      <c r="U2" s="105" t="str">
        <f>IF(AND(A2&gt;$X$1,S2&gt;$X$3,P2=0,R2=0),0,IF($V$8=1,IF(H2=0,IF(AND($V$8=1,$V$6=1),"突渊","突"),"")&amp;IF(AND(E2=0,$V$6=1,$V$8=0,OR(AND(C2&gt;0,OR(H2&gt;14,H2=0),O2=0),F2=0)),"渊","")&amp;IF(AND(OR(AND(G2=0,OR(C2=0,AND(H2&gt;0,H2&lt;=14))),AND(G2=1,OR($V$7=0,N2=1))),F2=0),"雷","")&amp;IF(AND(S2&lt;=$X$3,K2=0,C2&gt;0,G2=0,AND(OR(E2&gt;14,E2=0),OR(H2&gt;14,H2=0)),O2=0,J2=0),"任",IF(AND(OR($V$6=0,R2=1),F2&lt;$V$4,G2=1,I2=0,$V$7=1),"乘","循环")),IF(AND(OR(C2=0,N2&gt;0,AND($V$7=0,L2&gt;0),$V$13=0),F2=0),IF($V$6=1,"渊雷","雷"),"")&amp;IF(AND(C2&gt;0,F2&lt;($V$4+$V$7*$V$4),L2=0,$V$13=1),"任",IF(AND(COUNTIF(B2,"*任*")&gt;0,F2&lt;$V$4,$V$7=1),"乘","循环"))))</f>
        <v>突渊任</v>
      </c>
      <c r="V2" s="105" t="s">
        <v>674</v>
      </c>
      <c r="W2" s="105">
        <v>300</v>
      </c>
      <c r="X2" s="105">
        <f ca="1">INDEX($A$3:$A$635,MATCH(0,$B$3:$B$635,0)-1,1)</f>
        <v>309.72250000000031</v>
      </c>
      <c r="Y2" s="105">
        <v>9</v>
      </c>
    </row>
    <row r="3" spans="1:30" x14ac:dyDescent="0.35">
      <c r="A3" s="105">
        <v>0</v>
      </c>
      <c r="B3" s="105" t="str">
        <f>IF(AND(A2&gt;$X$1,P2=0,R2=0),0,IF(AND(G2=0,H2=0),"突","")&amp;IF($V$8=0,IF(AND(OR($V$13=0,AND(K2=0,C2&lt;1),AND(K2&gt;0,OR(M2&gt;0,$V$7=0))),$V$6=1,E2=0),"渊","")&amp;IF(AND(OR($V$13=0,AND(K2=0,C2&lt;1),AND(K2&gt;0,OR(M2&gt;0,$V$7=0))),F2=0),"雷","")&amp;IF(AND(C2&gt;0,$V$13=1,E2=0,F2=0,K2=0),"任",IF(AND(G2=1,$V$7=1,I2=0),"乘","循环")),IF(AND($V$6=1,E2=0),"渊","")&amp;IF(AND(OR($V$13=0,AND(K2=0,C2&lt;1),AND(K2&gt;0,OR(M2&gt;0,$V$7=0))),F2=0),"雷","")&amp;IF(AND(C2&gt;0,L2=0,E2=0),"任",IF(AND(G2=1,$V$7=1,I2=0),"乘","循环"))))</f>
        <v>突渊任</v>
      </c>
      <c r="C3" s="105">
        <f>IF(COUNTIF(B3,"*任*"),C2-1,IF(AND(D2&lt;&gt;0,D2&lt;$V$4),MIN(2,C2+1),C2))</f>
        <v>1</v>
      </c>
      <c r="D3" s="105">
        <f ca="1">IF(AND(D2&lt;$V$4,C2&lt;2),D2+$Y$6-$V$4,IF(AND(C2=2,COUNTIF(B3,"*任*")&gt;0),$Y$6-$V$4,MAX(0,D2-$V$4)))</f>
        <v>34.647500000000001</v>
      </c>
      <c r="E3" s="105">
        <f ca="1">IF(COUNTIF(B3,"*渊*")&gt;0,$Y$8-$V$4,MAX(0,E2-$V$4))</f>
        <v>30.647500000000001</v>
      </c>
      <c r="F3" s="105">
        <f ca="1">IF(COUNTIF(B3,"*雷*")&gt;0,$Y$9-$V$4,MAX(0,F2-$V$4))</f>
        <v>0</v>
      </c>
      <c r="G3" s="105">
        <f>IF(RIGHT(B3,1)="任",1,G2)</f>
        <v>1</v>
      </c>
      <c r="H3" s="105">
        <f ca="1">$Y$5-V4</f>
        <v>60.647500000000001</v>
      </c>
      <c r="I3" s="105">
        <f ca="1">IF(COUNTIF(B3,"*乘*")&gt;0,$Y$7-$V$4,MAX(0,I2-$V$4))</f>
        <v>0</v>
      </c>
      <c r="J3" s="105">
        <f>IF(H2&lt;1,$V$16,MAX(0,J2-1))*$V$11</f>
        <v>0</v>
      </c>
      <c r="K3" s="105">
        <f ca="1">IF(COUNTIF(B3,"*任*")&gt;0,$Z$6-$V$4+0.6875,MAX(0,K2-$V$4))</f>
        <v>14.335000000000001</v>
      </c>
      <c r="L3" s="105">
        <f ca="1">IF(K3+K2&gt;0,1,0)</f>
        <v>1</v>
      </c>
      <c r="M3" s="105">
        <f ca="1">IF(COUNTIF(B3,"*乘*")&gt;0,$Z$7-$V$4,MAX(0,M2-$V$4))</f>
        <v>0</v>
      </c>
      <c r="N3" s="105">
        <f ca="1">IF(M3+M2&gt;0,1,0)</f>
        <v>0</v>
      </c>
      <c r="O3" s="105">
        <f ca="1">IF(COUNTIF(B3,"*雷*")&gt;0,$Z$9-$V$4,MAX(0,O2-$V$4))</f>
        <v>0</v>
      </c>
      <c r="P3" s="105">
        <f ca="1">IF(O3+O2&gt;0,1,0)</f>
        <v>0</v>
      </c>
      <c r="Q3" s="105">
        <f ca="1">IF(COUNTIF(B3,"*渊*")&gt;0,$Z$8-$V$4,MAX(0,Q2-$V$4))</f>
        <v>8.6475000000000009</v>
      </c>
      <c r="R3" s="105">
        <f ca="1">IF(Q3+Q2&gt;0,1,0)</f>
        <v>1</v>
      </c>
      <c r="S3" s="105">
        <f>IF(COUNTIF(B3,"*雷*")&gt;0,S2+1,S2)</f>
        <v>0</v>
      </c>
      <c r="V3" s="105" t="s">
        <v>675</v>
      </c>
      <c r="W3" s="105">
        <v>600</v>
      </c>
      <c r="X3" s="105">
        <f>INDEX($Y$1:$Y$3,MATCH($X$1,$W$1:$W$3,0),1)</f>
        <v>9</v>
      </c>
      <c r="Y3" s="105">
        <v>18</v>
      </c>
    </row>
    <row r="4" spans="1:30" x14ac:dyDescent="0.35">
      <c r="A4" s="105">
        <f t="shared" ref="A4:A67" ca="1" si="0">$V$4+A3</f>
        <v>1.3525</v>
      </c>
      <c r="B4" s="105" t="str">
        <f t="shared" ref="B4:B67" ca="1" si="1">IF(AND(A3&gt;$X$1,P3=0,R3=0),0,IF(AND(G3=0,H3=0),"突","")&amp;IF($V$8=0,IF(AND(OR($V$13=0,AND(K3=0,C3&lt;1),AND(K3&gt;0,OR(M3&gt;0,$V$7=0))),$V$6=1,E3=0),"渊","")&amp;IF(AND(OR($V$13=0,AND(K3=0,C3&lt;1),AND(K3&gt;0,OR(M3&gt;0,$V$7=0))),F3=0),"雷","")&amp;IF(AND(C3&gt;0,$V$13=1,E3=0,F3=0,K3=0),"任",IF(AND(G3=1,$V$7=1,I3=0),"乘","循环")),IF(AND($V$6=1,E3=0),"渊","")&amp;IF(AND(OR($V$13=0,AND(K3=0,C3&lt;1),AND(K3&gt;0,OR(M3&gt;0,$V$7=0))),F3=0),"雷","")&amp;IF(AND(C3&gt;0,L3=0,E3=0),"任",IF(AND(G3=1,$V$7=1,I3=0),"乘","循环"))))</f>
        <v>雷循环</v>
      </c>
      <c r="C4" s="105">
        <f t="shared" ref="C4:C67" ca="1" si="2">IF(COUNTIF(B4,"*任*"),C3-1,IF(AND(D3&lt;&gt;0,D3&lt;$V$4),MIN(2,C3+1),C3))</f>
        <v>1</v>
      </c>
      <c r="D4" s="105">
        <f t="shared" ref="D4:D67" ca="1" si="3">IF(AND(D3&lt;$V$4,C3&lt;2),D3+$Y$6-$V$4,IF(AND(C3=2,COUNTIF(B4,"*任*")&gt;0),$Y$6-$V$4,MAX(0,D3-$V$4)))</f>
        <v>33.295000000000002</v>
      </c>
      <c r="E4" s="105">
        <f t="shared" ref="E4:E67" ca="1" si="4">IF(COUNTIF(B4,"*渊*")&gt;0,$Y$8-$V$4,MAX(0,E3-$V$4))</f>
        <v>29.295000000000002</v>
      </c>
      <c r="F4" s="105">
        <f t="shared" ref="F4:F67" ca="1" si="5">IF(COUNTIF(B4,"*雷*")&gt;0,$Y$9-$V$4,MAX(0,F3-$V$4))</f>
        <v>30.647500000000001</v>
      </c>
      <c r="G4" s="105">
        <f ca="1">IF(RIGHT(B4,1)="任",1,IF(OR($V$9=0,AND(K3&lt;$V$4,H3=0)),0,G3))</f>
        <v>1</v>
      </c>
      <c r="H4" s="105">
        <f ca="1">IF(COUNTIF(B4,"*突*")&gt;0,$Y$5-$V$4,MAX(0,H3-$V$4))</f>
        <v>59.295000000000002</v>
      </c>
      <c r="I4" s="105">
        <f t="shared" ref="I4:I67" ca="1" si="6">IF(COUNTIF(B4,"*乘*")&gt;0,$Y$7-$V$4,MAX(0,I3-$V$4))</f>
        <v>0</v>
      </c>
      <c r="J4" s="105">
        <f t="shared" ref="J4:J67" ca="1" si="7">IF(H3&lt;1,$V$16,MAX(0,J3-1))*$V$11</f>
        <v>0</v>
      </c>
      <c r="K4" s="105">
        <f t="shared" ref="K4:K67" ca="1" si="8">IF(COUNTIF(B4,"*任*")&gt;0,$Z$6-$V$4+0.6875,MAX(0,K3-$V$4))</f>
        <v>12.982500000000002</v>
      </c>
      <c r="L4" s="105">
        <f t="shared" ref="L4:N67" ca="1" si="9">IF(K4+K3&gt;0,1,0)</f>
        <v>1</v>
      </c>
      <c r="M4" s="105">
        <f t="shared" ref="M4:M67" ca="1" si="10">IF(COUNTIF(B4,"*乘*")&gt;0,$Z$7-$V$4,MAX(0,M3-$V$4))</f>
        <v>0</v>
      </c>
      <c r="N4" s="105">
        <f t="shared" ca="1" si="9"/>
        <v>0</v>
      </c>
      <c r="O4" s="105">
        <f t="shared" ref="O4:O67" ca="1" si="11">IF(COUNTIF(B4,"*雷*")&gt;0,$Z$9-$V$4,MAX(0,O3-$V$4))</f>
        <v>13.647500000000001</v>
      </c>
      <c r="P4" s="105">
        <f t="shared" ref="P4:P67" ca="1" si="12">IF(O4+O3&gt;0,1,0)</f>
        <v>1</v>
      </c>
      <c r="Q4" s="105">
        <f t="shared" ref="Q4:Q67" ca="1" si="13">IF(COUNTIF(B4,"*渊*")&gt;0,$Z$8-$V$4,MAX(0,Q3-$V$4))</f>
        <v>7.2950000000000008</v>
      </c>
      <c r="R4" s="105">
        <f t="shared" ref="R4:R67" ca="1" si="14">IF(Q4+Q3&gt;0,1,0)</f>
        <v>1</v>
      </c>
      <c r="S4" s="105">
        <f t="shared" ref="S4:S67" ca="1" si="15">IF(COUNTIF(B4,"*雷*")&gt;0,S3+1,S3)</f>
        <v>1</v>
      </c>
      <c r="U4" s="105" t="s">
        <v>676</v>
      </c>
      <c r="V4" s="105">
        <f ca="1">加速!E2</f>
        <v>1.3525</v>
      </c>
    </row>
    <row r="5" spans="1:30" x14ac:dyDescent="0.35">
      <c r="A5" s="105">
        <f t="shared" ca="1" si="0"/>
        <v>2.7050000000000001</v>
      </c>
      <c r="B5" s="105" t="str">
        <f t="shared" ca="1" si="1"/>
        <v>循环</v>
      </c>
      <c r="C5" s="105">
        <f t="shared" ca="1" si="2"/>
        <v>1</v>
      </c>
      <c r="D5" s="105">
        <f t="shared" ca="1" si="3"/>
        <v>31.942500000000003</v>
      </c>
      <c r="E5" s="105">
        <f t="shared" ca="1" si="4"/>
        <v>27.942500000000003</v>
      </c>
      <c r="F5" s="105">
        <f t="shared" ca="1" si="5"/>
        <v>29.295000000000002</v>
      </c>
      <c r="G5" s="105">
        <f t="shared" ref="G5:G68" ca="1" si="16">IF(RIGHT(B5,1)="任",1,IF(OR($V$9=0,AND(K4&lt;$V$4,H4=0)),0,G4))</f>
        <v>1</v>
      </c>
      <c r="H5" s="105">
        <f t="shared" ref="H5:H68" ca="1" si="17">IF(COUNTIF(B5,"*突*")&gt;0,$Y$5-$V$4,MAX(0,H4-$V$4))</f>
        <v>57.942500000000003</v>
      </c>
      <c r="I5" s="105">
        <f t="shared" ca="1" si="6"/>
        <v>0</v>
      </c>
      <c r="J5" s="105">
        <f t="shared" ca="1" si="7"/>
        <v>0</v>
      </c>
      <c r="K5" s="105">
        <f t="shared" ca="1" si="8"/>
        <v>11.630000000000003</v>
      </c>
      <c r="L5" s="105">
        <f t="shared" ca="1" si="9"/>
        <v>1</v>
      </c>
      <c r="M5" s="105">
        <f t="shared" ca="1" si="10"/>
        <v>0</v>
      </c>
      <c r="N5" s="105">
        <f t="shared" ca="1" si="9"/>
        <v>0</v>
      </c>
      <c r="O5" s="105">
        <f t="shared" ca="1" si="11"/>
        <v>12.295000000000002</v>
      </c>
      <c r="P5" s="105">
        <f t="shared" ca="1" si="12"/>
        <v>1</v>
      </c>
      <c r="Q5" s="105">
        <f t="shared" ca="1" si="13"/>
        <v>5.9425000000000008</v>
      </c>
      <c r="R5" s="105">
        <f t="shared" ca="1" si="14"/>
        <v>1</v>
      </c>
      <c r="S5" s="105">
        <f t="shared" ca="1" si="15"/>
        <v>1</v>
      </c>
      <c r="X5" s="105" t="s">
        <v>341</v>
      </c>
      <c r="Y5" s="105">
        <f>45+群侠万变*(15+2)</f>
        <v>62</v>
      </c>
    </row>
    <row r="6" spans="1:30" x14ac:dyDescent="0.35">
      <c r="A6" s="105">
        <f t="shared" ca="1" si="0"/>
        <v>4.0575000000000001</v>
      </c>
      <c r="B6" s="105" t="str">
        <f t="shared" ca="1" si="1"/>
        <v>循环</v>
      </c>
      <c r="C6" s="105">
        <f t="shared" ca="1" si="2"/>
        <v>1</v>
      </c>
      <c r="D6" s="105">
        <f t="shared" ca="1" si="3"/>
        <v>30.590000000000003</v>
      </c>
      <c r="E6" s="105">
        <f t="shared" ca="1" si="4"/>
        <v>26.590000000000003</v>
      </c>
      <c r="F6" s="105">
        <f t="shared" ca="1" si="5"/>
        <v>27.942500000000003</v>
      </c>
      <c r="G6" s="105">
        <f t="shared" ca="1" si="16"/>
        <v>1</v>
      </c>
      <c r="H6" s="105">
        <f t="shared" ca="1" si="17"/>
        <v>56.59</v>
      </c>
      <c r="I6" s="105">
        <f t="shared" ca="1" si="6"/>
        <v>0</v>
      </c>
      <c r="J6" s="105">
        <f t="shared" ca="1" si="7"/>
        <v>0</v>
      </c>
      <c r="K6" s="105">
        <f t="shared" ca="1" si="8"/>
        <v>10.277500000000003</v>
      </c>
      <c r="L6" s="105">
        <f t="shared" ca="1" si="9"/>
        <v>1</v>
      </c>
      <c r="M6" s="105">
        <f t="shared" ca="1" si="10"/>
        <v>0</v>
      </c>
      <c r="N6" s="105">
        <f t="shared" ca="1" si="9"/>
        <v>0</v>
      </c>
      <c r="O6" s="105">
        <f t="shared" ca="1" si="11"/>
        <v>10.942500000000003</v>
      </c>
      <c r="P6" s="105">
        <f t="shared" ca="1" si="12"/>
        <v>1</v>
      </c>
      <c r="Q6" s="105">
        <f t="shared" ca="1" si="13"/>
        <v>4.5900000000000007</v>
      </c>
      <c r="R6" s="105">
        <f t="shared" ca="1" si="14"/>
        <v>1</v>
      </c>
      <c r="S6" s="105">
        <f t="shared" ca="1" si="15"/>
        <v>1</v>
      </c>
      <c r="U6" s="105" t="s">
        <v>677</v>
      </c>
      <c r="V6" s="105">
        <f>属性开关!AB33+属性开关!AB30</f>
        <v>1</v>
      </c>
      <c r="X6" s="105" t="s">
        <v>678</v>
      </c>
      <c r="Y6" s="105">
        <f>40-V8*4</f>
        <v>36</v>
      </c>
      <c r="Z6" s="105">
        <v>15</v>
      </c>
    </row>
    <row r="7" spans="1:30" x14ac:dyDescent="0.35">
      <c r="A7" s="105">
        <f t="shared" ca="1" si="0"/>
        <v>5.41</v>
      </c>
      <c r="B7" s="105" t="str">
        <f t="shared" ca="1" si="1"/>
        <v>循环</v>
      </c>
      <c r="C7" s="105">
        <f t="shared" ca="1" si="2"/>
        <v>1</v>
      </c>
      <c r="D7" s="105">
        <f t="shared" ca="1" si="3"/>
        <v>29.237500000000004</v>
      </c>
      <c r="E7" s="105">
        <f t="shared" ca="1" si="4"/>
        <v>25.237500000000004</v>
      </c>
      <c r="F7" s="105">
        <f t="shared" ca="1" si="5"/>
        <v>26.590000000000003</v>
      </c>
      <c r="G7" s="105">
        <f t="shared" ca="1" si="16"/>
        <v>1</v>
      </c>
      <c r="H7" s="105">
        <f t="shared" ca="1" si="17"/>
        <v>55.237500000000004</v>
      </c>
      <c r="I7" s="105">
        <f t="shared" ca="1" si="6"/>
        <v>0</v>
      </c>
      <c r="J7" s="105">
        <f t="shared" ca="1" si="7"/>
        <v>0</v>
      </c>
      <c r="K7" s="105">
        <f t="shared" ca="1" si="8"/>
        <v>8.9250000000000043</v>
      </c>
      <c r="L7" s="105">
        <f t="shared" ca="1" si="9"/>
        <v>1</v>
      </c>
      <c r="M7" s="105">
        <f t="shared" ca="1" si="10"/>
        <v>0</v>
      </c>
      <c r="N7" s="105">
        <f t="shared" ca="1" si="9"/>
        <v>0</v>
      </c>
      <c r="O7" s="105">
        <f t="shared" ca="1" si="11"/>
        <v>9.5900000000000034</v>
      </c>
      <c r="P7" s="105">
        <f t="shared" ca="1" si="12"/>
        <v>1</v>
      </c>
      <c r="Q7" s="105">
        <f t="shared" ca="1" si="13"/>
        <v>3.2375000000000007</v>
      </c>
      <c r="R7" s="105">
        <f t="shared" ca="1" si="14"/>
        <v>1</v>
      </c>
      <c r="S7" s="105">
        <f t="shared" ca="1" si="15"/>
        <v>1</v>
      </c>
      <c r="U7" s="105" t="s">
        <v>679</v>
      </c>
      <c r="V7" s="105">
        <f>属性开关!AB31</f>
        <v>0</v>
      </c>
      <c r="X7" s="105" t="s">
        <v>680</v>
      </c>
      <c r="Y7" s="105">
        <v>30</v>
      </c>
      <c r="Z7" s="105">
        <v>10</v>
      </c>
    </row>
    <row r="8" spans="1:30" x14ac:dyDescent="0.35">
      <c r="A8" s="105">
        <f t="shared" ca="1" si="0"/>
        <v>6.7625000000000002</v>
      </c>
      <c r="B8" s="105" t="str">
        <f t="shared" ca="1" si="1"/>
        <v>循环</v>
      </c>
      <c r="C8" s="105">
        <f t="shared" ca="1" si="2"/>
        <v>1</v>
      </c>
      <c r="D8" s="105">
        <f t="shared" ca="1" si="3"/>
        <v>27.885000000000005</v>
      </c>
      <c r="E8" s="105">
        <f t="shared" ca="1" si="4"/>
        <v>23.885000000000005</v>
      </c>
      <c r="F8" s="105">
        <f t="shared" ca="1" si="5"/>
        <v>25.237500000000004</v>
      </c>
      <c r="G8" s="105">
        <f t="shared" ca="1" si="16"/>
        <v>1</v>
      </c>
      <c r="H8" s="105">
        <f t="shared" ca="1" si="17"/>
        <v>53.885000000000005</v>
      </c>
      <c r="I8" s="105">
        <f t="shared" ca="1" si="6"/>
        <v>0</v>
      </c>
      <c r="J8" s="105">
        <f t="shared" ca="1" si="7"/>
        <v>0</v>
      </c>
      <c r="K8" s="105">
        <f t="shared" ca="1" si="8"/>
        <v>7.5725000000000042</v>
      </c>
      <c r="L8" s="105">
        <f t="shared" ca="1" si="9"/>
        <v>1</v>
      </c>
      <c r="M8" s="105">
        <f t="shared" ca="1" si="10"/>
        <v>0</v>
      </c>
      <c r="N8" s="105">
        <f t="shared" ca="1" si="9"/>
        <v>0</v>
      </c>
      <c r="O8" s="105">
        <f t="shared" ca="1" si="11"/>
        <v>8.2375000000000043</v>
      </c>
      <c r="P8" s="105">
        <f t="shared" ca="1" si="12"/>
        <v>1</v>
      </c>
      <c r="Q8" s="105">
        <f t="shared" ca="1" si="13"/>
        <v>1.8850000000000007</v>
      </c>
      <c r="R8" s="105">
        <f t="shared" ca="1" si="14"/>
        <v>1</v>
      </c>
      <c r="S8" s="105">
        <f t="shared" ca="1" si="15"/>
        <v>1</v>
      </c>
      <c r="U8" s="105" t="s">
        <v>681</v>
      </c>
      <c r="V8" s="105">
        <f>IF(属性开关!AB32+属性开关!AB27&gt;0,1,0)</f>
        <v>1</v>
      </c>
      <c r="X8" s="105" t="s">
        <v>671</v>
      </c>
      <c r="Y8" s="105">
        <v>32</v>
      </c>
      <c r="Z8" s="105">
        <f ca="1">10-大附魔数值!S21*(V4-0.02)-属性开关!$AB$28*0.5</f>
        <v>10</v>
      </c>
    </row>
    <row r="9" spans="1:30" x14ac:dyDescent="0.35">
      <c r="A9" s="105">
        <f t="shared" ca="1" si="0"/>
        <v>8.1150000000000002</v>
      </c>
      <c r="B9" s="105" t="str">
        <f t="shared" ca="1" si="1"/>
        <v>循环</v>
      </c>
      <c r="C9" s="105">
        <f t="shared" ca="1" si="2"/>
        <v>1</v>
      </c>
      <c r="D9" s="105">
        <f t="shared" ca="1" si="3"/>
        <v>26.532500000000006</v>
      </c>
      <c r="E9" s="105">
        <f t="shared" ca="1" si="4"/>
        <v>22.532500000000006</v>
      </c>
      <c r="F9" s="105">
        <f t="shared" ca="1" si="5"/>
        <v>23.885000000000005</v>
      </c>
      <c r="G9" s="105">
        <f t="shared" ca="1" si="16"/>
        <v>1</v>
      </c>
      <c r="H9" s="105">
        <f t="shared" ca="1" si="17"/>
        <v>52.532500000000006</v>
      </c>
      <c r="I9" s="105">
        <f t="shared" ca="1" si="6"/>
        <v>0</v>
      </c>
      <c r="J9" s="105">
        <f t="shared" ca="1" si="7"/>
        <v>0</v>
      </c>
      <c r="K9" s="105">
        <f t="shared" ca="1" si="8"/>
        <v>6.2200000000000042</v>
      </c>
      <c r="L9" s="105">
        <f t="shared" ca="1" si="9"/>
        <v>1</v>
      </c>
      <c r="M9" s="105">
        <f t="shared" ca="1" si="10"/>
        <v>0</v>
      </c>
      <c r="N9" s="105">
        <f t="shared" ca="1" si="9"/>
        <v>0</v>
      </c>
      <c r="O9" s="105">
        <f t="shared" ca="1" si="11"/>
        <v>6.8850000000000042</v>
      </c>
      <c r="P9" s="105">
        <f t="shared" ca="1" si="12"/>
        <v>1</v>
      </c>
      <c r="Q9" s="105">
        <f t="shared" ca="1" si="13"/>
        <v>0.53250000000000064</v>
      </c>
      <c r="R9" s="105">
        <f t="shared" ca="1" si="14"/>
        <v>1</v>
      </c>
      <c r="S9" s="105">
        <f t="shared" ca="1" si="15"/>
        <v>1</v>
      </c>
      <c r="U9" s="105" t="s">
        <v>682</v>
      </c>
      <c r="V9" s="105">
        <f>1-属性开关!AB34</f>
        <v>1</v>
      </c>
      <c r="X9" s="105" t="s">
        <v>683</v>
      </c>
      <c r="Y9" s="105">
        <v>32</v>
      </c>
      <c r="Z9" s="105">
        <f ca="1">6+V10*9-大附魔数值!S21*(V4-0.02)-属性开关!$AB$28*0.5</f>
        <v>15</v>
      </c>
    </row>
    <row r="10" spans="1:30" x14ac:dyDescent="0.35">
      <c r="A10" s="105">
        <f t="shared" ca="1" si="0"/>
        <v>9.4675000000000011</v>
      </c>
      <c r="B10" s="105" t="str">
        <f t="shared" ca="1" si="1"/>
        <v>循环</v>
      </c>
      <c r="C10" s="105">
        <f t="shared" ca="1" si="2"/>
        <v>1</v>
      </c>
      <c r="D10" s="105">
        <f t="shared" ca="1" si="3"/>
        <v>25.180000000000007</v>
      </c>
      <c r="E10" s="105">
        <f t="shared" ca="1" si="4"/>
        <v>21.180000000000007</v>
      </c>
      <c r="F10" s="105">
        <f t="shared" ca="1" si="5"/>
        <v>22.532500000000006</v>
      </c>
      <c r="G10" s="105">
        <f t="shared" ca="1" si="16"/>
        <v>1</v>
      </c>
      <c r="H10" s="105">
        <f t="shared" ca="1" si="17"/>
        <v>51.180000000000007</v>
      </c>
      <c r="I10" s="105">
        <f t="shared" ca="1" si="6"/>
        <v>0</v>
      </c>
      <c r="J10" s="105">
        <f t="shared" ca="1" si="7"/>
        <v>0</v>
      </c>
      <c r="K10" s="105">
        <f t="shared" ca="1" si="8"/>
        <v>4.8675000000000042</v>
      </c>
      <c r="L10" s="105">
        <f t="shared" ca="1" si="9"/>
        <v>1</v>
      </c>
      <c r="M10" s="105">
        <f t="shared" ca="1" si="10"/>
        <v>0</v>
      </c>
      <c r="N10" s="105">
        <f t="shared" ca="1" si="9"/>
        <v>0</v>
      </c>
      <c r="O10" s="105">
        <f t="shared" ca="1" si="11"/>
        <v>5.5325000000000042</v>
      </c>
      <c r="P10" s="105">
        <f t="shared" ca="1" si="12"/>
        <v>1</v>
      </c>
      <c r="Q10" s="105">
        <f t="shared" ca="1" si="13"/>
        <v>0</v>
      </c>
      <c r="R10" s="105">
        <f t="shared" ca="1" si="14"/>
        <v>1</v>
      </c>
      <c r="S10" s="105">
        <f t="shared" ca="1" si="15"/>
        <v>1</v>
      </c>
      <c r="U10" s="105" t="s">
        <v>684</v>
      </c>
      <c r="V10" s="105">
        <f>属性开关!AB35</f>
        <v>1</v>
      </c>
    </row>
    <row r="11" spans="1:30" x14ac:dyDescent="0.35">
      <c r="A11" s="105">
        <f t="shared" ca="1" si="0"/>
        <v>10.82</v>
      </c>
      <c r="B11" s="105" t="str">
        <f t="shared" ca="1" si="1"/>
        <v>循环</v>
      </c>
      <c r="C11" s="105">
        <f t="shared" ca="1" si="2"/>
        <v>1</v>
      </c>
      <c r="D11" s="105">
        <f t="shared" ca="1" si="3"/>
        <v>23.827500000000008</v>
      </c>
      <c r="E11" s="105">
        <f t="shared" ca="1" si="4"/>
        <v>19.827500000000008</v>
      </c>
      <c r="F11" s="105">
        <f t="shared" ca="1" si="5"/>
        <v>21.180000000000007</v>
      </c>
      <c r="G11" s="105">
        <f t="shared" ca="1" si="16"/>
        <v>1</v>
      </c>
      <c r="H11" s="105">
        <f t="shared" ca="1" si="17"/>
        <v>49.827500000000008</v>
      </c>
      <c r="I11" s="105">
        <f t="shared" ca="1" si="6"/>
        <v>0</v>
      </c>
      <c r="J11" s="105">
        <f t="shared" ca="1" si="7"/>
        <v>0</v>
      </c>
      <c r="K11" s="105">
        <f t="shared" ca="1" si="8"/>
        <v>3.5150000000000041</v>
      </c>
      <c r="L11" s="105">
        <f t="shared" ca="1" si="9"/>
        <v>1</v>
      </c>
      <c r="M11" s="105">
        <f t="shared" ca="1" si="10"/>
        <v>0</v>
      </c>
      <c r="N11" s="105">
        <f t="shared" ca="1" si="9"/>
        <v>0</v>
      </c>
      <c r="O11" s="105">
        <f t="shared" ca="1" si="11"/>
        <v>4.1800000000000042</v>
      </c>
      <c r="P11" s="105">
        <f t="shared" ca="1" si="12"/>
        <v>1</v>
      </c>
      <c r="Q11" s="105">
        <f t="shared" ca="1" si="13"/>
        <v>0</v>
      </c>
      <c r="R11" s="105">
        <f t="shared" ca="1" si="14"/>
        <v>0</v>
      </c>
      <c r="S11" s="105">
        <f t="shared" ca="1" si="15"/>
        <v>1</v>
      </c>
      <c r="U11" s="105" t="s">
        <v>741</v>
      </c>
      <c r="V11" s="105">
        <f>属性开关!AB27</f>
        <v>0</v>
      </c>
      <c r="X11" s="105" t="s">
        <v>685</v>
      </c>
      <c r="Y11" s="105">
        <f ca="1">((COUNTIF($B$3:$B$635,"*突*")*(1-V6)+SUMIFS($G$3:$G$635,$B$3:$B$635,"*循环*"))*V8-0*V14/(3+20/7)-V14*2/3-V14/3)/SUM(V19:V26)*属性开关!$AB$32</f>
        <v>0.89090909090909087</v>
      </c>
    </row>
    <row r="12" spans="1:30" x14ac:dyDescent="0.35">
      <c r="A12" s="105">
        <f t="shared" ca="1" si="0"/>
        <v>12.172499999999999</v>
      </c>
      <c r="B12" s="105" t="str">
        <f t="shared" ca="1" si="1"/>
        <v>循环</v>
      </c>
      <c r="C12" s="105">
        <f t="shared" ca="1" si="2"/>
        <v>1</v>
      </c>
      <c r="D12" s="105">
        <f t="shared" ca="1" si="3"/>
        <v>22.475000000000009</v>
      </c>
      <c r="E12" s="105">
        <f t="shared" ca="1" si="4"/>
        <v>18.475000000000009</v>
      </c>
      <c r="F12" s="105">
        <f t="shared" ca="1" si="5"/>
        <v>19.827500000000008</v>
      </c>
      <c r="G12" s="105">
        <f t="shared" ca="1" si="16"/>
        <v>1</v>
      </c>
      <c r="H12" s="105">
        <f t="shared" ca="1" si="17"/>
        <v>48.475000000000009</v>
      </c>
      <c r="I12" s="105">
        <f t="shared" ca="1" si="6"/>
        <v>0</v>
      </c>
      <c r="J12" s="105">
        <f t="shared" ca="1" si="7"/>
        <v>0</v>
      </c>
      <c r="K12" s="105">
        <f t="shared" ca="1" si="8"/>
        <v>2.1625000000000041</v>
      </c>
      <c r="L12" s="105">
        <f t="shared" ca="1" si="9"/>
        <v>1</v>
      </c>
      <c r="M12" s="105">
        <f t="shared" ca="1" si="10"/>
        <v>0</v>
      </c>
      <c r="N12" s="105">
        <f t="shared" ca="1" si="9"/>
        <v>0</v>
      </c>
      <c r="O12" s="105">
        <f t="shared" ca="1" si="11"/>
        <v>2.8275000000000041</v>
      </c>
      <c r="P12" s="105">
        <f t="shared" ca="1" si="12"/>
        <v>1</v>
      </c>
      <c r="Q12" s="105">
        <f t="shared" ca="1" si="13"/>
        <v>0</v>
      </c>
      <c r="R12" s="105">
        <f t="shared" ca="1" si="14"/>
        <v>0</v>
      </c>
      <c r="S12" s="105">
        <f t="shared" ca="1" si="15"/>
        <v>1</v>
      </c>
      <c r="U12" s="105" t="s">
        <v>1506</v>
      </c>
      <c r="V12" s="105">
        <v>0</v>
      </c>
      <c r="X12" s="105" t="s">
        <v>1380</v>
      </c>
      <c r="Y12" s="105">
        <f ca="1">COUNTIF($B$3:$B$635,"*突*")*(1-V6)+SUMIFS($G$3:$G$635,$B$3:$B$635,"*循环*")</f>
        <v>206</v>
      </c>
      <c r="AB12" s="105">
        <f ca="1">SUM(V19:V26)</f>
        <v>220</v>
      </c>
      <c r="AC12" s="105">
        <f ca="1">SUM(AD19:AD26)</f>
        <v>206</v>
      </c>
    </row>
    <row r="13" spans="1:30" x14ac:dyDescent="0.35">
      <c r="A13" s="105">
        <f t="shared" ca="1" si="0"/>
        <v>13.524999999999999</v>
      </c>
      <c r="B13" s="105" t="str">
        <f t="shared" ca="1" si="1"/>
        <v>循环</v>
      </c>
      <c r="C13" s="105">
        <f t="shared" ca="1" si="2"/>
        <v>1</v>
      </c>
      <c r="D13" s="105">
        <f t="shared" ca="1" si="3"/>
        <v>21.122500000000009</v>
      </c>
      <c r="E13" s="105">
        <f t="shared" ca="1" si="4"/>
        <v>17.122500000000009</v>
      </c>
      <c r="F13" s="105">
        <f t="shared" ca="1" si="5"/>
        <v>18.475000000000009</v>
      </c>
      <c r="G13" s="105">
        <f t="shared" ca="1" si="16"/>
        <v>1</v>
      </c>
      <c r="H13" s="105">
        <f t="shared" ca="1" si="17"/>
        <v>47.122500000000009</v>
      </c>
      <c r="I13" s="105">
        <f t="shared" ca="1" si="6"/>
        <v>0</v>
      </c>
      <c r="J13" s="105">
        <f t="shared" ca="1" si="7"/>
        <v>0</v>
      </c>
      <c r="K13" s="105">
        <f t="shared" ca="1" si="8"/>
        <v>0.81000000000000405</v>
      </c>
      <c r="L13" s="105">
        <f t="shared" ca="1" si="9"/>
        <v>1</v>
      </c>
      <c r="M13" s="105">
        <f t="shared" ca="1" si="10"/>
        <v>0</v>
      </c>
      <c r="N13" s="105">
        <f t="shared" ca="1" si="9"/>
        <v>0</v>
      </c>
      <c r="O13" s="105">
        <f t="shared" ca="1" si="11"/>
        <v>1.4750000000000041</v>
      </c>
      <c r="P13" s="105">
        <f t="shared" ca="1" si="12"/>
        <v>1</v>
      </c>
      <c r="Q13" s="105">
        <f t="shared" ca="1" si="13"/>
        <v>0</v>
      </c>
      <c r="R13" s="105">
        <f t="shared" ca="1" si="14"/>
        <v>0</v>
      </c>
      <c r="S13" s="105">
        <f t="shared" ca="1" si="15"/>
        <v>1</v>
      </c>
      <c r="U13" s="105" t="s">
        <v>686</v>
      </c>
      <c r="V13" s="105">
        <f>MAX(V7,V8,V9)</f>
        <v>1</v>
      </c>
      <c r="X13" s="105" t="s">
        <v>1526</v>
      </c>
      <c r="Y13" s="105">
        <f ca="1">AB1/V4</f>
        <v>0</v>
      </c>
      <c r="AC13" s="105">
        <f ca="1">SUM(AF19:AF26)</f>
        <v>14</v>
      </c>
    </row>
    <row r="14" spans="1:30" x14ac:dyDescent="0.35">
      <c r="A14" s="105">
        <f t="shared" ca="1" si="0"/>
        <v>14.877499999999998</v>
      </c>
      <c r="B14" s="105" t="str">
        <f t="shared" ca="1" si="1"/>
        <v>循环</v>
      </c>
      <c r="C14" s="105">
        <f t="shared" ca="1" si="2"/>
        <v>1</v>
      </c>
      <c r="D14" s="105">
        <f t="shared" ca="1" si="3"/>
        <v>19.77000000000001</v>
      </c>
      <c r="E14" s="105">
        <f t="shared" ca="1" si="4"/>
        <v>15.77000000000001</v>
      </c>
      <c r="F14" s="105">
        <f t="shared" ca="1" si="5"/>
        <v>17.122500000000009</v>
      </c>
      <c r="G14" s="105">
        <f t="shared" ca="1" si="16"/>
        <v>1</v>
      </c>
      <c r="H14" s="105">
        <f t="shared" ca="1" si="17"/>
        <v>45.77000000000001</v>
      </c>
      <c r="I14" s="105">
        <f t="shared" ca="1" si="6"/>
        <v>0</v>
      </c>
      <c r="J14" s="105">
        <f t="shared" ca="1" si="7"/>
        <v>0</v>
      </c>
      <c r="K14" s="105">
        <f t="shared" ca="1" si="8"/>
        <v>0</v>
      </c>
      <c r="L14" s="105">
        <f t="shared" ca="1" si="9"/>
        <v>1</v>
      </c>
      <c r="M14" s="105">
        <f t="shared" ca="1" si="10"/>
        <v>0</v>
      </c>
      <c r="N14" s="105">
        <f t="shared" ca="1" si="9"/>
        <v>0</v>
      </c>
      <c r="O14" s="105">
        <f t="shared" ca="1" si="11"/>
        <v>0.12250000000000405</v>
      </c>
      <c r="P14" s="105">
        <f t="shared" ca="1" si="12"/>
        <v>1</v>
      </c>
      <c r="Q14" s="105">
        <f t="shared" ca="1" si="13"/>
        <v>0</v>
      </c>
      <c r="R14" s="105">
        <f t="shared" ca="1" si="14"/>
        <v>0</v>
      </c>
      <c r="S14" s="105">
        <f t="shared" ca="1" si="15"/>
        <v>1</v>
      </c>
      <c r="U14" s="105" t="s">
        <v>718</v>
      </c>
      <c r="V14" s="105">
        <f ca="1">COUNTIF($B$3:$B$635,"*任*")</f>
        <v>10</v>
      </c>
      <c r="AC14" s="105">
        <f ca="1">SUM(AD19:AD26,AF19:AF26)</f>
        <v>220</v>
      </c>
    </row>
    <row r="15" spans="1:30" x14ac:dyDescent="0.35">
      <c r="A15" s="105">
        <f t="shared" ca="1" si="0"/>
        <v>16.229999999999997</v>
      </c>
      <c r="B15" s="105" t="str">
        <f t="shared" ca="1" si="1"/>
        <v>循环</v>
      </c>
      <c r="C15" s="105">
        <f t="shared" ca="1" si="2"/>
        <v>1</v>
      </c>
      <c r="D15" s="105">
        <f t="shared" ca="1" si="3"/>
        <v>18.417500000000011</v>
      </c>
      <c r="E15" s="105">
        <f t="shared" ca="1" si="4"/>
        <v>14.417500000000011</v>
      </c>
      <c r="F15" s="105">
        <f t="shared" ca="1" si="5"/>
        <v>15.77000000000001</v>
      </c>
      <c r="G15" s="105">
        <f t="shared" ca="1" si="16"/>
        <v>1</v>
      </c>
      <c r="H15" s="105">
        <f t="shared" ca="1" si="17"/>
        <v>44.417500000000011</v>
      </c>
      <c r="I15" s="105">
        <f t="shared" ca="1" si="6"/>
        <v>0</v>
      </c>
      <c r="J15" s="105">
        <f t="shared" ca="1" si="7"/>
        <v>0</v>
      </c>
      <c r="K15" s="105">
        <f t="shared" ca="1" si="8"/>
        <v>0</v>
      </c>
      <c r="L15" s="105">
        <f t="shared" ca="1" si="9"/>
        <v>0</v>
      </c>
      <c r="M15" s="105">
        <f t="shared" ca="1" si="10"/>
        <v>0</v>
      </c>
      <c r="N15" s="105">
        <f t="shared" ca="1" si="9"/>
        <v>0</v>
      </c>
      <c r="O15" s="105">
        <f t="shared" ca="1" si="11"/>
        <v>0</v>
      </c>
      <c r="P15" s="105">
        <f t="shared" ca="1" si="12"/>
        <v>1</v>
      </c>
      <c r="Q15" s="105">
        <f t="shared" ca="1" si="13"/>
        <v>0</v>
      </c>
      <c r="R15" s="105">
        <f t="shared" ca="1" si="14"/>
        <v>0</v>
      </c>
      <c r="S15" s="105">
        <f t="shared" ca="1" si="15"/>
        <v>1</v>
      </c>
      <c r="U15" s="105" t="s">
        <v>723</v>
      </c>
      <c r="V15" s="105">
        <f ca="1">COUNTIF($B$3:$B$635,"*渊*")*属性开关!$AB$30</f>
        <v>0</v>
      </c>
      <c r="AC15" s="105">
        <f ca="1">SUM(AE19:AE26,AG19:AG26)</f>
        <v>0.95652173913043481</v>
      </c>
    </row>
    <row r="16" spans="1:30" x14ac:dyDescent="0.35">
      <c r="A16" s="105">
        <f t="shared" ca="1" si="0"/>
        <v>17.582499999999996</v>
      </c>
      <c r="B16" s="105" t="str">
        <f t="shared" ca="1" si="1"/>
        <v>循环</v>
      </c>
      <c r="C16" s="105">
        <f t="shared" ca="1" si="2"/>
        <v>1</v>
      </c>
      <c r="D16" s="105">
        <f t="shared" ca="1" si="3"/>
        <v>17.065000000000012</v>
      </c>
      <c r="E16" s="105">
        <f t="shared" ca="1" si="4"/>
        <v>13.065000000000012</v>
      </c>
      <c r="F16" s="105">
        <f t="shared" ca="1" si="5"/>
        <v>14.417500000000011</v>
      </c>
      <c r="G16" s="105">
        <f t="shared" ca="1" si="16"/>
        <v>1</v>
      </c>
      <c r="H16" s="105">
        <f t="shared" ca="1" si="17"/>
        <v>43.065000000000012</v>
      </c>
      <c r="I16" s="105">
        <f t="shared" ca="1" si="6"/>
        <v>0</v>
      </c>
      <c r="J16" s="105">
        <f t="shared" ca="1" si="7"/>
        <v>0</v>
      </c>
      <c r="K16" s="105">
        <f t="shared" ca="1" si="8"/>
        <v>0</v>
      </c>
      <c r="L16" s="105">
        <f t="shared" ca="1" si="9"/>
        <v>0</v>
      </c>
      <c r="M16" s="105">
        <f t="shared" ca="1" si="10"/>
        <v>0</v>
      </c>
      <c r="N16" s="105">
        <f t="shared" ca="1" si="9"/>
        <v>0</v>
      </c>
      <c r="O16" s="105">
        <f t="shared" ca="1" si="11"/>
        <v>0</v>
      </c>
      <c r="P16" s="105">
        <f t="shared" ca="1" si="12"/>
        <v>0</v>
      </c>
      <c r="Q16" s="105">
        <f t="shared" ca="1" si="13"/>
        <v>0</v>
      </c>
      <c r="R16" s="105">
        <f t="shared" ca="1" si="14"/>
        <v>0</v>
      </c>
      <c r="S16" s="105">
        <f t="shared" ca="1" si="15"/>
        <v>1</v>
      </c>
      <c r="U16" s="105" t="s">
        <v>746</v>
      </c>
      <c r="V16" s="105">
        <f>ROUND((6+7+7+6+8)/5,0)-2</f>
        <v>5</v>
      </c>
      <c r="AD16" s="105">
        <f ca="1">INT(X2/35)</f>
        <v>8</v>
      </c>
    </row>
    <row r="17" spans="1:33" x14ac:dyDescent="0.35">
      <c r="A17" s="105">
        <f t="shared" ca="1" si="0"/>
        <v>18.934999999999995</v>
      </c>
      <c r="B17" s="105" t="str">
        <f t="shared" ca="1" si="1"/>
        <v>循环</v>
      </c>
      <c r="C17" s="105">
        <f t="shared" ca="1" si="2"/>
        <v>1</v>
      </c>
      <c r="D17" s="105">
        <f t="shared" ca="1" si="3"/>
        <v>15.712500000000013</v>
      </c>
      <c r="E17" s="105">
        <f t="shared" ca="1" si="4"/>
        <v>11.712500000000013</v>
      </c>
      <c r="F17" s="105">
        <f t="shared" ca="1" si="5"/>
        <v>13.065000000000012</v>
      </c>
      <c r="G17" s="105">
        <f t="shared" ca="1" si="16"/>
        <v>1</v>
      </c>
      <c r="H17" s="105">
        <f t="shared" ca="1" si="17"/>
        <v>41.712500000000013</v>
      </c>
      <c r="I17" s="105">
        <f t="shared" ca="1" si="6"/>
        <v>0</v>
      </c>
      <c r="J17" s="105">
        <f t="shared" ca="1" si="7"/>
        <v>0</v>
      </c>
      <c r="K17" s="105">
        <f t="shared" ca="1" si="8"/>
        <v>0</v>
      </c>
      <c r="L17" s="105">
        <f t="shared" ca="1" si="9"/>
        <v>0</v>
      </c>
      <c r="M17" s="105">
        <f t="shared" ca="1" si="10"/>
        <v>0</v>
      </c>
      <c r="N17" s="105">
        <f t="shared" ca="1" si="9"/>
        <v>0</v>
      </c>
      <c r="O17" s="105">
        <f t="shared" ca="1" si="11"/>
        <v>0</v>
      </c>
      <c r="P17" s="105">
        <f t="shared" ca="1" si="12"/>
        <v>0</v>
      </c>
      <c r="Q17" s="105">
        <f t="shared" ca="1" si="13"/>
        <v>0</v>
      </c>
      <c r="R17" s="105">
        <f t="shared" ca="1" si="14"/>
        <v>0</v>
      </c>
      <c r="S17" s="105">
        <f t="shared" ca="1" si="15"/>
        <v>1</v>
      </c>
      <c r="U17" s="105" t="s">
        <v>687</v>
      </c>
      <c r="V17" s="105">
        <f ca="1">COUNTIF($B$3:$B$432,"&lt;&gt;0")</f>
        <v>230</v>
      </c>
      <c r="W17" s="105">
        <f ca="1">COUNTIF(B3:B432,"*任*")+COUNTIF(B3:B432,"*乘*")+SUM(V19:V26)</f>
        <v>230</v>
      </c>
      <c r="X17" s="105">
        <f ca="1">COUNTIF($B$3:$B$635,"*乘*")</f>
        <v>0</v>
      </c>
      <c r="AD17" s="105">
        <f ca="1">COUNTIFS($B$3:$B$432,"*循环*",$G$3:$G$432,"&gt;0")*V11</f>
        <v>0</v>
      </c>
      <c r="AF17" s="105">
        <f ca="1">V17-AD17</f>
        <v>230</v>
      </c>
    </row>
    <row r="18" spans="1:33" x14ac:dyDescent="0.35">
      <c r="A18" s="105">
        <f t="shared" ca="1" si="0"/>
        <v>20.287499999999994</v>
      </c>
      <c r="B18" s="105" t="str">
        <f t="shared" ca="1" si="1"/>
        <v>循环</v>
      </c>
      <c r="C18" s="105">
        <f t="shared" ca="1" si="2"/>
        <v>1</v>
      </c>
      <c r="D18" s="105">
        <f t="shared" ca="1" si="3"/>
        <v>14.360000000000014</v>
      </c>
      <c r="E18" s="105">
        <f t="shared" ca="1" si="4"/>
        <v>10.360000000000014</v>
      </c>
      <c r="F18" s="105">
        <f t="shared" ca="1" si="5"/>
        <v>11.712500000000013</v>
      </c>
      <c r="G18" s="105">
        <f t="shared" ca="1" si="16"/>
        <v>1</v>
      </c>
      <c r="H18" s="105">
        <f t="shared" ca="1" si="17"/>
        <v>40.360000000000014</v>
      </c>
      <c r="I18" s="105">
        <f t="shared" ca="1" si="6"/>
        <v>0</v>
      </c>
      <c r="J18" s="105">
        <f t="shared" ca="1" si="7"/>
        <v>0</v>
      </c>
      <c r="K18" s="105">
        <f t="shared" ca="1" si="8"/>
        <v>0</v>
      </c>
      <c r="L18" s="105">
        <f t="shared" ca="1" si="9"/>
        <v>0</v>
      </c>
      <c r="M18" s="105">
        <f t="shared" ca="1" si="10"/>
        <v>0</v>
      </c>
      <c r="N18" s="105">
        <f t="shared" ca="1" si="9"/>
        <v>0</v>
      </c>
      <c r="O18" s="105">
        <f t="shared" ca="1" si="11"/>
        <v>0</v>
      </c>
      <c r="P18" s="105">
        <f t="shared" ca="1" si="12"/>
        <v>0</v>
      </c>
      <c r="Q18" s="105">
        <f t="shared" ca="1" si="13"/>
        <v>0</v>
      </c>
      <c r="R18" s="105">
        <f t="shared" ca="1" si="14"/>
        <v>0</v>
      </c>
      <c r="S18" s="105">
        <f t="shared" ca="1" si="15"/>
        <v>1</v>
      </c>
      <c r="U18" s="105" t="s">
        <v>688</v>
      </c>
      <c r="V18" s="105" t="s">
        <v>689</v>
      </c>
      <c r="W18" s="105" t="s">
        <v>690</v>
      </c>
      <c r="X18" s="105" t="s">
        <v>691</v>
      </c>
      <c r="Y18" s="105" t="s">
        <v>692</v>
      </c>
      <c r="Z18" s="105" t="s">
        <v>693</v>
      </c>
      <c r="AA18" s="105" t="s">
        <v>726</v>
      </c>
      <c r="AB18" s="105" t="s">
        <v>727</v>
      </c>
      <c r="AC18" s="105" t="s">
        <v>728</v>
      </c>
      <c r="AD18" s="105" t="s">
        <v>740</v>
      </c>
      <c r="AE18" s="105" t="s">
        <v>243</v>
      </c>
      <c r="AF18" s="105" t="s">
        <v>742</v>
      </c>
      <c r="AG18" s="105" t="s">
        <v>243</v>
      </c>
    </row>
    <row r="19" spans="1:33" ht="15.6" x14ac:dyDescent="0.35">
      <c r="A19" s="105">
        <f t="shared" ca="1" si="0"/>
        <v>21.639999999999993</v>
      </c>
      <c r="B19" s="105" t="str">
        <f t="shared" ca="1" si="1"/>
        <v>循环</v>
      </c>
      <c r="C19" s="105">
        <f t="shared" ca="1" si="2"/>
        <v>1</v>
      </c>
      <c r="D19" s="105">
        <f t="shared" ca="1" si="3"/>
        <v>13.007500000000014</v>
      </c>
      <c r="E19" s="105">
        <f t="shared" ca="1" si="4"/>
        <v>9.0075000000000145</v>
      </c>
      <c r="F19" s="105">
        <f t="shared" ca="1" si="5"/>
        <v>10.360000000000014</v>
      </c>
      <c r="G19" s="105">
        <f t="shared" ca="1" si="16"/>
        <v>1</v>
      </c>
      <c r="H19" s="105">
        <f t="shared" ca="1" si="17"/>
        <v>39.007500000000014</v>
      </c>
      <c r="I19" s="105">
        <f t="shared" ca="1" si="6"/>
        <v>0</v>
      </c>
      <c r="J19" s="105">
        <f t="shared" ca="1" si="7"/>
        <v>0</v>
      </c>
      <c r="K19" s="105">
        <f t="shared" ca="1" si="8"/>
        <v>0</v>
      </c>
      <c r="L19" s="105">
        <f t="shared" ca="1" si="9"/>
        <v>0</v>
      </c>
      <c r="M19" s="105">
        <f t="shared" ca="1" si="10"/>
        <v>0</v>
      </c>
      <c r="N19" s="105">
        <f t="shared" ca="1" si="9"/>
        <v>0</v>
      </c>
      <c r="O19" s="105">
        <f t="shared" ca="1" si="11"/>
        <v>0</v>
      </c>
      <c r="P19" s="105">
        <f t="shared" ca="1" si="12"/>
        <v>0</v>
      </c>
      <c r="Q19" s="105">
        <f t="shared" ca="1" si="13"/>
        <v>0</v>
      </c>
      <c r="R19" s="105">
        <f t="shared" ca="1" si="14"/>
        <v>0</v>
      </c>
      <c r="S19" s="105">
        <f t="shared" ca="1" si="15"/>
        <v>1</v>
      </c>
      <c r="U19" s="106" t="s">
        <v>223</v>
      </c>
      <c r="V19" s="105">
        <f ca="1">COUNTIF($B$3:$B$432,"*循环*")-SUM(V20:V27)-Y13</f>
        <v>100</v>
      </c>
      <c r="W19" s="107">
        <f ca="1">CHOOSE($V$11+1,V19/$V$17,AG19)</f>
        <v>0.43478260869565216</v>
      </c>
      <c r="X19" s="105">
        <f ca="1">COUNTIFS($B$3:$B$432,"*循环*",$N$3:$N$432,"&gt;0",$L$3:$L$432,IF(COUNTIF(U19,"*任*")&gt;0,"&gt;0","&gt;=0"),$P$3:$P$432,IF(COUNTIF(U19,"*雷*")&gt;0,"&gt;0","&gt;=0"),$R$3:$R$432,IF(COUNTIF(U19,"*渊*")&gt;0,"&gt;0","&gt;=0"))-SUM(X20:X26)</f>
        <v>0</v>
      </c>
      <c r="Y19" s="107">
        <f ca="1">IFERROR(X19/SUM($X$19:$X$26),0)</f>
        <v>0</v>
      </c>
      <c r="Z19" s="107">
        <f ca="1">IFERROR(X19/V19,0)</f>
        <v>0</v>
      </c>
      <c r="AA19" s="105">
        <f ca="1">V15-SUM(AA20:AA26)</f>
        <v>0</v>
      </c>
      <c r="AB19" s="105">
        <f ca="1">IFERROR(AA19/$V$15,0)</f>
        <v>0</v>
      </c>
      <c r="AC19" s="105">
        <v>0</v>
      </c>
      <c r="AD19" s="105">
        <f ca="1">COUNTIFS($B$3:$B$432,"*循环*",$G$3:$G$432,"&gt;0")-SUM(AD20:AD26)</f>
        <v>86</v>
      </c>
      <c r="AE19" s="105">
        <f ca="1">IFERROR(AD19/$V$17,0)</f>
        <v>0.37391304347826088</v>
      </c>
      <c r="AF19" s="105">
        <f t="shared" ref="AF19:AF26" ca="1" si="18">V19-AD19</f>
        <v>14</v>
      </c>
      <c r="AG19" s="105">
        <f ca="1">AF19/$V$17</f>
        <v>6.0869565217391307E-2</v>
      </c>
    </row>
    <row r="20" spans="1:33" ht="15.6" x14ac:dyDescent="0.35">
      <c r="A20" s="105">
        <f t="shared" ca="1" si="0"/>
        <v>22.992499999999993</v>
      </c>
      <c r="B20" s="105" t="str">
        <f t="shared" ca="1" si="1"/>
        <v>循环</v>
      </c>
      <c r="C20" s="105">
        <f t="shared" ca="1" si="2"/>
        <v>1</v>
      </c>
      <c r="D20" s="105">
        <f t="shared" ca="1" si="3"/>
        <v>11.655000000000015</v>
      </c>
      <c r="E20" s="105">
        <f t="shared" ca="1" si="4"/>
        <v>7.6550000000000145</v>
      </c>
      <c r="F20" s="105">
        <f t="shared" ca="1" si="5"/>
        <v>9.0075000000000145</v>
      </c>
      <c r="G20" s="105">
        <f t="shared" ca="1" si="16"/>
        <v>1</v>
      </c>
      <c r="H20" s="105">
        <f t="shared" ca="1" si="17"/>
        <v>37.655000000000015</v>
      </c>
      <c r="I20" s="105">
        <f t="shared" ca="1" si="6"/>
        <v>0</v>
      </c>
      <c r="J20" s="105">
        <f t="shared" ca="1" si="7"/>
        <v>0</v>
      </c>
      <c r="K20" s="105">
        <f t="shared" ca="1" si="8"/>
        <v>0</v>
      </c>
      <c r="L20" s="105">
        <f t="shared" ca="1" si="9"/>
        <v>0</v>
      </c>
      <c r="M20" s="105">
        <f t="shared" ca="1" si="10"/>
        <v>0</v>
      </c>
      <c r="N20" s="105">
        <f t="shared" ca="1" si="9"/>
        <v>0</v>
      </c>
      <c r="O20" s="105">
        <f t="shared" ca="1" si="11"/>
        <v>0</v>
      </c>
      <c r="P20" s="105">
        <f t="shared" ca="1" si="12"/>
        <v>0</v>
      </c>
      <c r="Q20" s="105">
        <f t="shared" ca="1" si="13"/>
        <v>0</v>
      </c>
      <c r="R20" s="105">
        <f t="shared" ca="1" si="14"/>
        <v>0</v>
      </c>
      <c r="S20" s="105">
        <f t="shared" ca="1" si="15"/>
        <v>1</v>
      </c>
      <c r="U20" s="106" t="s">
        <v>224</v>
      </c>
      <c r="V20" s="105">
        <f ca="1">COUNTIFS($B$3:$B$432,"*循环*",$P$3:$P$432,"&gt;0")-V22-V25-V26</f>
        <v>10</v>
      </c>
      <c r="W20" s="107">
        <f t="shared" ref="W20:W26" ca="1" si="19">CHOOSE($V$11+1,V20/$V$17,AG20)</f>
        <v>4.3478260869565216E-2</v>
      </c>
      <c r="X20" s="105">
        <f ca="1">COUNTIFS($B$3:$B$432,"*循环*",$N$3:$N$432,"&gt;0",$L$3:$L$432,IF(COUNTIF(U20,"*任*")&gt;0,"&gt;0","&gt;=0"),$P$3:$P$432,IF(COUNTIF(U20,"*雷*")&gt;0,"&gt;0","&gt;=0"),$R$3:$R$432,IF(COUNTIF(U20,"*渊*")&gt;0,"&gt;0","&gt;=0"))-X22-X25-X26</f>
        <v>0</v>
      </c>
      <c r="Y20" s="107">
        <f t="shared" ref="Y20:Y26" ca="1" si="20">IFERROR(X20/SUM($X$19:$X$26),0)</f>
        <v>0</v>
      </c>
      <c r="Z20" s="107">
        <f t="shared" ref="Z20:Z26" ca="1" si="21">IFERROR(X20/V20,0)</f>
        <v>0</v>
      </c>
      <c r="AA20" s="105">
        <v>0</v>
      </c>
      <c r="AB20" s="105">
        <f t="shared" ref="AB20:AB26" ca="1" si="22">IFERROR(AA20/$V$15,0)</f>
        <v>0</v>
      </c>
      <c r="AC20" s="105">
        <f ca="1">AB19</f>
        <v>0</v>
      </c>
      <c r="AD20" s="105">
        <f ca="1">COUNTIFS($B$3:$B$432,"*循环*",$P$3:$P$432,"&gt;0",$G$3:$G$432,"&gt;0")-AD22-AD25-AD26</f>
        <v>10</v>
      </c>
      <c r="AE20" s="105">
        <f t="shared" ref="AE20:AE26" ca="1" si="23">IFERROR(AD20/$V$17,0)</f>
        <v>4.3478260869565216E-2</v>
      </c>
      <c r="AF20" s="105">
        <f t="shared" ca="1" si="18"/>
        <v>0</v>
      </c>
      <c r="AG20" s="105">
        <f t="shared" ref="AG20:AG26" ca="1" si="24">AF20/$V$17</f>
        <v>0</v>
      </c>
    </row>
    <row r="21" spans="1:33" ht="15.6" x14ac:dyDescent="0.35">
      <c r="A21" s="105">
        <f t="shared" ca="1" si="0"/>
        <v>24.344999999999992</v>
      </c>
      <c r="B21" s="105" t="str">
        <f t="shared" ca="1" si="1"/>
        <v>循环</v>
      </c>
      <c r="C21" s="105">
        <f t="shared" ca="1" si="2"/>
        <v>1</v>
      </c>
      <c r="D21" s="105">
        <f t="shared" ca="1" si="3"/>
        <v>10.302500000000016</v>
      </c>
      <c r="E21" s="105">
        <f t="shared" ca="1" si="4"/>
        <v>6.3025000000000144</v>
      </c>
      <c r="F21" s="105">
        <f t="shared" ca="1" si="5"/>
        <v>7.6550000000000145</v>
      </c>
      <c r="G21" s="105">
        <f t="shared" ca="1" si="16"/>
        <v>1</v>
      </c>
      <c r="H21" s="105">
        <f t="shared" ca="1" si="17"/>
        <v>36.302500000000016</v>
      </c>
      <c r="I21" s="105">
        <f t="shared" ca="1" si="6"/>
        <v>0</v>
      </c>
      <c r="J21" s="105">
        <f t="shared" ca="1" si="7"/>
        <v>0</v>
      </c>
      <c r="K21" s="105">
        <f t="shared" ca="1" si="8"/>
        <v>0</v>
      </c>
      <c r="L21" s="105">
        <f t="shared" ca="1" si="9"/>
        <v>0</v>
      </c>
      <c r="M21" s="105">
        <f t="shared" ca="1" si="10"/>
        <v>0</v>
      </c>
      <c r="N21" s="105">
        <f t="shared" ca="1" si="9"/>
        <v>0</v>
      </c>
      <c r="O21" s="105">
        <f t="shared" ca="1" si="11"/>
        <v>0</v>
      </c>
      <c r="P21" s="105">
        <f t="shared" ca="1" si="12"/>
        <v>0</v>
      </c>
      <c r="Q21" s="105">
        <f t="shared" ca="1" si="13"/>
        <v>0</v>
      </c>
      <c r="R21" s="105">
        <f t="shared" ca="1" si="14"/>
        <v>0</v>
      </c>
      <c r="S21" s="105">
        <f t="shared" ca="1" si="15"/>
        <v>1</v>
      </c>
      <c r="U21" s="106" t="s">
        <v>225</v>
      </c>
      <c r="V21" s="105">
        <f ca="1">属性开关!$AB$33*COUNTIFS($B$3:$B$432,"*循环*",$R$3:$R$432,"&gt;0")-V22-V24-V25</f>
        <v>0</v>
      </c>
      <c r="W21" s="107">
        <f t="shared" ca="1" si="19"/>
        <v>0</v>
      </c>
      <c r="X21" s="105">
        <f ca="1">COUNTIFS($B$3:$B$432,"*循环*",$N$3:$N$432,"&gt;0",$L$3:$L$432,IF(COUNTIF(U21,"*任*")&gt;0,"&gt;0","&gt;=0"),$P$3:$P$432,IF(COUNTIF(U21,"*雷*")&gt;0,"&gt;0","&gt;=0"),$R$3:$R$432,IF(COUNTIF(U21,"*渊*")&gt;0,"&gt;0","&gt;=0"))-X22-X24-X25</f>
        <v>0</v>
      </c>
      <c r="Y21" s="107">
        <f t="shared" ca="1" si="20"/>
        <v>0</v>
      </c>
      <c r="Z21" s="107">
        <f t="shared" ca="1" si="21"/>
        <v>0</v>
      </c>
      <c r="AA21" s="105">
        <v>0</v>
      </c>
      <c r="AB21" s="105">
        <f t="shared" ca="1" si="22"/>
        <v>0</v>
      </c>
      <c r="AC21" s="105">
        <v>0</v>
      </c>
      <c r="AD21" s="105">
        <f ca="1">属性开关!$AB$33*COUNTIFS($B$3:$B$432,"*循环*",$R$3:$R$432,"&gt;0",$G$3:$G$432,"&gt;0")-AD22-AD24-AD25</f>
        <v>0</v>
      </c>
      <c r="AE21" s="105">
        <f t="shared" ca="1" si="23"/>
        <v>0</v>
      </c>
      <c r="AF21" s="105">
        <f t="shared" ca="1" si="18"/>
        <v>0</v>
      </c>
      <c r="AG21" s="105">
        <f t="shared" ca="1" si="24"/>
        <v>0</v>
      </c>
    </row>
    <row r="22" spans="1:33" ht="15.6" x14ac:dyDescent="0.35">
      <c r="A22" s="105">
        <f t="shared" ca="1" si="0"/>
        <v>25.697499999999991</v>
      </c>
      <c r="B22" s="105" t="str">
        <f t="shared" ca="1" si="1"/>
        <v>循环</v>
      </c>
      <c r="C22" s="105">
        <f t="shared" ca="1" si="2"/>
        <v>1</v>
      </c>
      <c r="D22" s="105">
        <f t="shared" ca="1" si="3"/>
        <v>8.9500000000000171</v>
      </c>
      <c r="E22" s="105">
        <f t="shared" ca="1" si="4"/>
        <v>4.9500000000000144</v>
      </c>
      <c r="F22" s="105">
        <f t="shared" ca="1" si="5"/>
        <v>6.3025000000000144</v>
      </c>
      <c r="G22" s="105">
        <f t="shared" ca="1" si="16"/>
        <v>1</v>
      </c>
      <c r="H22" s="105">
        <f t="shared" ca="1" si="17"/>
        <v>34.950000000000017</v>
      </c>
      <c r="I22" s="105">
        <f t="shared" ca="1" si="6"/>
        <v>0</v>
      </c>
      <c r="J22" s="105">
        <f t="shared" ca="1" si="7"/>
        <v>0</v>
      </c>
      <c r="K22" s="105">
        <f t="shared" ca="1" si="8"/>
        <v>0</v>
      </c>
      <c r="L22" s="105">
        <f t="shared" ca="1" si="9"/>
        <v>0</v>
      </c>
      <c r="M22" s="105">
        <f t="shared" ca="1" si="10"/>
        <v>0</v>
      </c>
      <c r="N22" s="105">
        <f t="shared" ca="1" si="9"/>
        <v>0</v>
      </c>
      <c r="O22" s="105">
        <f t="shared" ca="1" si="11"/>
        <v>0</v>
      </c>
      <c r="P22" s="105">
        <f t="shared" ca="1" si="12"/>
        <v>0</v>
      </c>
      <c r="Q22" s="105">
        <f t="shared" ca="1" si="13"/>
        <v>0</v>
      </c>
      <c r="R22" s="105">
        <f t="shared" ca="1" si="14"/>
        <v>0</v>
      </c>
      <c r="S22" s="105">
        <f t="shared" ca="1" si="15"/>
        <v>1</v>
      </c>
      <c r="U22" s="106" t="s">
        <v>226</v>
      </c>
      <c r="V22" s="105">
        <f ca="1">属性开关!$AB$33*COUNTIFS($B$3:$B$432,"*循环*",$P$3:$P$432,"&gt;0",$R$3:$R$432,"&gt;0")-V25</f>
        <v>0</v>
      </c>
      <c r="W22" s="107">
        <f t="shared" ca="1" si="19"/>
        <v>0</v>
      </c>
      <c r="X22" s="105">
        <f ca="1">COUNTIFS($B$3:$B$432,"*循环*",$N$3:$N$432,"&gt;0",$L$3:$L$432,IF(COUNTIF(U22,"*任*")&gt;0,"&gt;0","&gt;=0"),$P$3:$P$432,IF(COUNTIF(U22,"*雷*")&gt;0,"&gt;0","&gt;=0"),$R$3:$R$432,IF(COUNTIF(U22,"*渊*")&gt;0,"&gt;0","&gt;=0"))-X25</f>
        <v>0</v>
      </c>
      <c r="Y22" s="107">
        <f t="shared" ca="1" si="20"/>
        <v>0</v>
      </c>
      <c r="Z22" s="107">
        <f t="shared" ca="1" si="21"/>
        <v>0</v>
      </c>
      <c r="AA22" s="105">
        <v>0</v>
      </c>
      <c r="AB22" s="105">
        <f t="shared" ca="1" si="22"/>
        <v>0</v>
      </c>
      <c r="AC22" s="105">
        <v>0</v>
      </c>
      <c r="AD22" s="105">
        <f ca="1">属性开关!$AB$33*COUNTIFS($B$3:$B$432,"*循环*",$P$3:$P$432,"&gt;0",$R$3:$R$432,"&gt;0",$G$3:$G$432,"&gt;0")-AD25</f>
        <v>0</v>
      </c>
      <c r="AE22" s="105">
        <f t="shared" ca="1" si="23"/>
        <v>0</v>
      </c>
      <c r="AF22" s="105">
        <f t="shared" ca="1" si="18"/>
        <v>0</v>
      </c>
      <c r="AG22" s="105">
        <f t="shared" ca="1" si="24"/>
        <v>0</v>
      </c>
    </row>
    <row r="23" spans="1:33" ht="15.6" x14ac:dyDescent="0.35">
      <c r="A23" s="105">
        <f t="shared" ca="1" si="0"/>
        <v>27.04999999999999</v>
      </c>
      <c r="B23" s="105" t="str">
        <f t="shared" ca="1" si="1"/>
        <v>循环</v>
      </c>
      <c r="C23" s="105">
        <f t="shared" ca="1" si="2"/>
        <v>1</v>
      </c>
      <c r="D23" s="105">
        <f t="shared" ca="1" si="3"/>
        <v>7.597500000000017</v>
      </c>
      <c r="E23" s="105">
        <f t="shared" ca="1" si="4"/>
        <v>3.5975000000000144</v>
      </c>
      <c r="F23" s="105">
        <f t="shared" ca="1" si="5"/>
        <v>4.9500000000000144</v>
      </c>
      <c r="G23" s="105">
        <f t="shared" ca="1" si="16"/>
        <v>1</v>
      </c>
      <c r="H23" s="105">
        <f t="shared" ca="1" si="17"/>
        <v>33.597500000000018</v>
      </c>
      <c r="I23" s="105">
        <f t="shared" ca="1" si="6"/>
        <v>0</v>
      </c>
      <c r="J23" s="105">
        <f t="shared" ca="1" si="7"/>
        <v>0</v>
      </c>
      <c r="K23" s="105">
        <f t="shared" ca="1" si="8"/>
        <v>0</v>
      </c>
      <c r="L23" s="105">
        <f t="shared" ca="1" si="9"/>
        <v>0</v>
      </c>
      <c r="M23" s="105">
        <f t="shared" ca="1" si="10"/>
        <v>0</v>
      </c>
      <c r="N23" s="105">
        <f t="shared" ca="1" si="9"/>
        <v>0</v>
      </c>
      <c r="O23" s="105">
        <f t="shared" ca="1" si="11"/>
        <v>0</v>
      </c>
      <c r="P23" s="105">
        <f t="shared" ca="1" si="12"/>
        <v>0</v>
      </c>
      <c r="Q23" s="105">
        <f t="shared" ca="1" si="13"/>
        <v>0</v>
      </c>
      <c r="R23" s="105">
        <f t="shared" ca="1" si="14"/>
        <v>0</v>
      </c>
      <c r="S23" s="105">
        <f t="shared" ca="1" si="15"/>
        <v>1</v>
      </c>
      <c r="U23" s="106" t="s">
        <v>694</v>
      </c>
      <c r="V23" s="105">
        <f ca="1">COUNTIFS($B$3:$B$432,"*循环*",$L$3:$L$432,"&gt;0")-(V24+V25+V26)</f>
        <v>0</v>
      </c>
      <c r="W23" s="107">
        <f t="shared" ca="1" si="19"/>
        <v>0</v>
      </c>
      <c r="X23" s="105">
        <f ca="1">COUNTIFS($B$3:$B$432,"*循环*",$N$3:$N$432,"&gt;0",$L$3:$L$432,IF(COUNTIF(U23,"*任*")&gt;0,"&gt;0","&gt;=0"),$P$3:$P$432,IF(COUNTIF(U23,"*雷*")&gt;0,"&gt;0","&gt;=0"),$R$3:$R$432,IF(COUNTIF(U23,"*渊*")&gt;0,"&gt;0","&gt;=0"))-X24-X25-X26</f>
        <v>0</v>
      </c>
      <c r="Y23" s="107">
        <f t="shared" ca="1" si="20"/>
        <v>0</v>
      </c>
      <c r="Z23" s="107">
        <f t="shared" ca="1" si="21"/>
        <v>0</v>
      </c>
      <c r="AA23" s="105">
        <f ca="1">COUNTIFS($B$3:$B$635,"*渊*",$L$3:$L$635,"&gt;0")*属性开关!AB30</f>
        <v>0</v>
      </c>
      <c r="AB23" s="105">
        <f t="shared" ca="1" si="22"/>
        <v>0</v>
      </c>
      <c r="AC23" s="105">
        <v>0</v>
      </c>
      <c r="AD23" s="105">
        <f ca="1">COUNTIFS($B$3:$B$432,"*循环*",$L$3:$L$432,"&gt;0",$G$3:$G$432,"&gt;0")-(AD24+AD25+AD26)</f>
        <v>0</v>
      </c>
      <c r="AE23" s="105">
        <f t="shared" ca="1" si="23"/>
        <v>0</v>
      </c>
      <c r="AF23" s="105">
        <f t="shared" ca="1" si="18"/>
        <v>0</v>
      </c>
      <c r="AG23" s="105">
        <f t="shared" ca="1" si="24"/>
        <v>0</v>
      </c>
    </row>
    <row r="24" spans="1:33" ht="15.6" x14ac:dyDescent="0.35">
      <c r="A24" s="105">
        <f t="shared" ca="1" si="0"/>
        <v>28.402499999999989</v>
      </c>
      <c r="B24" s="105" t="str">
        <f t="shared" ca="1" si="1"/>
        <v>循环</v>
      </c>
      <c r="C24" s="105">
        <f t="shared" ca="1" si="2"/>
        <v>1</v>
      </c>
      <c r="D24" s="105">
        <f t="shared" ca="1" si="3"/>
        <v>6.245000000000017</v>
      </c>
      <c r="E24" s="105">
        <f t="shared" ca="1" si="4"/>
        <v>2.2450000000000143</v>
      </c>
      <c r="F24" s="105">
        <f t="shared" ca="1" si="5"/>
        <v>3.5975000000000144</v>
      </c>
      <c r="G24" s="105">
        <f t="shared" ca="1" si="16"/>
        <v>1</v>
      </c>
      <c r="H24" s="105">
        <f t="shared" ca="1" si="17"/>
        <v>32.245000000000019</v>
      </c>
      <c r="I24" s="105">
        <f t="shared" ca="1" si="6"/>
        <v>0</v>
      </c>
      <c r="J24" s="105">
        <f t="shared" ca="1" si="7"/>
        <v>0</v>
      </c>
      <c r="K24" s="105">
        <f t="shared" ca="1" si="8"/>
        <v>0</v>
      </c>
      <c r="L24" s="105">
        <f t="shared" ca="1" si="9"/>
        <v>0</v>
      </c>
      <c r="M24" s="105">
        <f t="shared" ca="1" si="10"/>
        <v>0</v>
      </c>
      <c r="N24" s="105">
        <f t="shared" ca="1" si="9"/>
        <v>0</v>
      </c>
      <c r="O24" s="105">
        <f t="shared" ca="1" si="11"/>
        <v>0</v>
      </c>
      <c r="P24" s="105">
        <f t="shared" ca="1" si="12"/>
        <v>0</v>
      </c>
      <c r="Q24" s="105">
        <f t="shared" ca="1" si="13"/>
        <v>0</v>
      </c>
      <c r="R24" s="105">
        <f t="shared" ca="1" si="14"/>
        <v>0</v>
      </c>
      <c r="S24" s="105">
        <f t="shared" ca="1" si="15"/>
        <v>1</v>
      </c>
      <c r="U24" s="106" t="s">
        <v>695</v>
      </c>
      <c r="V24" s="105">
        <f ca="1">属性开关!$AB$33*COUNTIFS($B$3:$B$432,"*循环*",$L$3:$L$432,"&gt;0",$R$3:$R$432,"&gt;0")-V25</f>
        <v>0</v>
      </c>
      <c r="W24" s="107">
        <f t="shared" ca="1" si="19"/>
        <v>0</v>
      </c>
      <c r="X24" s="105">
        <f ca="1">COUNTIFS($B$3:$B$432,"*循环*",$N$3:$N$432,"&gt;0",$L$3:$L$432,IF(COUNTIF(U24,"*任*")&gt;0,"&gt;0","&gt;=0"),$P$3:$P$432,IF(COUNTIF(U24,"*雷*")&gt;0,"&gt;0","&gt;=0"),$R$3:$R$432,IF(COUNTIF(U24,"*渊*")&gt;0,"&gt;0","&gt;=0"))-X25</f>
        <v>0</v>
      </c>
      <c r="Y24" s="107">
        <f t="shared" ca="1" si="20"/>
        <v>0</v>
      </c>
      <c r="Z24" s="107">
        <f t="shared" ca="1" si="21"/>
        <v>0</v>
      </c>
      <c r="AA24" s="105">
        <v>0</v>
      </c>
      <c r="AB24" s="105">
        <f t="shared" ca="1" si="22"/>
        <v>0</v>
      </c>
      <c r="AC24" s="105">
        <v>0</v>
      </c>
      <c r="AD24" s="105">
        <f ca="1">属性开关!$AB$33*COUNTIFS($B$3:$B$432,"*循环*",$L$3:$L$432,"&gt;0",$R$3:$R$432,"&gt;0",$G$3:$G$432,"&gt;0")-AD25</f>
        <v>0</v>
      </c>
      <c r="AE24" s="105">
        <f t="shared" ca="1" si="23"/>
        <v>0</v>
      </c>
      <c r="AF24" s="105">
        <f t="shared" ca="1" si="18"/>
        <v>0</v>
      </c>
      <c r="AG24" s="105">
        <f t="shared" ca="1" si="24"/>
        <v>0</v>
      </c>
    </row>
    <row r="25" spans="1:33" ht="15.6" x14ac:dyDescent="0.35">
      <c r="A25" s="105">
        <f t="shared" ca="1" si="0"/>
        <v>29.754999999999988</v>
      </c>
      <c r="B25" s="105" t="str">
        <f t="shared" ca="1" si="1"/>
        <v>循环</v>
      </c>
      <c r="C25" s="105">
        <f t="shared" ca="1" si="2"/>
        <v>1</v>
      </c>
      <c r="D25" s="105">
        <f t="shared" ca="1" si="3"/>
        <v>4.8925000000000169</v>
      </c>
      <c r="E25" s="105">
        <f t="shared" ca="1" si="4"/>
        <v>0.89250000000001428</v>
      </c>
      <c r="F25" s="105">
        <f t="shared" ca="1" si="5"/>
        <v>2.2450000000000143</v>
      </c>
      <c r="G25" s="105">
        <f t="shared" ca="1" si="16"/>
        <v>1</v>
      </c>
      <c r="H25" s="105">
        <f t="shared" ca="1" si="17"/>
        <v>30.89250000000002</v>
      </c>
      <c r="I25" s="105">
        <f t="shared" ca="1" si="6"/>
        <v>0</v>
      </c>
      <c r="J25" s="105">
        <f t="shared" ca="1" si="7"/>
        <v>0</v>
      </c>
      <c r="K25" s="105">
        <f t="shared" ca="1" si="8"/>
        <v>0</v>
      </c>
      <c r="L25" s="105">
        <f t="shared" ca="1" si="9"/>
        <v>0</v>
      </c>
      <c r="M25" s="105">
        <f t="shared" ca="1" si="10"/>
        <v>0</v>
      </c>
      <c r="N25" s="105">
        <f t="shared" ca="1" si="9"/>
        <v>0</v>
      </c>
      <c r="O25" s="105">
        <f t="shared" ca="1" si="11"/>
        <v>0</v>
      </c>
      <c r="P25" s="105">
        <f t="shared" ca="1" si="12"/>
        <v>0</v>
      </c>
      <c r="Q25" s="105">
        <f t="shared" ca="1" si="13"/>
        <v>0</v>
      </c>
      <c r="R25" s="105">
        <f t="shared" ca="1" si="14"/>
        <v>0</v>
      </c>
      <c r="S25" s="105">
        <f t="shared" ca="1" si="15"/>
        <v>1</v>
      </c>
      <c r="U25" s="106" t="s">
        <v>696</v>
      </c>
      <c r="V25" s="105">
        <f ca="1">属性开关!$AB$33*COUNTIFS($B$3:$B$432,"*循环*",$L$3:$L$432,"&gt;0",$P$3:$P$432,"&gt;0",$R$3:$R$432,"&gt;0")</f>
        <v>70</v>
      </c>
      <c r="W25" s="107">
        <f t="shared" ca="1" si="19"/>
        <v>0.30434782608695654</v>
      </c>
      <c r="X25" s="105">
        <f t="shared" ref="X25" ca="1" si="25">COUNTIFS($B$3:$B$432,"*循环*",$N$3:$N$432,"&gt;0",$L$3:$L$432,IF(COUNTIF(U25,"*任*")&gt;0,"&gt;0","&gt;=0"),$P$3:$P$432,IF(COUNTIF(U25,"*雷*")&gt;0,"&gt;0","&gt;=0"),$R$3:$R$432,IF(COUNTIF(U25,"*渊*")&gt;0,"&gt;0","&gt;=0"))</f>
        <v>0</v>
      </c>
      <c r="Y25" s="107">
        <f t="shared" ca="1" si="20"/>
        <v>0</v>
      </c>
      <c r="Z25" s="107">
        <f t="shared" ca="1" si="21"/>
        <v>0</v>
      </c>
      <c r="AA25" s="105">
        <v>0</v>
      </c>
      <c r="AB25" s="105">
        <f t="shared" ca="1" si="22"/>
        <v>0</v>
      </c>
      <c r="AC25" s="105">
        <v>0</v>
      </c>
      <c r="AD25" s="105">
        <f ca="1">属性开关!$AB$33*COUNTIFS($B$3:$B$432,"*循环*",$L$3:$L$432,"&gt;0",$P$3:$P$432,"&gt;0",$R$3:$R$432,"&gt;0",$G$3:$G$432,"&gt;0")</f>
        <v>70</v>
      </c>
      <c r="AE25" s="105">
        <f t="shared" ca="1" si="23"/>
        <v>0.30434782608695654</v>
      </c>
      <c r="AF25" s="105">
        <f t="shared" ca="1" si="18"/>
        <v>0</v>
      </c>
      <c r="AG25" s="105">
        <f t="shared" ca="1" si="24"/>
        <v>0</v>
      </c>
    </row>
    <row r="26" spans="1:33" ht="15.6" x14ac:dyDescent="0.35">
      <c r="A26" s="105">
        <f t="shared" ca="1" si="0"/>
        <v>31.107499999999987</v>
      </c>
      <c r="B26" s="105" t="str">
        <f t="shared" ca="1" si="1"/>
        <v>循环</v>
      </c>
      <c r="C26" s="105">
        <f t="shared" ca="1" si="2"/>
        <v>1</v>
      </c>
      <c r="D26" s="105">
        <f t="shared" ca="1" si="3"/>
        <v>3.5400000000000169</v>
      </c>
      <c r="E26" s="105">
        <f t="shared" ca="1" si="4"/>
        <v>0</v>
      </c>
      <c r="F26" s="105">
        <f t="shared" ca="1" si="5"/>
        <v>0.89250000000001428</v>
      </c>
      <c r="G26" s="105">
        <f t="shared" ca="1" si="16"/>
        <v>1</v>
      </c>
      <c r="H26" s="105">
        <f t="shared" ca="1" si="17"/>
        <v>29.54000000000002</v>
      </c>
      <c r="I26" s="105">
        <f t="shared" ca="1" si="6"/>
        <v>0</v>
      </c>
      <c r="J26" s="105">
        <f t="shared" ca="1" si="7"/>
        <v>0</v>
      </c>
      <c r="K26" s="105">
        <f t="shared" ca="1" si="8"/>
        <v>0</v>
      </c>
      <c r="L26" s="105">
        <f t="shared" ca="1" si="9"/>
        <v>0</v>
      </c>
      <c r="M26" s="105">
        <f t="shared" ca="1" si="10"/>
        <v>0</v>
      </c>
      <c r="N26" s="105">
        <f t="shared" ca="1" si="9"/>
        <v>0</v>
      </c>
      <c r="O26" s="105">
        <f t="shared" ca="1" si="11"/>
        <v>0</v>
      </c>
      <c r="P26" s="105">
        <f t="shared" ca="1" si="12"/>
        <v>0</v>
      </c>
      <c r="Q26" s="105">
        <f t="shared" ca="1" si="13"/>
        <v>0</v>
      </c>
      <c r="R26" s="105">
        <f t="shared" ca="1" si="14"/>
        <v>0</v>
      </c>
      <c r="S26" s="105">
        <f t="shared" ca="1" si="15"/>
        <v>1</v>
      </c>
      <c r="U26" s="106" t="s">
        <v>288</v>
      </c>
      <c r="V26" s="105">
        <f ca="1">COUNTIFS($B$3:$B$432,"*循环*",$L$3:$L$432,"&gt;0",$P$3:$P$432,"&gt;0")-V25</f>
        <v>40</v>
      </c>
      <c r="W26" s="107">
        <f t="shared" ca="1" si="19"/>
        <v>0.17391304347826086</v>
      </c>
      <c r="X26" s="105">
        <f ca="1">COUNTIFS($B$3:$B$432,"*循环*",$N$3:$N$432,"&gt;0",$L$3:$L$432,IF(COUNTIF(U26,"*任*")&gt;0,"&gt;0","&gt;=0"),$P$3:$P$432,IF(COUNTIF(U26,"*雷*")&gt;0,"&gt;0","&gt;=0"),$R$3:$R$432,IF(COUNTIF(U26,"*渊*")&gt;0,"&gt;0","&gt;=0"))-X25</f>
        <v>0</v>
      </c>
      <c r="Y26" s="107">
        <f t="shared" ca="1" si="20"/>
        <v>0</v>
      </c>
      <c r="Z26" s="107">
        <f t="shared" ca="1" si="21"/>
        <v>0</v>
      </c>
      <c r="AA26" s="105">
        <v>0</v>
      </c>
      <c r="AB26" s="105">
        <f t="shared" ca="1" si="22"/>
        <v>0</v>
      </c>
      <c r="AC26" s="105">
        <f ca="1">AB23</f>
        <v>0</v>
      </c>
      <c r="AD26" s="105">
        <f ca="1">COUNTIFS($B$3:$B$432,"*循环*",$L$3:$L$432,"&gt;0",$P$3:$P$432,"&gt;0",$G$3:$G$432,"&gt;0")-AD25</f>
        <v>40</v>
      </c>
      <c r="AE26" s="105">
        <f t="shared" ca="1" si="23"/>
        <v>0.17391304347826086</v>
      </c>
      <c r="AF26" s="105">
        <f t="shared" ca="1" si="18"/>
        <v>0</v>
      </c>
      <c r="AG26" s="105">
        <f t="shared" ca="1" si="24"/>
        <v>0</v>
      </c>
    </row>
    <row r="27" spans="1:33" x14ac:dyDescent="0.35">
      <c r="A27" s="105">
        <f t="shared" ca="1" si="0"/>
        <v>32.459999999999987</v>
      </c>
      <c r="B27" s="105" t="str">
        <f t="shared" ca="1" si="1"/>
        <v>渊任</v>
      </c>
      <c r="C27" s="105">
        <f t="shared" ca="1" si="2"/>
        <v>0</v>
      </c>
      <c r="D27" s="105">
        <f t="shared" ca="1" si="3"/>
        <v>2.1875000000000169</v>
      </c>
      <c r="E27" s="105">
        <f t="shared" ca="1" si="4"/>
        <v>30.647500000000001</v>
      </c>
      <c r="F27" s="105">
        <f t="shared" ca="1" si="5"/>
        <v>0</v>
      </c>
      <c r="G27" s="105">
        <f t="shared" ca="1" si="16"/>
        <v>1</v>
      </c>
      <c r="H27" s="105">
        <f t="shared" ca="1" si="17"/>
        <v>28.187500000000021</v>
      </c>
      <c r="I27" s="105">
        <f t="shared" ca="1" si="6"/>
        <v>0</v>
      </c>
      <c r="J27" s="105">
        <f t="shared" ca="1" si="7"/>
        <v>0</v>
      </c>
      <c r="K27" s="105">
        <f t="shared" ca="1" si="8"/>
        <v>14.335000000000001</v>
      </c>
      <c r="L27" s="105">
        <f t="shared" ca="1" si="9"/>
        <v>1</v>
      </c>
      <c r="M27" s="105">
        <f t="shared" ca="1" si="10"/>
        <v>0</v>
      </c>
      <c r="N27" s="105">
        <f t="shared" ca="1" si="9"/>
        <v>0</v>
      </c>
      <c r="O27" s="105">
        <f t="shared" ca="1" si="11"/>
        <v>0</v>
      </c>
      <c r="P27" s="105">
        <f t="shared" ca="1" si="12"/>
        <v>0</v>
      </c>
      <c r="Q27" s="105">
        <f t="shared" ca="1" si="13"/>
        <v>8.6475000000000009</v>
      </c>
      <c r="R27" s="105">
        <f t="shared" ca="1" si="14"/>
        <v>1</v>
      </c>
      <c r="S27" s="105">
        <f t="shared" ca="1" si="15"/>
        <v>1</v>
      </c>
    </row>
    <row r="28" spans="1:33" x14ac:dyDescent="0.35">
      <c r="A28" s="105">
        <f t="shared" ca="1" si="0"/>
        <v>33.812499999999986</v>
      </c>
      <c r="B28" s="105" t="str">
        <f t="shared" ca="1" si="1"/>
        <v>雷循环</v>
      </c>
      <c r="C28" s="105">
        <f t="shared" ca="1" si="2"/>
        <v>0</v>
      </c>
      <c r="D28" s="105">
        <f t="shared" ca="1" si="3"/>
        <v>0.83500000000001684</v>
      </c>
      <c r="E28" s="105">
        <f t="shared" ca="1" si="4"/>
        <v>29.295000000000002</v>
      </c>
      <c r="F28" s="105">
        <f t="shared" ca="1" si="5"/>
        <v>30.647500000000001</v>
      </c>
      <c r="G28" s="105">
        <f t="shared" ca="1" si="16"/>
        <v>1</v>
      </c>
      <c r="H28" s="105">
        <f t="shared" ca="1" si="17"/>
        <v>26.835000000000022</v>
      </c>
      <c r="I28" s="105">
        <f t="shared" ca="1" si="6"/>
        <v>0</v>
      </c>
      <c r="J28" s="105">
        <f t="shared" ca="1" si="7"/>
        <v>0</v>
      </c>
      <c r="K28" s="105">
        <f t="shared" ca="1" si="8"/>
        <v>12.982500000000002</v>
      </c>
      <c r="L28" s="105">
        <f t="shared" ca="1" si="9"/>
        <v>1</v>
      </c>
      <c r="M28" s="105">
        <f t="shared" ca="1" si="10"/>
        <v>0</v>
      </c>
      <c r="N28" s="105">
        <f t="shared" ca="1" si="9"/>
        <v>0</v>
      </c>
      <c r="O28" s="105">
        <f t="shared" ca="1" si="11"/>
        <v>13.647500000000001</v>
      </c>
      <c r="P28" s="105">
        <f t="shared" ca="1" si="12"/>
        <v>1</v>
      </c>
      <c r="Q28" s="105">
        <f t="shared" ca="1" si="13"/>
        <v>7.2950000000000008</v>
      </c>
      <c r="R28" s="105">
        <f t="shared" ca="1" si="14"/>
        <v>1</v>
      </c>
      <c r="S28" s="105">
        <f t="shared" ca="1" si="15"/>
        <v>2</v>
      </c>
    </row>
    <row r="29" spans="1:33" x14ac:dyDescent="0.35">
      <c r="A29" s="105">
        <f t="shared" ca="1" si="0"/>
        <v>35.164999999999985</v>
      </c>
      <c r="B29" s="105" t="str">
        <f t="shared" ca="1" si="1"/>
        <v>循环</v>
      </c>
      <c r="C29" s="105">
        <f t="shared" ca="1" si="2"/>
        <v>1</v>
      </c>
      <c r="D29" s="105">
        <f t="shared" ca="1" si="3"/>
        <v>35.482500000000016</v>
      </c>
      <c r="E29" s="105">
        <f t="shared" ca="1" si="4"/>
        <v>27.942500000000003</v>
      </c>
      <c r="F29" s="105">
        <f t="shared" ca="1" si="5"/>
        <v>29.295000000000002</v>
      </c>
      <c r="G29" s="105">
        <f t="shared" ca="1" si="16"/>
        <v>1</v>
      </c>
      <c r="H29" s="105">
        <f t="shared" ca="1" si="17"/>
        <v>25.482500000000023</v>
      </c>
      <c r="I29" s="105">
        <f t="shared" ca="1" si="6"/>
        <v>0</v>
      </c>
      <c r="J29" s="105">
        <f t="shared" ca="1" si="7"/>
        <v>0</v>
      </c>
      <c r="K29" s="105">
        <f t="shared" ca="1" si="8"/>
        <v>11.630000000000003</v>
      </c>
      <c r="L29" s="105">
        <f t="shared" ca="1" si="9"/>
        <v>1</v>
      </c>
      <c r="M29" s="105">
        <f t="shared" ca="1" si="10"/>
        <v>0</v>
      </c>
      <c r="N29" s="105">
        <f t="shared" ca="1" si="9"/>
        <v>0</v>
      </c>
      <c r="O29" s="105">
        <f t="shared" ca="1" si="11"/>
        <v>12.295000000000002</v>
      </c>
      <c r="P29" s="105">
        <f t="shared" ca="1" si="12"/>
        <v>1</v>
      </c>
      <c r="Q29" s="105">
        <f t="shared" ca="1" si="13"/>
        <v>5.9425000000000008</v>
      </c>
      <c r="R29" s="105">
        <f t="shared" ca="1" si="14"/>
        <v>1</v>
      </c>
      <c r="S29" s="105">
        <f t="shared" ca="1" si="15"/>
        <v>2</v>
      </c>
    </row>
    <row r="30" spans="1:33" x14ac:dyDescent="0.35">
      <c r="A30" s="105">
        <f t="shared" ca="1" si="0"/>
        <v>36.517499999999984</v>
      </c>
      <c r="B30" s="105" t="str">
        <f t="shared" ca="1" si="1"/>
        <v>循环</v>
      </c>
      <c r="C30" s="105">
        <f t="shared" ca="1" si="2"/>
        <v>1</v>
      </c>
      <c r="D30" s="105">
        <f t="shared" ca="1" si="3"/>
        <v>34.130000000000017</v>
      </c>
      <c r="E30" s="105">
        <f t="shared" ca="1" si="4"/>
        <v>26.590000000000003</v>
      </c>
      <c r="F30" s="105">
        <f t="shared" ca="1" si="5"/>
        <v>27.942500000000003</v>
      </c>
      <c r="G30" s="105">
        <f t="shared" ca="1" si="16"/>
        <v>1</v>
      </c>
      <c r="H30" s="105">
        <f t="shared" ca="1" si="17"/>
        <v>24.130000000000024</v>
      </c>
      <c r="I30" s="105">
        <f t="shared" ca="1" si="6"/>
        <v>0</v>
      </c>
      <c r="J30" s="105">
        <f t="shared" ca="1" si="7"/>
        <v>0</v>
      </c>
      <c r="K30" s="105">
        <f t="shared" ca="1" si="8"/>
        <v>10.277500000000003</v>
      </c>
      <c r="L30" s="105">
        <f t="shared" ca="1" si="9"/>
        <v>1</v>
      </c>
      <c r="M30" s="105">
        <f t="shared" ca="1" si="10"/>
        <v>0</v>
      </c>
      <c r="N30" s="105">
        <f t="shared" ca="1" si="9"/>
        <v>0</v>
      </c>
      <c r="O30" s="105">
        <f t="shared" ca="1" si="11"/>
        <v>10.942500000000003</v>
      </c>
      <c r="P30" s="105">
        <f t="shared" ca="1" si="12"/>
        <v>1</v>
      </c>
      <c r="Q30" s="105">
        <f t="shared" ca="1" si="13"/>
        <v>4.5900000000000007</v>
      </c>
      <c r="R30" s="105">
        <f t="shared" ca="1" si="14"/>
        <v>1</v>
      </c>
      <c r="S30" s="105">
        <f t="shared" ca="1" si="15"/>
        <v>2</v>
      </c>
    </row>
    <row r="31" spans="1:33" x14ac:dyDescent="0.35">
      <c r="A31" s="105">
        <f t="shared" ca="1" si="0"/>
        <v>37.869999999999983</v>
      </c>
      <c r="B31" s="105" t="str">
        <f t="shared" ca="1" si="1"/>
        <v>循环</v>
      </c>
      <c r="C31" s="105">
        <f t="shared" ca="1" si="2"/>
        <v>1</v>
      </c>
      <c r="D31" s="105">
        <f t="shared" ca="1" si="3"/>
        <v>32.777500000000018</v>
      </c>
      <c r="E31" s="105">
        <f t="shared" ca="1" si="4"/>
        <v>25.237500000000004</v>
      </c>
      <c r="F31" s="105">
        <f t="shared" ca="1" si="5"/>
        <v>26.590000000000003</v>
      </c>
      <c r="G31" s="105">
        <f t="shared" ca="1" si="16"/>
        <v>1</v>
      </c>
      <c r="H31" s="105">
        <f t="shared" ca="1" si="17"/>
        <v>22.777500000000025</v>
      </c>
      <c r="I31" s="105">
        <f t="shared" ca="1" si="6"/>
        <v>0</v>
      </c>
      <c r="J31" s="105">
        <f t="shared" ca="1" si="7"/>
        <v>0</v>
      </c>
      <c r="K31" s="105">
        <f t="shared" ca="1" si="8"/>
        <v>8.9250000000000043</v>
      </c>
      <c r="L31" s="105">
        <f t="shared" ca="1" si="9"/>
        <v>1</v>
      </c>
      <c r="M31" s="105">
        <f t="shared" ca="1" si="10"/>
        <v>0</v>
      </c>
      <c r="N31" s="105">
        <f t="shared" ca="1" si="9"/>
        <v>0</v>
      </c>
      <c r="O31" s="105">
        <f t="shared" ca="1" si="11"/>
        <v>9.5900000000000034</v>
      </c>
      <c r="P31" s="105">
        <f t="shared" ca="1" si="12"/>
        <v>1</v>
      </c>
      <c r="Q31" s="105">
        <f t="shared" ca="1" si="13"/>
        <v>3.2375000000000007</v>
      </c>
      <c r="R31" s="105">
        <f t="shared" ca="1" si="14"/>
        <v>1</v>
      </c>
      <c r="S31" s="105">
        <f t="shared" ca="1" si="15"/>
        <v>2</v>
      </c>
    </row>
    <row r="32" spans="1:33" x14ac:dyDescent="0.35">
      <c r="A32" s="105">
        <f t="shared" ca="1" si="0"/>
        <v>39.222499999999982</v>
      </c>
      <c r="B32" s="105" t="str">
        <f t="shared" ca="1" si="1"/>
        <v>循环</v>
      </c>
      <c r="C32" s="105">
        <f t="shared" ca="1" si="2"/>
        <v>1</v>
      </c>
      <c r="D32" s="105">
        <f t="shared" ca="1" si="3"/>
        <v>31.425000000000018</v>
      </c>
      <c r="E32" s="105">
        <f t="shared" ca="1" si="4"/>
        <v>23.885000000000005</v>
      </c>
      <c r="F32" s="105">
        <f t="shared" ca="1" si="5"/>
        <v>25.237500000000004</v>
      </c>
      <c r="G32" s="105">
        <f t="shared" ca="1" si="16"/>
        <v>1</v>
      </c>
      <c r="H32" s="105">
        <f t="shared" ca="1" si="17"/>
        <v>21.425000000000026</v>
      </c>
      <c r="I32" s="105">
        <f t="shared" ca="1" si="6"/>
        <v>0</v>
      </c>
      <c r="J32" s="105">
        <f t="shared" ca="1" si="7"/>
        <v>0</v>
      </c>
      <c r="K32" s="105">
        <f t="shared" ca="1" si="8"/>
        <v>7.5725000000000042</v>
      </c>
      <c r="L32" s="105">
        <f t="shared" ca="1" si="9"/>
        <v>1</v>
      </c>
      <c r="M32" s="105">
        <f t="shared" ca="1" si="10"/>
        <v>0</v>
      </c>
      <c r="N32" s="105">
        <f t="shared" ca="1" si="9"/>
        <v>0</v>
      </c>
      <c r="O32" s="105">
        <f t="shared" ca="1" si="11"/>
        <v>8.2375000000000043</v>
      </c>
      <c r="P32" s="105">
        <f t="shared" ca="1" si="12"/>
        <v>1</v>
      </c>
      <c r="Q32" s="105">
        <f t="shared" ca="1" si="13"/>
        <v>1.8850000000000007</v>
      </c>
      <c r="R32" s="105">
        <f t="shared" ca="1" si="14"/>
        <v>1</v>
      </c>
      <c r="S32" s="105">
        <f t="shared" ca="1" si="15"/>
        <v>2</v>
      </c>
    </row>
    <row r="33" spans="1:19" x14ac:dyDescent="0.35">
      <c r="A33" s="105">
        <f t="shared" ca="1" si="0"/>
        <v>40.574999999999982</v>
      </c>
      <c r="B33" s="105" t="str">
        <f t="shared" ca="1" si="1"/>
        <v>循环</v>
      </c>
      <c r="C33" s="105">
        <f t="shared" ca="1" si="2"/>
        <v>1</v>
      </c>
      <c r="D33" s="105">
        <f t="shared" ca="1" si="3"/>
        <v>30.072500000000019</v>
      </c>
      <c r="E33" s="105">
        <f t="shared" ca="1" si="4"/>
        <v>22.532500000000006</v>
      </c>
      <c r="F33" s="105">
        <f t="shared" ca="1" si="5"/>
        <v>23.885000000000005</v>
      </c>
      <c r="G33" s="105">
        <f t="shared" ca="1" si="16"/>
        <v>1</v>
      </c>
      <c r="H33" s="105">
        <f t="shared" ca="1" si="17"/>
        <v>20.072500000000026</v>
      </c>
      <c r="I33" s="105">
        <f t="shared" ca="1" si="6"/>
        <v>0</v>
      </c>
      <c r="J33" s="105">
        <f t="shared" ca="1" si="7"/>
        <v>0</v>
      </c>
      <c r="K33" s="105">
        <f t="shared" ca="1" si="8"/>
        <v>6.2200000000000042</v>
      </c>
      <c r="L33" s="105">
        <f t="shared" ca="1" si="9"/>
        <v>1</v>
      </c>
      <c r="M33" s="105">
        <f t="shared" ca="1" si="10"/>
        <v>0</v>
      </c>
      <c r="N33" s="105">
        <f t="shared" ca="1" si="9"/>
        <v>0</v>
      </c>
      <c r="O33" s="105">
        <f t="shared" ca="1" si="11"/>
        <v>6.8850000000000042</v>
      </c>
      <c r="P33" s="105">
        <f t="shared" ca="1" si="12"/>
        <v>1</v>
      </c>
      <c r="Q33" s="105">
        <f t="shared" ca="1" si="13"/>
        <v>0.53250000000000064</v>
      </c>
      <c r="R33" s="105">
        <f t="shared" ca="1" si="14"/>
        <v>1</v>
      </c>
      <c r="S33" s="105">
        <f t="shared" ca="1" si="15"/>
        <v>2</v>
      </c>
    </row>
    <row r="34" spans="1:19" x14ac:dyDescent="0.35">
      <c r="A34" s="105">
        <f t="shared" ca="1" si="0"/>
        <v>41.927499999999981</v>
      </c>
      <c r="B34" s="105" t="str">
        <f t="shared" ca="1" si="1"/>
        <v>循环</v>
      </c>
      <c r="C34" s="105">
        <f t="shared" ca="1" si="2"/>
        <v>1</v>
      </c>
      <c r="D34" s="105">
        <f t="shared" ca="1" si="3"/>
        <v>28.72000000000002</v>
      </c>
      <c r="E34" s="105">
        <f t="shared" ca="1" si="4"/>
        <v>21.180000000000007</v>
      </c>
      <c r="F34" s="105">
        <f t="shared" ca="1" si="5"/>
        <v>22.532500000000006</v>
      </c>
      <c r="G34" s="105">
        <f t="shared" ca="1" si="16"/>
        <v>1</v>
      </c>
      <c r="H34" s="105">
        <f t="shared" ca="1" si="17"/>
        <v>18.720000000000027</v>
      </c>
      <c r="I34" s="105">
        <f t="shared" ca="1" si="6"/>
        <v>0</v>
      </c>
      <c r="J34" s="105">
        <f t="shared" ca="1" si="7"/>
        <v>0</v>
      </c>
      <c r="K34" s="105">
        <f t="shared" ca="1" si="8"/>
        <v>4.8675000000000042</v>
      </c>
      <c r="L34" s="105">
        <f t="shared" ca="1" si="9"/>
        <v>1</v>
      </c>
      <c r="M34" s="105">
        <f t="shared" ca="1" si="10"/>
        <v>0</v>
      </c>
      <c r="N34" s="105">
        <f t="shared" ca="1" si="9"/>
        <v>0</v>
      </c>
      <c r="O34" s="105">
        <f t="shared" ca="1" si="11"/>
        <v>5.5325000000000042</v>
      </c>
      <c r="P34" s="105">
        <f t="shared" ca="1" si="12"/>
        <v>1</v>
      </c>
      <c r="Q34" s="105">
        <f t="shared" ca="1" si="13"/>
        <v>0</v>
      </c>
      <c r="R34" s="105">
        <f t="shared" ca="1" si="14"/>
        <v>1</v>
      </c>
      <c r="S34" s="105">
        <f t="shared" ca="1" si="15"/>
        <v>2</v>
      </c>
    </row>
    <row r="35" spans="1:19" x14ac:dyDescent="0.35">
      <c r="A35" s="105">
        <f t="shared" ca="1" si="0"/>
        <v>43.27999999999998</v>
      </c>
      <c r="B35" s="105" t="str">
        <f t="shared" ca="1" si="1"/>
        <v>循环</v>
      </c>
      <c r="C35" s="105">
        <f t="shared" ca="1" si="2"/>
        <v>1</v>
      </c>
      <c r="D35" s="105">
        <f t="shared" ca="1" si="3"/>
        <v>27.367500000000021</v>
      </c>
      <c r="E35" s="105">
        <f t="shared" ca="1" si="4"/>
        <v>19.827500000000008</v>
      </c>
      <c r="F35" s="105">
        <f t="shared" ca="1" si="5"/>
        <v>21.180000000000007</v>
      </c>
      <c r="G35" s="105">
        <f t="shared" ca="1" si="16"/>
        <v>1</v>
      </c>
      <c r="H35" s="105">
        <f t="shared" ca="1" si="17"/>
        <v>17.367500000000028</v>
      </c>
      <c r="I35" s="105">
        <f t="shared" ca="1" si="6"/>
        <v>0</v>
      </c>
      <c r="J35" s="105">
        <f t="shared" ca="1" si="7"/>
        <v>0</v>
      </c>
      <c r="K35" s="105">
        <f t="shared" ca="1" si="8"/>
        <v>3.5150000000000041</v>
      </c>
      <c r="L35" s="105">
        <f t="shared" ca="1" si="9"/>
        <v>1</v>
      </c>
      <c r="M35" s="105">
        <f t="shared" ca="1" si="10"/>
        <v>0</v>
      </c>
      <c r="N35" s="105">
        <f t="shared" ca="1" si="9"/>
        <v>0</v>
      </c>
      <c r="O35" s="105">
        <f t="shared" ca="1" si="11"/>
        <v>4.1800000000000042</v>
      </c>
      <c r="P35" s="105">
        <f t="shared" ca="1" si="12"/>
        <v>1</v>
      </c>
      <c r="Q35" s="105">
        <f t="shared" ca="1" si="13"/>
        <v>0</v>
      </c>
      <c r="R35" s="105">
        <f t="shared" ca="1" si="14"/>
        <v>0</v>
      </c>
      <c r="S35" s="105">
        <f t="shared" ca="1" si="15"/>
        <v>2</v>
      </c>
    </row>
    <row r="36" spans="1:19" x14ac:dyDescent="0.35">
      <c r="A36" s="105">
        <f t="shared" ca="1" si="0"/>
        <v>44.632499999999979</v>
      </c>
      <c r="B36" s="105" t="str">
        <f t="shared" ca="1" si="1"/>
        <v>循环</v>
      </c>
      <c r="C36" s="105">
        <f t="shared" ca="1" si="2"/>
        <v>1</v>
      </c>
      <c r="D36" s="105">
        <f t="shared" ca="1" si="3"/>
        <v>26.015000000000022</v>
      </c>
      <c r="E36" s="105">
        <f t="shared" ca="1" si="4"/>
        <v>18.475000000000009</v>
      </c>
      <c r="F36" s="105">
        <f t="shared" ca="1" si="5"/>
        <v>19.827500000000008</v>
      </c>
      <c r="G36" s="105">
        <f t="shared" ca="1" si="16"/>
        <v>1</v>
      </c>
      <c r="H36" s="105">
        <f t="shared" ca="1" si="17"/>
        <v>16.015000000000029</v>
      </c>
      <c r="I36" s="105">
        <f t="shared" ca="1" si="6"/>
        <v>0</v>
      </c>
      <c r="J36" s="105">
        <f t="shared" ca="1" si="7"/>
        <v>0</v>
      </c>
      <c r="K36" s="105">
        <f t="shared" ca="1" si="8"/>
        <v>2.1625000000000041</v>
      </c>
      <c r="L36" s="105">
        <f t="shared" ca="1" si="9"/>
        <v>1</v>
      </c>
      <c r="M36" s="105">
        <f t="shared" ca="1" si="10"/>
        <v>0</v>
      </c>
      <c r="N36" s="105">
        <f t="shared" ca="1" si="9"/>
        <v>0</v>
      </c>
      <c r="O36" s="105">
        <f t="shared" ca="1" si="11"/>
        <v>2.8275000000000041</v>
      </c>
      <c r="P36" s="105">
        <f t="shared" ca="1" si="12"/>
        <v>1</v>
      </c>
      <c r="Q36" s="105">
        <f t="shared" ca="1" si="13"/>
        <v>0</v>
      </c>
      <c r="R36" s="105">
        <f t="shared" ca="1" si="14"/>
        <v>0</v>
      </c>
      <c r="S36" s="105">
        <f t="shared" ca="1" si="15"/>
        <v>2</v>
      </c>
    </row>
    <row r="37" spans="1:19" x14ac:dyDescent="0.35">
      <c r="A37" s="105">
        <f t="shared" ca="1" si="0"/>
        <v>45.984999999999978</v>
      </c>
      <c r="B37" s="105" t="str">
        <f t="shared" ca="1" si="1"/>
        <v>循环</v>
      </c>
      <c r="C37" s="105">
        <f t="shared" ca="1" si="2"/>
        <v>1</v>
      </c>
      <c r="D37" s="105">
        <f t="shared" ca="1" si="3"/>
        <v>24.662500000000023</v>
      </c>
      <c r="E37" s="105">
        <f t="shared" ca="1" si="4"/>
        <v>17.122500000000009</v>
      </c>
      <c r="F37" s="105">
        <f t="shared" ca="1" si="5"/>
        <v>18.475000000000009</v>
      </c>
      <c r="G37" s="105">
        <f t="shared" ca="1" si="16"/>
        <v>1</v>
      </c>
      <c r="H37" s="105">
        <f t="shared" ca="1" si="17"/>
        <v>14.66250000000003</v>
      </c>
      <c r="I37" s="105">
        <f t="shared" ca="1" si="6"/>
        <v>0</v>
      </c>
      <c r="J37" s="105">
        <f t="shared" ca="1" si="7"/>
        <v>0</v>
      </c>
      <c r="K37" s="105">
        <f t="shared" ca="1" si="8"/>
        <v>0.81000000000000405</v>
      </c>
      <c r="L37" s="105">
        <f t="shared" ca="1" si="9"/>
        <v>1</v>
      </c>
      <c r="M37" s="105">
        <f t="shared" ca="1" si="10"/>
        <v>0</v>
      </c>
      <c r="N37" s="105">
        <f t="shared" ca="1" si="9"/>
        <v>0</v>
      </c>
      <c r="O37" s="105">
        <f t="shared" ca="1" si="11"/>
        <v>1.4750000000000041</v>
      </c>
      <c r="P37" s="105">
        <f t="shared" ca="1" si="12"/>
        <v>1</v>
      </c>
      <c r="Q37" s="105">
        <f t="shared" ca="1" si="13"/>
        <v>0</v>
      </c>
      <c r="R37" s="105">
        <f t="shared" ca="1" si="14"/>
        <v>0</v>
      </c>
      <c r="S37" s="105">
        <f t="shared" ca="1" si="15"/>
        <v>2</v>
      </c>
    </row>
    <row r="38" spans="1:19" x14ac:dyDescent="0.35">
      <c r="A38" s="105">
        <f t="shared" ca="1" si="0"/>
        <v>47.337499999999977</v>
      </c>
      <c r="B38" s="105" t="str">
        <f t="shared" ca="1" si="1"/>
        <v>循环</v>
      </c>
      <c r="C38" s="105">
        <f t="shared" ca="1" si="2"/>
        <v>1</v>
      </c>
      <c r="D38" s="105">
        <f t="shared" ca="1" si="3"/>
        <v>23.310000000000024</v>
      </c>
      <c r="E38" s="105">
        <f t="shared" ca="1" si="4"/>
        <v>15.77000000000001</v>
      </c>
      <c r="F38" s="105">
        <f t="shared" ca="1" si="5"/>
        <v>17.122500000000009</v>
      </c>
      <c r="G38" s="105">
        <f t="shared" ca="1" si="16"/>
        <v>1</v>
      </c>
      <c r="H38" s="105">
        <f t="shared" ca="1" si="17"/>
        <v>13.310000000000031</v>
      </c>
      <c r="I38" s="105">
        <f t="shared" ca="1" si="6"/>
        <v>0</v>
      </c>
      <c r="J38" s="105">
        <f t="shared" ca="1" si="7"/>
        <v>0</v>
      </c>
      <c r="K38" s="105">
        <f t="shared" ca="1" si="8"/>
        <v>0</v>
      </c>
      <c r="L38" s="105">
        <f t="shared" ca="1" si="9"/>
        <v>1</v>
      </c>
      <c r="M38" s="105">
        <f t="shared" ca="1" si="10"/>
        <v>0</v>
      </c>
      <c r="N38" s="105">
        <f t="shared" ca="1" si="9"/>
        <v>0</v>
      </c>
      <c r="O38" s="105">
        <f t="shared" ca="1" si="11"/>
        <v>0.12250000000000405</v>
      </c>
      <c r="P38" s="105">
        <f t="shared" ca="1" si="12"/>
        <v>1</v>
      </c>
      <c r="Q38" s="105">
        <f t="shared" ca="1" si="13"/>
        <v>0</v>
      </c>
      <c r="R38" s="105">
        <f t="shared" ca="1" si="14"/>
        <v>0</v>
      </c>
      <c r="S38" s="105">
        <f t="shared" ca="1" si="15"/>
        <v>2</v>
      </c>
    </row>
    <row r="39" spans="1:19" x14ac:dyDescent="0.35">
      <c r="A39" s="105">
        <f t="shared" ca="1" si="0"/>
        <v>48.689999999999976</v>
      </c>
      <c r="B39" s="105" t="str">
        <f t="shared" ca="1" si="1"/>
        <v>循环</v>
      </c>
      <c r="C39" s="105">
        <f t="shared" ca="1" si="2"/>
        <v>1</v>
      </c>
      <c r="D39" s="105">
        <f t="shared" ca="1" si="3"/>
        <v>21.957500000000024</v>
      </c>
      <c r="E39" s="105">
        <f t="shared" ca="1" si="4"/>
        <v>14.417500000000011</v>
      </c>
      <c r="F39" s="105">
        <f t="shared" ca="1" si="5"/>
        <v>15.77000000000001</v>
      </c>
      <c r="G39" s="105">
        <f t="shared" ca="1" si="16"/>
        <v>1</v>
      </c>
      <c r="H39" s="105">
        <f t="shared" ca="1" si="17"/>
        <v>11.957500000000032</v>
      </c>
      <c r="I39" s="105">
        <f t="shared" ca="1" si="6"/>
        <v>0</v>
      </c>
      <c r="J39" s="105">
        <f t="shared" ca="1" si="7"/>
        <v>0</v>
      </c>
      <c r="K39" s="105">
        <f t="shared" ca="1" si="8"/>
        <v>0</v>
      </c>
      <c r="L39" s="105">
        <f t="shared" ca="1" si="9"/>
        <v>0</v>
      </c>
      <c r="M39" s="105">
        <f t="shared" ca="1" si="10"/>
        <v>0</v>
      </c>
      <c r="N39" s="105">
        <f t="shared" ca="1" si="9"/>
        <v>0</v>
      </c>
      <c r="O39" s="105">
        <f t="shared" ca="1" si="11"/>
        <v>0</v>
      </c>
      <c r="P39" s="105">
        <f t="shared" ca="1" si="12"/>
        <v>1</v>
      </c>
      <c r="Q39" s="105">
        <f t="shared" ca="1" si="13"/>
        <v>0</v>
      </c>
      <c r="R39" s="105">
        <f t="shared" ca="1" si="14"/>
        <v>0</v>
      </c>
      <c r="S39" s="105">
        <f t="shared" ca="1" si="15"/>
        <v>2</v>
      </c>
    </row>
    <row r="40" spans="1:19" x14ac:dyDescent="0.35">
      <c r="A40" s="105">
        <f t="shared" ca="1" si="0"/>
        <v>50.042499999999976</v>
      </c>
      <c r="B40" s="105" t="str">
        <f t="shared" ca="1" si="1"/>
        <v>循环</v>
      </c>
      <c r="C40" s="105">
        <f t="shared" ca="1" si="2"/>
        <v>1</v>
      </c>
      <c r="D40" s="105">
        <f t="shared" ca="1" si="3"/>
        <v>20.605000000000025</v>
      </c>
      <c r="E40" s="105">
        <f t="shared" ca="1" si="4"/>
        <v>13.065000000000012</v>
      </c>
      <c r="F40" s="105">
        <f t="shared" ca="1" si="5"/>
        <v>14.417500000000011</v>
      </c>
      <c r="G40" s="105">
        <f t="shared" ca="1" si="16"/>
        <v>1</v>
      </c>
      <c r="H40" s="105">
        <f t="shared" ca="1" si="17"/>
        <v>10.605000000000032</v>
      </c>
      <c r="I40" s="105">
        <f t="shared" ca="1" si="6"/>
        <v>0</v>
      </c>
      <c r="J40" s="105">
        <f t="shared" ca="1" si="7"/>
        <v>0</v>
      </c>
      <c r="K40" s="105">
        <f t="shared" ca="1" si="8"/>
        <v>0</v>
      </c>
      <c r="L40" s="105">
        <f t="shared" ca="1" si="9"/>
        <v>0</v>
      </c>
      <c r="M40" s="105">
        <f t="shared" ca="1" si="10"/>
        <v>0</v>
      </c>
      <c r="N40" s="105">
        <f t="shared" ca="1" si="9"/>
        <v>0</v>
      </c>
      <c r="O40" s="105">
        <f t="shared" ca="1" si="11"/>
        <v>0</v>
      </c>
      <c r="P40" s="105">
        <f t="shared" ca="1" si="12"/>
        <v>0</v>
      </c>
      <c r="Q40" s="105">
        <f t="shared" ca="1" si="13"/>
        <v>0</v>
      </c>
      <c r="R40" s="105">
        <f t="shared" ca="1" si="14"/>
        <v>0</v>
      </c>
      <c r="S40" s="105">
        <f t="shared" ca="1" si="15"/>
        <v>2</v>
      </c>
    </row>
    <row r="41" spans="1:19" x14ac:dyDescent="0.35">
      <c r="A41" s="105">
        <f t="shared" ca="1" si="0"/>
        <v>51.394999999999975</v>
      </c>
      <c r="B41" s="105" t="str">
        <f t="shared" ca="1" si="1"/>
        <v>循环</v>
      </c>
      <c r="C41" s="105">
        <f t="shared" ca="1" si="2"/>
        <v>1</v>
      </c>
      <c r="D41" s="105">
        <f t="shared" ca="1" si="3"/>
        <v>19.252500000000026</v>
      </c>
      <c r="E41" s="105">
        <f t="shared" ca="1" si="4"/>
        <v>11.712500000000013</v>
      </c>
      <c r="F41" s="105">
        <f t="shared" ca="1" si="5"/>
        <v>13.065000000000012</v>
      </c>
      <c r="G41" s="105">
        <f t="shared" ca="1" si="16"/>
        <v>1</v>
      </c>
      <c r="H41" s="105">
        <f t="shared" ca="1" si="17"/>
        <v>9.2525000000000333</v>
      </c>
      <c r="I41" s="105">
        <f t="shared" ca="1" si="6"/>
        <v>0</v>
      </c>
      <c r="J41" s="105">
        <f t="shared" ca="1" si="7"/>
        <v>0</v>
      </c>
      <c r="K41" s="105">
        <f t="shared" ca="1" si="8"/>
        <v>0</v>
      </c>
      <c r="L41" s="105">
        <f t="shared" ca="1" si="9"/>
        <v>0</v>
      </c>
      <c r="M41" s="105">
        <f t="shared" ca="1" si="10"/>
        <v>0</v>
      </c>
      <c r="N41" s="105">
        <f t="shared" ca="1" si="9"/>
        <v>0</v>
      </c>
      <c r="O41" s="105">
        <f t="shared" ca="1" si="11"/>
        <v>0</v>
      </c>
      <c r="P41" s="105">
        <f t="shared" ca="1" si="12"/>
        <v>0</v>
      </c>
      <c r="Q41" s="105">
        <f t="shared" ca="1" si="13"/>
        <v>0</v>
      </c>
      <c r="R41" s="105">
        <f t="shared" ca="1" si="14"/>
        <v>0</v>
      </c>
      <c r="S41" s="105">
        <f t="shared" ca="1" si="15"/>
        <v>2</v>
      </c>
    </row>
    <row r="42" spans="1:19" x14ac:dyDescent="0.35">
      <c r="A42" s="105">
        <f t="shared" ca="1" si="0"/>
        <v>52.747499999999974</v>
      </c>
      <c r="B42" s="105" t="str">
        <f t="shared" ca="1" si="1"/>
        <v>循环</v>
      </c>
      <c r="C42" s="105">
        <f t="shared" ca="1" si="2"/>
        <v>1</v>
      </c>
      <c r="D42" s="105">
        <f t="shared" ca="1" si="3"/>
        <v>17.900000000000027</v>
      </c>
      <c r="E42" s="105">
        <f t="shared" ca="1" si="4"/>
        <v>10.360000000000014</v>
      </c>
      <c r="F42" s="105">
        <f t="shared" ca="1" si="5"/>
        <v>11.712500000000013</v>
      </c>
      <c r="G42" s="105">
        <f t="shared" ca="1" si="16"/>
        <v>1</v>
      </c>
      <c r="H42" s="105">
        <f t="shared" ca="1" si="17"/>
        <v>7.9000000000000332</v>
      </c>
      <c r="I42" s="105">
        <f t="shared" ca="1" si="6"/>
        <v>0</v>
      </c>
      <c r="J42" s="105">
        <f t="shared" ca="1" si="7"/>
        <v>0</v>
      </c>
      <c r="K42" s="105">
        <f t="shared" ca="1" si="8"/>
        <v>0</v>
      </c>
      <c r="L42" s="105">
        <f t="shared" ca="1" si="9"/>
        <v>0</v>
      </c>
      <c r="M42" s="105">
        <f t="shared" ca="1" si="10"/>
        <v>0</v>
      </c>
      <c r="N42" s="105">
        <f t="shared" ca="1" si="9"/>
        <v>0</v>
      </c>
      <c r="O42" s="105">
        <f t="shared" ca="1" si="11"/>
        <v>0</v>
      </c>
      <c r="P42" s="105">
        <f t="shared" ca="1" si="12"/>
        <v>0</v>
      </c>
      <c r="Q42" s="105">
        <f t="shared" ca="1" si="13"/>
        <v>0</v>
      </c>
      <c r="R42" s="105">
        <f t="shared" ca="1" si="14"/>
        <v>0</v>
      </c>
      <c r="S42" s="105">
        <f t="shared" ca="1" si="15"/>
        <v>2</v>
      </c>
    </row>
    <row r="43" spans="1:19" x14ac:dyDescent="0.35">
      <c r="A43" s="105">
        <f t="shared" ca="1" si="0"/>
        <v>54.099999999999973</v>
      </c>
      <c r="B43" s="105" t="str">
        <f t="shared" ca="1" si="1"/>
        <v>循环</v>
      </c>
      <c r="C43" s="105">
        <f t="shared" ca="1" si="2"/>
        <v>1</v>
      </c>
      <c r="D43" s="105">
        <f t="shared" ca="1" si="3"/>
        <v>16.547500000000028</v>
      </c>
      <c r="E43" s="105">
        <f t="shared" ca="1" si="4"/>
        <v>9.0075000000000145</v>
      </c>
      <c r="F43" s="105">
        <f t="shared" ca="1" si="5"/>
        <v>10.360000000000014</v>
      </c>
      <c r="G43" s="105">
        <f t="shared" ca="1" si="16"/>
        <v>1</v>
      </c>
      <c r="H43" s="105">
        <f t="shared" ca="1" si="17"/>
        <v>6.5475000000000332</v>
      </c>
      <c r="I43" s="105">
        <f t="shared" ca="1" si="6"/>
        <v>0</v>
      </c>
      <c r="J43" s="105">
        <f t="shared" ca="1" si="7"/>
        <v>0</v>
      </c>
      <c r="K43" s="105">
        <f t="shared" ca="1" si="8"/>
        <v>0</v>
      </c>
      <c r="L43" s="105">
        <f t="shared" ca="1" si="9"/>
        <v>0</v>
      </c>
      <c r="M43" s="105">
        <f t="shared" ca="1" si="10"/>
        <v>0</v>
      </c>
      <c r="N43" s="105">
        <f t="shared" ca="1" si="9"/>
        <v>0</v>
      </c>
      <c r="O43" s="105">
        <f t="shared" ca="1" si="11"/>
        <v>0</v>
      </c>
      <c r="P43" s="105">
        <f t="shared" ca="1" si="12"/>
        <v>0</v>
      </c>
      <c r="Q43" s="105">
        <f t="shared" ca="1" si="13"/>
        <v>0</v>
      </c>
      <c r="R43" s="105">
        <f t="shared" ca="1" si="14"/>
        <v>0</v>
      </c>
      <c r="S43" s="105">
        <f t="shared" ca="1" si="15"/>
        <v>2</v>
      </c>
    </row>
    <row r="44" spans="1:19" x14ac:dyDescent="0.35">
      <c r="A44" s="105">
        <f t="shared" ca="1" si="0"/>
        <v>55.452499999999972</v>
      </c>
      <c r="B44" s="105" t="str">
        <f t="shared" ca="1" si="1"/>
        <v>循环</v>
      </c>
      <c r="C44" s="105">
        <f t="shared" ca="1" si="2"/>
        <v>1</v>
      </c>
      <c r="D44" s="105">
        <f t="shared" ca="1" si="3"/>
        <v>15.195000000000029</v>
      </c>
      <c r="E44" s="105">
        <f t="shared" ca="1" si="4"/>
        <v>7.6550000000000145</v>
      </c>
      <c r="F44" s="105">
        <f t="shared" ca="1" si="5"/>
        <v>9.0075000000000145</v>
      </c>
      <c r="G44" s="105">
        <f t="shared" ca="1" si="16"/>
        <v>1</v>
      </c>
      <c r="H44" s="105">
        <f t="shared" ca="1" si="17"/>
        <v>5.1950000000000331</v>
      </c>
      <c r="I44" s="105">
        <f t="shared" ca="1" si="6"/>
        <v>0</v>
      </c>
      <c r="J44" s="105">
        <f t="shared" ca="1" si="7"/>
        <v>0</v>
      </c>
      <c r="K44" s="105">
        <f t="shared" ca="1" si="8"/>
        <v>0</v>
      </c>
      <c r="L44" s="105">
        <f t="shared" ca="1" si="9"/>
        <v>0</v>
      </c>
      <c r="M44" s="105">
        <f t="shared" ca="1" si="10"/>
        <v>0</v>
      </c>
      <c r="N44" s="105">
        <f t="shared" ca="1" si="9"/>
        <v>0</v>
      </c>
      <c r="O44" s="105">
        <f t="shared" ca="1" si="11"/>
        <v>0</v>
      </c>
      <c r="P44" s="105">
        <f t="shared" ca="1" si="12"/>
        <v>0</v>
      </c>
      <c r="Q44" s="105">
        <f t="shared" ca="1" si="13"/>
        <v>0</v>
      </c>
      <c r="R44" s="105">
        <f t="shared" ca="1" si="14"/>
        <v>0</v>
      </c>
      <c r="S44" s="105">
        <f t="shared" ca="1" si="15"/>
        <v>2</v>
      </c>
    </row>
    <row r="45" spans="1:19" x14ac:dyDescent="0.35">
      <c r="A45" s="105">
        <f t="shared" ca="1" si="0"/>
        <v>56.804999999999971</v>
      </c>
      <c r="B45" s="105" t="str">
        <f t="shared" ca="1" si="1"/>
        <v>循环</v>
      </c>
      <c r="C45" s="105">
        <f t="shared" ca="1" si="2"/>
        <v>1</v>
      </c>
      <c r="D45" s="105">
        <f t="shared" ca="1" si="3"/>
        <v>13.84250000000003</v>
      </c>
      <c r="E45" s="105">
        <f t="shared" ca="1" si="4"/>
        <v>6.3025000000000144</v>
      </c>
      <c r="F45" s="105">
        <f t="shared" ca="1" si="5"/>
        <v>7.6550000000000145</v>
      </c>
      <c r="G45" s="105">
        <f t="shared" ca="1" si="16"/>
        <v>1</v>
      </c>
      <c r="H45" s="105">
        <f t="shared" ca="1" si="17"/>
        <v>3.8425000000000331</v>
      </c>
      <c r="I45" s="105">
        <f t="shared" ca="1" si="6"/>
        <v>0</v>
      </c>
      <c r="J45" s="105">
        <f t="shared" ca="1" si="7"/>
        <v>0</v>
      </c>
      <c r="K45" s="105">
        <f t="shared" ca="1" si="8"/>
        <v>0</v>
      </c>
      <c r="L45" s="105">
        <f t="shared" ca="1" si="9"/>
        <v>0</v>
      </c>
      <c r="M45" s="105">
        <f t="shared" ca="1" si="10"/>
        <v>0</v>
      </c>
      <c r="N45" s="105">
        <f t="shared" ca="1" si="9"/>
        <v>0</v>
      </c>
      <c r="O45" s="105">
        <f t="shared" ca="1" si="11"/>
        <v>0</v>
      </c>
      <c r="P45" s="105">
        <f t="shared" ca="1" si="12"/>
        <v>0</v>
      </c>
      <c r="Q45" s="105">
        <f t="shared" ca="1" si="13"/>
        <v>0</v>
      </c>
      <c r="R45" s="105">
        <f t="shared" ca="1" si="14"/>
        <v>0</v>
      </c>
      <c r="S45" s="105">
        <f t="shared" ca="1" si="15"/>
        <v>2</v>
      </c>
    </row>
    <row r="46" spans="1:19" x14ac:dyDescent="0.35">
      <c r="A46" s="105">
        <f t="shared" ca="1" si="0"/>
        <v>58.15749999999997</v>
      </c>
      <c r="B46" s="105" t="str">
        <f t="shared" ca="1" si="1"/>
        <v>循环</v>
      </c>
      <c r="C46" s="105">
        <f t="shared" ca="1" si="2"/>
        <v>1</v>
      </c>
      <c r="D46" s="105">
        <f t="shared" ca="1" si="3"/>
        <v>12.49000000000003</v>
      </c>
      <c r="E46" s="105">
        <f t="shared" ca="1" si="4"/>
        <v>4.9500000000000144</v>
      </c>
      <c r="F46" s="105">
        <f t="shared" ca="1" si="5"/>
        <v>6.3025000000000144</v>
      </c>
      <c r="G46" s="105">
        <f t="shared" ca="1" si="16"/>
        <v>1</v>
      </c>
      <c r="H46" s="105">
        <f t="shared" ca="1" si="17"/>
        <v>2.4900000000000331</v>
      </c>
      <c r="I46" s="105">
        <f t="shared" ca="1" si="6"/>
        <v>0</v>
      </c>
      <c r="J46" s="105">
        <f t="shared" ca="1" si="7"/>
        <v>0</v>
      </c>
      <c r="K46" s="105">
        <f t="shared" ca="1" si="8"/>
        <v>0</v>
      </c>
      <c r="L46" s="105">
        <f t="shared" ca="1" si="9"/>
        <v>0</v>
      </c>
      <c r="M46" s="105">
        <f t="shared" ca="1" si="10"/>
        <v>0</v>
      </c>
      <c r="N46" s="105">
        <f t="shared" ca="1" si="9"/>
        <v>0</v>
      </c>
      <c r="O46" s="105">
        <f t="shared" ca="1" si="11"/>
        <v>0</v>
      </c>
      <c r="P46" s="105">
        <f t="shared" ca="1" si="12"/>
        <v>0</v>
      </c>
      <c r="Q46" s="105">
        <f t="shared" ca="1" si="13"/>
        <v>0</v>
      </c>
      <c r="R46" s="105">
        <f t="shared" ca="1" si="14"/>
        <v>0</v>
      </c>
      <c r="S46" s="105">
        <f t="shared" ca="1" si="15"/>
        <v>2</v>
      </c>
    </row>
    <row r="47" spans="1:19" x14ac:dyDescent="0.35">
      <c r="A47" s="105">
        <f t="shared" ca="1" si="0"/>
        <v>59.50999999999997</v>
      </c>
      <c r="B47" s="105" t="str">
        <f t="shared" ca="1" si="1"/>
        <v>循环</v>
      </c>
      <c r="C47" s="105">
        <f t="shared" ca="1" si="2"/>
        <v>1</v>
      </c>
      <c r="D47" s="105">
        <f t="shared" ca="1" si="3"/>
        <v>11.137500000000031</v>
      </c>
      <c r="E47" s="105">
        <f t="shared" ca="1" si="4"/>
        <v>3.5975000000000144</v>
      </c>
      <c r="F47" s="105">
        <f t="shared" ca="1" si="5"/>
        <v>4.9500000000000144</v>
      </c>
      <c r="G47" s="105">
        <f t="shared" ca="1" si="16"/>
        <v>1</v>
      </c>
      <c r="H47" s="105">
        <f t="shared" ca="1" si="17"/>
        <v>1.137500000000033</v>
      </c>
      <c r="I47" s="105">
        <f t="shared" ca="1" si="6"/>
        <v>0</v>
      </c>
      <c r="J47" s="105">
        <f t="shared" ca="1" si="7"/>
        <v>0</v>
      </c>
      <c r="K47" s="105">
        <f t="shared" ca="1" si="8"/>
        <v>0</v>
      </c>
      <c r="L47" s="105">
        <f t="shared" ca="1" si="9"/>
        <v>0</v>
      </c>
      <c r="M47" s="105">
        <f t="shared" ca="1" si="10"/>
        <v>0</v>
      </c>
      <c r="N47" s="105">
        <f t="shared" ca="1" si="9"/>
        <v>0</v>
      </c>
      <c r="O47" s="105">
        <f t="shared" ca="1" si="11"/>
        <v>0</v>
      </c>
      <c r="P47" s="105">
        <f t="shared" ca="1" si="12"/>
        <v>0</v>
      </c>
      <c r="Q47" s="105">
        <f t="shared" ca="1" si="13"/>
        <v>0</v>
      </c>
      <c r="R47" s="105">
        <f t="shared" ca="1" si="14"/>
        <v>0</v>
      </c>
      <c r="S47" s="105">
        <f t="shared" ca="1" si="15"/>
        <v>2</v>
      </c>
    </row>
    <row r="48" spans="1:19" x14ac:dyDescent="0.35">
      <c r="A48" s="105">
        <f t="shared" ca="1" si="0"/>
        <v>60.862499999999969</v>
      </c>
      <c r="B48" s="105" t="str">
        <f t="shared" ca="1" si="1"/>
        <v>循环</v>
      </c>
      <c r="C48" s="105">
        <f t="shared" ca="1" si="2"/>
        <v>1</v>
      </c>
      <c r="D48" s="105">
        <f t="shared" ca="1" si="3"/>
        <v>9.7850000000000321</v>
      </c>
      <c r="E48" s="105">
        <f t="shared" ca="1" si="4"/>
        <v>2.2450000000000143</v>
      </c>
      <c r="F48" s="105">
        <f t="shared" ca="1" si="5"/>
        <v>3.5975000000000144</v>
      </c>
      <c r="G48" s="105">
        <f t="shared" ca="1" si="16"/>
        <v>1</v>
      </c>
      <c r="H48" s="105">
        <f t="shared" ca="1" si="17"/>
        <v>0</v>
      </c>
      <c r="I48" s="105">
        <f t="shared" ca="1" si="6"/>
        <v>0</v>
      </c>
      <c r="J48" s="105">
        <f t="shared" ca="1" si="7"/>
        <v>0</v>
      </c>
      <c r="K48" s="105">
        <f t="shared" ca="1" si="8"/>
        <v>0</v>
      </c>
      <c r="L48" s="105">
        <f t="shared" ca="1" si="9"/>
        <v>0</v>
      </c>
      <c r="M48" s="105">
        <f t="shared" ca="1" si="10"/>
        <v>0</v>
      </c>
      <c r="N48" s="105">
        <f t="shared" ca="1" si="9"/>
        <v>0</v>
      </c>
      <c r="O48" s="105">
        <f t="shared" ca="1" si="11"/>
        <v>0</v>
      </c>
      <c r="P48" s="105">
        <f t="shared" ca="1" si="12"/>
        <v>0</v>
      </c>
      <c r="Q48" s="105">
        <f t="shared" ca="1" si="13"/>
        <v>0</v>
      </c>
      <c r="R48" s="105">
        <f t="shared" ca="1" si="14"/>
        <v>0</v>
      </c>
      <c r="S48" s="105">
        <f t="shared" ca="1" si="15"/>
        <v>2</v>
      </c>
    </row>
    <row r="49" spans="1:19" x14ac:dyDescent="0.35">
      <c r="A49" s="105">
        <f t="shared" ca="1" si="0"/>
        <v>62.214999999999968</v>
      </c>
      <c r="B49" s="105" t="str">
        <f t="shared" ca="1" si="1"/>
        <v>循环</v>
      </c>
      <c r="C49" s="105">
        <f t="shared" ca="1" si="2"/>
        <v>1</v>
      </c>
      <c r="D49" s="105">
        <f t="shared" ca="1" si="3"/>
        <v>8.432500000000033</v>
      </c>
      <c r="E49" s="105">
        <f t="shared" ca="1" si="4"/>
        <v>0.89250000000001428</v>
      </c>
      <c r="F49" s="105">
        <f t="shared" ca="1" si="5"/>
        <v>2.2450000000000143</v>
      </c>
      <c r="G49" s="105">
        <f t="shared" ca="1" si="16"/>
        <v>0</v>
      </c>
      <c r="H49" s="105">
        <f t="shared" ca="1" si="17"/>
        <v>0</v>
      </c>
      <c r="I49" s="105">
        <f t="shared" ca="1" si="6"/>
        <v>0</v>
      </c>
      <c r="J49" s="105">
        <f t="shared" ca="1" si="7"/>
        <v>0</v>
      </c>
      <c r="K49" s="105">
        <f t="shared" ca="1" si="8"/>
        <v>0</v>
      </c>
      <c r="L49" s="105">
        <f t="shared" ca="1" si="9"/>
        <v>0</v>
      </c>
      <c r="M49" s="105">
        <f t="shared" ca="1" si="10"/>
        <v>0</v>
      </c>
      <c r="N49" s="105">
        <f t="shared" ca="1" si="9"/>
        <v>0</v>
      </c>
      <c r="O49" s="105">
        <f t="shared" ca="1" si="11"/>
        <v>0</v>
      </c>
      <c r="P49" s="105">
        <f t="shared" ca="1" si="12"/>
        <v>0</v>
      </c>
      <c r="Q49" s="105">
        <f t="shared" ca="1" si="13"/>
        <v>0</v>
      </c>
      <c r="R49" s="105">
        <f t="shared" ca="1" si="14"/>
        <v>0</v>
      </c>
      <c r="S49" s="105">
        <f t="shared" ca="1" si="15"/>
        <v>2</v>
      </c>
    </row>
    <row r="50" spans="1:19" x14ac:dyDescent="0.35">
      <c r="A50" s="105">
        <f t="shared" ca="1" si="0"/>
        <v>63.567499999999967</v>
      </c>
      <c r="B50" s="105" t="str">
        <f t="shared" ca="1" si="1"/>
        <v>突循环</v>
      </c>
      <c r="C50" s="105">
        <f t="shared" ca="1" si="2"/>
        <v>1</v>
      </c>
      <c r="D50" s="105">
        <f t="shared" ca="1" si="3"/>
        <v>7.0800000000000329</v>
      </c>
      <c r="E50" s="105">
        <f t="shared" ca="1" si="4"/>
        <v>0</v>
      </c>
      <c r="F50" s="105">
        <f t="shared" ca="1" si="5"/>
        <v>0.89250000000001428</v>
      </c>
      <c r="G50" s="105">
        <f t="shared" ca="1" si="16"/>
        <v>0</v>
      </c>
      <c r="H50" s="105">
        <f t="shared" ca="1" si="17"/>
        <v>60.647500000000001</v>
      </c>
      <c r="I50" s="105">
        <f t="shared" ca="1" si="6"/>
        <v>0</v>
      </c>
      <c r="J50" s="105">
        <f t="shared" ca="1" si="7"/>
        <v>0</v>
      </c>
      <c r="K50" s="105">
        <f t="shared" ca="1" si="8"/>
        <v>0</v>
      </c>
      <c r="L50" s="105">
        <f t="shared" ca="1" si="9"/>
        <v>0</v>
      </c>
      <c r="M50" s="105">
        <f t="shared" ca="1" si="10"/>
        <v>0</v>
      </c>
      <c r="N50" s="105">
        <f t="shared" ca="1" si="9"/>
        <v>0</v>
      </c>
      <c r="O50" s="105">
        <f t="shared" ca="1" si="11"/>
        <v>0</v>
      </c>
      <c r="P50" s="105">
        <f t="shared" ca="1" si="12"/>
        <v>0</v>
      </c>
      <c r="Q50" s="105">
        <f t="shared" ca="1" si="13"/>
        <v>0</v>
      </c>
      <c r="R50" s="105">
        <f t="shared" ca="1" si="14"/>
        <v>0</v>
      </c>
      <c r="S50" s="105">
        <f t="shared" ca="1" si="15"/>
        <v>2</v>
      </c>
    </row>
    <row r="51" spans="1:19" x14ac:dyDescent="0.35">
      <c r="A51" s="105">
        <f t="shared" ca="1" si="0"/>
        <v>64.919999999999973</v>
      </c>
      <c r="B51" s="105" t="str">
        <f t="shared" ca="1" si="1"/>
        <v>渊任</v>
      </c>
      <c r="C51" s="105">
        <f t="shared" ca="1" si="2"/>
        <v>0</v>
      </c>
      <c r="D51" s="105">
        <f t="shared" ca="1" si="3"/>
        <v>5.7275000000000329</v>
      </c>
      <c r="E51" s="105">
        <f t="shared" ca="1" si="4"/>
        <v>30.647500000000001</v>
      </c>
      <c r="F51" s="105">
        <f t="shared" ca="1" si="5"/>
        <v>0</v>
      </c>
      <c r="G51" s="105">
        <f t="shared" ca="1" si="16"/>
        <v>1</v>
      </c>
      <c r="H51" s="105">
        <f t="shared" ca="1" si="17"/>
        <v>59.295000000000002</v>
      </c>
      <c r="I51" s="105">
        <f t="shared" ca="1" si="6"/>
        <v>0</v>
      </c>
      <c r="J51" s="105">
        <f t="shared" ca="1" si="7"/>
        <v>0</v>
      </c>
      <c r="K51" s="105">
        <f t="shared" ca="1" si="8"/>
        <v>14.335000000000001</v>
      </c>
      <c r="L51" s="105">
        <f t="shared" ca="1" si="9"/>
        <v>1</v>
      </c>
      <c r="M51" s="105">
        <f t="shared" ca="1" si="10"/>
        <v>0</v>
      </c>
      <c r="N51" s="105">
        <f t="shared" ca="1" si="9"/>
        <v>0</v>
      </c>
      <c r="O51" s="105">
        <f t="shared" ca="1" si="11"/>
        <v>0</v>
      </c>
      <c r="P51" s="105">
        <f t="shared" ca="1" si="12"/>
        <v>0</v>
      </c>
      <c r="Q51" s="105">
        <f t="shared" ca="1" si="13"/>
        <v>8.6475000000000009</v>
      </c>
      <c r="R51" s="105">
        <f t="shared" ca="1" si="14"/>
        <v>1</v>
      </c>
      <c r="S51" s="105">
        <f t="shared" ca="1" si="15"/>
        <v>2</v>
      </c>
    </row>
    <row r="52" spans="1:19" x14ac:dyDescent="0.35">
      <c r="A52" s="105">
        <f t="shared" ca="1" si="0"/>
        <v>66.27249999999998</v>
      </c>
      <c r="B52" s="105" t="str">
        <f t="shared" ca="1" si="1"/>
        <v>雷循环</v>
      </c>
      <c r="C52" s="105">
        <f t="shared" ca="1" si="2"/>
        <v>0</v>
      </c>
      <c r="D52" s="105">
        <f t="shared" ca="1" si="3"/>
        <v>4.3750000000000329</v>
      </c>
      <c r="E52" s="105">
        <f t="shared" ca="1" si="4"/>
        <v>29.295000000000002</v>
      </c>
      <c r="F52" s="105">
        <f t="shared" ca="1" si="5"/>
        <v>30.647500000000001</v>
      </c>
      <c r="G52" s="105">
        <f t="shared" ca="1" si="16"/>
        <v>1</v>
      </c>
      <c r="H52" s="105">
        <f t="shared" ca="1" si="17"/>
        <v>57.942500000000003</v>
      </c>
      <c r="I52" s="105">
        <f t="shared" ca="1" si="6"/>
        <v>0</v>
      </c>
      <c r="J52" s="105">
        <f t="shared" ca="1" si="7"/>
        <v>0</v>
      </c>
      <c r="K52" s="105">
        <f t="shared" ca="1" si="8"/>
        <v>12.982500000000002</v>
      </c>
      <c r="L52" s="105">
        <f t="shared" ca="1" si="9"/>
        <v>1</v>
      </c>
      <c r="M52" s="105">
        <f t="shared" ca="1" si="10"/>
        <v>0</v>
      </c>
      <c r="N52" s="105">
        <f t="shared" ca="1" si="9"/>
        <v>0</v>
      </c>
      <c r="O52" s="105">
        <f t="shared" ca="1" si="11"/>
        <v>13.647500000000001</v>
      </c>
      <c r="P52" s="105">
        <f t="shared" ca="1" si="12"/>
        <v>1</v>
      </c>
      <c r="Q52" s="105">
        <f t="shared" ca="1" si="13"/>
        <v>7.2950000000000008</v>
      </c>
      <c r="R52" s="105">
        <f t="shared" ca="1" si="14"/>
        <v>1</v>
      </c>
      <c r="S52" s="105">
        <f t="shared" ca="1" si="15"/>
        <v>3</v>
      </c>
    </row>
    <row r="53" spans="1:19" x14ac:dyDescent="0.35">
      <c r="A53" s="105">
        <f t="shared" ca="1" si="0"/>
        <v>67.624999999999986</v>
      </c>
      <c r="B53" s="105" t="str">
        <f t="shared" ca="1" si="1"/>
        <v>循环</v>
      </c>
      <c r="C53" s="105">
        <f t="shared" ca="1" si="2"/>
        <v>0</v>
      </c>
      <c r="D53" s="105">
        <f t="shared" ca="1" si="3"/>
        <v>3.0225000000000328</v>
      </c>
      <c r="E53" s="105">
        <f t="shared" ca="1" si="4"/>
        <v>27.942500000000003</v>
      </c>
      <c r="F53" s="105">
        <f t="shared" ca="1" si="5"/>
        <v>29.295000000000002</v>
      </c>
      <c r="G53" s="105">
        <f t="shared" ca="1" si="16"/>
        <v>1</v>
      </c>
      <c r="H53" s="105">
        <f t="shared" ca="1" si="17"/>
        <v>56.59</v>
      </c>
      <c r="I53" s="105">
        <f t="shared" ca="1" si="6"/>
        <v>0</v>
      </c>
      <c r="J53" s="105">
        <f t="shared" ca="1" si="7"/>
        <v>0</v>
      </c>
      <c r="K53" s="105">
        <f t="shared" ca="1" si="8"/>
        <v>11.630000000000003</v>
      </c>
      <c r="L53" s="105">
        <f t="shared" ca="1" si="9"/>
        <v>1</v>
      </c>
      <c r="M53" s="105">
        <f t="shared" ca="1" si="10"/>
        <v>0</v>
      </c>
      <c r="N53" s="105">
        <f t="shared" ca="1" si="9"/>
        <v>0</v>
      </c>
      <c r="O53" s="105">
        <f t="shared" ca="1" si="11"/>
        <v>12.295000000000002</v>
      </c>
      <c r="P53" s="105">
        <f t="shared" ca="1" si="12"/>
        <v>1</v>
      </c>
      <c r="Q53" s="105">
        <f t="shared" ca="1" si="13"/>
        <v>5.9425000000000008</v>
      </c>
      <c r="R53" s="105">
        <f t="shared" ca="1" si="14"/>
        <v>1</v>
      </c>
      <c r="S53" s="105">
        <f t="shared" ca="1" si="15"/>
        <v>3</v>
      </c>
    </row>
    <row r="54" spans="1:19" x14ac:dyDescent="0.35">
      <c r="A54" s="105">
        <f t="shared" ca="1" si="0"/>
        <v>68.977499999999992</v>
      </c>
      <c r="B54" s="105" t="str">
        <f t="shared" ca="1" si="1"/>
        <v>循环</v>
      </c>
      <c r="C54" s="105">
        <f t="shared" ca="1" si="2"/>
        <v>0</v>
      </c>
      <c r="D54" s="105">
        <f t="shared" ca="1" si="3"/>
        <v>1.6700000000000328</v>
      </c>
      <c r="E54" s="105">
        <f t="shared" ca="1" si="4"/>
        <v>26.590000000000003</v>
      </c>
      <c r="F54" s="105">
        <f t="shared" ca="1" si="5"/>
        <v>27.942500000000003</v>
      </c>
      <c r="G54" s="105">
        <f t="shared" ca="1" si="16"/>
        <v>1</v>
      </c>
      <c r="H54" s="105">
        <f t="shared" ca="1" si="17"/>
        <v>55.237500000000004</v>
      </c>
      <c r="I54" s="105">
        <f t="shared" ca="1" si="6"/>
        <v>0</v>
      </c>
      <c r="J54" s="105">
        <f t="shared" ca="1" si="7"/>
        <v>0</v>
      </c>
      <c r="K54" s="105">
        <f t="shared" ca="1" si="8"/>
        <v>10.277500000000003</v>
      </c>
      <c r="L54" s="105">
        <f t="shared" ca="1" si="9"/>
        <v>1</v>
      </c>
      <c r="M54" s="105">
        <f t="shared" ca="1" si="10"/>
        <v>0</v>
      </c>
      <c r="N54" s="105">
        <f t="shared" ca="1" si="9"/>
        <v>0</v>
      </c>
      <c r="O54" s="105">
        <f t="shared" ca="1" si="11"/>
        <v>10.942500000000003</v>
      </c>
      <c r="P54" s="105">
        <f t="shared" ca="1" si="12"/>
        <v>1</v>
      </c>
      <c r="Q54" s="105">
        <f t="shared" ca="1" si="13"/>
        <v>4.5900000000000007</v>
      </c>
      <c r="R54" s="105">
        <f t="shared" ca="1" si="14"/>
        <v>1</v>
      </c>
      <c r="S54" s="105">
        <f t="shared" ca="1" si="15"/>
        <v>3</v>
      </c>
    </row>
    <row r="55" spans="1:19" x14ac:dyDescent="0.35">
      <c r="A55" s="105">
        <f t="shared" ca="1" si="0"/>
        <v>70.33</v>
      </c>
      <c r="B55" s="105" t="str">
        <f t="shared" ca="1" si="1"/>
        <v>循环</v>
      </c>
      <c r="C55" s="105">
        <f t="shared" ca="1" si="2"/>
        <v>0</v>
      </c>
      <c r="D55" s="105">
        <f t="shared" ca="1" si="3"/>
        <v>0.31750000000003276</v>
      </c>
      <c r="E55" s="105">
        <f t="shared" ca="1" si="4"/>
        <v>25.237500000000004</v>
      </c>
      <c r="F55" s="105">
        <f t="shared" ca="1" si="5"/>
        <v>26.590000000000003</v>
      </c>
      <c r="G55" s="105">
        <f t="shared" ca="1" si="16"/>
        <v>1</v>
      </c>
      <c r="H55" s="105">
        <f t="shared" ca="1" si="17"/>
        <v>53.885000000000005</v>
      </c>
      <c r="I55" s="105">
        <f t="shared" ca="1" si="6"/>
        <v>0</v>
      </c>
      <c r="J55" s="105">
        <f t="shared" ca="1" si="7"/>
        <v>0</v>
      </c>
      <c r="K55" s="105">
        <f t="shared" ca="1" si="8"/>
        <v>8.9250000000000043</v>
      </c>
      <c r="L55" s="105">
        <f t="shared" ca="1" si="9"/>
        <v>1</v>
      </c>
      <c r="M55" s="105">
        <f t="shared" ca="1" si="10"/>
        <v>0</v>
      </c>
      <c r="N55" s="105">
        <f t="shared" ca="1" si="9"/>
        <v>0</v>
      </c>
      <c r="O55" s="105">
        <f t="shared" ca="1" si="11"/>
        <v>9.5900000000000034</v>
      </c>
      <c r="P55" s="105">
        <f t="shared" ca="1" si="12"/>
        <v>1</v>
      </c>
      <c r="Q55" s="105">
        <f t="shared" ca="1" si="13"/>
        <v>3.2375000000000007</v>
      </c>
      <c r="R55" s="105">
        <f t="shared" ca="1" si="14"/>
        <v>1</v>
      </c>
      <c r="S55" s="105">
        <f t="shared" ca="1" si="15"/>
        <v>3</v>
      </c>
    </row>
    <row r="56" spans="1:19" x14ac:dyDescent="0.35">
      <c r="A56" s="105">
        <f t="shared" ca="1" si="0"/>
        <v>71.682500000000005</v>
      </c>
      <c r="B56" s="105" t="str">
        <f t="shared" ca="1" si="1"/>
        <v>循环</v>
      </c>
      <c r="C56" s="105">
        <f t="shared" ca="1" si="2"/>
        <v>1</v>
      </c>
      <c r="D56" s="105">
        <f t="shared" ca="1" si="3"/>
        <v>34.965000000000032</v>
      </c>
      <c r="E56" s="105">
        <f t="shared" ca="1" si="4"/>
        <v>23.885000000000005</v>
      </c>
      <c r="F56" s="105">
        <f t="shared" ca="1" si="5"/>
        <v>25.237500000000004</v>
      </c>
      <c r="G56" s="105">
        <f t="shared" ca="1" si="16"/>
        <v>1</v>
      </c>
      <c r="H56" s="105">
        <f t="shared" ca="1" si="17"/>
        <v>52.532500000000006</v>
      </c>
      <c r="I56" s="105">
        <f t="shared" ca="1" si="6"/>
        <v>0</v>
      </c>
      <c r="J56" s="105">
        <f t="shared" ca="1" si="7"/>
        <v>0</v>
      </c>
      <c r="K56" s="105">
        <f t="shared" ca="1" si="8"/>
        <v>7.5725000000000042</v>
      </c>
      <c r="L56" s="105">
        <f t="shared" ca="1" si="9"/>
        <v>1</v>
      </c>
      <c r="M56" s="105">
        <f t="shared" ca="1" si="10"/>
        <v>0</v>
      </c>
      <c r="N56" s="105">
        <f t="shared" ca="1" si="9"/>
        <v>0</v>
      </c>
      <c r="O56" s="105">
        <f t="shared" ca="1" si="11"/>
        <v>8.2375000000000043</v>
      </c>
      <c r="P56" s="105">
        <f t="shared" ca="1" si="12"/>
        <v>1</v>
      </c>
      <c r="Q56" s="105">
        <f t="shared" ca="1" si="13"/>
        <v>1.8850000000000007</v>
      </c>
      <c r="R56" s="105">
        <f t="shared" ca="1" si="14"/>
        <v>1</v>
      </c>
      <c r="S56" s="105">
        <f t="shared" ca="1" si="15"/>
        <v>3</v>
      </c>
    </row>
    <row r="57" spans="1:19" x14ac:dyDescent="0.35">
      <c r="A57" s="105">
        <f t="shared" ca="1" si="0"/>
        <v>73.035000000000011</v>
      </c>
      <c r="B57" s="105" t="str">
        <f t="shared" ca="1" si="1"/>
        <v>循环</v>
      </c>
      <c r="C57" s="105">
        <f t="shared" ca="1" si="2"/>
        <v>1</v>
      </c>
      <c r="D57" s="105">
        <f t="shared" ca="1" si="3"/>
        <v>33.612500000000033</v>
      </c>
      <c r="E57" s="105">
        <f t="shared" ca="1" si="4"/>
        <v>22.532500000000006</v>
      </c>
      <c r="F57" s="105">
        <f t="shared" ca="1" si="5"/>
        <v>23.885000000000005</v>
      </c>
      <c r="G57" s="105">
        <f t="shared" ca="1" si="16"/>
        <v>1</v>
      </c>
      <c r="H57" s="105">
        <f t="shared" ca="1" si="17"/>
        <v>51.180000000000007</v>
      </c>
      <c r="I57" s="105">
        <f t="shared" ca="1" si="6"/>
        <v>0</v>
      </c>
      <c r="J57" s="105">
        <f t="shared" ca="1" si="7"/>
        <v>0</v>
      </c>
      <c r="K57" s="105">
        <f t="shared" ca="1" si="8"/>
        <v>6.2200000000000042</v>
      </c>
      <c r="L57" s="105">
        <f t="shared" ca="1" si="9"/>
        <v>1</v>
      </c>
      <c r="M57" s="105">
        <f t="shared" ca="1" si="10"/>
        <v>0</v>
      </c>
      <c r="N57" s="105">
        <f t="shared" ca="1" si="9"/>
        <v>0</v>
      </c>
      <c r="O57" s="105">
        <f t="shared" ca="1" si="11"/>
        <v>6.8850000000000042</v>
      </c>
      <c r="P57" s="105">
        <f t="shared" ca="1" si="12"/>
        <v>1</v>
      </c>
      <c r="Q57" s="105">
        <f t="shared" ca="1" si="13"/>
        <v>0.53250000000000064</v>
      </c>
      <c r="R57" s="105">
        <f t="shared" ca="1" si="14"/>
        <v>1</v>
      </c>
      <c r="S57" s="105">
        <f t="shared" ca="1" si="15"/>
        <v>3</v>
      </c>
    </row>
    <row r="58" spans="1:19" x14ac:dyDescent="0.35">
      <c r="A58" s="105">
        <f t="shared" ca="1" si="0"/>
        <v>74.387500000000017</v>
      </c>
      <c r="B58" s="105" t="str">
        <f t="shared" ca="1" si="1"/>
        <v>循环</v>
      </c>
      <c r="C58" s="105">
        <f t="shared" ca="1" si="2"/>
        <v>1</v>
      </c>
      <c r="D58" s="105">
        <f t="shared" ca="1" si="3"/>
        <v>32.260000000000034</v>
      </c>
      <c r="E58" s="105">
        <f t="shared" ca="1" si="4"/>
        <v>21.180000000000007</v>
      </c>
      <c r="F58" s="105">
        <f t="shared" ca="1" si="5"/>
        <v>22.532500000000006</v>
      </c>
      <c r="G58" s="105">
        <f t="shared" ca="1" si="16"/>
        <v>1</v>
      </c>
      <c r="H58" s="105">
        <f t="shared" ca="1" si="17"/>
        <v>49.827500000000008</v>
      </c>
      <c r="I58" s="105">
        <f t="shared" ca="1" si="6"/>
        <v>0</v>
      </c>
      <c r="J58" s="105">
        <f t="shared" ca="1" si="7"/>
        <v>0</v>
      </c>
      <c r="K58" s="105">
        <f t="shared" ca="1" si="8"/>
        <v>4.8675000000000042</v>
      </c>
      <c r="L58" s="105">
        <f t="shared" ca="1" si="9"/>
        <v>1</v>
      </c>
      <c r="M58" s="105">
        <f t="shared" ca="1" si="10"/>
        <v>0</v>
      </c>
      <c r="N58" s="105">
        <f t="shared" ca="1" si="9"/>
        <v>0</v>
      </c>
      <c r="O58" s="105">
        <f t="shared" ca="1" si="11"/>
        <v>5.5325000000000042</v>
      </c>
      <c r="P58" s="105">
        <f t="shared" ca="1" si="12"/>
        <v>1</v>
      </c>
      <c r="Q58" s="105">
        <f t="shared" ca="1" si="13"/>
        <v>0</v>
      </c>
      <c r="R58" s="105">
        <f t="shared" ca="1" si="14"/>
        <v>1</v>
      </c>
      <c r="S58" s="105">
        <f t="shared" ca="1" si="15"/>
        <v>3</v>
      </c>
    </row>
    <row r="59" spans="1:19" x14ac:dyDescent="0.35">
      <c r="A59" s="105">
        <f t="shared" ca="1" si="0"/>
        <v>75.740000000000023</v>
      </c>
      <c r="B59" s="105" t="str">
        <f t="shared" ca="1" si="1"/>
        <v>循环</v>
      </c>
      <c r="C59" s="105">
        <f t="shared" ca="1" si="2"/>
        <v>1</v>
      </c>
      <c r="D59" s="105">
        <f t="shared" ca="1" si="3"/>
        <v>30.907500000000034</v>
      </c>
      <c r="E59" s="105">
        <f t="shared" ca="1" si="4"/>
        <v>19.827500000000008</v>
      </c>
      <c r="F59" s="105">
        <f t="shared" ca="1" si="5"/>
        <v>21.180000000000007</v>
      </c>
      <c r="G59" s="105">
        <f t="shared" ca="1" si="16"/>
        <v>1</v>
      </c>
      <c r="H59" s="105">
        <f t="shared" ca="1" si="17"/>
        <v>48.475000000000009</v>
      </c>
      <c r="I59" s="105">
        <f t="shared" ca="1" si="6"/>
        <v>0</v>
      </c>
      <c r="J59" s="105">
        <f t="shared" ca="1" si="7"/>
        <v>0</v>
      </c>
      <c r="K59" s="105">
        <f t="shared" ca="1" si="8"/>
        <v>3.5150000000000041</v>
      </c>
      <c r="L59" s="105">
        <f t="shared" ca="1" si="9"/>
        <v>1</v>
      </c>
      <c r="M59" s="105">
        <f t="shared" ca="1" si="10"/>
        <v>0</v>
      </c>
      <c r="N59" s="105">
        <f t="shared" ca="1" si="9"/>
        <v>0</v>
      </c>
      <c r="O59" s="105">
        <f t="shared" ca="1" si="11"/>
        <v>4.1800000000000042</v>
      </c>
      <c r="P59" s="105">
        <f t="shared" ca="1" si="12"/>
        <v>1</v>
      </c>
      <c r="Q59" s="105">
        <f t="shared" ca="1" si="13"/>
        <v>0</v>
      </c>
      <c r="R59" s="105">
        <f t="shared" ca="1" si="14"/>
        <v>0</v>
      </c>
      <c r="S59" s="105">
        <f t="shared" ca="1" si="15"/>
        <v>3</v>
      </c>
    </row>
    <row r="60" spans="1:19" x14ac:dyDescent="0.35">
      <c r="A60" s="105">
        <f t="shared" ca="1" si="0"/>
        <v>77.09250000000003</v>
      </c>
      <c r="B60" s="105" t="str">
        <f t="shared" ca="1" si="1"/>
        <v>循环</v>
      </c>
      <c r="C60" s="105">
        <f t="shared" ca="1" si="2"/>
        <v>1</v>
      </c>
      <c r="D60" s="105">
        <f t="shared" ca="1" si="3"/>
        <v>29.555000000000035</v>
      </c>
      <c r="E60" s="105">
        <f t="shared" ca="1" si="4"/>
        <v>18.475000000000009</v>
      </c>
      <c r="F60" s="105">
        <f t="shared" ca="1" si="5"/>
        <v>19.827500000000008</v>
      </c>
      <c r="G60" s="105">
        <f t="shared" ca="1" si="16"/>
        <v>1</v>
      </c>
      <c r="H60" s="105">
        <f t="shared" ca="1" si="17"/>
        <v>47.122500000000009</v>
      </c>
      <c r="I60" s="105">
        <f t="shared" ca="1" si="6"/>
        <v>0</v>
      </c>
      <c r="J60" s="105">
        <f t="shared" ca="1" si="7"/>
        <v>0</v>
      </c>
      <c r="K60" s="105">
        <f t="shared" ca="1" si="8"/>
        <v>2.1625000000000041</v>
      </c>
      <c r="L60" s="105">
        <f t="shared" ca="1" si="9"/>
        <v>1</v>
      </c>
      <c r="M60" s="105">
        <f t="shared" ca="1" si="10"/>
        <v>0</v>
      </c>
      <c r="N60" s="105">
        <f t="shared" ca="1" si="9"/>
        <v>0</v>
      </c>
      <c r="O60" s="105">
        <f t="shared" ca="1" si="11"/>
        <v>2.8275000000000041</v>
      </c>
      <c r="P60" s="105">
        <f t="shared" ca="1" si="12"/>
        <v>1</v>
      </c>
      <c r="Q60" s="105">
        <f t="shared" ca="1" si="13"/>
        <v>0</v>
      </c>
      <c r="R60" s="105">
        <f t="shared" ca="1" si="14"/>
        <v>0</v>
      </c>
      <c r="S60" s="105">
        <f t="shared" ca="1" si="15"/>
        <v>3</v>
      </c>
    </row>
    <row r="61" spans="1:19" x14ac:dyDescent="0.35">
      <c r="A61" s="105">
        <f t="shared" ca="1" si="0"/>
        <v>78.445000000000036</v>
      </c>
      <c r="B61" s="105" t="str">
        <f t="shared" ca="1" si="1"/>
        <v>循环</v>
      </c>
      <c r="C61" s="105">
        <f t="shared" ca="1" si="2"/>
        <v>1</v>
      </c>
      <c r="D61" s="105">
        <f t="shared" ca="1" si="3"/>
        <v>28.202500000000036</v>
      </c>
      <c r="E61" s="105">
        <f t="shared" ca="1" si="4"/>
        <v>17.122500000000009</v>
      </c>
      <c r="F61" s="105">
        <f t="shared" ca="1" si="5"/>
        <v>18.475000000000009</v>
      </c>
      <c r="G61" s="105">
        <f t="shared" ca="1" si="16"/>
        <v>1</v>
      </c>
      <c r="H61" s="105">
        <f t="shared" ca="1" si="17"/>
        <v>45.77000000000001</v>
      </c>
      <c r="I61" s="105">
        <f t="shared" ca="1" si="6"/>
        <v>0</v>
      </c>
      <c r="J61" s="105">
        <f t="shared" ca="1" si="7"/>
        <v>0</v>
      </c>
      <c r="K61" s="105">
        <f t="shared" ca="1" si="8"/>
        <v>0.81000000000000405</v>
      </c>
      <c r="L61" s="105">
        <f t="shared" ca="1" si="9"/>
        <v>1</v>
      </c>
      <c r="M61" s="105">
        <f t="shared" ca="1" si="10"/>
        <v>0</v>
      </c>
      <c r="N61" s="105">
        <f t="shared" ca="1" si="9"/>
        <v>0</v>
      </c>
      <c r="O61" s="105">
        <f t="shared" ca="1" si="11"/>
        <v>1.4750000000000041</v>
      </c>
      <c r="P61" s="105">
        <f t="shared" ca="1" si="12"/>
        <v>1</v>
      </c>
      <c r="Q61" s="105">
        <f t="shared" ca="1" si="13"/>
        <v>0</v>
      </c>
      <c r="R61" s="105">
        <f t="shared" ca="1" si="14"/>
        <v>0</v>
      </c>
      <c r="S61" s="105">
        <f t="shared" ca="1" si="15"/>
        <v>3</v>
      </c>
    </row>
    <row r="62" spans="1:19" x14ac:dyDescent="0.35">
      <c r="A62" s="105">
        <f t="shared" ca="1" si="0"/>
        <v>79.797500000000042</v>
      </c>
      <c r="B62" s="105" t="str">
        <f t="shared" ca="1" si="1"/>
        <v>循环</v>
      </c>
      <c r="C62" s="105">
        <f t="shared" ca="1" si="2"/>
        <v>1</v>
      </c>
      <c r="D62" s="105">
        <f t="shared" ca="1" si="3"/>
        <v>26.850000000000037</v>
      </c>
      <c r="E62" s="105">
        <f t="shared" ca="1" si="4"/>
        <v>15.77000000000001</v>
      </c>
      <c r="F62" s="105">
        <f t="shared" ca="1" si="5"/>
        <v>17.122500000000009</v>
      </c>
      <c r="G62" s="105">
        <f t="shared" ca="1" si="16"/>
        <v>1</v>
      </c>
      <c r="H62" s="105">
        <f t="shared" ca="1" si="17"/>
        <v>44.417500000000011</v>
      </c>
      <c r="I62" s="105">
        <f t="shared" ca="1" si="6"/>
        <v>0</v>
      </c>
      <c r="J62" s="105">
        <f t="shared" ca="1" si="7"/>
        <v>0</v>
      </c>
      <c r="K62" s="105">
        <f t="shared" ca="1" si="8"/>
        <v>0</v>
      </c>
      <c r="L62" s="105">
        <f t="shared" ca="1" si="9"/>
        <v>1</v>
      </c>
      <c r="M62" s="105">
        <f t="shared" ca="1" si="10"/>
        <v>0</v>
      </c>
      <c r="N62" s="105">
        <f t="shared" ca="1" si="9"/>
        <v>0</v>
      </c>
      <c r="O62" s="105">
        <f t="shared" ca="1" si="11"/>
        <v>0.12250000000000405</v>
      </c>
      <c r="P62" s="105">
        <f t="shared" ca="1" si="12"/>
        <v>1</v>
      </c>
      <c r="Q62" s="105">
        <f t="shared" ca="1" si="13"/>
        <v>0</v>
      </c>
      <c r="R62" s="105">
        <f t="shared" ca="1" si="14"/>
        <v>0</v>
      </c>
      <c r="S62" s="105">
        <f t="shared" ca="1" si="15"/>
        <v>3</v>
      </c>
    </row>
    <row r="63" spans="1:19" x14ac:dyDescent="0.35">
      <c r="A63" s="105">
        <f t="shared" ca="1" si="0"/>
        <v>81.150000000000048</v>
      </c>
      <c r="B63" s="105" t="str">
        <f t="shared" ca="1" si="1"/>
        <v>循环</v>
      </c>
      <c r="C63" s="105">
        <f t="shared" ca="1" si="2"/>
        <v>1</v>
      </c>
      <c r="D63" s="105">
        <f t="shared" ca="1" si="3"/>
        <v>25.497500000000038</v>
      </c>
      <c r="E63" s="105">
        <f t="shared" ca="1" si="4"/>
        <v>14.417500000000011</v>
      </c>
      <c r="F63" s="105">
        <f t="shared" ca="1" si="5"/>
        <v>15.77000000000001</v>
      </c>
      <c r="G63" s="105">
        <f t="shared" ca="1" si="16"/>
        <v>1</v>
      </c>
      <c r="H63" s="105">
        <f t="shared" ca="1" si="17"/>
        <v>43.065000000000012</v>
      </c>
      <c r="I63" s="105">
        <f t="shared" ca="1" si="6"/>
        <v>0</v>
      </c>
      <c r="J63" s="105">
        <f t="shared" ca="1" si="7"/>
        <v>0</v>
      </c>
      <c r="K63" s="105">
        <f t="shared" ca="1" si="8"/>
        <v>0</v>
      </c>
      <c r="L63" s="105">
        <f t="shared" ca="1" si="9"/>
        <v>0</v>
      </c>
      <c r="M63" s="105">
        <f t="shared" ca="1" si="10"/>
        <v>0</v>
      </c>
      <c r="N63" s="105">
        <f t="shared" ca="1" si="9"/>
        <v>0</v>
      </c>
      <c r="O63" s="105">
        <f t="shared" ca="1" si="11"/>
        <v>0</v>
      </c>
      <c r="P63" s="105">
        <f t="shared" ca="1" si="12"/>
        <v>1</v>
      </c>
      <c r="Q63" s="105">
        <f t="shared" ca="1" si="13"/>
        <v>0</v>
      </c>
      <c r="R63" s="105">
        <f t="shared" ca="1" si="14"/>
        <v>0</v>
      </c>
      <c r="S63" s="105">
        <f t="shared" ca="1" si="15"/>
        <v>3</v>
      </c>
    </row>
    <row r="64" spans="1:19" x14ac:dyDescent="0.35">
      <c r="A64" s="105">
        <f t="shared" ca="1" si="0"/>
        <v>82.502500000000055</v>
      </c>
      <c r="B64" s="105" t="str">
        <f t="shared" ca="1" si="1"/>
        <v>循环</v>
      </c>
      <c r="C64" s="105">
        <f t="shared" ca="1" si="2"/>
        <v>1</v>
      </c>
      <c r="D64" s="105">
        <f t="shared" ca="1" si="3"/>
        <v>24.145000000000039</v>
      </c>
      <c r="E64" s="105">
        <f t="shared" ca="1" si="4"/>
        <v>13.065000000000012</v>
      </c>
      <c r="F64" s="105">
        <f t="shared" ca="1" si="5"/>
        <v>14.417500000000011</v>
      </c>
      <c r="G64" s="105">
        <f t="shared" ca="1" si="16"/>
        <v>1</v>
      </c>
      <c r="H64" s="105">
        <f t="shared" ca="1" si="17"/>
        <v>41.712500000000013</v>
      </c>
      <c r="I64" s="105">
        <f t="shared" ca="1" si="6"/>
        <v>0</v>
      </c>
      <c r="J64" s="105">
        <f t="shared" ca="1" si="7"/>
        <v>0</v>
      </c>
      <c r="K64" s="105">
        <f t="shared" ca="1" si="8"/>
        <v>0</v>
      </c>
      <c r="L64" s="105">
        <f t="shared" ca="1" si="9"/>
        <v>0</v>
      </c>
      <c r="M64" s="105">
        <f t="shared" ca="1" si="10"/>
        <v>0</v>
      </c>
      <c r="N64" s="105">
        <f t="shared" ca="1" si="9"/>
        <v>0</v>
      </c>
      <c r="O64" s="105">
        <f t="shared" ca="1" si="11"/>
        <v>0</v>
      </c>
      <c r="P64" s="105">
        <f t="shared" ca="1" si="12"/>
        <v>0</v>
      </c>
      <c r="Q64" s="105">
        <f t="shared" ca="1" si="13"/>
        <v>0</v>
      </c>
      <c r="R64" s="105">
        <f t="shared" ca="1" si="14"/>
        <v>0</v>
      </c>
      <c r="S64" s="105">
        <f t="shared" ca="1" si="15"/>
        <v>3</v>
      </c>
    </row>
    <row r="65" spans="1:19" x14ac:dyDescent="0.35">
      <c r="A65" s="105">
        <f t="shared" ca="1" si="0"/>
        <v>83.855000000000061</v>
      </c>
      <c r="B65" s="105" t="str">
        <f t="shared" ca="1" si="1"/>
        <v>循环</v>
      </c>
      <c r="C65" s="105">
        <f t="shared" ca="1" si="2"/>
        <v>1</v>
      </c>
      <c r="D65" s="105">
        <f t="shared" ca="1" si="3"/>
        <v>22.79250000000004</v>
      </c>
      <c r="E65" s="105">
        <f t="shared" ca="1" si="4"/>
        <v>11.712500000000013</v>
      </c>
      <c r="F65" s="105">
        <f t="shared" ca="1" si="5"/>
        <v>13.065000000000012</v>
      </c>
      <c r="G65" s="105">
        <f t="shared" ca="1" si="16"/>
        <v>1</v>
      </c>
      <c r="H65" s="105">
        <f t="shared" ca="1" si="17"/>
        <v>40.360000000000014</v>
      </c>
      <c r="I65" s="105">
        <f t="shared" ca="1" si="6"/>
        <v>0</v>
      </c>
      <c r="J65" s="105">
        <f t="shared" ca="1" si="7"/>
        <v>0</v>
      </c>
      <c r="K65" s="105">
        <f t="shared" ca="1" si="8"/>
        <v>0</v>
      </c>
      <c r="L65" s="105">
        <f t="shared" ca="1" si="9"/>
        <v>0</v>
      </c>
      <c r="M65" s="105">
        <f t="shared" ca="1" si="10"/>
        <v>0</v>
      </c>
      <c r="N65" s="105">
        <f t="shared" ca="1" si="9"/>
        <v>0</v>
      </c>
      <c r="O65" s="105">
        <f t="shared" ca="1" si="11"/>
        <v>0</v>
      </c>
      <c r="P65" s="105">
        <f t="shared" ca="1" si="12"/>
        <v>0</v>
      </c>
      <c r="Q65" s="105">
        <f t="shared" ca="1" si="13"/>
        <v>0</v>
      </c>
      <c r="R65" s="105">
        <f t="shared" ca="1" si="14"/>
        <v>0</v>
      </c>
      <c r="S65" s="105">
        <f t="shared" ca="1" si="15"/>
        <v>3</v>
      </c>
    </row>
    <row r="66" spans="1:19" x14ac:dyDescent="0.35">
      <c r="A66" s="105">
        <f t="shared" ca="1" si="0"/>
        <v>85.207500000000067</v>
      </c>
      <c r="B66" s="105" t="str">
        <f t="shared" ca="1" si="1"/>
        <v>循环</v>
      </c>
      <c r="C66" s="105">
        <f t="shared" ca="1" si="2"/>
        <v>1</v>
      </c>
      <c r="D66" s="105">
        <f t="shared" ca="1" si="3"/>
        <v>21.44000000000004</v>
      </c>
      <c r="E66" s="105">
        <f t="shared" ca="1" si="4"/>
        <v>10.360000000000014</v>
      </c>
      <c r="F66" s="105">
        <f t="shared" ca="1" si="5"/>
        <v>11.712500000000013</v>
      </c>
      <c r="G66" s="105">
        <f t="shared" ca="1" si="16"/>
        <v>1</v>
      </c>
      <c r="H66" s="105">
        <f t="shared" ca="1" si="17"/>
        <v>39.007500000000014</v>
      </c>
      <c r="I66" s="105">
        <f t="shared" ca="1" si="6"/>
        <v>0</v>
      </c>
      <c r="J66" s="105">
        <f t="shared" ca="1" si="7"/>
        <v>0</v>
      </c>
      <c r="K66" s="105">
        <f t="shared" ca="1" si="8"/>
        <v>0</v>
      </c>
      <c r="L66" s="105">
        <f t="shared" ca="1" si="9"/>
        <v>0</v>
      </c>
      <c r="M66" s="105">
        <f t="shared" ca="1" si="10"/>
        <v>0</v>
      </c>
      <c r="N66" s="105">
        <f t="shared" ca="1" si="9"/>
        <v>0</v>
      </c>
      <c r="O66" s="105">
        <f t="shared" ca="1" si="11"/>
        <v>0</v>
      </c>
      <c r="P66" s="105">
        <f t="shared" ca="1" si="12"/>
        <v>0</v>
      </c>
      <c r="Q66" s="105">
        <f t="shared" ca="1" si="13"/>
        <v>0</v>
      </c>
      <c r="R66" s="105">
        <f t="shared" ca="1" si="14"/>
        <v>0</v>
      </c>
      <c r="S66" s="105">
        <f t="shared" ca="1" si="15"/>
        <v>3</v>
      </c>
    </row>
    <row r="67" spans="1:19" x14ac:dyDescent="0.35">
      <c r="A67" s="105">
        <f t="shared" ca="1" si="0"/>
        <v>86.560000000000073</v>
      </c>
      <c r="B67" s="105" t="str">
        <f t="shared" ca="1" si="1"/>
        <v>循环</v>
      </c>
      <c r="C67" s="105">
        <f t="shared" ca="1" si="2"/>
        <v>1</v>
      </c>
      <c r="D67" s="105">
        <f t="shared" ca="1" si="3"/>
        <v>20.087500000000041</v>
      </c>
      <c r="E67" s="105">
        <f t="shared" ca="1" si="4"/>
        <v>9.0075000000000145</v>
      </c>
      <c r="F67" s="105">
        <f t="shared" ca="1" si="5"/>
        <v>10.360000000000014</v>
      </c>
      <c r="G67" s="105">
        <f t="shared" ca="1" si="16"/>
        <v>1</v>
      </c>
      <c r="H67" s="105">
        <f t="shared" ca="1" si="17"/>
        <v>37.655000000000015</v>
      </c>
      <c r="I67" s="105">
        <f t="shared" ca="1" si="6"/>
        <v>0</v>
      </c>
      <c r="J67" s="105">
        <f t="shared" ca="1" si="7"/>
        <v>0</v>
      </c>
      <c r="K67" s="105">
        <f t="shared" ca="1" si="8"/>
        <v>0</v>
      </c>
      <c r="L67" s="105">
        <f t="shared" ca="1" si="9"/>
        <v>0</v>
      </c>
      <c r="M67" s="105">
        <f t="shared" ca="1" si="10"/>
        <v>0</v>
      </c>
      <c r="N67" s="105">
        <f t="shared" ca="1" si="9"/>
        <v>0</v>
      </c>
      <c r="O67" s="105">
        <f t="shared" ca="1" si="11"/>
        <v>0</v>
      </c>
      <c r="P67" s="105">
        <f t="shared" ca="1" si="12"/>
        <v>0</v>
      </c>
      <c r="Q67" s="105">
        <f t="shared" ca="1" si="13"/>
        <v>0</v>
      </c>
      <c r="R67" s="105">
        <f t="shared" ca="1" si="14"/>
        <v>0</v>
      </c>
      <c r="S67" s="105">
        <f t="shared" ca="1" si="15"/>
        <v>3</v>
      </c>
    </row>
    <row r="68" spans="1:19" x14ac:dyDescent="0.35">
      <c r="A68" s="105">
        <f t="shared" ref="A68:A131" ca="1" si="26">$V$4+A67</f>
        <v>87.91250000000008</v>
      </c>
      <c r="B68" s="105" t="str">
        <f t="shared" ref="B68:B131" ca="1" si="27">IF(AND(A67&gt;$X$1,P67=0,R67=0),0,IF(AND(G67=0,H67=0),"突","")&amp;IF($V$8=0,IF(AND(OR($V$13=0,AND(K67=0,C67&lt;1),AND(K67&gt;0,OR(M67&gt;0,$V$7=0))),$V$6=1,E67=0),"渊","")&amp;IF(AND(OR($V$13=0,AND(K67=0,C67&lt;1),AND(K67&gt;0,OR(M67&gt;0,$V$7=0))),F67=0),"雷","")&amp;IF(AND(C67&gt;0,$V$13=1,E67=0,F67=0,K67=0),"任",IF(AND(G67=1,$V$7=1,I67=0),"乘","循环")),IF(AND($V$6=1,E67=0),"渊","")&amp;IF(AND(OR($V$13=0,AND(K67=0,C67&lt;1),AND(K67&gt;0,OR(M67&gt;0,$V$7=0))),F67=0),"雷","")&amp;IF(AND(C67&gt;0,L67=0,E67=0),"任",IF(AND(G67=1,$V$7=1,I67=0),"乘","循环"))))</f>
        <v>循环</v>
      </c>
      <c r="C68" s="105">
        <f t="shared" ref="C68:C131" ca="1" si="28">IF(COUNTIF(B68,"*任*"),C67-1,IF(AND(D67&lt;&gt;0,D67&lt;$V$4),MIN(2,C67+1),C67))</f>
        <v>1</v>
      </c>
      <c r="D68" s="105">
        <f t="shared" ref="D68:D131" ca="1" si="29">IF(AND(D67&lt;$V$4,C67&lt;2),D67+$Y$6-$V$4,IF(AND(C67=2,COUNTIF(B68,"*任*")&gt;0),$Y$6-$V$4,MAX(0,D67-$V$4)))</f>
        <v>18.735000000000042</v>
      </c>
      <c r="E68" s="105">
        <f t="shared" ref="E68:E131" ca="1" si="30">IF(COUNTIF(B68,"*渊*")&gt;0,$Y$8-$V$4,MAX(0,E67-$V$4))</f>
        <v>7.6550000000000145</v>
      </c>
      <c r="F68" s="105">
        <f t="shared" ref="F68:F131" ca="1" si="31">IF(COUNTIF(B68,"*雷*")&gt;0,$Y$9-$V$4,MAX(0,F67-$V$4))</f>
        <v>9.0075000000000145</v>
      </c>
      <c r="G68" s="105">
        <f t="shared" ca="1" si="16"/>
        <v>1</v>
      </c>
      <c r="H68" s="105">
        <f t="shared" ca="1" si="17"/>
        <v>36.302500000000016</v>
      </c>
      <c r="I68" s="105">
        <f t="shared" ref="I68:I131" ca="1" si="32">IF(COUNTIF(B68,"*乘*")&gt;0,$Y$7-$V$4,MAX(0,I67-$V$4))</f>
        <v>0</v>
      </c>
      <c r="J68" s="105">
        <f t="shared" ref="J68:J131" ca="1" si="33">IF(H67&lt;1,$V$16,MAX(0,J67-1))*$V$11</f>
        <v>0</v>
      </c>
      <c r="K68" s="105">
        <f t="shared" ref="K68:K131" ca="1" si="34">IF(COUNTIF(B68,"*任*")&gt;0,$Z$6-$V$4+0.6875,MAX(0,K67-$V$4))</f>
        <v>0</v>
      </c>
      <c r="L68" s="105">
        <f t="shared" ref="L68:N131" ca="1" si="35">IF(K68+K67&gt;0,1,0)</f>
        <v>0</v>
      </c>
      <c r="M68" s="105">
        <f t="shared" ref="M68:M131" ca="1" si="36">IF(COUNTIF(B68,"*乘*")&gt;0,$Z$7-$V$4,MAX(0,M67-$V$4))</f>
        <v>0</v>
      </c>
      <c r="N68" s="105">
        <f t="shared" ca="1" si="35"/>
        <v>0</v>
      </c>
      <c r="O68" s="105">
        <f t="shared" ref="O68:O131" ca="1" si="37">IF(COUNTIF(B68,"*雷*")&gt;0,$Z$9-$V$4,MAX(0,O67-$V$4))</f>
        <v>0</v>
      </c>
      <c r="P68" s="105">
        <f t="shared" ref="P68:P131" ca="1" si="38">IF(O68+O67&gt;0,1,0)</f>
        <v>0</v>
      </c>
      <c r="Q68" s="105">
        <f t="shared" ref="Q68:Q131" ca="1" si="39">IF(COUNTIF(B68,"*渊*")&gt;0,$Z$8-$V$4,MAX(0,Q67-$V$4))</f>
        <v>0</v>
      </c>
      <c r="R68" s="105">
        <f t="shared" ref="R68:R131" ca="1" si="40">IF(Q68+Q67&gt;0,1,0)</f>
        <v>0</v>
      </c>
      <c r="S68" s="105">
        <f t="shared" ref="S68:S131" ca="1" si="41">IF(COUNTIF(B68,"*雷*")&gt;0,S67+1,S67)</f>
        <v>3</v>
      </c>
    </row>
    <row r="69" spans="1:19" x14ac:dyDescent="0.35">
      <c r="A69" s="105">
        <f t="shared" ca="1" si="26"/>
        <v>89.265000000000086</v>
      </c>
      <c r="B69" s="105" t="str">
        <f t="shared" ca="1" si="27"/>
        <v>循环</v>
      </c>
      <c r="C69" s="105">
        <f t="shared" ca="1" si="28"/>
        <v>1</v>
      </c>
      <c r="D69" s="105">
        <f t="shared" ca="1" si="29"/>
        <v>17.382500000000043</v>
      </c>
      <c r="E69" s="105">
        <f t="shared" ca="1" si="30"/>
        <v>6.3025000000000144</v>
      </c>
      <c r="F69" s="105">
        <f t="shared" ca="1" si="31"/>
        <v>7.6550000000000145</v>
      </c>
      <c r="G69" s="105">
        <f t="shared" ref="G69:G132" ca="1" si="42">IF(RIGHT(B69,1)="任",1,IF(OR($V$9=0,AND(K68&lt;$V$4,H68=0)),0,G68))</f>
        <v>1</v>
      </c>
      <c r="H69" s="105">
        <f t="shared" ref="H69:H132" ca="1" si="43">IF(COUNTIF(B69,"*突*")&gt;0,$Y$5-$V$4,MAX(0,H68-$V$4))</f>
        <v>34.950000000000017</v>
      </c>
      <c r="I69" s="105">
        <f t="shared" ca="1" si="32"/>
        <v>0</v>
      </c>
      <c r="J69" s="105">
        <f t="shared" ca="1" si="33"/>
        <v>0</v>
      </c>
      <c r="K69" s="105">
        <f t="shared" ca="1" si="34"/>
        <v>0</v>
      </c>
      <c r="L69" s="105">
        <f t="shared" ca="1" si="35"/>
        <v>0</v>
      </c>
      <c r="M69" s="105">
        <f t="shared" ca="1" si="36"/>
        <v>0</v>
      </c>
      <c r="N69" s="105">
        <f t="shared" ca="1" si="35"/>
        <v>0</v>
      </c>
      <c r="O69" s="105">
        <f t="shared" ca="1" si="37"/>
        <v>0</v>
      </c>
      <c r="P69" s="105">
        <f t="shared" ca="1" si="38"/>
        <v>0</v>
      </c>
      <c r="Q69" s="105">
        <f t="shared" ca="1" si="39"/>
        <v>0</v>
      </c>
      <c r="R69" s="105">
        <f t="shared" ca="1" si="40"/>
        <v>0</v>
      </c>
      <c r="S69" s="105">
        <f t="shared" ca="1" si="41"/>
        <v>3</v>
      </c>
    </row>
    <row r="70" spans="1:19" x14ac:dyDescent="0.35">
      <c r="A70" s="105">
        <f t="shared" ca="1" si="26"/>
        <v>90.617500000000092</v>
      </c>
      <c r="B70" s="105" t="str">
        <f t="shared" ca="1" si="27"/>
        <v>循环</v>
      </c>
      <c r="C70" s="105">
        <f t="shared" ca="1" si="28"/>
        <v>1</v>
      </c>
      <c r="D70" s="105">
        <f t="shared" ca="1" si="29"/>
        <v>16.030000000000044</v>
      </c>
      <c r="E70" s="105">
        <f t="shared" ca="1" si="30"/>
        <v>4.9500000000000144</v>
      </c>
      <c r="F70" s="105">
        <f t="shared" ca="1" si="31"/>
        <v>6.3025000000000144</v>
      </c>
      <c r="G70" s="105">
        <f t="shared" ca="1" si="42"/>
        <v>1</v>
      </c>
      <c r="H70" s="105">
        <f t="shared" ca="1" si="43"/>
        <v>33.597500000000018</v>
      </c>
      <c r="I70" s="105">
        <f t="shared" ca="1" si="32"/>
        <v>0</v>
      </c>
      <c r="J70" s="105">
        <f t="shared" ca="1" si="33"/>
        <v>0</v>
      </c>
      <c r="K70" s="105">
        <f t="shared" ca="1" si="34"/>
        <v>0</v>
      </c>
      <c r="L70" s="105">
        <f t="shared" ca="1" si="35"/>
        <v>0</v>
      </c>
      <c r="M70" s="105">
        <f t="shared" ca="1" si="36"/>
        <v>0</v>
      </c>
      <c r="N70" s="105">
        <f t="shared" ca="1" si="35"/>
        <v>0</v>
      </c>
      <c r="O70" s="105">
        <f t="shared" ca="1" si="37"/>
        <v>0</v>
      </c>
      <c r="P70" s="105">
        <f t="shared" ca="1" si="38"/>
        <v>0</v>
      </c>
      <c r="Q70" s="105">
        <f t="shared" ca="1" si="39"/>
        <v>0</v>
      </c>
      <c r="R70" s="105">
        <f t="shared" ca="1" si="40"/>
        <v>0</v>
      </c>
      <c r="S70" s="105">
        <f t="shared" ca="1" si="41"/>
        <v>3</v>
      </c>
    </row>
    <row r="71" spans="1:19" x14ac:dyDescent="0.35">
      <c r="A71" s="105">
        <f t="shared" ca="1" si="26"/>
        <v>91.970000000000098</v>
      </c>
      <c r="B71" s="105" t="str">
        <f t="shared" ca="1" si="27"/>
        <v>循环</v>
      </c>
      <c r="C71" s="105">
        <f t="shared" ca="1" si="28"/>
        <v>1</v>
      </c>
      <c r="D71" s="105">
        <f t="shared" ca="1" si="29"/>
        <v>14.677500000000045</v>
      </c>
      <c r="E71" s="105">
        <f t="shared" ca="1" si="30"/>
        <v>3.5975000000000144</v>
      </c>
      <c r="F71" s="105">
        <f t="shared" ca="1" si="31"/>
        <v>4.9500000000000144</v>
      </c>
      <c r="G71" s="105">
        <f t="shared" ca="1" si="42"/>
        <v>1</v>
      </c>
      <c r="H71" s="105">
        <f t="shared" ca="1" si="43"/>
        <v>32.245000000000019</v>
      </c>
      <c r="I71" s="105">
        <f t="shared" ca="1" si="32"/>
        <v>0</v>
      </c>
      <c r="J71" s="105">
        <f t="shared" ca="1" si="33"/>
        <v>0</v>
      </c>
      <c r="K71" s="105">
        <f t="shared" ca="1" si="34"/>
        <v>0</v>
      </c>
      <c r="L71" s="105">
        <f t="shared" ca="1" si="35"/>
        <v>0</v>
      </c>
      <c r="M71" s="105">
        <f t="shared" ca="1" si="36"/>
        <v>0</v>
      </c>
      <c r="N71" s="105">
        <f t="shared" ca="1" si="35"/>
        <v>0</v>
      </c>
      <c r="O71" s="105">
        <f t="shared" ca="1" si="37"/>
        <v>0</v>
      </c>
      <c r="P71" s="105">
        <f t="shared" ca="1" si="38"/>
        <v>0</v>
      </c>
      <c r="Q71" s="105">
        <f t="shared" ca="1" si="39"/>
        <v>0</v>
      </c>
      <c r="R71" s="105">
        <f t="shared" ca="1" si="40"/>
        <v>0</v>
      </c>
      <c r="S71" s="105">
        <f t="shared" ca="1" si="41"/>
        <v>3</v>
      </c>
    </row>
    <row r="72" spans="1:19" x14ac:dyDescent="0.35">
      <c r="A72" s="105">
        <f t="shared" ca="1" si="26"/>
        <v>93.322500000000105</v>
      </c>
      <c r="B72" s="105" t="str">
        <f t="shared" ca="1" si="27"/>
        <v>循环</v>
      </c>
      <c r="C72" s="105">
        <f t="shared" ca="1" si="28"/>
        <v>1</v>
      </c>
      <c r="D72" s="105">
        <f t="shared" ca="1" si="29"/>
        <v>13.325000000000045</v>
      </c>
      <c r="E72" s="105">
        <f t="shared" ca="1" si="30"/>
        <v>2.2450000000000143</v>
      </c>
      <c r="F72" s="105">
        <f t="shared" ca="1" si="31"/>
        <v>3.5975000000000144</v>
      </c>
      <c r="G72" s="105">
        <f t="shared" ca="1" si="42"/>
        <v>1</v>
      </c>
      <c r="H72" s="105">
        <f t="shared" ca="1" si="43"/>
        <v>30.89250000000002</v>
      </c>
      <c r="I72" s="105">
        <f t="shared" ca="1" si="32"/>
        <v>0</v>
      </c>
      <c r="J72" s="105">
        <f t="shared" ca="1" si="33"/>
        <v>0</v>
      </c>
      <c r="K72" s="105">
        <f t="shared" ca="1" si="34"/>
        <v>0</v>
      </c>
      <c r="L72" s="105">
        <f t="shared" ca="1" si="35"/>
        <v>0</v>
      </c>
      <c r="M72" s="105">
        <f t="shared" ca="1" si="36"/>
        <v>0</v>
      </c>
      <c r="N72" s="105">
        <f t="shared" ca="1" si="35"/>
        <v>0</v>
      </c>
      <c r="O72" s="105">
        <f t="shared" ca="1" si="37"/>
        <v>0</v>
      </c>
      <c r="P72" s="105">
        <f t="shared" ca="1" si="38"/>
        <v>0</v>
      </c>
      <c r="Q72" s="105">
        <f t="shared" ca="1" si="39"/>
        <v>0</v>
      </c>
      <c r="R72" s="105">
        <f t="shared" ca="1" si="40"/>
        <v>0</v>
      </c>
      <c r="S72" s="105">
        <f t="shared" ca="1" si="41"/>
        <v>3</v>
      </c>
    </row>
    <row r="73" spans="1:19" x14ac:dyDescent="0.35">
      <c r="A73" s="105">
        <f t="shared" ca="1" si="26"/>
        <v>94.675000000000111</v>
      </c>
      <c r="B73" s="105" t="str">
        <f t="shared" ca="1" si="27"/>
        <v>循环</v>
      </c>
      <c r="C73" s="105">
        <f t="shared" ca="1" si="28"/>
        <v>1</v>
      </c>
      <c r="D73" s="105">
        <f t="shared" ca="1" si="29"/>
        <v>11.972500000000046</v>
      </c>
      <c r="E73" s="105">
        <f t="shared" ca="1" si="30"/>
        <v>0.89250000000001428</v>
      </c>
      <c r="F73" s="105">
        <f t="shared" ca="1" si="31"/>
        <v>2.2450000000000143</v>
      </c>
      <c r="G73" s="105">
        <f t="shared" ca="1" si="42"/>
        <v>1</v>
      </c>
      <c r="H73" s="105">
        <f t="shared" ca="1" si="43"/>
        <v>29.54000000000002</v>
      </c>
      <c r="I73" s="105">
        <f t="shared" ca="1" si="32"/>
        <v>0</v>
      </c>
      <c r="J73" s="105">
        <f t="shared" ca="1" si="33"/>
        <v>0</v>
      </c>
      <c r="K73" s="105">
        <f t="shared" ca="1" si="34"/>
        <v>0</v>
      </c>
      <c r="L73" s="105">
        <f t="shared" ca="1" si="35"/>
        <v>0</v>
      </c>
      <c r="M73" s="105">
        <f t="shared" ca="1" si="36"/>
        <v>0</v>
      </c>
      <c r="N73" s="105">
        <f t="shared" ca="1" si="35"/>
        <v>0</v>
      </c>
      <c r="O73" s="105">
        <f t="shared" ca="1" si="37"/>
        <v>0</v>
      </c>
      <c r="P73" s="105">
        <f t="shared" ca="1" si="38"/>
        <v>0</v>
      </c>
      <c r="Q73" s="105">
        <f t="shared" ca="1" si="39"/>
        <v>0</v>
      </c>
      <c r="R73" s="105">
        <f t="shared" ca="1" si="40"/>
        <v>0</v>
      </c>
      <c r="S73" s="105">
        <f t="shared" ca="1" si="41"/>
        <v>3</v>
      </c>
    </row>
    <row r="74" spans="1:19" x14ac:dyDescent="0.35">
      <c r="A74" s="105">
        <f t="shared" ca="1" si="26"/>
        <v>96.027500000000117</v>
      </c>
      <c r="B74" s="105" t="str">
        <f t="shared" ca="1" si="27"/>
        <v>循环</v>
      </c>
      <c r="C74" s="105">
        <f t="shared" ca="1" si="28"/>
        <v>1</v>
      </c>
      <c r="D74" s="105">
        <f t="shared" ca="1" si="29"/>
        <v>10.620000000000047</v>
      </c>
      <c r="E74" s="105">
        <f t="shared" ca="1" si="30"/>
        <v>0</v>
      </c>
      <c r="F74" s="105">
        <f t="shared" ca="1" si="31"/>
        <v>0.89250000000001428</v>
      </c>
      <c r="G74" s="105">
        <f t="shared" ca="1" si="42"/>
        <v>1</v>
      </c>
      <c r="H74" s="105">
        <f t="shared" ca="1" si="43"/>
        <v>28.187500000000021</v>
      </c>
      <c r="I74" s="105">
        <f t="shared" ca="1" si="32"/>
        <v>0</v>
      </c>
      <c r="J74" s="105">
        <f t="shared" ca="1" si="33"/>
        <v>0</v>
      </c>
      <c r="K74" s="105">
        <f t="shared" ca="1" si="34"/>
        <v>0</v>
      </c>
      <c r="L74" s="105">
        <f t="shared" ca="1" si="35"/>
        <v>0</v>
      </c>
      <c r="M74" s="105">
        <f t="shared" ca="1" si="36"/>
        <v>0</v>
      </c>
      <c r="N74" s="105">
        <f t="shared" ca="1" si="35"/>
        <v>0</v>
      </c>
      <c r="O74" s="105">
        <f t="shared" ca="1" si="37"/>
        <v>0</v>
      </c>
      <c r="P74" s="105">
        <f t="shared" ca="1" si="38"/>
        <v>0</v>
      </c>
      <c r="Q74" s="105">
        <f t="shared" ca="1" si="39"/>
        <v>0</v>
      </c>
      <c r="R74" s="105">
        <f t="shared" ca="1" si="40"/>
        <v>0</v>
      </c>
      <c r="S74" s="105">
        <f t="shared" ca="1" si="41"/>
        <v>3</v>
      </c>
    </row>
    <row r="75" spans="1:19" x14ac:dyDescent="0.35">
      <c r="A75" s="105">
        <f t="shared" ca="1" si="26"/>
        <v>97.380000000000123</v>
      </c>
      <c r="B75" s="105" t="str">
        <f t="shared" ca="1" si="27"/>
        <v>渊任</v>
      </c>
      <c r="C75" s="105">
        <f t="shared" ca="1" si="28"/>
        <v>0</v>
      </c>
      <c r="D75" s="105">
        <f t="shared" ca="1" si="29"/>
        <v>9.267500000000048</v>
      </c>
      <c r="E75" s="105">
        <f t="shared" ca="1" si="30"/>
        <v>30.647500000000001</v>
      </c>
      <c r="F75" s="105">
        <f t="shared" ca="1" si="31"/>
        <v>0</v>
      </c>
      <c r="G75" s="105">
        <f t="shared" ca="1" si="42"/>
        <v>1</v>
      </c>
      <c r="H75" s="105">
        <f t="shared" ca="1" si="43"/>
        <v>26.835000000000022</v>
      </c>
      <c r="I75" s="105">
        <f t="shared" ca="1" si="32"/>
        <v>0</v>
      </c>
      <c r="J75" s="105">
        <f t="shared" ca="1" si="33"/>
        <v>0</v>
      </c>
      <c r="K75" s="105">
        <f t="shared" ca="1" si="34"/>
        <v>14.335000000000001</v>
      </c>
      <c r="L75" s="105">
        <f t="shared" ca="1" si="35"/>
        <v>1</v>
      </c>
      <c r="M75" s="105">
        <f t="shared" ca="1" si="36"/>
        <v>0</v>
      </c>
      <c r="N75" s="105">
        <f t="shared" ca="1" si="35"/>
        <v>0</v>
      </c>
      <c r="O75" s="105">
        <f t="shared" ca="1" si="37"/>
        <v>0</v>
      </c>
      <c r="P75" s="105">
        <f t="shared" ca="1" si="38"/>
        <v>0</v>
      </c>
      <c r="Q75" s="105">
        <f t="shared" ca="1" si="39"/>
        <v>8.6475000000000009</v>
      </c>
      <c r="R75" s="105">
        <f t="shared" ca="1" si="40"/>
        <v>1</v>
      </c>
      <c r="S75" s="105">
        <f t="shared" ca="1" si="41"/>
        <v>3</v>
      </c>
    </row>
    <row r="76" spans="1:19" x14ac:dyDescent="0.35">
      <c r="A76" s="105">
        <f t="shared" ca="1" si="26"/>
        <v>98.73250000000013</v>
      </c>
      <c r="B76" s="105" t="str">
        <f t="shared" ca="1" si="27"/>
        <v>雷循环</v>
      </c>
      <c r="C76" s="105">
        <f t="shared" ca="1" si="28"/>
        <v>0</v>
      </c>
      <c r="D76" s="105">
        <f t="shared" ca="1" si="29"/>
        <v>7.915000000000048</v>
      </c>
      <c r="E76" s="105">
        <f t="shared" ca="1" si="30"/>
        <v>29.295000000000002</v>
      </c>
      <c r="F76" s="105">
        <f t="shared" ca="1" si="31"/>
        <v>30.647500000000001</v>
      </c>
      <c r="G76" s="105">
        <f t="shared" ca="1" si="42"/>
        <v>1</v>
      </c>
      <c r="H76" s="105">
        <f t="shared" ca="1" si="43"/>
        <v>25.482500000000023</v>
      </c>
      <c r="I76" s="105">
        <f t="shared" ca="1" si="32"/>
        <v>0</v>
      </c>
      <c r="J76" s="105">
        <f t="shared" ca="1" si="33"/>
        <v>0</v>
      </c>
      <c r="K76" s="105">
        <f t="shared" ca="1" si="34"/>
        <v>12.982500000000002</v>
      </c>
      <c r="L76" s="105">
        <f t="shared" ca="1" si="35"/>
        <v>1</v>
      </c>
      <c r="M76" s="105">
        <f t="shared" ca="1" si="36"/>
        <v>0</v>
      </c>
      <c r="N76" s="105">
        <f t="shared" ca="1" si="35"/>
        <v>0</v>
      </c>
      <c r="O76" s="105">
        <f t="shared" ca="1" si="37"/>
        <v>13.647500000000001</v>
      </c>
      <c r="P76" s="105">
        <f t="shared" ca="1" si="38"/>
        <v>1</v>
      </c>
      <c r="Q76" s="105">
        <f t="shared" ca="1" si="39"/>
        <v>7.2950000000000008</v>
      </c>
      <c r="R76" s="105">
        <f t="shared" ca="1" si="40"/>
        <v>1</v>
      </c>
      <c r="S76" s="105">
        <f t="shared" ca="1" si="41"/>
        <v>4</v>
      </c>
    </row>
    <row r="77" spans="1:19" x14ac:dyDescent="0.35">
      <c r="A77" s="105">
        <f t="shared" ca="1" si="26"/>
        <v>100.08500000000014</v>
      </c>
      <c r="B77" s="105" t="str">
        <f t="shared" ca="1" si="27"/>
        <v>循环</v>
      </c>
      <c r="C77" s="105">
        <f t="shared" ca="1" si="28"/>
        <v>0</v>
      </c>
      <c r="D77" s="105">
        <f t="shared" ca="1" si="29"/>
        <v>6.562500000000048</v>
      </c>
      <c r="E77" s="105">
        <f t="shared" ca="1" si="30"/>
        <v>27.942500000000003</v>
      </c>
      <c r="F77" s="105">
        <f t="shared" ca="1" si="31"/>
        <v>29.295000000000002</v>
      </c>
      <c r="G77" s="105">
        <f t="shared" ca="1" si="42"/>
        <v>1</v>
      </c>
      <c r="H77" s="105">
        <f t="shared" ca="1" si="43"/>
        <v>24.130000000000024</v>
      </c>
      <c r="I77" s="105">
        <f t="shared" ca="1" si="32"/>
        <v>0</v>
      </c>
      <c r="J77" s="105">
        <f t="shared" ca="1" si="33"/>
        <v>0</v>
      </c>
      <c r="K77" s="105">
        <f t="shared" ca="1" si="34"/>
        <v>11.630000000000003</v>
      </c>
      <c r="L77" s="105">
        <f t="shared" ca="1" si="35"/>
        <v>1</v>
      </c>
      <c r="M77" s="105">
        <f t="shared" ca="1" si="36"/>
        <v>0</v>
      </c>
      <c r="N77" s="105">
        <f t="shared" ca="1" si="35"/>
        <v>0</v>
      </c>
      <c r="O77" s="105">
        <f t="shared" ca="1" si="37"/>
        <v>12.295000000000002</v>
      </c>
      <c r="P77" s="105">
        <f t="shared" ca="1" si="38"/>
        <v>1</v>
      </c>
      <c r="Q77" s="105">
        <f t="shared" ca="1" si="39"/>
        <v>5.9425000000000008</v>
      </c>
      <c r="R77" s="105">
        <f t="shared" ca="1" si="40"/>
        <v>1</v>
      </c>
      <c r="S77" s="105">
        <f t="shared" ca="1" si="41"/>
        <v>4</v>
      </c>
    </row>
    <row r="78" spans="1:19" x14ac:dyDescent="0.35">
      <c r="A78" s="105">
        <f t="shared" ca="1" si="26"/>
        <v>101.43750000000014</v>
      </c>
      <c r="B78" s="105" t="str">
        <f t="shared" ca="1" si="27"/>
        <v>循环</v>
      </c>
      <c r="C78" s="105">
        <f t="shared" ca="1" si="28"/>
        <v>0</v>
      </c>
      <c r="D78" s="105">
        <f t="shared" ca="1" si="29"/>
        <v>5.2100000000000479</v>
      </c>
      <c r="E78" s="105">
        <f t="shared" ca="1" si="30"/>
        <v>26.590000000000003</v>
      </c>
      <c r="F78" s="105">
        <f t="shared" ca="1" si="31"/>
        <v>27.942500000000003</v>
      </c>
      <c r="G78" s="105">
        <f t="shared" ca="1" si="42"/>
        <v>1</v>
      </c>
      <c r="H78" s="105">
        <f t="shared" ca="1" si="43"/>
        <v>22.777500000000025</v>
      </c>
      <c r="I78" s="105">
        <f t="shared" ca="1" si="32"/>
        <v>0</v>
      </c>
      <c r="J78" s="105">
        <f t="shared" ca="1" si="33"/>
        <v>0</v>
      </c>
      <c r="K78" s="105">
        <f t="shared" ca="1" si="34"/>
        <v>10.277500000000003</v>
      </c>
      <c r="L78" s="105">
        <f t="shared" ca="1" si="35"/>
        <v>1</v>
      </c>
      <c r="M78" s="105">
        <f t="shared" ca="1" si="36"/>
        <v>0</v>
      </c>
      <c r="N78" s="105">
        <f t="shared" ca="1" si="35"/>
        <v>0</v>
      </c>
      <c r="O78" s="105">
        <f t="shared" ca="1" si="37"/>
        <v>10.942500000000003</v>
      </c>
      <c r="P78" s="105">
        <f t="shared" ca="1" si="38"/>
        <v>1</v>
      </c>
      <c r="Q78" s="105">
        <f t="shared" ca="1" si="39"/>
        <v>4.5900000000000007</v>
      </c>
      <c r="R78" s="105">
        <f t="shared" ca="1" si="40"/>
        <v>1</v>
      </c>
      <c r="S78" s="105">
        <f t="shared" ca="1" si="41"/>
        <v>4</v>
      </c>
    </row>
    <row r="79" spans="1:19" x14ac:dyDescent="0.35">
      <c r="A79" s="105">
        <f t="shared" ca="1" si="26"/>
        <v>102.79000000000015</v>
      </c>
      <c r="B79" s="105" t="str">
        <f t="shared" ca="1" si="27"/>
        <v>循环</v>
      </c>
      <c r="C79" s="105">
        <f t="shared" ca="1" si="28"/>
        <v>0</v>
      </c>
      <c r="D79" s="105">
        <f t="shared" ca="1" si="29"/>
        <v>3.8575000000000479</v>
      </c>
      <c r="E79" s="105">
        <f t="shared" ca="1" si="30"/>
        <v>25.237500000000004</v>
      </c>
      <c r="F79" s="105">
        <f t="shared" ca="1" si="31"/>
        <v>26.590000000000003</v>
      </c>
      <c r="G79" s="105">
        <f t="shared" ca="1" si="42"/>
        <v>1</v>
      </c>
      <c r="H79" s="105">
        <f t="shared" ca="1" si="43"/>
        <v>21.425000000000026</v>
      </c>
      <c r="I79" s="105">
        <f t="shared" ca="1" si="32"/>
        <v>0</v>
      </c>
      <c r="J79" s="105">
        <f t="shared" ca="1" si="33"/>
        <v>0</v>
      </c>
      <c r="K79" s="105">
        <f t="shared" ca="1" si="34"/>
        <v>8.9250000000000043</v>
      </c>
      <c r="L79" s="105">
        <f t="shared" ca="1" si="35"/>
        <v>1</v>
      </c>
      <c r="M79" s="105">
        <f t="shared" ca="1" si="36"/>
        <v>0</v>
      </c>
      <c r="N79" s="105">
        <f t="shared" ca="1" si="35"/>
        <v>0</v>
      </c>
      <c r="O79" s="105">
        <f t="shared" ca="1" si="37"/>
        <v>9.5900000000000034</v>
      </c>
      <c r="P79" s="105">
        <f t="shared" ca="1" si="38"/>
        <v>1</v>
      </c>
      <c r="Q79" s="105">
        <f t="shared" ca="1" si="39"/>
        <v>3.2375000000000007</v>
      </c>
      <c r="R79" s="105">
        <f t="shared" ca="1" si="40"/>
        <v>1</v>
      </c>
      <c r="S79" s="105">
        <f t="shared" ca="1" si="41"/>
        <v>4</v>
      </c>
    </row>
    <row r="80" spans="1:19" x14ac:dyDescent="0.35">
      <c r="A80" s="105">
        <f t="shared" ca="1" si="26"/>
        <v>104.14250000000015</v>
      </c>
      <c r="B80" s="105" t="str">
        <f t="shared" ca="1" si="27"/>
        <v>循环</v>
      </c>
      <c r="C80" s="105">
        <f t="shared" ca="1" si="28"/>
        <v>0</v>
      </c>
      <c r="D80" s="105">
        <f t="shared" ca="1" si="29"/>
        <v>2.5050000000000479</v>
      </c>
      <c r="E80" s="105">
        <f t="shared" ca="1" si="30"/>
        <v>23.885000000000005</v>
      </c>
      <c r="F80" s="105">
        <f t="shared" ca="1" si="31"/>
        <v>25.237500000000004</v>
      </c>
      <c r="G80" s="105">
        <f t="shared" ca="1" si="42"/>
        <v>1</v>
      </c>
      <c r="H80" s="105">
        <f t="shared" ca="1" si="43"/>
        <v>20.072500000000026</v>
      </c>
      <c r="I80" s="105">
        <f t="shared" ca="1" si="32"/>
        <v>0</v>
      </c>
      <c r="J80" s="105">
        <f t="shared" ca="1" si="33"/>
        <v>0</v>
      </c>
      <c r="K80" s="105">
        <f t="shared" ca="1" si="34"/>
        <v>7.5725000000000042</v>
      </c>
      <c r="L80" s="105">
        <f t="shared" ca="1" si="35"/>
        <v>1</v>
      </c>
      <c r="M80" s="105">
        <f t="shared" ca="1" si="36"/>
        <v>0</v>
      </c>
      <c r="N80" s="105">
        <f t="shared" ca="1" si="35"/>
        <v>0</v>
      </c>
      <c r="O80" s="105">
        <f t="shared" ca="1" si="37"/>
        <v>8.2375000000000043</v>
      </c>
      <c r="P80" s="105">
        <f t="shared" ca="1" si="38"/>
        <v>1</v>
      </c>
      <c r="Q80" s="105">
        <f t="shared" ca="1" si="39"/>
        <v>1.8850000000000007</v>
      </c>
      <c r="R80" s="105">
        <f t="shared" ca="1" si="40"/>
        <v>1</v>
      </c>
      <c r="S80" s="105">
        <f t="shared" ca="1" si="41"/>
        <v>4</v>
      </c>
    </row>
    <row r="81" spans="1:19" x14ac:dyDescent="0.35">
      <c r="A81" s="105">
        <f t="shared" ca="1" si="26"/>
        <v>105.49500000000016</v>
      </c>
      <c r="B81" s="105" t="str">
        <f t="shared" ca="1" si="27"/>
        <v>循环</v>
      </c>
      <c r="C81" s="105">
        <f t="shared" ca="1" si="28"/>
        <v>0</v>
      </c>
      <c r="D81" s="105">
        <f t="shared" ca="1" si="29"/>
        <v>1.1525000000000478</v>
      </c>
      <c r="E81" s="105">
        <f t="shared" ca="1" si="30"/>
        <v>22.532500000000006</v>
      </c>
      <c r="F81" s="105">
        <f t="shared" ca="1" si="31"/>
        <v>23.885000000000005</v>
      </c>
      <c r="G81" s="105">
        <f t="shared" ca="1" si="42"/>
        <v>1</v>
      </c>
      <c r="H81" s="105">
        <f t="shared" ca="1" si="43"/>
        <v>18.720000000000027</v>
      </c>
      <c r="I81" s="105">
        <f t="shared" ca="1" si="32"/>
        <v>0</v>
      </c>
      <c r="J81" s="105">
        <f t="shared" ca="1" si="33"/>
        <v>0</v>
      </c>
      <c r="K81" s="105">
        <f t="shared" ca="1" si="34"/>
        <v>6.2200000000000042</v>
      </c>
      <c r="L81" s="105">
        <f t="shared" ca="1" si="35"/>
        <v>1</v>
      </c>
      <c r="M81" s="105">
        <f t="shared" ca="1" si="36"/>
        <v>0</v>
      </c>
      <c r="N81" s="105">
        <f t="shared" ca="1" si="35"/>
        <v>0</v>
      </c>
      <c r="O81" s="105">
        <f t="shared" ca="1" si="37"/>
        <v>6.8850000000000042</v>
      </c>
      <c r="P81" s="105">
        <f t="shared" ca="1" si="38"/>
        <v>1</v>
      </c>
      <c r="Q81" s="105">
        <f t="shared" ca="1" si="39"/>
        <v>0.53250000000000064</v>
      </c>
      <c r="R81" s="105">
        <f t="shared" ca="1" si="40"/>
        <v>1</v>
      </c>
      <c r="S81" s="105">
        <f t="shared" ca="1" si="41"/>
        <v>4</v>
      </c>
    </row>
    <row r="82" spans="1:19" x14ac:dyDescent="0.35">
      <c r="A82" s="105">
        <f t="shared" ca="1" si="26"/>
        <v>106.84750000000017</v>
      </c>
      <c r="B82" s="105" t="str">
        <f t="shared" ca="1" si="27"/>
        <v>循环</v>
      </c>
      <c r="C82" s="105">
        <f t="shared" ca="1" si="28"/>
        <v>1</v>
      </c>
      <c r="D82" s="105">
        <f t="shared" ca="1" si="29"/>
        <v>35.800000000000047</v>
      </c>
      <c r="E82" s="105">
        <f t="shared" ca="1" si="30"/>
        <v>21.180000000000007</v>
      </c>
      <c r="F82" s="105">
        <f t="shared" ca="1" si="31"/>
        <v>22.532500000000006</v>
      </c>
      <c r="G82" s="105">
        <f t="shared" ca="1" si="42"/>
        <v>1</v>
      </c>
      <c r="H82" s="105">
        <f t="shared" ca="1" si="43"/>
        <v>17.367500000000028</v>
      </c>
      <c r="I82" s="105">
        <f t="shared" ca="1" si="32"/>
        <v>0</v>
      </c>
      <c r="J82" s="105">
        <f t="shared" ca="1" si="33"/>
        <v>0</v>
      </c>
      <c r="K82" s="105">
        <f t="shared" ca="1" si="34"/>
        <v>4.8675000000000042</v>
      </c>
      <c r="L82" s="105">
        <f t="shared" ca="1" si="35"/>
        <v>1</v>
      </c>
      <c r="M82" s="105">
        <f t="shared" ca="1" si="36"/>
        <v>0</v>
      </c>
      <c r="N82" s="105">
        <f t="shared" ca="1" si="35"/>
        <v>0</v>
      </c>
      <c r="O82" s="105">
        <f t="shared" ca="1" si="37"/>
        <v>5.5325000000000042</v>
      </c>
      <c r="P82" s="105">
        <f t="shared" ca="1" si="38"/>
        <v>1</v>
      </c>
      <c r="Q82" s="105">
        <f t="shared" ca="1" si="39"/>
        <v>0</v>
      </c>
      <c r="R82" s="105">
        <f t="shared" ca="1" si="40"/>
        <v>1</v>
      </c>
      <c r="S82" s="105">
        <f t="shared" ca="1" si="41"/>
        <v>4</v>
      </c>
    </row>
    <row r="83" spans="1:19" x14ac:dyDescent="0.35">
      <c r="A83" s="105">
        <f t="shared" ca="1" si="26"/>
        <v>108.20000000000017</v>
      </c>
      <c r="B83" s="105" t="str">
        <f t="shared" ca="1" si="27"/>
        <v>循环</v>
      </c>
      <c r="C83" s="105">
        <f t="shared" ca="1" si="28"/>
        <v>1</v>
      </c>
      <c r="D83" s="105">
        <f t="shared" ca="1" si="29"/>
        <v>34.447500000000048</v>
      </c>
      <c r="E83" s="105">
        <f t="shared" ca="1" si="30"/>
        <v>19.827500000000008</v>
      </c>
      <c r="F83" s="105">
        <f t="shared" ca="1" si="31"/>
        <v>21.180000000000007</v>
      </c>
      <c r="G83" s="105">
        <f t="shared" ca="1" si="42"/>
        <v>1</v>
      </c>
      <c r="H83" s="105">
        <f t="shared" ca="1" si="43"/>
        <v>16.015000000000029</v>
      </c>
      <c r="I83" s="105">
        <f t="shared" ca="1" si="32"/>
        <v>0</v>
      </c>
      <c r="J83" s="105">
        <f t="shared" ca="1" si="33"/>
        <v>0</v>
      </c>
      <c r="K83" s="105">
        <f t="shared" ca="1" si="34"/>
        <v>3.5150000000000041</v>
      </c>
      <c r="L83" s="105">
        <f t="shared" ca="1" si="35"/>
        <v>1</v>
      </c>
      <c r="M83" s="105">
        <f t="shared" ca="1" si="36"/>
        <v>0</v>
      </c>
      <c r="N83" s="105">
        <f t="shared" ca="1" si="35"/>
        <v>0</v>
      </c>
      <c r="O83" s="105">
        <f t="shared" ca="1" si="37"/>
        <v>4.1800000000000042</v>
      </c>
      <c r="P83" s="105">
        <f t="shared" ca="1" si="38"/>
        <v>1</v>
      </c>
      <c r="Q83" s="105">
        <f t="shared" ca="1" si="39"/>
        <v>0</v>
      </c>
      <c r="R83" s="105">
        <f t="shared" ca="1" si="40"/>
        <v>0</v>
      </c>
      <c r="S83" s="105">
        <f t="shared" ca="1" si="41"/>
        <v>4</v>
      </c>
    </row>
    <row r="84" spans="1:19" x14ac:dyDescent="0.35">
      <c r="A84" s="105">
        <f t="shared" ca="1" si="26"/>
        <v>109.55250000000018</v>
      </c>
      <c r="B84" s="105" t="str">
        <f t="shared" ca="1" si="27"/>
        <v>循环</v>
      </c>
      <c r="C84" s="105">
        <f t="shared" ca="1" si="28"/>
        <v>1</v>
      </c>
      <c r="D84" s="105">
        <f t="shared" ca="1" si="29"/>
        <v>33.095000000000049</v>
      </c>
      <c r="E84" s="105">
        <f t="shared" ca="1" si="30"/>
        <v>18.475000000000009</v>
      </c>
      <c r="F84" s="105">
        <f t="shared" ca="1" si="31"/>
        <v>19.827500000000008</v>
      </c>
      <c r="G84" s="105">
        <f t="shared" ca="1" si="42"/>
        <v>1</v>
      </c>
      <c r="H84" s="105">
        <f t="shared" ca="1" si="43"/>
        <v>14.66250000000003</v>
      </c>
      <c r="I84" s="105">
        <f t="shared" ca="1" si="32"/>
        <v>0</v>
      </c>
      <c r="J84" s="105">
        <f t="shared" ca="1" si="33"/>
        <v>0</v>
      </c>
      <c r="K84" s="105">
        <f t="shared" ca="1" si="34"/>
        <v>2.1625000000000041</v>
      </c>
      <c r="L84" s="105">
        <f t="shared" ca="1" si="35"/>
        <v>1</v>
      </c>
      <c r="M84" s="105">
        <f t="shared" ca="1" si="36"/>
        <v>0</v>
      </c>
      <c r="N84" s="105">
        <f t="shared" ca="1" si="35"/>
        <v>0</v>
      </c>
      <c r="O84" s="105">
        <f t="shared" ca="1" si="37"/>
        <v>2.8275000000000041</v>
      </c>
      <c r="P84" s="105">
        <f t="shared" ca="1" si="38"/>
        <v>1</v>
      </c>
      <c r="Q84" s="105">
        <f t="shared" ca="1" si="39"/>
        <v>0</v>
      </c>
      <c r="R84" s="105">
        <f t="shared" ca="1" si="40"/>
        <v>0</v>
      </c>
      <c r="S84" s="105">
        <f t="shared" ca="1" si="41"/>
        <v>4</v>
      </c>
    </row>
    <row r="85" spans="1:19" x14ac:dyDescent="0.35">
      <c r="A85" s="105">
        <f t="shared" ca="1" si="26"/>
        <v>110.90500000000019</v>
      </c>
      <c r="B85" s="105" t="str">
        <f t="shared" ca="1" si="27"/>
        <v>循环</v>
      </c>
      <c r="C85" s="105">
        <f t="shared" ca="1" si="28"/>
        <v>1</v>
      </c>
      <c r="D85" s="105">
        <f t="shared" ca="1" si="29"/>
        <v>31.742500000000049</v>
      </c>
      <c r="E85" s="105">
        <f t="shared" ca="1" si="30"/>
        <v>17.122500000000009</v>
      </c>
      <c r="F85" s="105">
        <f t="shared" ca="1" si="31"/>
        <v>18.475000000000009</v>
      </c>
      <c r="G85" s="105">
        <f t="shared" ca="1" si="42"/>
        <v>1</v>
      </c>
      <c r="H85" s="105">
        <f t="shared" ca="1" si="43"/>
        <v>13.310000000000031</v>
      </c>
      <c r="I85" s="105">
        <f t="shared" ca="1" si="32"/>
        <v>0</v>
      </c>
      <c r="J85" s="105">
        <f t="shared" ca="1" si="33"/>
        <v>0</v>
      </c>
      <c r="K85" s="105">
        <f t="shared" ca="1" si="34"/>
        <v>0.81000000000000405</v>
      </c>
      <c r="L85" s="105">
        <f t="shared" ca="1" si="35"/>
        <v>1</v>
      </c>
      <c r="M85" s="105">
        <f t="shared" ca="1" si="36"/>
        <v>0</v>
      </c>
      <c r="N85" s="105">
        <f t="shared" ca="1" si="35"/>
        <v>0</v>
      </c>
      <c r="O85" s="105">
        <f t="shared" ca="1" si="37"/>
        <v>1.4750000000000041</v>
      </c>
      <c r="P85" s="105">
        <f t="shared" ca="1" si="38"/>
        <v>1</v>
      </c>
      <c r="Q85" s="105">
        <f t="shared" ca="1" si="39"/>
        <v>0</v>
      </c>
      <c r="R85" s="105">
        <f t="shared" ca="1" si="40"/>
        <v>0</v>
      </c>
      <c r="S85" s="105">
        <f t="shared" ca="1" si="41"/>
        <v>4</v>
      </c>
    </row>
    <row r="86" spans="1:19" x14ac:dyDescent="0.35">
      <c r="A86" s="105">
        <f t="shared" ca="1" si="26"/>
        <v>112.25750000000019</v>
      </c>
      <c r="B86" s="105" t="str">
        <f t="shared" ca="1" si="27"/>
        <v>循环</v>
      </c>
      <c r="C86" s="105">
        <f t="shared" ca="1" si="28"/>
        <v>1</v>
      </c>
      <c r="D86" s="105">
        <f t="shared" ca="1" si="29"/>
        <v>30.39000000000005</v>
      </c>
      <c r="E86" s="105">
        <f t="shared" ca="1" si="30"/>
        <v>15.77000000000001</v>
      </c>
      <c r="F86" s="105">
        <f t="shared" ca="1" si="31"/>
        <v>17.122500000000009</v>
      </c>
      <c r="G86" s="105">
        <f t="shared" ca="1" si="42"/>
        <v>1</v>
      </c>
      <c r="H86" s="105">
        <f t="shared" ca="1" si="43"/>
        <v>11.957500000000032</v>
      </c>
      <c r="I86" s="105">
        <f t="shared" ca="1" si="32"/>
        <v>0</v>
      </c>
      <c r="J86" s="105">
        <f t="shared" ca="1" si="33"/>
        <v>0</v>
      </c>
      <c r="K86" s="105">
        <f t="shared" ca="1" si="34"/>
        <v>0</v>
      </c>
      <c r="L86" s="105">
        <f t="shared" ca="1" si="35"/>
        <v>1</v>
      </c>
      <c r="M86" s="105">
        <f t="shared" ca="1" si="36"/>
        <v>0</v>
      </c>
      <c r="N86" s="105">
        <f t="shared" ca="1" si="35"/>
        <v>0</v>
      </c>
      <c r="O86" s="105">
        <f t="shared" ca="1" si="37"/>
        <v>0.12250000000000405</v>
      </c>
      <c r="P86" s="105">
        <f t="shared" ca="1" si="38"/>
        <v>1</v>
      </c>
      <c r="Q86" s="105">
        <f t="shared" ca="1" si="39"/>
        <v>0</v>
      </c>
      <c r="R86" s="105">
        <f t="shared" ca="1" si="40"/>
        <v>0</v>
      </c>
      <c r="S86" s="105">
        <f t="shared" ca="1" si="41"/>
        <v>4</v>
      </c>
    </row>
    <row r="87" spans="1:19" x14ac:dyDescent="0.35">
      <c r="A87" s="105">
        <f t="shared" ca="1" si="26"/>
        <v>113.6100000000002</v>
      </c>
      <c r="B87" s="105" t="str">
        <f t="shared" ca="1" si="27"/>
        <v>循环</v>
      </c>
      <c r="C87" s="105">
        <f t="shared" ca="1" si="28"/>
        <v>1</v>
      </c>
      <c r="D87" s="105">
        <f t="shared" ca="1" si="29"/>
        <v>29.037500000000051</v>
      </c>
      <c r="E87" s="105">
        <f t="shared" ca="1" si="30"/>
        <v>14.417500000000011</v>
      </c>
      <c r="F87" s="105">
        <f t="shared" ca="1" si="31"/>
        <v>15.77000000000001</v>
      </c>
      <c r="G87" s="105">
        <f t="shared" ca="1" si="42"/>
        <v>1</v>
      </c>
      <c r="H87" s="105">
        <f t="shared" ca="1" si="43"/>
        <v>10.605000000000032</v>
      </c>
      <c r="I87" s="105">
        <f t="shared" ca="1" si="32"/>
        <v>0</v>
      </c>
      <c r="J87" s="105">
        <f t="shared" ca="1" si="33"/>
        <v>0</v>
      </c>
      <c r="K87" s="105">
        <f t="shared" ca="1" si="34"/>
        <v>0</v>
      </c>
      <c r="L87" s="105">
        <f t="shared" ca="1" si="35"/>
        <v>0</v>
      </c>
      <c r="M87" s="105">
        <f t="shared" ca="1" si="36"/>
        <v>0</v>
      </c>
      <c r="N87" s="105">
        <f t="shared" ca="1" si="35"/>
        <v>0</v>
      </c>
      <c r="O87" s="105">
        <f t="shared" ca="1" si="37"/>
        <v>0</v>
      </c>
      <c r="P87" s="105">
        <f t="shared" ca="1" si="38"/>
        <v>1</v>
      </c>
      <c r="Q87" s="105">
        <f t="shared" ca="1" si="39"/>
        <v>0</v>
      </c>
      <c r="R87" s="105">
        <f t="shared" ca="1" si="40"/>
        <v>0</v>
      </c>
      <c r="S87" s="105">
        <f t="shared" ca="1" si="41"/>
        <v>4</v>
      </c>
    </row>
    <row r="88" spans="1:19" x14ac:dyDescent="0.35">
      <c r="A88" s="105">
        <f t="shared" ca="1" si="26"/>
        <v>114.9625000000002</v>
      </c>
      <c r="B88" s="105" t="str">
        <f t="shared" ca="1" si="27"/>
        <v>循环</v>
      </c>
      <c r="C88" s="105">
        <f t="shared" ca="1" si="28"/>
        <v>1</v>
      </c>
      <c r="D88" s="105">
        <f t="shared" ca="1" si="29"/>
        <v>27.685000000000052</v>
      </c>
      <c r="E88" s="105">
        <f t="shared" ca="1" si="30"/>
        <v>13.065000000000012</v>
      </c>
      <c r="F88" s="105">
        <f t="shared" ca="1" si="31"/>
        <v>14.417500000000011</v>
      </c>
      <c r="G88" s="105">
        <f t="shared" ca="1" si="42"/>
        <v>1</v>
      </c>
      <c r="H88" s="105">
        <f t="shared" ca="1" si="43"/>
        <v>9.2525000000000333</v>
      </c>
      <c r="I88" s="105">
        <f t="shared" ca="1" si="32"/>
        <v>0</v>
      </c>
      <c r="J88" s="105">
        <f t="shared" ca="1" si="33"/>
        <v>0</v>
      </c>
      <c r="K88" s="105">
        <f t="shared" ca="1" si="34"/>
        <v>0</v>
      </c>
      <c r="L88" s="105">
        <f t="shared" ca="1" si="35"/>
        <v>0</v>
      </c>
      <c r="M88" s="105">
        <f t="shared" ca="1" si="36"/>
        <v>0</v>
      </c>
      <c r="N88" s="105">
        <f t="shared" ca="1" si="35"/>
        <v>0</v>
      </c>
      <c r="O88" s="105">
        <f t="shared" ca="1" si="37"/>
        <v>0</v>
      </c>
      <c r="P88" s="105">
        <f t="shared" ca="1" si="38"/>
        <v>0</v>
      </c>
      <c r="Q88" s="105">
        <f t="shared" ca="1" si="39"/>
        <v>0</v>
      </c>
      <c r="R88" s="105">
        <f t="shared" ca="1" si="40"/>
        <v>0</v>
      </c>
      <c r="S88" s="105">
        <f t="shared" ca="1" si="41"/>
        <v>4</v>
      </c>
    </row>
    <row r="89" spans="1:19" x14ac:dyDescent="0.35">
      <c r="A89" s="105">
        <f t="shared" ca="1" si="26"/>
        <v>116.31500000000021</v>
      </c>
      <c r="B89" s="105" t="str">
        <f t="shared" ca="1" si="27"/>
        <v>循环</v>
      </c>
      <c r="C89" s="105">
        <f t="shared" ca="1" si="28"/>
        <v>1</v>
      </c>
      <c r="D89" s="105">
        <f t="shared" ca="1" si="29"/>
        <v>26.332500000000053</v>
      </c>
      <c r="E89" s="105">
        <f t="shared" ca="1" si="30"/>
        <v>11.712500000000013</v>
      </c>
      <c r="F89" s="105">
        <f t="shared" ca="1" si="31"/>
        <v>13.065000000000012</v>
      </c>
      <c r="G89" s="105">
        <f t="shared" ca="1" si="42"/>
        <v>1</v>
      </c>
      <c r="H89" s="105">
        <f t="shared" ca="1" si="43"/>
        <v>7.9000000000000332</v>
      </c>
      <c r="I89" s="105">
        <f t="shared" ca="1" si="32"/>
        <v>0</v>
      </c>
      <c r="J89" s="105">
        <f t="shared" ca="1" si="33"/>
        <v>0</v>
      </c>
      <c r="K89" s="105">
        <f t="shared" ca="1" si="34"/>
        <v>0</v>
      </c>
      <c r="L89" s="105">
        <f t="shared" ca="1" si="35"/>
        <v>0</v>
      </c>
      <c r="M89" s="105">
        <f t="shared" ca="1" si="36"/>
        <v>0</v>
      </c>
      <c r="N89" s="105">
        <f t="shared" ca="1" si="35"/>
        <v>0</v>
      </c>
      <c r="O89" s="105">
        <f t="shared" ca="1" si="37"/>
        <v>0</v>
      </c>
      <c r="P89" s="105">
        <f t="shared" ca="1" si="38"/>
        <v>0</v>
      </c>
      <c r="Q89" s="105">
        <f t="shared" ca="1" si="39"/>
        <v>0</v>
      </c>
      <c r="R89" s="105">
        <f t="shared" ca="1" si="40"/>
        <v>0</v>
      </c>
      <c r="S89" s="105">
        <f t="shared" ca="1" si="41"/>
        <v>4</v>
      </c>
    </row>
    <row r="90" spans="1:19" x14ac:dyDescent="0.35">
      <c r="A90" s="105">
        <f t="shared" ca="1" si="26"/>
        <v>117.66750000000022</v>
      </c>
      <c r="B90" s="105" t="str">
        <f t="shared" ca="1" si="27"/>
        <v>循环</v>
      </c>
      <c r="C90" s="105">
        <f t="shared" ca="1" si="28"/>
        <v>1</v>
      </c>
      <c r="D90" s="105">
        <f t="shared" ca="1" si="29"/>
        <v>24.980000000000054</v>
      </c>
      <c r="E90" s="105">
        <f t="shared" ca="1" si="30"/>
        <v>10.360000000000014</v>
      </c>
      <c r="F90" s="105">
        <f t="shared" ca="1" si="31"/>
        <v>11.712500000000013</v>
      </c>
      <c r="G90" s="105">
        <f t="shared" ca="1" si="42"/>
        <v>1</v>
      </c>
      <c r="H90" s="105">
        <f t="shared" ca="1" si="43"/>
        <v>6.5475000000000332</v>
      </c>
      <c r="I90" s="105">
        <f t="shared" ca="1" si="32"/>
        <v>0</v>
      </c>
      <c r="J90" s="105">
        <f t="shared" ca="1" si="33"/>
        <v>0</v>
      </c>
      <c r="K90" s="105">
        <f t="shared" ca="1" si="34"/>
        <v>0</v>
      </c>
      <c r="L90" s="105">
        <f t="shared" ca="1" si="35"/>
        <v>0</v>
      </c>
      <c r="M90" s="105">
        <f t="shared" ca="1" si="36"/>
        <v>0</v>
      </c>
      <c r="N90" s="105">
        <f t="shared" ca="1" si="35"/>
        <v>0</v>
      </c>
      <c r="O90" s="105">
        <f t="shared" ca="1" si="37"/>
        <v>0</v>
      </c>
      <c r="P90" s="105">
        <f t="shared" ca="1" si="38"/>
        <v>0</v>
      </c>
      <c r="Q90" s="105">
        <f t="shared" ca="1" si="39"/>
        <v>0</v>
      </c>
      <c r="R90" s="105">
        <f t="shared" ca="1" si="40"/>
        <v>0</v>
      </c>
      <c r="S90" s="105">
        <f t="shared" ca="1" si="41"/>
        <v>4</v>
      </c>
    </row>
    <row r="91" spans="1:19" x14ac:dyDescent="0.35">
      <c r="A91" s="105">
        <f t="shared" ca="1" si="26"/>
        <v>119.02000000000022</v>
      </c>
      <c r="B91" s="105" t="str">
        <f t="shared" ca="1" si="27"/>
        <v>循环</v>
      </c>
      <c r="C91" s="105">
        <f t="shared" ca="1" si="28"/>
        <v>1</v>
      </c>
      <c r="D91" s="105">
        <f t="shared" ca="1" si="29"/>
        <v>23.627500000000055</v>
      </c>
      <c r="E91" s="105">
        <f t="shared" ca="1" si="30"/>
        <v>9.0075000000000145</v>
      </c>
      <c r="F91" s="105">
        <f t="shared" ca="1" si="31"/>
        <v>10.360000000000014</v>
      </c>
      <c r="G91" s="105">
        <f t="shared" ca="1" si="42"/>
        <v>1</v>
      </c>
      <c r="H91" s="105">
        <f t="shared" ca="1" si="43"/>
        <v>5.1950000000000331</v>
      </c>
      <c r="I91" s="105">
        <f t="shared" ca="1" si="32"/>
        <v>0</v>
      </c>
      <c r="J91" s="105">
        <f t="shared" ca="1" si="33"/>
        <v>0</v>
      </c>
      <c r="K91" s="105">
        <f t="shared" ca="1" si="34"/>
        <v>0</v>
      </c>
      <c r="L91" s="105">
        <f t="shared" ca="1" si="35"/>
        <v>0</v>
      </c>
      <c r="M91" s="105">
        <f t="shared" ca="1" si="36"/>
        <v>0</v>
      </c>
      <c r="N91" s="105">
        <f t="shared" ca="1" si="35"/>
        <v>0</v>
      </c>
      <c r="O91" s="105">
        <f t="shared" ca="1" si="37"/>
        <v>0</v>
      </c>
      <c r="P91" s="105">
        <f t="shared" ca="1" si="38"/>
        <v>0</v>
      </c>
      <c r="Q91" s="105">
        <f t="shared" ca="1" si="39"/>
        <v>0</v>
      </c>
      <c r="R91" s="105">
        <f t="shared" ca="1" si="40"/>
        <v>0</v>
      </c>
      <c r="S91" s="105">
        <f t="shared" ca="1" si="41"/>
        <v>4</v>
      </c>
    </row>
    <row r="92" spans="1:19" x14ac:dyDescent="0.35">
      <c r="A92" s="105">
        <f t="shared" ca="1" si="26"/>
        <v>120.37250000000023</v>
      </c>
      <c r="B92" s="105" t="str">
        <f t="shared" ca="1" si="27"/>
        <v>循环</v>
      </c>
      <c r="C92" s="105">
        <f t="shared" ca="1" si="28"/>
        <v>1</v>
      </c>
      <c r="D92" s="105">
        <f t="shared" ca="1" si="29"/>
        <v>22.275000000000055</v>
      </c>
      <c r="E92" s="105">
        <f t="shared" ca="1" si="30"/>
        <v>7.6550000000000145</v>
      </c>
      <c r="F92" s="105">
        <f t="shared" ca="1" si="31"/>
        <v>9.0075000000000145</v>
      </c>
      <c r="G92" s="105">
        <f t="shared" ca="1" si="42"/>
        <v>1</v>
      </c>
      <c r="H92" s="105">
        <f t="shared" ca="1" si="43"/>
        <v>3.8425000000000331</v>
      </c>
      <c r="I92" s="105">
        <f t="shared" ca="1" si="32"/>
        <v>0</v>
      </c>
      <c r="J92" s="105">
        <f t="shared" ca="1" si="33"/>
        <v>0</v>
      </c>
      <c r="K92" s="105">
        <f t="shared" ca="1" si="34"/>
        <v>0</v>
      </c>
      <c r="L92" s="105">
        <f t="shared" ca="1" si="35"/>
        <v>0</v>
      </c>
      <c r="M92" s="105">
        <f t="shared" ca="1" si="36"/>
        <v>0</v>
      </c>
      <c r="N92" s="105">
        <f t="shared" ca="1" si="35"/>
        <v>0</v>
      </c>
      <c r="O92" s="105">
        <f t="shared" ca="1" si="37"/>
        <v>0</v>
      </c>
      <c r="P92" s="105">
        <f t="shared" ca="1" si="38"/>
        <v>0</v>
      </c>
      <c r="Q92" s="105">
        <f t="shared" ca="1" si="39"/>
        <v>0</v>
      </c>
      <c r="R92" s="105">
        <f t="shared" ca="1" si="40"/>
        <v>0</v>
      </c>
      <c r="S92" s="105">
        <f t="shared" ca="1" si="41"/>
        <v>4</v>
      </c>
    </row>
    <row r="93" spans="1:19" x14ac:dyDescent="0.35">
      <c r="A93" s="105">
        <f t="shared" ca="1" si="26"/>
        <v>121.72500000000024</v>
      </c>
      <c r="B93" s="105" t="str">
        <f t="shared" ca="1" si="27"/>
        <v>循环</v>
      </c>
      <c r="C93" s="105">
        <f t="shared" ca="1" si="28"/>
        <v>1</v>
      </c>
      <c r="D93" s="105">
        <f t="shared" ca="1" si="29"/>
        <v>20.922500000000056</v>
      </c>
      <c r="E93" s="105">
        <f t="shared" ca="1" si="30"/>
        <v>6.3025000000000144</v>
      </c>
      <c r="F93" s="105">
        <f t="shared" ca="1" si="31"/>
        <v>7.6550000000000145</v>
      </c>
      <c r="G93" s="105">
        <f t="shared" ca="1" si="42"/>
        <v>1</v>
      </c>
      <c r="H93" s="105">
        <f t="shared" ca="1" si="43"/>
        <v>2.4900000000000331</v>
      </c>
      <c r="I93" s="105">
        <f t="shared" ca="1" si="32"/>
        <v>0</v>
      </c>
      <c r="J93" s="105">
        <f t="shared" ca="1" si="33"/>
        <v>0</v>
      </c>
      <c r="K93" s="105">
        <f t="shared" ca="1" si="34"/>
        <v>0</v>
      </c>
      <c r="L93" s="105">
        <f t="shared" ca="1" si="35"/>
        <v>0</v>
      </c>
      <c r="M93" s="105">
        <f t="shared" ca="1" si="36"/>
        <v>0</v>
      </c>
      <c r="N93" s="105">
        <f t="shared" ca="1" si="35"/>
        <v>0</v>
      </c>
      <c r="O93" s="105">
        <f t="shared" ca="1" si="37"/>
        <v>0</v>
      </c>
      <c r="P93" s="105">
        <f t="shared" ca="1" si="38"/>
        <v>0</v>
      </c>
      <c r="Q93" s="105">
        <f t="shared" ca="1" si="39"/>
        <v>0</v>
      </c>
      <c r="R93" s="105">
        <f t="shared" ca="1" si="40"/>
        <v>0</v>
      </c>
      <c r="S93" s="105">
        <f t="shared" ca="1" si="41"/>
        <v>4</v>
      </c>
    </row>
    <row r="94" spans="1:19" x14ac:dyDescent="0.35">
      <c r="A94" s="105">
        <f t="shared" ca="1" si="26"/>
        <v>123.07750000000024</v>
      </c>
      <c r="B94" s="105" t="str">
        <f t="shared" ca="1" si="27"/>
        <v>循环</v>
      </c>
      <c r="C94" s="105">
        <f t="shared" ca="1" si="28"/>
        <v>1</v>
      </c>
      <c r="D94" s="105">
        <f t="shared" ca="1" si="29"/>
        <v>19.570000000000057</v>
      </c>
      <c r="E94" s="105">
        <f t="shared" ca="1" si="30"/>
        <v>4.9500000000000144</v>
      </c>
      <c r="F94" s="105">
        <f t="shared" ca="1" si="31"/>
        <v>6.3025000000000144</v>
      </c>
      <c r="G94" s="105">
        <f t="shared" ca="1" si="42"/>
        <v>1</v>
      </c>
      <c r="H94" s="105">
        <f t="shared" ca="1" si="43"/>
        <v>1.137500000000033</v>
      </c>
      <c r="I94" s="105">
        <f t="shared" ca="1" si="32"/>
        <v>0</v>
      </c>
      <c r="J94" s="105">
        <f t="shared" ca="1" si="33"/>
        <v>0</v>
      </c>
      <c r="K94" s="105">
        <f t="shared" ca="1" si="34"/>
        <v>0</v>
      </c>
      <c r="L94" s="105">
        <f t="shared" ca="1" si="35"/>
        <v>0</v>
      </c>
      <c r="M94" s="105">
        <f t="shared" ca="1" si="36"/>
        <v>0</v>
      </c>
      <c r="N94" s="105">
        <f t="shared" ca="1" si="35"/>
        <v>0</v>
      </c>
      <c r="O94" s="105">
        <f t="shared" ca="1" si="37"/>
        <v>0</v>
      </c>
      <c r="P94" s="105">
        <f t="shared" ca="1" si="38"/>
        <v>0</v>
      </c>
      <c r="Q94" s="105">
        <f t="shared" ca="1" si="39"/>
        <v>0</v>
      </c>
      <c r="R94" s="105">
        <f t="shared" ca="1" si="40"/>
        <v>0</v>
      </c>
      <c r="S94" s="105">
        <f t="shared" ca="1" si="41"/>
        <v>4</v>
      </c>
    </row>
    <row r="95" spans="1:19" x14ac:dyDescent="0.35">
      <c r="A95" s="105">
        <f t="shared" ca="1" si="26"/>
        <v>124.43000000000025</v>
      </c>
      <c r="B95" s="105" t="str">
        <f t="shared" ca="1" si="27"/>
        <v>循环</v>
      </c>
      <c r="C95" s="105">
        <f t="shared" ca="1" si="28"/>
        <v>1</v>
      </c>
      <c r="D95" s="105">
        <f t="shared" ca="1" si="29"/>
        <v>18.217500000000058</v>
      </c>
      <c r="E95" s="105">
        <f t="shared" ca="1" si="30"/>
        <v>3.5975000000000144</v>
      </c>
      <c r="F95" s="105">
        <f t="shared" ca="1" si="31"/>
        <v>4.9500000000000144</v>
      </c>
      <c r="G95" s="105">
        <f t="shared" ca="1" si="42"/>
        <v>1</v>
      </c>
      <c r="H95" s="105">
        <f t="shared" ca="1" si="43"/>
        <v>0</v>
      </c>
      <c r="I95" s="105">
        <f t="shared" ca="1" si="32"/>
        <v>0</v>
      </c>
      <c r="J95" s="105">
        <f t="shared" ca="1" si="33"/>
        <v>0</v>
      </c>
      <c r="K95" s="105">
        <f t="shared" ca="1" si="34"/>
        <v>0</v>
      </c>
      <c r="L95" s="105">
        <f t="shared" ca="1" si="35"/>
        <v>0</v>
      </c>
      <c r="M95" s="105">
        <f t="shared" ca="1" si="36"/>
        <v>0</v>
      </c>
      <c r="N95" s="105">
        <f t="shared" ca="1" si="35"/>
        <v>0</v>
      </c>
      <c r="O95" s="105">
        <f t="shared" ca="1" si="37"/>
        <v>0</v>
      </c>
      <c r="P95" s="105">
        <f t="shared" ca="1" si="38"/>
        <v>0</v>
      </c>
      <c r="Q95" s="105">
        <f t="shared" ca="1" si="39"/>
        <v>0</v>
      </c>
      <c r="R95" s="105">
        <f t="shared" ca="1" si="40"/>
        <v>0</v>
      </c>
      <c r="S95" s="105">
        <f t="shared" ca="1" si="41"/>
        <v>4</v>
      </c>
    </row>
    <row r="96" spans="1:19" x14ac:dyDescent="0.35">
      <c r="A96" s="105">
        <f t="shared" ca="1" si="26"/>
        <v>125.78250000000025</v>
      </c>
      <c r="B96" s="105" t="str">
        <f t="shared" ca="1" si="27"/>
        <v>循环</v>
      </c>
      <c r="C96" s="105">
        <f t="shared" ca="1" si="28"/>
        <v>1</v>
      </c>
      <c r="D96" s="105">
        <f t="shared" ca="1" si="29"/>
        <v>16.865000000000059</v>
      </c>
      <c r="E96" s="105">
        <f t="shared" ca="1" si="30"/>
        <v>2.2450000000000143</v>
      </c>
      <c r="F96" s="105">
        <f t="shared" ca="1" si="31"/>
        <v>3.5975000000000144</v>
      </c>
      <c r="G96" s="105">
        <f t="shared" ca="1" si="42"/>
        <v>0</v>
      </c>
      <c r="H96" s="105">
        <f t="shared" ca="1" si="43"/>
        <v>0</v>
      </c>
      <c r="I96" s="105">
        <f t="shared" ca="1" si="32"/>
        <v>0</v>
      </c>
      <c r="J96" s="105">
        <f t="shared" ca="1" si="33"/>
        <v>0</v>
      </c>
      <c r="K96" s="105">
        <f t="shared" ca="1" si="34"/>
        <v>0</v>
      </c>
      <c r="L96" s="105">
        <f t="shared" ca="1" si="35"/>
        <v>0</v>
      </c>
      <c r="M96" s="105">
        <f t="shared" ca="1" si="36"/>
        <v>0</v>
      </c>
      <c r="N96" s="105">
        <f t="shared" ca="1" si="35"/>
        <v>0</v>
      </c>
      <c r="O96" s="105">
        <f t="shared" ca="1" si="37"/>
        <v>0</v>
      </c>
      <c r="P96" s="105">
        <f t="shared" ca="1" si="38"/>
        <v>0</v>
      </c>
      <c r="Q96" s="105">
        <f t="shared" ca="1" si="39"/>
        <v>0</v>
      </c>
      <c r="R96" s="105">
        <f t="shared" ca="1" si="40"/>
        <v>0</v>
      </c>
      <c r="S96" s="105">
        <f t="shared" ca="1" si="41"/>
        <v>4</v>
      </c>
    </row>
    <row r="97" spans="1:19" x14ac:dyDescent="0.35">
      <c r="A97" s="105">
        <f t="shared" ca="1" si="26"/>
        <v>127.13500000000026</v>
      </c>
      <c r="B97" s="105" t="str">
        <f t="shared" ca="1" si="27"/>
        <v>突循环</v>
      </c>
      <c r="C97" s="105">
        <f t="shared" ca="1" si="28"/>
        <v>1</v>
      </c>
      <c r="D97" s="105">
        <f t="shared" ca="1" si="29"/>
        <v>15.51250000000006</v>
      </c>
      <c r="E97" s="105">
        <f t="shared" ca="1" si="30"/>
        <v>0.89250000000001428</v>
      </c>
      <c r="F97" s="105">
        <f t="shared" ca="1" si="31"/>
        <v>2.2450000000000143</v>
      </c>
      <c r="G97" s="105">
        <f t="shared" ca="1" si="42"/>
        <v>0</v>
      </c>
      <c r="H97" s="105">
        <f t="shared" ca="1" si="43"/>
        <v>60.647500000000001</v>
      </c>
      <c r="I97" s="105">
        <f t="shared" ca="1" si="32"/>
        <v>0</v>
      </c>
      <c r="J97" s="105">
        <f t="shared" ca="1" si="33"/>
        <v>0</v>
      </c>
      <c r="K97" s="105">
        <f t="shared" ca="1" si="34"/>
        <v>0</v>
      </c>
      <c r="L97" s="105">
        <f t="shared" ca="1" si="35"/>
        <v>0</v>
      </c>
      <c r="M97" s="105">
        <f t="shared" ca="1" si="36"/>
        <v>0</v>
      </c>
      <c r="N97" s="105">
        <f t="shared" ca="1" si="35"/>
        <v>0</v>
      </c>
      <c r="O97" s="105">
        <f t="shared" ca="1" si="37"/>
        <v>0</v>
      </c>
      <c r="P97" s="105">
        <f t="shared" ca="1" si="38"/>
        <v>0</v>
      </c>
      <c r="Q97" s="105">
        <f t="shared" ca="1" si="39"/>
        <v>0</v>
      </c>
      <c r="R97" s="105">
        <f t="shared" ca="1" si="40"/>
        <v>0</v>
      </c>
      <c r="S97" s="105">
        <f t="shared" ca="1" si="41"/>
        <v>4</v>
      </c>
    </row>
    <row r="98" spans="1:19" x14ac:dyDescent="0.35">
      <c r="A98" s="105">
        <f t="shared" ca="1" si="26"/>
        <v>128.48750000000027</v>
      </c>
      <c r="B98" s="105" t="str">
        <f t="shared" ca="1" si="27"/>
        <v>循环</v>
      </c>
      <c r="C98" s="105">
        <f t="shared" ca="1" si="28"/>
        <v>1</v>
      </c>
      <c r="D98" s="105">
        <f t="shared" ca="1" si="29"/>
        <v>14.160000000000061</v>
      </c>
      <c r="E98" s="105">
        <f t="shared" ca="1" si="30"/>
        <v>0</v>
      </c>
      <c r="F98" s="105">
        <f t="shared" ca="1" si="31"/>
        <v>0.89250000000001428</v>
      </c>
      <c r="G98" s="105">
        <f t="shared" ca="1" si="42"/>
        <v>0</v>
      </c>
      <c r="H98" s="105">
        <f t="shared" ca="1" si="43"/>
        <v>59.295000000000002</v>
      </c>
      <c r="I98" s="105">
        <f t="shared" ca="1" si="32"/>
        <v>0</v>
      </c>
      <c r="J98" s="105">
        <f t="shared" ca="1" si="33"/>
        <v>0</v>
      </c>
      <c r="K98" s="105">
        <f t="shared" ca="1" si="34"/>
        <v>0</v>
      </c>
      <c r="L98" s="105">
        <f t="shared" ca="1" si="35"/>
        <v>0</v>
      </c>
      <c r="M98" s="105">
        <f t="shared" ca="1" si="36"/>
        <v>0</v>
      </c>
      <c r="N98" s="105">
        <f t="shared" ca="1" si="35"/>
        <v>0</v>
      </c>
      <c r="O98" s="105">
        <f t="shared" ca="1" si="37"/>
        <v>0</v>
      </c>
      <c r="P98" s="105">
        <f t="shared" ca="1" si="38"/>
        <v>0</v>
      </c>
      <c r="Q98" s="105">
        <f t="shared" ca="1" si="39"/>
        <v>0</v>
      </c>
      <c r="R98" s="105">
        <f t="shared" ca="1" si="40"/>
        <v>0</v>
      </c>
      <c r="S98" s="105">
        <f t="shared" ca="1" si="41"/>
        <v>4</v>
      </c>
    </row>
    <row r="99" spans="1:19" x14ac:dyDescent="0.35">
      <c r="A99" s="105">
        <f t="shared" ca="1" si="26"/>
        <v>129.84000000000026</v>
      </c>
      <c r="B99" s="105" t="str">
        <f t="shared" ca="1" si="27"/>
        <v>渊任</v>
      </c>
      <c r="C99" s="105">
        <f t="shared" ca="1" si="28"/>
        <v>0</v>
      </c>
      <c r="D99" s="105">
        <f t="shared" ca="1" si="29"/>
        <v>12.807500000000061</v>
      </c>
      <c r="E99" s="105">
        <f t="shared" ca="1" si="30"/>
        <v>30.647500000000001</v>
      </c>
      <c r="F99" s="105">
        <f t="shared" ca="1" si="31"/>
        <v>0</v>
      </c>
      <c r="G99" s="105">
        <f t="shared" ca="1" si="42"/>
        <v>1</v>
      </c>
      <c r="H99" s="105">
        <f t="shared" ca="1" si="43"/>
        <v>57.942500000000003</v>
      </c>
      <c r="I99" s="105">
        <f t="shared" ca="1" si="32"/>
        <v>0</v>
      </c>
      <c r="J99" s="105">
        <f t="shared" ca="1" si="33"/>
        <v>0</v>
      </c>
      <c r="K99" s="105">
        <f t="shared" ca="1" si="34"/>
        <v>14.335000000000001</v>
      </c>
      <c r="L99" s="105">
        <f t="shared" ca="1" si="35"/>
        <v>1</v>
      </c>
      <c r="M99" s="105">
        <f t="shared" ca="1" si="36"/>
        <v>0</v>
      </c>
      <c r="N99" s="105">
        <f t="shared" ca="1" si="35"/>
        <v>0</v>
      </c>
      <c r="O99" s="105">
        <f t="shared" ca="1" si="37"/>
        <v>0</v>
      </c>
      <c r="P99" s="105">
        <f t="shared" ca="1" si="38"/>
        <v>0</v>
      </c>
      <c r="Q99" s="105">
        <f t="shared" ca="1" si="39"/>
        <v>8.6475000000000009</v>
      </c>
      <c r="R99" s="105">
        <f t="shared" ca="1" si="40"/>
        <v>1</v>
      </c>
      <c r="S99" s="105">
        <f t="shared" ca="1" si="41"/>
        <v>4</v>
      </c>
    </row>
    <row r="100" spans="1:19" x14ac:dyDescent="0.35">
      <c r="A100" s="105">
        <f t="shared" ca="1" si="26"/>
        <v>131.19250000000025</v>
      </c>
      <c r="B100" s="105" t="str">
        <f t="shared" ca="1" si="27"/>
        <v>雷循环</v>
      </c>
      <c r="C100" s="105">
        <f t="shared" ca="1" si="28"/>
        <v>0</v>
      </c>
      <c r="D100" s="105">
        <f t="shared" ca="1" si="29"/>
        <v>11.455000000000062</v>
      </c>
      <c r="E100" s="105">
        <f t="shared" ca="1" si="30"/>
        <v>29.295000000000002</v>
      </c>
      <c r="F100" s="105">
        <f t="shared" ca="1" si="31"/>
        <v>30.647500000000001</v>
      </c>
      <c r="G100" s="105">
        <f t="shared" ca="1" si="42"/>
        <v>1</v>
      </c>
      <c r="H100" s="105">
        <f t="shared" ca="1" si="43"/>
        <v>56.59</v>
      </c>
      <c r="I100" s="105">
        <f t="shared" ca="1" si="32"/>
        <v>0</v>
      </c>
      <c r="J100" s="105">
        <f t="shared" ca="1" si="33"/>
        <v>0</v>
      </c>
      <c r="K100" s="105">
        <f t="shared" ca="1" si="34"/>
        <v>12.982500000000002</v>
      </c>
      <c r="L100" s="105">
        <f t="shared" ca="1" si="35"/>
        <v>1</v>
      </c>
      <c r="M100" s="105">
        <f t="shared" ca="1" si="36"/>
        <v>0</v>
      </c>
      <c r="N100" s="105">
        <f t="shared" ca="1" si="35"/>
        <v>0</v>
      </c>
      <c r="O100" s="105">
        <f t="shared" ca="1" si="37"/>
        <v>13.647500000000001</v>
      </c>
      <c r="P100" s="105">
        <f t="shared" ca="1" si="38"/>
        <v>1</v>
      </c>
      <c r="Q100" s="105">
        <f t="shared" ca="1" si="39"/>
        <v>7.2950000000000008</v>
      </c>
      <c r="R100" s="105">
        <f t="shared" ca="1" si="40"/>
        <v>1</v>
      </c>
      <c r="S100" s="105">
        <f t="shared" ca="1" si="41"/>
        <v>5</v>
      </c>
    </row>
    <row r="101" spans="1:19" x14ac:dyDescent="0.35">
      <c r="A101" s="105">
        <f t="shared" ca="1" si="26"/>
        <v>132.54500000000024</v>
      </c>
      <c r="B101" s="105" t="str">
        <f t="shared" ca="1" si="27"/>
        <v>循环</v>
      </c>
      <c r="C101" s="105">
        <f t="shared" ca="1" si="28"/>
        <v>0</v>
      </c>
      <c r="D101" s="105">
        <f t="shared" ca="1" si="29"/>
        <v>10.102500000000063</v>
      </c>
      <c r="E101" s="105">
        <f t="shared" ca="1" si="30"/>
        <v>27.942500000000003</v>
      </c>
      <c r="F101" s="105">
        <f t="shared" ca="1" si="31"/>
        <v>29.295000000000002</v>
      </c>
      <c r="G101" s="105">
        <f t="shared" ca="1" si="42"/>
        <v>1</v>
      </c>
      <c r="H101" s="105">
        <f t="shared" ca="1" si="43"/>
        <v>55.237500000000004</v>
      </c>
      <c r="I101" s="105">
        <f t="shared" ca="1" si="32"/>
        <v>0</v>
      </c>
      <c r="J101" s="105">
        <f t="shared" ca="1" si="33"/>
        <v>0</v>
      </c>
      <c r="K101" s="105">
        <f t="shared" ca="1" si="34"/>
        <v>11.630000000000003</v>
      </c>
      <c r="L101" s="105">
        <f t="shared" ca="1" si="35"/>
        <v>1</v>
      </c>
      <c r="M101" s="105">
        <f t="shared" ca="1" si="36"/>
        <v>0</v>
      </c>
      <c r="N101" s="105">
        <f t="shared" ca="1" si="35"/>
        <v>0</v>
      </c>
      <c r="O101" s="105">
        <f t="shared" ca="1" si="37"/>
        <v>12.295000000000002</v>
      </c>
      <c r="P101" s="105">
        <f t="shared" ca="1" si="38"/>
        <v>1</v>
      </c>
      <c r="Q101" s="105">
        <f t="shared" ca="1" si="39"/>
        <v>5.9425000000000008</v>
      </c>
      <c r="R101" s="105">
        <f t="shared" ca="1" si="40"/>
        <v>1</v>
      </c>
      <c r="S101" s="105">
        <f t="shared" ca="1" si="41"/>
        <v>5</v>
      </c>
    </row>
    <row r="102" spans="1:19" x14ac:dyDescent="0.35">
      <c r="A102" s="105">
        <f t="shared" ca="1" si="26"/>
        <v>133.89750000000024</v>
      </c>
      <c r="B102" s="105" t="str">
        <f t="shared" ca="1" si="27"/>
        <v>循环</v>
      </c>
      <c r="C102" s="105">
        <f t="shared" ca="1" si="28"/>
        <v>0</v>
      </c>
      <c r="D102" s="105">
        <f t="shared" ca="1" si="29"/>
        <v>8.7500000000000639</v>
      </c>
      <c r="E102" s="105">
        <f t="shared" ca="1" si="30"/>
        <v>26.590000000000003</v>
      </c>
      <c r="F102" s="105">
        <f t="shared" ca="1" si="31"/>
        <v>27.942500000000003</v>
      </c>
      <c r="G102" s="105">
        <f t="shared" ca="1" si="42"/>
        <v>1</v>
      </c>
      <c r="H102" s="105">
        <f t="shared" ca="1" si="43"/>
        <v>53.885000000000005</v>
      </c>
      <c r="I102" s="105">
        <f t="shared" ca="1" si="32"/>
        <v>0</v>
      </c>
      <c r="J102" s="105">
        <f t="shared" ca="1" si="33"/>
        <v>0</v>
      </c>
      <c r="K102" s="105">
        <f t="shared" ca="1" si="34"/>
        <v>10.277500000000003</v>
      </c>
      <c r="L102" s="105">
        <f t="shared" ca="1" si="35"/>
        <v>1</v>
      </c>
      <c r="M102" s="105">
        <f t="shared" ca="1" si="36"/>
        <v>0</v>
      </c>
      <c r="N102" s="105">
        <f t="shared" ca="1" si="35"/>
        <v>0</v>
      </c>
      <c r="O102" s="105">
        <f t="shared" ca="1" si="37"/>
        <v>10.942500000000003</v>
      </c>
      <c r="P102" s="105">
        <f t="shared" ca="1" si="38"/>
        <v>1</v>
      </c>
      <c r="Q102" s="105">
        <f t="shared" ca="1" si="39"/>
        <v>4.5900000000000007</v>
      </c>
      <c r="R102" s="105">
        <f t="shared" ca="1" si="40"/>
        <v>1</v>
      </c>
      <c r="S102" s="105">
        <f t="shared" ca="1" si="41"/>
        <v>5</v>
      </c>
    </row>
    <row r="103" spans="1:19" x14ac:dyDescent="0.35">
      <c r="A103" s="105">
        <f t="shared" ca="1" si="26"/>
        <v>135.25000000000023</v>
      </c>
      <c r="B103" s="105" t="str">
        <f t="shared" ca="1" si="27"/>
        <v>循环</v>
      </c>
      <c r="C103" s="105">
        <f t="shared" ca="1" si="28"/>
        <v>0</v>
      </c>
      <c r="D103" s="105">
        <f t="shared" ca="1" si="29"/>
        <v>7.3975000000000639</v>
      </c>
      <c r="E103" s="105">
        <f t="shared" ca="1" si="30"/>
        <v>25.237500000000004</v>
      </c>
      <c r="F103" s="105">
        <f t="shared" ca="1" si="31"/>
        <v>26.590000000000003</v>
      </c>
      <c r="G103" s="105">
        <f t="shared" ca="1" si="42"/>
        <v>1</v>
      </c>
      <c r="H103" s="105">
        <f t="shared" ca="1" si="43"/>
        <v>52.532500000000006</v>
      </c>
      <c r="I103" s="105">
        <f t="shared" ca="1" si="32"/>
        <v>0</v>
      </c>
      <c r="J103" s="105">
        <f t="shared" ca="1" si="33"/>
        <v>0</v>
      </c>
      <c r="K103" s="105">
        <f t="shared" ca="1" si="34"/>
        <v>8.9250000000000043</v>
      </c>
      <c r="L103" s="105">
        <f t="shared" ca="1" si="35"/>
        <v>1</v>
      </c>
      <c r="M103" s="105">
        <f t="shared" ca="1" si="36"/>
        <v>0</v>
      </c>
      <c r="N103" s="105">
        <f t="shared" ca="1" si="35"/>
        <v>0</v>
      </c>
      <c r="O103" s="105">
        <f t="shared" ca="1" si="37"/>
        <v>9.5900000000000034</v>
      </c>
      <c r="P103" s="105">
        <f t="shared" ca="1" si="38"/>
        <v>1</v>
      </c>
      <c r="Q103" s="105">
        <f t="shared" ca="1" si="39"/>
        <v>3.2375000000000007</v>
      </c>
      <c r="R103" s="105">
        <f t="shared" ca="1" si="40"/>
        <v>1</v>
      </c>
      <c r="S103" s="105">
        <f t="shared" ca="1" si="41"/>
        <v>5</v>
      </c>
    </row>
    <row r="104" spans="1:19" x14ac:dyDescent="0.35">
      <c r="A104" s="105">
        <f t="shared" ca="1" si="26"/>
        <v>136.60250000000022</v>
      </c>
      <c r="B104" s="105" t="str">
        <f t="shared" ca="1" si="27"/>
        <v>循环</v>
      </c>
      <c r="C104" s="105">
        <f t="shared" ca="1" si="28"/>
        <v>0</v>
      </c>
      <c r="D104" s="105">
        <f t="shared" ca="1" si="29"/>
        <v>6.0450000000000639</v>
      </c>
      <c r="E104" s="105">
        <f t="shared" ca="1" si="30"/>
        <v>23.885000000000005</v>
      </c>
      <c r="F104" s="105">
        <f t="shared" ca="1" si="31"/>
        <v>25.237500000000004</v>
      </c>
      <c r="G104" s="105">
        <f t="shared" ca="1" si="42"/>
        <v>1</v>
      </c>
      <c r="H104" s="105">
        <f t="shared" ca="1" si="43"/>
        <v>51.180000000000007</v>
      </c>
      <c r="I104" s="105">
        <f t="shared" ca="1" si="32"/>
        <v>0</v>
      </c>
      <c r="J104" s="105">
        <f t="shared" ca="1" si="33"/>
        <v>0</v>
      </c>
      <c r="K104" s="105">
        <f t="shared" ca="1" si="34"/>
        <v>7.5725000000000042</v>
      </c>
      <c r="L104" s="105">
        <f t="shared" ca="1" si="35"/>
        <v>1</v>
      </c>
      <c r="M104" s="105">
        <f t="shared" ca="1" si="36"/>
        <v>0</v>
      </c>
      <c r="N104" s="105">
        <f t="shared" ca="1" si="35"/>
        <v>0</v>
      </c>
      <c r="O104" s="105">
        <f t="shared" ca="1" si="37"/>
        <v>8.2375000000000043</v>
      </c>
      <c r="P104" s="105">
        <f t="shared" ca="1" si="38"/>
        <v>1</v>
      </c>
      <c r="Q104" s="105">
        <f t="shared" ca="1" si="39"/>
        <v>1.8850000000000007</v>
      </c>
      <c r="R104" s="105">
        <f t="shared" ca="1" si="40"/>
        <v>1</v>
      </c>
      <c r="S104" s="105">
        <f t="shared" ca="1" si="41"/>
        <v>5</v>
      </c>
    </row>
    <row r="105" spans="1:19" x14ac:dyDescent="0.35">
      <c r="A105" s="105">
        <f t="shared" ca="1" si="26"/>
        <v>137.95500000000021</v>
      </c>
      <c r="B105" s="105" t="str">
        <f t="shared" ca="1" si="27"/>
        <v>循环</v>
      </c>
      <c r="C105" s="105">
        <f t="shared" ca="1" si="28"/>
        <v>0</v>
      </c>
      <c r="D105" s="105">
        <f t="shared" ca="1" si="29"/>
        <v>4.6925000000000638</v>
      </c>
      <c r="E105" s="105">
        <f t="shared" ca="1" si="30"/>
        <v>22.532500000000006</v>
      </c>
      <c r="F105" s="105">
        <f t="shared" ca="1" si="31"/>
        <v>23.885000000000005</v>
      </c>
      <c r="G105" s="105">
        <f t="shared" ca="1" si="42"/>
        <v>1</v>
      </c>
      <c r="H105" s="105">
        <f t="shared" ca="1" si="43"/>
        <v>49.827500000000008</v>
      </c>
      <c r="I105" s="105">
        <f t="shared" ca="1" si="32"/>
        <v>0</v>
      </c>
      <c r="J105" s="105">
        <f t="shared" ca="1" si="33"/>
        <v>0</v>
      </c>
      <c r="K105" s="105">
        <f t="shared" ca="1" si="34"/>
        <v>6.2200000000000042</v>
      </c>
      <c r="L105" s="105">
        <f t="shared" ca="1" si="35"/>
        <v>1</v>
      </c>
      <c r="M105" s="105">
        <f t="shared" ca="1" si="36"/>
        <v>0</v>
      </c>
      <c r="N105" s="105">
        <f t="shared" ca="1" si="35"/>
        <v>0</v>
      </c>
      <c r="O105" s="105">
        <f t="shared" ca="1" si="37"/>
        <v>6.8850000000000042</v>
      </c>
      <c r="P105" s="105">
        <f t="shared" ca="1" si="38"/>
        <v>1</v>
      </c>
      <c r="Q105" s="105">
        <f t="shared" ca="1" si="39"/>
        <v>0.53250000000000064</v>
      </c>
      <c r="R105" s="105">
        <f t="shared" ca="1" si="40"/>
        <v>1</v>
      </c>
      <c r="S105" s="105">
        <f t="shared" ca="1" si="41"/>
        <v>5</v>
      </c>
    </row>
    <row r="106" spans="1:19" x14ac:dyDescent="0.35">
      <c r="A106" s="105">
        <f t="shared" ca="1" si="26"/>
        <v>139.3075000000002</v>
      </c>
      <c r="B106" s="105" t="str">
        <f t="shared" ca="1" si="27"/>
        <v>循环</v>
      </c>
      <c r="C106" s="105">
        <f t="shared" ca="1" si="28"/>
        <v>0</v>
      </c>
      <c r="D106" s="105">
        <f t="shared" ca="1" si="29"/>
        <v>3.3400000000000638</v>
      </c>
      <c r="E106" s="105">
        <f t="shared" ca="1" si="30"/>
        <v>21.180000000000007</v>
      </c>
      <c r="F106" s="105">
        <f t="shared" ca="1" si="31"/>
        <v>22.532500000000006</v>
      </c>
      <c r="G106" s="105">
        <f t="shared" ca="1" si="42"/>
        <v>1</v>
      </c>
      <c r="H106" s="105">
        <f t="shared" ca="1" si="43"/>
        <v>48.475000000000009</v>
      </c>
      <c r="I106" s="105">
        <f t="shared" ca="1" si="32"/>
        <v>0</v>
      </c>
      <c r="J106" s="105">
        <f t="shared" ca="1" si="33"/>
        <v>0</v>
      </c>
      <c r="K106" s="105">
        <f t="shared" ca="1" si="34"/>
        <v>4.8675000000000042</v>
      </c>
      <c r="L106" s="105">
        <f t="shared" ca="1" si="35"/>
        <v>1</v>
      </c>
      <c r="M106" s="105">
        <f t="shared" ca="1" si="36"/>
        <v>0</v>
      </c>
      <c r="N106" s="105">
        <f t="shared" ca="1" si="35"/>
        <v>0</v>
      </c>
      <c r="O106" s="105">
        <f t="shared" ca="1" si="37"/>
        <v>5.5325000000000042</v>
      </c>
      <c r="P106" s="105">
        <f t="shared" ca="1" si="38"/>
        <v>1</v>
      </c>
      <c r="Q106" s="105">
        <f t="shared" ca="1" si="39"/>
        <v>0</v>
      </c>
      <c r="R106" s="105">
        <f t="shared" ca="1" si="40"/>
        <v>1</v>
      </c>
      <c r="S106" s="105">
        <f t="shared" ca="1" si="41"/>
        <v>5</v>
      </c>
    </row>
    <row r="107" spans="1:19" x14ac:dyDescent="0.35">
      <c r="A107" s="105">
        <f t="shared" ca="1" si="26"/>
        <v>140.6600000000002</v>
      </c>
      <c r="B107" s="105" t="str">
        <f t="shared" ca="1" si="27"/>
        <v>循环</v>
      </c>
      <c r="C107" s="105">
        <f t="shared" ca="1" si="28"/>
        <v>0</v>
      </c>
      <c r="D107" s="105">
        <f t="shared" ca="1" si="29"/>
        <v>1.9875000000000638</v>
      </c>
      <c r="E107" s="105">
        <f t="shared" ca="1" si="30"/>
        <v>19.827500000000008</v>
      </c>
      <c r="F107" s="105">
        <f t="shared" ca="1" si="31"/>
        <v>21.180000000000007</v>
      </c>
      <c r="G107" s="105">
        <f t="shared" ca="1" si="42"/>
        <v>1</v>
      </c>
      <c r="H107" s="105">
        <f t="shared" ca="1" si="43"/>
        <v>47.122500000000009</v>
      </c>
      <c r="I107" s="105">
        <f t="shared" ca="1" si="32"/>
        <v>0</v>
      </c>
      <c r="J107" s="105">
        <f t="shared" ca="1" si="33"/>
        <v>0</v>
      </c>
      <c r="K107" s="105">
        <f t="shared" ca="1" si="34"/>
        <v>3.5150000000000041</v>
      </c>
      <c r="L107" s="105">
        <f t="shared" ca="1" si="35"/>
        <v>1</v>
      </c>
      <c r="M107" s="105">
        <f t="shared" ca="1" si="36"/>
        <v>0</v>
      </c>
      <c r="N107" s="105">
        <f t="shared" ca="1" si="35"/>
        <v>0</v>
      </c>
      <c r="O107" s="105">
        <f t="shared" ca="1" si="37"/>
        <v>4.1800000000000042</v>
      </c>
      <c r="P107" s="105">
        <f t="shared" ca="1" si="38"/>
        <v>1</v>
      </c>
      <c r="Q107" s="105">
        <f t="shared" ca="1" si="39"/>
        <v>0</v>
      </c>
      <c r="R107" s="105">
        <f t="shared" ca="1" si="40"/>
        <v>0</v>
      </c>
      <c r="S107" s="105">
        <f t="shared" ca="1" si="41"/>
        <v>5</v>
      </c>
    </row>
    <row r="108" spans="1:19" x14ac:dyDescent="0.35">
      <c r="A108" s="105">
        <f t="shared" ca="1" si="26"/>
        <v>142.01250000000019</v>
      </c>
      <c r="B108" s="105" t="str">
        <f t="shared" ca="1" si="27"/>
        <v>循环</v>
      </c>
      <c r="C108" s="105">
        <f t="shared" ca="1" si="28"/>
        <v>0</v>
      </c>
      <c r="D108" s="105">
        <f t="shared" ca="1" si="29"/>
        <v>0.63500000000006374</v>
      </c>
      <c r="E108" s="105">
        <f t="shared" ca="1" si="30"/>
        <v>18.475000000000009</v>
      </c>
      <c r="F108" s="105">
        <f t="shared" ca="1" si="31"/>
        <v>19.827500000000008</v>
      </c>
      <c r="G108" s="105">
        <f t="shared" ca="1" si="42"/>
        <v>1</v>
      </c>
      <c r="H108" s="105">
        <f t="shared" ca="1" si="43"/>
        <v>45.77000000000001</v>
      </c>
      <c r="I108" s="105">
        <f t="shared" ca="1" si="32"/>
        <v>0</v>
      </c>
      <c r="J108" s="105">
        <f t="shared" ca="1" si="33"/>
        <v>0</v>
      </c>
      <c r="K108" s="105">
        <f t="shared" ca="1" si="34"/>
        <v>2.1625000000000041</v>
      </c>
      <c r="L108" s="105">
        <f t="shared" ca="1" si="35"/>
        <v>1</v>
      </c>
      <c r="M108" s="105">
        <f t="shared" ca="1" si="36"/>
        <v>0</v>
      </c>
      <c r="N108" s="105">
        <f t="shared" ca="1" si="35"/>
        <v>0</v>
      </c>
      <c r="O108" s="105">
        <f t="shared" ca="1" si="37"/>
        <v>2.8275000000000041</v>
      </c>
      <c r="P108" s="105">
        <f t="shared" ca="1" si="38"/>
        <v>1</v>
      </c>
      <c r="Q108" s="105">
        <f t="shared" ca="1" si="39"/>
        <v>0</v>
      </c>
      <c r="R108" s="105">
        <f t="shared" ca="1" si="40"/>
        <v>0</v>
      </c>
      <c r="S108" s="105">
        <f t="shared" ca="1" si="41"/>
        <v>5</v>
      </c>
    </row>
    <row r="109" spans="1:19" x14ac:dyDescent="0.35">
      <c r="A109" s="105">
        <f t="shared" ca="1" si="26"/>
        <v>143.36500000000018</v>
      </c>
      <c r="B109" s="105" t="str">
        <f t="shared" ca="1" si="27"/>
        <v>循环</v>
      </c>
      <c r="C109" s="105">
        <f t="shared" ca="1" si="28"/>
        <v>1</v>
      </c>
      <c r="D109" s="105">
        <f t="shared" ca="1" si="29"/>
        <v>35.282500000000063</v>
      </c>
      <c r="E109" s="105">
        <f t="shared" ca="1" si="30"/>
        <v>17.122500000000009</v>
      </c>
      <c r="F109" s="105">
        <f t="shared" ca="1" si="31"/>
        <v>18.475000000000009</v>
      </c>
      <c r="G109" s="105">
        <f t="shared" ca="1" si="42"/>
        <v>1</v>
      </c>
      <c r="H109" s="105">
        <f t="shared" ca="1" si="43"/>
        <v>44.417500000000011</v>
      </c>
      <c r="I109" s="105">
        <f t="shared" ca="1" si="32"/>
        <v>0</v>
      </c>
      <c r="J109" s="105">
        <f t="shared" ca="1" si="33"/>
        <v>0</v>
      </c>
      <c r="K109" s="105">
        <f t="shared" ca="1" si="34"/>
        <v>0.81000000000000405</v>
      </c>
      <c r="L109" s="105">
        <f t="shared" ca="1" si="35"/>
        <v>1</v>
      </c>
      <c r="M109" s="105">
        <f t="shared" ca="1" si="36"/>
        <v>0</v>
      </c>
      <c r="N109" s="105">
        <f t="shared" ca="1" si="35"/>
        <v>0</v>
      </c>
      <c r="O109" s="105">
        <f t="shared" ca="1" si="37"/>
        <v>1.4750000000000041</v>
      </c>
      <c r="P109" s="105">
        <f t="shared" ca="1" si="38"/>
        <v>1</v>
      </c>
      <c r="Q109" s="105">
        <f t="shared" ca="1" si="39"/>
        <v>0</v>
      </c>
      <c r="R109" s="105">
        <f t="shared" ca="1" si="40"/>
        <v>0</v>
      </c>
      <c r="S109" s="105">
        <f t="shared" ca="1" si="41"/>
        <v>5</v>
      </c>
    </row>
    <row r="110" spans="1:19" x14ac:dyDescent="0.35">
      <c r="A110" s="105">
        <f t="shared" ca="1" si="26"/>
        <v>144.71750000000017</v>
      </c>
      <c r="B110" s="105" t="str">
        <f t="shared" ca="1" si="27"/>
        <v>循环</v>
      </c>
      <c r="C110" s="105">
        <f t="shared" ca="1" si="28"/>
        <v>1</v>
      </c>
      <c r="D110" s="105">
        <f t="shared" ca="1" si="29"/>
        <v>33.930000000000064</v>
      </c>
      <c r="E110" s="105">
        <f t="shared" ca="1" si="30"/>
        <v>15.77000000000001</v>
      </c>
      <c r="F110" s="105">
        <f t="shared" ca="1" si="31"/>
        <v>17.122500000000009</v>
      </c>
      <c r="G110" s="105">
        <f t="shared" ca="1" si="42"/>
        <v>1</v>
      </c>
      <c r="H110" s="105">
        <f t="shared" ca="1" si="43"/>
        <v>43.065000000000012</v>
      </c>
      <c r="I110" s="105">
        <f t="shared" ca="1" si="32"/>
        <v>0</v>
      </c>
      <c r="J110" s="105">
        <f t="shared" ca="1" si="33"/>
        <v>0</v>
      </c>
      <c r="K110" s="105">
        <f t="shared" ca="1" si="34"/>
        <v>0</v>
      </c>
      <c r="L110" s="105">
        <f t="shared" ca="1" si="35"/>
        <v>1</v>
      </c>
      <c r="M110" s="105">
        <f t="shared" ca="1" si="36"/>
        <v>0</v>
      </c>
      <c r="N110" s="105">
        <f t="shared" ca="1" si="35"/>
        <v>0</v>
      </c>
      <c r="O110" s="105">
        <f t="shared" ca="1" si="37"/>
        <v>0.12250000000000405</v>
      </c>
      <c r="P110" s="105">
        <f t="shared" ca="1" si="38"/>
        <v>1</v>
      </c>
      <c r="Q110" s="105">
        <f t="shared" ca="1" si="39"/>
        <v>0</v>
      </c>
      <c r="R110" s="105">
        <f t="shared" ca="1" si="40"/>
        <v>0</v>
      </c>
      <c r="S110" s="105">
        <f t="shared" ca="1" si="41"/>
        <v>5</v>
      </c>
    </row>
    <row r="111" spans="1:19" x14ac:dyDescent="0.35">
      <c r="A111" s="105">
        <f t="shared" ca="1" si="26"/>
        <v>146.07000000000016</v>
      </c>
      <c r="B111" s="105" t="str">
        <f t="shared" ca="1" si="27"/>
        <v>循环</v>
      </c>
      <c r="C111" s="105">
        <f t="shared" ca="1" si="28"/>
        <v>1</v>
      </c>
      <c r="D111" s="105">
        <f t="shared" ca="1" si="29"/>
        <v>32.577500000000065</v>
      </c>
      <c r="E111" s="105">
        <f t="shared" ca="1" si="30"/>
        <v>14.417500000000011</v>
      </c>
      <c r="F111" s="105">
        <f t="shared" ca="1" si="31"/>
        <v>15.77000000000001</v>
      </c>
      <c r="G111" s="105">
        <f t="shared" ca="1" si="42"/>
        <v>1</v>
      </c>
      <c r="H111" s="105">
        <f t="shared" ca="1" si="43"/>
        <v>41.712500000000013</v>
      </c>
      <c r="I111" s="105">
        <f t="shared" ca="1" si="32"/>
        <v>0</v>
      </c>
      <c r="J111" s="105">
        <f t="shared" ca="1" si="33"/>
        <v>0</v>
      </c>
      <c r="K111" s="105">
        <f t="shared" ca="1" si="34"/>
        <v>0</v>
      </c>
      <c r="L111" s="105">
        <f t="shared" ca="1" si="35"/>
        <v>0</v>
      </c>
      <c r="M111" s="105">
        <f t="shared" ca="1" si="36"/>
        <v>0</v>
      </c>
      <c r="N111" s="105">
        <f t="shared" ca="1" si="35"/>
        <v>0</v>
      </c>
      <c r="O111" s="105">
        <f t="shared" ca="1" si="37"/>
        <v>0</v>
      </c>
      <c r="P111" s="105">
        <f t="shared" ca="1" si="38"/>
        <v>1</v>
      </c>
      <c r="Q111" s="105">
        <f t="shared" ca="1" si="39"/>
        <v>0</v>
      </c>
      <c r="R111" s="105">
        <f t="shared" ca="1" si="40"/>
        <v>0</v>
      </c>
      <c r="S111" s="105">
        <f t="shared" ca="1" si="41"/>
        <v>5</v>
      </c>
    </row>
    <row r="112" spans="1:19" x14ac:dyDescent="0.35">
      <c r="A112" s="105">
        <f t="shared" ca="1" si="26"/>
        <v>147.42250000000016</v>
      </c>
      <c r="B112" s="105" t="str">
        <f t="shared" ca="1" si="27"/>
        <v>循环</v>
      </c>
      <c r="C112" s="105">
        <f t="shared" ca="1" si="28"/>
        <v>1</v>
      </c>
      <c r="D112" s="105">
        <f t="shared" ca="1" si="29"/>
        <v>31.225000000000065</v>
      </c>
      <c r="E112" s="105">
        <f t="shared" ca="1" si="30"/>
        <v>13.065000000000012</v>
      </c>
      <c r="F112" s="105">
        <f t="shared" ca="1" si="31"/>
        <v>14.417500000000011</v>
      </c>
      <c r="G112" s="105">
        <f t="shared" ca="1" si="42"/>
        <v>1</v>
      </c>
      <c r="H112" s="105">
        <f t="shared" ca="1" si="43"/>
        <v>40.360000000000014</v>
      </c>
      <c r="I112" s="105">
        <f t="shared" ca="1" si="32"/>
        <v>0</v>
      </c>
      <c r="J112" s="105">
        <f t="shared" ca="1" si="33"/>
        <v>0</v>
      </c>
      <c r="K112" s="105">
        <f t="shared" ca="1" si="34"/>
        <v>0</v>
      </c>
      <c r="L112" s="105">
        <f t="shared" ca="1" si="35"/>
        <v>0</v>
      </c>
      <c r="M112" s="105">
        <f t="shared" ca="1" si="36"/>
        <v>0</v>
      </c>
      <c r="N112" s="105">
        <f t="shared" ca="1" si="35"/>
        <v>0</v>
      </c>
      <c r="O112" s="105">
        <f t="shared" ca="1" si="37"/>
        <v>0</v>
      </c>
      <c r="P112" s="105">
        <f t="shared" ca="1" si="38"/>
        <v>0</v>
      </c>
      <c r="Q112" s="105">
        <f t="shared" ca="1" si="39"/>
        <v>0</v>
      </c>
      <c r="R112" s="105">
        <f t="shared" ca="1" si="40"/>
        <v>0</v>
      </c>
      <c r="S112" s="105">
        <f t="shared" ca="1" si="41"/>
        <v>5</v>
      </c>
    </row>
    <row r="113" spans="1:19" x14ac:dyDescent="0.35">
      <c r="A113" s="105">
        <f t="shared" ca="1" si="26"/>
        <v>148.77500000000015</v>
      </c>
      <c r="B113" s="105" t="str">
        <f t="shared" ca="1" si="27"/>
        <v>循环</v>
      </c>
      <c r="C113" s="105">
        <f t="shared" ca="1" si="28"/>
        <v>1</v>
      </c>
      <c r="D113" s="105">
        <f t="shared" ca="1" si="29"/>
        <v>29.872500000000066</v>
      </c>
      <c r="E113" s="105">
        <f t="shared" ca="1" si="30"/>
        <v>11.712500000000013</v>
      </c>
      <c r="F113" s="105">
        <f t="shared" ca="1" si="31"/>
        <v>13.065000000000012</v>
      </c>
      <c r="G113" s="105">
        <f t="shared" ca="1" si="42"/>
        <v>1</v>
      </c>
      <c r="H113" s="105">
        <f t="shared" ca="1" si="43"/>
        <v>39.007500000000014</v>
      </c>
      <c r="I113" s="105">
        <f t="shared" ca="1" si="32"/>
        <v>0</v>
      </c>
      <c r="J113" s="105">
        <f t="shared" ca="1" si="33"/>
        <v>0</v>
      </c>
      <c r="K113" s="105">
        <f t="shared" ca="1" si="34"/>
        <v>0</v>
      </c>
      <c r="L113" s="105">
        <f t="shared" ca="1" si="35"/>
        <v>0</v>
      </c>
      <c r="M113" s="105">
        <f t="shared" ca="1" si="36"/>
        <v>0</v>
      </c>
      <c r="N113" s="105">
        <f t="shared" ca="1" si="35"/>
        <v>0</v>
      </c>
      <c r="O113" s="105">
        <f t="shared" ca="1" si="37"/>
        <v>0</v>
      </c>
      <c r="P113" s="105">
        <f t="shared" ca="1" si="38"/>
        <v>0</v>
      </c>
      <c r="Q113" s="105">
        <f t="shared" ca="1" si="39"/>
        <v>0</v>
      </c>
      <c r="R113" s="105">
        <f t="shared" ca="1" si="40"/>
        <v>0</v>
      </c>
      <c r="S113" s="105">
        <f t="shared" ca="1" si="41"/>
        <v>5</v>
      </c>
    </row>
    <row r="114" spans="1:19" x14ac:dyDescent="0.35">
      <c r="A114" s="105">
        <f t="shared" ca="1" si="26"/>
        <v>150.12750000000014</v>
      </c>
      <c r="B114" s="105" t="str">
        <f t="shared" ca="1" si="27"/>
        <v>循环</v>
      </c>
      <c r="C114" s="105">
        <f t="shared" ca="1" si="28"/>
        <v>1</v>
      </c>
      <c r="D114" s="105">
        <f t="shared" ca="1" si="29"/>
        <v>28.520000000000067</v>
      </c>
      <c r="E114" s="105">
        <f t="shared" ca="1" si="30"/>
        <v>10.360000000000014</v>
      </c>
      <c r="F114" s="105">
        <f t="shared" ca="1" si="31"/>
        <v>11.712500000000013</v>
      </c>
      <c r="G114" s="105">
        <f t="shared" ca="1" si="42"/>
        <v>1</v>
      </c>
      <c r="H114" s="105">
        <f t="shared" ca="1" si="43"/>
        <v>37.655000000000015</v>
      </c>
      <c r="I114" s="105">
        <f t="shared" ca="1" si="32"/>
        <v>0</v>
      </c>
      <c r="J114" s="105">
        <f t="shared" ca="1" si="33"/>
        <v>0</v>
      </c>
      <c r="K114" s="105">
        <f t="shared" ca="1" si="34"/>
        <v>0</v>
      </c>
      <c r="L114" s="105">
        <f t="shared" ca="1" si="35"/>
        <v>0</v>
      </c>
      <c r="M114" s="105">
        <f t="shared" ca="1" si="36"/>
        <v>0</v>
      </c>
      <c r="N114" s="105">
        <f t="shared" ca="1" si="35"/>
        <v>0</v>
      </c>
      <c r="O114" s="105">
        <f t="shared" ca="1" si="37"/>
        <v>0</v>
      </c>
      <c r="P114" s="105">
        <f t="shared" ca="1" si="38"/>
        <v>0</v>
      </c>
      <c r="Q114" s="105">
        <f t="shared" ca="1" si="39"/>
        <v>0</v>
      </c>
      <c r="R114" s="105">
        <f t="shared" ca="1" si="40"/>
        <v>0</v>
      </c>
      <c r="S114" s="105">
        <f t="shared" ca="1" si="41"/>
        <v>5</v>
      </c>
    </row>
    <row r="115" spans="1:19" x14ac:dyDescent="0.35">
      <c r="A115" s="105">
        <f t="shared" ca="1" si="26"/>
        <v>151.48000000000013</v>
      </c>
      <c r="B115" s="105" t="str">
        <f t="shared" ca="1" si="27"/>
        <v>循环</v>
      </c>
      <c r="C115" s="105">
        <f t="shared" ca="1" si="28"/>
        <v>1</v>
      </c>
      <c r="D115" s="105">
        <f t="shared" ca="1" si="29"/>
        <v>27.167500000000068</v>
      </c>
      <c r="E115" s="105">
        <f t="shared" ca="1" si="30"/>
        <v>9.0075000000000145</v>
      </c>
      <c r="F115" s="105">
        <f t="shared" ca="1" si="31"/>
        <v>10.360000000000014</v>
      </c>
      <c r="G115" s="105">
        <f t="shared" ca="1" si="42"/>
        <v>1</v>
      </c>
      <c r="H115" s="105">
        <f t="shared" ca="1" si="43"/>
        <v>36.302500000000016</v>
      </c>
      <c r="I115" s="105">
        <f t="shared" ca="1" si="32"/>
        <v>0</v>
      </c>
      <c r="J115" s="105">
        <f t="shared" ca="1" si="33"/>
        <v>0</v>
      </c>
      <c r="K115" s="105">
        <f t="shared" ca="1" si="34"/>
        <v>0</v>
      </c>
      <c r="L115" s="105">
        <f t="shared" ca="1" si="35"/>
        <v>0</v>
      </c>
      <c r="M115" s="105">
        <f t="shared" ca="1" si="36"/>
        <v>0</v>
      </c>
      <c r="N115" s="105">
        <f t="shared" ca="1" si="35"/>
        <v>0</v>
      </c>
      <c r="O115" s="105">
        <f t="shared" ca="1" si="37"/>
        <v>0</v>
      </c>
      <c r="P115" s="105">
        <f t="shared" ca="1" si="38"/>
        <v>0</v>
      </c>
      <c r="Q115" s="105">
        <f t="shared" ca="1" si="39"/>
        <v>0</v>
      </c>
      <c r="R115" s="105">
        <f t="shared" ca="1" si="40"/>
        <v>0</v>
      </c>
      <c r="S115" s="105">
        <f t="shared" ca="1" si="41"/>
        <v>5</v>
      </c>
    </row>
    <row r="116" spans="1:19" x14ac:dyDescent="0.35">
      <c r="A116" s="105">
        <f t="shared" ca="1" si="26"/>
        <v>152.83250000000012</v>
      </c>
      <c r="B116" s="105" t="str">
        <f t="shared" ca="1" si="27"/>
        <v>循环</v>
      </c>
      <c r="C116" s="105">
        <f t="shared" ca="1" si="28"/>
        <v>1</v>
      </c>
      <c r="D116" s="105">
        <f t="shared" ca="1" si="29"/>
        <v>25.815000000000069</v>
      </c>
      <c r="E116" s="105">
        <f t="shared" ca="1" si="30"/>
        <v>7.6550000000000145</v>
      </c>
      <c r="F116" s="105">
        <f t="shared" ca="1" si="31"/>
        <v>9.0075000000000145</v>
      </c>
      <c r="G116" s="105">
        <f t="shared" ca="1" si="42"/>
        <v>1</v>
      </c>
      <c r="H116" s="105">
        <f t="shared" ca="1" si="43"/>
        <v>34.950000000000017</v>
      </c>
      <c r="I116" s="105">
        <f t="shared" ca="1" si="32"/>
        <v>0</v>
      </c>
      <c r="J116" s="105">
        <f t="shared" ca="1" si="33"/>
        <v>0</v>
      </c>
      <c r="K116" s="105">
        <f t="shared" ca="1" si="34"/>
        <v>0</v>
      </c>
      <c r="L116" s="105">
        <f t="shared" ca="1" si="35"/>
        <v>0</v>
      </c>
      <c r="M116" s="105">
        <f t="shared" ca="1" si="36"/>
        <v>0</v>
      </c>
      <c r="N116" s="105">
        <f t="shared" ca="1" si="35"/>
        <v>0</v>
      </c>
      <c r="O116" s="105">
        <f t="shared" ca="1" si="37"/>
        <v>0</v>
      </c>
      <c r="P116" s="105">
        <f t="shared" ca="1" si="38"/>
        <v>0</v>
      </c>
      <c r="Q116" s="105">
        <f t="shared" ca="1" si="39"/>
        <v>0</v>
      </c>
      <c r="R116" s="105">
        <f t="shared" ca="1" si="40"/>
        <v>0</v>
      </c>
      <c r="S116" s="105">
        <f t="shared" ca="1" si="41"/>
        <v>5</v>
      </c>
    </row>
    <row r="117" spans="1:19" x14ac:dyDescent="0.35">
      <c r="A117" s="105">
        <f t="shared" ca="1" si="26"/>
        <v>154.18500000000012</v>
      </c>
      <c r="B117" s="105" t="str">
        <f t="shared" ca="1" si="27"/>
        <v>循环</v>
      </c>
      <c r="C117" s="105">
        <f t="shared" ca="1" si="28"/>
        <v>1</v>
      </c>
      <c r="D117" s="105">
        <f t="shared" ca="1" si="29"/>
        <v>24.46250000000007</v>
      </c>
      <c r="E117" s="105">
        <f t="shared" ca="1" si="30"/>
        <v>6.3025000000000144</v>
      </c>
      <c r="F117" s="105">
        <f t="shared" ca="1" si="31"/>
        <v>7.6550000000000145</v>
      </c>
      <c r="G117" s="105">
        <f t="shared" ca="1" si="42"/>
        <v>1</v>
      </c>
      <c r="H117" s="105">
        <f t="shared" ca="1" si="43"/>
        <v>33.597500000000018</v>
      </c>
      <c r="I117" s="105">
        <f t="shared" ca="1" si="32"/>
        <v>0</v>
      </c>
      <c r="J117" s="105">
        <f t="shared" ca="1" si="33"/>
        <v>0</v>
      </c>
      <c r="K117" s="105">
        <f t="shared" ca="1" si="34"/>
        <v>0</v>
      </c>
      <c r="L117" s="105">
        <f t="shared" ca="1" si="35"/>
        <v>0</v>
      </c>
      <c r="M117" s="105">
        <f t="shared" ca="1" si="36"/>
        <v>0</v>
      </c>
      <c r="N117" s="105">
        <f t="shared" ca="1" si="35"/>
        <v>0</v>
      </c>
      <c r="O117" s="105">
        <f t="shared" ca="1" si="37"/>
        <v>0</v>
      </c>
      <c r="P117" s="105">
        <f t="shared" ca="1" si="38"/>
        <v>0</v>
      </c>
      <c r="Q117" s="105">
        <f t="shared" ca="1" si="39"/>
        <v>0</v>
      </c>
      <c r="R117" s="105">
        <f t="shared" ca="1" si="40"/>
        <v>0</v>
      </c>
      <c r="S117" s="105">
        <f t="shared" ca="1" si="41"/>
        <v>5</v>
      </c>
    </row>
    <row r="118" spans="1:19" x14ac:dyDescent="0.35">
      <c r="A118" s="105">
        <f t="shared" ca="1" si="26"/>
        <v>155.53750000000011</v>
      </c>
      <c r="B118" s="105" t="str">
        <f t="shared" ca="1" si="27"/>
        <v>循环</v>
      </c>
      <c r="C118" s="105">
        <f t="shared" ca="1" si="28"/>
        <v>1</v>
      </c>
      <c r="D118" s="105">
        <f t="shared" ca="1" si="29"/>
        <v>23.11000000000007</v>
      </c>
      <c r="E118" s="105">
        <f t="shared" ca="1" si="30"/>
        <v>4.9500000000000144</v>
      </c>
      <c r="F118" s="105">
        <f t="shared" ca="1" si="31"/>
        <v>6.3025000000000144</v>
      </c>
      <c r="G118" s="105">
        <f t="shared" ca="1" si="42"/>
        <v>1</v>
      </c>
      <c r="H118" s="105">
        <f t="shared" ca="1" si="43"/>
        <v>32.245000000000019</v>
      </c>
      <c r="I118" s="105">
        <f t="shared" ca="1" si="32"/>
        <v>0</v>
      </c>
      <c r="J118" s="105">
        <f t="shared" ca="1" si="33"/>
        <v>0</v>
      </c>
      <c r="K118" s="105">
        <f t="shared" ca="1" si="34"/>
        <v>0</v>
      </c>
      <c r="L118" s="105">
        <f t="shared" ca="1" si="35"/>
        <v>0</v>
      </c>
      <c r="M118" s="105">
        <f t="shared" ca="1" si="36"/>
        <v>0</v>
      </c>
      <c r="N118" s="105">
        <f t="shared" ca="1" si="35"/>
        <v>0</v>
      </c>
      <c r="O118" s="105">
        <f t="shared" ca="1" si="37"/>
        <v>0</v>
      </c>
      <c r="P118" s="105">
        <f t="shared" ca="1" si="38"/>
        <v>0</v>
      </c>
      <c r="Q118" s="105">
        <f t="shared" ca="1" si="39"/>
        <v>0</v>
      </c>
      <c r="R118" s="105">
        <f t="shared" ca="1" si="40"/>
        <v>0</v>
      </c>
      <c r="S118" s="105">
        <f t="shared" ca="1" si="41"/>
        <v>5</v>
      </c>
    </row>
    <row r="119" spans="1:19" x14ac:dyDescent="0.35">
      <c r="A119" s="105">
        <f t="shared" ca="1" si="26"/>
        <v>156.8900000000001</v>
      </c>
      <c r="B119" s="105" t="str">
        <f t="shared" ca="1" si="27"/>
        <v>循环</v>
      </c>
      <c r="C119" s="105">
        <f t="shared" ca="1" si="28"/>
        <v>1</v>
      </c>
      <c r="D119" s="105">
        <f t="shared" ca="1" si="29"/>
        <v>21.757500000000071</v>
      </c>
      <c r="E119" s="105">
        <f t="shared" ca="1" si="30"/>
        <v>3.5975000000000144</v>
      </c>
      <c r="F119" s="105">
        <f t="shared" ca="1" si="31"/>
        <v>4.9500000000000144</v>
      </c>
      <c r="G119" s="105">
        <f t="shared" ca="1" si="42"/>
        <v>1</v>
      </c>
      <c r="H119" s="105">
        <f t="shared" ca="1" si="43"/>
        <v>30.89250000000002</v>
      </c>
      <c r="I119" s="105">
        <f t="shared" ca="1" si="32"/>
        <v>0</v>
      </c>
      <c r="J119" s="105">
        <f t="shared" ca="1" si="33"/>
        <v>0</v>
      </c>
      <c r="K119" s="105">
        <f t="shared" ca="1" si="34"/>
        <v>0</v>
      </c>
      <c r="L119" s="105">
        <f t="shared" ca="1" si="35"/>
        <v>0</v>
      </c>
      <c r="M119" s="105">
        <f t="shared" ca="1" si="36"/>
        <v>0</v>
      </c>
      <c r="N119" s="105">
        <f t="shared" ca="1" si="35"/>
        <v>0</v>
      </c>
      <c r="O119" s="105">
        <f t="shared" ca="1" si="37"/>
        <v>0</v>
      </c>
      <c r="P119" s="105">
        <f t="shared" ca="1" si="38"/>
        <v>0</v>
      </c>
      <c r="Q119" s="105">
        <f t="shared" ca="1" si="39"/>
        <v>0</v>
      </c>
      <c r="R119" s="105">
        <f t="shared" ca="1" si="40"/>
        <v>0</v>
      </c>
      <c r="S119" s="105">
        <f t="shared" ca="1" si="41"/>
        <v>5</v>
      </c>
    </row>
    <row r="120" spans="1:19" x14ac:dyDescent="0.35">
      <c r="A120" s="105">
        <f t="shared" ca="1" si="26"/>
        <v>158.24250000000009</v>
      </c>
      <c r="B120" s="105" t="str">
        <f t="shared" ca="1" si="27"/>
        <v>循环</v>
      </c>
      <c r="C120" s="105">
        <f t="shared" ca="1" si="28"/>
        <v>1</v>
      </c>
      <c r="D120" s="105">
        <f t="shared" ca="1" si="29"/>
        <v>20.405000000000072</v>
      </c>
      <c r="E120" s="105">
        <f t="shared" ca="1" si="30"/>
        <v>2.2450000000000143</v>
      </c>
      <c r="F120" s="105">
        <f t="shared" ca="1" si="31"/>
        <v>3.5975000000000144</v>
      </c>
      <c r="G120" s="105">
        <f t="shared" ca="1" si="42"/>
        <v>1</v>
      </c>
      <c r="H120" s="105">
        <f t="shared" ca="1" si="43"/>
        <v>29.54000000000002</v>
      </c>
      <c r="I120" s="105">
        <f t="shared" ca="1" si="32"/>
        <v>0</v>
      </c>
      <c r="J120" s="105">
        <f t="shared" ca="1" si="33"/>
        <v>0</v>
      </c>
      <c r="K120" s="105">
        <f t="shared" ca="1" si="34"/>
        <v>0</v>
      </c>
      <c r="L120" s="105">
        <f t="shared" ca="1" si="35"/>
        <v>0</v>
      </c>
      <c r="M120" s="105">
        <f t="shared" ca="1" si="36"/>
        <v>0</v>
      </c>
      <c r="N120" s="105">
        <f t="shared" ca="1" si="35"/>
        <v>0</v>
      </c>
      <c r="O120" s="105">
        <f t="shared" ca="1" si="37"/>
        <v>0</v>
      </c>
      <c r="P120" s="105">
        <f t="shared" ca="1" si="38"/>
        <v>0</v>
      </c>
      <c r="Q120" s="105">
        <f t="shared" ca="1" si="39"/>
        <v>0</v>
      </c>
      <c r="R120" s="105">
        <f t="shared" ca="1" si="40"/>
        <v>0</v>
      </c>
      <c r="S120" s="105">
        <f t="shared" ca="1" si="41"/>
        <v>5</v>
      </c>
    </row>
    <row r="121" spans="1:19" x14ac:dyDescent="0.35">
      <c r="A121" s="105">
        <f t="shared" ca="1" si="26"/>
        <v>159.59500000000008</v>
      </c>
      <c r="B121" s="105" t="str">
        <f t="shared" ca="1" si="27"/>
        <v>循环</v>
      </c>
      <c r="C121" s="105">
        <f t="shared" ca="1" si="28"/>
        <v>1</v>
      </c>
      <c r="D121" s="105">
        <f t="shared" ca="1" si="29"/>
        <v>19.052500000000073</v>
      </c>
      <c r="E121" s="105">
        <f t="shared" ca="1" si="30"/>
        <v>0.89250000000001428</v>
      </c>
      <c r="F121" s="105">
        <f t="shared" ca="1" si="31"/>
        <v>2.2450000000000143</v>
      </c>
      <c r="G121" s="105">
        <f t="shared" ca="1" si="42"/>
        <v>1</v>
      </c>
      <c r="H121" s="105">
        <f t="shared" ca="1" si="43"/>
        <v>28.187500000000021</v>
      </c>
      <c r="I121" s="105">
        <f t="shared" ca="1" si="32"/>
        <v>0</v>
      </c>
      <c r="J121" s="105">
        <f t="shared" ca="1" si="33"/>
        <v>0</v>
      </c>
      <c r="K121" s="105">
        <f t="shared" ca="1" si="34"/>
        <v>0</v>
      </c>
      <c r="L121" s="105">
        <f t="shared" ca="1" si="35"/>
        <v>0</v>
      </c>
      <c r="M121" s="105">
        <f t="shared" ca="1" si="36"/>
        <v>0</v>
      </c>
      <c r="N121" s="105">
        <f t="shared" ca="1" si="35"/>
        <v>0</v>
      </c>
      <c r="O121" s="105">
        <f t="shared" ca="1" si="37"/>
        <v>0</v>
      </c>
      <c r="P121" s="105">
        <f t="shared" ca="1" si="38"/>
        <v>0</v>
      </c>
      <c r="Q121" s="105">
        <f t="shared" ca="1" si="39"/>
        <v>0</v>
      </c>
      <c r="R121" s="105">
        <f t="shared" ca="1" si="40"/>
        <v>0</v>
      </c>
      <c r="S121" s="105">
        <f t="shared" ca="1" si="41"/>
        <v>5</v>
      </c>
    </row>
    <row r="122" spans="1:19" x14ac:dyDescent="0.35">
      <c r="A122" s="105">
        <f t="shared" ca="1" si="26"/>
        <v>160.94750000000008</v>
      </c>
      <c r="B122" s="105" t="str">
        <f t="shared" ca="1" si="27"/>
        <v>循环</v>
      </c>
      <c r="C122" s="105">
        <f t="shared" ca="1" si="28"/>
        <v>1</v>
      </c>
      <c r="D122" s="105">
        <f t="shared" ca="1" si="29"/>
        <v>17.700000000000074</v>
      </c>
      <c r="E122" s="105">
        <f t="shared" ca="1" si="30"/>
        <v>0</v>
      </c>
      <c r="F122" s="105">
        <f t="shared" ca="1" si="31"/>
        <v>0.89250000000001428</v>
      </c>
      <c r="G122" s="105">
        <f t="shared" ca="1" si="42"/>
        <v>1</v>
      </c>
      <c r="H122" s="105">
        <f t="shared" ca="1" si="43"/>
        <v>26.835000000000022</v>
      </c>
      <c r="I122" s="105">
        <f t="shared" ca="1" si="32"/>
        <v>0</v>
      </c>
      <c r="J122" s="105">
        <f t="shared" ca="1" si="33"/>
        <v>0</v>
      </c>
      <c r="K122" s="105">
        <f t="shared" ca="1" si="34"/>
        <v>0</v>
      </c>
      <c r="L122" s="105">
        <f t="shared" ca="1" si="35"/>
        <v>0</v>
      </c>
      <c r="M122" s="105">
        <f t="shared" ca="1" si="36"/>
        <v>0</v>
      </c>
      <c r="N122" s="105">
        <f t="shared" ca="1" si="35"/>
        <v>0</v>
      </c>
      <c r="O122" s="105">
        <f t="shared" ca="1" si="37"/>
        <v>0</v>
      </c>
      <c r="P122" s="105">
        <f t="shared" ca="1" si="38"/>
        <v>0</v>
      </c>
      <c r="Q122" s="105">
        <f t="shared" ca="1" si="39"/>
        <v>0</v>
      </c>
      <c r="R122" s="105">
        <f t="shared" ca="1" si="40"/>
        <v>0</v>
      </c>
      <c r="S122" s="105">
        <f t="shared" ca="1" si="41"/>
        <v>5</v>
      </c>
    </row>
    <row r="123" spans="1:19" x14ac:dyDescent="0.35">
      <c r="A123" s="105">
        <f t="shared" ca="1" si="26"/>
        <v>162.30000000000007</v>
      </c>
      <c r="B123" s="105" t="str">
        <f t="shared" ca="1" si="27"/>
        <v>渊任</v>
      </c>
      <c r="C123" s="105">
        <f t="shared" ca="1" si="28"/>
        <v>0</v>
      </c>
      <c r="D123" s="105">
        <f t="shared" ca="1" si="29"/>
        <v>16.347500000000075</v>
      </c>
      <c r="E123" s="105">
        <f t="shared" ca="1" si="30"/>
        <v>30.647500000000001</v>
      </c>
      <c r="F123" s="105">
        <f t="shared" ca="1" si="31"/>
        <v>0</v>
      </c>
      <c r="G123" s="105">
        <f t="shared" ca="1" si="42"/>
        <v>1</v>
      </c>
      <c r="H123" s="105">
        <f t="shared" ca="1" si="43"/>
        <v>25.482500000000023</v>
      </c>
      <c r="I123" s="105">
        <f t="shared" ca="1" si="32"/>
        <v>0</v>
      </c>
      <c r="J123" s="105">
        <f t="shared" ca="1" si="33"/>
        <v>0</v>
      </c>
      <c r="K123" s="105">
        <f t="shared" ca="1" si="34"/>
        <v>14.335000000000001</v>
      </c>
      <c r="L123" s="105">
        <f t="shared" ca="1" si="35"/>
        <v>1</v>
      </c>
      <c r="M123" s="105">
        <f t="shared" ca="1" si="36"/>
        <v>0</v>
      </c>
      <c r="N123" s="105">
        <f t="shared" ca="1" si="35"/>
        <v>0</v>
      </c>
      <c r="O123" s="105">
        <f t="shared" ca="1" si="37"/>
        <v>0</v>
      </c>
      <c r="P123" s="105">
        <f t="shared" ca="1" si="38"/>
        <v>0</v>
      </c>
      <c r="Q123" s="105">
        <f t="shared" ca="1" si="39"/>
        <v>8.6475000000000009</v>
      </c>
      <c r="R123" s="105">
        <f t="shared" ca="1" si="40"/>
        <v>1</v>
      </c>
      <c r="S123" s="105">
        <f t="shared" ca="1" si="41"/>
        <v>5</v>
      </c>
    </row>
    <row r="124" spans="1:19" x14ac:dyDescent="0.35">
      <c r="A124" s="105">
        <f t="shared" ca="1" si="26"/>
        <v>163.65250000000006</v>
      </c>
      <c r="B124" s="105" t="str">
        <f t="shared" ca="1" si="27"/>
        <v>雷循环</v>
      </c>
      <c r="C124" s="105">
        <f t="shared" ca="1" si="28"/>
        <v>0</v>
      </c>
      <c r="D124" s="105">
        <f t="shared" ca="1" si="29"/>
        <v>14.995000000000076</v>
      </c>
      <c r="E124" s="105">
        <f t="shared" ca="1" si="30"/>
        <v>29.295000000000002</v>
      </c>
      <c r="F124" s="105">
        <f t="shared" ca="1" si="31"/>
        <v>30.647500000000001</v>
      </c>
      <c r="G124" s="105">
        <f t="shared" ca="1" si="42"/>
        <v>1</v>
      </c>
      <c r="H124" s="105">
        <f t="shared" ca="1" si="43"/>
        <v>24.130000000000024</v>
      </c>
      <c r="I124" s="105">
        <f t="shared" ca="1" si="32"/>
        <v>0</v>
      </c>
      <c r="J124" s="105">
        <f t="shared" ca="1" si="33"/>
        <v>0</v>
      </c>
      <c r="K124" s="105">
        <f t="shared" ca="1" si="34"/>
        <v>12.982500000000002</v>
      </c>
      <c r="L124" s="105">
        <f t="shared" ca="1" si="35"/>
        <v>1</v>
      </c>
      <c r="M124" s="105">
        <f t="shared" ca="1" si="36"/>
        <v>0</v>
      </c>
      <c r="N124" s="105">
        <f t="shared" ca="1" si="35"/>
        <v>0</v>
      </c>
      <c r="O124" s="105">
        <f t="shared" ca="1" si="37"/>
        <v>13.647500000000001</v>
      </c>
      <c r="P124" s="105">
        <f t="shared" ca="1" si="38"/>
        <v>1</v>
      </c>
      <c r="Q124" s="105">
        <f t="shared" ca="1" si="39"/>
        <v>7.2950000000000008</v>
      </c>
      <c r="R124" s="105">
        <f t="shared" ca="1" si="40"/>
        <v>1</v>
      </c>
      <c r="S124" s="105">
        <f t="shared" ca="1" si="41"/>
        <v>6</v>
      </c>
    </row>
    <row r="125" spans="1:19" x14ac:dyDescent="0.35">
      <c r="A125" s="105">
        <f t="shared" ca="1" si="26"/>
        <v>165.00500000000005</v>
      </c>
      <c r="B125" s="105" t="str">
        <f t="shared" ca="1" si="27"/>
        <v>循环</v>
      </c>
      <c r="C125" s="105">
        <f t="shared" ca="1" si="28"/>
        <v>0</v>
      </c>
      <c r="D125" s="105">
        <f t="shared" ca="1" si="29"/>
        <v>13.642500000000076</v>
      </c>
      <c r="E125" s="105">
        <f t="shared" ca="1" si="30"/>
        <v>27.942500000000003</v>
      </c>
      <c r="F125" s="105">
        <f t="shared" ca="1" si="31"/>
        <v>29.295000000000002</v>
      </c>
      <c r="G125" s="105">
        <f t="shared" ca="1" si="42"/>
        <v>1</v>
      </c>
      <c r="H125" s="105">
        <f t="shared" ca="1" si="43"/>
        <v>22.777500000000025</v>
      </c>
      <c r="I125" s="105">
        <f t="shared" ca="1" si="32"/>
        <v>0</v>
      </c>
      <c r="J125" s="105">
        <f t="shared" ca="1" si="33"/>
        <v>0</v>
      </c>
      <c r="K125" s="105">
        <f t="shared" ca="1" si="34"/>
        <v>11.630000000000003</v>
      </c>
      <c r="L125" s="105">
        <f t="shared" ca="1" si="35"/>
        <v>1</v>
      </c>
      <c r="M125" s="105">
        <f t="shared" ca="1" si="36"/>
        <v>0</v>
      </c>
      <c r="N125" s="105">
        <f t="shared" ca="1" si="35"/>
        <v>0</v>
      </c>
      <c r="O125" s="105">
        <f t="shared" ca="1" si="37"/>
        <v>12.295000000000002</v>
      </c>
      <c r="P125" s="105">
        <f t="shared" ca="1" si="38"/>
        <v>1</v>
      </c>
      <c r="Q125" s="105">
        <f t="shared" ca="1" si="39"/>
        <v>5.9425000000000008</v>
      </c>
      <c r="R125" s="105">
        <f t="shared" ca="1" si="40"/>
        <v>1</v>
      </c>
      <c r="S125" s="105">
        <f t="shared" ca="1" si="41"/>
        <v>6</v>
      </c>
    </row>
    <row r="126" spans="1:19" x14ac:dyDescent="0.35">
      <c r="A126" s="105">
        <f t="shared" ca="1" si="26"/>
        <v>166.35750000000004</v>
      </c>
      <c r="B126" s="105" t="str">
        <f t="shared" ca="1" si="27"/>
        <v>循环</v>
      </c>
      <c r="C126" s="105">
        <f t="shared" ca="1" si="28"/>
        <v>0</v>
      </c>
      <c r="D126" s="105">
        <f t="shared" ca="1" si="29"/>
        <v>12.290000000000077</v>
      </c>
      <c r="E126" s="105">
        <f t="shared" ca="1" si="30"/>
        <v>26.590000000000003</v>
      </c>
      <c r="F126" s="105">
        <f t="shared" ca="1" si="31"/>
        <v>27.942500000000003</v>
      </c>
      <c r="G126" s="105">
        <f t="shared" ca="1" si="42"/>
        <v>1</v>
      </c>
      <c r="H126" s="105">
        <f t="shared" ca="1" si="43"/>
        <v>21.425000000000026</v>
      </c>
      <c r="I126" s="105">
        <f t="shared" ca="1" si="32"/>
        <v>0</v>
      </c>
      <c r="J126" s="105">
        <f t="shared" ca="1" si="33"/>
        <v>0</v>
      </c>
      <c r="K126" s="105">
        <f t="shared" ca="1" si="34"/>
        <v>10.277500000000003</v>
      </c>
      <c r="L126" s="105">
        <f t="shared" ca="1" si="35"/>
        <v>1</v>
      </c>
      <c r="M126" s="105">
        <f t="shared" ca="1" si="36"/>
        <v>0</v>
      </c>
      <c r="N126" s="105">
        <f t="shared" ca="1" si="35"/>
        <v>0</v>
      </c>
      <c r="O126" s="105">
        <f t="shared" ca="1" si="37"/>
        <v>10.942500000000003</v>
      </c>
      <c r="P126" s="105">
        <f t="shared" ca="1" si="38"/>
        <v>1</v>
      </c>
      <c r="Q126" s="105">
        <f t="shared" ca="1" si="39"/>
        <v>4.5900000000000007</v>
      </c>
      <c r="R126" s="105">
        <f t="shared" ca="1" si="40"/>
        <v>1</v>
      </c>
      <c r="S126" s="105">
        <f t="shared" ca="1" si="41"/>
        <v>6</v>
      </c>
    </row>
    <row r="127" spans="1:19" x14ac:dyDescent="0.35">
      <c r="A127" s="105">
        <f t="shared" ca="1" si="26"/>
        <v>167.71000000000004</v>
      </c>
      <c r="B127" s="105" t="str">
        <f t="shared" ca="1" si="27"/>
        <v>循环</v>
      </c>
      <c r="C127" s="105">
        <f t="shared" ca="1" si="28"/>
        <v>0</v>
      </c>
      <c r="D127" s="105">
        <f t="shared" ca="1" si="29"/>
        <v>10.937500000000078</v>
      </c>
      <c r="E127" s="105">
        <f t="shared" ca="1" si="30"/>
        <v>25.237500000000004</v>
      </c>
      <c r="F127" s="105">
        <f t="shared" ca="1" si="31"/>
        <v>26.590000000000003</v>
      </c>
      <c r="G127" s="105">
        <f t="shared" ca="1" si="42"/>
        <v>1</v>
      </c>
      <c r="H127" s="105">
        <f t="shared" ca="1" si="43"/>
        <v>20.072500000000026</v>
      </c>
      <c r="I127" s="105">
        <f t="shared" ca="1" si="32"/>
        <v>0</v>
      </c>
      <c r="J127" s="105">
        <f t="shared" ca="1" si="33"/>
        <v>0</v>
      </c>
      <c r="K127" s="105">
        <f t="shared" ca="1" si="34"/>
        <v>8.9250000000000043</v>
      </c>
      <c r="L127" s="105">
        <f t="shared" ca="1" si="35"/>
        <v>1</v>
      </c>
      <c r="M127" s="105">
        <f t="shared" ca="1" si="36"/>
        <v>0</v>
      </c>
      <c r="N127" s="105">
        <f t="shared" ca="1" si="35"/>
        <v>0</v>
      </c>
      <c r="O127" s="105">
        <f t="shared" ca="1" si="37"/>
        <v>9.5900000000000034</v>
      </c>
      <c r="P127" s="105">
        <f t="shared" ca="1" si="38"/>
        <v>1</v>
      </c>
      <c r="Q127" s="105">
        <f t="shared" ca="1" si="39"/>
        <v>3.2375000000000007</v>
      </c>
      <c r="R127" s="105">
        <f t="shared" ca="1" si="40"/>
        <v>1</v>
      </c>
      <c r="S127" s="105">
        <f t="shared" ca="1" si="41"/>
        <v>6</v>
      </c>
    </row>
    <row r="128" spans="1:19" x14ac:dyDescent="0.35">
      <c r="A128" s="105">
        <f t="shared" ca="1" si="26"/>
        <v>169.06250000000003</v>
      </c>
      <c r="B128" s="105" t="str">
        <f t="shared" ca="1" si="27"/>
        <v>循环</v>
      </c>
      <c r="C128" s="105">
        <f t="shared" ca="1" si="28"/>
        <v>0</v>
      </c>
      <c r="D128" s="105">
        <f t="shared" ca="1" si="29"/>
        <v>9.585000000000079</v>
      </c>
      <c r="E128" s="105">
        <f t="shared" ca="1" si="30"/>
        <v>23.885000000000005</v>
      </c>
      <c r="F128" s="105">
        <f t="shared" ca="1" si="31"/>
        <v>25.237500000000004</v>
      </c>
      <c r="G128" s="105">
        <f t="shared" ca="1" si="42"/>
        <v>1</v>
      </c>
      <c r="H128" s="105">
        <f t="shared" ca="1" si="43"/>
        <v>18.720000000000027</v>
      </c>
      <c r="I128" s="105">
        <f t="shared" ca="1" si="32"/>
        <v>0</v>
      </c>
      <c r="J128" s="105">
        <f t="shared" ca="1" si="33"/>
        <v>0</v>
      </c>
      <c r="K128" s="105">
        <f t="shared" ca="1" si="34"/>
        <v>7.5725000000000042</v>
      </c>
      <c r="L128" s="105">
        <f t="shared" ca="1" si="35"/>
        <v>1</v>
      </c>
      <c r="M128" s="105">
        <f t="shared" ca="1" si="36"/>
        <v>0</v>
      </c>
      <c r="N128" s="105">
        <f t="shared" ca="1" si="35"/>
        <v>0</v>
      </c>
      <c r="O128" s="105">
        <f t="shared" ca="1" si="37"/>
        <v>8.2375000000000043</v>
      </c>
      <c r="P128" s="105">
        <f t="shared" ca="1" si="38"/>
        <v>1</v>
      </c>
      <c r="Q128" s="105">
        <f t="shared" ca="1" si="39"/>
        <v>1.8850000000000007</v>
      </c>
      <c r="R128" s="105">
        <f t="shared" ca="1" si="40"/>
        <v>1</v>
      </c>
      <c r="S128" s="105">
        <f t="shared" ca="1" si="41"/>
        <v>6</v>
      </c>
    </row>
    <row r="129" spans="1:19" x14ac:dyDescent="0.35">
      <c r="A129" s="105">
        <f t="shared" ca="1" si="26"/>
        <v>170.41500000000002</v>
      </c>
      <c r="B129" s="105" t="str">
        <f t="shared" ca="1" si="27"/>
        <v>循环</v>
      </c>
      <c r="C129" s="105">
        <f t="shared" ca="1" si="28"/>
        <v>0</v>
      </c>
      <c r="D129" s="105">
        <f t="shared" ca="1" si="29"/>
        <v>8.2325000000000799</v>
      </c>
      <c r="E129" s="105">
        <f t="shared" ca="1" si="30"/>
        <v>22.532500000000006</v>
      </c>
      <c r="F129" s="105">
        <f t="shared" ca="1" si="31"/>
        <v>23.885000000000005</v>
      </c>
      <c r="G129" s="105">
        <f t="shared" ca="1" si="42"/>
        <v>1</v>
      </c>
      <c r="H129" s="105">
        <f t="shared" ca="1" si="43"/>
        <v>17.367500000000028</v>
      </c>
      <c r="I129" s="105">
        <f t="shared" ca="1" si="32"/>
        <v>0</v>
      </c>
      <c r="J129" s="105">
        <f t="shared" ca="1" si="33"/>
        <v>0</v>
      </c>
      <c r="K129" s="105">
        <f t="shared" ca="1" si="34"/>
        <v>6.2200000000000042</v>
      </c>
      <c r="L129" s="105">
        <f t="shared" ca="1" si="35"/>
        <v>1</v>
      </c>
      <c r="M129" s="105">
        <f t="shared" ca="1" si="36"/>
        <v>0</v>
      </c>
      <c r="N129" s="105">
        <f t="shared" ca="1" si="35"/>
        <v>0</v>
      </c>
      <c r="O129" s="105">
        <f t="shared" ca="1" si="37"/>
        <v>6.8850000000000042</v>
      </c>
      <c r="P129" s="105">
        <f t="shared" ca="1" si="38"/>
        <v>1</v>
      </c>
      <c r="Q129" s="105">
        <f t="shared" ca="1" si="39"/>
        <v>0.53250000000000064</v>
      </c>
      <c r="R129" s="105">
        <f t="shared" ca="1" si="40"/>
        <v>1</v>
      </c>
      <c r="S129" s="105">
        <f t="shared" ca="1" si="41"/>
        <v>6</v>
      </c>
    </row>
    <row r="130" spans="1:19" x14ac:dyDescent="0.35">
      <c r="A130" s="105">
        <f t="shared" ca="1" si="26"/>
        <v>171.76750000000001</v>
      </c>
      <c r="B130" s="105" t="str">
        <f t="shared" ca="1" si="27"/>
        <v>循环</v>
      </c>
      <c r="C130" s="105">
        <f t="shared" ca="1" si="28"/>
        <v>0</v>
      </c>
      <c r="D130" s="105">
        <f t="shared" ca="1" si="29"/>
        <v>6.8800000000000798</v>
      </c>
      <c r="E130" s="105">
        <f t="shared" ca="1" si="30"/>
        <v>21.180000000000007</v>
      </c>
      <c r="F130" s="105">
        <f t="shared" ca="1" si="31"/>
        <v>22.532500000000006</v>
      </c>
      <c r="G130" s="105">
        <f t="shared" ca="1" si="42"/>
        <v>1</v>
      </c>
      <c r="H130" s="105">
        <f t="shared" ca="1" si="43"/>
        <v>16.015000000000029</v>
      </c>
      <c r="I130" s="105">
        <f t="shared" ca="1" si="32"/>
        <v>0</v>
      </c>
      <c r="J130" s="105">
        <f t="shared" ca="1" si="33"/>
        <v>0</v>
      </c>
      <c r="K130" s="105">
        <f t="shared" ca="1" si="34"/>
        <v>4.8675000000000042</v>
      </c>
      <c r="L130" s="105">
        <f t="shared" ca="1" si="35"/>
        <v>1</v>
      </c>
      <c r="M130" s="105">
        <f t="shared" ca="1" si="36"/>
        <v>0</v>
      </c>
      <c r="N130" s="105">
        <f t="shared" ca="1" si="35"/>
        <v>0</v>
      </c>
      <c r="O130" s="105">
        <f t="shared" ca="1" si="37"/>
        <v>5.5325000000000042</v>
      </c>
      <c r="P130" s="105">
        <f t="shared" ca="1" si="38"/>
        <v>1</v>
      </c>
      <c r="Q130" s="105">
        <f t="shared" ca="1" si="39"/>
        <v>0</v>
      </c>
      <c r="R130" s="105">
        <f t="shared" ca="1" si="40"/>
        <v>1</v>
      </c>
      <c r="S130" s="105">
        <f t="shared" ca="1" si="41"/>
        <v>6</v>
      </c>
    </row>
    <row r="131" spans="1:19" x14ac:dyDescent="0.35">
      <c r="A131" s="105">
        <f t="shared" ca="1" si="26"/>
        <v>173.12</v>
      </c>
      <c r="B131" s="105" t="str">
        <f t="shared" ca="1" si="27"/>
        <v>循环</v>
      </c>
      <c r="C131" s="105">
        <f t="shared" ca="1" si="28"/>
        <v>0</v>
      </c>
      <c r="D131" s="105">
        <f t="shared" ca="1" si="29"/>
        <v>5.5275000000000798</v>
      </c>
      <c r="E131" s="105">
        <f t="shared" ca="1" si="30"/>
        <v>19.827500000000008</v>
      </c>
      <c r="F131" s="105">
        <f t="shared" ca="1" si="31"/>
        <v>21.180000000000007</v>
      </c>
      <c r="G131" s="105">
        <f t="shared" ca="1" si="42"/>
        <v>1</v>
      </c>
      <c r="H131" s="105">
        <f t="shared" ca="1" si="43"/>
        <v>14.66250000000003</v>
      </c>
      <c r="I131" s="105">
        <f t="shared" ca="1" si="32"/>
        <v>0</v>
      </c>
      <c r="J131" s="105">
        <f t="shared" ca="1" si="33"/>
        <v>0</v>
      </c>
      <c r="K131" s="105">
        <f t="shared" ca="1" si="34"/>
        <v>3.5150000000000041</v>
      </c>
      <c r="L131" s="105">
        <f t="shared" ca="1" si="35"/>
        <v>1</v>
      </c>
      <c r="M131" s="105">
        <f t="shared" ca="1" si="36"/>
        <v>0</v>
      </c>
      <c r="N131" s="105">
        <f t="shared" ca="1" si="35"/>
        <v>0</v>
      </c>
      <c r="O131" s="105">
        <f t="shared" ca="1" si="37"/>
        <v>4.1800000000000042</v>
      </c>
      <c r="P131" s="105">
        <f t="shared" ca="1" si="38"/>
        <v>1</v>
      </c>
      <c r="Q131" s="105">
        <f t="shared" ca="1" si="39"/>
        <v>0</v>
      </c>
      <c r="R131" s="105">
        <f t="shared" ca="1" si="40"/>
        <v>0</v>
      </c>
      <c r="S131" s="105">
        <f t="shared" ca="1" si="41"/>
        <v>6</v>
      </c>
    </row>
    <row r="132" spans="1:19" x14ac:dyDescent="0.35">
      <c r="A132" s="105">
        <f t="shared" ref="A132:A195" ca="1" si="44">$V$4+A131</f>
        <v>174.4725</v>
      </c>
      <c r="B132" s="105" t="str">
        <f t="shared" ref="B132:B195" ca="1" si="45">IF(AND(A131&gt;$X$1,P131=0,R131=0),0,IF(AND(G131=0,H131=0),"突","")&amp;IF($V$8=0,IF(AND(OR($V$13=0,AND(K131=0,C131&lt;1),AND(K131&gt;0,OR(M131&gt;0,$V$7=0))),$V$6=1,E131=0),"渊","")&amp;IF(AND(OR($V$13=0,AND(K131=0,C131&lt;1),AND(K131&gt;0,OR(M131&gt;0,$V$7=0))),F131=0),"雷","")&amp;IF(AND(C131&gt;0,$V$13=1,E131=0,F131=0,K131=0),"任",IF(AND(G131=1,$V$7=1,I131=0),"乘","循环")),IF(AND($V$6=1,E131=0),"渊","")&amp;IF(AND(OR($V$13=0,AND(K131=0,C131&lt;1),AND(K131&gt;0,OR(M131&gt;0,$V$7=0))),F131=0),"雷","")&amp;IF(AND(C131&gt;0,L131=0,E131=0),"任",IF(AND(G131=1,$V$7=1,I131=0),"乘","循环"))))</f>
        <v>循环</v>
      </c>
      <c r="C132" s="105">
        <f t="shared" ref="C132:C195" ca="1" si="46">IF(COUNTIF(B132,"*任*"),C131-1,IF(AND(D131&lt;&gt;0,D131&lt;$V$4),MIN(2,C131+1),C131))</f>
        <v>0</v>
      </c>
      <c r="D132" s="105">
        <f t="shared" ref="D132:D195" ca="1" si="47">IF(AND(D131&lt;$V$4,C131&lt;2),D131+$Y$6-$V$4,IF(AND(C131=2,COUNTIF(B132,"*任*")&gt;0),$Y$6-$V$4,MAX(0,D131-$V$4)))</f>
        <v>4.1750000000000798</v>
      </c>
      <c r="E132" s="105">
        <f t="shared" ref="E132:E195" ca="1" si="48">IF(COUNTIF(B132,"*渊*")&gt;0,$Y$8-$V$4,MAX(0,E131-$V$4))</f>
        <v>18.475000000000009</v>
      </c>
      <c r="F132" s="105">
        <f t="shared" ref="F132:F195" ca="1" si="49">IF(COUNTIF(B132,"*雷*")&gt;0,$Y$9-$V$4,MAX(0,F131-$V$4))</f>
        <v>19.827500000000008</v>
      </c>
      <c r="G132" s="105">
        <f t="shared" ca="1" si="42"/>
        <v>1</v>
      </c>
      <c r="H132" s="105">
        <f t="shared" ca="1" si="43"/>
        <v>13.310000000000031</v>
      </c>
      <c r="I132" s="105">
        <f t="shared" ref="I132:I195" ca="1" si="50">IF(COUNTIF(B132,"*乘*")&gt;0,$Y$7-$V$4,MAX(0,I131-$V$4))</f>
        <v>0</v>
      </c>
      <c r="J132" s="105">
        <f t="shared" ref="J132:J195" ca="1" si="51">IF(H131&lt;1,$V$16,MAX(0,J131-1))*$V$11</f>
        <v>0</v>
      </c>
      <c r="K132" s="105">
        <f t="shared" ref="K132:K195" ca="1" si="52">IF(COUNTIF(B132,"*任*")&gt;0,$Z$6-$V$4+0.6875,MAX(0,K131-$V$4))</f>
        <v>2.1625000000000041</v>
      </c>
      <c r="L132" s="105">
        <f t="shared" ref="L132:N195" ca="1" si="53">IF(K132+K131&gt;0,1,0)</f>
        <v>1</v>
      </c>
      <c r="M132" s="105">
        <f t="shared" ref="M132:M195" ca="1" si="54">IF(COUNTIF(B132,"*乘*")&gt;0,$Z$7-$V$4,MAX(0,M131-$V$4))</f>
        <v>0</v>
      </c>
      <c r="N132" s="105">
        <f t="shared" ca="1" si="53"/>
        <v>0</v>
      </c>
      <c r="O132" s="105">
        <f t="shared" ref="O132:O195" ca="1" si="55">IF(COUNTIF(B132,"*雷*")&gt;0,$Z$9-$V$4,MAX(0,O131-$V$4))</f>
        <v>2.8275000000000041</v>
      </c>
      <c r="P132" s="105">
        <f t="shared" ref="P132:P195" ca="1" si="56">IF(O132+O131&gt;0,1,0)</f>
        <v>1</v>
      </c>
      <c r="Q132" s="105">
        <f t="shared" ref="Q132:Q195" ca="1" si="57">IF(COUNTIF(B132,"*渊*")&gt;0,$Z$8-$V$4,MAX(0,Q131-$V$4))</f>
        <v>0</v>
      </c>
      <c r="R132" s="105">
        <f t="shared" ref="R132:R195" ca="1" si="58">IF(Q132+Q131&gt;0,1,0)</f>
        <v>0</v>
      </c>
      <c r="S132" s="105">
        <f t="shared" ref="S132:S195" ca="1" si="59">IF(COUNTIF(B132,"*雷*")&gt;0,S131+1,S131)</f>
        <v>6</v>
      </c>
    </row>
    <row r="133" spans="1:19" x14ac:dyDescent="0.35">
      <c r="A133" s="105">
        <f t="shared" ca="1" si="44"/>
        <v>175.82499999999999</v>
      </c>
      <c r="B133" s="105" t="str">
        <f t="shared" ca="1" si="45"/>
        <v>循环</v>
      </c>
      <c r="C133" s="105">
        <f t="shared" ca="1" si="46"/>
        <v>0</v>
      </c>
      <c r="D133" s="105">
        <f t="shared" ca="1" si="47"/>
        <v>2.8225000000000797</v>
      </c>
      <c r="E133" s="105">
        <f t="shared" ca="1" si="48"/>
        <v>17.122500000000009</v>
      </c>
      <c r="F133" s="105">
        <f t="shared" ca="1" si="49"/>
        <v>18.475000000000009</v>
      </c>
      <c r="G133" s="105">
        <f t="shared" ref="G133:G196" ca="1" si="60">IF(RIGHT(B133,1)="任",1,IF(OR($V$9=0,AND(K132&lt;$V$4,H132=0)),0,G132))</f>
        <v>1</v>
      </c>
      <c r="H133" s="105">
        <f t="shared" ref="H133:H196" ca="1" si="61">IF(COUNTIF(B133,"*突*")&gt;0,$Y$5-$V$4,MAX(0,H132-$V$4))</f>
        <v>11.957500000000032</v>
      </c>
      <c r="I133" s="105">
        <f t="shared" ca="1" si="50"/>
        <v>0</v>
      </c>
      <c r="J133" s="105">
        <f t="shared" ca="1" si="51"/>
        <v>0</v>
      </c>
      <c r="K133" s="105">
        <f t="shared" ca="1" si="52"/>
        <v>0.81000000000000405</v>
      </c>
      <c r="L133" s="105">
        <f t="shared" ca="1" si="53"/>
        <v>1</v>
      </c>
      <c r="M133" s="105">
        <f t="shared" ca="1" si="54"/>
        <v>0</v>
      </c>
      <c r="N133" s="105">
        <f t="shared" ca="1" si="53"/>
        <v>0</v>
      </c>
      <c r="O133" s="105">
        <f t="shared" ca="1" si="55"/>
        <v>1.4750000000000041</v>
      </c>
      <c r="P133" s="105">
        <f t="shared" ca="1" si="56"/>
        <v>1</v>
      </c>
      <c r="Q133" s="105">
        <f t="shared" ca="1" si="57"/>
        <v>0</v>
      </c>
      <c r="R133" s="105">
        <f t="shared" ca="1" si="58"/>
        <v>0</v>
      </c>
      <c r="S133" s="105">
        <f t="shared" ca="1" si="59"/>
        <v>6</v>
      </c>
    </row>
    <row r="134" spans="1:19" x14ac:dyDescent="0.35">
      <c r="A134" s="105">
        <f t="shared" ca="1" si="44"/>
        <v>177.17749999999998</v>
      </c>
      <c r="B134" s="105" t="str">
        <f t="shared" ca="1" si="45"/>
        <v>循环</v>
      </c>
      <c r="C134" s="105">
        <f t="shared" ca="1" si="46"/>
        <v>0</v>
      </c>
      <c r="D134" s="105">
        <f t="shared" ca="1" si="47"/>
        <v>1.4700000000000797</v>
      </c>
      <c r="E134" s="105">
        <f t="shared" ca="1" si="48"/>
        <v>15.77000000000001</v>
      </c>
      <c r="F134" s="105">
        <f t="shared" ca="1" si="49"/>
        <v>17.122500000000009</v>
      </c>
      <c r="G134" s="105">
        <f t="shared" ca="1" si="60"/>
        <v>1</v>
      </c>
      <c r="H134" s="105">
        <f t="shared" ca="1" si="61"/>
        <v>10.605000000000032</v>
      </c>
      <c r="I134" s="105">
        <f t="shared" ca="1" si="50"/>
        <v>0</v>
      </c>
      <c r="J134" s="105">
        <f t="shared" ca="1" si="51"/>
        <v>0</v>
      </c>
      <c r="K134" s="105">
        <f t="shared" ca="1" si="52"/>
        <v>0</v>
      </c>
      <c r="L134" s="105">
        <f t="shared" ca="1" si="53"/>
        <v>1</v>
      </c>
      <c r="M134" s="105">
        <f t="shared" ca="1" si="54"/>
        <v>0</v>
      </c>
      <c r="N134" s="105">
        <f t="shared" ca="1" si="53"/>
        <v>0</v>
      </c>
      <c r="O134" s="105">
        <f t="shared" ca="1" si="55"/>
        <v>0.12250000000000405</v>
      </c>
      <c r="P134" s="105">
        <f t="shared" ca="1" si="56"/>
        <v>1</v>
      </c>
      <c r="Q134" s="105">
        <f t="shared" ca="1" si="57"/>
        <v>0</v>
      </c>
      <c r="R134" s="105">
        <f t="shared" ca="1" si="58"/>
        <v>0</v>
      </c>
      <c r="S134" s="105">
        <f t="shared" ca="1" si="59"/>
        <v>6</v>
      </c>
    </row>
    <row r="135" spans="1:19" x14ac:dyDescent="0.35">
      <c r="A135" s="105">
        <f t="shared" ca="1" si="44"/>
        <v>178.52999999999997</v>
      </c>
      <c r="B135" s="105" t="str">
        <f t="shared" ca="1" si="45"/>
        <v>循环</v>
      </c>
      <c r="C135" s="105">
        <f t="shared" ca="1" si="46"/>
        <v>0</v>
      </c>
      <c r="D135" s="105">
        <f t="shared" ca="1" si="47"/>
        <v>0.11750000000007965</v>
      </c>
      <c r="E135" s="105">
        <f t="shared" ca="1" si="48"/>
        <v>14.417500000000011</v>
      </c>
      <c r="F135" s="105">
        <f t="shared" ca="1" si="49"/>
        <v>15.77000000000001</v>
      </c>
      <c r="G135" s="105">
        <f t="shared" ca="1" si="60"/>
        <v>1</v>
      </c>
      <c r="H135" s="105">
        <f t="shared" ca="1" si="61"/>
        <v>9.2525000000000333</v>
      </c>
      <c r="I135" s="105">
        <f t="shared" ca="1" si="50"/>
        <v>0</v>
      </c>
      <c r="J135" s="105">
        <f t="shared" ca="1" si="51"/>
        <v>0</v>
      </c>
      <c r="K135" s="105">
        <f t="shared" ca="1" si="52"/>
        <v>0</v>
      </c>
      <c r="L135" s="105">
        <f t="shared" ca="1" si="53"/>
        <v>0</v>
      </c>
      <c r="M135" s="105">
        <f t="shared" ca="1" si="54"/>
        <v>0</v>
      </c>
      <c r="N135" s="105">
        <f t="shared" ca="1" si="53"/>
        <v>0</v>
      </c>
      <c r="O135" s="105">
        <f t="shared" ca="1" si="55"/>
        <v>0</v>
      </c>
      <c r="P135" s="105">
        <f t="shared" ca="1" si="56"/>
        <v>1</v>
      </c>
      <c r="Q135" s="105">
        <f t="shared" ca="1" si="57"/>
        <v>0</v>
      </c>
      <c r="R135" s="105">
        <f t="shared" ca="1" si="58"/>
        <v>0</v>
      </c>
      <c r="S135" s="105">
        <f t="shared" ca="1" si="59"/>
        <v>6</v>
      </c>
    </row>
    <row r="136" spans="1:19" x14ac:dyDescent="0.35">
      <c r="A136" s="105">
        <f t="shared" ca="1" si="44"/>
        <v>179.88249999999996</v>
      </c>
      <c r="B136" s="105" t="str">
        <f t="shared" ca="1" si="45"/>
        <v>循环</v>
      </c>
      <c r="C136" s="105">
        <f t="shared" ca="1" si="46"/>
        <v>1</v>
      </c>
      <c r="D136" s="105">
        <f t="shared" ca="1" si="47"/>
        <v>34.765000000000079</v>
      </c>
      <c r="E136" s="105">
        <f t="shared" ca="1" si="48"/>
        <v>13.065000000000012</v>
      </c>
      <c r="F136" s="105">
        <f t="shared" ca="1" si="49"/>
        <v>14.417500000000011</v>
      </c>
      <c r="G136" s="105">
        <f t="shared" ca="1" si="60"/>
        <v>1</v>
      </c>
      <c r="H136" s="105">
        <f t="shared" ca="1" si="61"/>
        <v>7.9000000000000332</v>
      </c>
      <c r="I136" s="105">
        <f t="shared" ca="1" si="50"/>
        <v>0</v>
      </c>
      <c r="J136" s="105">
        <f t="shared" ca="1" si="51"/>
        <v>0</v>
      </c>
      <c r="K136" s="105">
        <f t="shared" ca="1" si="52"/>
        <v>0</v>
      </c>
      <c r="L136" s="105">
        <f t="shared" ca="1" si="53"/>
        <v>0</v>
      </c>
      <c r="M136" s="105">
        <f t="shared" ca="1" si="54"/>
        <v>0</v>
      </c>
      <c r="N136" s="105">
        <f t="shared" ca="1" si="53"/>
        <v>0</v>
      </c>
      <c r="O136" s="105">
        <f t="shared" ca="1" si="55"/>
        <v>0</v>
      </c>
      <c r="P136" s="105">
        <f t="shared" ca="1" si="56"/>
        <v>0</v>
      </c>
      <c r="Q136" s="105">
        <f t="shared" ca="1" si="57"/>
        <v>0</v>
      </c>
      <c r="R136" s="105">
        <f t="shared" ca="1" si="58"/>
        <v>0</v>
      </c>
      <c r="S136" s="105">
        <f t="shared" ca="1" si="59"/>
        <v>6</v>
      </c>
    </row>
    <row r="137" spans="1:19" x14ac:dyDescent="0.35">
      <c r="A137" s="105">
        <f t="shared" ca="1" si="44"/>
        <v>181.23499999999996</v>
      </c>
      <c r="B137" s="105" t="str">
        <f t="shared" ca="1" si="45"/>
        <v>循环</v>
      </c>
      <c r="C137" s="105">
        <f t="shared" ca="1" si="46"/>
        <v>1</v>
      </c>
      <c r="D137" s="105">
        <f t="shared" ca="1" si="47"/>
        <v>33.41250000000008</v>
      </c>
      <c r="E137" s="105">
        <f t="shared" ca="1" si="48"/>
        <v>11.712500000000013</v>
      </c>
      <c r="F137" s="105">
        <f t="shared" ca="1" si="49"/>
        <v>13.065000000000012</v>
      </c>
      <c r="G137" s="105">
        <f t="shared" ca="1" si="60"/>
        <v>1</v>
      </c>
      <c r="H137" s="105">
        <f t="shared" ca="1" si="61"/>
        <v>6.5475000000000332</v>
      </c>
      <c r="I137" s="105">
        <f t="shared" ca="1" si="50"/>
        <v>0</v>
      </c>
      <c r="J137" s="105">
        <f t="shared" ca="1" si="51"/>
        <v>0</v>
      </c>
      <c r="K137" s="105">
        <f t="shared" ca="1" si="52"/>
        <v>0</v>
      </c>
      <c r="L137" s="105">
        <f t="shared" ca="1" si="53"/>
        <v>0</v>
      </c>
      <c r="M137" s="105">
        <f t="shared" ca="1" si="54"/>
        <v>0</v>
      </c>
      <c r="N137" s="105">
        <f t="shared" ca="1" si="53"/>
        <v>0</v>
      </c>
      <c r="O137" s="105">
        <f t="shared" ca="1" si="55"/>
        <v>0</v>
      </c>
      <c r="P137" s="105">
        <f t="shared" ca="1" si="56"/>
        <v>0</v>
      </c>
      <c r="Q137" s="105">
        <f t="shared" ca="1" si="57"/>
        <v>0</v>
      </c>
      <c r="R137" s="105">
        <f t="shared" ca="1" si="58"/>
        <v>0</v>
      </c>
      <c r="S137" s="105">
        <f t="shared" ca="1" si="59"/>
        <v>6</v>
      </c>
    </row>
    <row r="138" spans="1:19" x14ac:dyDescent="0.35">
      <c r="A138" s="105">
        <f t="shared" ca="1" si="44"/>
        <v>182.58749999999995</v>
      </c>
      <c r="B138" s="105" t="str">
        <f t="shared" ca="1" si="45"/>
        <v>循环</v>
      </c>
      <c r="C138" s="105">
        <f t="shared" ca="1" si="46"/>
        <v>1</v>
      </c>
      <c r="D138" s="105">
        <f t="shared" ca="1" si="47"/>
        <v>32.06000000000008</v>
      </c>
      <c r="E138" s="105">
        <f t="shared" ca="1" si="48"/>
        <v>10.360000000000014</v>
      </c>
      <c r="F138" s="105">
        <f t="shared" ca="1" si="49"/>
        <v>11.712500000000013</v>
      </c>
      <c r="G138" s="105">
        <f t="shared" ca="1" si="60"/>
        <v>1</v>
      </c>
      <c r="H138" s="105">
        <f t="shared" ca="1" si="61"/>
        <v>5.1950000000000331</v>
      </c>
      <c r="I138" s="105">
        <f t="shared" ca="1" si="50"/>
        <v>0</v>
      </c>
      <c r="J138" s="105">
        <f t="shared" ca="1" si="51"/>
        <v>0</v>
      </c>
      <c r="K138" s="105">
        <f t="shared" ca="1" si="52"/>
        <v>0</v>
      </c>
      <c r="L138" s="105">
        <f t="shared" ca="1" si="53"/>
        <v>0</v>
      </c>
      <c r="M138" s="105">
        <f t="shared" ca="1" si="54"/>
        <v>0</v>
      </c>
      <c r="N138" s="105">
        <f t="shared" ca="1" si="53"/>
        <v>0</v>
      </c>
      <c r="O138" s="105">
        <f t="shared" ca="1" si="55"/>
        <v>0</v>
      </c>
      <c r="P138" s="105">
        <f t="shared" ca="1" si="56"/>
        <v>0</v>
      </c>
      <c r="Q138" s="105">
        <f t="shared" ca="1" si="57"/>
        <v>0</v>
      </c>
      <c r="R138" s="105">
        <f t="shared" ca="1" si="58"/>
        <v>0</v>
      </c>
      <c r="S138" s="105">
        <f t="shared" ca="1" si="59"/>
        <v>6</v>
      </c>
    </row>
    <row r="139" spans="1:19" x14ac:dyDescent="0.35">
      <c r="A139" s="105">
        <f t="shared" ca="1" si="44"/>
        <v>183.93999999999994</v>
      </c>
      <c r="B139" s="105" t="str">
        <f t="shared" ca="1" si="45"/>
        <v>循环</v>
      </c>
      <c r="C139" s="105">
        <f t="shared" ca="1" si="46"/>
        <v>1</v>
      </c>
      <c r="D139" s="105">
        <f t="shared" ca="1" si="47"/>
        <v>30.707500000000081</v>
      </c>
      <c r="E139" s="105">
        <f t="shared" ca="1" si="48"/>
        <v>9.0075000000000145</v>
      </c>
      <c r="F139" s="105">
        <f t="shared" ca="1" si="49"/>
        <v>10.360000000000014</v>
      </c>
      <c r="G139" s="105">
        <f t="shared" ca="1" si="60"/>
        <v>1</v>
      </c>
      <c r="H139" s="105">
        <f t="shared" ca="1" si="61"/>
        <v>3.8425000000000331</v>
      </c>
      <c r="I139" s="105">
        <f t="shared" ca="1" si="50"/>
        <v>0</v>
      </c>
      <c r="J139" s="105">
        <f t="shared" ca="1" si="51"/>
        <v>0</v>
      </c>
      <c r="K139" s="105">
        <f t="shared" ca="1" si="52"/>
        <v>0</v>
      </c>
      <c r="L139" s="105">
        <f t="shared" ca="1" si="53"/>
        <v>0</v>
      </c>
      <c r="M139" s="105">
        <f t="shared" ca="1" si="54"/>
        <v>0</v>
      </c>
      <c r="N139" s="105">
        <f t="shared" ca="1" si="53"/>
        <v>0</v>
      </c>
      <c r="O139" s="105">
        <f t="shared" ca="1" si="55"/>
        <v>0</v>
      </c>
      <c r="P139" s="105">
        <f t="shared" ca="1" si="56"/>
        <v>0</v>
      </c>
      <c r="Q139" s="105">
        <f t="shared" ca="1" si="57"/>
        <v>0</v>
      </c>
      <c r="R139" s="105">
        <f t="shared" ca="1" si="58"/>
        <v>0</v>
      </c>
      <c r="S139" s="105">
        <f t="shared" ca="1" si="59"/>
        <v>6</v>
      </c>
    </row>
    <row r="140" spans="1:19" x14ac:dyDescent="0.35">
      <c r="A140" s="105">
        <f t="shared" ca="1" si="44"/>
        <v>185.29249999999993</v>
      </c>
      <c r="B140" s="105" t="str">
        <f t="shared" ca="1" si="45"/>
        <v>循环</v>
      </c>
      <c r="C140" s="105">
        <f t="shared" ca="1" si="46"/>
        <v>1</v>
      </c>
      <c r="D140" s="105">
        <f t="shared" ca="1" si="47"/>
        <v>29.355000000000082</v>
      </c>
      <c r="E140" s="105">
        <f t="shared" ca="1" si="48"/>
        <v>7.6550000000000145</v>
      </c>
      <c r="F140" s="105">
        <f t="shared" ca="1" si="49"/>
        <v>9.0075000000000145</v>
      </c>
      <c r="G140" s="105">
        <f t="shared" ca="1" si="60"/>
        <v>1</v>
      </c>
      <c r="H140" s="105">
        <f t="shared" ca="1" si="61"/>
        <v>2.4900000000000331</v>
      </c>
      <c r="I140" s="105">
        <f t="shared" ca="1" si="50"/>
        <v>0</v>
      </c>
      <c r="J140" s="105">
        <f t="shared" ca="1" si="51"/>
        <v>0</v>
      </c>
      <c r="K140" s="105">
        <f t="shared" ca="1" si="52"/>
        <v>0</v>
      </c>
      <c r="L140" s="105">
        <f t="shared" ca="1" si="53"/>
        <v>0</v>
      </c>
      <c r="M140" s="105">
        <f t="shared" ca="1" si="54"/>
        <v>0</v>
      </c>
      <c r="N140" s="105">
        <f t="shared" ca="1" si="53"/>
        <v>0</v>
      </c>
      <c r="O140" s="105">
        <f t="shared" ca="1" si="55"/>
        <v>0</v>
      </c>
      <c r="P140" s="105">
        <f t="shared" ca="1" si="56"/>
        <v>0</v>
      </c>
      <c r="Q140" s="105">
        <f t="shared" ca="1" si="57"/>
        <v>0</v>
      </c>
      <c r="R140" s="105">
        <f t="shared" ca="1" si="58"/>
        <v>0</v>
      </c>
      <c r="S140" s="105">
        <f t="shared" ca="1" si="59"/>
        <v>6</v>
      </c>
    </row>
    <row r="141" spans="1:19" x14ac:dyDescent="0.35">
      <c r="A141" s="105">
        <f t="shared" ca="1" si="44"/>
        <v>186.64499999999992</v>
      </c>
      <c r="B141" s="105" t="str">
        <f t="shared" ca="1" si="45"/>
        <v>循环</v>
      </c>
      <c r="C141" s="105">
        <f t="shared" ca="1" si="46"/>
        <v>1</v>
      </c>
      <c r="D141" s="105">
        <f t="shared" ca="1" si="47"/>
        <v>28.002500000000083</v>
      </c>
      <c r="E141" s="105">
        <f t="shared" ca="1" si="48"/>
        <v>6.3025000000000144</v>
      </c>
      <c r="F141" s="105">
        <f t="shared" ca="1" si="49"/>
        <v>7.6550000000000145</v>
      </c>
      <c r="G141" s="105">
        <f t="shared" ca="1" si="60"/>
        <v>1</v>
      </c>
      <c r="H141" s="105">
        <f t="shared" ca="1" si="61"/>
        <v>1.137500000000033</v>
      </c>
      <c r="I141" s="105">
        <f t="shared" ca="1" si="50"/>
        <v>0</v>
      </c>
      <c r="J141" s="105">
        <f t="shared" ca="1" si="51"/>
        <v>0</v>
      </c>
      <c r="K141" s="105">
        <f t="shared" ca="1" si="52"/>
        <v>0</v>
      </c>
      <c r="L141" s="105">
        <f t="shared" ca="1" si="53"/>
        <v>0</v>
      </c>
      <c r="M141" s="105">
        <f t="shared" ca="1" si="54"/>
        <v>0</v>
      </c>
      <c r="N141" s="105">
        <f t="shared" ca="1" si="53"/>
        <v>0</v>
      </c>
      <c r="O141" s="105">
        <f t="shared" ca="1" si="55"/>
        <v>0</v>
      </c>
      <c r="P141" s="105">
        <f t="shared" ca="1" si="56"/>
        <v>0</v>
      </c>
      <c r="Q141" s="105">
        <f t="shared" ca="1" si="57"/>
        <v>0</v>
      </c>
      <c r="R141" s="105">
        <f t="shared" ca="1" si="58"/>
        <v>0</v>
      </c>
      <c r="S141" s="105">
        <f t="shared" ca="1" si="59"/>
        <v>6</v>
      </c>
    </row>
    <row r="142" spans="1:19" x14ac:dyDescent="0.35">
      <c r="A142" s="105">
        <f t="shared" ca="1" si="44"/>
        <v>187.99749999999992</v>
      </c>
      <c r="B142" s="105" t="str">
        <f t="shared" ca="1" si="45"/>
        <v>循环</v>
      </c>
      <c r="C142" s="105">
        <f t="shared" ca="1" si="46"/>
        <v>1</v>
      </c>
      <c r="D142" s="105">
        <f t="shared" ca="1" si="47"/>
        <v>26.650000000000084</v>
      </c>
      <c r="E142" s="105">
        <f t="shared" ca="1" si="48"/>
        <v>4.9500000000000144</v>
      </c>
      <c r="F142" s="105">
        <f t="shared" ca="1" si="49"/>
        <v>6.3025000000000144</v>
      </c>
      <c r="G142" s="105">
        <f t="shared" ca="1" si="60"/>
        <v>1</v>
      </c>
      <c r="H142" s="105">
        <f t="shared" ca="1" si="61"/>
        <v>0</v>
      </c>
      <c r="I142" s="105">
        <f t="shared" ca="1" si="50"/>
        <v>0</v>
      </c>
      <c r="J142" s="105">
        <f t="shared" ca="1" si="51"/>
        <v>0</v>
      </c>
      <c r="K142" s="105">
        <f t="shared" ca="1" si="52"/>
        <v>0</v>
      </c>
      <c r="L142" s="105">
        <f t="shared" ca="1" si="53"/>
        <v>0</v>
      </c>
      <c r="M142" s="105">
        <f t="shared" ca="1" si="54"/>
        <v>0</v>
      </c>
      <c r="N142" s="105">
        <f t="shared" ca="1" si="53"/>
        <v>0</v>
      </c>
      <c r="O142" s="105">
        <f t="shared" ca="1" si="55"/>
        <v>0</v>
      </c>
      <c r="P142" s="105">
        <f t="shared" ca="1" si="56"/>
        <v>0</v>
      </c>
      <c r="Q142" s="105">
        <f t="shared" ca="1" si="57"/>
        <v>0</v>
      </c>
      <c r="R142" s="105">
        <f t="shared" ca="1" si="58"/>
        <v>0</v>
      </c>
      <c r="S142" s="105">
        <f t="shared" ca="1" si="59"/>
        <v>6</v>
      </c>
    </row>
    <row r="143" spans="1:19" x14ac:dyDescent="0.35">
      <c r="A143" s="105">
        <f t="shared" ca="1" si="44"/>
        <v>189.34999999999991</v>
      </c>
      <c r="B143" s="105" t="str">
        <f t="shared" ca="1" si="45"/>
        <v>循环</v>
      </c>
      <c r="C143" s="105">
        <f t="shared" ca="1" si="46"/>
        <v>1</v>
      </c>
      <c r="D143" s="105">
        <f t="shared" ca="1" si="47"/>
        <v>25.297500000000085</v>
      </c>
      <c r="E143" s="105">
        <f t="shared" ca="1" si="48"/>
        <v>3.5975000000000144</v>
      </c>
      <c r="F143" s="105">
        <f t="shared" ca="1" si="49"/>
        <v>4.9500000000000144</v>
      </c>
      <c r="G143" s="105">
        <f t="shared" ca="1" si="60"/>
        <v>0</v>
      </c>
      <c r="H143" s="105">
        <f t="shared" ca="1" si="61"/>
        <v>0</v>
      </c>
      <c r="I143" s="105">
        <f t="shared" ca="1" si="50"/>
        <v>0</v>
      </c>
      <c r="J143" s="105">
        <f t="shared" ca="1" si="51"/>
        <v>0</v>
      </c>
      <c r="K143" s="105">
        <f t="shared" ca="1" si="52"/>
        <v>0</v>
      </c>
      <c r="L143" s="105">
        <f t="shared" ca="1" si="53"/>
        <v>0</v>
      </c>
      <c r="M143" s="105">
        <f t="shared" ca="1" si="54"/>
        <v>0</v>
      </c>
      <c r="N143" s="105">
        <f t="shared" ca="1" si="53"/>
        <v>0</v>
      </c>
      <c r="O143" s="105">
        <f t="shared" ca="1" si="55"/>
        <v>0</v>
      </c>
      <c r="P143" s="105">
        <f t="shared" ca="1" si="56"/>
        <v>0</v>
      </c>
      <c r="Q143" s="105">
        <f t="shared" ca="1" si="57"/>
        <v>0</v>
      </c>
      <c r="R143" s="105">
        <f t="shared" ca="1" si="58"/>
        <v>0</v>
      </c>
      <c r="S143" s="105">
        <f t="shared" ca="1" si="59"/>
        <v>6</v>
      </c>
    </row>
    <row r="144" spans="1:19" x14ac:dyDescent="0.35">
      <c r="A144" s="105">
        <f t="shared" ca="1" si="44"/>
        <v>190.7024999999999</v>
      </c>
      <c r="B144" s="105" t="str">
        <f t="shared" ca="1" si="45"/>
        <v>突循环</v>
      </c>
      <c r="C144" s="105">
        <f t="shared" ca="1" si="46"/>
        <v>1</v>
      </c>
      <c r="D144" s="105">
        <f t="shared" ca="1" si="47"/>
        <v>23.945000000000086</v>
      </c>
      <c r="E144" s="105">
        <f t="shared" ca="1" si="48"/>
        <v>2.2450000000000143</v>
      </c>
      <c r="F144" s="105">
        <f t="shared" ca="1" si="49"/>
        <v>3.5975000000000144</v>
      </c>
      <c r="G144" s="105">
        <f t="shared" ca="1" si="60"/>
        <v>0</v>
      </c>
      <c r="H144" s="105">
        <f t="shared" ca="1" si="61"/>
        <v>60.647500000000001</v>
      </c>
      <c r="I144" s="105">
        <f t="shared" ca="1" si="50"/>
        <v>0</v>
      </c>
      <c r="J144" s="105">
        <f t="shared" ca="1" si="51"/>
        <v>0</v>
      </c>
      <c r="K144" s="105">
        <f t="shared" ca="1" si="52"/>
        <v>0</v>
      </c>
      <c r="L144" s="105">
        <f t="shared" ca="1" si="53"/>
        <v>0</v>
      </c>
      <c r="M144" s="105">
        <f t="shared" ca="1" si="54"/>
        <v>0</v>
      </c>
      <c r="N144" s="105">
        <f t="shared" ca="1" si="53"/>
        <v>0</v>
      </c>
      <c r="O144" s="105">
        <f t="shared" ca="1" si="55"/>
        <v>0</v>
      </c>
      <c r="P144" s="105">
        <f t="shared" ca="1" si="56"/>
        <v>0</v>
      </c>
      <c r="Q144" s="105">
        <f t="shared" ca="1" si="57"/>
        <v>0</v>
      </c>
      <c r="R144" s="105">
        <f t="shared" ca="1" si="58"/>
        <v>0</v>
      </c>
      <c r="S144" s="105">
        <f t="shared" ca="1" si="59"/>
        <v>6</v>
      </c>
    </row>
    <row r="145" spans="1:19" x14ac:dyDescent="0.35">
      <c r="A145" s="105">
        <f t="shared" ca="1" si="44"/>
        <v>192.05499999999989</v>
      </c>
      <c r="B145" s="105" t="str">
        <f t="shared" ca="1" si="45"/>
        <v>循环</v>
      </c>
      <c r="C145" s="105">
        <f t="shared" ca="1" si="46"/>
        <v>1</v>
      </c>
      <c r="D145" s="105">
        <f t="shared" ca="1" si="47"/>
        <v>22.592500000000086</v>
      </c>
      <c r="E145" s="105">
        <f t="shared" ca="1" si="48"/>
        <v>0.89250000000001428</v>
      </c>
      <c r="F145" s="105">
        <f t="shared" ca="1" si="49"/>
        <v>2.2450000000000143</v>
      </c>
      <c r="G145" s="105">
        <f t="shared" ca="1" si="60"/>
        <v>0</v>
      </c>
      <c r="H145" s="105">
        <f t="shared" ca="1" si="61"/>
        <v>59.295000000000002</v>
      </c>
      <c r="I145" s="105">
        <f t="shared" ca="1" si="50"/>
        <v>0</v>
      </c>
      <c r="J145" s="105">
        <f t="shared" ca="1" si="51"/>
        <v>0</v>
      </c>
      <c r="K145" s="105">
        <f t="shared" ca="1" si="52"/>
        <v>0</v>
      </c>
      <c r="L145" s="105">
        <f t="shared" ca="1" si="53"/>
        <v>0</v>
      </c>
      <c r="M145" s="105">
        <f t="shared" ca="1" si="54"/>
        <v>0</v>
      </c>
      <c r="N145" s="105">
        <f t="shared" ca="1" si="53"/>
        <v>0</v>
      </c>
      <c r="O145" s="105">
        <f t="shared" ca="1" si="55"/>
        <v>0</v>
      </c>
      <c r="P145" s="105">
        <f t="shared" ca="1" si="56"/>
        <v>0</v>
      </c>
      <c r="Q145" s="105">
        <f t="shared" ca="1" si="57"/>
        <v>0</v>
      </c>
      <c r="R145" s="105">
        <f t="shared" ca="1" si="58"/>
        <v>0</v>
      </c>
      <c r="S145" s="105">
        <f t="shared" ca="1" si="59"/>
        <v>6</v>
      </c>
    </row>
    <row r="146" spans="1:19" x14ac:dyDescent="0.35">
      <c r="A146" s="105">
        <f t="shared" ca="1" si="44"/>
        <v>193.40749999999989</v>
      </c>
      <c r="B146" s="105" t="str">
        <f t="shared" ca="1" si="45"/>
        <v>循环</v>
      </c>
      <c r="C146" s="105">
        <f t="shared" ca="1" si="46"/>
        <v>1</v>
      </c>
      <c r="D146" s="105">
        <f t="shared" ca="1" si="47"/>
        <v>21.240000000000087</v>
      </c>
      <c r="E146" s="105">
        <f t="shared" ca="1" si="48"/>
        <v>0</v>
      </c>
      <c r="F146" s="105">
        <f t="shared" ca="1" si="49"/>
        <v>0.89250000000001428</v>
      </c>
      <c r="G146" s="105">
        <f t="shared" ca="1" si="60"/>
        <v>0</v>
      </c>
      <c r="H146" s="105">
        <f t="shared" ca="1" si="61"/>
        <v>57.942500000000003</v>
      </c>
      <c r="I146" s="105">
        <f t="shared" ca="1" si="50"/>
        <v>0</v>
      </c>
      <c r="J146" s="105">
        <f t="shared" ca="1" si="51"/>
        <v>0</v>
      </c>
      <c r="K146" s="105">
        <f t="shared" ca="1" si="52"/>
        <v>0</v>
      </c>
      <c r="L146" s="105">
        <f t="shared" ca="1" si="53"/>
        <v>0</v>
      </c>
      <c r="M146" s="105">
        <f t="shared" ca="1" si="54"/>
        <v>0</v>
      </c>
      <c r="N146" s="105">
        <f t="shared" ca="1" si="53"/>
        <v>0</v>
      </c>
      <c r="O146" s="105">
        <f t="shared" ca="1" si="55"/>
        <v>0</v>
      </c>
      <c r="P146" s="105">
        <f t="shared" ca="1" si="56"/>
        <v>0</v>
      </c>
      <c r="Q146" s="105">
        <f t="shared" ca="1" si="57"/>
        <v>0</v>
      </c>
      <c r="R146" s="105">
        <f t="shared" ca="1" si="58"/>
        <v>0</v>
      </c>
      <c r="S146" s="105">
        <f t="shared" ca="1" si="59"/>
        <v>6</v>
      </c>
    </row>
    <row r="147" spans="1:19" x14ac:dyDescent="0.35">
      <c r="A147" s="105">
        <f t="shared" ca="1" si="44"/>
        <v>194.75999999999988</v>
      </c>
      <c r="B147" s="105" t="str">
        <f t="shared" ca="1" si="45"/>
        <v>渊任</v>
      </c>
      <c r="C147" s="105">
        <f t="shared" ca="1" si="46"/>
        <v>0</v>
      </c>
      <c r="D147" s="105">
        <f t="shared" ca="1" si="47"/>
        <v>19.887500000000088</v>
      </c>
      <c r="E147" s="105">
        <f t="shared" ca="1" si="48"/>
        <v>30.647500000000001</v>
      </c>
      <c r="F147" s="105">
        <f t="shared" ca="1" si="49"/>
        <v>0</v>
      </c>
      <c r="G147" s="105">
        <f t="shared" ca="1" si="60"/>
        <v>1</v>
      </c>
      <c r="H147" s="105">
        <f t="shared" ca="1" si="61"/>
        <v>56.59</v>
      </c>
      <c r="I147" s="105">
        <f t="shared" ca="1" si="50"/>
        <v>0</v>
      </c>
      <c r="J147" s="105">
        <f t="shared" ca="1" si="51"/>
        <v>0</v>
      </c>
      <c r="K147" s="105">
        <f t="shared" ca="1" si="52"/>
        <v>14.335000000000001</v>
      </c>
      <c r="L147" s="105">
        <f t="shared" ca="1" si="53"/>
        <v>1</v>
      </c>
      <c r="M147" s="105">
        <f t="shared" ca="1" si="54"/>
        <v>0</v>
      </c>
      <c r="N147" s="105">
        <f t="shared" ca="1" si="53"/>
        <v>0</v>
      </c>
      <c r="O147" s="105">
        <f t="shared" ca="1" si="55"/>
        <v>0</v>
      </c>
      <c r="P147" s="105">
        <f t="shared" ca="1" si="56"/>
        <v>0</v>
      </c>
      <c r="Q147" s="105">
        <f t="shared" ca="1" si="57"/>
        <v>8.6475000000000009</v>
      </c>
      <c r="R147" s="105">
        <f t="shared" ca="1" si="58"/>
        <v>1</v>
      </c>
      <c r="S147" s="105">
        <f t="shared" ca="1" si="59"/>
        <v>6</v>
      </c>
    </row>
    <row r="148" spans="1:19" x14ac:dyDescent="0.35">
      <c r="A148" s="105">
        <f t="shared" ca="1" si="44"/>
        <v>196.11249999999987</v>
      </c>
      <c r="B148" s="105" t="str">
        <f t="shared" ca="1" si="45"/>
        <v>雷循环</v>
      </c>
      <c r="C148" s="105">
        <f t="shared" ca="1" si="46"/>
        <v>0</v>
      </c>
      <c r="D148" s="105">
        <f t="shared" ca="1" si="47"/>
        <v>18.535000000000089</v>
      </c>
      <c r="E148" s="105">
        <f t="shared" ca="1" si="48"/>
        <v>29.295000000000002</v>
      </c>
      <c r="F148" s="105">
        <f t="shared" ca="1" si="49"/>
        <v>30.647500000000001</v>
      </c>
      <c r="G148" s="105">
        <f t="shared" ca="1" si="60"/>
        <v>1</v>
      </c>
      <c r="H148" s="105">
        <f t="shared" ca="1" si="61"/>
        <v>55.237500000000004</v>
      </c>
      <c r="I148" s="105">
        <f t="shared" ca="1" si="50"/>
        <v>0</v>
      </c>
      <c r="J148" s="105">
        <f t="shared" ca="1" si="51"/>
        <v>0</v>
      </c>
      <c r="K148" s="105">
        <f t="shared" ca="1" si="52"/>
        <v>12.982500000000002</v>
      </c>
      <c r="L148" s="105">
        <f t="shared" ca="1" si="53"/>
        <v>1</v>
      </c>
      <c r="M148" s="105">
        <f t="shared" ca="1" si="54"/>
        <v>0</v>
      </c>
      <c r="N148" s="105">
        <f t="shared" ca="1" si="53"/>
        <v>0</v>
      </c>
      <c r="O148" s="105">
        <f t="shared" ca="1" si="55"/>
        <v>13.647500000000001</v>
      </c>
      <c r="P148" s="105">
        <f t="shared" ca="1" si="56"/>
        <v>1</v>
      </c>
      <c r="Q148" s="105">
        <f t="shared" ca="1" si="57"/>
        <v>7.2950000000000008</v>
      </c>
      <c r="R148" s="105">
        <f t="shared" ca="1" si="58"/>
        <v>1</v>
      </c>
      <c r="S148" s="105">
        <f t="shared" ca="1" si="59"/>
        <v>7</v>
      </c>
    </row>
    <row r="149" spans="1:19" x14ac:dyDescent="0.35">
      <c r="A149" s="105">
        <f t="shared" ca="1" si="44"/>
        <v>197.46499999999986</v>
      </c>
      <c r="B149" s="105" t="str">
        <f t="shared" ca="1" si="45"/>
        <v>循环</v>
      </c>
      <c r="C149" s="105">
        <f t="shared" ca="1" si="46"/>
        <v>0</v>
      </c>
      <c r="D149" s="105">
        <f t="shared" ca="1" si="47"/>
        <v>17.18250000000009</v>
      </c>
      <c r="E149" s="105">
        <f t="shared" ca="1" si="48"/>
        <v>27.942500000000003</v>
      </c>
      <c r="F149" s="105">
        <f t="shared" ca="1" si="49"/>
        <v>29.295000000000002</v>
      </c>
      <c r="G149" s="105">
        <f t="shared" ca="1" si="60"/>
        <v>1</v>
      </c>
      <c r="H149" s="105">
        <f t="shared" ca="1" si="61"/>
        <v>53.885000000000005</v>
      </c>
      <c r="I149" s="105">
        <f t="shared" ca="1" si="50"/>
        <v>0</v>
      </c>
      <c r="J149" s="105">
        <f t="shared" ca="1" si="51"/>
        <v>0</v>
      </c>
      <c r="K149" s="105">
        <f t="shared" ca="1" si="52"/>
        <v>11.630000000000003</v>
      </c>
      <c r="L149" s="105">
        <f t="shared" ca="1" si="53"/>
        <v>1</v>
      </c>
      <c r="M149" s="105">
        <f t="shared" ca="1" si="54"/>
        <v>0</v>
      </c>
      <c r="N149" s="105">
        <f t="shared" ca="1" si="53"/>
        <v>0</v>
      </c>
      <c r="O149" s="105">
        <f t="shared" ca="1" si="55"/>
        <v>12.295000000000002</v>
      </c>
      <c r="P149" s="105">
        <f t="shared" ca="1" si="56"/>
        <v>1</v>
      </c>
      <c r="Q149" s="105">
        <f t="shared" ca="1" si="57"/>
        <v>5.9425000000000008</v>
      </c>
      <c r="R149" s="105">
        <f t="shared" ca="1" si="58"/>
        <v>1</v>
      </c>
      <c r="S149" s="105">
        <f t="shared" ca="1" si="59"/>
        <v>7</v>
      </c>
    </row>
    <row r="150" spans="1:19" x14ac:dyDescent="0.35">
      <c r="A150" s="105">
        <f t="shared" ca="1" si="44"/>
        <v>198.81749999999985</v>
      </c>
      <c r="B150" s="105" t="str">
        <f t="shared" ca="1" si="45"/>
        <v>循环</v>
      </c>
      <c r="C150" s="105">
        <f t="shared" ca="1" si="46"/>
        <v>0</v>
      </c>
      <c r="D150" s="105">
        <f t="shared" ca="1" si="47"/>
        <v>15.830000000000091</v>
      </c>
      <c r="E150" s="105">
        <f t="shared" ca="1" si="48"/>
        <v>26.590000000000003</v>
      </c>
      <c r="F150" s="105">
        <f t="shared" ca="1" si="49"/>
        <v>27.942500000000003</v>
      </c>
      <c r="G150" s="105">
        <f t="shared" ca="1" si="60"/>
        <v>1</v>
      </c>
      <c r="H150" s="105">
        <f t="shared" ca="1" si="61"/>
        <v>52.532500000000006</v>
      </c>
      <c r="I150" s="105">
        <f t="shared" ca="1" si="50"/>
        <v>0</v>
      </c>
      <c r="J150" s="105">
        <f t="shared" ca="1" si="51"/>
        <v>0</v>
      </c>
      <c r="K150" s="105">
        <f t="shared" ca="1" si="52"/>
        <v>10.277500000000003</v>
      </c>
      <c r="L150" s="105">
        <f t="shared" ca="1" si="53"/>
        <v>1</v>
      </c>
      <c r="M150" s="105">
        <f t="shared" ca="1" si="54"/>
        <v>0</v>
      </c>
      <c r="N150" s="105">
        <f t="shared" ca="1" si="53"/>
        <v>0</v>
      </c>
      <c r="O150" s="105">
        <f t="shared" ca="1" si="55"/>
        <v>10.942500000000003</v>
      </c>
      <c r="P150" s="105">
        <f t="shared" ca="1" si="56"/>
        <v>1</v>
      </c>
      <c r="Q150" s="105">
        <f t="shared" ca="1" si="57"/>
        <v>4.5900000000000007</v>
      </c>
      <c r="R150" s="105">
        <f t="shared" ca="1" si="58"/>
        <v>1</v>
      </c>
      <c r="S150" s="105">
        <f t="shared" ca="1" si="59"/>
        <v>7</v>
      </c>
    </row>
    <row r="151" spans="1:19" x14ac:dyDescent="0.35">
      <c r="A151" s="105">
        <f t="shared" ca="1" si="44"/>
        <v>200.16999999999985</v>
      </c>
      <c r="B151" s="105" t="str">
        <f t="shared" ca="1" si="45"/>
        <v>循环</v>
      </c>
      <c r="C151" s="105">
        <f t="shared" ca="1" si="46"/>
        <v>0</v>
      </c>
      <c r="D151" s="105">
        <f t="shared" ca="1" si="47"/>
        <v>14.477500000000092</v>
      </c>
      <c r="E151" s="105">
        <f t="shared" ca="1" si="48"/>
        <v>25.237500000000004</v>
      </c>
      <c r="F151" s="105">
        <f t="shared" ca="1" si="49"/>
        <v>26.590000000000003</v>
      </c>
      <c r="G151" s="105">
        <f t="shared" ca="1" si="60"/>
        <v>1</v>
      </c>
      <c r="H151" s="105">
        <f t="shared" ca="1" si="61"/>
        <v>51.180000000000007</v>
      </c>
      <c r="I151" s="105">
        <f t="shared" ca="1" si="50"/>
        <v>0</v>
      </c>
      <c r="J151" s="105">
        <f t="shared" ca="1" si="51"/>
        <v>0</v>
      </c>
      <c r="K151" s="105">
        <f t="shared" ca="1" si="52"/>
        <v>8.9250000000000043</v>
      </c>
      <c r="L151" s="105">
        <f t="shared" ca="1" si="53"/>
        <v>1</v>
      </c>
      <c r="M151" s="105">
        <f t="shared" ca="1" si="54"/>
        <v>0</v>
      </c>
      <c r="N151" s="105">
        <f t="shared" ca="1" si="53"/>
        <v>0</v>
      </c>
      <c r="O151" s="105">
        <f t="shared" ca="1" si="55"/>
        <v>9.5900000000000034</v>
      </c>
      <c r="P151" s="105">
        <f t="shared" ca="1" si="56"/>
        <v>1</v>
      </c>
      <c r="Q151" s="105">
        <f t="shared" ca="1" si="57"/>
        <v>3.2375000000000007</v>
      </c>
      <c r="R151" s="105">
        <f t="shared" ca="1" si="58"/>
        <v>1</v>
      </c>
      <c r="S151" s="105">
        <f t="shared" ca="1" si="59"/>
        <v>7</v>
      </c>
    </row>
    <row r="152" spans="1:19" x14ac:dyDescent="0.35">
      <c r="A152" s="105">
        <f t="shared" ca="1" si="44"/>
        <v>201.52249999999984</v>
      </c>
      <c r="B152" s="105" t="str">
        <f t="shared" ca="1" si="45"/>
        <v>循环</v>
      </c>
      <c r="C152" s="105">
        <f t="shared" ca="1" si="46"/>
        <v>0</v>
      </c>
      <c r="D152" s="105">
        <f t="shared" ca="1" si="47"/>
        <v>13.125000000000092</v>
      </c>
      <c r="E152" s="105">
        <f t="shared" ca="1" si="48"/>
        <v>23.885000000000005</v>
      </c>
      <c r="F152" s="105">
        <f t="shared" ca="1" si="49"/>
        <v>25.237500000000004</v>
      </c>
      <c r="G152" s="105">
        <f t="shared" ca="1" si="60"/>
        <v>1</v>
      </c>
      <c r="H152" s="105">
        <f t="shared" ca="1" si="61"/>
        <v>49.827500000000008</v>
      </c>
      <c r="I152" s="105">
        <f t="shared" ca="1" si="50"/>
        <v>0</v>
      </c>
      <c r="J152" s="105">
        <f t="shared" ca="1" si="51"/>
        <v>0</v>
      </c>
      <c r="K152" s="105">
        <f t="shared" ca="1" si="52"/>
        <v>7.5725000000000042</v>
      </c>
      <c r="L152" s="105">
        <f t="shared" ca="1" si="53"/>
        <v>1</v>
      </c>
      <c r="M152" s="105">
        <f t="shared" ca="1" si="54"/>
        <v>0</v>
      </c>
      <c r="N152" s="105">
        <f t="shared" ca="1" si="53"/>
        <v>0</v>
      </c>
      <c r="O152" s="105">
        <f t="shared" ca="1" si="55"/>
        <v>8.2375000000000043</v>
      </c>
      <c r="P152" s="105">
        <f t="shared" ca="1" si="56"/>
        <v>1</v>
      </c>
      <c r="Q152" s="105">
        <f t="shared" ca="1" si="57"/>
        <v>1.8850000000000007</v>
      </c>
      <c r="R152" s="105">
        <f t="shared" ca="1" si="58"/>
        <v>1</v>
      </c>
      <c r="S152" s="105">
        <f t="shared" ca="1" si="59"/>
        <v>7</v>
      </c>
    </row>
    <row r="153" spans="1:19" x14ac:dyDescent="0.35">
      <c r="A153" s="105">
        <f t="shared" ca="1" si="44"/>
        <v>202.87499999999983</v>
      </c>
      <c r="B153" s="105" t="str">
        <f t="shared" ca="1" si="45"/>
        <v>循环</v>
      </c>
      <c r="C153" s="105">
        <f t="shared" ca="1" si="46"/>
        <v>0</v>
      </c>
      <c r="D153" s="105">
        <f t="shared" ca="1" si="47"/>
        <v>11.772500000000093</v>
      </c>
      <c r="E153" s="105">
        <f t="shared" ca="1" si="48"/>
        <v>22.532500000000006</v>
      </c>
      <c r="F153" s="105">
        <f t="shared" ca="1" si="49"/>
        <v>23.885000000000005</v>
      </c>
      <c r="G153" s="105">
        <f t="shared" ca="1" si="60"/>
        <v>1</v>
      </c>
      <c r="H153" s="105">
        <f t="shared" ca="1" si="61"/>
        <v>48.475000000000009</v>
      </c>
      <c r="I153" s="105">
        <f t="shared" ca="1" si="50"/>
        <v>0</v>
      </c>
      <c r="J153" s="105">
        <f t="shared" ca="1" si="51"/>
        <v>0</v>
      </c>
      <c r="K153" s="105">
        <f t="shared" ca="1" si="52"/>
        <v>6.2200000000000042</v>
      </c>
      <c r="L153" s="105">
        <f t="shared" ca="1" si="53"/>
        <v>1</v>
      </c>
      <c r="M153" s="105">
        <f t="shared" ca="1" si="54"/>
        <v>0</v>
      </c>
      <c r="N153" s="105">
        <f t="shared" ca="1" si="53"/>
        <v>0</v>
      </c>
      <c r="O153" s="105">
        <f t="shared" ca="1" si="55"/>
        <v>6.8850000000000042</v>
      </c>
      <c r="P153" s="105">
        <f t="shared" ca="1" si="56"/>
        <v>1</v>
      </c>
      <c r="Q153" s="105">
        <f t="shared" ca="1" si="57"/>
        <v>0.53250000000000064</v>
      </c>
      <c r="R153" s="105">
        <f t="shared" ca="1" si="58"/>
        <v>1</v>
      </c>
      <c r="S153" s="105">
        <f t="shared" ca="1" si="59"/>
        <v>7</v>
      </c>
    </row>
    <row r="154" spans="1:19" x14ac:dyDescent="0.35">
      <c r="A154" s="105">
        <f t="shared" ca="1" si="44"/>
        <v>204.22749999999982</v>
      </c>
      <c r="B154" s="105" t="str">
        <f t="shared" ca="1" si="45"/>
        <v>循环</v>
      </c>
      <c r="C154" s="105">
        <f t="shared" ca="1" si="46"/>
        <v>0</v>
      </c>
      <c r="D154" s="105">
        <f t="shared" ca="1" si="47"/>
        <v>10.420000000000094</v>
      </c>
      <c r="E154" s="105">
        <f t="shared" ca="1" si="48"/>
        <v>21.180000000000007</v>
      </c>
      <c r="F154" s="105">
        <f t="shared" ca="1" si="49"/>
        <v>22.532500000000006</v>
      </c>
      <c r="G154" s="105">
        <f t="shared" ca="1" si="60"/>
        <v>1</v>
      </c>
      <c r="H154" s="105">
        <f t="shared" ca="1" si="61"/>
        <v>47.122500000000009</v>
      </c>
      <c r="I154" s="105">
        <f t="shared" ca="1" si="50"/>
        <v>0</v>
      </c>
      <c r="J154" s="105">
        <f t="shared" ca="1" si="51"/>
        <v>0</v>
      </c>
      <c r="K154" s="105">
        <f t="shared" ca="1" si="52"/>
        <v>4.8675000000000042</v>
      </c>
      <c r="L154" s="105">
        <f t="shared" ca="1" si="53"/>
        <v>1</v>
      </c>
      <c r="M154" s="105">
        <f t="shared" ca="1" si="54"/>
        <v>0</v>
      </c>
      <c r="N154" s="105">
        <f t="shared" ca="1" si="53"/>
        <v>0</v>
      </c>
      <c r="O154" s="105">
        <f t="shared" ca="1" si="55"/>
        <v>5.5325000000000042</v>
      </c>
      <c r="P154" s="105">
        <f t="shared" ca="1" si="56"/>
        <v>1</v>
      </c>
      <c r="Q154" s="105">
        <f t="shared" ca="1" si="57"/>
        <v>0</v>
      </c>
      <c r="R154" s="105">
        <f t="shared" ca="1" si="58"/>
        <v>1</v>
      </c>
      <c r="S154" s="105">
        <f t="shared" ca="1" si="59"/>
        <v>7</v>
      </c>
    </row>
    <row r="155" spans="1:19" x14ac:dyDescent="0.35">
      <c r="A155" s="105">
        <f t="shared" ca="1" si="44"/>
        <v>205.57999999999981</v>
      </c>
      <c r="B155" s="105" t="str">
        <f t="shared" ca="1" si="45"/>
        <v>循环</v>
      </c>
      <c r="C155" s="105">
        <f t="shared" ca="1" si="46"/>
        <v>0</v>
      </c>
      <c r="D155" s="105">
        <f t="shared" ca="1" si="47"/>
        <v>9.0675000000000949</v>
      </c>
      <c r="E155" s="105">
        <f t="shared" ca="1" si="48"/>
        <v>19.827500000000008</v>
      </c>
      <c r="F155" s="105">
        <f t="shared" ca="1" si="49"/>
        <v>21.180000000000007</v>
      </c>
      <c r="G155" s="105">
        <f t="shared" ca="1" si="60"/>
        <v>1</v>
      </c>
      <c r="H155" s="105">
        <f t="shared" ca="1" si="61"/>
        <v>45.77000000000001</v>
      </c>
      <c r="I155" s="105">
        <f t="shared" ca="1" si="50"/>
        <v>0</v>
      </c>
      <c r="J155" s="105">
        <f t="shared" ca="1" si="51"/>
        <v>0</v>
      </c>
      <c r="K155" s="105">
        <f t="shared" ca="1" si="52"/>
        <v>3.5150000000000041</v>
      </c>
      <c r="L155" s="105">
        <f t="shared" ca="1" si="53"/>
        <v>1</v>
      </c>
      <c r="M155" s="105">
        <f t="shared" ca="1" si="54"/>
        <v>0</v>
      </c>
      <c r="N155" s="105">
        <f t="shared" ca="1" si="53"/>
        <v>0</v>
      </c>
      <c r="O155" s="105">
        <f t="shared" ca="1" si="55"/>
        <v>4.1800000000000042</v>
      </c>
      <c r="P155" s="105">
        <f t="shared" ca="1" si="56"/>
        <v>1</v>
      </c>
      <c r="Q155" s="105">
        <f t="shared" ca="1" si="57"/>
        <v>0</v>
      </c>
      <c r="R155" s="105">
        <f t="shared" ca="1" si="58"/>
        <v>0</v>
      </c>
      <c r="S155" s="105">
        <f t="shared" ca="1" si="59"/>
        <v>7</v>
      </c>
    </row>
    <row r="156" spans="1:19" x14ac:dyDescent="0.35">
      <c r="A156" s="105">
        <f t="shared" ca="1" si="44"/>
        <v>206.93249999999981</v>
      </c>
      <c r="B156" s="105" t="str">
        <f t="shared" ca="1" si="45"/>
        <v>循环</v>
      </c>
      <c r="C156" s="105">
        <f t="shared" ca="1" si="46"/>
        <v>0</v>
      </c>
      <c r="D156" s="105">
        <f t="shared" ca="1" si="47"/>
        <v>7.7150000000000949</v>
      </c>
      <c r="E156" s="105">
        <f t="shared" ca="1" si="48"/>
        <v>18.475000000000009</v>
      </c>
      <c r="F156" s="105">
        <f t="shared" ca="1" si="49"/>
        <v>19.827500000000008</v>
      </c>
      <c r="G156" s="105">
        <f t="shared" ca="1" si="60"/>
        <v>1</v>
      </c>
      <c r="H156" s="105">
        <f t="shared" ca="1" si="61"/>
        <v>44.417500000000011</v>
      </c>
      <c r="I156" s="105">
        <f t="shared" ca="1" si="50"/>
        <v>0</v>
      </c>
      <c r="J156" s="105">
        <f t="shared" ca="1" si="51"/>
        <v>0</v>
      </c>
      <c r="K156" s="105">
        <f t="shared" ca="1" si="52"/>
        <v>2.1625000000000041</v>
      </c>
      <c r="L156" s="105">
        <f t="shared" ca="1" si="53"/>
        <v>1</v>
      </c>
      <c r="M156" s="105">
        <f t="shared" ca="1" si="54"/>
        <v>0</v>
      </c>
      <c r="N156" s="105">
        <f t="shared" ca="1" si="53"/>
        <v>0</v>
      </c>
      <c r="O156" s="105">
        <f t="shared" ca="1" si="55"/>
        <v>2.8275000000000041</v>
      </c>
      <c r="P156" s="105">
        <f t="shared" ca="1" si="56"/>
        <v>1</v>
      </c>
      <c r="Q156" s="105">
        <f t="shared" ca="1" si="57"/>
        <v>0</v>
      </c>
      <c r="R156" s="105">
        <f t="shared" ca="1" si="58"/>
        <v>0</v>
      </c>
      <c r="S156" s="105">
        <f t="shared" ca="1" si="59"/>
        <v>7</v>
      </c>
    </row>
    <row r="157" spans="1:19" x14ac:dyDescent="0.35">
      <c r="A157" s="105">
        <f t="shared" ca="1" si="44"/>
        <v>208.2849999999998</v>
      </c>
      <c r="B157" s="105" t="str">
        <f t="shared" ca="1" si="45"/>
        <v>循环</v>
      </c>
      <c r="C157" s="105">
        <f t="shared" ca="1" si="46"/>
        <v>0</v>
      </c>
      <c r="D157" s="105">
        <f t="shared" ca="1" si="47"/>
        <v>6.3625000000000949</v>
      </c>
      <c r="E157" s="105">
        <f t="shared" ca="1" si="48"/>
        <v>17.122500000000009</v>
      </c>
      <c r="F157" s="105">
        <f t="shared" ca="1" si="49"/>
        <v>18.475000000000009</v>
      </c>
      <c r="G157" s="105">
        <f t="shared" ca="1" si="60"/>
        <v>1</v>
      </c>
      <c r="H157" s="105">
        <f t="shared" ca="1" si="61"/>
        <v>43.065000000000012</v>
      </c>
      <c r="I157" s="105">
        <f t="shared" ca="1" si="50"/>
        <v>0</v>
      </c>
      <c r="J157" s="105">
        <f t="shared" ca="1" si="51"/>
        <v>0</v>
      </c>
      <c r="K157" s="105">
        <f t="shared" ca="1" si="52"/>
        <v>0.81000000000000405</v>
      </c>
      <c r="L157" s="105">
        <f t="shared" ca="1" si="53"/>
        <v>1</v>
      </c>
      <c r="M157" s="105">
        <f t="shared" ca="1" si="54"/>
        <v>0</v>
      </c>
      <c r="N157" s="105">
        <f t="shared" ca="1" si="53"/>
        <v>0</v>
      </c>
      <c r="O157" s="105">
        <f t="shared" ca="1" si="55"/>
        <v>1.4750000000000041</v>
      </c>
      <c r="P157" s="105">
        <f t="shared" ca="1" si="56"/>
        <v>1</v>
      </c>
      <c r="Q157" s="105">
        <f t="shared" ca="1" si="57"/>
        <v>0</v>
      </c>
      <c r="R157" s="105">
        <f t="shared" ca="1" si="58"/>
        <v>0</v>
      </c>
      <c r="S157" s="105">
        <f t="shared" ca="1" si="59"/>
        <v>7</v>
      </c>
    </row>
    <row r="158" spans="1:19" x14ac:dyDescent="0.35">
      <c r="A158" s="105">
        <f t="shared" ca="1" si="44"/>
        <v>209.63749999999979</v>
      </c>
      <c r="B158" s="105" t="str">
        <f t="shared" ca="1" si="45"/>
        <v>循环</v>
      </c>
      <c r="C158" s="105">
        <f t="shared" ca="1" si="46"/>
        <v>0</v>
      </c>
      <c r="D158" s="105">
        <f t="shared" ca="1" si="47"/>
        <v>5.0100000000000948</v>
      </c>
      <c r="E158" s="105">
        <f t="shared" ca="1" si="48"/>
        <v>15.77000000000001</v>
      </c>
      <c r="F158" s="105">
        <f t="shared" ca="1" si="49"/>
        <v>17.122500000000009</v>
      </c>
      <c r="G158" s="105">
        <f t="shared" ca="1" si="60"/>
        <v>1</v>
      </c>
      <c r="H158" s="105">
        <f t="shared" ca="1" si="61"/>
        <v>41.712500000000013</v>
      </c>
      <c r="I158" s="105">
        <f t="shared" ca="1" si="50"/>
        <v>0</v>
      </c>
      <c r="J158" s="105">
        <f t="shared" ca="1" si="51"/>
        <v>0</v>
      </c>
      <c r="K158" s="105">
        <f t="shared" ca="1" si="52"/>
        <v>0</v>
      </c>
      <c r="L158" s="105">
        <f t="shared" ca="1" si="53"/>
        <v>1</v>
      </c>
      <c r="M158" s="105">
        <f t="shared" ca="1" si="54"/>
        <v>0</v>
      </c>
      <c r="N158" s="105">
        <f t="shared" ca="1" si="53"/>
        <v>0</v>
      </c>
      <c r="O158" s="105">
        <f t="shared" ca="1" si="55"/>
        <v>0.12250000000000405</v>
      </c>
      <c r="P158" s="105">
        <f t="shared" ca="1" si="56"/>
        <v>1</v>
      </c>
      <c r="Q158" s="105">
        <f t="shared" ca="1" si="57"/>
        <v>0</v>
      </c>
      <c r="R158" s="105">
        <f t="shared" ca="1" si="58"/>
        <v>0</v>
      </c>
      <c r="S158" s="105">
        <f t="shared" ca="1" si="59"/>
        <v>7</v>
      </c>
    </row>
    <row r="159" spans="1:19" x14ac:dyDescent="0.35">
      <c r="A159" s="105">
        <f t="shared" ca="1" si="44"/>
        <v>210.98999999999978</v>
      </c>
      <c r="B159" s="105" t="str">
        <f t="shared" ca="1" si="45"/>
        <v>循环</v>
      </c>
      <c r="C159" s="105">
        <f t="shared" ca="1" si="46"/>
        <v>0</v>
      </c>
      <c r="D159" s="105">
        <f t="shared" ca="1" si="47"/>
        <v>3.6575000000000948</v>
      </c>
      <c r="E159" s="105">
        <f t="shared" ca="1" si="48"/>
        <v>14.417500000000011</v>
      </c>
      <c r="F159" s="105">
        <f t="shared" ca="1" si="49"/>
        <v>15.77000000000001</v>
      </c>
      <c r="G159" s="105">
        <f t="shared" ca="1" si="60"/>
        <v>1</v>
      </c>
      <c r="H159" s="105">
        <f t="shared" ca="1" si="61"/>
        <v>40.360000000000014</v>
      </c>
      <c r="I159" s="105">
        <f t="shared" ca="1" si="50"/>
        <v>0</v>
      </c>
      <c r="J159" s="105">
        <f t="shared" ca="1" si="51"/>
        <v>0</v>
      </c>
      <c r="K159" s="105">
        <f t="shared" ca="1" si="52"/>
        <v>0</v>
      </c>
      <c r="L159" s="105">
        <f t="shared" ca="1" si="53"/>
        <v>0</v>
      </c>
      <c r="M159" s="105">
        <f t="shared" ca="1" si="54"/>
        <v>0</v>
      </c>
      <c r="N159" s="105">
        <f t="shared" ca="1" si="53"/>
        <v>0</v>
      </c>
      <c r="O159" s="105">
        <f t="shared" ca="1" si="55"/>
        <v>0</v>
      </c>
      <c r="P159" s="105">
        <f t="shared" ca="1" si="56"/>
        <v>1</v>
      </c>
      <c r="Q159" s="105">
        <f t="shared" ca="1" si="57"/>
        <v>0</v>
      </c>
      <c r="R159" s="105">
        <f t="shared" ca="1" si="58"/>
        <v>0</v>
      </c>
      <c r="S159" s="105">
        <f t="shared" ca="1" si="59"/>
        <v>7</v>
      </c>
    </row>
    <row r="160" spans="1:19" x14ac:dyDescent="0.35">
      <c r="A160" s="105">
        <f t="shared" ca="1" si="44"/>
        <v>212.34249999999977</v>
      </c>
      <c r="B160" s="105" t="str">
        <f t="shared" ca="1" si="45"/>
        <v>循环</v>
      </c>
      <c r="C160" s="105">
        <f t="shared" ca="1" si="46"/>
        <v>0</v>
      </c>
      <c r="D160" s="105">
        <f t="shared" ca="1" si="47"/>
        <v>2.3050000000000948</v>
      </c>
      <c r="E160" s="105">
        <f t="shared" ca="1" si="48"/>
        <v>13.065000000000012</v>
      </c>
      <c r="F160" s="105">
        <f t="shared" ca="1" si="49"/>
        <v>14.417500000000011</v>
      </c>
      <c r="G160" s="105">
        <f t="shared" ca="1" si="60"/>
        <v>1</v>
      </c>
      <c r="H160" s="105">
        <f t="shared" ca="1" si="61"/>
        <v>39.007500000000014</v>
      </c>
      <c r="I160" s="105">
        <f t="shared" ca="1" si="50"/>
        <v>0</v>
      </c>
      <c r="J160" s="105">
        <f t="shared" ca="1" si="51"/>
        <v>0</v>
      </c>
      <c r="K160" s="105">
        <f t="shared" ca="1" si="52"/>
        <v>0</v>
      </c>
      <c r="L160" s="105">
        <f t="shared" ca="1" si="53"/>
        <v>0</v>
      </c>
      <c r="M160" s="105">
        <f t="shared" ca="1" si="54"/>
        <v>0</v>
      </c>
      <c r="N160" s="105">
        <f t="shared" ca="1" si="53"/>
        <v>0</v>
      </c>
      <c r="O160" s="105">
        <f t="shared" ca="1" si="55"/>
        <v>0</v>
      </c>
      <c r="P160" s="105">
        <f t="shared" ca="1" si="56"/>
        <v>0</v>
      </c>
      <c r="Q160" s="105">
        <f t="shared" ca="1" si="57"/>
        <v>0</v>
      </c>
      <c r="R160" s="105">
        <f t="shared" ca="1" si="58"/>
        <v>0</v>
      </c>
      <c r="S160" s="105">
        <f t="shared" ca="1" si="59"/>
        <v>7</v>
      </c>
    </row>
    <row r="161" spans="1:19" x14ac:dyDescent="0.35">
      <c r="A161" s="105">
        <f t="shared" ca="1" si="44"/>
        <v>213.69499999999977</v>
      </c>
      <c r="B161" s="105" t="str">
        <f t="shared" ca="1" si="45"/>
        <v>循环</v>
      </c>
      <c r="C161" s="105">
        <f t="shared" ca="1" si="46"/>
        <v>0</v>
      </c>
      <c r="D161" s="105">
        <f t="shared" ca="1" si="47"/>
        <v>0.95250000000009472</v>
      </c>
      <c r="E161" s="105">
        <f t="shared" ca="1" si="48"/>
        <v>11.712500000000013</v>
      </c>
      <c r="F161" s="105">
        <f t="shared" ca="1" si="49"/>
        <v>13.065000000000012</v>
      </c>
      <c r="G161" s="105">
        <f t="shared" ca="1" si="60"/>
        <v>1</v>
      </c>
      <c r="H161" s="105">
        <f t="shared" ca="1" si="61"/>
        <v>37.655000000000015</v>
      </c>
      <c r="I161" s="105">
        <f t="shared" ca="1" si="50"/>
        <v>0</v>
      </c>
      <c r="J161" s="105">
        <f t="shared" ca="1" si="51"/>
        <v>0</v>
      </c>
      <c r="K161" s="105">
        <f t="shared" ca="1" si="52"/>
        <v>0</v>
      </c>
      <c r="L161" s="105">
        <f t="shared" ca="1" si="53"/>
        <v>0</v>
      </c>
      <c r="M161" s="105">
        <f t="shared" ca="1" si="54"/>
        <v>0</v>
      </c>
      <c r="N161" s="105">
        <f t="shared" ca="1" si="53"/>
        <v>0</v>
      </c>
      <c r="O161" s="105">
        <f t="shared" ca="1" si="55"/>
        <v>0</v>
      </c>
      <c r="P161" s="105">
        <f t="shared" ca="1" si="56"/>
        <v>0</v>
      </c>
      <c r="Q161" s="105">
        <f t="shared" ca="1" si="57"/>
        <v>0</v>
      </c>
      <c r="R161" s="105">
        <f t="shared" ca="1" si="58"/>
        <v>0</v>
      </c>
      <c r="S161" s="105">
        <f t="shared" ca="1" si="59"/>
        <v>7</v>
      </c>
    </row>
    <row r="162" spans="1:19" x14ac:dyDescent="0.35">
      <c r="A162" s="105">
        <f t="shared" ca="1" si="44"/>
        <v>215.04749999999976</v>
      </c>
      <c r="B162" s="105" t="str">
        <f t="shared" ca="1" si="45"/>
        <v>循环</v>
      </c>
      <c r="C162" s="105">
        <f t="shared" ca="1" si="46"/>
        <v>1</v>
      </c>
      <c r="D162" s="105">
        <f t="shared" ca="1" si="47"/>
        <v>35.600000000000094</v>
      </c>
      <c r="E162" s="105">
        <f t="shared" ca="1" si="48"/>
        <v>10.360000000000014</v>
      </c>
      <c r="F162" s="105">
        <f t="shared" ca="1" si="49"/>
        <v>11.712500000000013</v>
      </c>
      <c r="G162" s="105">
        <f t="shared" ca="1" si="60"/>
        <v>1</v>
      </c>
      <c r="H162" s="105">
        <f t="shared" ca="1" si="61"/>
        <v>36.302500000000016</v>
      </c>
      <c r="I162" s="105">
        <f t="shared" ca="1" si="50"/>
        <v>0</v>
      </c>
      <c r="J162" s="105">
        <f t="shared" ca="1" si="51"/>
        <v>0</v>
      </c>
      <c r="K162" s="105">
        <f t="shared" ca="1" si="52"/>
        <v>0</v>
      </c>
      <c r="L162" s="105">
        <f t="shared" ca="1" si="53"/>
        <v>0</v>
      </c>
      <c r="M162" s="105">
        <f t="shared" ca="1" si="54"/>
        <v>0</v>
      </c>
      <c r="N162" s="105">
        <f t="shared" ca="1" si="53"/>
        <v>0</v>
      </c>
      <c r="O162" s="105">
        <f t="shared" ca="1" si="55"/>
        <v>0</v>
      </c>
      <c r="P162" s="105">
        <f t="shared" ca="1" si="56"/>
        <v>0</v>
      </c>
      <c r="Q162" s="105">
        <f t="shared" ca="1" si="57"/>
        <v>0</v>
      </c>
      <c r="R162" s="105">
        <f t="shared" ca="1" si="58"/>
        <v>0</v>
      </c>
      <c r="S162" s="105">
        <f t="shared" ca="1" si="59"/>
        <v>7</v>
      </c>
    </row>
    <row r="163" spans="1:19" x14ac:dyDescent="0.35">
      <c r="A163" s="105">
        <f t="shared" ca="1" si="44"/>
        <v>216.39999999999975</v>
      </c>
      <c r="B163" s="105" t="str">
        <f t="shared" ca="1" si="45"/>
        <v>循环</v>
      </c>
      <c r="C163" s="105">
        <f t="shared" ca="1" si="46"/>
        <v>1</v>
      </c>
      <c r="D163" s="105">
        <f t="shared" ca="1" si="47"/>
        <v>34.247500000000095</v>
      </c>
      <c r="E163" s="105">
        <f t="shared" ca="1" si="48"/>
        <v>9.0075000000000145</v>
      </c>
      <c r="F163" s="105">
        <f t="shared" ca="1" si="49"/>
        <v>10.360000000000014</v>
      </c>
      <c r="G163" s="105">
        <f t="shared" ca="1" si="60"/>
        <v>1</v>
      </c>
      <c r="H163" s="105">
        <f t="shared" ca="1" si="61"/>
        <v>34.950000000000017</v>
      </c>
      <c r="I163" s="105">
        <f t="shared" ca="1" si="50"/>
        <v>0</v>
      </c>
      <c r="J163" s="105">
        <f t="shared" ca="1" si="51"/>
        <v>0</v>
      </c>
      <c r="K163" s="105">
        <f t="shared" ca="1" si="52"/>
        <v>0</v>
      </c>
      <c r="L163" s="105">
        <f t="shared" ca="1" si="53"/>
        <v>0</v>
      </c>
      <c r="M163" s="105">
        <f t="shared" ca="1" si="54"/>
        <v>0</v>
      </c>
      <c r="N163" s="105">
        <f t="shared" ca="1" si="53"/>
        <v>0</v>
      </c>
      <c r="O163" s="105">
        <f t="shared" ca="1" si="55"/>
        <v>0</v>
      </c>
      <c r="P163" s="105">
        <f t="shared" ca="1" si="56"/>
        <v>0</v>
      </c>
      <c r="Q163" s="105">
        <f t="shared" ca="1" si="57"/>
        <v>0</v>
      </c>
      <c r="R163" s="105">
        <f t="shared" ca="1" si="58"/>
        <v>0</v>
      </c>
      <c r="S163" s="105">
        <f t="shared" ca="1" si="59"/>
        <v>7</v>
      </c>
    </row>
    <row r="164" spans="1:19" x14ac:dyDescent="0.35">
      <c r="A164" s="105">
        <f t="shared" ca="1" si="44"/>
        <v>217.75249999999974</v>
      </c>
      <c r="B164" s="105" t="str">
        <f t="shared" ca="1" si="45"/>
        <v>循环</v>
      </c>
      <c r="C164" s="105">
        <f t="shared" ca="1" si="46"/>
        <v>1</v>
      </c>
      <c r="D164" s="105">
        <f t="shared" ca="1" si="47"/>
        <v>32.895000000000095</v>
      </c>
      <c r="E164" s="105">
        <f t="shared" ca="1" si="48"/>
        <v>7.6550000000000145</v>
      </c>
      <c r="F164" s="105">
        <f t="shared" ca="1" si="49"/>
        <v>9.0075000000000145</v>
      </c>
      <c r="G164" s="105">
        <f t="shared" ca="1" si="60"/>
        <v>1</v>
      </c>
      <c r="H164" s="105">
        <f t="shared" ca="1" si="61"/>
        <v>33.597500000000018</v>
      </c>
      <c r="I164" s="105">
        <f t="shared" ca="1" si="50"/>
        <v>0</v>
      </c>
      <c r="J164" s="105">
        <f t="shared" ca="1" si="51"/>
        <v>0</v>
      </c>
      <c r="K164" s="105">
        <f t="shared" ca="1" si="52"/>
        <v>0</v>
      </c>
      <c r="L164" s="105">
        <f t="shared" ca="1" si="53"/>
        <v>0</v>
      </c>
      <c r="M164" s="105">
        <f t="shared" ca="1" si="54"/>
        <v>0</v>
      </c>
      <c r="N164" s="105">
        <f t="shared" ca="1" si="53"/>
        <v>0</v>
      </c>
      <c r="O164" s="105">
        <f t="shared" ca="1" si="55"/>
        <v>0</v>
      </c>
      <c r="P164" s="105">
        <f t="shared" ca="1" si="56"/>
        <v>0</v>
      </c>
      <c r="Q164" s="105">
        <f t="shared" ca="1" si="57"/>
        <v>0</v>
      </c>
      <c r="R164" s="105">
        <f t="shared" ca="1" si="58"/>
        <v>0</v>
      </c>
      <c r="S164" s="105">
        <f t="shared" ca="1" si="59"/>
        <v>7</v>
      </c>
    </row>
    <row r="165" spans="1:19" x14ac:dyDescent="0.35">
      <c r="A165" s="105">
        <f t="shared" ca="1" si="44"/>
        <v>219.10499999999973</v>
      </c>
      <c r="B165" s="105" t="str">
        <f t="shared" ca="1" si="45"/>
        <v>循环</v>
      </c>
      <c r="C165" s="105">
        <f t="shared" ca="1" si="46"/>
        <v>1</v>
      </c>
      <c r="D165" s="105">
        <f t="shared" ca="1" si="47"/>
        <v>31.542500000000096</v>
      </c>
      <c r="E165" s="105">
        <f t="shared" ca="1" si="48"/>
        <v>6.3025000000000144</v>
      </c>
      <c r="F165" s="105">
        <f t="shared" ca="1" si="49"/>
        <v>7.6550000000000145</v>
      </c>
      <c r="G165" s="105">
        <f t="shared" ca="1" si="60"/>
        <v>1</v>
      </c>
      <c r="H165" s="105">
        <f t="shared" ca="1" si="61"/>
        <v>32.245000000000019</v>
      </c>
      <c r="I165" s="105">
        <f t="shared" ca="1" si="50"/>
        <v>0</v>
      </c>
      <c r="J165" s="105">
        <f t="shared" ca="1" si="51"/>
        <v>0</v>
      </c>
      <c r="K165" s="105">
        <f t="shared" ca="1" si="52"/>
        <v>0</v>
      </c>
      <c r="L165" s="105">
        <f t="shared" ca="1" si="53"/>
        <v>0</v>
      </c>
      <c r="M165" s="105">
        <f t="shared" ca="1" si="54"/>
        <v>0</v>
      </c>
      <c r="N165" s="105">
        <f t="shared" ca="1" si="53"/>
        <v>0</v>
      </c>
      <c r="O165" s="105">
        <f t="shared" ca="1" si="55"/>
        <v>0</v>
      </c>
      <c r="P165" s="105">
        <f t="shared" ca="1" si="56"/>
        <v>0</v>
      </c>
      <c r="Q165" s="105">
        <f t="shared" ca="1" si="57"/>
        <v>0</v>
      </c>
      <c r="R165" s="105">
        <f t="shared" ca="1" si="58"/>
        <v>0</v>
      </c>
      <c r="S165" s="105">
        <f t="shared" ca="1" si="59"/>
        <v>7</v>
      </c>
    </row>
    <row r="166" spans="1:19" x14ac:dyDescent="0.35">
      <c r="A166" s="105">
        <f t="shared" ca="1" si="44"/>
        <v>220.45749999999973</v>
      </c>
      <c r="B166" s="105" t="str">
        <f t="shared" ca="1" si="45"/>
        <v>循环</v>
      </c>
      <c r="C166" s="105">
        <f t="shared" ca="1" si="46"/>
        <v>1</v>
      </c>
      <c r="D166" s="105">
        <f t="shared" ca="1" si="47"/>
        <v>30.190000000000097</v>
      </c>
      <c r="E166" s="105">
        <f t="shared" ca="1" si="48"/>
        <v>4.9500000000000144</v>
      </c>
      <c r="F166" s="105">
        <f t="shared" ca="1" si="49"/>
        <v>6.3025000000000144</v>
      </c>
      <c r="G166" s="105">
        <f t="shared" ca="1" si="60"/>
        <v>1</v>
      </c>
      <c r="H166" s="105">
        <f t="shared" ca="1" si="61"/>
        <v>30.89250000000002</v>
      </c>
      <c r="I166" s="105">
        <f t="shared" ca="1" si="50"/>
        <v>0</v>
      </c>
      <c r="J166" s="105">
        <f t="shared" ca="1" si="51"/>
        <v>0</v>
      </c>
      <c r="K166" s="105">
        <f t="shared" ca="1" si="52"/>
        <v>0</v>
      </c>
      <c r="L166" s="105">
        <f t="shared" ca="1" si="53"/>
        <v>0</v>
      </c>
      <c r="M166" s="105">
        <f t="shared" ca="1" si="54"/>
        <v>0</v>
      </c>
      <c r="N166" s="105">
        <f t="shared" ca="1" si="53"/>
        <v>0</v>
      </c>
      <c r="O166" s="105">
        <f t="shared" ca="1" si="55"/>
        <v>0</v>
      </c>
      <c r="P166" s="105">
        <f t="shared" ca="1" si="56"/>
        <v>0</v>
      </c>
      <c r="Q166" s="105">
        <f t="shared" ca="1" si="57"/>
        <v>0</v>
      </c>
      <c r="R166" s="105">
        <f t="shared" ca="1" si="58"/>
        <v>0</v>
      </c>
      <c r="S166" s="105">
        <f t="shared" ca="1" si="59"/>
        <v>7</v>
      </c>
    </row>
    <row r="167" spans="1:19" x14ac:dyDescent="0.35">
      <c r="A167" s="105">
        <f t="shared" ca="1" si="44"/>
        <v>221.80999999999972</v>
      </c>
      <c r="B167" s="105" t="str">
        <f t="shared" ca="1" si="45"/>
        <v>循环</v>
      </c>
      <c r="C167" s="105">
        <f t="shared" ca="1" si="46"/>
        <v>1</v>
      </c>
      <c r="D167" s="105">
        <f t="shared" ca="1" si="47"/>
        <v>28.837500000000098</v>
      </c>
      <c r="E167" s="105">
        <f t="shared" ca="1" si="48"/>
        <v>3.5975000000000144</v>
      </c>
      <c r="F167" s="105">
        <f t="shared" ca="1" si="49"/>
        <v>4.9500000000000144</v>
      </c>
      <c r="G167" s="105">
        <f t="shared" ca="1" si="60"/>
        <v>1</v>
      </c>
      <c r="H167" s="105">
        <f t="shared" ca="1" si="61"/>
        <v>29.54000000000002</v>
      </c>
      <c r="I167" s="105">
        <f t="shared" ca="1" si="50"/>
        <v>0</v>
      </c>
      <c r="J167" s="105">
        <f t="shared" ca="1" si="51"/>
        <v>0</v>
      </c>
      <c r="K167" s="105">
        <f t="shared" ca="1" si="52"/>
        <v>0</v>
      </c>
      <c r="L167" s="105">
        <f t="shared" ca="1" si="53"/>
        <v>0</v>
      </c>
      <c r="M167" s="105">
        <f t="shared" ca="1" si="54"/>
        <v>0</v>
      </c>
      <c r="N167" s="105">
        <f t="shared" ca="1" si="53"/>
        <v>0</v>
      </c>
      <c r="O167" s="105">
        <f t="shared" ca="1" si="55"/>
        <v>0</v>
      </c>
      <c r="P167" s="105">
        <f t="shared" ca="1" si="56"/>
        <v>0</v>
      </c>
      <c r="Q167" s="105">
        <f t="shared" ca="1" si="57"/>
        <v>0</v>
      </c>
      <c r="R167" s="105">
        <f t="shared" ca="1" si="58"/>
        <v>0</v>
      </c>
      <c r="S167" s="105">
        <f t="shared" ca="1" si="59"/>
        <v>7</v>
      </c>
    </row>
    <row r="168" spans="1:19" x14ac:dyDescent="0.35">
      <c r="A168" s="105">
        <f t="shared" ca="1" si="44"/>
        <v>223.16249999999971</v>
      </c>
      <c r="B168" s="105" t="str">
        <f t="shared" ca="1" si="45"/>
        <v>循环</v>
      </c>
      <c r="C168" s="105">
        <f t="shared" ca="1" si="46"/>
        <v>1</v>
      </c>
      <c r="D168" s="105">
        <f t="shared" ca="1" si="47"/>
        <v>27.485000000000099</v>
      </c>
      <c r="E168" s="105">
        <f t="shared" ca="1" si="48"/>
        <v>2.2450000000000143</v>
      </c>
      <c r="F168" s="105">
        <f t="shared" ca="1" si="49"/>
        <v>3.5975000000000144</v>
      </c>
      <c r="G168" s="105">
        <f t="shared" ca="1" si="60"/>
        <v>1</v>
      </c>
      <c r="H168" s="105">
        <f t="shared" ca="1" si="61"/>
        <v>28.187500000000021</v>
      </c>
      <c r="I168" s="105">
        <f t="shared" ca="1" si="50"/>
        <v>0</v>
      </c>
      <c r="J168" s="105">
        <f t="shared" ca="1" si="51"/>
        <v>0</v>
      </c>
      <c r="K168" s="105">
        <f t="shared" ca="1" si="52"/>
        <v>0</v>
      </c>
      <c r="L168" s="105">
        <f t="shared" ca="1" si="53"/>
        <v>0</v>
      </c>
      <c r="M168" s="105">
        <f t="shared" ca="1" si="54"/>
        <v>0</v>
      </c>
      <c r="N168" s="105">
        <f t="shared" ca="1" si="53"/>
        <v>0</v>
      </c>
      <c r="O168" s="105">
        <f t="shared" ca="1" si="55"/>
        <v>0</v>
      </c>
      <c r="P168" s="105">
        <f t="shared" ca="1" si="56"/>
        <v>0</v>
      </c>
      <c r="Q168" s="105">
        <f t="shared" ca="1" si="57"/>
        <v>0</v>
      </c>
      <c r="R168" s="105">
        <f t="shared" ca="1" si="58"/>
        <v>0</v>
      </c>
      <c r="S168" s="105">
        <f t="shared" ca="1" si="59"/>
        <v>7</v>
      </c>
    </row>
    <row r="169" spans="1:19" x14ac:dyDescent="0.35">
      <c r="A169" s="105">
        <f t="shared" ca="1" si="44"/>
        <v>224.5149999999997</v>
      </c>
      <c r="B169" s="105" t="str">
        <f t="shared" ca="1" si="45"/>
        <v>循环</v>
      </c>
      <c r="C169" s="105">
        <f t="shared" ca="1" si="46"/>
        <v>1</v>
      </c>
      <c r="D169" s="105">
        <f t="shared" ca="1" si="47"/>
        <v>26.1325000000001</v>
      </c>
      <c r="E169" s="105">
        <f t="shared" ca="1" si="48"/>
        <v>0.89250000000001428</v>
      </c>
      <c r="F169" s="105">
        <f t="shared" ca="1" si="49"/>
        <v>2.2450000000000143</v>
      </c>
      <c r="G169" s="105">
        <f t="shared" ca="1" si="60"/>
        <v>1</v>
      </c>
      <c r="H169" s="105">
        <f t="shared" ca="1" si="61"/>
        <v>26.835000000000022</v>
      </c>
      <c r="I169" s="105">
        <f t="shared" ca="1" si="50"/>
        <v>0</v>
      </c>
      <c r="J169" s="105">
        <f t="shared" ca="1" si="51"/>
        <v>0</v>
      </c>
      <c r="K169" s="105">
        <f t="shared" ca="1" si="52"/>
        <v>0</v>
      </c>
      <c r="L169" s="105">
        <f t="shared" ca="1" si="53"/>
        <v>0</v>
      </c>
      <c r="M169" s="105">
        <f t="shared" ca="1" si="54"/>
        <v>0</v>
      </c>
      <c r="N169" s="105">
        <f t="shared" ca="1" si="53"/>
        <v>0</v>
      </c>
      <c r="O169" s="105">
        <f t="shared" ca="1" si="55"/>
        <v>0</v>
      </c>
      <c r="P169" s="105">
        <f t="shared" ca="1" si="56"/>
        <v>0</v>
      </c>
      <c r="Q169" s="105">
        <f t="shared" ca="1" si="57"/>
        <v>0</v>
      </c>
      <c r="R169" s="105">
        <f t="shared" ca="1" si="58"/>
        <v>0</v>
      </c>
      <c r="S169" s="105">
        <f t="shared" ca="1" si="59"/>
        <v>7</v>
      </c>
    </row>
    <row r="170" spans="1:19" x14ac:dyDescent="0.35">
      <c r="A170" s="105">
        <f t="shared" ca="1" si="44"/>
        <v>225.86749999999969</v>
      </c>
      <c r="B170" s="105" t="str">
        <f t="shared" ca="1" si="45"/>
        <v>循环</v>
      </c>
      <c r="C170" s="105">
        <f t="shared" ca="1" si="46"/>
        <v>1</v>
      </c>
      <c r="D170" s="105">
        <f t="shared" ca="1" si="47"/>
        <v>24.780000000000101</v>
      </c>
      <c r="E170" s="105">
        <f t="shared" ca="1" si="48"/>
        <v>0</v>
      </c>
      <c r="F170" s="105">
        <f t="shared" ca="1" si="49"/>
        <v>0.89250000000001428</v>
      </c>
      <c r="G170" s="105">
        <f t="shared" ca="1" si="60"/>
        <v>1</v>
      </c>
      <c r="H170" s="105">
        <f t="shared" ca="1" si="61"/>
        <v>25.482500000000023</v>
      </c>
      <c r="I170" s="105">
        <f t="shared" ca="1" si="50"/>
        <v>0</v>
      </c>
      <c r="J170" s="105">
        <f t="shared" ca="1" si="51"/>
        <v>0</v>
      </c>
      <c r="K170" s="105">
        <f t="shared" ca="1" si="52"/>
        <v>0</v>
      </c>
      <c r="L170" s="105">
        <f t="shared" ca="1" si="53"/>
        <v>0</v>
      </c>
      <c r="M170" s="105">
        <f t="shared" ca="1" si="54"/>
        <v>0</v>
      </c>
      <c r="N170" s="105">
        <f t="shared" ca="1" si="53"/>
        <v>0</v>
      </c>
      <c r="O170" s="105">
        <f t="shared" ca="1" si="55"/>
        <v>0</v>
      </c>
      <c r="P170" s="105">
        <f t="shared" ca="1" si="56"/>
        <v>0</v>
      </c>
      <c r="Q170" s="105">
        <f t="shared" ca="1" si="57"/>
        <v>0</v>
      </c>
      <c r="R170" s="105">
        <f t="shared" ca="1" si="58"/>
        <v>0</v>
      </c>
      <c r="S170" s="105">
        <f t="shared" ca="1" si="59"/>
        <v>7</v>
      </c>
    </row>
    <row r="171" spans="1:19" x14ac:dyDescent="0.35">
      <c r="A171" s="105">
        <f t="shared" ca="1" si="44"/>
        <v>227.21999999999969</v>
      </c>
      <c r="B171" s="105" t="str">
        <f t="shared" ca="1" si="45"/>
        <v>渊任</v>
      </c>
      <c r="C171" s="105">
        <f t="shared" ca="1" si="46"/>
        <v>0</v>
      </c>
      <c r="D171" s="105">
        <f t="shared" ca="1" si="47"/>
        <v>23.427500000000101</v>
      </c>
      <c r="E171" s="105">
        <f t="shared" ca="1" si="48"/>
        <v>30.647500000000001</v>
      </c>
      <c r="F171" s="105">
        <f t="shared" ca="1" si="49"/>
        <v>0</v>
      </c>
      <c r="G171" s="105">
        <f t="shared" ca="1" si="60"/>
        <v>1</v>
      </c>
      <c r="H171" s="105">
        <f t="shared" ca="1" si="61"/>
        <v>24.130000000000024</v>
      </c>
      <c r="I171" s="105">
        <f t="shared" ca="1" si="50"/>
        <v>0</v>
      </c>
      <c r="J171" s="105">
        <f t="shared" ca="1" si="51"/>
        <v>0</v>
      </c>
      <c r="K171" s="105">
        <f t="shared" ca="1" si="52"/>
        <v>14.335000000000001</v>
      </c>
      <c r="L171" s="105">
        <f t="shared" ca="1" si="53"/>
        <v>1</v>
      </c>
      <c r="M171" s="105">
        <f t="shared" ca="1" si="54"/>
        <v>0</v>
      </c>
      <c r="N171" s="105">
        <f t="shared" ca="1" si="53"/>
        <v>0</v>
      </c>
      <c r="O171" s="105">
        <f t="shared" ca="1" si="55"/>
        <v>0</v>
      </c>
      <c r="P171" s="105">
        <f t="shared" ca="1" si="56"/>
        <v>0</v>
      </c>
      <c r="Q171" s="105">
        <f t="shared" ca="1" si="57"/>
        <v>8.6475000000000009</v>
      </c>
      <c r="R171" s="105">
        <f t="shared" ca="1" si="58"/>
        <v>1</v>
      </c>
      <c r="S171" s="105">
        <f t="shared" ca="1" si="59"/>
        <v>7</v>
      </c>
    </row>
    <row r="172" spans="1:19" x14ac:dyDescent="0.35">
      <c r="A172" s="105">
        <f t="shared" ca="1" si="44"/>
        <v>228.57249999999968</v>
      </c>
      <c r="B172" s="105" t="str">
        <f t="shared" ca="1" si="45"/>
        <v>雷循环</v>
      </c>
      <c r="C172" s="105">
        <f t="shared" ca="1" si="46"/>
        <v>0</v>
      </c>
      <c r="D172" s="105">
        <f t="shared" ca="1" si="47"/>
        <v>22.075000000000102</v>
      </c>
      <c r="E172" s="105">
        <f t="shared" ca="1" si="48"/>
        <v>29.295000000000002</v>
      </c>
      <c r="F172" s="105">
        <f t="shared" ca="1" si="49"/>
        <v>30.647500000000001</v>
      </c>
      <c r="G172" s="105">
        <f t="shared" ca="1" si="60"/>
        <v>1</v>
      </c>
      <c r="H172" s="105">
        <f t="shared" ca="1" si="61"/>
        <v>22.777500000000025</v>
      </c>
      <c r="I172" s="105">
        <f t="shared" ca="1" si="50"/>
        <v>0</v>
      </c>
      <c r="J172" s="105">
        <f t="shared" ca="1" si="51"/>
        <v>0</v>
      </c>
      <c r="K172" s="105">
        <f t="shared" ca="1" si="52"/>
        <v>12.982500000000002</v>
      </c>
      <c r="L172" s="105">
        <f t="shared" ca="1" si="53"/>
        <v>1</v>
      </c>
      <c r="M172" s="105">
        <f t="shared" ca="1" si="54"/>
        <v>0</v>
      </c>
      <c r="N172" s="105">
        <f t="shared" ca="1" si="53"/>
        <v>0</v>
      </c>
      <c r="O172" s="105">
        <f t="shared" ca="1" si="55"/>
        <v>13.647500000000001</v>
      </c>
      <c r="P172" s="105">
        <f t="shared" ca="1" si="56"/>
        <v>1</v>
      </c>
      <c r="Q172" s="105">
        <f t="shared" ca="1" si="57"/>
        <v>7.2950000000000008</v>
      </c>
      <c r="R172" s="105">
        <f t="shared" ca="1" si="58"/>
        <v>1</v>
      </c>
      <c r="S172" s="105">
        <f t="shared" ca="1" si="59"/>
        <v>8</v>
      </c>
    </row>
    <row r="173" spans="1:19" x14ac:dyDescent="0.35">
      <c r="A173" s="105">
        <f t="shared" ca="1" si="44"/>
        <v>229.92499999999967</v>
      </c>
      <c r="B173" s="105" t="str">
        <f t="shared" ca="1" si="45"/>
        <v>循环</v>
      </c>
      <c r="C173" s="105">
        <f t="shared" ca="1" si="46"/>
        <v>0</v>
      </c>
      <c r="D173" s="105">
        <f t="shared" ca="1" si="47"/>
        <v>20.722500000000103</v>
      </c>
      <c r="E173" s="105">
        <f t="shared" ca="1" si="48"/>
        <v>27.942500000000003</v>
      </c>
      <c r="F173" s="105">
        <f t="shared" ca="1" si="49"/>
        <v>29.295000000000002</v>
      </c>
      <c r="G173" s="105">
        <f t="shared" ca="1" si="60"/>
        <v>1</v>
      </c>
      <c r="H173" s="105">
        <f t="shared" ca="1" si="61"/>
        <v>21.425000000000026</v>
      </c>
      <c r="I173" s="105">
        <f t="shared" ca="1" si="50"/>
        <v>0</v>
      </c>
      <c r="J173" s="105">
        <f t="shared" ca="1" si="51"/>
        <v>0</v>
      </c>
      <c r="K173" s="105">
        <f t="shared" ca="1" si="52"/>
        <v>11.630000000000003</v>
      </c>
      <c r="L173" s="105">
        <f t="shared" ca="1" si="53"/>
        <v>1</v>
      </c>
      <c r="M173" s="105">
        <f t="shared" ca="1" si="54"/>
        <v>0</v>
      </c>
      <c r="N173" s="105">
        <f t="shared" ca="1" si="53"/>
        <v>0</v>
      </c>
      <c r="O173" s="105">
        <f t="shared" ca="1" si="55"/>
        <v>12.295000000000002</v>
      </c>
      <c r="P173" s="105">
        <f t="shared" ca="1" si="56"/>
        <v>1</v>
      </c>
      <c r="Q173" s="105">
        <f t="shared" ca="1" si="57"/>
        <v>5.9425000000000008</v>
      </c>
      <c r="R173" s="105">
        <f t="shared" ca="1" si="58"/>
        <v>1</v>
      </c>
      <c r="S173" s="105">
        <f t="shared" ca="1" si="59"/>
        <v>8</v>
      </c>
    </row>
    <row r="174" spans="1:19" x14ac:dyDescent="0.35">
      <c r="A174" s="105">
        <f t="shared" ca="1" si="44"/>
        <v>231.27749999999966</v>
      </c>
      <c r="B174" s="105" t="str">
        <f t="shared" ca="1" si="45"/>
        <v>循环</v>
      </c>
      <c r="C174" s="105">
        <f t="shared" ca="1" si="46"/>
        <v>0</v>
      </c>
      <c r="D174" s="105">
        <f t="shared" ca="1" si="47"/>
        <v>19.370000000000104</v>
      </c>
      <c r="E174" s="105">
        <f t="shared" ca="1" si="48"/>
        <v>26.590000000000003</v>
      </c>
      <c r="F174" s="105">
        <f t="shared" ca="1" si="49"/>
        <v>27.942500000000003</v>
      </c>
      <c r="G174" s="105">
        <f t="shared" ca="1" si="60"/>
        <v>1</v>
      </c>
      <c r="H174" s="105">
        <f t="shared" ca="1" si="61"/>
        <v>20.072500000000026</v>
      </c>
      <c r="I174" s="105">
        <f t="shared" ca="1" si="50"/>
        <v>0</v>
      </c>
      <c r="J174" s="105">
        <f t="shared" ca="1" si="51"/>
        <v>0</v>
      </c>
      <c r="K174" s="105">
        <f t="shared" ca="1" si="52"/>
        <v>10.277500000000003</v>
      </c>
      <c r="L174" s="105">
        <f t="shared" ca="1" si="53"/>
        <v>1</v>
      </c>
      <c r="M174" s="105">
        <f t="shared" ca="1" si="54"/>
        <v>0</v>
      </c>
      <c r="N174" s="105">
        <f t="shared" ca="1" si="53"/>
        <v>0</v>
      </c>
      <c r="O174" s="105">
        <f t="shared" ca="1" si="55"/>
        <v>10.942500000000003</v>
      </c>
      <c r="P174" s="105">
        <f t="shared" ca="1" si="56"/>
        <v>1</v>
      </c>
      <c r="Q174" s="105">
        <f t="shared" ca="1" si="57"/>
        <v>4.5900000000000007</v>
      </c>
      <c r="R174" s="105">
        <f t="shared" ca="1" si="58"/>
        <v>1</v>
      </c>
      <c r="S174" s="105">
        <f t="shared" ca="1" si="59"/>
        <v>8</v>
      </c>
    </row>
    <row r="175" spans="1:19" x14ac:dyDescent="0.35">
      <c r="A175" s="105">
        <f t="shared" ca="1" si="44"/>
        <v>232.62999999999965</v>
      </c>
      <c r="B175" s="105" t="str">
        <f t="shared" ca="1" si="45"/>
        <v>循环</v>
      </c>
      <c r="C175" s="105">
        <f t="shared" ca="1" si="46"/>
        <v>0</v>
      </c>
      <c r="D175" s="105">
        <f t="shared" ca="1" si="47"/>
        <v>18.017500000000105</v>
      </c>
      <c r="E175" s="105">
        <f t="shared" ca="1" si="48"/>
        <v>25.237500000000004</v>
      </c>
      <c r="F175" s="105">
        <f t="shared" ca="1" si="49"/>
        <v>26.590000000000003</v>
      </c>
      <c r="G175" s="105">
        <f t="shared" ca="1" si="60"/>
        <v>1</v>
      </c>
      <c r="H175" s="105">
        <f t="shared" ca="1" si="61"/>
        <v>18.720000000000027</v>
      </c>
      <c r="I175" s="105">
        <f t="shared" ca="1" si="50"/>
        <v>0</v>
      </c>
      <c r="J175" s="105">
        <f t="shared" ca="1" si="51"/>
        <v>0</v>
      </c>
      <c r="K175" s="105">
        <f t="shared" ca="1" si="52"/>
        <v>8.9250000000000043</v>
      </c>
      <c r="L175" s="105">
        <f t="shared" ca="1" si="53"/>
        <v>1</v>
      </c>
      <c r="M175" s="105">
        <f t="shared" ca="1" si="54"/>
        <v>0</v>
      </c>
      <c r="N175" s="105">
        <f t="shared" ca="1" si="53"/>
        <v>0</v>
      </c>
      <c r="O175" s="105">
        <f t="shared" ca="1" si="55"/>
        <v>9.5900000000000034</v>
      </c>
      <c r="P175" s="105">
        <f t="shared" ca="1" si="56"/>
        <v>1</v>
      </c>
      <c r="Q175" s="105">
        <f t="shared" ca="1" si="57"/>
        <v>3.2375000000000007</v>
      </c>
      <c r="R175" s="105">
        <f t="shared" ca="1" si="58"/>
        <v>1</v>
      </c>
      <c r="S175" s="105">
        <f t="shared" ca="1" si="59"/>
        <v>8</v>
      </c>
    </row>
    <row r="176" spans="1:19" x14ac:dyDescent="0.35">
      <c r="A176" s="105">
        <f t="shared" ca="1" si="44"/>
        <v>233.98249999999965</v>
      </c>
      <c r="B176" s="105" t="str">
        <f t="shared" ca="1" si="45"/>
        <v>循环</v>
      </c>
      <c r="C176" s="105">
        <f t="shared" ca="1" si="46"/>
        <v>0</v>
      </c>
      <c r="D176" s="105">
        <f t="shared" ca="1" si="47"/>
        <v>16.665000000000106</v>
      </c>
      <c r="E176" s="105">
        <f t="shared" ca="1" si="48"/>
        <v>23.885000000000005</v>
      </c>
      <c r="F176" s="105">
        <f t="shared" ca="1" si="49"/>
        <v>25.237500000000004</v>
      </c>
      <c r="G176" s="105">
        <f t="shared" ca="1" si="60"/>
        <v>1</v>
      </c>
      <c r="H176" s="105">
        <f t="shared" ca="1" si="61"/>
        <v>17.367500000000028</v>
      </c>
      <c r="I176" s="105">
        <f t="shared" ca="1" si="50"/>
        <v>0</v>
      </c>
      <c r="J176" s="105">
        <f t="shared" ca="1" si="51"/>
        <v>0</v>
      </c>
      <c r="K176" s="105">
        <f t="shared" ca="1" si="52"/>
        <v>7.5725000000000042</v>
      </c>
      <c r="L176" s="105">
        <f t="shared" ca="1" si="53"/>
        <v>1</v>
      </c>
      <c r="M176" s="105">
        <f t="shared" ca="1" si="54"/>
        <v>0</v>
      </c>
      <c r="N176" s="105">
        <f t="shared" ca="1" si="53"/>
        <v>0</v>
      </c>
      <c r="O176" s="105">
        <f t="shared" ca="1" si="55"/>
        <v>8.2375000000000043</v>
      </c>
      <c r="P176" s="105">
        <f t="shared" ca="1" si="56"/>
        <v>1</v>
      </c>
      <c r="Q176" s="105">
        <f t="shared" ca="1" si="57"/>
        <v>1.8850000000000007</v>
      </c>
      <c r="R176" s="105">
        <f t="shared" ca="1" si="58"/>
        <v>1</v>
      </c>
      <c r="S176" s="105">
        <f t="shared" ca="1" si="59"/>
        <v>8</v>
      </c>
    </row>
    <row r="177" spans="1:19" x14ac:dyDescent="0.35">
      <c r="A177" s="105">
        <f t="shared" ca="1" si="44"/>
        <v>235.33499999999964</v>
      </c>
      <c r="B177" s="105" t="str">
        <f t="shared" ca="1" si="45"/>
        <v>循环</v>
      </c>
      <c r="C177" s="105">
        <f t="shared" ca="1" si="46"/>
        <v>0</v>
      </c>
      <c r="D177" s="105">
        <f t="shared" ca="1" si="47"/>
        <v>15.312500000000107</v>
      </c>
      <c r="E177" s="105">
        <f t="shared" ca="1" si="48"/>
        <v>22.532500000000006</v>
      </c>
      <c r="F177" s="105">
        <f t="shared" ca="1" si="49"/>
        <v>23.885000000000005</v>
      </c>
      <c r="G177" s="105">
        <f t="shared" ca="1" si="60"/>
        <v>1</v>
      </c>
      <c r="H177" s="105">
        <f t="shared" ca="1" si="61"/>
        <v>16.015000000000029</v>
      </c>
      <c r="I177" s="105">
        <f t="shared" ca="1" si="50"/>
        <v>0</v>
      </c>
      <c r="J177" s="105">
        <f t="shared" ca="1" si="51"/>
        <v>0</v>
      </c>
      <c r="K177" s="105">
        <f t="shared" ca="1" si="52"/>
        <v>6.2200000000000042</v>
      </c>
      <c r="L177" s="105">
        <f t="shared" ca="1" si="53"/>
        <v>1</v>
      </c>
      <c r="M177" s="105">
        <f t="shared" ca="1" si="54"/>
        <v>0</v>
      </c>
      <c r="N177" s="105">
        <f t="shared" ca="1" si="53"/>
        <v>0</v>
      </c>
      <c r="O177" s="105">
        <f t="shared" ca="1" si="55"/>
        <v>6.8850000000000042</v>
      </c>
      <c r="P177" s="105">
        <f t="shared" ca="1" si="56"/>
        <v>1</v>
      </c>
      <c r="Q177" s="105">
        <f t="shared" ca="1" si="57"/>
        <v>0.53250000000000064</v>
      </c>
      <c r="R177" s="105">
        <f t="shared" ca="1" si="58"/>
        <v>1</v>
      </c>
      <c r="S177" s="105">
        <f t="shared" ca="1" si="59"/>
        <v>8</v>
      </c>
    </row>
    <row r="178" spans="1:19" x14ac:dyDescent="0.35">
      <c r="A178" s="105">
        <f t="shared" ca="1" si="44"/>
        <v>236.68749999999963</v>
      </c>
      <c r="B178" s="105" t="str">
        <f t="shared" ca="1" si="45"/>
        <v>循环</v>
      </c>
      <c r="C178" s="105">
        <f t="shared" ca="1" si="46"/>
        <v>0</v>
      </c>
      <c r="D178" s="105">
        <f t="shared" ca="1" si="47"/>
        <v>13.960000000000107</v>
      </c>
      <c r="E178" s="105">
        <f t="shared" ca="1" si="48"/>
        <v>21.180000000000007</v>
      </c>
      <c r="F178" s="105">
        <f t="shared" ca="1" si="49"/>
        <v>22.532500000000006</v>
      </c>
      <c r="G178" s="105">
        <f t="shared" ca="1" si="60"/>
        <v>1</v>
      </c>
      <c r="H178" s="105">
        <f t="shared" ca="1" si="61"/>
        <v>14.66250000000003</v>
      </c>
      <c r="I178" s="105">
        <f t="shared" ca="1" si="50"/>
        <v>0</v>
      </c>
      <c r="J178" s="105">
        <f t="shared" ca="1" si="51"/>
        <v>0</v>
      </c>
      <c r="K178" s="105">
        <f t="shared" ca="1" si="52"/>
        <v>4.8675000000000042</v>
      </c>
      <c r="L178" s="105">
        <f t="shared" ca="1" si="53"/>
        <v>1</v>
      </c>
      <c r="M178" s="105">
        <f t="shared" ca="1" si="54"/>
        <v>0</v>
      </c>
      <c r="N178" s="105">
        <f t="shared" ca="1" si="53"/>
        <v>0</v>
      </c>
      <c r="O178" s="105">
        <f t="shared" ca="1" si="55"/>
        <v>5.5325000000000042</v>
      </c>
      <c r="P178" s="105">
        <f t="shared" ca="1" si="56"/>
        <v>1</v>
      </c>
      <c r="Q178" s="105">
        <f t="shared" ca="1" si="57"/>
        <v>0</v>
      </c>
      <c r="R178" s="105">
        <f t="shared" ca="1" si="58"/>
        <v>1</v>
      </c>
      <c r="S178" s="105">
        <f t="shared" ca="1" si="59"/>
        <v>8</v>
      </c>
    </row>
    <row r="179" spans="1:19" x14ac:dyDescent="0.35">
      <c r="A179" s="105">
        <f t="shared" ca="1" si="44"/>
        <v>238.03999999999962</v>
      </c>
      <c r="B179" s="105" t="str">
        <f t="shared" ca="1" si="45"/>
        <v>循环</v>
      </c>
      <c r="C179" s="105">
        <f t="shared" ca="1" si="46"/>
        <v>0</v>
      </c>
      <c r="D179" s="105">
        <f t="shared" ca="1" si="47"/>
        <v>12.607500000000108</v>
      </c>
      <c r="E179" s="105">
        <f t="shared" ca="1" si="48"/>
        <v>19.827500000000008</v>
      </c>
      <c r="F179" s="105">
        <f t="shared" ca="1" si="49"/>
        <v>21.180000000000007</v>
      </c>
      <c r="G179" s="105">
        <f t="shared" ca="1" si="60"/>
        <v>1</v>
      </c>
      <c r="H179" s="105">
        <f t="shared" ca="1" si="61"/>
        <v>13.310000000000031</v>
      </c>
      <c r="I179" s="105">
        <f t="shared" ca="1" si="50"/>
        <v>0</v>
      </c>
      <c r="J179" s="105">
        <f t="shared" ca="1" si="51"/>
        <v>0</v>
      </c>
      <c r="K179" s="105">
        <f t="shared" ca="1" si="52"/>
        <v>3.5150000000000041</v>
      </c>
      <c r="L179" s="105">
        <f t="shared" ca="1" si="53"/>
        <v>1</v>
      </c>
      <c r="M179" s="105">
        <f t="shared" ca="1" si="54"/>
        <v>0</v>
      </c>
      <c r="N179" s="105">
        <f t="shared" ca="1" si="53"/>
        <v>0</v>
      </c>
      <c r="O179" s="105">
        <f t="shared" ca="1" si="55"/>
        <v>4.1800000000000042</v>
      </c>
      <c r="P179" s="105">
        <f t="shared" ca="1" si="56"/>
        <v>1</v>
      </c>
      <c r="Q179" s="105">
        <f t="shared" ca="1" si="57"/>
        <v>0</v>
      </c>
      <c r="R179" s="105">
        <f t="shared" ca="1" si="58"/>
        <v>0</v>
      </c>
      <c r="S179" s="105">
        <f t="shared" ca="1" si="59"/>
        <v>8</v>
      </c>
    </row>
    <row r="180" spans="1:19" x14ac:dyDescent="0.35">
      <c r="A180" s="105">
        <f t="shared" ca="1" si="44"/>
        <v>239.39249999999961</v>
      </c>
      <c r="B180" s="105" t="str">
        <f t="shared" ca="1" si="45"/>
        <v>循环</v>
      </c>
      <c r="C180" s="105">
        <f t="shared" ca="1" si="46"/>
        <v>0</v>
      </c>
      <c r="D180" s="105">
        <f t="shared" ca="1" si="47"/>
        <v>11.255000000000109</v>
      </c>
      <c r="E180" s="105">
        <f t="shared" ca="1" si="48"/>
        <v>18.475000000000009</v>
      </c>
      <c r="F180" s="105">
        <f t="shared" ca="1" si="49"/>
        <v>19.827500000000008</v>
      </c>
      <c r="G180" s="105">
        <f t="shared" ca="1" si="60"/>
        <v>1</v>
      </c>
      <c r="H180" s="105">
        <f t="shared" ca="1" si="61"/>
        <v>11.957500000000032</v>
      </c>
      <c r="I180" s="105">
        <f t="shared" ca="1" si="50"/>
        <v>0</v>
      </c>
      <c r="J180" s="105">
        <f t="shared" ca="1" si="51"/>
        <v>0</v>
      </c>
      <c r="K180" s="105">
        <f t="shared" ca="1" si="52"/>
        <v>2.1625000000000041</v>
      </c>
      <c r="L180" s="105">
        <f t="shared" ca="1" si="53"/>
        <v>1</v>
      </c>
      <c r="M180" s="105">
        <f t="shared" ca="1" si="54"/>
        <v>0</v>
      </c>
      <c r="N180" s="105">
        <f t="shared" ca="1" si="53"/>
        <v>0</v>
      </c>
      <c r="O180" s="105">
        <f t="shared" ca="1" si="55"/>
        <v>2.8275000000000041</v>
      </c>
      <c r="P180" s="105">
        <f t="shared" ca="1" si="56"/>
        <v>1</v>
      </c>
      <c r="Q180" s="105">
        <f t="shared" ca="1" si="57"/>
        <v>0</v>
      </c>
      <c r="R180" s="105">
        <f t="shared" ca="1" si="58"/>
        <v>0</v>
      </c>
      <c r="S180" s="105">
        <f t="shared" ca="1" si="59"/>
        <v>8</v>
      </c>
    </row>
    <row r="181" spans="1:19" x14ac:dyDescent="0.35">
      <c r="A181" s="105">
        <f t="shared" ca="1" si="44"/>
        <v>240.74499999999961</v>
      </c>
      <c r="B181" s="105" t="str">
        <f t="shared" ca="1" si="45"/>
        <v>循环</v>
      </c>
      <c r="C181" s="105">
        <f t="shared" ca="1" si="46"/>
        <v>0</v>
      </c>
      <c r="D181" s="105">
        <f t="shared" ca="1" si="47"/>
        <v>9.90250000000011</v>
      </c>
      <c r="E181" s="105">
        <f t="shared" ca="1" si="48"/>
        <v>17.122500000000009</v>
      </c>
      <c r="F181" s="105">
        <f t="shared" ca="1" si="49"/>
        <v>18.475000000000009</v>
      </c>
      <c r="G181" s="105">
        <f t="shared" ca="1" si="60"/>
        <v>1</v>
      </c>
      <c r="H181" s="105">
        <f t="shared" ca="1" si="61"/>
        <v>10.605000000000032</v>
      </c>
      <c r="I181" s="105">
        <f t="shared" ca="1" si="50"/>
        <v>0</v>
      </c>
      <c r="J181" s="105">
        <f t="shared" ca="1" si="51"/>
        <v>0</v>
      </c>
      <c r="K181" s="105">
        <f t="shared" ca="1" si="52"/>
        <v>0.81000000000000405</v>
      </c>
      <c r="L181" s="105">
        <f t="shared" ca="1" si="53"/>
        <v>1</v>
      </c>
      <c r="M181" s="105">
        <f t="shared" ca="1" si="54"/>
        <v>0</v>
      </c>
      <c r="N181" s="105">
        <f t="shared" ca="1" si="53"/>
        <v>0</v>
      </c>
      <c r="O181" s="105">
        <f t="shared" ca="1" si="55"/>
        <v>1.4750000000000041</v>
      </c>
      <c r="P181" s="105">
        <f t="shared" ca="1" si="56"/>
        <v>1</v>
      </c>
      <c r="Q181" s="105">
        <f t="shared" ca="1" si="57"/>
        <v>0</v>
      </c>
      <c r="R181" s="105">
        <f t="shared" ca="1" si="58"/>
        <v>0</v>
      </c>
      <c r="S181" s="105">
        <f t="shared" ca="1" si="59"/>
        <v>8</v>
      </c>
    </row>
    <row r="182" spans="1:19" x14ac:dyDescent="0.35">
      <c r="A182" s="105">
        <f t="shared" ca="1" si="44"/>
        <v>242.0974999999996</v>
      </c>
      <c r="B182" s="105" t="str">
        <f t="shared" ca="1" si="45"/>
        <v>循环</v>
      </c>
      <c r="C182" s="105">
        <f t="shared" ca="1" si="46"/>
        <v>0</v>
      </c>
      <c r="D182" s="105">
        <f t="shared" ca="1" si="47"/>
        <v>8.5500000000001108</v>
      </c>
      <c r="E182" s="105">
        <f t="shared" ca="1" si="48"/>
        <v>15.77000000000001</v>
      </c>
      <c r="F182" s="105">
        <f t="shared" ca="1" si="49"/>
        <v>17.122500000000009</v>
      </c>
      <c r="G182" s="105">
        <f t="shared" ca="1" si="60"/>
        <v>1</v>
      </c>
      <c r="H182" s="105">
        <f t="shared" ca="1" si="61"/>
        <v>9.2525000000000333</v>
      </c>
      <c r="I182" s="105">
        <f t="shared" ca="1" si="50"/>
        <v>0</v>
      </c>
      <c r="J182" s="105">
        <f t="shared" ca="1" si="51"/>
        <v>0</v>
      </c>
      <c r="K182" s="105">
        <f t="shared" ca="1" si="52"/>
        <v>0</v>
      </c>
      <c r="L182" s="105">
        <f t="shared" ca="1" si="53"/>
        <v>1</v>
      </c>
      <c r="M182" s="105">
        <f t="shared" ca="1" si="54"/>
        <v>0</v>
      </c>
      <c r="N182" s="105">
        <f t="shared" ca="1" si="53"/>
        <v>0</v>
      </c>
      <c r="O182" s="105">
        <f t="shared" ca="1" si="55"/>
        <v>0.12250000000000405</v>
      </c>
      <c r="P182" s="105">
        <f t="shared" ca="1" si="56"/>
        <v>1</v>
      </c>
      <c r="Q182" s="105">
        <f t="shared" ca="1" si="57"/>
        <v>0</v>
      </c>
      <c r="R182" s="105">
        <f t="shared" ca="1" si="58"/>
        <v>0</v>
      </c>
      <c r="S182" s="105">
        <f t="shared" ca="1" si="59"/>
        <v>8</v>
      </c>
    </row>
    <row r="183" spans="1:19" x14ac:dyDescent="0.35">
      <c r="A183" s="105">
        <f t="shared" ca="1" si="44"/>
        <v>243.44999999999959</v>
      </c>
      <c r="B183" s="105" t="str">
        <f t="shared" ca="1" si="45"/>
        <v>循环</v>
      </c>
      <c r="C183" s="105">
        <f t="shared" ca="1" si="46"/>
        <v>0</v>
      </c>
      <c r="D183" s="105">
        <f t="shared" ca="1" si="47"/>
        <v>7.1975000000001108</v>
      </c>
      <c r="E183" s="105">
        <f t="shared" ca="1" si="48"/>
        <v>14.417500000000011</v>
      </c>
      <c r="F183" s="105">
        <f t="shared" ca="1" si="49"/>
        <v>15.77000000000001</v>
      </c>
      <c r="G183" s="105">
        <f t="shared" ca="1" si="60"/>
        <v>1</v>
      </c>
      <c r="H183" s="105">
        <f t="shared" ca="1" si="61"/>
        <v>7.9000000000000332</v>
      </c>
      <c r="I183" s="105">
        <f t="shared" ca="1" si="50"/>
        <v>0</v>
      </c>
      <c r="J183" s="105">
        <f t="shared" ca="1" si="51"/>
        <v>0</v>
      </c>
      <c r="K183" s="105">
        <f t="shared" ca="1" si="52"/>
        <v>0</v>
      </c>
      <c r="L183" s="105">
        <f t="shared" ca="1" si="53"/>
        <v>0</v>
      </c>
      <c r="M183" s="105">
        <f t="shared" ca="1" si="54"/>
        <v>0</v>
      </c>
      <c r="N183" s="105">
        <f t="shared" ca="1" si="53"/>
        <v>0</v>
      </c>
      <c r="O183" s="105">
        <f t="shared" ca="1" si="55"/>
        <v>0</v>
      </c>
      <c r="P183" s="105">
        <f t="shared" ca="1" si="56"/>
        <v>1</v>
      </c>
      <c r="Q183" s="105">
        <f t="shared" ca="1" si="57"/>
        <v>0</v>
      </c>
      <c r="R183" s="105">
        <f t="shared" ca="1" si="58"/>
        <v>0</v>
      </c>
      <c r="S183" s="105">
        <f t="shared" ca="1" si="59"/>
        <v>8</v>
      </c>
    </row>
    <row r="184" spans="1:19" x14ac:dyDescent="0.35">
      <c r="A184" s="105">
        <f t="shared" ca="1" si="44"/>
        <v>244.80249999999958</v>
      </c>
      <c r="B184" s="105" t="str">
        <f t="shared" ca="1" si="45"/>
        <v>循环</v>
      </c>
      <c r="C184" s="105">
        <f t="shared" ca="1" si="46"/>
        <v>0</v>
      </c>
      <c r="D184" s="105">
        <f t="shared" ca="1" si="47"/>
        <v>5.8450000000001108</v>
      </c>
      <c r="E184" s="105">
        <f t="shared" ca="1" si="48"/>
        <v>13.065000000000012</v>
      </c>
      <c r="F184" s="105">
        <f t="shared" ca="1" si="49"/>
        <v>14.417500000000011</v>
      </c>
      <c r="G184" s="105">
        <f t="shared" ca="1" si="60"/>
        <v>1</v>
      </c>
      <c r="H184" s="105">
        <f t="shared" ca="1" si="61"/>
        <v>6.5475000000000332</v>
      </c>
      <c r="I184" s="105">
        <f t="shared" ca="1" si="50"/>
        <v>0</v>
      </c>
      <c r="J184" s="105">
        <f t="shared" ca="1" si="51"/>
        <v>0</v>
      </c>
      <c r="K184" s="105">
        <f t="shared" ca="1" si="52"/>
        <v>0</v>
      </c>
      <c r="L184" s="105">
        <f t="shared" ca="1" si="53"/>
        <v>0</v>
      </c>
      <c r="M184" s="105">
        <f t="shared" ca="1" si="54"/>
        <v>0</v>
      </c>
      <c r="N184" s="105">
        <f t="shared" ca="1" si="53"/>
        <v>0</v>
      </c>
      <c r="O184" s="105">
        <f t="shared" ca="1" si="55"/>
        <v>0</v>
      </c>
      <c r="P184" s="105">
        <f t="shared" ca="1" si="56"/>
        <v>0</v>
      </c>
      <c r="Q184" s="105">
        <f t="shared" ca="1" si="57"/>
        <v>0</v>
      </c>
      <c r="R184" s="105">
        <f t="shared" ca="1" si="58"/>
        <v>0</v>
      </c>
      <c r="S184" s="105">
        <f t="shared" ca="1" si="59"/>
        <v>8</v>
      </c>
    </row>
    <row r="185" spans="1:19" x14ac:dyDescent="0.35">
      <c r="A185" s="105">
        <f t="shared" ca="1" si="44"/>
        <v>246.15499999999957</v>
      </c>
      <c r="B185" s="105" t="str">
        <f t="shared" ca="1" si="45"/>
        <v>循环</v>
      </c>
      <c r="C185" s="105">
        <f t="shared" ca="1" si="46"/>
        <v>0</v>
      </c>
      <c r="D185" s="105">
        <f t="shared" ca="1" si="47"/>
        <v>4.4925000000001107</v>
      </c>
      <c r="E185" s="105">
        <f t="shared" ca="1" si="48"/>
        <v>11.712500000000013</v>
      </c>
      <c r="F185" s="105">
        <f t="shared" ca="1" si="49"/>
        <v>13.065000000000012</v>
      </c>
      <c r="G185" s="105">
        <f t="shared" ca="1" si="60"/>
        <v>1</v>
      </c>
      <c r="H185" s="105">
        <f t="shared" ca="1" si="61"/>
        <v>5.1950000000000331</v>
      </c>
      <c r="I185" s="105">
        <f t="shared" ca="1" si="50"/>
        <v>0</v>
      </c>
      <c r="J185" s="105">
        <f t="shared" ca="1" si="51"/>
        <v>0</v>
      </c>
      <c r="K185" s="105">
        <f t="shared" ca="1" si="52"/>
        <v>0</v>
      </c>
      <c r="L185" s="105">
        <f t="shared" ca="1" si="53"/>
        <v>0</v>
      </c>
      <c r="M185" s="105">
        <f t="shared" ca="1" si="54"/>
        <v>0</v>
      </c>
      <c r="N185" s="105">
        <f t="shared" ca="1" si="53"/>
        <v>0</v>
      </c>
      <c r="O185" s="105">
        <f t="shared" ca="1" si="55"/>
        <v>0</v>
      </c>
      <c r="P185" s="105">
        <f t="shared" ca="1" si="56"/>
        <v>0</v>
      </c>
      <c r="Q185" s="105">
        <f t="shared" ca="1" si="57"/>
        <v>0</v>
      </c>
      <c r="R185" s="105">
        <f t="shared" ca="1" si="58"/>
        <v>0</v>
      </c>
      <c r="S185" s="105">
        <f t="shared" ca="1" si="59"/>
        <v>8</v>
      </c>
    </row>
    <row r="186" spans="1:19" x14ac:dyDescent="0.35">
      <c r="A186" s="105">
        <f t="shared" ca="1" si="44"/>
        <v>247.50749999999957</v>
      </c>
      <c r="B186" s="105" t="str">
        <f t="shared" ca="1" si="45"/>
        <v>循环</v>
      </c>
      <c r="C186" s="105">
        <f t="shared" ca="1" si="46"/>
        <v>0</v>
      </c>
      <c r="D186" s="105">
        <f t="shared" ca="1" si="47"/>
        <v>3.1400000000001107</v>
      </c>
      <c r="E186" s="105">
        <f t="shared" ca="1" si="48"/>
        <v>10.360000000000014</v>
      </c>
      <c r="F186" s="105">
        <f t="shared" ca="1" si="49"/>
        <v>11.712500000000013</v>
      </c>
      <c r="G186" s="105">
        <f t="shared" ca="1" si="60"/>
        <v>1</v>
      </c>
      <c r="H186" s="105">
        <f t="shared" ca="1" si="61"/>
        <v>3.8425000000000331</v>
      </c>
      <c r="I186" s="105">
        <f t="shared" ca="1" si="50"/>
        <v>0</v>
      </c>
      <c r="J186" s="105">
        <f t="shared" ca="1" si="51"/>
        <v>0</v>
      </c>
      <c r="K186" s="105">
        <f t="shared" ca="1" si="52"/>
        <v>0</v>
      </c>
      <c r="L186" s="105">
        <f t="shared" ca="1" si="53"/>
        <v>0</v>
      </c>
      <c r="M186" s="105">
        <f t="shared" ca="1" si="54"/>
        <v>0</v>
      </c>
      <c r="N186" s="105">
        <f t="shared" ca="1" si="53"/>
        <v>0</v>
      </c>
      <c r="O186" s="105">
        <f t="shared" ca="1" si="55"/>
        <v>0</v>
      </c>
      <c r="P186" s="105">
        <f t="shared" ca="1" si="56"/>
        <v>0</v>
      </c>
      <c r="Q186" s="105">
        <f t="shared" ca="1" si="57"/>
        <v>0</v>
      </c>
      <c r="R186" s="105">
        <f t="shared" ca="1" si="58"/>
        <v>0</v>
      </c>
      <c r="S186" s="105">
        <f t="shared" ca="1" si="59"/>
        <v>8</v>
      </c>
    </row>
    <row r="187" spans="1:19" x14ac:dyDescent="0.35">
      <c r="A187" s="105">
        <f t="shared" ca="1" si="44"/>
        <v>248.85999999999956</v>
      </c>
      <c r="B187" s="105" t="str">
        <f t="shared" ca="1" si="45"/>
        <v>循环</v>
      </c>
      <c r="C187" s="105">
        <f t="shared" ca="1" si="46"/>
        <v>0</v>
      </c>
      <c r="D187" s="105">
        <f t="shared" ca="1" si="47"/>
        <v>1.7875000000001107</v>
      </c>
      <c r="E187" s="105">
        <f t="shared" ca="1" si="48"/>
        <v>9.0075000000000145</v>
      </c>
      <c r="F187" s="105">
        <f t="shared" ca="1" si="49"/>
        <v>10.360000000000014</v>
      </c>
      <c r="G187" s="105">
        <f t="shared" ca="1" si="60"/>
        <v>1</v>
      </c>
      <c r="H187" s="105">
        <f t="shared" ca="1" si="61"/>
        <v>2.4900000000000331</v>
      </c>
      <c r="I187" s="105">
        <f t="shared" ca="1" si="50"/>
        <v>0</v>
      </c>
      <c r="J187" s="105">
        <f t="shared" ca="1" si="51"/>
        <v>0</v>
      </c>
      <c r="K187" s="105">
        <f t="shared" ca="1" si="52"/>
        <v>0</v>
      </c>
      <c r="L187" s="105">
        <f t="shared" ca="1" si="53"/>
        <v>0</v>
      </c>
      <c r="M187" s="105">
        <f t="shared" ca="1" si="54"/>
        <v>0</v>
      </c>
      <c r="N187" s="105">
        <f t="shared" ca="1" si="53"/>
        <v>0</v>
      </c>
      <c r="O187" s="105">
        <f t="shared" ca="1" si="55"/>
        <v>0</v>
      </c>
      <c r="P187" s="105">
        <f t="shared" ca="1" si="56"/>
        <v>0</v>
      </c>
      <c r="Q187" s="105">
        <f t="shared" ca="1" si="57"/>
        <v>0</v>
      </c>
      <c r="R187" s="105">
        <f t="shared" ca="1" si="58"/>
        <v>0</v>
      </c>
      <c r="S187" s="105">
        <f t="shared" ca="1" si="59"/>
        <v>8</v>
      </c>
    </row>
    <row r="188" spans="1:19" x14ac:dyDescent="0.35">
      <c r="A188" s="105">
        <f t="shared" ca="1" si="44"/>
        <v>250.21249999999955</v>
      </c>
      <c r="B188" s="105" t="str">
        <f t="shared" ca="1" si="45"/>
        <v>循环</v>
      </c>
      <c r="C188" s="105">
        <f t="shared" ca="1" si="46"/>
        <v>0</v>
      </c>
      <c r="D188" s="105">
        <f t="shared" ca="1" si="47"/>
        <v>0.43500000000011063</v>
      </c>
      <c r="E188" s="105">
        <f t="shared" ca="1" si="48"/>
        <v>7.6550000000000145</v>
      </c>
      <c r="F188" s="105">
        <f t="shared" ca="1" si="49"/>
        <v>9.0075000000000145</v>
      </c>
      <c r="G188" s="105">
        <f t="shared" ca="1" si="60"/>
        <v>1</v>
      </c>
      <c r="H188" s="105">
        <f t="shared" ca="1" si="61"/>
        <v>1.137500000000033</v>
      </c>
      <c r="I188" s="105">
        <f t="shared" ca="1" si="50"/>
        <v>0</v>
      </c>
      <c r="J188" s="105">
        <f t="shared" ca="1" si="51"/>
        <v>0</v>
      </c>
      <c r="K188" s="105">
        <f t="shared" ca="1" si="52"/>
        <v>0</v>
      </c>
      <c r="L188" s="105">
        <f t="shared" ca="1" si="53"/>
        <v>0</v>
      </c>
      <c r="M188" s="105">
        <f t="shared" ca="1" si="54"/>
        <v>0</v>
      </c>
      <c r="N188" s="105">
        <f t="shared" ca="1" si="53"/>
        <v>0</v>
      </c>
      <c r="O188" s="105">
        <f t="shared" ca="1" si="55"/>
        <v>0</v>
      </c>
      <c r="P188" s="105">
        <f t="shared" ca="1" si="56"/>
        <v>0</v>
      </c>
      <c r="Q188" s="105">
        <f t="shared" ca="1" si="57"/>
        <v>0</v>
      </c>
      <c r="R188" s="105">
        <f t="shared" ca="1" si="58"/>
        <v>0</v>
      </c>
      <c r="S188" s="105">
        <f t="shared" ca="1" si="59"/>
        <v>8</v>
      </c>
    </row>
    <row r="189" spans="1:19" x14ac:dyDescent="0.35">
      <c r="A189" s="105">
        <f t="shared" ca="1" si="44"/>
        <v>251.56499999999954</v>
      </c>
      <c r="B189" s="105" t="str">
        <f t="shared" ca="1" si="45"/>
        <v>循环</v>
      </c>
      <c r="C189" s="105">
        <f t="shared" ca="1" si="46"/>
        <v>1</v>
      </c>
      <c r="D189" s="105">
        <f t="shared" ca="1" si="47"/>
        <v>35.08250000000011</v>
      </c>
      <c r="E189" s="105">
        <f t="shared" ca="1" si="48"/>
        <v>6.3025000000000144</v>
      </c>
      <c r="F189" s="105">
        <f t="shared" ca="1" si="49"/>
        <v>7.6550000000000145</v>
      </c>
      <c r="G189" s="105">
        <f t="shared" ca="1" si="60"/>
        <v>1</v>
      </c>
      <c r="H189" s="105">
        <f t="shared" ca="1" si="61"/>
        <v>0</v>
      </c>
      <c r="I189" s="105">
        <f t="shared" ca="1" si="50"/>
        <v>0</v>
      </c>
      <c r="J189" s="105">
        <f t="shared" ca="1" si="51"/>
        <v>0</v>
      </c>
      <c r="K189" s="105">
        <f t="shared" ca="1" si="52"/>
        <v>0</v>
      </c>
      <c r="L189" s="105">
        <f t="shared" ca="1" si="53"/>
        <v>0</v>
      </c>
      <c r="M189" s="105">
        <f t="shared" ca="1" si="54"/>
        <v>0</v>
      </c>
      <c r="N189" s="105">
        <f t="shared" ca="1" si="53"/>
        <v>0</v>
      </c>
      <c r="O189" s="105">
        <f t="shared" ca="1" si="55"/>
        <v>0</v>
      </c>
      <c r="P189" s="105">
        <f t="shared" ca="1" si="56"/>
        <v>0</v>
      </c>
      <c r="Q189" s="105">
        <f t="shared" ca="1" si="57"/>
        <v>0</v>
      </c>
      <c r="R189" s="105">
        <f t="shared" ca="1" si="58"/>
        <v>0</v>
      </c>
      <c r="S189" s="105">
        <f t="shared" ca="1" si="59"/>
        <v>8</v>
      </c>
    </row>
    <row r="190" spans="1:19" x14ac:dyDescent="0.35">
      <c r="A190" s="105">
        <f t="shared" ca="1" si="44"/>
        <v>252.91749999999954</v>
      </c>
      <c r="B190" s="105" t="str">
        <f t="shared" ca="1" si="45"/>
        <v>循环</v>
      </c>
      <c r="C190" s="105">
        <f t="shared" ca="1" si="46"/>
        <v>1</v>
      </c>
      <c r="D190" s="105">
        <f t="shared" ca="1" si="47"/>
        <v>33.730000000000111</v>
      </c>
      <c r="E190" s="105">
        <f t="shared" ca="1" si="48"/>
        <v>4.9500000000000144</v>
      </c>
      <c r="F190" s="105">
        <f t="shared" ca="1" si="49"/>
        <v>6.3025000000000144</v>
      </c>
      <c r="G190" s="105">
        <f t="shared" ca="1" si="60"/>
        <v>0</v>
      </c>
      <c r="H190" s="105">
        <f t="shared" ca="1" si="61"/>
        <v>0</v>
      </c>
      <c r="I190" s="105">
        <f t="shared" ca="1" si="50"/>
        <v>0</v>
      </c>
      <c r="J190" s="105">
        <f t="shared" ca="1" si="51"/>
        <v>0</v>
      </c>
      <c r="K190" s="105">
        <f t="shared" ca="1" si="52"/>
        <v>0</v>
      </c>
      <c r="L190" s="105">
        <f t="shared" ca="1" si="53"/>
        <v>0</v>
      </c>
      <c r="M190" s="105">
        <f t="shared" ca="1" si="54"/>
        <v>0</v>
      </c>
      <c r="N190" s="105">
        <f t="shared" ca="1" si="53"/>
        <v>0</v>
      </c>
      <c r="O190" s="105">
        <f t="shared" ca="1" si="55"/>
        <v>0</v>
      </c>
      <c r="P190" s="105">
        <f t="shared" ca="1" si="56"/>
        <v>0</v>
      </c>
      <c r="Q190" s="105">
        <f t="shared" ca="1" si="57"/>
        <v>0</v>
      </c>
      <c r="R190" s="105">
        <f t="shared" ca="1" si="58"/>
        <v>0</v>
      </c>
      <c r="S190" s="105">
        <f t="shared" ca="1" si="59"/>
        <v>8</v>
      </c>
    </row>
    <row r="191" spans="1:19" x14ac:dyDescent="0.35">
      <c r="A191" s="105">
        <f t="shared" ca="1" si="44"/>
        <v>254.26999999999953</v>
      </c>
      <c r="B191" s="105" t="str">
        <f t="shared" ca="1" si="45"/>
        <v>突循环</v>
      </c>
      <c r="C191" s="105">
        <f t="shared" ca="1" si="46"/>
        <v>1</v>
      </c>
      <c r="D191" s="105">
        <f t="shared" ca="1" si="47"/>
        <v>32.377500000000111</v>
      </c>
      <c r="E191" s="105">
        <f t="shared" ca="1" si="48"/>
        <v>3.5975000000000144</v>
      </c>
      <c r="F191" s="105">
        <f t="shared" ca="1" si="49"/>
        <v>4.9500000000000144</v>
      </c>
      <c r="G191" s="105">
        <f t="shared" ca="1" si="60"/>
        <v>0</v>
      </c>
      <c r="H191" s="105">
        <f t="shared" ca="1" si="61"/>
        <v>60.647500000000001</v>
      </c>
      <c r="I191" s="105">
        <f t="shared" ca="1" si="50"/>
        <v>0</v>
      </c>
      <c r="J191" s="105">
        <f t="shared" ca="1" si="51"/>
        <v>0</v>
      </c>
      <c r="K191" s="105">
        <f t="shared" ca="1" si="52"/>
        <v>0</v>
      </c>
      <c r="L191" s="105">
        <f t="shared" ca="1" si="53"/>
        <v>0</v>
      </c>
      <c r="M191" s="105">
        <f t="shared" ca="1" si="54"/>
        <v>0</v>
      </c>
      <c r="N191" s="105">
        <f t="shared" ca="1" si="53"/>
        <v>0</v>
      </c>
      <c r="O191" s="105">
        <f t="shared" ca="1" si="55"/>
        <v>0</v>
      </c>
      <c r="P191" s="105">
        <f t="shared" ca="1" si="56"/>
        <v>0</v>
      </c>
      <c r="Q191" s="105">
        <f t="shared" ca="1" si="57"/>
        <v>0</v>
      </c>
      <c r="R191" s="105">
        <f t="shared" ca="1" si="58"/>
        <v>0</v>
      </c>
      <c r="S191" s="105">
        <f t="shared" ca="1" si="59"/>
        <v>8</v>
      </c>
    </row>
    <row r="192" spans="1:19" x14ac:dyDescent="0.35">
      <c r="A192" s="105">
        <f t="shared" ca="1" si="44"/>
        <v>255.62249999999952</v>
      </c>
      <c r="B192" s="105" t="str">
        <f t="shared" ca="1" si="45"/>
        <v>循环</v>
      </c>
      <c r="C192" s="105">
        <f t="shared" ca="1" si="46"/>
        <v>1</v>
      </c>
      <c r="D192" s="105">
        <f t="shared" ca="1" si="47"/>
        <v>31.025000000000112</v>
      </c>
      <c r="E192" s="105">
        <f t="shared" ca="1" si="48"/>
        <v>2.2450000000000143</v>
      </c>
      <c r="F192" s="105">
        <f t="shared" ca="1" si="49"/>
        <v>3.5975000000000144</v>
      </c>
      <c r="G192" s="105">
        <f t="shared" ca="1" si="60"/>
        <v>0</v>
      </c>
      <c r="H192" s="105">
        <f t="shared" ca="1" si="61"/>
        <v>59.295000000000002</v>
      </c>
      <c r="I192" s="105">
        <f t="shared" ca="1" si="50"/>
        <v>0</v>
      </c>
      <c r="J192" s="105">
        <f t="shared" ca="1" si="51"/>
        <v>0</v>
      </c>
      <c r="K192" s="105">
        <f t="shared" ca="1" si="52"/>
        <v>0</v>
      </c>
      <c r="L192" s="105">
        <f t="shared" ca="1" si="53"/>
        <v>0</v>
      </c>
      <c r="M192" s="105">
        <f t="shared" ca="1" si="54"/>
        <v>0</v>
      </c>
      <c r="N192" s="105">
        <f t="shared" ca="1" si="53"/>
        <v>0</v>
      </c>
      <c r="O192" s="105">
        <f t="shared" ca="1" si="55"/>
        <v>0</v>
      </c>
      <c r="P192" s="105">
        <f t="shared" ca="1" si="56"/>
        <v>0</v>
      </c>
      <c r="Q192" s="105">
        <f t="shared" ca="1" si="57"/>
        <v>0</v>
      </c>
      <c r="R192" s="105">
        <f t="shared" ca="1" si="58"/>
        <v>0</v>
      </c>
      <c r="S192" s="105">
        <f t="shared" ca="1" si="59"/>
        <v>8</v>
      </c>
    </row>
    <row r="193" spans="1:19" x14ac:dyDescent="0.35">
      <c r="A193" s="105">
        <f t="shared" ca="1" si="44"/>
        <v>256.97499999999951</v>
      </c>
      <c r="B193" s="105" t="str">
        <f t="shared" ca="1" si="45"/>
        <v>循环</v>
      </c>
      <c r="C193" s="105">
        <f t="shared" ca="1" si="46"/>
        <v>1</v>
      </c>
      <c r="D193" s="105">
        <f t="shared" ca="1" si="47"/>
        <v>29.672500000000113</v>
      </c>
      <c r="E193" s="105">
        <f t="shared" ca="1" si="48"/>
        <v>0.89250000000001428</v>
      </c>
      <c r="F193" s="105">
        <f t="shared" ca="1" si="49"/>
        <v>2.2450000000000143</v>
      </c>
      <c r="G193" s="105">
        <f t="shared" ca="1" si="60"/>
        <v>0</v>
      </c>
      <c r="H193" s="105">
        <f t="shared" ca="1" si="61"/>
        <v>57.942500000000003</v>
      </c>
      <c r="I193" s="105">
        <f t="shared" ca="1" si="50"/>
        <v>0</v>
      </c>
      <c r="J193" s="105">
        <f t="shared" ca="1" si="51"/>
        <v>0</v>
      </c>
      <c r="K193" s="105">
        <f t="shared" ca="1" si="52"/>
        <v>0</v>
      </c>
      <c r="L193" s="105">
        <f t="shared" ca="1" si="53"/>
        <v>0</v>
      </c>
      <c r="M193" s="105">
        <f t="shared" ca="1" si="54"/>
        <v>0</v>
      </c>
      <c r="N193" s="105">
        <f t="shared" ca="1" si="53"/>
        <v>0</v>
      </c>
      <c r="O193" s="105">
        <f t="shared" ca="1" si="55"/>
        <v>0</v>
      </c>
      <c r="P193" s="105">
        <f t="shared" ca="1" si="56"/>
        <v>0</v>
      </c>
      <c r="Q193" s="105">
        <f t="shared" ca="1" si="57"/>
        <v>0</v>
      </c>
      <c r="R193" s="105">
        <f t="shared" ca="1" si="58"/>
        <v>0</v>
      </c>
      <c r="S193" s="105">
        <f t="shared" ca="1" si="59"/>
        <v>8</v>
      </c>
    </row>
    <row r="194" spans="1:19" x14ac:dyDescent="0.35">
      <c r="A194" s="105">
        <f t="shared" ca="1" si="44"/>
        <v>258.32749999999953</v>
      </c>
      <c r="B194" s="105" t="str">
        <f t="shared" ca="1" si="45"/>
        <v>循环</v>
      </c>
      <c r="C194" s="105">
        <f t="shared" ca="1" si="46"/>
        <v>1</v>
      </c>
      <c r="D194" s="105">
        <f t="shared" ca="1" si="47"/>
        <v>28.320000000000114</v>
      </c>
      <c r="E194" s="105">
        <f t="shared" ca="1" si="48"/>
        <v>0</v>
      </c>
      <c r="F194" s="105">
        <f t="shared" ca="1" si="49"/>
        <v>0.89250000000001428</v>
      </c>
      <c r="G194" s="105">
        <f t="shared" ca="1" si="60"/>
        <v>0</v>
      </c>
      <c r="H194" s="105">
        <f t="shared" ca="1" si="61"/>
        <v>56.59</v>
      </c>
      <c r="I194" s="105">
        <f t="shared" ca="1" si="50"/>
        <v>0</v>
      </c>
      <c r="J194" s="105">
        <f t="shared" ca="1" si="51"/>
        <v>0</v>
      </c>
      <c r="K194" s="105">
        <f t="shared" ca="1" si="52"/>
        <v>0</v>
      </c>
      <c r="L194" s="105">
        <f t="shared" ca="1" si="53"/>
        <v>0</v>
      </c>
      <c r="M194" s="105">
        <f t="shared" ca="1" si="54"/>
        <v>0</v>
      </c>
      <c r="N194" s="105">
        <f t="shared" ca="1" si="53"/>
        <v>0</v>
      </c>
      <c r="O194" s="105">
        <f t="shared" ca="1" si="55"/>
        <v>0</v>
      </c>
      <c r="P194" s="105">
        <f t="shared" ca="1" si="56"/>
        <v>0</v>
      </c>
      <c r="Q194" s="105">
        <f t="shared" ca="1" si="57"/>
        <v>0</v>
      </c>
      <c r="R194" s="105">
        <f t="shared" ca="1" si="58"/>
        <v>0</v>
      </c>
      <c r="S194" s="105">
        <f t="shared" ca="1" si="59"/>
        <v>8</v>
      </c>
    </row>
    <row r="195" spans="1:19" x14ac:dyDescent="0.35">
      <c r="A195" s="105">
        <f t="shared" ca="1" si="44"/>
        <v>259.67999999999955</v>
      </c>
      <c r="B195" s="105" t="str">
        <f t="shared" ca="1" si="45"/>
        <v>渊任</v>
      </c>
      <c r="C195" s="105">
        <f t="shared" ca="1" si="46"/>
        <v>0</v>
      </c>
      <c r="D195" s="105">
        <f t="shared" ca="1" si="47"/>
        <v>26.967500000000115</v>
      </c>
      <c r="E195" s="105">
        <f t="shared" ca="1" si="48"/>
        <v>30.647500000000001</v>
      </c>
      <c r="F195" s="105">
        <f t="shared" ca="1" si="49"/>
        <v>0</v>
      </c>
      <c r="G195" s="105">
        <f t="shared" ca="1" si="60"/>
        <v>1</v>
      </c>
      <c r="H195" s="105">
        <f t="shared" ca="1" si="61"/>
        <v>55.237500000000004</v>
      </c>
      <c r="I195" s="105">
        <f t="shared" ca="1" si="50"/>
        <v>0</v>
      </c>
      <c r="J195" s="105">
        <f t="shared" ca="1" si="51"/>
        <v>0</v>
      </c>
      <c r="K195" s="105">
        <f t="shared" ca="1" si="52"/>
        <v>14.335000000000001</v>
      </c>
      <c r="L195" s="105">
        <f t="shared" ca="1" si="53"/>
        <v>1</v>
      </c>
      <c r="M195" s="105">
        <f t="shared" ca="1" si="54"/>
        <v>0</v>
      </c>
      <c r="N195" s="105">
        <f t="shared" ca="1" si="53"/>
        <v>0</v>
      </c>
      <c r="O195" s="105">
        <f t="shared" ca="1" si="55"/>
        <v>0</v>
      </c>
      <c r="P195" s="105">
        <f t="shared" ca="1" si="56"/>
        <v>0</v>
      </c>
      <c r="Q195" s="105">
        <f t="shared" ca="1" si="57"/>
        <v>8.6475000000000009</v>
      </c>
      <c r="R195" s="105">
        <f t="shared" ca="1" si="58"/>
        <v>1</v>
      </c>
      <c r="S195" s="105">
        <f t="shared" ca="1" si="59"/>
        <v>8</v>
      </c>
    </row>
    <row r="196" spans="1:19" x14ac:dyDescent="0.35">
      <c r="A196" s="105">
        <f t="shared" ref="A196:A259" ca="1" si="62">$V$4+A195</f>
        <v>261.03249999999957</v>
      </c>
      <c r="B196" s="105" t="str">
        <f t="shared" ref="B196:B259" ca="1" si="63">IF(AND(A195&gt;$X$1,P195=0,R195=0),0,IF(AND(G195=0,H195=0),"突","")&amp;IF($V$8=0,IF(AND(OR($V$13=0,AND(K195=0,C195&lt;1),AND(K195&gt;0,OR(M195&gt;0,$V$7=0))),$V$6=1,E195=0),"渊","")&amp;IF(AND(OR($V$13=0,AND(K195=0,C195&lt;1),AND(K195&gt;0,OR(M195&gt;0,$V$7=0))),F195=0),"雷","")&amp;IF(AND(C195&gt;0,$V$13=1,E195=0,F195=0,K195=0),"任",IF(AND(G195=1,$V$7=1,I195=0),"乘","循环")),IF(AND($V$6=1,E195=0),"渊","")&amp;IF(AND(OR($V$13=0,AND(K195=0,C195&lt;1),AND(K195&gt;0,OR(M195&gt;0,$V$7=0))),F195=0),"雷","")&amp;IF(AND(C195&gt;0,L195=0,E195=0),"任",IF(AND(G195=1,$V$7=1,I195=0),"乘","循环"))))</f>
        <v>雷循环</v>
      </c>
      <c r="C196" s="105">
        <f t="shared" ref="C196:C259" ca="1" si="64">IF(COUNTIF(B196,"*任*"),C195-1,IF(AND(D195&lt;&gt;0,D195&lt;$V$4),MIN(2,C195+1),C195))</f>
        <v>0</v>
      </c>
      <c r="D196" s="105">
        <f t="shared" ref="D196:D259" ca="1" si="65">IF(AND(D195&lt;$V$4,C195&lt;2),D195+$Y$6-$V$4,IF(AND(C195=2,COUNTIF(B196,"*任*")&gt;0),$Y$6-$V$4,MAX(0,D195-$V$4)))</f>
        <v>25.615000000000116</v>
      </c>
      <c r="E196" s="105">
        <f t="shared" ref="E196:E259" ca="1" si="66">IF(COUNTIF(B196,"*渊*")&gt;0,$Y$8-$V$4,MAX(0,E195-$V$4))</f>
        <v>29.295000000000002</v>
      </c>
      <c r="F196" s="105">
        <f t="shared" ref="F196:F259" ca="1" si="67">IF(COUNTIF(B196,"*雷*")&gt;0,$Y$9-$V$4,MAX(0,F195-$V$4))</f>
        <v>30.647500000000001</v>
      </c>
      <c r="G196" s="105">
        <f t="shared" ca="1" si="60"/>
        <v>1</v>
      </c>
      <c r="H196" s="105">
        <f t="shared" ca="1" si="61"/>
        <v>53.885000000000005</v>
      </c>
      <c r="I196" s="105">
        <f t="shared" ref="I196:I259" ca="1" si="68">IF(COUNTIF(B196,"*乘*")&gt;0,$Y$7-$V$4,MAX(0,I195-$V$4))</f>
        <v>0</v>
      </c>
      <c r="J196" s="105">
        <f t="shared" ref="J196:J259" ca="1" si="69">IF(H195&lt;1,$V$16,MAX(0,J195-1))*$V$11</f>
        <v>0</v>
      </c>
      <c r="K196" s="105">
        <f t="shared" ref="K196:K259" ca="1" si="70">IF(COUNTIF(B196,"*任*")&gt;0,$Z$6-$V$4+0.6875,MAX(0,K195-$V$4))</f>
        <v>12.982500000000002</v>
      </c>
      <c r="L196" s="105">
        <f t="shared" ref="L196:N215" ca="1" si="71">IF(K196+K195&gt;0,1,0)</f>
        <v>1</v>
      </c>
      <c r="M196" s="105">
        <f t="shared" ref="M196:M259" ca="1" si="72">IF(COUNTIF(B196,"*乘*")&gt;0,$Z$7-$V$4,MAX(0,M195-$V$4))</f>
        <v>0</v>
      </c>
      <c r="N196" s="105">
        <f t="shared" ca="1" si="71"/>
        <v>0</v>
      </c>
      <c r="O196" s="105">
        <f t="shared" ref="O196:O259" ca="1" si="73">IF(COUNTIF(B196,"*雷*")&gt;0,$Z$9-$V$4,MAX(0,O195-$V$4))</f>
        <v>13.647500000000001</v>
      </c>
      <c r="P196" s="105">
        <f t="shared" ref="P196:P259" ca="1" si="74">IF(O196+O195&gt;0,1,0)</f>
        <v>1</v>
      </c>
      <c r="Q196" s="105">
        <f t="shared" ref="Q196:Q259" ca="1" si="75">IF(COUNTIF(B196,"*渊*")&gt;0,$Z$8-$V$4,MAX(0,Q195-$V$4))</f>
        <v>7.2950000000000008</v>
      </c>
      <c r="R196" s="105">
        <f t="shared" ref="R196:R259" ca="1" si="76">IF(Q196+Q195&gt;0,1,0)</f>
        <v>1</v>
      </c>
      <c r="S196" s="105">
        <f t="shared" ref="S196:S259" ca="1" si="77">IF(COUNTIF(B196,"*雷*")&gt;0,S195+1,S195)</f>
        <v>9</v>
      </c>
    </row>
    <row r="197" spans="1:19" x14ac:dyDescent="0.35">
      <c r="A197" s="105">
        <f t="shared" ca="1" si="62"/>
        <v>262.38499999999959</v>
      </c>
      <c r="B197" s="105" t="str">
        <f t="shared" ca="1" si="63"/>
        <v>循环</v>
      </c>
      <c r="C197" s="105">
        <f t="shared" ca="1" si="64"/>
        <v>0</v>
      </c>
      <c r="D197" s="105">
        <f t="shared" ca="1" si="65"/>
        <v>24.262500000000117</v>
      </c>
      <c r="E197" s="105">
        <f t="shared" ca="1" si="66"/>
        <v>27.942500000000003</v>
      </c>
      <c r="F197" s="105">
        <f t="shared" ca="1" si="67"/>
        <v>29.295000000000002</v>
      </c>
      <c r="G197" s="105">
        <f t="shared" ref="G197:G260" ca="1" si="78">IF(RIGHT(B197,1)="任",1,IF(OR($V$9=0,AND(K196&lt;$V$4,H196=0)),0,G196))</f>
        <v>1</v>
      </c>
      <c r="H197" s="105">
        <f t="shared" ref="H197:H260" ca="1" si="79">IF(COUNTIF(B197,"*突*")&gt;0,$Y$5-$V$4,MAX(0,H196-$V$4))</f>
        <v>52.532500000000006</v>
      </c>
      <c r="I197" s="105">
        <f t="shared" ca="1" si="68"/>
        <v>0</v>
      </c>
      <c r="J197" s="105">
        <f t="shared" ca="1" si="69"/>
        <v>0</v>
      </c>
      <c r="K197" s="105">
        <f t="shared" ca="1" si="70"/>
        <v>11.630000000000003</v>
      </c>
      <c r="L197" s="105">
        <f t="shared" ca="1" si="71"/>
        <v>1</v>
      </c>
      <c r="M197" s="105">
        <f t="shared" ca="1" si="72"/>
        <v>0</v>
      </c>
      <c r="N197" s="105">
        <f t="shared" ca="1" si="71"/>
        <v>0</v>
      </c>
      <c r="O197" s="105">
        <f t="shared" ca="1" si="73"/>
        <v>12.295000000000002</v>
      </c>
      <c r="P197" s="105">
        <f t="shared" ca="1" si="74"/>
        <v>1</v>
      </c>
      <c r="Q197" s="105">
        <f t="shared" ca="1" si="75"/>
        <v>5.9425000000000008</v>
      </c>
      <c r="R197" s="105">
        <f t="shared" ca="1" si="76"/>
        <v>1</v>
      </c>
      <c r="S197" s="105">
        <f t="shared" ca="1" si="77"/>
        <v>9</v>
      </c>
    </row>
    <row r="198" spans="1:19" x14ac:dyDescent="0.35">
      <c r="A198" s="105">
        <f t="shared" ca="1" si="62"/>
        <v>263.73749999999961</v>
      </c>
      <c r="B198" s="105" t="str">
        <f t="shared" ca="1" si="63"/>
        <v>循环</v>
      </c>
      <c r="C198" s="105">
        <f t="shared" ca="1" si="64"/>
        <v>0</v>
      </c>
      <c r="D198" s="105">
        <f t="shared" ca="1" si="65"/>
        <v>22.910000000000117</v>
      </c>
      <c r="E198" s="105">
        <f t="shared" ca="1" si="66"/>
        <v>26.590000000000003</v>
      </c>
      <c r="F198" s="105">
        <f t="shared" ca="1" si="67"/>
        <v>27.942500000000003</v>
      </c>
      <c r="G198" s="105">
        <f t="shared" ca="1" si="78"/>
        <v>1</v>
      </c>
      <c r="H198" s="105">
        <f t="shared" ca="1" si="79"/>
        <v>51.180000000000007</v>
      </c>
      <c r="I198" s="105">
        <f t="shared" ca="1" si="68"/>
        <v>0</v>
      </c>
      <c r="J198" s="105">
        <f t="shared" ca="1" si="69"/>
        <v>0</v>
      </c>
      <c r="K198" s="105">
        <f t="shared" ca="1" si="70"/>
        <v>10.277500000000003</v>
      </c>
      <c r="L198" s="105">
        <f t="shared" ca="1" si="71"/>
        <v>1</v>
      </c>
      <c r="M198" s="105">
        <f t="shared" ca="1" si="72"/>
        <v>0</v>
      </c>
      <c r="N198" s="105">
        <f t="shared" ca="1" si="71"/>
        <v>0</v>
      </c>
      <c r="O198" s="105">
        <f t="shared" ca="1" si="73"/>
        <v>10.942500000000003</v>
      </c>
      <c r="P198" s="105">
        <f t="shared" ca="1" si="74"/>
        <v>1</v>
      </c>
      <c r="Q198" s="105">
        <f t="shared" ca="1" si="75"/>
        <v>4.5900000000000007</v>
      </c>
      <c r="R198" s="105">
        <f t="shared" ca="1" si="76"/>
        <v>1</v>
      </c>
      <c r="S198" s="105">
        <f t="shared" ca="1" si="77"/>
        <v>9</v>
      </c>
    </row>
    <row r="199" spans="1:19" x14ac:dyDescent="0.35">
      <c r="A199" s="105">
        <f t="shared" ca="1" si="62"/>
        <v>265.08999999999963</v>
      </c>
      <c r="B199" s="105" t="str">
        <f t="shared" ca="1" si="63"/>
        <v>循环</v>
      </c>
      <c r="C199" s="105">
        <f t="shared" ca="1" si="64"/>
        <v>0</v>
      </c>
      <c r="D199" s="105">
        <f t="shared" ca="1" si="65"/>
        <v>21.557500000000118</v>
      </c>
      <c r="E199" s="105">
        <f t="shared" ca="1" si="66"/>
        <v>25.237500000000004</v>
      </c>
      <c r="F199" s="105">
        <f t="shared" ca="1" si="67"/>
        <v>26.590000000000003</v>
      </c>
      <c r="G199" s="105">
        <f t="shared" ca="1" si="78"/>
        <v>1</v>
      </c>
      <c r="H199" s="105">
        <f t="shared" ca="1" si="79"/>
        <v>49.827500000000008</v>
      </c>
      <c r="I199" s="105">
        <f t="shared" ca="1" si="68"/>
        <v>0</v>
      </c>
      <c r="J199" s="105">
        <f t="shared" ca="1" si="69"/>
        <v>0</v>
      </c>
      <c r="K199" s="105">
        <f t="shared" ca="1" si="70"/>
        <v>8.9250000000000043</v>
      </c>
      <c r="L199" s="105">
        <f t="shared" ca="1" si="71"/>
        <v>1</v>
      </c>
      <c r="M199" s="105">
        <f t="shared" ca="1" si="72"/>
        <v>0</v>
      </c>
      <c r="N199" s="105">
        <f t="shared" ca="1" si="71"/>
        <v>0</v>
      </c>
      <c r="O199" s="105">
        <f t="shared" ca="1" si="73"/>
        <v>9.5900000000000034</v>
      </c>
      <c r="P199" s="105">
        <f t="shared" ca="1" si="74"/>
        <v>1</v>
      </c>
      <c r="Q199" s="105">
        <f t="shared" ca="1" si="75"/>
        <v>3.2375000000000007</v>
      </c>
      <c r="R199" s="105">
        <f t="shared" ca="1" si="76"/>
        <v>1</v>
      </c>
      <c r="S199" s="105">
        <f t="shared" ca="1" si="77"/>
        <v>9</v>
      </c>
    </row>
    <row r="200" spans="1:19" x14ac:dyDescent="0.35">
      <c r="A200" s="105">
        <f t="shared" ca="1" si="62"/>
        <v>266.44249999999965</v>
      </c>
      <c r="B200" s="105" t="str">
        <f t="shared" ca="1" si="63"/>
        <v>循环</v>
      </c>
      <c r="C200" s="105">
        <f t="shared" ca="1" si="64"/>
        <v>0</v>
      </c>
      <c r="D200" s="105">
        <f t="shared" ca="1" si="65"/>
        <v>20.205000000000119</v>
      </c>
      <c r="E200" s="105">
        <f t="shared" ca="1" si="66"/>
        <v>23.885000000000005</v>
      </c>
      <c r="F200" s="105">
        <f t="shared" ca="1" si="67"/>
        <v>25.237500000000004</v>
      </c>
      <c r="G200" s="105">
        <f t="shared" ca="1" si="78"/>
        <v>1</v>
      </c>
      <c r="H200" s="105">
        <f t="shared" ca="1" si="79"/>
        <v>48.475000000000009</v>
      </c>
      <c r="I200" s="105">
        <f t="shared" ca="1" si="68"/>
        <v>0</v>
      </c>
      <c r="J200" s="105">
        <f t="shared" ca="1" si="69"/>
        <v>0</v>
      </c>
      <c r="K200" s="105">
        <f t="shared" ca="1" si="70"/>
        <v>7.5725000000000042</v>
      </c>
      <c r="L200" s="105">
        <f t="shared" ca="1" si="71"/>
        <v>1</v>
      </c>
      <c r="M200" s="105">
        <f t="shared" ca="1" si="72"/>
        <v>0</v>
      </c>
      <c r="N200" s="105">
        <f t="shared" ca="1" si="71"/>
        <v>0</v>
      </c>
      <c r="O200" s="105">
        <f t="shared" ca="1" si="73"/>
        <v>8.2375000000000043</v>
      </c>
      <c r="P200" s="105">
        <f t="shared" ca="1" si="74"/>
        <v>1</v>
      </c>
      <c r="Q200" s="105">
        <f t="shared" ca="1" si="75"/>
        <v>1.8850000000000007</v>
      </c>
      <c r="R200" s="105">
        <f t="shared" ca="1" si="76"/>
        <v>1</v>
      </c>
      <c r="S200" s="105">
        <f t="shared" ca="1" si="77"/>
        <v>9</v>
      </c>
    </row>
    <row r="201" spans="1:19" x14ac:dyDescent="0.35">
      <c r="A201" s="105">
        <f t="shared" ca="1" si="62"/>
        <v>267.79499999999967</v>
      </c>
      <c r="B201" s="105" t="str">
        <f t="shared" ca="1" si="63"/>
        <v>循环</v>
      </c>
      <c r="C201" s="105">
        <f t="shared" ca="1" si="64"/>
        <v>0</v>
      </c>
      <c r="D201" s="105">
        <f t="shared" ca="1" si="65"/>
        <v>18.85250000000012</v>
      </c>
      <c r="E201" s="105">
        <f t="shared" ca="1" si="66"/>
        <v>22.532500000000006</v>
      </c>
      <c r="F201" s="105">
        <f t="shared" ca="1" si="67"/>
        <v>23.885000000000005</v>
      </c>
      <c r="G201" s="105">
        <f t="shared" ca="1" si="78"/>
        <v>1</v>
      </c>
      <c r="H201" s="105">
        <f t="shared" ca="1" si="79"/>
        <v>47.122500000000009</v>
      </c>
      <c r="I201" s="105">
        <f t="shared" ca="1" si="68"/>
        <v>0</v>
      </c>
      <c r="J201" s="105">
        <f t="shared" ca="1" si="69"/>
        <v>0</v>
      </c>
      <c r="K201" s="105">
        <f t="shared" ca="1" si="70"/>
        <v>6.2200000000000042</v>
      </c>
      <c r="L201" s="105">
        <f t="shared" ca="1" si="71"/>
        <v>1</v>
      </c>
      <c r="M201" s="105">
        <f t="shared" ca="1" si="72"/>
        <v>0</v>
      </c>
      <c r="N201" s="105">
        <f t="shared" ca="1" si="71"/>
        <v>0</v>
      </c>
      <c r="O201" s="105">
        <f t="shared" ca="1" si="73"/>
        <v>6.8850000000000042</v>
      </c>
      <c r="P201" s="105">
        <f t="shared" ca="1" si="74"/>
        <v>1</v>
      </c>
      <c r="Q201" s="105">
        <f t="shared" ca="1" si="75"/>
        <v>0.53250000000000064</v>
      </c>
      <c r="R201" s="105">
        <f t="shared" ca="1" si="76"/>
        <v>1</v>
      </c>
      <c r="S201" s="105">
        <f t="shared" ca="1" si="77"/>
        <v>9</v>
      </c>
    </row>
    <row r="202" spans="1:19" x14ac:dyDescent="0.35">
      <c r="A202" s="105">
        <f t="shared" ca="1" si="62"/>
        <v>269.1474999999997</v>
      </c>
      <c r="B202" s="105" t="str">
        <f t="shared" ca="1" si="63"/>
        <v>循环</v>
      </c>
      <c r="C202" s="105">
        <f t="shared" ca="1" si="64"/>
        <v>0</v>
      </c>
      <c r="D202" s="105">
        <f t="shared" ca="1" si="65"/>
        <v>17.500000000000121</v>
      </c>
      <c r="E202" s="105">
        <f t="shared" ca="1" si="66"/>
        <v>21.180000000000007</v>
      </c>
      <c r="F202" s="105">
        <f t="shared" ca="1" si="67"/>
        <v>22.532500000000006</v>
      </c>
      <c r="G202" s="105">
        <f t="shared" ca="1" si="78"/>
        <v>1</v>
      </c>
      <c r="H202" s="105">
        <f t="shared" ca="1" si="79"/>
        <v>45.77000000000001</v>
      </c>
      <c r="I202" s="105">
        <f t="shared" ca="1" si="68"/>
        <v>0</v>
      </c>
      <c r="J202" s="105">
        <f t="shared" ca="1" si="69"/>
        <v>0</v>
      </c>
      <c r="K202" s="105">
        <f t="shared" ca="1" si="70"/>
        <v>4.8675000000000042</v>
      </c>
      <c r="L202" s="105">
        <f t="shared" ca="1" si="71"/>
        <v>1</v>
      </c>
      <c r="M202" s="105">
        <f t="shared" ca="1" si="72"/>
        <v>0</v>
      </c>
      <c r="N202" s="105">
        <f t="shared" ca="1" si="71"/>
        <v>0</v>
      </c>
      <c r="O202" s="105">
        <f t="shared" ca="1" si="73"/>
        <v>5.5325000000000042</v>
      </c>
      <c r="P202" s="105">
        <f t="shared" ca="1" si="74"/>
        <v>1</v>
      </c>
      <c r="Q202" s="105">
        <f t="shared" ca="1" si="75"/>
        <v>0</v>
      </c>
      <c r="R202" s="105">
        <f t="shared" ca="1" si="76"/>
        <v>1</v>
      </c>
      <c r="S202" s="105">
        <f t="shared" ca="1" si="77"/>
        <v>9</v>
      </c>
    </row>
    <row r="203" spans="1:19" x14ac:dyDescent="0.35">
      <c r="A203" s="105">
        <f t="shared" ca="1" si="62"/>
        <v>270.49999999999972</v>
      </c>
      <c r="B203" s="105" t="str">
        <f t="shared" ca="1" si="63"/>
        <v>循环</v>
      </c>
      <c r="C203" s="105">
        <f t="shared" ca="1" si="64"/>
        <v>0</v>
      </c>
      <c r="D203" s="105">
        <f t="shared" ca="1" si="65"/>
        <v>16.147500000000122</v>
      </c>
      <c r="E203" s="105">
        <f t="shared" ca="1" si="66"/>
        <v>19.827500000000008</v>
      </c>
      <c r="F203" s="105">
        <f t="shared" ca="1" si="67"/>
        <v>21.180000000000007</v>
      </c>
      <c r="G203" s="105">
        <f t="shared" ca="1" si="78"/>
        <v>1</v>
      </c>
      <c r="H203" s="105">
        <f t="shared" ca="1" si="79"/>
        <v>44.417500000000011</v>
      </c>
      <c r="I203" s="105">
        <f t="shared" ca="1" si="68"/>
        <v>0</v>
      </c>
      <c r="J203" s="105">
        <f t="shared" ca="1" si="69"/>
        <v>0</v>
      </c>
      <c r="K203" s="105">
        <f t="shared" ca="1" si="70"/>
        <v>3.5150000000000041</v>
      </c>
      <c r="L203" s="105">
        <f t="shared" ca="1" si="71"/>
        <v>1</v>
      </c>
      <c r="M203" s="105">
        <f t="shared" ca="1" si="72"/>
        <v>0</v>
      </c>
      <c r="N203" s="105">
        <f t="shared" ca="1" si="71"/>
        <v>0</v>
      </c>
      <c r="O203" s="105">
        <f t="shared" ca="1" si="73"/>
        <v>4.1800000000000042</v>
      </c>
      <c r="P203" s="105">
        <f t="shared" ca="1" si="74"/>
        <v>1</v>
      </c>
      <c r="Q203" s="105">
        <f t="shared" ca="1" si="75"/>
        <v>0</v>
      </c>
      <c r="R203" s="105">
        <f t="shared" ca="1" si="76"/>
        <v>0</v>
      </c>
      <c r="S203" s="105">
        <f t="shared" ca="1" si="77"/>
        <v>9</v>
      </c>
    </row>
    <row r="204" spans="1:19" x14ac:dyDescent="0.35">
      <c r="A204" s="105">
        <f t="shared" ca="1" si="62"/>
        <v>271.85249999999974</v>
      </c>
      <c r="B204" s="105" t="str">
        <f t="shared" ca="1" si="63"/>
        <v>循环</v>
      </c>
      <c r="C204" s="105">
        <f t="shared" ca="1" si="64"/>
        <v>0</v>
      </c>
      <c r="D204" s="105">
        <f t="shared" ca="1" si="65"/>
        <v>14.795000000000122</v>
      </c>
      <c r="E204" s="105">
        <f t="shared" ca="1" si="66"/>
        <v>18.475000000000009</v>
      </c>
      <c r="F204" s="105">
        <f t="shared" ca="1" si="67"/>
        <v>19.827500000000008</v>
      </c>
      <c r="G204" s="105">
        <f t="shared" ca="1" si="78"/>
        <v>1</v>
      </c>
      <c r="H204" s="105">
        <f t="shared" ca="1" si="79"/>
        <v>43.065000000000012</v>
      </c>
      <c r="I204" s="105">
        <f t="shared" ca="1" si="68"/>
        <v>0</v>
      </c>
      <c r="J204" s="105">
        <f t="shared" ca="1" si="69"/>
        <v>0</v>
      </c>
      <c r="K204" s="105">
        <f t="shared" ca="1" si="70"/>
        <v>2.1625000000000041</v>
      </c>
      <c r="L204" s="105">
        <f t="shared" ca="1" si="71"/>
        <v>1</v>
      </c>
      <c r="M204" s="105">
        <f t="shared" ca="1" si="72"/>
        <v>0</v>
      </c>
      <c r="N204" s="105">
        <f t="shared" ca="1" si="71"/>
        <v>0</v>
      </c>
      <c r="O204" s="105">
        <f t="shared" ca="1" si="73"/>
        <v>2.8275000000000041</v>
      </c>
      <c r="P204" s="105">
        <f t="shared" ca="1" si="74"/>
        <v>1</v>
      </c>
      <c r="Q204" s="105">
        <f t="shared" ca="1" si="75"/>
        <v>0</v>
      </c>
      <c r="R204" s="105">
        <f t="shared" ca="1" si="76"/>
        <v>0</v>
      </c>
      <c r="S204" s="105">
        <f t="shared" ca="1" si="77"/>
        <v>9</v>
      </c>
    </row>
    <row r="205" spans="1:19" x14ac:dyDescent="0.35">
      <c r="A205" s="105">
        <f t="shared" ca="1" si="62"/>
        <v>273.20499999999976</v>
      </c>
      <c r="B205" s="105" t="str">
        <f t="shared" ca="1" si="63"/>
        <v>循环</v>
      </c>
      <c r="C205" s="105">
        <f t="shared" ca="1" si="64"/>
        <v>0</v>
      </c>
      <c r="D205" s="105">
        <f t="shared" ca="1" si="65"/>
        <v>13.442500000000123</v>
      </c>
      <c r="E205" s="105">
        <f t="shared" ca="1" si="66"/>
        <v>17.122500000000009</v>
      </c>
      <c r="F205" s="105">
        <f t="shared" ca="1" si="67"/>
        <v>18.475000000000009</v>
      </c>
      <c r="G205" s="105">
        <f t="shared" ca="1" si="78"/>
        <v>1</v>
      </c>
      <c r="H205" s="105">
        <f t="shared" ca="1" si="79"/>
        <v>41.712500000000013</v>
      </c>
      <c r="I205" s="105">
        <f t="shared" ca="1" si="68"/>
        <v>0</v>
      </c>
      <c r="J205" s="105">
        <f t="shared" ca="1" si="69"/>
        <v>0</v>
      </c>
      <c r="K205" s="105">
        <f t="shared" ca="1" si="70"/>
        <v>0.81000000000000405</v>
      </c>
      <c r="L205" s="105">
        <f t="shared" ca="1" si="71"/>
        <v>1</v>
      </c>
      <c r="M205" s="105">
        <f t="shared" ca="1" si="72"/>
        <v>0</v>
      </c>
      <c r="N205" s="105">
        <f t="shared" ca="1" si="71"/>
        <v>0</v>
      </c>
      <c r="O205" s="105">
        <f t="shared" ca="1" si="73"/>
        <v>1.4750000000000041</v>
      </c>
      <c r="P205" s="105">
        <f t="shared" ca="1" si="74"/>
        <v>1</v>
      </c>
      <c r="Q205" s="105">
        <f t="shared" ca="1" si="75"/>
        <v>0</v>
      </c>
      <c r="R205" s="105">
        <f t="shared" ca="1" si="76"/>
        <v>0</v>
      </c>
      <c r="S205" s="105">
        <f t="shared" ca="1" si="77"/>
        <v>9</v>
      </c>
    </row>
    <row r="206" spans="1:19" x14ac:dyDescent="0.35">
      <c r="A206" s="105">
        <f t="shared" ca="1" si="62"/>
        <v>274.55749999999978</v>
      </c>
      <c r="B206" s="105" t="str">
        <f t="shared" ca="1" si="63"/>
        <v>循环</v>
      </c>
      <c r="C206" s="105">
        <f t="shared" ca="1" si="64"/>
        <v>0</v>
      </c>
      <c r="D206" s="105">
        <f t="shared" ca="1" si="65"/>
        <v>12.090000000000124</v>
      </c>
      <c r="E206" s="105">
        <f t="shared" ca="1" si="66"/>
        <v>15.77000000000001</v>
      </c>
      <c r="F206" s="105">
        <f t="shared" ca="1" si="67"/>
        <v>17.122500000000009</v>
      </c>
      <c r="G206" s="105">
        <f t="shared" ca="1" si="78"/>
        <v>1</v>
      </c>
      <c r="H206" s="105">
        <f t="shared" ca="1" si="79"/>
        <v>40.360000000000014</v>
      </c>
      <c r="I206" s="105">
        <f t="shared" ca="1" si="68"/>
        <v>0</v>
      </c>
      <c r="J206" s="105">
        <f t="shared" ca="1" si="69"/>
        <v>0</v>
      </c>
      <c r="K206" s="105">
        <f t="shared" ca="1" si="70"/>
        <v>0</v>
      </c>
      <c r="L206" s="105">
        <f t="shared" ca="1" si="71"/>
        <v>1</v>
      </c>
      <c r="M206" s="105">
        <f t="shared" ca="1" si="72"/>
        <v>0</v>
      </c>
      <c r="N206" s="105">
        <f t="shared" ca="1" si="71"/>
        <v>0</v>
      </c>
      <c r="O206" s="105">
        <f t="shared" ca="1" si="73"/>
        <v>0.12250000000000405</v>
      </c>
      <c r="P206" s="105">
        <f t="shared" ca="1" si="74"/>
        <v>1</v>
      </c>
      <c r="Q206" s="105">
        <f t="shared" ca="1" si="75"/>
        <v>0</v>
      </c>
      <c r="R206" s="105">
        <f t="shared" ca="1" si="76"/>
        <v>0</v>
      </c>
      <c r="S206" s="105">
        <f t="shared" ca="1" si="77"/>
        <v>9</v>
      </c>
    </row>
    <row r="207" spans="1:19" x14ac:dyDescent="0.35">
      <c r="A207" s="105">
        <f t="shared" ca="1" si="62"/>
        <v>275.9099999999998</v>
      </c>
      <c r="B207" s="105" t="str">
        <f t="shared" ca="1" si="63"/>
        <v>循环</v>
      </c>
      <c r="C207" s="105">
        <f t="shared" ca="1" si="64"/>
        <v>0</v>
      </c>
      <c r="D207" s="105">
        <f t="shared" ca="1" si="65"/>
        <v>10.737500000000125</v>
      </c>
      <c r="E207" s="105">
        <f t="shared" ca="1" si="66"/>
        <v>14.417500000000011</v>
      </c>
      <c r="F207" s="105">
        <f t="shared" ca="1" si="67"/>
        <v>15.77000000000001</v>
      </c>
      <c r="G207" s="105">
        <f t="shared" ca="1" si="78"/>
        <v>1</v>
      </c>
      <c r="H207" s="105">
        <f t="shared" ca="1" si="79"/>
        <v>39.007500000000014</v>
      </c>
      <c r="I207" s="105">
        <f t="shared" ca="1" si="68"/>
        <v>0</v>
      </c>
      <c r="J207" s="105">
        <f t="shared" ca="1" si="69"/>
        <v>0</v>
      </c>
      <c r="K207" s="105">
        <f t="shared" ca="1" si="70"/>
        <v>0</v>
      </c>
      <c r="L207" s="105">
        <f t="shared" ca="1" si="71"/>
        <v>0</v>
      </c>
      <c r="M207" s="105">
        <f t="shared" ca="1" si="72"/>
        <v>0</v>
      </c>
      <c r="N207" s="105">
        <f t="shared" ca="1" si="71"/>
        <v>0</v>
      </c>
      <c r="O207" s="105">
        <f t="shared" ca="1" si="73"/>
        <v>0</v>
      </c>
      <c r="P207" s="105">
        <f t="shared" ca="1" si="74"/>
        <v>1</v>
      </c>
      <c r="Q207" s="105">
        <f t="shared" ca="1" si="75"/>
        <v>0</v>
      </c>
      <c r="R207" s="105">
        <f t="shared" ca="1" si="76"/>
        <v>0</v>
      </c>
      <c r="S207" s="105">
        <f t="shared" ca="1" si="77"/>
        <v>9</v>
      </c>
    </row>
    <row r="208" spans="1:19" x14ac:dyDescent="0.35">
      <c r="A208" s="105">
        <f t="shared" ca="1" si="62"/>
        <v>277.26249999999982</v>
      </c>
      <c r="B208" s="105" t="str">
        <f t="shared" ca="1" si="63"/>
        <v>循环</v>
      </c>
      <c r="C208" s="105">
        <f t="shared" ca="1" si="64"/>
        <v>0</v>
      </c>
      <c r="D208" s="105">
        <f t="shared" ca="1" si="65"/>
        <v>9.3850000000001259</v>
      </c>
      <c r="E208" s="105">
        <f t="shared" ca="1" si="66"/>
        <v>13.065000000000012</v>
      </c>
      <c r="F208" s="105">
        <f t="shared" ca="1" si="67"/>
        <v>14.417500000000011</v>
      </c>
      <c r="G208" s="105">
        <f t="shared" ca="1" si="78"/>
        <v>1</v>
      </c>
      <c r="H208" s="105">
        <f t="shared" ca="1" si="79"/>
        <v>37.655000000000015</v>
      </c>
      <c r="I208" s="105">
        <f t="shared" ca="1" si="68"/>
        <v>0</v>
      </c>
      <c r="J208" s="105">
        <f t="shared" ca="1" si="69"/>
        <v>0</v>
      </c>
      <c r="K208" s="105">
        <f t="shared" ca="1" si="70"/>
        <v>0</v>
      </c>
      <c r="L208" s="105">
        <f t="shared" ca="1" si="71"/>
        <v>0</v>
      </c>
      <c r="M208" s="105">
        <f t="shared" ca="1" si="72"/>
        <v>0</v>
      </c>
      <c r="N208" s="105">
        <f t="shared" ca="1" si="71"/>
        <v>0</v>
      </c>
      <c r="O208" s="105">
        <f t="shared" ca="1" si="73"/>
        <v>0</v>
      </c>
      <c r="P208" s="105">
        <f t="shared" ca="1" si="74"/>
        <v>0</v>
      </c>
      <c r="Q208" s="105">
        <f t="shared" ca="1" si="75"/>
        <v>0</v>
      </c>
      <c r="R208" s="105">
        <f t="shared" ca="1" si="76"/>
        <v>0</v>
      </c>
      <c r="S208" s="105">
        <f t="shared" ca="1" si="77"/>
        <v>9</v>
      </c>
    </row>
    <row r="209" spans="1:19" x14ac:dyDescent="0.35">
      <c r="A209" s="105">
        <f t="shared" ca="1" si="62"/>
        <v>278.61499999999984</v>
      </c>
      <c r="B209" s="105" t="str">
        <f t="shared" ca="1" si="63"/>
        <v>循环</v>
      </c>
      <c r="C209" s="105">
        <f t="shared" ca="1" si="64"/>
        <v>0</v>
      </c>
      <c r="D209" s="105">
        <f t="shared" ca="1" si="65"/>
        <v>8.0325000000001268</v>
      </c>
      <c r="E209" s="105">
        <f t="shared" ca="1" si="66"/>
        <v>11.712500000000013</v>
      </c>
      <c r="F209" s="105">
        <f t="shared" ca="1" si="67"/>
        <v>13.065000000000012</v>
      </c>
      <c r="G209" s="105">
        <f t="shared" ca="1" si="78"/>
        <v>1</v>
      </c>
      <c r="H209" s="105">
        <f t="shared" ca="1" si="79"/>
        <v>36.302500000000016</v>
      </c>
      <c r="I209" s="105">
        <f t="shared" ca="1" si="68"/>
        <v>0</v>
      </c>
      <c r="J209" s="105">
        <f t="shared" ca="1" si="69"/>
        <v>0</v>
      </c>
      <c r="K209" s="105">
        <f t="shared" ca="1" si="70"/>
        <v>0</v>
      </c>
      <c r="L209" s="105">
        <f t="shared" ca="1" si="71"/>
        <v>0</v>
      </c>
      <c r="M209" s="105">
        <f t="shared" ca="1" si="72"/>
        <v>0</v>
      </c>
      <c r="N209" s="105">
        <f t="shared" ca="1" si="71"/>
        <v>0</v>
      </c>
      <c r="O209" s="105">
        <f t="shared" ca="1" si="73"/>
        <v>0</v>
      </c>
      <c r="P209" s="105">
        <f t="shared" ca="1" si="74"/>
        <v>0</v>
      </c>
      <c r="Q209" s="105">
        <f t="shared" ca="1" si="75"/>
        <v>0</v>
      </c>
      <c r="R209" s="105">
        <f t="shared" ca="1" si="76"/>
        <v>0</v>
      </c>
      <c r="S209" s="105">
        <f t="shared" ca="1" si="77"/>
        <v>9</v>
      </c>
    </row>
    <row r="210" spans="1:19" x14ac:dyDescent="0.35">
      <c r="A210" s="105">
        <f t="shared" ca="1" si="62"/>
        <v>279.96749999999986</v>
      </c>
      <c r="B210" s="105" t="str">
        <f t="shared" ca="1" si="63"/>
        <v>循环</v>
      </c>
      <c r="C210" s="105">
        <f t="shared" ca="1" si="64"/>
        <v>0</v>
      </c>
      <c r="D210" s="105">
        <f t="shared" ca="1" si="65"/>
        <v>6.6800000000001267</v>
      </c>
      <c r="E210" s="105">
        <f t="shared" ca="1" si="66"/>
        <v>10.360000000000014</v>
      </c>
      <c r="F210" s="105">
        <f t="shared" ca="1" si="67"/>
        <v>11.712500000000013</v>
      </c>
      <c r="G210" s="105">
        <f t="shared" ca="1" si="78"/>
        <v>1</v>
      </c>
      <c r="H210" s="105">
        <f t="shared" ca="1" si="79"/>
        <v>34.950000000000017</v>
      </c>
      <c r="I210" s="105">
        <f t="shared" ca="1" si="68"/>
        <v>0</v>
      </c>
      <c r="J210" s="105">
        <f t="shared" ca="1" si="69"/>
        <v>0</v>
      </c>
      <c r="K210" s="105">
        <f t="shared" ca="1" si="70"/>
        <v>0</v>
      </c>
      <c r="L210" s="105">
        <f t="shared" ca="1" si="71"/>
        <v>0</v>
      </c>
      <c r="M210" s="105">
        <f t="shared" ca="1" si="72"/>
        <v>0</v>
      </c>
      <c r="N210" s="105">
        <f t="shared" ca="1" si="71"/>
        <v>0</v>
      </c>
      <c r="O210" s="105">
        <f t="shared" ca="1" si="73"/>
        <v>0</v>
      </c>
      <c r="P210" s="105">
        <f t="shared" ca="1" si="74"/>
        <v>0</v>
      </c>
      <c r="Q210" s="105">
        <f t="shared" ca="1" si="75"/>
        <v>0</v>
      </c>
      <c r="R210" s="105">
        <f t="shared" ca="1" si="76"/>
        <v>0</v>
      </c>
      <c r="S210" s="105">
        <f t="shared" ca="1" si="77"/>
        <v>9</v>
      </c>
    </row>
    <row r="211" spans="1:19" x14ac:dyDescent="0.35">
      <c r="A211" s="105">
        <f t="shared" ca="1" si="62"/>
        <v>281.31999999999988</v>
      </c>
      <c r="B211" s="105" t="str">
        <f t="shared" ca="1" si="63"/>
        <v>循环</v>
      </c>
      <c r="C211" s="105">
        <f t="shared" ca="1" si="64"/>
        <v>0</v>
      </c>
      <c r="D211" s="105">
        <f t="shared" ca="1" si="65"/>
        <v>5.3275000000001267</v>
      </c>
      <c r="E211" s="105">
        <f t="shared" ca="1" si="66"/>
        <v>9.0075000000000145</v>
      </c>
      <c r="F211" s="105">
        <f t="shared" ca="1" si="67"/>
        <v>10.360000000000014</v>
      </c>
      <c r="G211" s="105">
        <f t="shared" ca="1" si="78"/>
        <v>1</v>
      </c>
      <c r="H211" s="105">
        <f t="shared" ca="1" si="79"/>
        <v>33.597500000000018</v>
      </c>
      <c r="I211" s="105">
        <f t="shared" ca="1" si="68"/>
        <v>0</v>
      </c>
      <c r="J211" s="105">
        <f t="shared" ca="1" si="69"/>
        <v>0</v>
      </c>
      <c r="K211" s="105">
        <f t="shared" ca="1" si="70"/>
        <v>0</v>
      </c>
      <c r="L211" s="105">
        <f t="shared" ca="1" si="71"/>
        <v>0</v>
      </c>
      <c r="M211" s="105">
        <f t="shared" ca="1" si="72"/>
        <v>0</v>
      </c>
      <c r="N211" s="105">
        <f t="shared" ca="1" si="71"/>
        <v>0</v>
      </c>
      <c r="O211" s="105">
        <f t="shared" ca="1" si="73"/>
        <v>0</v>
      </c>
      <c r="P211" s="105">
        <f t="shared" ca="1" si="74"/>
        <v>0</v>
      </c>
      <c r="Q211" s="105">
        <f t="shared" ca="1" si="75"/>
        <v>0</v>
      </c>
      <c r="R211" s="105">
        <f t="shared" ca="1" si="76"/>
        <v>0</v>
      </c>
      <c r="S211" s="105">
        <f t="shared" ca="1" si="77"/>
        <v>9</v>
      </c>
    </row>
    <row r="212" spans="1:19" x14ac:dyDescent="0.35">
      <c r="A212" s="105">
        <f t="shared" ca="1" si="62"/>
        <v>282.6724999999999</v>
      </c>
      <c r="B212" s="105" t="str">
        <f t="shared" ca="1" si="63"/>
        <v>循环</v>
      </c>
      <c r="C212" s="105">
        <f t="shared" ca="1" si="64"/>
        <v>0</v>
      </c>
      <c r="D212" s="105">
        <f t="shared" ca="1" si="65"/>
        <v>3.9750000000001267</v>
      </c>
      <c r="E212" s="105">
        <f t="shared" ca="1" si="66"/>
        <v>7.6550000000000145</v>
      </c>
      <c r="F212" s="105">
        <f t="shared" ca="1" si="67"/>
        <v>9.0075000000000145</v>
      </c>
      <c r="G212" s="105">
        <f t="shared" ca="1" si="78"/>
        <v>1</v>
      </c>
      <c r="H212" s="105">
        <f t="shared" ca="1" si="79"/>
        <v>32.245000000000019</v>
      </c>
      <c r="I212" s="105">
        <f t="shared" ca="1" si="68"/>
        <v>0</v>
      </c>
      <c r="J212" s="105">
        <f t="shared" ca="1" si="69"/>
        <v>0</v>
      </c>
      <c r="K212" s="105">
        <f t="shared" ca="1" si="70"/>
        <v>0</v>
      </c>
      <c r="L212" s="105">
        <f t="shared" ca="1" si="71"/>
        <v>0</v>
      </c>
      <c r="M212" s="105">
        <f t="shared" ca="1" si="72"/>
        <v>0</v>
      </c>
      <c r="N212" s="105">
        <f t="shared" ca="1" si="71"/>
        <v>0</v>
      </c>
      <c r="O212" s="105">
        <f t="shared" ca="1" si="73"/>
        <v>0</v>
      </c>
      <c r="P212" s="105">
        <f t="shared" ca="1" si="74"/>
        <v>0</v>
      </c>
      <c r="Q212" s="105">
        <f t="shared" ca="1" si="75"/>
        <v>0</v>
      </c>
      <c r="R212" s="105">
        <f t="shared" ca="1" si="76"/>
        <v>0</v>
      </c>
      <c r="S212" s="105">
        <f t="shared" ca="1" si="77"/>
        <v>9</v>
      </c>
    </row>
    <row r="213" spans="1:19" x14ac:dyDescent="0.35">
      <c r="A213" s="105">
        <f t="shared" ca="1" si="62"/>
        <v>284.02499999999992</v>
      </c>
      <c r="B213" s="105" t="str">
        <f t="shared" ca="1" si="63"/>
        <v>循环</v>
      </c>
      <c r="C213" s="105">
        <f t="shared" ca="1" si="64"/>
        <v>0</v>
      </c>
      <c r="D213" s="105">
        <f t="shared" ca="1" si="65"/>
        <v>2.6225000000001266</v>
      </c>
      <c r="E213" s="105">
        <f t="shared" ca="1" si="66"/>
        <v>6.3025000000000144</v>
      </c>
      <c r="F213" s="105">
        <f t="shared" ca="1" si="67"/>
        <v>7.6550000000000145</v>
      </c>
      <c r="G213" s="105">
        <f t="shared" ca="1" si="78"/>
        <v>1</v>
      </c>
      <c r="H213" s="105">
        <f t="shared" ca="1" si="79"/>
        <v>30.89250000000002</v>
      </c>
      <c r="I213" s="105">
        <f t="shared" ca="1" si="68"/>
        <v>0</v>
      </c>
      <c r="J213" s="105">
        <f t="shared" ca="1" si="69"/>
        <v>0</v>
      </c>
      <c r="K213" s="105">
        <f t="shared" ca="1" si="70"/>
        <v>0</v>
      </c>
      <c r="L213" s="105">
        <f t="shared" ca="1" si="71"/>
        <v>0</v>
      </c>
      <c r="M213" s="105">
        <f t="shared" ca="1" si="72"/>
        <v>0</v>
      </c>
      <c r="N213" s="105">
        <f t="shared" ca="1" si="71"/>
        <v>0</v>
      </c>
      <c r="O213" s="105">
        <f t="shared" ca="1" si="73"/>
        <v>0</v>
      </c>
      <c r="P213" s="105">
        <f t="shared" ca="1" si="74"/>
        <v>0</v>
      </c>
      <c r="Q213" s="105">
        <f t="shared" ca="1" si="75"/>
        <v>0</v>
      </c>
      <c r="R213" s="105">
        <f t="shared" ca="1" si="76"/>
        <v>0</v>
      </c>
      <c r="S213" s="105">
        <f t="shared" ca="1" si="77"/>
        <v>9</v>
      </c>
    </row>
    <row r="214" spans="1:19" x14ac:dyDescent="0.35">
      <c r="A214" s="105">
        <f t="shared" ca="1" si="62"/>
        <v>285.37749999999994</v>
      </c>
      <c r="B214" s="105" t="str">
        <f t="shared" ca="1" si="63"/>
        <v>循环</v>
      </c>
      <c r="C214" s="105">
        <f t="shared" ca="1" si="64"/>
        <v>0</v>
      </c>
      <c r="D214" s="105">
        <f t="shared" ca="1" si="65"/>
        <v>1.2700000000001266</v>
      </c>
      <c r="E214" s="105">
        <f t="shared" ca="1" si="66"/>
        <v>4.9500000000000144</v>
      </c>
      <c r="F214" s="105">
        <f t="shared" ca="1" si="67"/>
        <v>6.3025000000000144</v>
      </c>
      <c r="G214" s="105">
        <f t="shared" ca="1" si="78"/>
        <v>1</v>
      </c>
      <c r="H214" s="105">
        <f t="shared" ca="1" si="79"/>
        <v>29.54000000000002</v>
      </c>
      <c r="I214" s="105">
        <f t="shared" ca="1" si="68"/>
        <v>0</v>
      </c>
      <c r="J214" s="105">
        <f t="shared" ca="1" si="69"/>
        <v>0</v>
      </c>
      <c r="K214" s="105">
        <f t="shared" ca="1" si="70"/>
        <v>0</v>
      </c>
      <c r="L214" s="105">
        <f t="shared" ca="1" si="71"/>
        <v>0</v>
      </c>
      <c r="M214" s="105">
        <f t="shared" ca="1" si="72"/>
        <v>0</v>
      </c>
      <c r="N214" s="105">
        <f t="shared" ca="1" si="71"/>
        <v>0</v>
      </c>
      <c r="O214" s="105">
        <f t="shared" ca="1" si="73"/>
        <v>0</v>
      </c>
      <c r="P214" s="105">
        <f t="shared" ca="1" si="74"/>
        <v>0</v>
      </c>
      <c r="Q214" s="105">
        <f t="shared" ca="1" si="75"/>
        <v>0</v>
      </c>
      <c r="R214" s="105">
        <f t="shared" ca="1" si="76"/>
        <v>0</v>
      </c>
      <c r="S214" s="105">
        <f t="shared" ca="1" si="77"/>
        <v>9</v>
      </c>
    </row>
    <row r="215" spans="1:19" x14ac:dyDescent="0.35">
      <c r="A215" s="105">
        <f t="shared" ca="1" si="62"/>
        <v>286.72999999999996</v>
      </c>
      <c r="B215" s="105" t="str">
        <f t="shared" ca="1" si="63"/>
        <v>循环</v>
      </c>
      <c r="C215" s="105">
        <f t="shared" ca="1" si="64"/>
        <v>1</v>
      </c>
      <c r="D215" s="105">
        <f t="shared" ca="1" si="65"/>
        <v>35.917500000000125</v>
      </c>
      <c r="E215" s="105">
        <f t="shared" ca="1" si="66"/>
        <v>3.5975000000000144</v>
      </c>
      <c r="F215" s="105">
        <f t="shared" ca="1" si="67"/>
        <v>4.9500000000000144</v>
      </c>
      <c r="G215" s="105">
        <f t="shared" ca="1" si="78"/>
        <v>1</v>
      </c>
      <c r="H215" s="105">
        <f t="shared" ca="1" si="79"/>
        <v>28.187500000000021</v>
      </c>
      <c r="I215" s="105">
        <f t="shared" ca="1" si="68"/>
        <v>0</v>
      </c>
      <c r="J215" s="105">
        <f t="shared" ca="1" si="69"/>
        <v>0</v>
      </c>
      <c r="K215" s="105">
        <f t="shared" ca="1" si="70"/>
        <v>0</v>
      </c>
      <c r="L215" s="105">
        <f t="shared" ca="1" si="71"/>
        <v>0</v>
      </c>
      <c r="M215" s="105">
        <f t="shared" ca="1" si="72"/>
        <v>0</v>
      </c>
      <c r="N215" s="105">
        <f t="shared" ca="1" si="71"/>
        <v>0</v>
      </c>
      <c r="O215" s="105">
        <f t="shared" ca="1" si="73"/>
        <v>0</v>
      </c>
      <c r="P215" s="105">
        <f t="shared" ca="1" si="74"/>
        <v>0</v>
      </c>
      <c r="Q215" s="105">
        <f t="shared" ca="1" si="75"/>
        <v>0</v>
      </c>
      <c r="R215" s="105">
        <f t="shared" ca="1" si="76"/>
        <v>0</v>
      </c>
      <c r="S215" s="105">
        <f t="shared" ca="1" si="77"/>
        <v>9</v>
      </c>
    </row>
    <row r="216" spans="1:19" x14ac:dyDescent="0.35">
      <c r="A216" s="105">
        <f t="shared" ca="1" si="62"/>
        <v>288.08249999999998</v>
      </c>
      <c r="B216" s="105" t="str">
        <f t="shared" ca="1" si="63"/>
        <v>循环</v>
      </c>
      <c r="C216" s="105">
        <f t="shared" ca="1" si="64"/>
        <v>1</v>
      </c>
      <c r="D216" s="105">
        <f t="shared" ca="1" si="65"/>
        <v>34.565000000000126</v>
      </c>
      <c r="E216" s="105">
        <f t="shared" ca="1" si="66"/>
        <v>2.2450000000000143</v>
      </c>
      <c r="F216" s="105">
        <f t="shared" ca="1" si="67"/>
        <v>3.5975000000000144</v>
      </c>
      <c r="G216" s="105">
        <f t="shared" ca="1" si="78"/>
        <v>1</v>
      </c>
      <c r="H216" s="105">
        <f t="shared" ca="1" si="79"/>
        <v>26.835000000000022</v>
      </c>
      <c r="I216" s="105">
        <f t="shared" ca="1" si="68"/>
        <v>0</v>
      </c>
      <c r="J216" s="105">
        <f t="shared" ca="1" si="69"/>
        <v>0</v>
      </c>
      <c r="K216" s="105">
        <f t="shared" ca="1" si="70"/>
        <v>0</v>
      </c>
      <c r="L216" s="105">
        <f t="shared" ref="L216:L279" ca="1" si="80">IF(K216+K215&gt;0,1,0)</f>
        <v>0</v>
      </c>
      <c r="M216" s="105">
        <f t="shared" ca="1" si="72"/>
        <v>0</v>
      </c>
      <c r="N216" s="105">
        <f t="shared" ref="N216:N279" ca="1" si="81">IF(M216+M215&gt;0,1,0)</f>
        <v>0</v>
      </c>
      <c r="O216" s="105">
        <f t="shared" ca="1" si="73"/>
        <v>0</v>
      </c>
      <c r="P216" s="105">
        <f t="shared" ca="1" si="74"/>
        <v>0</v>
      </c>
      <c r="Q216" s="105">
        <f t="shared" ca="1" si="75"/>
        <v>0</v>
      </c>
      <c r="R216" s="105">
        <f t="shared" ca="1" si="76"/>
        <v>0</v>
      </c>
      <c r="S216" s="105">
        <f t="shared" ca="1" si="77"/>
        <v>9</v>
      </c>
    </row>
    <row r="217" spans="1:19" x14ac:dyDescent="0.35">
      <c r="A217" s="105">
        <f t="shared" ca="1" si="62"/>
        <v>289.435</v>
      </c>
      <c r="B217" s="105" t="str">
        <f t="shared" ca="1" si="63"/>
        <v>循环</v>
      </c>
      <c r="C217" s="105">
        <f t="shared" ca="1" si="64"/>
        <v>1</v>
      </c>
      <c r="D217" s="105">
        <f t="shared" ca="1" si="65"/>
        <v>33.212500000000126</v>
      </c>
      <c r="E217" s="105">
        <f t="shared" ca="1" si="66"/>
        <v>0.89250000000001428</v>
      </c>
      <c r="F217" s="105">
        <f t="shared" ca="1" si="67"/>
        <v>2.2450000000000143</v>
      </c>
      <c r="G217" s="105">
        <f t="shared" ca="1" si="78"/>
        <v>1</v>
      </c>
      <c r="H217" s="105">
        <f t="shared" ca="1" si="79"/>
        <v>25.482500000000023</v>
      </c>
      <c r="I217" s="105">
        <f t="shared" ca="1" si="68"/>
        <v>0</v>
      </c>
      <c r="J217" s="105">
        <f t="shared" ca="1" si="69"/>
        <v>0</v>
      </c>
      <c r="K217" s="105">
        <f t="shared" ca="1" si="70"/>
        <v>0</v>
      </c>
      <c r="L217" s="105">
        <f t="shared" ca="1" si="80"/>
        <v>0</v>
      </c>
      <c r="M217" s="105">
        <f t="shared" ca="1" si="72"/>
        <v>0</v>
      </c>
      <c r="N217" s="105">
        <f t="shared" ca="1" si="81"/>
        <v>0</v>
      </c>
      <c r="O217" s="105">
        <f t="shared" ca="1" si="73"/>
        <v>0</v>
      </c>
      <c r="P217" s="105">
        <f t="shared" ca="1" si="74"/>
        <v>0</v>
      </c>
      <c r="Q217" s="105">
        <f t="shared" ca="1" si="75"/>
        <v>0</v>
      </c>
      <c r="R217" s="105">
        <f t="shared" ca="1" si="76"/>
        <v>0</v>
      </c>
      <c r="S217" s="105">
        <f t="shared" ca="1" si="77"/>
        <v>9</v>
      </c>
    </row>
    <row r="218" spans="1:19" x14ac:dyDescent="0.35">
      <c r="A218" s="105">
        <f t="shared" ca="1" si="62"/>
        <v>290.78750000000002</v>
      </c>
      <c r="B218" s="105" t="str">
        <f t="shared" ca="1" si="63"/>
        <v>循环</v>
      </c>
      <c r="C218" s="105">
        <f t="shared" ca="1" si="64"/>
        <v>1</v>
      </c>
      <c r="D218" s="105">
        <f t="shared" ca="1" si="65"/>
        <v>31.860000000000127</v>
      </c>
      <c r="E218" s="105">
        <f t="shared" ca="1" si="66"/>
        <v>0</v>
      </c>
      <c r="F218" s="105">
        <f t="shared" ca="1" si="67"/>
        <v>0.89250000000001428</v>
      </c>
      <c r="G218" s="105">
        <f t="shared" ca="1" si="78"/>
        <v>1</v>
      </c>
      <c r="H218" s="105">
        <f t="shared" ca="1" si="79"/>
        <v>24.130000000000024</v>
      </c>
      <c r="I218" s="105">
        <f t="shared" ca="1" si="68"/>
        <v>0</v>
      </c>
      <c r="J218" s="105">
        <f t="shared" ca="1" si="69"/>
        <v>0</v>
      </c>
      <c r="K218" s="105">
        <f t="shared" ca="1" si="70"/>
        <v>0</v>
      </c>
      <c r="L218" s="105">
        <f t="shared" ca="1" si="80"/>
        <v>0</v>
      </c>
      <c r="M218" s="105">
        <f t="shared" ca="1" si="72"/>
        <v>0</v>
      </c>
      <c r="N218" s="105">
        <f t="shared" ca="1" si="81"/>
        <v>0</v>
      </c>
      <c r="O218" s="105">
        <f t="shared" ca="1" si="73"/>
        <v>0</v>
      </c>
      <c r="P218" s="105">
        <f t="shared" ca="1" si="74"/>
        <v>0</v>
      </c>
      <c r="Q218" s="105">
        <f t="shared" ca="1" si="75"/>
        <v>0</v>
      </c>
      <c r="R218" s="105">
        <f t="shared" ca="1" si="76"/>
        <v>0</v>
      </c>
      <c r="S218" s="105">
        <f t="shared" ca="1" si="77"/>
        <v>9</v>
      </c>
    </row>
    <row r="219" spans="1:19" x14ac:dyDescent="0.35">
      <c r="A219" s="105">
        <f t="shared" ca="1" si="62"/>
        <v>292.14000000000004</v>
      </c>
      <c r="B219" s="105" t="str">
        <f t="shared" ca="1" si="63"/>
        <v>渊任</v>
      </c>
      <c r="C219" s="105">
        <f t="shared" ca="1" si="64"/>
        <v>0</v>
      </c>
      <c r="D219" s="105">
        <f t="shared" ca="1" si="65"/>
        <v>30.507500000000128</v>
      </c>
      <c r="E219" s="105">
        <f t="shared" ca="1" si="66"/>
        <v>30.647500000000001</v>
      </c>
      <c r="F219" s="105">
        <f t="shared" ca="1" si="67"/>
        <v>0</v>
      </c>
      <c r="G219" s="105">
        <f t="shared" ca="1" si="78"/>
        <v>1</v>
      </c>
      <c r="H219" s="105">
        <f t="shared" ca="1" si="79"/>
        <v>22.777500000000025</v>
      </c>
      <c r="I219" s="105">
        <f t="shared" ca="1" si="68"/>
        <v>0</v>
      </c>
      <c r="J219" s="105">
        <f t="shared" ca="1" si="69"/>
        <v>0</v>
      </c>
      <c r="K219" s="105">
        <f t="shared" ca="1" si="70"/>
        <v>14.335000000000001</v>
      </c>
      <c r="L219" s="105">
        <f t="shared" ca="1" si="80"/>
        <v>1</v>
      </c>
      <c r="M219" s="105">
        <f t="shared" ca="1" si="72"/>
        <v>0</v>
      </c>
      <c r="N219" s="105">
        <f t="shared" ca="1" si="81"/>
        <v>0</v>
      </c>
      <c r="O219" s="105">
        <f t="shared" ca="1" si="73"/>
        <v>0</v>
      </c>
      <c r="P219" s="105">
        <f t="shared" ca="1" si="74"/>
        <v>0</v>
      </c>
      <c r="Q219" s="105">
        <f t="shared" ca="1" si="75"/>
        <v>8.6475000000000009</v>
      </c>
      <c r="R219" s="105">
        <f t="shared" ca="1" si="76"/>
        <v>1</v>
      </c>
      <c r="S219" s="105">
        <f t="shared" ca="1" si="77"/>
        <v>9</v>
      </c>
    </row>
    <row r="220" spans="1:19" x14ac:dyDescent="0.35">
      <c r="A220" s="105">
        <f t="shared" ca="1" si="62"/>
        <v>293.49250000000006</v>
      </c>
      <c r="B220" s="105" t="str">
        <f t="shared" ca="1" si="63"/>
        <v>雷循环</v>
      </c>
      <c r="C220" s="105">
        <f t="shared" ca="1" si="64"/>
        <v>0</v>
      </c>
      <c r="D220" s="105">
        <f t="shared" ca="1" si="65"/>
        <v>29.155000000000129</v>
      </c>
      <c r="E220" s="105">
        <f t="shared" ca="1" si="66"/>
        <v>29.295000000000002</v>
      </c>
      <c r="F220" s="105">
        <f t="shared" ca="1" si="67"/>
        <v>30.647500000000001</v>
      </c>
      <c r="G220" s="105">
        <f t="shared" ca="1" si="78"/>
        <v>1</v>
      </c>
      <c r="H220" s="105">
        <f t="shared" ca="1" si="79"/>
        <v>21.425000000000026</v>
      </c>
      <c r="I220" s="105">
        <f t="shared" ca="1" si="68"/>
        <v>0</v>
      </c>
      <c r="J220" s="105">
        <f t="shared" ca="1" si="69"/>
        <v>0</v>
      </c>
      <c r="K220" s="105">
        <f t="shared" ca="1" si="70"/>
        <v>12.982500000000002</v>
      </c>
      <c r="L220" s="105">
        <f t="shared" ca="1" si="80"/>
        <v>1</v>
      </c>
      <c r="M220" s="105">
        <f t="shared" ca="1" si="72"/>
        <v>0</v>
      </c>
      <c r="N220" s="105">
        <f t="shared" ca="1" si="81"/>
        <v>0</v>
      </c>
      <c r="O220" s="105">
        <f t="shared" ca="1" si="73"/>
        <v>13.647500000000001</v>
      </c>
      <c r="P220" s="105">
        <f t="shared" ca="1" si="74"/>
        <v>1</v>
      </c>
      <c r="Q220" s="105">
        <f t="shared" ca="1" si="75"/>
        <v>7.2950000000000008</v>
      </c>
      <c r="R220" s="105">
        <f t="shared" ca="1" si="76"/>
        <v>1</v>
      </c>
      <c r="S220" s="105">
        <f t="shared" ca="1" si="77"/>
        <v>10</v>
      </c>
    </row>
    <row r="221" spans="1:19" x14ac:dyDescent="0.35">
      <c r="A221" s="105">
        <f t="shared" ca="1" si="62"/>
        <v>294.84500000000008</v>
      </c>
      <c r="B221" s="105" t="str">
        <f t="shared" ca="1" si="63"/>
        <v>循环</v>
      </c>
      <c r="C221" s="105">
        <f t="shared" ca="1" si="64"/>
        <v>0</v>
      </c>
      <c r="D221" s="105">
        <f t="shared" ca="1" si="65"/>
        <v>27.80250000000013</v>
      </c>
      <c r="E221" s="105">
        <f t="shared" ca="1" si="66"/>
        <v>27.942500000000003</v>
      </c>
      <c r="F221" s="105">
        <f t="shared" ca="1" si="67"/>
        <v>29.295000000000002</v>
      </c>
      <c r="G221" s="105">
        <f t="shared" ca="1" si="78"/>
        <v>1</v>
      </c>
      <c r="H221" s="105">
        <f t="shared" ca="1" si="79"/>
        <v>20.072500000000026</v>
      </c>
      <c r="I221" s="105">
        <f t="shared" ca="1" si="68"/>
        <v>0</v>
      </c>
      <c r="J221" s="105">
        <f t="shared" ca="1" si="69"/>
        <v>0</v>
      </c>
      <c r="K221" s="105">
        <f t="shared" ca="1" si="70"/>
        <v>11.630000000000003</v>
      </c>
      <c r="L221" s="105">
        <f t="shared" ca="1" si="80"/>
        <v>1</v>
      </c>
      <c r="M221" s="105">
        <f t="shared" ca="1" si="72"/>
        <v>0</v>
      </c>
      <c r="N221" s="105">
        <f t="shared" ca="1" si="81"/>
        <v>0</v>
      </c>
      <c r="O221" s="105">
        <f t="shared" ca="1" si="73"/>
        <v>12.295000000000002</v>
      </c>
      <c r="P221" s="105">
        <f t="shared" ca="1" si="74"/>
        <v>1</v>
      </c>
      <c r="Q221" s="105">
        <f t="shared" ca="1" si="75"/>
        <v>5.9425000000000008</v>
      </c>
      <c r="R221" s="105">
        <f t="shared" ca="1" si="76"/>
        <v>1</v>
      </c>
      <c r="S221" s="105">
        <f t="shared" ca="1" si="77"/>
        <v>10</v>
      </c>
    </row>
    <row r="222" spans="1:19" x14ac:dyDescent="0.35">
      <c r="A222" s="105">
        <f t="shared" ca="1" si="62"/>
        <v>296.1975000000001</v>
      </c>
      <c r="B222" s="105" t="str">
        <f t="shared" ca="1" si="63"/>
        <v>循环</v>
      </c>
      <c r="C222" s="105">
        <f t="shared" ca="1" si="64"/>
        <v>0</v>
      </c>
      <c r="D222" s="105">
        <f t="shared" ca="1" si="65"/>
        <v>26.450000000000131</v>
      </c>
      <c r="E222" s="105">
        <f t="shared" ca="1" si="66"/>
        <v>26.590000000000003</v>
      </c>
      <c r="F222" s="105">
        <f t="shared" ca="1" si="67"/>
        <v>27.942500000000003</v>
      </c>
      <c r="G222" s="105">
        <f t="shared" ca="1" si="78"/>
        <v>1</v>
      </c>
      <c r="H222" s="105">
        <f t="shared" ca="1" si="79"/>
        <v>18.720000000000027</v>
      </c>
      <c r="I222" s="105">
        <f t="shared" ca="1" si="68"/>
        <v>0</v>
      </c>
      <c r="J222" s="105">
        <f t="shared" ca="1" si="69"/>
        <v>0</v>
      </c>
      <c r="K222" s="105">
        <f t="shared" ca="1" si="70"/>
        <v>10.277500000000003</v>
      </c>
      <c r="L222" s="105">
        <f t="shared" ca="1" si="80"/>
        <v>1</v>
      </c>
      <c r="M222" s="105">
        <f t="shared" ca="1" si="72"/>
        <v>0</v>
      </c>
      <c r="N222" s="105">
        <f t="shared" ca="1" si="81"/>
        <v>0</v>
      </c>
      <c r="O222" s="105">
        <f t="shared" ca="1" si="73"/>
        <v>10.942500000000003</v>
      </c>
      <c r="P222" s="105">
        <f t="shared" ca="1" si="74"/>
        <v>1</v>
      </c>
      <c r="Q222" s="105">
        <f t="shared" ca="1" si="75"/>
        <v>4.5900000000000007</v>
      </c>
      <c r="R222" s="105">
        <f t="shared" ca="1" si="76"/>
        <v>1</v>
      </c>
      <c r="S222" s="105">
        <f t="shared" ca="1" si="77"/>
        <v>10</v>
      </c>
    </row>
    <row r="223" spans="1:19" x14ac:dyDescent="0.35">
      <c r="A223" s="105">
        <f t="shared" ca="1" si="62"/>
        <v>297.55000000000013</v>
      </c>
      <c r="B223" s="105" t="str">
        <f t="shared" ca="1" si="63"/>
        <v>循环</v>
      </c>
      <c r="C223" s="105">
        <f t="shared" ca="1" si="64"/>
        <v>0</v>
      </c>
      <c r="D223" s="105">
        <f t="shared" ca="1" si="65"/>
        <v>25.097500000000132</v>
      </c>
      <c r="E223" s="105">
        <f t="shared" ca="1" si="66"/>
        <v>25.237500000000004</v>
      </c>
      <c r="F223" s="105">
        <f t="shared" ca="1" si="67"/>
        <v>26.590000000000003</v>
      </c>
      <c r="G223" s="105">
        <f t="shared" ca="1" si="78"/>
        <v>1</v>
      </c>
      <c r="H223" s="105">
        <f t="shared" ca="1" si="79"/>
        <v>17.367500000000028</v>
      </c>
      <c r="I223" s="105">
        <f t="shared" ca="1" si="68"/>
        <v>0</v>
      </c>
      <c r="J223" s="105">
        <f t="shared" ca="1" si="69"/>
        <v>0</v>
      </c>
      <c r="K223" s="105">
        <f t="shared" ca="1" si="70"/>
        <v>8.9250000000000043</v>
      </c>
      <c r="L223" s="105">
        <f t="shared" ca="1" si="80"/>
        <v>1</v>
      </c>
      <c r="M223" s="105">
        <f t="shared" ca="1" si="72"/>
        <v>0</v>
      </c>
      <c r="N223" s="105">
        <f t="shared" ca="1" si="81"/>
        <v>0</v>
      </c>
      <c r="O223" s="105">
        <f t="shared" ca="1" si="73"/>
        <v>9.5900000000000034</v>
      </c>
      <c r="P223" s="105">
        <f t="shared" ca="1" si="74"/>
        <v>1</v>
      </c>
      <c r="Q223" s="105">
        <f t="shared" ca="1" si="75"/>
        <v>3.2375000000000007</v>
      </c>
      <c r="R223" s="105">
        <f t="shared" ca="1" si="76"/>
        <v>1</v>
      </c>
      <c r="S223" s="105">
        <f t="shared" ca="1" si="77"/>
        <v>10</v>
      </c>
    </row>
    <row r="224" spans="1:19" x14ac:dyDescent="0.35">
      <c r="A224" s="105">
        <f t="shared" ca="1" si="62"/>
        <v>298.90250000000015</v>
      </c>
      <c r="B224" s="105" t="str">
        <f t="shared" ca="1" si="63"/>
        <v>循环</v>
      </c>
      <c r="C224" s="105">
        <f t="shared" ca="1" si="64"/>
        <v>0</v>
      </c>
      <c r="D224" s="105">
        <f t="shared" ca="1" si="65"/>
        <v>23.745000000000132</v>
      </c>
      <c r="E224" s="105">
        <f t="shared" ca="1" si="66"/>
        <v>23.885000000000005</v>
      </c>
      <c r="F224" s="105">
        <f t="shared" ca="1" si="67"/>
        <v>25.237500000000004</v>
      </c>
      <c r="G224" s="105">
        <f t="shared" ca="1" si="78"/>
        <v>1</v>
      </c>
      <c r="H224" s="105">
        <f t="shared" ca="1" si="79"/>
        <v>16.015000000000029</v>
      </c>
      <c r="I224" s="105">
        <f t="shared" ca="1" si="68"/>
        <v>0</v>
      </c>
      <c r="J224" s="105">
        <f t="shared" ca="1" si="69"/>
        <v>0</v>
      </c>
      <c r="K224" s="105">
        <f t="shared" ca="1" si="70"/>
        <v>7.5725000000000042</v>
      </c>
      <c r="L224" s="105">
        <f t="shared" ca="1" si="80"/>
        <v>1</v>
      </c>
      <c r="M224" s="105">
        <f t="shared" ca="1" si="72"/>
        <v>0</v>
      </c>
      <c r="N224" s="105">
        <f t="shared" ca="1" si="81"/>
        <v>0</v>
      </c>
      <c r="O224" s="105">
        <f t="shared" ca="1" si="73"/>
        <v>8.2375000000000043</v>
      </c>
      <c r="P224" s="105">
        <f t="shared" ca="1" si="74"/>
        <v>1</v>
      </c>
      <c r="Q224" s="105">
        <f t="shared" ca="1" si="75"/>
        <v>1.8850000000000007</v>
      </c>
      <c r="R224" s="105">
        <f t="shared" ca="1" si="76"/>
        <v>1</v>
      </c>
      <c r="S224" s="105">
        <f t="shared" ca="1" si="77"/>
        <v>10</v>
      </c>
    </row>
    <row r="225" spans="1:19" x14ac:dyDescent="0.35">
      <c r="A225" s="105">
        <f t="shared" ca="1" si="62"/>
        <v>300.25500000000017</v>
      </c>
      <c r="B225" s="105" t="str">
        <f t="shared" ca="1" si="63"/>
        <v>循环</v>
      </c>
      <c r="C225" s="105">
        <f t="shared" ca="1" si="64"/>
        <v>0</v>
      </c>
      <c r="D225" s="105">
        <f t="shared" ca="1" si="65"/>
        <v>22.392500000000133</v>
      </c>
      <c r="E225" s="105">
        <f t="shared" ca="1" si="66"/>
        <v>22.532500000000006</v>
      </c>
      <c r="F225" s="105">
        <f t="shared" ca="1" si="67"/>
        <v>23.885000000000005</v>
      </c>
      <c r="G225" s="105">
        <f t="shared" ca="1" si="78"/>
        <v>1</v>
      </c>
      <c r="H225" s="105">
        <f t="shared" ca="1" si="79"/>
        <v>14.66250000000003</v>
      </c>
      <c r="I225" s="105">
        <f t="shared" ca="1" si="68"/>
        <v>0</v>
      </c>
      <c r="J225" s="105">
        <f t="shared" ca="1" si="69"/>
        <v>0</v>
      </c>
      <c r="K225" s="105">
        <f t="shared" ca="1" si="70"/>
        <v>6.2200000000000042</v>
      </c>
      <c r="L225" s="105">
        <f t="shared" ca="1" si="80"/>
        <v>1</v>
      </c>
      <c r="M225" s="105">
        <f t="shared" ca="1" si="72"/>
        <v>0</v>
      </c>
      <c r="N225" s="105">
        <f t="shared" ca="1" si="81"/>
        <v>0</v>
      </c>
      <c r="O225" s="105">
        <f t="shared" ca="1" si="73"/>
        <v>6.8850000000000042</v>
      </c>
      <c r="P225" s="105">
        <f t="shared" ca="1" si="74"/>
        <v>1</v>
      </c>
      <c r="Q225" s="105">
        <f t="shared" ca="1" si="75"/>
        <v>0.53250000000000064</v>
      </c>
      <c r="R225" s="105">
        <f t="shared" ca="1" si="76"/>
        <v>1</v>
      </c>
      <c r="S225" s="105">
        <f t="shared" ca="1" si="77"/>
        <v>10</v>
      </c>
    </row>
    <row r="226" spans="1:19" x14ac:dyDescent="0.35">
      <c r="A226" s="105">
        <f t="shared" ca="1" si="62"/>
        <v>301.60750000000019</v>
      </c>
      <c r="B226" s="105" t="str">
        <f t="shared" ca="1" si="63"/>
        <v>循环</v>
      </c>
      <c r="C226" s="105">
        <f t="shared" ca="1" si="64"/>
        <v>0</v>
      </c>
      <c r="D226" s="105">
        <f t="shared" ca="1" si="65"/>
        <v>21.040000000000134</v>
      </c>
      <c r="E226" s="105">
        <f t="shared" ca="1" si="66"/>
        <v>21.180000000000007</v>
      </c>
      <c r="F226" s="105">
        <f t="shared" ca="1" si="67"/>
        <v>22.532500000000006</v>
      </c>
      <c r="G226" s="105">
        <f t="shared" ca="1" si="78"/>
        <v>1</v>
      </c>
      <c r="H226" s="105">
        <f t="shared" ca="1" si="79"/>
        <v>13.310000000000031</v>
      </c>
      <c r="I226" s="105">
        <f t="shared" ca="1" si="68"/>
        <v>0</v>
      </c>
      <c r="J226" s="105">
        <f t="shared" ca="1" si="69"/>
        <v>0</v>
      </c>
      <c r="K226" s="105">
        <f t="shared" ca="1" si="70"/>
        <v>4.8675000000000042</v>
      </c>
      <c r="L226" s="105">
        <f t="shared" ca="1" si="80"/>
        <v>1</v>
      </c>
      <c r="M226" s="105">
        <f t="shared" ca="1" si="72"/>
        <v>0</v>
      </c>
      <c r="N226" s="105">
        <f t="shared" ca="1" si="81"/>
        <v>0</v>
      </c>
      <c r="O226" s="105">
        <f t="shared" ca="1" si="73"/>
        <v>5.5325000000000042</v>
      </c>
      <c r="P226" s="105">
        <f t="shared" ca="1" si="74"/>
        <v>1</v>
      </c>
      <c r="Q226" s="105">
        <f t="shared" ca="1" si="75"/>
        <v>0</v>
      </c>
      <c r="R226" s="105">
        <f t="shared" ca="1" si="76"/>
        <v>1</v>
      </c>
      <c r="S226" s="105">
        <f t="shared" ca="1" si="77"/>
        <v>10</v>
      </c>
    </row>
    <row r="227" spans="1:19" x14ac:dyDescent="0.35">
      <c r="A227" s="105">
        <f t="shared" ca="1" si="62"/>
        <v>302.96000000000021</v>
      </c>
      <c r="B227" s="105" t="str">
        <f t="shared" ca="1" si="63"/>
        <v>循环</v>
      </c>
      <c r="C227" s="105">
        <f t="shared" ca="1" si="64"/>
        <v>0</v>
      </c>
      <c r="D227" s="105">
        <f t="shared" ca="1" si="65"/>
        <v>19.687500000000135</v>
      </c>
      <c r="E227" s="105">
        <f t="shared" ca="1" si="66"/>
        <v>19.827500000000008</v>
      </c>
      <c r="F227" s="105">
        <f t="shared" ca="1" si="67"/>
        <v>21.180000000000007</v>
      </c>
      <c r="G227" s="105">
        <f t="shared" ca="1" si="78"/>
        <v>1</v>
      </c>
      <c r="H227" s="105">
        <f t="shared" ca="1" si="79"/>
        <v>11.957500000000032</v>
      </c>
      <c r="I227" s="105">
        <f t="shared" ca="1" si="68"/>
        <v>0</v>
      </c>
      <c r="J227" s="105">
        <f t="shared" ca="1" si="69"/>
        <v>0</v>
      </c>
      <c r="K227" s="105">
        <f t="shared" ca="1" si="70"/>
        <v>3.5150000000000041</v>
      </c>
      <c r="L227" s="105">
        <f t="shared" ca="1" si="80"/>
        <v>1</v>
      </c>
      <c r="M227" s="105">
        <f t="shared" ca="1" si="72"/>
        <v>0</v>
      </c>
      <c r="N227" s="105">
        <f t="shared" ca="1" si="81"/>
        <v>0</v>
      </c>
      <c r="O227" s="105">
        <f t="shared" ca="1" si="73"/>
        <v>4.1800000000000042</v>
      </c>
      <c r="P227" s="105">
        <f t="shared" ca="1" si="74"/>
        <v>1</v>
      </c>
      <c r="Q227" s="105">
        <f t="shared" ca="1" si="75"/>
        <v>0</v>
      </c>
      <c r="R227" s="105">
        <f t="shared" ca="1" si="76"/>
        <v>0</v>
      </c>
      <c r="S227" s="105">
        <f t="shared" ca="1" si="77"/>
        <v>10</v>
      </c>
    </row>
    <row r="228" spans="1:19" x14ac:dyDescent="0.35">
      <c r="A228" s="105">
        <f t="shared" ca="1" si="62"/>
        <v>304.31250000000023</v>
      </c>
      <c r="B228" s="105" t="str">
        <f t="shared" ca="1" si="63"/>
        <v>循环</v>
      </c>
      <c r="C228" s="105">
        <f t="shared" ca="1" si="64"/>
        <v>0</v>
      </c>
      <c r="D228" s="105">
        <f t="shared" ca="1" si="65"/>
        <v>18.335000000000136</v>
      </c>
      <c r="E228" s="105">
        <f t="shared" ca="1" si="66"/>
        <v>18.475000000000009</v>
      </c>
      <c r="F228" s="105">
        <f t="shared" ca="1" si="67"/>
        <v>19.827500000000008</v>
      </c>
      <c r="G228" s="105">
        <f t="shared" ca="1" si="78"/>
        <v>1</v>
      </c>
      <c r="H228" s="105">
        <f t="shared" ca="1" si="79"/>
        <v>10.605000000000032</v>
      </c>
      <c r="I228" s="105">
        <f t="shared" ca="1" si="68"/>
        <v>0</v>
      </c>
      <c r="J228" s="105">
        <f t="shared" ca="1" si="69"/>
        <v>0</v>
      </c>
      <c r="K228" s="105">
        <f t="shared" ca="1" si="70"/>
        <v>2.1625000000000041</v>
      </c>
      <c r="L228" s="105">
        <f t="shared" ca="1" si="80"/>
        <v>1</v>
      </c>
      <c r="M228" s="105">
        <f t="shared" ca="1" si="72"/>
        <v>0</v>
      </c>
      <c r="N228" s="105">
        <f t="shared" ca="1" si="81"/>
        <v>0</v>
      </c>
      <c r="O228" s="105">
        <f t="shared" ca="1" si="73"/>
        <v>2.8275000000000041</v>
      </c>
      <c r="P228" s="105">
        <f t="shared" ca="1" si="74"/>
        <v>1</v>
      </c>
      <c r="Q228" s="105">
        <f t="shared" ca="1" si="75"/>
        <v>0</v>
      </c>
      <c r="R228" s="105">
        <f t="shared" ca="1" si="76"/>
        <v>0</v>
      </c>
      <c r="S228" s="105">
        <f t="shared" ca="1" si="77"/>
        <v>10</v>
      </c>
    </row>
    <row r="229" spans="1:19" x14ac:dyDescent="0.35">
      <c r="A229" s="105">
        <f t="shared" ca="1" si="62"/>
        <v>305.66500000000025</v>
      </c>
      <c r="B229" s="105" t="str">
        <f t="shared" ca="1" si="63"/>
        <v>循环</v>
      </c>
      <c r="C229" s="105">
        <f t="shared" ca="1" si="64"/>
        <v>0</v>
      </c>
      <c r="D229" s="105">
        <f t="shared" ca="1" si="65"/>
        <v>16.982500000000137</v>
      </c>
      <c r="E229" s="105">
        <f t="shared" ca="1" si="66"/>
        <v>17.122500000000009</v>
      </c>
      <c r="F229" s="105">
        <f t="shared" ca="1" si="67"/>
        <v>18.475000000000009</v>
      </c>
      <c r="G229" s="105">
        <f t="shared" ca="1" si="78"/>
        <v>1</v>
      </c>
      <c r="H229" s="105">
        <f t="shared" ca="1" si="79"/>
        <v>9.2525000000000333</v>
      </c>
      <c r="I229" s="105">
        <f t="shared" ca="1" si="68"/>
        <v>0</v>
      </c>
      <c r="J229" s="105">
        <f t="shared" ca="1" si="69"/>
        <v>0</v>
      </c>
      <c r="K229" s="105">
        <f t="shared" ca="1" si="70"/>
        <v>0.81000000000000405</v>
      </c>
      <c r="L229" s="105">
        <f t="shared" ca="1" si="80"/>
        <v>1</v>
      </c>
      <c r="M229" s="105">
        <f t="shared" ca="1" si="72"/>
        <v>0</v>
      </c>
      <c r="N229" s="105">
        <f t="shared" ca="1" si="81"/>
        <v>0</v>
      </c>
      <c r="O229" s="105">
        <f t="shared" ca="1" si="73"/>
        <v>1.4750000000000041</v>
      </c>
      <c r="P229" s="105">
        <f t="shared" ca="1" si="74"/>
        <v>1</v>
      </c>
      <c r="Q229" s="105">
        <f t="shared" ca="1" si="75"/>
        <v>0</v>
      </c>
      <c r="R229" s="105">
        <f t="shared" ca="1" si="76"/>
        <v>0</v>
      </c>
      <c r="S229" s="105">
        <f t="shared" ca="1" si="77"/>
        <v>10</v>
      </c>
    </row>
    <row r="230" spans="1:19" x14ac:dyDescent="0.35">
      <c r="A230" s="105">
        <f t="shared" ca="1" si="62"/>
        <v>307.01750000000027</v>
      </c>
      <c r="B230" s="105" t="str">
        <f t="shared" ca="1" si="63"/>
        <v>循环</v>
      </c>
      <c r="C230" s="105">
        <f t="shared" ca="1" si="64"/>
        <v>0</v>
      </c>
      <c r="D230" s="105">
        <f t="shared" ca="1" si="65"/>
        <v>15.630000000000138</v>
      </c>
      <c r="E230" s="105">
        <f t="shared" ca="1" si="66"/>
        <v>15.77000000000001</v>
      </c>
      <c r="F230" s="105">
        <f t="shared" ca="1" si="67"/>
        <v>17.122500000000009</v>
      </c>
      <c r="G230" s="105">
        <f t="shared" ca="1" si="78"/>
        <v>1</v>
      </c>
      <c r="H230" s="105">
        <f t="shared" ca="1" si="79"/>
        <v>7.9000000000000332</v>
      </c>
      <c r="I230" s="105">
        <f t="shared" ca="1" si="68"/>
        <v>0</v>
      </c>
      <c r="J230" s="105">
        <f t="shared" ca="1" si="69"/>
        <v>0</v>
      </c>
      <c r="K230" s="105">
        <f t="shared" ca="1" si="70"/>
        <v>0</v>
      </c>
      <c r="L230" s="105">
        <f t="shared" ca="1" si="80"/>
        <v>1</v>
      </c>
      <c r="M230" s="105">
        <f t="shared" ca="1" si="72"/>
        <v>0</v>
      </c>
      <c r="N230" s="105">
        <f t="shared" ca="1" si="81"/>
        <v>0</v>
      </c>
      <c r="O230" s="105">
        <f t="shared" ca="1" si="73"/>
        <v>0.12250000000000405</v>
      </c>
      <c r="P230" s="105">
        <f t="shared" ca="1" si="74"/>
        <v>1</v>
      </c>
      <c r="Q230" s="105">
        <f t="shared" ca="1" si="75"/>
        <v>0</v>
      </c>
      <c r="R230" s="105">
        <f t="shared" ca="1" si="76"/>
        <v>0</v>
      </c>
      <c r="S230" s="105">
        <f t="shared" ca="1" si="77"/>
        <v>10</v>
      </c>
    </row>
    <row r="231" spans="1:19" x14ac:dyDescent="0.35">
      <c r="A231" s="105">
        <f t="shared" ca="1" si="62"/>
        <v>308.37000000000029</v>
      </c>
      <c r="B231" s="105" t="str">
        <f t="shared" ca="1" si="63"/>
        <v>循环</v>
      </c>
      <c r="C231" s="105">
        <f t="shared" ca="1" si="64"/>
        <v>0</v>
      </c>
      <c r="D231" s="105">
        <f t="shared" ca="1" si="65"/>
        <v>14.277500000000138</v>
      </c>
      <c r="E231" s="105">
        <f t="shared" ca="1" si="66"/>
        <v>14.417500000000011</v>
      </c>
      <c r="F231" s="105">
        <f t="shared" ca="1" si="67"/>
        <v>15.77000000000001</v>
      </c>
      <c r="G231" s="105">
        <f t="shared" ca="1" si="78"/>
        <v>1</v>
      </c>
      <c r="H231" s="105">
        <f t="shared" ca="1" si="79"/>
        <v>6.5475000000000332</v>
      </c>
      <c r="I231" s="105">
        <f t="shared" ca="1" si="68"/>
        <v>0</v>
      </c>
      <c r="J231" s="105">
        <f t="shared" ca="1" si="69"/>
        <v>0</v>
      </c>
      <c r="K231" s="105">
        <f t="shared" ca="1" si="70"/>
        <v>0</v>
      </c>
      <c r="L231" s="105">
        <f t="shared" ca="1" si="80"/>
        <v>0</v>
      </c>
      <c r="M231" s="105">
        <f t="shared" ca="1" si="72"/>
        <v>0</v>
      </c>
      <c r="N231" s="105">
        <f t="shared" ca="1" si="81"/>
        <v>0</v>
      </c>
      <c r="O231" s="105">
        <f t="shared" ca="1" si="73"/>
        <v>0</v>
      </c>
      <c r="P231" s="105">
        <f t="shared" ca="1" si="74"/>
        <v>1</v>
      </c>
      <c r="Q231" s="105">
        <f t="shared" ca="1" si="75"/>
        <v>0</v>
      </c>
      <c r="R231" s="105">
        <f t="shared" ca="1" si="76"/>
        <v>0</v>
      </c>
      <c r="S231" s="105">
        <f t="shared" ca="1" si="77"/>
        <v>10</v>
      </c>
    </row>
    <row r="232" spans="1:19" x14ac:dyDescent="0.35">
      <c r="A232" s="105">
        <f t="shared" ca="1" si="62"/>
        <v>309.72250000000031</v>
      </c>
      <c r="B232" s="105" t="str">
        <f t="shared" ca="1" si="63"/>
        <v>循环</v>
      </c>
      <c r="C232" s="105">
        <f t="shared" ca="1" si="64"/>
        <v>0</v>
      </c>
      <c r="D232" s="105">
        <f t="shared" ca="1" si="65"/>
        <v>12.925000000000139</v>
      </c>
      <c r="E232" s="105">
        <f t="shared" ca="1" si="66"/>
        <v>13.065000000000012</v>
      </c>
      <c r="F232" s="105">
        <f t="shared" ca="1" si="67"/>
        <v>14.417500000000011</v>
      </c>
      <c r="G232" s="105">
        <f t="shared" ca="1" si="78"/>
        <v>1</v>
      </c>
      <c r="H232" s="105">
        <f t="shared" ca="1" si="79"/>
        <v>5.1950000000000331</v>
      </c>
      <c r="I232" s="105">
        <f t="shared" ca="1" si="68"/>
        <v>0</v>
      </c>
      <c r="J232" s="105">
        <f t="shared" ca="1" si="69"/>
        <v>0</v>
      </c>
      <c r="K232" s="105">
        <f t="shared" ca="1" si="70"/>
        <v>0</v>
      </c>
      <c r="L232" s="105">
        <f t="shared" ca="1" si="80"/>
        <v>0</v>
      </c>
      <c r="M232" s="105">
        <f t="shared" ca="1" si="72"/>
        <v>0</v>
      </c>
      <c r="N232" s="105">
        <f t="shared" ca="1" si="81"/>
        <v>0</v>
      </c>
      <c r="O232" s="105">
        <f t="shared" ca="1" si="73"/>
        <v>0</v>
      </c>
      <c r="P232" s="105">
        <f t="shared" ca="1" si="74"/>
        <v>0</v>
      </c>
      <c r="Q232" s="105">
        <f t="shared" ca="1" si="75"/>
        <v>0</v>
      </c>
      <c r="R232" s="105">
        <f t="shared" ca="1" si="76"/>
        <v>0</v>
      </c>
      <c r="S232" s="105">
        <f t="shared" ca="1" si="77"/>
        <v>10</v>
      </c>
    </row>
    <row r="233" spans="1:19" x14ac:dyDescent="0.35">
      <c r="A233" s="105">
        <f t="shared" ca="1" si="62"/>
        <v>311.07500000000033</v>
      </c>
      <c r="B233" s="105">
        <f t="shared" ca="1" si="63"/>
        <v>0</v>
      </c>
      <c r="C233" s="105">
        <f t="shared" ca="1" si="64"/>
        <v>0</v>
      </c>
      <c r="D233" s="105">
        <f t="shared" ca="1" si="65"/>
        <v>11.57250000000014</v>
      </c>
      <c r="E233" s="105">
        <f t="shared" ca="1" si="66"/>
        <v>11.712500000000013</v>
      </c>
      <c r="F233" s="105">
        <f t="shared" ca="1" si="67"/>
        <v>13.065000000000012</v>
      </c>
      <c r="G233" s="105">
        <f t="shared" ca="1" si="78"/>
        <v>1</v>
      </c>
      <c r="H233" s="105">
        <f t="shared" ca="1" si="79"/>
        <v>3.8425000000000331</v>
      </c>
      <c r="I233" s="105">
        <f t="shared" ca="1" si="68"/>
        <v>0</v>
      </c>
      <c r="J233" s="105">
        <f t="shared" ca="1" si="69"/>
        <v>0</v>
      </c>
      <c r="K233" s="105">
        <f t="shared" ca="1" si="70"/>
        <v>0</v>
      </c>
      <c r="L233" s="105">
        <f t="shared" ca="1" si="80"/>
        <v>0</v>
      </c>
      <c r="M233" s="105">
        <f t="shared" ca="1" si="72"/>
        <v>0</v>
      </c>
      <c r="N233" s="105">
        <f t="shared" ca="1" si="81"/>
        <v>0</v>
      </c>
      <c r="O233" s="105">
        <f t="shared" ca="1" si="73"/>
        <v>0</v>
      </c>
      <c r="P233" s="105">
        <f t="shared" ca="1" si="74"/>
        <v>0</v>
      </c>
      <c r="Q233" s="105">
        <f t="shared" ca="1" si="75"/>
        <v>0</v>
      </c>
      <c r="R233" s="105">
        <f t="shared" ca="1" si="76"/>
        <v>0</v>
      </c>
      <c r="S233" s="105">
        <f t="shared" ca="1" si="77"/>
        <v>10</v>
      </c>
    </row>
    <row r="234" spans="1:19" x14ac:dyDescent="0.35">
      <c r="A234" s="105">
        <f t="shared" ca="1" si="62"/>
        <v>312.42750000000035</v>
      </c>
      <c r="B234" s="105">
        <f t="shared" ca="1" si="63"/>
        <v>0</v>
      </c>
      <c r="C234" s="105">
        <f t="shared" ca="1" si="64"/>
        <v>0</v>
      </c>
      <c r="D234" s="105">
        <f t="shared" ca="1" si="65"/>
        <v>10.220000000000141</v>
      </c>
      <c r="E234" s="105">
        <f t="shared" ca="1" si="66"/>
        <v>10.360000000000014</v>
      </c>
      <c r="F234" s="105">
        <f t="shared" ca="1" si="67"/>
        <v>11.712500000000013</v>
      </c>
      <c r="G234" s="105">
        <f t="shared" ca="1" si="78"/>
        <v>1</v>
      </c>
      <c r="H234" s="105">
        <f t="shared" ca="1" si="79"/>
        <v>2.4900000000000331</v>
      </c>
      <c r="I234" s="105">
        <f t="shared" ca="1" si="68"/>
        <v>0</v>
      </c>
      <c r="J234" s="105">
        <f t="shared" ca="1" si="69"/>
        <v>0</v>
      </c>
      <c r="K234" s="105">
        <f t="shared" ca="1" si="70"/>
        <v>0</v>
      </c>
      <c r="L234" s="105">
        <f t="shared" ca="1" si="80"/>
        <v>0</v>
      </c>
      <c r="M234" s="105">
        <f t="shared" ca="1" si="72"/>
        <v>0</v>
      </c>
      <c r="N234" s="105">
        <f t="shared" ca="1" si="81"/>
        <v>0</v>
      </c>
      <c r="O234" s="105">
        <f t="shared" ca="1" si="73"/>
        <v>0</v>
      </c>
      <c r="P234" s="105">
        <f t="shared" ca="1" si="74"/>
        <v>0</v>
      </c>
      <c r="Q234" s="105">
        <f t="shared" ca="1" si="75"/>
        <v>0</v>
      </c>
      <c r="R234" s="105">
        <f t="shared" ca="1" si="76"/>
        <v>0</v>
      </c>
      <c r="S234" s="105">
        <f t="shared" ca="1" si="77"/>
        <v>10</v>
      </c>
    </row>
    <row r="235" spans="1:19" x14ac:dyDescent="0.35">
      <c r="A235" s="105">
        <f t="shared" ca="1" si="62"/>
        <v>313.78000000000037</v>
      </c>
      <c r="B235" s="105">
        <f t="shared" ca="1" si="63"/>
        <v>0</v>
      </c>
      <c r="C235" s="105">
        <f t="shared" ca="1" si="64"/>
        <v>0</v>
      </c>
      <c r="D235" s="105">
        <f t="shared" ca="1" si="65"/>
        <v>8.8675000000001418</v>
      </c>
      <c r="E235" s="105">
        <f t="shared" ca="1" si="66"/>
        <v>9.0075000000000145</v>
      </c>
      <c r="F235" s="105">
        <f t="shared" ca="1" si="67"/>
        <v>10.360000000000014</v>
      </c>
      <c r="G235" s="105">
        <f t="shared" ca="1" si="78"/>
        <v>1</v>
      </c>
      <c r="H235" s="105">
        <f t="shared" ca="1" si="79"/>
        <v>1.137500000000033</v>
      </c>
      <c r="I235" s="105">
        <f t="shared" ca="1" si="68"/>
        <v>0</v>
      </c>
      <c r="J235" s="105">
        <f t="shared" ca="1" si="69"/>
        <v>0</v>
      </c>
      <c r="K235" s="105">
        <f t="shared" ca="1" si="70"/>
        <v>0</v>
      </c>
      <c r="L235" s="105">
        <f t="shared" ca="1" si="80"/>
        <v>0</v>
      </c>
      <c r="M235" s="105">
        <f t="shared" ca="1" si="72"/>
        <v>0</v>
      </c>
      <c r="N235" s="105">
        <f t="shared" ca="1" si="81"/>
        <v>0</v>
      </c>
      <c r="O235" s="105">
        <f t="shared" ca="1" si="73"/>
        <v>0</v>
      </c>
      <c r="P235" s="105">
        <f t="shared" ca="1" si="74"/>
        <v>0</v>
      </c>
      <c r="Q235" s="105">
        <f t="shared" ca="1" si="75"/>
        <v>0</v>
      </c>
      <c r="R235" s="105">
        <f t="shared" ca="1" si="76"/>
        <v>0</v>
      </c>
      <c r="S235" s="105">
        <f t="shared" ca="1" si="77"/>
        <v>10</v>
      </c>
    </row>
    <row r="236" spans="1:19" x14ac:dyDescent="0.35">
      <c r="A236" s="105">
        <f t="shared" ca="1" si="62"/>
        <v>315.13250000000039</v>
      </c>
      <c r="B236" s="105">
        <f t="shared" ca="1" si="63"/>
        <v>0</v>
      </c>
      <c r="C236" s="105">
        <f t="shared" ca="1" si="64"/>
        <v>0</v>
      </c>
      <c r="D236" s="105">
        <f t="shared" ca="1" si="65"/>
        <v>7.5150000000001418</v>
      </c>
      <c r="E236" s="105">
        <f t="shared" ca="1" si="66"/>
        <v>7.6550000000000145</v>
      </c>
      <c r="F236" s="105">
        <f t="shared" ca="1" si="67"/>
        <v>9.0075000000000145</v>
      </c>
      <c r="G236" s="105">
        <f t="shared" ca="1" si="78"/>
        <v>1</v>
      </c>
      <c r="H236" s="105">
        <f t="shared" ca="1" si="79"/>
        <v>0</v>
      </c>
      <c r="I236" s="105">
        <f t="shared" ca="1" si="68"/>
        <v>0</v>
      </c>
      <c r="J236" s="105">
        <f t="shared" ca="1" si="69"/>
        <v>0</v>
      </c>
      <c r="K236" s="105">
        <f t="shared" ca="1" si="70"/>
        <v>0</v>
      </c>
      <c r="L236" s="105">
        <f t="shared" ca="1" si="80"/>
        <v>0</v>
      </c>
      <c r="M236" s="105">
        <f t="shared" ca="1" si="72"/>
        <v>0</v>
      </c>
      <c r="N236" s="105">
        <f t="shared" ca="1" si="81"/>
        <v>0</v>
      </c>
      <c r="O236" s="105">
        <f t="shared" ca="1" si="73"/>
        <v>0</v>
      </c>
      <c r="P236" s="105">
        <f t="shared" ca="1" si="74"/>
        <v>0</v>
      </c>
      <c r="Q236" s="105">
        <f t="shared" ca="1" si="75"/>
        <v>0</v>
      </c>
      <c r="R236" s="105">
        <f t="shared" ca="1" si="76"/>
        <v>0</v>
      </c>
      <c r="S236" s="105">
        <f t="shared" ca="1" si="77"/>
        <v>10</v>
      </c>
    </row>
    <row r="237" spans="1:19" x14ac:dyDescent="0.35">
      <c r="A237" s="105">
        <f t="shared" ca="1" si="62"/>
        <v>316.48500000000041</v>
      </c>
      <c r="B237" s="105">
        <f t="shared" ca="1" si="63"/>
        <v>0</v>
      </c>
      <c r="C237" s="105">
        <f t="shared" ca="1" si="64"/>
        <v>0</v>
      </c>
      <c r="D237" s="105">
        <f t="shared" ca="1" si="65"/>
        <v>6.1625000000001418</v>
      </c>
      <c r="E237" s="105">
        <f t="shared" ca="1" si="66"/>
        <v>6.3025000000000144</v>
      </c>
      <c r="F237" s="105">
        <f t="shared" ca="1" si="67"/>
        <v>7.6550000000000145</v>
      </c>
      <c r="G237" s="105">
        <f t="shared" ca="1" si="78"/>
        <v>0</v>
      </c>
      <c r="H237" s="105">
        <f t="shared" ca="1" si="79"/>
        <v>0</v>
      </c>
      <c r="I237" s="105">
        <f t="shared" ca="1" si="68"/>
        <v>0</v>
      </c>
      <c r="J237" s="105">
        <f t="shared" ca="1" si="69"/>
        <v>0</v>
      </c>
      <c r="K237" s="105">
        <f t="shared" ca="1" si="70"/>
        <v>0</v>
      </c>
      <c r="L237" s="105">
        <f t="shared" ca="1" si="80"/>
        <v>0</v>
      </c>
      <c r="M237" s="105">
        <f t="shared" ca="1" si="72"/>
        <v>0</v>
      </c>
      <c r="N237" s="105">
        <f t="shared" ca="1" si="81"/>
        <v>0</v>
      </c>
      <c r="O237" s="105">
        <f t="shared" ca="1" si="73"/>
        <v>0</v>
      </c>
      <c r="P237" s="105">
        <f t="shared" ca="1" si="74"/>
        <v>0</v>
      </c>
      <c r="Q237" s="105">
        <f t="shared" ca="1" si="75"/>
        <v>0</v>
      </c>
      <c r="R237" s="105">
        <f t="shared" ca="1" si="76"/>
        <v>0</v>
      </c>
      <c r="S237" s="105">
        <f t="shared" ca="1" si="77"/>
        <v>10</v>
      </c>
    </row>
    <row r="238" spans="1:19" x14ac:dyDescent="0.35">
      <c r="A238" s="105">
        <f t="shared" ca="1" si="62"/>
        <v>317.83750000000043</v>
      </c>
      <c r="B238" s="105">
        <f t="shared" ca="1" si="63"/>
        <v>0</v>
      </c>
      <c r="C238" s="105">
        <f t="shared" ca="1" si="64"/>
        <v>0</v>
      </c>
      <c r="D238" s="105">
        <f t="shared" ca="1" si="65"/>
        <v>4.8100000000001417</v>
      </c>
      <c r="E238" s="105">
        <f t="shared" ca="1" si="66"/>
        <v>4.9500000000000144</v>
      </c>
      <c r="F238" s="105">
        <f t="shared" ca="1" si="67"/>
        <v>6.3025000000000144</v>
      </c>
      <c r="G238" s="105">
        <f t="shared" ca="1" si="78"/>
        <v>0</v>
      </c>
      <c r="H238" s="105">
        <f t="shared" ca="1" si="79"/>
        <v>0</v>
      </c>
      <c r="I238" s="105">
        <f t="shared" ca="1" si="68"/>
        <v>0</v>
      </c>
      <c r="J238" s="105">
        <f t="shared" ca="1" si="69"/>
        <v>0</v>
      </c>
      <c r="K238" s="105">
        <f t="shared" ca="1" si="70"/>
        <v>0</v>
      </c>
      <c r="L238" s="105">
        <f t="shared" ca="1" si="80"/>
        <v>0</v>
      </c>
      <c r="M238" s="105">
        <f t="shared" ca="1" si="72"/>
        <v>0</v>
      </c>
      <c r="N238" s="105">
        <f t="shared" ca="1" si="81"/>
        <v>0</v>
      </c>
      <c r="O238" s="105">
        <f t="shared" ca="1" si="73"/>
        <v>0</v>
      </c>
      <c r="P238" s="105">
        <f t="shared" ca="1" si="74"/>
        <v>0</v>
      </c>
      <c r="Q238" s="105">
        <f t="shared" ca="1" si="75"/>
        <v>0</v>
      </c>
      <c r="R238" s="105">
        <f t="shared" ca="1" si="76"/>
        <v>0</v>
      </c>
      <c r="S238" s="105">
        <f t="shared" ca="1" si="77"/>
        <v>10</v>
      </c>
    </row>
    <row r="239" spans="1:19" x14ac:dyDescent="0.35">
      <c r="A239" s="105">
        <f t="shared" ca="1" si="62"/>
        <v>319.19000000000045</v>
      </c>
      <c r="B239" s="105">
        <f t="shared" ca="1" si="63"/>
        <v>0</v>
      </c>
      <c r="C239" s="105">
        <f t="shared" ca="1" si="64"/>
        <v>0</v>
      </c>
      <c r="D239" s="105">
        <f t="shared" ca="1" si="65"/>
        <v>3.4575000000001417</v>
      </c>
      <c r="E239" s="105">
        <f t="shared" ca="1" si="66"/>
        <v>3.5975000000000144</v>
      </c>
      <c r="F239" s="105">
        <f t="shared" ca="1" si="67"/>
        <v>4.9500000000000144</v>
      </c>
      <c r="G239" s="105">
        <f t="shared" ca="1" si="78"/>
        <v>0</v>
      </c>
      <c r="H239" s="105">
        <f t="shared" ca="1" si="79"/>
        <v>0</v>
      </c>
      <c r="I239" s="105">
        <f t="shared" ca="1" si="68"/>
        <v>0</v>
      </c>
      <c r="J239" s="105">
        <f t="shared" ca="1" si="69"/>
        <v>0</v>
      </c>
      <c r="K239" s="105">
        <f t="shared" ca="1" si="70"/>
        <v>0</v>
      </c>
      <c r="L239" s="105">
        <f t="shared" ca="1" si="80"/>
        <v>0</v>
      </c>
      <c r="M239" s="105">
        <f t="shared" ca="1" si="72"/>
        <v>0</v>
      </c>
      <c r="N239" s="105">
        <f t="shared" ca="1" si="81"/>
        <v>0</v>
      </c>
      <c r="O239" s="105">
        <f t="shared" ca="1" si="73"/>
        <v>0</v>
      </c>
      <c r="P239" s="105">
        <f t="shared" ca="1" si="74"/>
        <v>0</v>
      </c>
      <c r="Q239" s="105">
        <f t="shared" ca="1" si="75"/>
        <v>0</v>
      </c>
      <c r="R239" s="105">
        <f t="shared" ca="1" si="76"/>
        <v>0</v>
      </c>
      <c r="S239" s="105">
        <f t="shared" ca="1" si="77"/>
        <v>10</v>
      </c>
    </row>
    <row r="240" spans="1:19" x14ac:dyDescent="0.35">
      <c r="A240" s="105">
        <f t="shared" ca="1" si="62"/>
        <v>320.54250000000047</v>
      </c>
      <c r="B240" s="105">
        <f t="shared" ca="1" si="63"/>
        <v>0</v>
      </c>
      <c r="C240" s="105">
        <f t="shared" ca="1" si="64"/>
        <v>0</v>
      </c>
      <c r="D240" s="105">
        <f t="shared" ca="1" si="65"/>
        <v>2.1050000000001416</v>
      </c>
      <c r="E240" s="105">
        <f t="shared" ca="1" si="66"/>
        <v>2.2450000000000143</v>
      </c>
      <c r="F240" s="105">
        <f t="shared" ca="1" si="67"/>
        <v>3.5975000000000144</v>
      </c>
      <c r="G240" s="105">
        <f t="shared" ca="1" si="78"/>
        <v>0</v>
      </c>
      <c r="H240" s="105">
        <f t="shared" ca="1" si="79"/>
        <v>0</v>
      </c>
      <c r="I240" s="105">
        <f t="shared" ca="1" si="68"/>
        <v>0</v>
      </c>
      <c r="J240" s="105">
        <f t="shared" ca="1" si="69"/>
        <v>0</v>
      </c>
      <c r="K240" s="105">
        <f t="shared" ca="1" si="70"/>
        <v>0</v>
      </c>
      <c r="L240" s="105">
        <f t="shared" ca="1" si="80"/>
        <v>0</v>
      </c>
      <c r="M240" s="105">
        <f t="shared" ca="1" si="72"/>
        <v>0</v>
      </c>
      <c r="N240" s="105">
        <f t="shared" ca="1" si="81"/>
        <v>0</v>
      </c>
      <c r="O240" s="105">
        <f t="shared" ca="1" si="73"/>
        <v>0</v>
      </c>
      <c r="P240" s="105">
        <f t="shared" ca="1" si="74"/>
        <v>0</v>
      </c>
      <c r="Q240" s="105">
        <f t="shared" ca="1" si="75"/>
        <v>0</v>
      </c>
      <c r="R240" s="105">
        <f t="shared" ca="1" si="76"/>
        <v>0</v>
      </c>
      <c r="S240" s="105">
        <f t="shared" ca="1" si="77"/>
        <v>10</v>
      </c>
    </row>
    <row r="241" spans="1:19" x14ac:dyDescent="0.35">
      <c r="A241" s="105">
        <f t="shared" ca="1" si="62"/>
        <v>321.89500000000049</v>
      </c>
      <c r="B241" s="105">
        <f t="shared" ca="1" si="63"/>
        <v>0</v>
      </c>
      <c r="C241" s="105">
        <f t="shared" ca="1" si="64"/>
        <v>0</v>
      </c>
      <c r="D241" s="105">
        <f t="shared" ca="1" si="65"/>
        <v>0.75250000000014161</v>
      </c>
      <c r="E241" s="105">
        <f t="shared" ca="1" si="66"/>
        <v>0.89250000000001428</v>
      </c>
      <c r="F241" s="105">
        <f t="shared" ca="1" si="67"/>
        <v>2.2450000000000143</v>
      </c>
      <c r="G241" s="105">
        <f t="shared" ca="1" si="78"/>
        <v>0</v>
      </c>
      <c r="H241" s="105">
        <f t="shared" ca="1" si="79"/>
        <v>0</v>
      </c>
      <c r="I241" s="105">
        <f t="shared" ca="1" si="68"/>
        <v>0</v>
      </c>
      <c r="J241" s="105">
        <f t="shared" ca="1" si="69"/>
        <v>0</v>
      </c>
      <c r="K241" s="105">
        <f t="shared" ca="1" si="70"/>
        <v>0</v>
      </c>
      <c r="L241" s="105">
        <f t="shared" ca="1" si="80"/>
        <v>0</v>
      </c>
      <c r="M241" s="105">
        <f t="shared" ca="1" si="72"/>
        <v>0</v>
      </c>
      <c r="N241" s="105">
        <f t="shared" ca="1" si="81"/>
        <v>0</v>
      </c>
      <c r="O241" s="105">
        <f t="shared" ca="1" si="73"/>
        <v>0</v>
      </c>
      <c r="P241" s="105">
        <f t="shared" ca="1" si="74"/>
        <v>0</v>
      </c>
      <c r="Q241" s="105">
        <f t="shared" ca="1" si="75"/>
        <v>0</v>
      </c>
      <c r="R241" s="105">
        <f t="shared" ca="1" si="76"/>
        <v>0</v>
      </c>
      <c r="S241" s="105">
        <f t="shared" ca="1" si="77"/>
        <v>10</v>
      </c>
    </row>
    <row r="242" spans="1:19" x14ac:dyDescent="0.35">
      <c r="A242" s="105">
        <f t="shared" ca="1" si="62"/>
        <v>323.24750000000051</v>
      </c>
      <c r="B242" s="105">
        <f t="shared" ca="1" si="63"/>
        <v>0</v>
      </c>
      <c r="C242" s="105">
        <f t="shared" ca="1" si="64"/>
        <v>1</v>
      </c>
      <c r="D242" s="105">
        <f t="shared" ca="1" si="65"/>
        <v>35.400000000000141</v>
      </c>
      <c r="E242" s="105">
        <f t="shared" ca="1" si="66"/>
        <v>0</v>
      </c>
      <c r="F242" s="105">
        <f t="shared" ca="1" si="67"/>
        <v>0.89250000000001428</v>
      </c>
      <c r="G242" s="105">
        <f t="shared" ca="1" si="78"/>
        <v>0</v>
      </c>
      <c r="H242" s="105">
        <f t="shared" ca="1" si="79"/>
        <v>0</v>
      </c>
      <c r="I242" s="105">
        <f t="shared" ca="1" si="68"/>
        <v>0</v>
      </c>
      <c r="J242" s="105">
        <f t="shared" ca="1" si="69"/>
        <v>0</v>
      </c>
      <c r="K242" s="105">
        <f t="shared" ca="1" si="70"/>
        <v>0</v>
      </c>
      <c r="L242" s="105">
        <f t="shared" ca="1" si="80"/>
        <v>0</v>
      </c>
      <c r="M242" s="105">
        <f t="shared" ca="1" si="72"/>
        <v>0</v>
      </c>
      <c r="N242" s="105">
        <f t="shared" ca="1" si="81"/>
        <v>0</v>
      </c>
      <c r="O242" s="105">
        <f t="shared" ca="1" si="73"/>
        <v>0</v>
      </c>
      <c r="P242" s="105">
        <f t="shared" ca="1" si="74"/>
        <v>0</v>
      </c>
      <c r="Q242" s="105">
        <f t="shared" ca="1" si="75"/>
        <v>0</v>
      </c>
      <c r="R242" s="105">
        <f t="shared" ca="1" si="76"/>
        <v>0</v>
      </c>
      <c r="S242" s="105">
        <f t="shared" ca="1" si="77"/>
        <v>10</v>
      </c>
    </row>
    <row r="243" spans="1:19" x14ac:dyDescent="0.35">
      <c r="A243" s="105">
        <f t="shared" ca="1" si="62"/>
        <v>324.60000000000053</v>
      </c>
      <c r="B243" s="105">
        <f t="shared" ca="1" si="63"/>
        <v>0</v>
      </c>
      <c r="C243" s="105">
        <f t="shared" ca="1" si="64"/>
        <v>1</v>
      </c>
      <c r="D243" s="105">
        <f t="shared" ca="1" si="65"/>
        <v>34.047500000000142</v>
      </c>
      <c r="E243" s="105">
        <f t="shared" ca="1" si="66"/>
        <v>0</v>
      </c>
      <c r="F243" s="105">
        <f t="shared" ca="1" si="67"/>
        <v>0</v>
      </c>
      <c r="G243" s="105">
        <f t="shared" ca="1" si="78"/>
        <v>0</v>
      </c>
      <c r="H243" s="105">
        <f t="shared" ca="1" si="79"/>
        <v>0</v>
      </c>
      <c r="I243" s="105">
        <f t="shared" ca="1" si="68"/>
        <v>0</v>
      </c>
      <c r="J243" s="105">
        <f t="shared" ca="1" si="69"/>
        <v>0</v>
      </c>
      <c r="K243" s="105">
        <f t="shared" ca="1" si="70"/>
        <v>0</v>
      </c>
      <c r="L243" s="105">
        <f t="shared" ca="1" si="80"/>
        <v>0</v>
      </c>
      <c r="M243" s="105">
        <f t="shared" ca="1" si="72"/>
        <v>0</v>
      </c>
      <c r="N243" s="105">
        <f t="shared" ca="1" si="81"/>
        <v>0</v>
      </c>
      <c r="O243" s="105">
        <f t="shared" ca="1" si="73"/>
        <v>0</v>
      </c>
      <c r="P243" s="105">
        <f t="shared" ca="1" si="74"/>
        <v>0</v>
      </c>
      <c r="Q243" s="105">
        <f t="shared" ca="1" si="75"/>
        <v>0</v>
      </c>
      <c r="R243" s="105">
        <f t="shared" ca="1" si="76"/>
        <v>0</v>
      </c>
      <c r="S243" s="105">
        <f t="shared" ca="1" si="77"/>
        <v>10</v>
      </c>
    </row>
    <row r="244" spans="1:19" x14ac:dyDescent="0.35">
      <c r="A244" s="105">
        <f t="shared" ca="1" si="62"/>
        <v>325.95250000000055</v>
      </c>
      <c r="B244" s="105">
        <f t="shared" ca="1" si="63"/>
        <v>0</v>
      </c>
      <c r="C244" s="105">
        <f t="shared" ca="1" si="64"/>
        <v>1</v>
      </c>
      <c r="D244" s="105">
        <f t="shared" ca="1" si="65"/>
        <v>32.695000000000142</v>
      </c>
      <c r="E244" s="105">
        <f t="shared" ca="1" si="66"/>
        <v>0</v>
      </c>
      <c r="F244" s="105">
        <f t="shared" ca="1" si="67"/>
        <v>0</v>
      </c>
      <c r="G244" s="105">
        <f t="shared" ca="1" si="78"/>
        <v>0</v>
      </c>
      <c r="H244" s="105">
        <f t="shared" ca="1" si="79"/>
        <v>0</v>
      </c>
      <c r="I244" s="105">
        <f t="shared" ca="1" si="68"/>
        <v>0</v>
      </c>
      <c r="J244" s="105">
        <f t="shared" ca="1" si="69"/>
        <v>0</v>
      </c>
      <c r="K244" s="105">
        <f t="shared" ca="1" si="70"/>
        <v>0</v>
      </c>
      <c r="L244" s="105">
        <f t="shared" ca="1" si="80"/>
        <v>0</v>
      </c>
      <c r="M244" s="105">
        <f t="shared" ca="1" si="72"/>
        <v>0</v>
      </c>
      <c r="N244" s="105">
        <f t="shared" ca="1" si="81"/>
        <v>0</v>
      </c>
      <c r="O244" s="105">
        <f t="shared" ca="1" si="73"/>
        <v>0</v>
      </c>
      <c r="P244" s="105">
        <f t="shared" ca="1" si="74"/>
        <v>0</v>
      </c>
      <c r="Q244" s="105">
        <f t="shared" ca="1" si="75"/>
        <v>0</v>
      </c>
      <c r="R244" s="105">
        <f t="shared" ca="1" si="76"/>
        <v>0</v>
      </c>
      <c r="S244" s="105">
        <f t="shared" ca="1" si="77"/>
        <v>10</v>
      </c>
    </row>
    <row r="245" spans="1:19" x14ac:dyDescent="0.35">
      <c r="A245" s="105">
        <f t="shared" ca="1" si="62"/>
        <v>327.30500000000058</v>
      </c>
      <c r="B245" s="105">
        <f t="shared" ca="1" si="63"/>
        <v>0</v>
      </c>
      <c r="C245" s="105">
        <f t="shared" ca="1" si="64"/>
        <v>1</v>
      </c>
      <c r="D245" s="105">
        <f t="shared" ca="1" si="65"/>
        <v>31.342500000000143</v>
      </c>
      <c r="E245" s="105">
        <f t="shared" ca="1" si="66"/>
        <v>0</v>
      </c>
      <c r="F245" s="105">
        <f t="shared" ca="1" si="67"/>
        <v>0</v>
      </c>
      <c r="G245" s="105">
        <f t="shared" ca="1" si="78"/>
        <v>0</v>
      </c>
      <c r="H245" s="105">
        <f t="shared" ca="1" si="79"/>
        <v>0</v>
      </c>
      <c r="I245" s="105">
        <f t="shared" ca="1" si="68"/>
        <v>0</v>
      </c>
      <c r="J245" s="105">
        <f t="shared" ca="1" si="69"/>
        <v>0</v>
      </c>
      <c r="K245" s="105">
        <f t="shared" ca="1" si="70"/>
        <v>0</v>
      </c>
      <c r="L245" s="105">
        <f t="shared" ca="1" si="80"/>
        <v>0</v>
      </c>
      <c r="M245" s="105">
        <f t="shared" ca="1" si="72"/>
        <v>0</v>
      </c>
      <c r="N245" s="105">
        <f t="shared" ca="1" si="81"/>
        <v>0</v>
      </c>
      <c r="O245" s="105">
        <f t="shared" ca="1" si="73"/>
        <v>0</v>
      </c>
      <c r="P245" s="105">
        <f t="shared" ca="1" si="74"/>
        <v>0</v>
      </c>
      <c r="Q245" s="105">
        <f t="shared" ca="1" si="75"/>
        <v>0</v>
      </c>
      <c r="R245" s="105">
        <f t="shared" ca="1" si="76"/>
        <v>0</v>
      </c>
      <c r="S245" s="105">
        <f t="shared" ca="1" si="77"/>
        <v>10</v>
      </c>
    </row>
    <row r="246" spans="1:19" x14ac:dyDescent="0.35">
      <c r="A246" s="105">
        <f t="shared" ca="1" si="62"/>
        <v>328.6575000000006</v>
      </c>
      <c r="B246" s="105">
        <f t="shared" ca="1" si="63"/>
        <v>0</v>
      </c>
      <c r="C246" s="105">
        <f t="shared" ca="1" si="64"/>
        <v>1</v>
      </c>
      <c r="D246" s="105">
        <f t="shared" ca="1" si="65"/>
        <v>29.990000000000144</v>
      </c>
      <c r="E246" s="105">
        <f t="shared" ca="1" si="66"/>
        <v>0</v>
      </c>
      <c r="F246" s="105">
        <f t="shared" ca="1" si="67"/>
        <v>0</v>
      </c>
      <c r="G246" s="105">
        <f t="shared" ca="1" si="78"/>
        <v>0</v>
      </c>
      <c r="H246" s="105">
        <f t="shared" ca="1" si="79"/>
        <v>0</v>
      </c>
      <c r="I246" s="105">
        <f t="shared" ca="1" si="68"/>
        <v>0</v>
      </c>
      <c r="J246" s="105">
        <f t="shared" ca="1" si="69"/>
        <v>0</v>
      </c>
      <c r="K246" s="105">
        <f t="shared" ca="1" si="70"/>
        <v>0</v>
      </c>
      <c r="L246" s="105">
        <f t="shared" ca="1" si="80"/>
        <v>0</v>
      </c>
      <c r="M246" s="105">
        <f t="shared" ca="1" si="72"/>
        <v>0</v>
      </c>
      <c r="N246" s="105">
        <f t="shared" ca="1" si="81"/>
        <v>0</v>
      </c>
      <c r="O246" s="105">
        <f t="shared" ca="1" si="73"/>
        <v>0</v>
      </c>
      <c r="P246" s="105">
        <f t="shared" ca="1" si="74"/>
        <v>0</v>
      </c>
      <c r="Q246" s="105">
        <f t="shared" ca="1" si="75"/>
        <v>0</v>
      </c>
      <c r="R246" s="105">
        <f t="shared" ca="1" si="76"/>
        <v>0</v>
      </c>
      <c r="S246" s="105">
        <f t="shared" ca="1" si="77"/>
        <v>10</v>
      </c>
    </row>
    <row r="247" spans="1:19" x14ac:dyDescent="0.35">
      <c r="A247" s="105">
        <f t="shared" ca="1" si="62"/>
        <v>330.01000000000062</v>
      </c>
      <c r="B247" s="105">
        <f t="shared" ca="1" si="63"/>
        <v>0</v>
      </c>
      <c r="C247" s="105">
        <f t="shared" ca="1" si="64"/>
        <v>1</v>
      </c>
      <c r="D247" s="105">
        <f t="shared" ca="1" si="65"/>
        <v>28.637500000000145</v>
      </c>
      <c r="E247" s="105">
        <f t="shared" ca="1" si="66"/>
        <v>0</v>
      </c>
      <c r="F247" s="105">
        <f t="shared" ca="1" si="67"/>
        <v>0</v>
      </c>
      <c r="G247" s="105">
        <f t="shared" ca="1" si="78"/>
        <v>0</v>
      </c>
      <c r="H247" s="105">
        <f t="shared" ca="1" si="79"/>
        <v>0</v>
      </c>
      <c r="I247" s="105">
        <f t="shared" ca="1" si="68"/>
        <v>0</v>
      </c>
      <c r="J247" s="105">
        <f t="shared" ca="1" si="69"/>
        <v>0</v>
      </c>
      <c r="K247" s="105">
        <f t="shared" ca="1" si="70"/>
        <v>0</v>
      </c>
      <c r="L247" s="105">
        <f t="shared" ca="1" si="80"/>
        <v>0</v>
      </c>
      <c r="M247" s="105">
        <f t="shared" ca="1" si="72"/>
        <v>0</v>
      </c>
      <c r="N247" s="105">
        <f t="shared" ca="1" si="81"/>
        <v>0</v>
      </c>
      <c r="O247" s="105">
        <f t="shared" ca="1" si="73"/>
        <v>0</v>
      </c>
      <c r="P247" s="105">
        <f t="shared" ca="1" si="74"/>
        <v>0</v>
      </c>
      <c r="Q247" s="105">
        <f t="shared" ca="1" si="75"/>
        <v>0</v>
      </c>
      <c r="R247" s="105">
        <f t="shared" ca="1" si="76"/>
        <v>0</v>
      </c>
      <c r="S247" s="105">
        <f t="shared" ca="1" si="77"/>
        <v>10</v>
      </c>
    </row>
    <row r="248" spans="1:19" x14ac:dyDescent="0.35">
      <c r="A248" s="105">
        <f t="shared" ca="1" si="62"/>
        <v>331.36250000000064</v>
      </c>
      <c r="B248" s="105">
        <f t="shared" ca="1" si="63"/>
        <v>0</v>
      </c>
      <c r="C248" s="105">
        <f t="shared" ca="1" si="64"/>
        <v>1</v>
      </c>
      <c r="D248" s="105">
        <f t="shared" ca="1" si="65"/>
        <v>27.285000000000146</v>
      </c>
      <c r="E248" s="105">
        <f t="shared" ca="1" si="66"/>
        <v>0</v>
      </c>
      <c r="F248" s="105">
        <f t="shared" ca="1" si="67"/>
        <v>0</v>
      </c>
      <c r="G248" s="105">
        <f t="shared" ca="1" si="78"/>
        <v>0</v>
      </c>
      <c r="H248" s="105">
        <f t="shared" ca="1" si="79"/>
        <v>0</v>
      </c>
      <c r="I248" s="105">
        <f t="shared" ca="1" si="68"/>
        <v>0</v>
      </c>
      <c r="J248" s="105">
        <f t="shared" ca="1" si="69"/>
        <v>0</v>
      </c>
      <c r="K248" s="105">
        <f t="shared" ca="1" si="70"/>
        <v>0</v>
      </c>
      <c r="L248" s="105">
        <f t="shared" ca="1" si="80"/>
        <v>0</v>
      </c>
      <c r="M248" s="105">
        <f t="shared" ca="1" si="72"/>
        <v>0</v>
      </c>
      <c r="N248" s="105">
        <f t="shared" ca="1" si="81"/>
        <v>0</v>
      </c>
      <c r="O248" s="105">
        <f t="shared" ca="1" si="73"/>
        <v>0</v>
      </c>
      <c r="P248" s="105">
        <f t="shared" ca="1" si="74"/>
        <v>0</v>
      </c>
      <c r="Q248" s="105">
        <f t="shared" ca="1" si="75"/>
        <v>0</v>
      </c>
      <c r="R248" s="105">
        <f t="shared" ca="1" si="76"/>
        <v>0</v>
      </c>
      <c r="S248" s="105">
        <f t="shared" ca="1" si="77"/>
        <v>10</v>
      </c>
    </row>
    <row r="249" spans="1:19" x14ac:dyDescent="0.35">
      <c r="A249" s="105">
        <f t="shared" ca="1" si="62"/>
        <v>332.71500000000066</v>
      </c>
      <c r="B249" s="105">
        <f t="shared" ca="1" si="63"/>
        <v>0</v>
      </c>
      <c r="C249" s="105">
        <f t="shared" ca="1" si="64"/>
        <v>1</v>
      </c>
      <c r="D249" s="105">
        <f t="shared" ca="1" si="65"/>
        <v>25.932500000000147</v>
      </c>
      <c r="E249" s="105">
        <f t="shared" ca="1" si="66"/>
        <v>0</v>
      </c>
      <c r="F249" s="105">
        <f t="shared" ca="1" si="67"/>
        <v>0</v>
      </c>
      <c r="G249" s="105">
        <f t="shared" ca="1" si="78"/>
        <v>0</v>
      </c>
      <c r="H249" s="105">
        <f t="shared" ca="1" si="79"/>
        <v>0</v>
      </c>
      <c r="I249" s="105">
        <f t="shared" ca="1" si="68"/>
        <v>0</v>
      </c>
      <c r="J249" s="105">
        <f t="shared" ca="1" si="69"/>
        <v>0</v>
      </c>
      <c r="K249" s="105">
        <f t="shared" ca="1" si="70"/>
        <v>0</v>
      </c>
      <c r="L249" s="105">
        <f t="shared" ca="1" si="80"/>
        <v>0</v>
      </c>
      <c r="M249" s="105">
        <f t="shared" ca="1" si="72"/>
        <v>0</v>
      </c>
      <c r="N249" s="105">
        <f t="shared" ca="1" si="81"/>
        <v>0</v>
      </c>
      <c r="O249" s="105">
        <f t="shared" ca="1" si="73"/>
        <v>0</v>
      </c>
      <c r="P249" s="105">
        <f t="shared" ca="1" si="74"/>
        <v>0</v>
      </c>
      <c r="Q249" s="105">
        <f t="shared" ca="1" si="75"/>
        <v>0</v>
      </c>
      <c r="R249" s="105">
        <f t="shared" ca="1" si="76"/>
        <v>0</v>
      </c>
      <c r="S249" s="105">
        <f t="shared" ca="1" si="77"/>
        <v>10</v>
      </c>
    </row>
    <row r="250" spans="1:19" x14ac:dyDescent="0.35">
      <c r="A250" s="105">
        <f t="shared" ca="1" si="62"/>
        <v>334.06750000000068</v>
      </c>
      <c r="B250" s="105">
        <f t="shared" ca="1" si="63"/>
        <v>0</v>
      </c>
      <c r="C250" s="105">
        <f t="shared" ca="1" si="64"/>
        <v>1</v>
      </c>
      <c r="D250" s="105">
        <f t="shared" ca="1" si="65"/>
        <v>24.580000000000148</v>
      </c>
      <c r="E250" s="105">
        <f t="shared" ca="1" si="66"/>
        <v>0</v>
      </c>
      <c r="F250" s="105">
        <f t="shared" ca="1" si="67"/>
        <v>0</v>
      </c>
      <c r="G250" s="105">
        <f t="shared" ca="1" si="78"/>
        <v>0</v>
      </c>
      <c r="H250" s="105">
        <f t="shared" ca="1" si="79"/>
        <v>0</v>
      </c>
      <c r="I250" s="105">
        <f t="shared" ca="1" si="68"/>
        <v>0</v>
      </c>
      <c r="J250" s="105">
        <f t="shared" ca="1" si="69"/>
        <v>0</v>
      </c>
      <c r="K250" s="105">
        <f t="shared" ca="1" si="70"/>
        <v>0</v>
      </c>
      <c r="L250" s="105">
        <f t="shared" ca="1" si="80"/>
        <v>0</v>
      </c>
      <c r="M250" s="105">
        <f t="shared" ca="1" si="72"/>
        <v>0</v>
      </c>
      <c r="N250" s="105">
        <f t="shared" ca="1" si="81"/>
        <v>0</v>
      </c>
      <c r="O250" s="105">
        <f t="shared" ca="1" si="73"/>
        <v>0</v>
      </c>
      <c r="P250" s="105">
        <f t="shared" ca="1" si="74"/>
        <v>0</v>
      </c>
      <c r="Q250" s="105">
        <f t="shared" ca="1" si="75"/>
        <v>0</v>
      </c>
      <c r="R250" s="105">
        <f t="shared" ca="1" si="76"/>
        <v>0</v>
      </c>
      <c r="S250" s="105">
        <f t="shared" ca="1" si="77"/>
        <v>10</v>
      </c>
    </row>
    <row r="251" spans="1:19" x14ac:dyDescent="0.35">
      <c r="A251" s="105">
        <f t="shared" ca="1" si="62"/>
        <v>335.4200000000007</v>
      </c>
      <c r="B251" s="105">
        <f t="shared" ca="1" si="63"/>
        <v>0</v>
      </c>
      <c r="C251" s="105">
        <f t="shared" ca="1" si="64"/>
        <v>1</v>
      </c>
      <c r="D251" s="105">
        <f t="shared" ca="1" si="65"/>
        <v>23.227500000000148</v>
      </c>
      <c r="E251" s="105">
        <f t="shared" ca="1" si="66"/>
        <v>0</v>
      </c>
      <c r="F251" s="105">
        <f t="shared" ca="1" si="67"/>
        <v>0</v>
      </c>
      <c r="G251" s="105">
        <f t="shared" ca="1" si="78"/>
        <v>0</v>
      </c>
      <c r="H251" s="105">
        <f t="shared" ca="1" si="79"/>
        <v>0</v>
      </c>
      <c r="I251" s="105">
        <f t="shared" ca="1" si="68"/>
        <v>0</v>
      </c>
      <c r="J251" s="105">
        <f t="shared" ca="1" si="69"/>
        <v>0</v>
      </c>
      <c r="K251" s="105">
        <f t="shared" ca="1" si="70"/>
        <v>0</v>
      </c>
      <c r="L251" s="105">
        <f t="shared" ca="1" si="80"/>
        <v>0</v>
      </c>
      <c r="M251" s="105">
        <f t="shared" ca="1" si="72"/>
        <v>0</v>
      </c>
      <c r="N251" s="105">
        <f t="shared" ca="1" si="81"/>
        <v>0</v>
      </c>
      <c r="O251" s="105">
        <f t="shared" ca="1" si="73"/>
        <v>0</v>
      </c>
      <c r="P251" s="105">
        <f t="shared" ca="1" si="74"/>
        <v>0</v>
      </c>
      <c r="Q251" s="105">
        <f t="shared" ca="1" si="75"/>
        <v>0</v>
      </c>
      <c r="R251" s="105">
        <f t="shared" ca="1" si="76"/>
        <v>0</v>
      </c>
      <c r="S251" s="105">
        <f t="shared" ca="1" si="77"/>
        <v>10</v>
      </c>
    </row>
    <row r="252" spans="1:19" x14ac:dyDescent="0.35">
      <c r="A252" s="105">
        <f t="shared" ca="1" si="62"/>
        <v>336.77250000000072</v>
      </c>
      <c r="B252" s="105">
        <f t="shared" ca="1" si="63"/>
        <v>0</v>
      </c>
      <c r="C252" s="105">
        <f t="shared" ca="1" si="64"/>
        <v>1</v>
      </c>
      <c r="D252" s="105">
        <f t="shared" ca="1" si="65"/>
        <v>21.875000000000149</v>
      </c>
      <c r="E252" s="105">
        <f t="shared" ca="1" si="66"/>
        <v>0</v>
      </c>
      <c r="F252" s="105">
        <f t="shared" ca="1" si="67"/>
        <v>0</v>
      </c>
      <c r="G252" s="105">
        <f t="shared" ca="1" si="78"/>
        <v>0</v>
      </c>
      <c r="H252" s="105">
        <f t="shared" ca="1" si="79"/>
        <v>0</v>
      </c>
      <c r="I252" s="105">
        <f t="shared" ca="1" si="68"/>
        <v>0</v>
      </c>
      <c r="J252" s="105">
        <f t="shared" ca="1" si="69"/>
        <v>0</v>
      </c>
      <c r="K252" s="105">
        <f t="shared" ca="1" si="70"/>
        <v>0</v>
      </c>
      <c r="L252" s="105">
        <f t="shared" ca="1" si="80"/>
        <v>0</v>
      </c>
      <c r="M252" s="105">
        <f t="shared" ca="1" si="72"/>
        <v>0</v>
      </c>
      <c r="N252" s="105">
        <f t="shared" ca="1" si="81"/>
        <v>0</v>
      </c>
      <c r="O252" s="105">
        <f t="shared" ca="1" si="73"/>
        <v>0</v>
      </c>
      <c r="P252" s="105">
        <f t="shared" ca="1" si="74"/>
        <v>0</v>
      </c>
      <c r="Q252" s="105">
        <f t="shared" ca="1" si="75"/>
        <v>0</v>
      </c>
      <c r="R252" s="105">
        <f t="shared" ca="1" si="76"/>
        <v>0</v>
      </c>
      <c r="S252" s="105">
        <f t="shared" ca="1" si="77"/>
        <v>10</v>
      </c>
    </row>
    <row r="253" spans="1:19" x14ac:dyDescent="0.35">
      <c r="A253" s="105">
        <f t="shared" ca="1" si="62"/>
        <v>338.12500000000074</v>
      </c>
      <c r="B253" s="105">
        <f t="shared" ca="1" si="63"/>
        <v>0</v>
      </c>
      <c r="C253" s="105">
        <f t="shared" ca="1" si="64"/>
        <v>1</v>
      </c>
      <c r="D253" s="105">
        <f t="shared" ca="1" si="65"/>
        <v>20.52250000000015</v>
      </c>
      <c r="E253" s="105">
        <f t="shared" ca="1" si="66"/>
        <v>0</v>
      </c>
      <c r="F253" s="105">
        <f t="shared" ca="1" si="67"/>
        <v>0</v>
      </c>
      <c r="G253" s="105">
        <f t="shared" ca="1" si="78"/>
        <v>0</v>
      </c>
      <c r="H253" s="105">
        <f t="shared" ca="1" si="79"/>
        <v>0</v>
      </c>
      <c r="I253" s="105">
        <f t="shared" ca="1" si="68"/>
        <v>0</v>
      </c>
      <c r="J253" s="105">
        <f t="shared" ca="1" si="69"/>
        <v>0</v>
      </c>
      <c r="K253" s="105">
        <f t="shared" ca="1" si="70"/>
        <v>0</v>
      </c>
      <c r="L253" s="105">
        <f t="shared" ca="1" si="80"/>
        <v>0</v>
      </c>
      <c r="M253" s="105">
        <f t="shared" ca="1" si="72"/>
        <v>0</v>
      </c>
      <c r="N253" s="105">
        <f t="shared" ca="1" si="81"/>
        <v>0</v>
      </c>
      <c r="O253" s="105">
        <f t="shared" ca="1" si="73"/>
        <v>0</v>
      </c>
      <c r="P253" s="105">
        <f t="shared" ca="1" si="74"/>
        <v>0</v>
      </c>
      <c r="Q253" s="105">
        <f t="shared" ca="1" si="75"/>
        <v>0</v>
      </c>
      <c r="R253" s="105">
        <f t="shared" ca="1" si="76"/>
        <v>0</v>
      </c>
      <c r="S253" s="105">
        <f t="shared" ca="1" si="77"/>
        <v>10</v>
      </c>
    </row>
    <row r="254" spans="1:19" x14ac:dyDescent="0.35">
      <c r="A254" s="105">
        <f t="shared" ca="1" si="62"/>
        <v>339.47750000000076</v>
      </c>
      <c r="B254" s="105">
        <f t="shared" ca="1" si="63"/>
        <v>0</v>
      </c>
      <c r="C254" s="105">
        <f t="shared" ca="1" si="64"/>
        <v>1</v>
      </c>
      <c r="D254" s="105">
        <f t="shared" ca="1" si="65"/>
        <v>19.170000000000151</v>
      </c>
      <c r="E254" s="105">
        <f t="shared" ca="1" si="66"/>
        <v>0</v>
      </c>
      <c r="F254" s="105">
        <f t="shared" ca="1" si="67"/>
        <v>0</v>
      </c>
      <c r="G254" s="105">
        <f t="shared" ca="1" si="78"/>
        <v>0</v>
      </c>
      <c r="H254" s="105">
        <f t="shared" ca="1" si="79"/>
        <v>0</v>
      </c>
      <c r="I254" s="105">
        <f t="shared" ca="1" si="68"/>
        <v>0</v>
      </c>
      <c r="J254" s="105">
        <f t="shared" ca="1" si="69"/>
        <v>0</v>
      </c>
      <c r="K254" s="105">
        <f t="shared" ca="1" si="70"/>
        <v>0</v>
      </c>
      <c r="L254" s="105">
        <f t="shared" ca="1" si="80"/>
        <v>0</v>
      </c>
      <c r="M254" s="105">
        <f t="shared" ca="1" si="72"/>
        <v>0</v>
      </c>
      <c r="N254" s="105">
        <f t="shared" ca="1" si="81"/>
        <v>0</v>
      </c>
      <c r="O254" s="105">
        <f t="shared" ca="1" si="73"/>
        <v>0</v>
      </c>
      <c r="P254" s="105">
        <f t="shared" ca="1" si="74"/>
        <v>0</v>
      </c>
      <c r="Q254" s="105">
        <f t="shared" ca="1" si="75"/>
        <v>0</v>
      </c>
      <c r="R254" s="105">
        <f t="shared" ca="1" si="76"/>
        <v>0</v>
      </c>
      <c r="S254" s="105">
        <f t="shared" ca="1" si="77"/>
        <v>10</v>
      </c>
    </row>
    <row r="255" spans="1:19" x14ac:dyDescent="0.35">
      <c r="A255" s="105">
        <f t="shared" ca="1" si="62"/>
        <v>340.83000000000078</v>
      </c>
      <c r="B255" s="105">
        <f t="shared" ca="1" si="63"/>
        <v>0</v>
      </c>
      <c r="C255" s="105">
        <f t="shared" ca="1" si="64"/>
        <v>1</v>
      </c>
      <c r="D255" s="105">
        <f t="shared" ca="1" si="65"/>
        <v>17.817500000000152</v>
      </c>
      <c r="E255" s="105">
        <f t="shared" ca="1" si="66"/>
        <v>0</v>
      </c>
      <c r="F255" s="105">
        <f t="shared" ca="1" si="67"/>
        <v>0</v>
      </c>
      <c r="G255" s="105">
        <f t="shared" ca="1" si="78"/>
        <v>0</v>
      </c>
      <c r="H255" s="105">
        <f t="shared" ca="1" si="79"/>
        <v>0</v>
      </c>
      <c r="I255" s="105">
        <f t="shared" ca="1" si="68"/>
        <v>0</v>
      </c>
      <c r="J255" s="105">
        <f t="shared" ca="1" si="69"/>
        <v>0</v>
      </c>
      <c r="K255" s="105">
        <f t="shared" ca="1" si="70"/>
        <v>0</v>
      </c>
      <c r="L255" s="105">
        <f t="shared" ca="1" si="80"/>
        <v>0</v>
      </c>
      <c r="M255" s="105">
        <f t="shared" ca="1" si="72"/>
        <v>0</v>
      </c>
      <c r="N255" s="105">
        <f t="shared" ca="1" si="81"/>
        <v>0</v>
      </c>
      <c r="O255" s="105">
        <f t="shared" ca="1" si="73"/>
        <v>0</v>
      </c>
      <c r="P255" s="105">
        <f t="shared" ca="1" si="74"/>
        <v>0</v>
      </c>
      <c r="Q255" s="105">
        <f t="shared" ca="1" si="75"/>
        <v>0</v>
      </c>
      <c r="R255" s="105">
        <f t="shared" ca="1" si="76"/>
        <v>0</v>
      </c>
      <c r="S255" s="105">
        <f t="shared" ca="1" si="77"/>
        <v>10</v>
      </c>
    </row>
    <row r="256" spans="1:19" x14ac:dyDescent="0.35">
      <c r="A256" s="105">
        <f t="shared" ca="1" si="62"/>
        <v>342.1825000000008</v>
      </c>
      <c r="B256" s="105">
        <f t="shared" ca="1" si="63"/>
        <v>0</v>
      </c>
      <c r="C256" s="105">
        <f t="shared" ca="1" si="64"/>
        <v>1</v>
      </c>
      <c r="D256" s="105">
        <f t="shared" ca="1" si="65"/>
        <v>16.465000000000153</v>
      </c>
      <c r="E256" s="105">
        <f t="shared" ca="1" si="66"/>
        <v>0</v>
      </c>
      <c r="F256" s="105">
        <f t="shared" ca="1" si="67"/>
        <v>0</v>
      </c>
      <c r="G256" s="105">
        <f t="shared" ca="1" si="78"/>
        <v>0</v>
      </c>
      <c r="H256" s="105">
        <f t="shared" ca="1" si="79"/>
        <v>0</v>
      </c>
      <c r="I256" s="105">
        <f t="shared" ca="1" si="68"/>
        <v>0</v>
      </c>
      <c r="J256" s="105">
        <f t="shared" ca="1" si="69"/>
        <v>0</v>
      </c>
      <c r="K256" s="105">
        <f t="shared" ca="1" si="70"/>
        <v>0</v>
      </c>
      <c r="L256" s="105">
        <f t="shared" ca="1" si="80"/>
        <v>0</v>
      </c>
      <c r="M256" s="105">
        <f t="shared" ca="1" si="72"/>
        <v>0</v>
      </c>
      <c r="N256" s="105">
        <f t="shared" ca="1" si="81"/>
        <v>0</v>
      </c>
      <c r="O256" s="105">
        <f t="shared" ca="1" si="73"/>
        <v>0</v>
      </c>
      <c r="P256" s="105">
        <f t="shared" ca="1" si="74"/>
        <v>0</v>
      </c>
      <c r="Q256" s="105">
        <f t="shared" ca="1" si="75"/>
        <v>0</v>
      </c>
      <c r="R256" s="105">
        <f t="shared" ca="1" si="76"/>
        <v>0</v>
      </c>
      <c r="S256" s="105">
        <f t="shared" ca="1" si="77"/>
        <v>10</v>
      </c>
    </row>
    <row r="257" spans="1:19" x14ac:dyDescent="0.35">
      <c r="A257" s="105">
        <f t="shared" ca="1" si="62"/>
        <v>343.53500000000082</v>
      </c>
      <c r="B257" s="105">
        <f t="shared" ca="1" si="63"/>
        <v>0</v>
      </c>
      <c r="C257" s="105">
        <f t="shared" ca="1" si="64"/>
        <v>1</v>
      </c>
      <c r="D257" s="105">
        <f t="shared" ca="1" si="65"/>
        <v>15.112500000000153</v>
      </c>
      <c r="E257" s="105">
        <f t="shared" ca="1" si="66"/>
        <v>0</v>
      </c>
      <c r="F257" s="105">
        <f t="shared" ca="1" si="67"/>
        <v>0</v>
      </c>
      <c r="G257" s="105">
        <f t="shared" ca="1" si="78"/>
        <v>0</v>
      </c>
      <c r="H257" s="105">
        <f t="shared" ca="1" si="79"/>
        <v>0</v>
      </c>
      <c r="I257" s="105">
        <f t="shared" ca="1" si="68"/>
        <v>0</v>
      </c>
      <c r="J257" s="105">
        <f t="shared" ca="1" si="69"/>
        <v>0</v>
      </c>
      <c r="K257" s="105">
        <f t="shared" ca="1" si="70"/>
        <v>0</v>
      </c>
      <c r="L257" s="105">
        <f t="shared" ca="1" si="80"/>
        <v>0</v>
      </c>
      <c r="M257" s="105">
        <f t="shared" ca="1" si="72"/>
        <v>0</v>
      </c>
      <c r="N257" s="105">
        <f t="shared" ca="1" si="81"/>
        <v>0</v>
      </c>
      <c r="O257" s="105">
        <f t="shared" ca="1" si="73"/>
        <v>0</v>
      </c>
      <c r="P257" s="105">
        <f t="shared" ca="1" si="74"/>
        <v>0</v>
      </c>
      <c r="Q257" s="105">
        <f t="shared" ca="1" si="75"/>
        <v>0</v>
      </c>
      <c r="R257" s="105">
        <f t="shared" ca="1" si="76"/>
        <v>0</v>
      </c>
      <c r="S257" s="105">
        <f t="shared" ca="1" si="77"/>
        <v>10</v>
      </c>
    </row>
    <row r="258" spans="1:19" x14ac:dyDescent="0.35">
      <c r="A258" s="105">
        <f t="shared" ca="1" si="62"/>
        <v>344.88750000000084</v>
      </c>
      <c r="B258" s="105">
        <f t="shared" ca="1" si="63"/>
        <v>0</v>
      </c>
      <c r="C258" s="105">
        <f t="shared" ca="1" si="64"/>
        <v>1</v>
      </c>
      <c r="D258" s="105">
        <f t="shared" ca="1" si="65"/>
        <v>13.760000000000154</v>
      </c>
      <c r="E258" s="105">
        <f t="shared" ca="1" si="66"/>
        <v>0</v>
      </c>
      <c r="F258" s="105">
        <f t="shared" ca="1" si="67"/>
        <v>0</v>
      </c>
      <c r="G258" s="105">
        <f t="shared" ca="1" si="78"/>
        <v>0</v>
      </c>
      <c r="H258" s="105">
        <f t="shared" ca="1" si="79"/>
        <v>0</v>
      </c>
      <c r="I258" s="105">
        <f t="shared" ca="1" si="68"/>
        <v>0</v>
      </c>
      <c r="J258" s="105">
        <f t="shared" ca="1" si="69"/>
        <v>0</v>
      </c>
      <c r="K258" s="105">
        <f t="shared" ca="1" si="70"/>
        <v>0</v>
      </c>
      <c r="L258" s="105">
        <f t="shared" ca="1" si="80"/>
        <v>0</v>
      </c>
      <c r="M258" s="105">
        <f t="shared" ca="1" si="72"/>
        <v>0</v>
      </c>
      <c r="N258" s="105">
        <f t="shared" ca="1" si="81"/>
        <v>0</v>
      </c>
      <c r="O258" s="105">
        <f t="shared" ca="1" si="73"/>
        <v>0</v>
      </c>
      <c r="P258" s="105">
        <f t="shared" ca="1" si="74"/>
        <v>0</v>
      </c>
      <c r="Q258" s="105">
        <f t="shared" ca="1" si="75"/>
        <v>0</v>
      </c>
      <c r="R258" s="105">
        <f t="shared" ca="1" si="76"/>
        <v>0</v>
      </c>
      <c r="S258" s="105">
        <f t="shared" ca="1" si="77"/>
        <v>10</v>
      </c>
    </row>
    <row r="259" spans="1:19" x14ac:dyDescent="0.35">
      <c r="A259" s="105">
        <f t="shared" ca="1" si="62"/>
        <v>346.24000000000086</v>
      </c>
      <c r="B259" s="105">
        <f t="shared" ca="1" si="63"/>
        <v>0</v>
      </c>
      <c r="C259" s="105">
        <f t="shared" ca="1" si="64"/>
        <v>1</v>
      </c>
      <c r="D259" s="105">
        <f t="shared" ca="1" si="65"/>
        <v>12.407500000000155</v>
      </c>
      <c r="E259" s="105">
        <f t="shared" ca="1" si="66"/>
        <v>0</v>
      </c>
      <c r="F259" s="105">
        <f t="shared" ca="1" si="67"/>
        <v>0</v>
      </c>
      <c r="G259" s="105">
        <f t="shared" ca="1" si="78"/>
        <v>0</v>
      </c>
      <c r="H259" s="105">
        <f t="shared" ca="1" si="79"/>
        <v>0</v>
      </c>
      <c r="I259" s="105">
        <f t="shared" ca="1" si="68"/>
        <v>0</v>
      </c>
      <c r="J259" s="105">
        <f t="shared" ca="1" si="69"/>
        <v>0</v>
      </c>
      <c r="K259" s="105">
        <f t="shared" ca="1" si="70"/>
        <v>0</v>
      </c>
      <c r="L259" s="105">
        <f t="shared" ca="1" si="80"/>
        <v>0</v>
      </c>
      <c r="M259" s="105">
        <f t="shared" ca="1" si="72"/>
        <v>0</v>
      </c>
      <c r="N259" s="105">
        <f t="shared" ca="1" si="81"/>
        <v>0</v>
      </c>
      <c r="O259" s="105">
        <f t="shared" ca="1" si="73"/>
        <v>0</v>
      </c>
      <c r="P259" s="105">
        <f t="shared" ca="1" si="74"/>
        <v>0</v>
      </c>
      <c r="Q259" s="105">
        <f t="shared" ca="1" si="75"/>
        <v>0</v>
      </c>
      <c r="R259" s="105">
        <f t="shared" ca="1" si="76"/>
        <v>0</v>
      </c>
      <c r="S259" s="105">
        <f t="shared" ca="1" si="77"/>
        <v>10</v>
      </c>
    </row>
    <row r="260" spans="1:19" x14ac:dyDescent="0.35">
      <c r="A260" s="105">
        <f t="shared" ref="A260:A323" ca="1" si="82">$V$4+A259</f>
        <v>347.59250000000088</v>
      </c>
      <c r="B260" s="105">
        <f t="shared" ref="B260:B323" ca="1" si="83">IF(AND(A259&gt;$X$1,P259=0,R259=0),0,IF(AND(G259=0,H259=0),"突","")&amp;IF($V$8=0,IF(AND(OR($V$13=0,AND(K259=0,C259&lt;1),AND(K259&gt;0,OR(M259&gt;0,$V$7=0))),$V$6=1,E259=0),"渊","")&amp;IF(AND(OR($V$13=0,AND(K259=0,C259&lt;1),AND(K259&gt;0,OR(M259&gt;0,$V$7=0))),F259=0),"雷","")&amp;IF(AND(C259&gt;0,$V$13=1,E259=0,F259=0,K259=0),"任",IF(AND(G259=1,$V$7=1,I259=0),"乘","循环")),IF(AND($V$6=1,E259=0),"渊","")&amp;IF(AND(OR($V$13=0,AND(K259=0,C259&lt;1),AND(K259&gt;0,OR(M259&gt;0,$V$7=0))),F259=0),"雷","")&amp;IF(AND(C259&gt;0,L259=0,E259=0),"任",IF(AND(G259=1,$V$7=1,I259=0),"乘","循环"))))</f>
        <v>0</v>
      </c>
      <c r="C260" s="105">
        <f t="shared" ref="C260:C323" ca="1" si="84">IF(COUNTIF(B260,"*任*"),C259-1,IF(AND(D259&lt;&gt;0,D259&lt;$V$4),MIN(2,C259+1),C259))</f>
        <v>1</v>
      </c>
      <c r="D260" s="105">
        <f t="shared" ref="D260:D323" ca="1" si="85">IF(AND(D259&lt;$V$4,C259&lt;2),D259+$Y$6-$V$4,IF(AND(C259=2,COUNTIF(B260,"*任*")&gt;0),$Y$6-$V$4,MAX(0,D259-$V$4)))</f>
        <v>11.055000000000156</v>
      </c>
      <c r="E260" s="105">
        <f t="shared" ref="E260:E323" ca="1" si="86">IF(COUNTIF(B260,"*渊*")&gt;0,$Y$8-$V$4,MAX(0,E259-$V$4))</f>
        <v>0</v>
      </c>
      <c r="F260" s="105">
        <f t="shared" ref="F260:F323" ca="1" si="87">IF(COUNTIF(B260,"*雷*")&gt;0,$Y$9-$V$4,MAX(0,F259-$V$4))</f>
        <v>0</v>
      </c>
      <c r="G260" s="105">
        <f t="shared" ca="1" si="78"/>
        <v>0</v>
      </c>
      <c r="H260" s="105">
        <f t="shared" ca="1" si="79"/>
        <v>0</v>
      </c>
      <c r="I260" s="105">
        <f t="shared" ref="I260:I323" ca="1" si="88">IF(COUNTIF(B260,"*乘*")&gt;0,$Y$7-$V$4,MAX(0,I259-$V$4))</f>
        <v>0</v>
      </c>
      <c r="J260" s="105">
        <f t="shared" ref="J260:J323" ca="1" si="89">IF(H259&lt;1,$V$16,MAX(0,J259-1))*$V$11</f>
        <v>0</v>
      </c>
      <c r="K260" s="105">
        <f t="shared" ref="K260:K323" ca="1" si="90">IF(COUNTIF(B260,"*任*")&gt;0,$Z$6-$V$4+0.6875,MAX(0,K259-$V$4))</f>
        <v>0</v>
      </c>
      <c r="L260" s="105">
        <f t="shared" ca="1" si="80"/>
        <v>0</v>
      </c>
      <c r="M260" s="105">
        <f t="shared" ref="M260:M323" ca="1" si="91">IF(COUNTIF(B260,"*乘*")&gt;0,$Z$7-$V$4,MAX(0,M259-$V$4))</f>
        <v>0</v>
      </c>
      <c r="N260" s="105">
        <f t="shared" ca="1" si="81"/>
        <v>0</v>
      </c>
      <c r="O260" s="105">
        <f t="shared" ref="O260:O323" ca="1" si="92">IF(COUNTIF(B260,"*雷*")&gt;0,$Z$9-$V$4,MAX(0,O259-$V$4))</f>
        <v>0</v>
      </c>
      <c r="P260" s="105">
        <f t="shared" ref="P260:P323" ca="1" si="93">IF(O260+O259&gt;0,1,0)</f>
        <v>0</v>
      </c>
      <c r="Q260" s="105">
        <f t="shared" ref="Q260:Q323" ca="1" si="94">IF(COUNTIF(B260,"*渊*")&gt;0,$Z$8-$V$4,MAX(0,Q259-$V$4))</f>
        <v>0</v>
      </c>
      <c r="R260" s="105">
        <f t="shared" ref="R260:R323" ca="1" si="95">IF(Q260+Q259&gt;0,1,0)</f>
        <v>0</v>
      </c>
      <c r="S260" s="105">
        <f t="shared" ref="S260:S323" ca="1" si="96">IF(COUNTIF(B260,"*雷*")&gt;0,S259+1,S259)</f>
        <v>10</v>
      </c>
    </row>
    <row r="261" spans="1:19" x14ac:dyDescent="0.35">
      <c r="A261" s="105">
        <f t="shared" ca="1" si="82"/>
        <v>348.9450000000009</v>
      </c>
      <c r="B261" s="105">
        <f t="shared" ca="1" si="83"/>
        <v>0</v>
      </c>
      <c r="C261" s="105">
        <f t="shared" ca="1" si="84"/>
        <v>1</v>
      </c>
      <c r="D261" s="105">
        <f t="shared" ca="1" si="85"/>
        <v>9.7025000000001569</v>
      </c>
      <c r="E261" s="105">
        <f t="shared" ca="1" si="86"/>
        <v>0</v>
      </c>
      <c r="F261" s="105">
        <f t="shared" ca="1" si="87"/>
        <v>0</v>
      </c>
      <c r="G261" s="105">
        <f t="shared" ref="G261:G324" ca="1" si="97">IF(RIGHT(B261,1)="任",1,IF(OR($V$9=0,AND(K260&lt;$V$4,H260=0)),0,G260))</f>
        <v>0</v>
      </c>
      <c r="H261" s="105">
        <f t="shared" ref="H261:H324" ca="1" si="98">IF(COUNTIF(B261,"*突*")&gt;0,$Y$5-$V$4,MAX(0,H260-$V$4))</f>
        <v>0</v>
      </c>
      <c r="I261" s="105">
        <f t="shared" ca="1" si="88"/>
        <v>0</v>
      </c>
      <c r="J261" s="105">
        <f t="shared" ca="1" si="89"/>
        <v>0</v>
      </c>
      <c r="K261" s="105">
        <f t="shared" ca="1" si="90"/>
        <v>0</v>
      </c>
      <c r="L261" s="105">
        <f t="shared" ca="1" si="80"/>
        <v>0</v>
      </c>
      <c r="M261" s="105">
        <f t="shared" ca="1" si="91"/>
        <v>0</v>
      </c>
      <c r="N261" s="105">
        <f t="shared" ca="1" si="81"/>
        <v>0</v>
      </c>
      <c r="O261" s="105">
        <f t="shared" ca="1" si="92"/>
        <v>0</v>
      </c>
      <c r="P261" s="105">
        <f t="shared" ca="1" si="93"/>
        <v>0</v>
      </c>
      <c r="Q261" s="105">
        <f t="shared" ca="1" si="94"/>
        <v>0</v>
      </c>
      <c r="R261" s="105">
        <f t="shared" ca="1" si="95"/>
        <v>0</v>
      </c>
      <c r="S261" s="105">
        <f t="shared" ca="1" si="96"/>
        <v>10</v>
      </c>
    </row>
    <row r="262" spans="1:19" x14ac:dyDescent="0.35">
      <c r="A262" s="105">
        <f t="shared" ca="1" si="82"/>
        <v>350.29750000000092</v>
      </c>
      <c r="B262" s="105">
        <f t="shared" ca="1" si="83"/>
        <v>0</v>
      </c>
      <c r="C262" s="105">
        <f t="shared" ca="1" si="84"/>
        <v>1</v>
      </c>
      <c r="D262" s="105">
        <f t="shared" ca="1" si="85"/>
        <v>8.3500000000001577</v>
      </c>
      <c r="E262" s="105">
        <f t="shared" ca="1" si="86"/>
        <v>0</v>
      </c>
      <c r="F262" s="105">
        <f t="shared" ca="1" si="87"/>
        <v>0</v>
      </c>
      <c r="G262" s="105">
        <f t="shared" ca="1" si="97"/>
        <v>0</v>
      </c>
      <c r="H262" s="105">
        <f t="shared" ca="1" si="98"/>
        <v>0</v>
      </c>
      <c r="I262" s="105">
        <f t="shared" ca="1" si="88"/>
        <v>0</v>
      </c>
      <c r="J262" s="105">
        <f t="shared" ca="1" si="89"/>
        <v>0</v>
      </c>
      <c r="K262" s="105">
        <f t="shared" ca="1" si="90"/>
        <v>0</v>
      </c>
      <c r="L262" s="105">
        <f t="shared" ca="1" si="80"/>
        <v>0</v>
      </c>
      <c r="M262" s="105">
        <f t="shared" ca="1" si="91"/>
        <v>0</v>
      </c>
      <c r="N262" s="105">
        <f t="shared" ca="1" si="81"/>
        <v>0</v>
      </c>
      <c r="O262" s="105">
        <f t="shared" ca="1" si="92"/>
        <v>0</v>
      </c>
      <c r="P262" s="105">
        <f t="shared" ca="1" si="93"/>
        <v>0</v>
      </c>
      <c r="Q262" s="105">
        <f t="shared" ca="1" si="94"/>
        <v>0</v>
      </c>
      <c r="R262" s="105">
        <f t="shared" ca="1" si="95"/>
        <v>0</v>
      </c>
      <c r="S262" s="105">
        <f t="shared" ca="1" si="96"/>
        <v>10</v>
      </c>
    </row>
    <row r="263" spans="1:19" x14ac:dyDescent="0.35">
      <c r="A263" s="105">
        <f t="shared" ca="1" si="82"/>
        <v>351.65000000000094</v>
      </c>
      <c r="B263" s="105">
        <f t="shared" ca="1" si="83"/>
        <v>0</v>
      </c>
      <c r="C263" s="105">
        <f t="shared" ca="1" si="84"/>
        <v>1</v>
      </c>
      <c r="D263" s="105">
        <f t="shared" ca="1" si="85"/>
        <v>6.9975000000001577</v>
      </c>
      <c r="E263" s="105">
        <f t="shared" ca="1" si="86"/>
        <v>0</v>
      </c>
      <c r="F263" s="105">
        <f t="shared" ca="1" si="87"/>
        <v>0</v>
      </c>
      <c r="G263" s="105">
        <f t="shared" ca="1" si="97"/>
        <v>0</v>
      </c>
      <c r="H263" s="105">
        <f t="shared" ca="1" si="98"/>
        <v>0</v>
      </c>
      <c r="I263" s="105">
        <f t="shared" ca="1" si="88"/>
        <v>0</v>
      </c>
      <c r="J263" s="105">
        <f t="shared" ca="1" si="89"/>
        <v>0</v>
      </c>
      <c r="K263" s="105">
        <f t="shared" ca="1" si="90"/>
        <v>0</v>
      </c>
      <c r="L263" s="105">
        <f t="shared" ca="1" si="80"/>
        <v>0</v>
      </c>
      <c r="M263" s="105">
        <f t="shared" ca="1" si="91"/>
        <v>0</v>
      </c>
      <c r="N263" s="105">
        <f t="shared" ca="1" si="81"/>
        <v>0</v>
      </c>
      <c r="O263" s="105">
        <f t="shared" ca="1" si="92"/>
        <v>0</v>
      </c>
      <c r="P263" s="105">
        <f t="shared" ca="1" si="93"/>
        <v>0</v>
      </c>
      <c r="Q263" s="105">
        <f t="shared" ca="1" si="94"/>
        <v>0</v>
      </c>
      <c r="R263" s="105">
        <f t="shared" ca="1" si="95"/>
        <v>0</v>
      </c>
      <c r="S263" s="105">
        <f t="shared" ca="1" si="96"/>
        <v>10</v>
      </c>
    </row>
    <row r="264" spans="1:19" x14ac:dyDescent="0.35">
      <c r="A264" s="105">
        <f t="shared" ca="1" si="82"/>
        <v>353.00250000000096</v>
      </c>
      <c r="B264" s="105">
        <f t="shared" ca="1" si="83"/>
        <v>0</v>
      </c>
      <c r="C264" s="105">
        <f t="shared" ca="1" si="84"/>
        <v>1</v>
      </c>
      <c r="D264" s="105">
        <f t="shared" ca="1" si="85"/>
        <v>5.6450000000001577</v>
      </c>
      <c r="E264" s="105">
        <f t="shared" ca="1" si="86"/>
        <v>0</v>
      </c>
      <c r="F264" s="105">
        <f t="shared" ca="1" si="87"/>
        <v>0</v>
      </c>
      <c r="G264" s="105">
        <f t="shared" ca="1" si="97"/>
        <v>0</v>
      </c>
      <c r="H264" s="105">
        <f t="shared" ca="1" si="98"/>
        <v>0</v>
      </c>
      <c r="I264" s="105">
        <f t="shared" ca="1" si="88"/>
        <v>0</v>
      </c>
      <c r="J264" s="105">
        <f t="shared" ca="1" si="89"/>
        <v>0</v>
      </c>
      <c r="K264" s="105">
        <f t="shared" ca="1" si="90"/>
        <v>0</v>
      </c>
      <c r="L264" s="105">
        <f t="shared" ca="1" si="80"/>
        <v>0</v>
      </c>
      <c r="M264" s="105">
        <f t="shared" ca="1" si="91"/>
        <v>0</v>
      </c>
      <c r="N264" s="105">
        <f t="shared" ca="1" si="81"/>
        <v>0</v>
      </c>
      <c r="O264" s="105">
        <f t="shared" ca="1" si="92"/>
        <v>0</v>
      </c>
      <c r="P264" s="105">
        <f t="shared" ca="1" si="93"/>
        <v>0</v>
      </c>
      <c r="Q264" s="105">
        <f t="shared" ca="1" si="94"/>
        <v>0</v>
      </c>
      <c r="R264" s="105">
        <f t="shared" ca="1" si="95"/>
        <v>0</v>
      </c>
      <c r="S264" s="105">
        <f t="shared" ca="1" si="96"/>
        <v>10</v>
      </c>
    </row>
    <row r="265" spans="1:19" x14ac:dyDescent="0.35">
      <c r="A265" s="105">
        <f t="shared" ca="1" si="82"/>
        <v>354.35500000000098</v>
      </c>
      <c r="B265" s="105">
        <f t="shared" ca="1" si="83"/>
        <v>0</v>
      </c>
      <c r="C265" s="105">
        <f t="shared" ca="1" si="84"/>
        <v>1</v>
      </c>
      <c r="D265" s="105">
        <f t="shared" ca="1" si="85"/>
        <v>4.2925000000001576</v>
      </c>
      <c r="E265" s="105">
        <f t="shared" ca="1" si="86"/>
        <v>0</v>
      </c>
      <c r="F265" s="105">
        <f t="shared" ca="1" si="87"/>
        <v>0</v>
      </c>
      <c r="G265" s="105">
        <f t="shared" ca="1" si="97"/>
        <v>0</v>
      </c>
      <c r="H265" s="105">
        <f t="shared" ca="1" si="98"/>
        <v>0</v>
      </c>
      <c r="I265" s="105">
        <f t="shared" ca="1" si="88"/>
        <v>0</v>
      </c>
      <c r="J265" s="105">
        <f t="shared" ca="1" si="89"/>
        <v>0</v>
      </c>
      <c r="K265" s="105">
        <f t="shared" ca="1" si="90"/>
        <v>0</v>
      </c>
      <c r="L265" s="105">
        <f t="shared" ca="1" si="80"/>
        <v>0</v>
      </c>
      <c r="M265" s="105">
        <f t="shared" ca="1" si="91"/>
        <v>0</v>
      </c>
      <c r="N265" s="105">
        <f t="shared" ca="1" si="81"/>
        <v>0</v>
      </c>
      <c r="O265" s="105">
        <f t="shared" ca="1" si="92"/>
        <v>0</v>
      </c>
      <c r="P265" s="105">
        <f t="shared" ca="1" si="93"/>
        <v>0</v>
      </c>
      <c r="Q265" s="105">
        <f t="shared" ca="1" si="94"/>
        <v>0</v>
      </c>
      <c r="R265" s="105">
        <f t="shared" ca="1" si="95"/>
        <v>0</v>
      </c>
      <c r="S265" s="105">
        <f t="shared" ca="1" si="96"/>
        <v>10</v>
      </c>
    </row>
    <row r="266" spans="1:19" x14ac:dyDescent="0.35">
      <c r="A266" s="105">
        <f t="shared" ca="1" si="82"/>
        <v>355.707500000001</v>
      </c>
      <c r="B266" s="105">
        <f t="shared" ca="1" si="83"/>
        <v>0</v>
      </c>
      <c r="C266" s="105">
        <f t="shared" ca="1" si="84"/>
        <v>1</v>
      </c>
      <c r="D266" s="105">
        <f t="shared" ca="1" si="85"/>
        <v>2.9400000000001576</v>
      </c>
      <c r="E266" s="105">
        <f t="shared" ca="1" si="86"/>
        <v>0</v>
      </c>
      <c r="F266" s="105">
        <f t="shared" ca="1" si="87"/>
        <v>0</v>
      </c>
      <c r="G266" s="105">
        <f t="shared" ca="1" si="97"/>
        <v>0</v>
      </c>
      <c r="H266" s="105">
        <f t="shared" ca="1" si="98"/>
        <v>0</v>
      </c>
      <c r="I266" s="105">
        <f t="shared" ca="1" si="88"/>
        <v>0</v>
      </c>
      <c r="J266" s="105">
        <f t="shared" ca="1" si="89"/>
        <v>0</v>
      </c>
      <c r="K266" s="105">
        <f t="shared" ca="1" si="90"/>
        <v>0</v>
      </c>
      <c r="L266" s="105">
        <f t="shared" ca="1" si="80"/>
        <v>0</v>
      </c>
      <c r="M266" s="105">
        <f t="shared" ca="1" si="91"/>
        <v>0</v>
      </c>
      <c r="N266" s="105">
        <f t="shared" ca="1" si="81"/>
        <v>0</v>
      </c>
      <c r="O266" s="105">
        <f t="shared" ca="1" si="92"/>
        <v>0</v>
      </c>
      <c r="P266" s="105">
        <f t="shared" ca="1" si="93"/>
        <v>0</v>
      </c>
      <c r="Q266" s="105">
        <f t="shared" ca="1" si="94"/>
        <v>0</v>
      </c>
      <c r="R266" s="105">
        <f t="shared" ca="1" si="95"/>
        <v>0</v>
      </c>
      <c r="S266" s="105">
        <f t="shared" ca="1" si="96"/>
        <v>10</v>
      </c>
    </row>
    <row r="267" spans="1:19" x14ac:dyDescent="0.35">
      <c r="A267" s="105">
        <f t="shared" ca="1" si="82"/>
        <v>357.06000000000103</v>
      </c>
      <c r="B267" s="105">
        <f t="shared" ca="1" si="83"/>
        <v>0</v>
      </c>
      <c r="C267" s="105">
        <f t="shared" ca="1" si="84"/>
        <v>1</v>
      </c>
      <c r="D267" s="105">
        <f t="shared" ca="1" si="85"/>
        <v>1.5875000000001576</v>
      </c>
      <c r="E267" s="105">
        <f t="shared" ca="1" si="86"/>
        <v>0</v>
      </c>
      <c r="F267" s="105">
        <f t="shared" ca="1" si="87"/>
        <v>0</v>
      </c>
      <c r="G267" s="105">
        <f t="shared" ca="1" si="97"/>
        <v>0</v>
      </c>
      <c r="H267" s="105">
        <f t="shared" ca="1" si="98"/>
        <v>0</v>
      </c>
      <c r="I267" s="105">
        <f t="shared" ca="1" si="88"/>
        <v>0</v>
      </c>
      <c r="J267" s="105">
        <f t="shared" ca="1" si="89"/>
        <v>0</v>
      </c>
      <c r="K267" s="105">
        <f t="shared" ca="1" si="90"/>
        <v>0</v>
      </c>
      <c r="L267" s="105">
        <f t="shared" ca="1" si="80"/>
        <v>0</v>
      </c>
      <c r="M267" s="105">
        <f t="shared" ca="1" si="91"/>
        <v>0</v>
      </c>
      <c r="N267" s="105">
        <f t="shared" ca="1" si="81"/>
        <v>0</v>
      </c>
      <c r="O267" s="105">
        <f t="shared" ca="1" si="92"/>
        <v>0</v>
      </c>
      <c r="P267" s="105">
        <f t="shared" ca="1" si="93"/>
        <v>0</v>
      </c>
      <c r="Q267" s="105">
        <f t="shared" ca="1" si="94"/>
        <v>0</v>
      </c>
      <c r="R267" s="105">
        <f t="shared" ca="1" si="95"/>
        <v>0</v>
      </c>
      <c r="S267" s="105">
        <f t="shared" ca="1" si="96"/>
        <v>10</v>
      </c>
    </row>
    <row r="268" spans="1:19" x14ac:dyDescent="0.35">
      <c r="A268" s="105">
        <f t="shared" ca="1" si="82"/>
        <v>358.41250000000105</v>
      </c>
      <c r="B268" s="105">
        <f t="shared" ca="1" si="83"/>
        <v>0</v>
      </c>
      <c r="C268" s="105">
        <f t="shared" ca="1" si="84"/>
        <v>1</v>
      </c>
      <c r="D268" s="105">
        <f t="shared" ca="1" si="85"/>
        <v>0.23500000000015753</v>
      </c>
      <c r="E268" s="105">
        <f t="shared" ca="1" si="86"/>
        <v>0</v>
      </c>
      <c r="F268" s="105">
        <f t="shared" ca="1" si="87"/>
        <v>0</v>
      </c>
      <c r="G268" s="105">
        <f t="shared" ca="1" si="97"/>
        <v>0</v>
      </c>
      <c r="H268" s="105">
        <f t="shared" ca="1" si="98"/>
        <v>0</v>
      </c>
      <c r="I268" s="105">
        <f t="shared" ca="1" si="88"/>
        <v>0</v>
      </c>
      <c r="J268" s="105">
        <f t="shared" ca="1" si="89"/>
        <v>0</v>
      </c>
      <c r="K268" s="105">
        <f t="shared" ca="1" si="90"/>
        <v>0</v>
      </c>
      <c r="L268" s="105">
        <f t="shared" ca="1" si="80"/>
        <v>0</v>
      </c>
      <c r="M268" s="105">
        <f t="shared" ca="1" si="91"/>
        <v>0</v>
      </c>
      <c r="N268" s="105">
        <f t="shared" ca="1" si="81"/>
        <v>0</v>
      </c>
      <c r="O268" s="105">
        <f t="shared" ca="1" si="92"/>
        <v>0</v>
      </c>
      <c r="P268" s="105">
        <f t="shared" ca="1" si="93"/>
        <v>0</v>
      </c>
      <c r="Q268" s="105">
        <f t="shared" ca="1" si="94"/>
        <v>0</v>
      </c>
      <c r="R268" s="105">
        <f t="shared" ca="1" si="95"/>
        <v>0</v>
      </c>
      <c r="S268" s="105">
        <f t="shared" ca="1" si="96"/>
        <v>10</v>
      </c>
    </row>
    <row r="269" spans="1:19" x14ac:dyDescent="0.35">
      <c r="A269" s="105">
        <f t="shared" ca="1" si="82"/>
        <v>359.76500000000107</v>
      </c>
      <c r="B269" s="105">
        <f t="shared" ca="1" si="83"/>
        <v>0</v>
      </c>
      <c r="C269" s="105">
        <f t="shared" ca="1" si="84"/>
        <v>2</v>
      </c>
      <c r="D269" s="105">
        <f t="shared" ca="1" si="85"/>
        <v>34.882500000000157</v>
      </c>
      <c r="E269" s="105">
        <f t="shared" ca="1" si="86"/>
        <v>0</v>
      </c>
      <c r="F269" s="105">
        <f t="shared" ca="1" si="87"/>
        <v>0</v>
      </c>
      <c r="G269" s="105">
        <f t="shared" ca="1" si="97"/>
        <v>0</v>
      </c>
      <c r="H269" s="105">
        <f t="shared" ca="1" si="98"/>
        <v>0</v>
      </c>
      <c r="I269" s="105">
        <f t="shared" ca="1" si="88"/>
        <v>0</v>
      </c>
      <c r="J269" s="105">
        <f t="shared" ca="1" si="89"/>
        <v>0</v>
      </c>
      <c r="K269" s="105">
        <f t="shared" ca="1" si="90"/>
        <v>0</v>
      </c>
      <c r="L269" s="105">
        <f t="shared" ca="1" si="80"/>
        <v>0</v>
      </c>
      <c r="M269" s="105">
        <f t="shared" ca="1" si="91"/>
        <v>0</v>
      </c>
      <c r="N269" s="105">
        <f t="shared" ca="1" si="81"/>
        <v>0</v>
      </c>
      <c r="O269" s="105">
        <f t="shared" ca="1" si="92"/>
        <v>0</v>
      </c>
      <c r="P269" s="105">
        <f t="shared" ca="1" si="93"/>
        <v>0</v>
      </c>
      <c r="Q269" s="105">
        <f t="shared" ca="1" si="94"/>
        <v>0</v>
      </c>
      <c r="R269" s="105">
        <f t="shared" ca="1" si="95"/>
        <v>0</v>
      </c>
      <c r="S269" s="105">
        <f t="shared" ca="1" si="96"/>
        <v>10</v>
      </c>
    </row>
    <row r="270" spans="1:19" x14ac:dyDescent="0.35">
      <c r="A270" s="105">
        <f t="shared" ca="1" si="82"/>
        <v>361.11750000000109</v>
      </c>
      <c r="B270" s="105">
        <f t="shared" ca="1" si="83"/>
        <v>0</v>
      </c>
      <c r="C270" s="105">
        <f t="shared" ca="1" si="84"/>
        <v>2</v>
      </c>
      <c r="D270" s="105">
        <f t="shared" ca="1" si="85"/>
        <v>33.530000000000157</v>
      </c>
      <c r="E270" s="105">
        <f t="shared" ca="1" si="86"/>
        <v>0</v>
      </c>
      <c r="F270" s="105">
        <f t="shared" ca="1" si="87"/>
        <v>0</v>
      </c>
      <c r="G270" s="105">
        <f t="shared" ca="1" si="97"/>
        <v>0</v>
      </c>
      <c r="H270" s="105">
        <f t="shared" ca="1" si="98"/>
        <v>0</v>
      </c>
      <c r="I270" s="105">
        <f t="shared" ca="1" si="88"/>
        <v>0</v>
      </c>
      <c r="J270" s="105">
        <f t="shared" ca="1" si="89"/>
        <v>0</v>
      </c>
      <c r="K270" s="105">
        <f t="shared" ca="1" si="90"/>
        <v>0</v>
      </c>
      <c r="L270" s="105">
        <f t="shared" ca="1" si="80"/>
        <v>0</v>
      </c>
      <c r="M270" s="105">
        <f t="shared" ca="1" si="91"/>
        <v>0</v>
      </c>
      <c r="N270" s="105">
        <f t="shared" ca="1" si="81"/>
        <v>0</v>
      </c>
      <c r="O270" s="105">
        <f t="shared" ca="1" si="92"/>
        <v>0</v>
      </c>
      <c r="P270" s="105">
        <f t="shared" ca="1" si="93"/>
        <v>0</v>
      </c>
      <c r="Q270" s="105">
        <f t="shared" ca="1" si="94"/>
        <v>0</v>
      </c>
      <c r="R270" s="105">
        <f t="shared" ca="1" si="95"/>
        <v>0</v>
      </c>
      <c r="S270" s="105">
        <f t="shared" ca="1" si="96"/>
        <v>10</v>
      </c>
    </row>
    <row r="271" spans="1:19" x14ac:dyDescent="0.35">
      <c r="A271" s="105">
        <f t="shared" ca="1" si="82"/>
        <v>362.47000000000111</v>
      </c>
      <c r="B271" s="105">
        <f t="shared" ca="1" si="83"/>
        <v>0</v>
      </c>
      <c r="C271" s="105">
        <f t="shared" ca="1" si="84"/>
        <v>2</v>
      </c>
      <c r="D271" s="105">
        <f t="shared" ca="1" si="85"/>
        <v>32.177500000000158</v>
      </c>
      <c r="E271" s="105">
        <f t="shared" ca="1" si="86"/>
        <v>0</v>
      </c>
      <c r="F271" s="105">
        <f t="shared" ca="1" si="87"/>
        <v>0</v>
      </c>
      <c r="G271" s="105">
        <f t="shared" ca="1" si="97"/>
        <v>0</v>
      </c>
      <c r="H271" s="105">
        <f t="shared" ca="1" si="98"/>
        <v>0</v>
      </c>
      <c r="I271" s="105">
        <f t="shared" ca="1" si="88"/>
        <v>0</v>
      </c>
      <c r="J271" s="105">
        <f t="shared" ca="1" si="89"/>
        <v>0</v>
      </c>
      <c r="K271" s="105">
        <f t="shared" ca="1" si="90"/>
        <v>0</v>
      </c>
      <c r="L271" s="105">
        <f t="shared" ca="1" si="80"/>
        <v>0</v>
      </c>
      <c r="M271" s="105">
        <f t="shared" ca="1" si="91"/>
        <v>0</v>
      </c>
      <c r="N271" s="105">
        <f t="shared" ca="1" si="81"/>
        <v>0</v>
      </c>
      <c r="O271" s="105">
        <f t="shared" ca="1" si="92"/>
        <v>0</v>
      </c>
      <c r="P271" s="105">
        <f t="shared" ca="1" si="93"/>
        <v>0</v>
      </c>
      <c r="Q271" s="105">
        <f t="shared" ca="1" si="94"/>
        <v>0</v>
      </c>
      <c r="R271" s="105">
        <f t="shared" ca="1" si="95"/>
        <v>0</v>
      </c>
      <c r="S271" s="105">
        <f t="shared" ca="1" si="96"/>
        <v>10</v>
      </c>
    </row>
    <row r="272" spans="1:19" x14ac:dyDescent="0.35">
      <c r="A272" s="105">
        <f t="shared" ca="1" si="82"/>
        <v>363.82250000000113</v>
      </c>
      <c r="B272" s="105">
        <f t="shared" ca="1" si="83"/>
        <v>0</v>
      </c>
      <c r="C272" s="105">
        <f t="shared" ca="1" si="84"/>
        <v>2</v>
      </c>
      <c r="D272" s="105">
        <f t="shared" ca="1" si="85"/>
        <v>30.825000000000159</v>
      </c>
      <c r="E272" s="105">
        <f t="shared" ca="1" si="86"/>
        <v>0</v>
      </c>
      <c r="F272" s="105">
        <f t="shared" ca="1" si="87"/>
        <v>0</v>
      </c>
      <c r="G272" s="105">
        <f t="shared" ca="1" si="97"/>
        <v>0</v>
      </c>
      <c r="H272" s="105">
        <f t="shared" ca="1" si="98"/>
        <v>0</v>
      </c>
      <c r="I272" s="105">
        <f t="shared" ca="1" si="88"/>
        <v>0</v>
      </c>
      <c r="J272" s="105">
        <f t="shared" ca="1" si="89"/>
        <v>0</v>
      </c>
      <c r="K272" s="105">
        <f t="shared" ca="1" si="90"/>
        <v>0</v>
      </c>
      <c r="L272" s="105">
        <f t="shared" ca="1" si="80"/>
        <v>0</v>
      </c>
      <c r="M272" s="105">
        <f t="shared" ca="1" si="91"/>
        <v>0</v>
      </c>
      <c r="N272" s="105">
        <f t="shared" ca="1" si="81"/>
        <v>0</v>
      </c>
      <c r="O272" s="105">
        <f t="shared" ca="1" si="92"/>
        <v>0</v>
      </c>
      <c r="P272" s="105">
        <f t="shared" ca="1" si="93"/>
        <v>0</v>
      </c>
      <c r="Q272" s="105">
        <f t="shared" ca="1" si="94"/>
        <v>0</v>
      </c>
      <c r="R272" s="105">
        <f t="shared" ca="1" si="95"/>
        <v>0</v>
      </c>
      <c r="S272" s="105">
        <f t="shared" ca="1" si="96"/>
        <v>10</v>
      </c>
    </row>
    <row r="273" spans="1:19" x14ac:dyDescent="0.35">
      <c r="A273" s="105">
        <f t="shared" ca="1" si="82"/>
        <v>365.17500000000115</v>
      </c>
      <c r="B273" s="105">
        <f t="shared" ca="1" si="83"/>
        <v>0</v>
      </c>
      <c r="C273" s="105">
        <f t="shared" ca="1" si="84"/>
        <v>2</v>
      </c>
      <c r="D273" s="105">
        <f t="shared" ca="1" si="85"/>
        <v>29.47250000000016</v>
      </c>
      <c r="E273" s="105">
        <f t="shared" ca="1" si="86"/>
        <v>0</v>
      </c>
      <c r="F273" s="105">
        <f t="shared" ca="1" si="87"/>
        <v>0</v>
      </c>
      <c r="G273" s="105">
        <f t="shared" ca="1" si="97"/>
        <v>0</v>
      </c>
      <c r="H273" s="105">
        <f t="shared" ca="1" si="98"/>
        <v>0</v>
      </c>
      <c r="I273" s="105">
        <f t="shared" ca="1" si="88"/>
        <v>0</v>
      </c>
      <c r="J273" s="105">
        <f t="shared" ca="1" si="89"/>
        <v>0</v>
      </c>
      <c r="K273" s="105">
        <f t="shared" ca="1" si="90"/>
        <v>0</v>
      </c>
      <c r="L273" s="105">
        <f t="shared" ca="1" si="80"/>
        <v>0</v>
      </c>
      <c r="M273" s="105">
        <f t="shared" ca="1" si="91"/>
        <v>0</v>
      </c>
      <c r="N273" s="105">
        <f t="shared" ca="1" si="81"/>
        <v>0</v>
      </c>
      <c r="O273" s="105">
        <f t="shared" ca="1" si="92"/>
        <v>0</v>
      </c>
      <c r="P273" s="105">
        <f t="shared" ca="1" si="93"/>
        <v>0</v>
      </c>
      <c r="Q273" s="105">
        <f t="shared" ca="1" si="94"/>
        <v>0</v>
      </c>
      <c r="R273" s="105">
        <f t="shared" ca="1" si="95"/>
        <v>0</v>
      </c>
      <c r="S273" s="105">
        <f t="shared" ca="1" si="96"/>
        <v>10</v>
      </c>
    </row>
    <row r="274" spans="1:19" x14ac:dyDescent="0.35">
      <c r="A274" s="105">
        <f t="shared" ca="1" si="82"/>
        <v>366.52750000000117</v>
      </c>
      <c r="B274" s="105">
        <f t="shared" ca="1" si="83"/>
        <v>0</v>
      </c>
      <c r="C274" s="105">
        <f t="shared" ca="1" si="84"/>
        <v>2</v>
      </c>
      <c r="D274" s="105">
        <f t="shared" ca="1" si="85"/>
        <v>28.120000000000161</v>
      </c>
      <c r="E274" s="105">
        <f t="shared" ca="1" si="86"/>
        <v>0</v>
      </c>
      <c r="F274" s="105">
        <f t="shared" ca="1" si="87"/>
        <v>0</v>
      </c>
      <c r="G274" s="105">
        <f t="shared" ca="1" si="97"/>
        <v>0</v>
      </c>
      <c r="H274" s="105">
        <f t="shared" ca="1" si="98"/>
        <v>0</v>
      </c>
      <c r="I274" s="105">
        <f t="shared" ca="1" si="88"/>
        <v>0</v>
      </c>
      <c r="J274" s="105">
        <f t="shared" ca="1" si="89"/>
        <v>0</v>
      </c>
      <c r="K274" s="105">
        <f t="shared" ca="1" si="90"/>
        <v>0</v>
      </c>
      <c r="L274" s="105">
        <f t="shared" ca="1" si="80"/>
        <v>0</v>
      </c>
      <c r="M274" s="105">
        <f t="shared" ca="1" si="91"/>
        <v>0</v>
      </c>
      <c r="N274" s="105">
        <f t="shared" ca="1" si="81"/>
        <v>0</v>
      </c>
      <c r="O274" s="105">
        <f t="shared" ca="1" si="92"/>
        <v>0</v>
      </c>
      <c r="P274" s="105">
        <f t="shared" ca="1" si="93"/>
        <v>0</v>
      </c>
      <c r="Q274" s="105">
        <f t="shared" ca="1" si="94"/>
        <v>0</v>
      </c>
      <c r="R274" s="105">
        <f t="shared" ca="1" si="95"/>
        <v>0</v>
      </c>
      <c r="S274" s="105">
        <f t="shared" ca="1" si="96"/>
        <v>10</v>
      </c>
    </row>
    <row r="275" spans="1:19" x14ac:dyDescent="0.35">
      <c r="A275" s="105">
        <f t="shared" ca="1" si="82"/>
        <v>367.88000000000119</v>
      </c>
      <c r="B275" s="105">
        <f t="shared" ca="1" si="83"/>
        <v>0</v>
      </c>
      <c r="C275" s="105">
        <f t="shared" ca="1" si="84"/>
        <v>2</v>
      </c>
      <c r="D275" s="105">
        <f t="shared" ca="1" si="85"/>
        <v>26.767500000000162</v>
      </c>
      <c r="E275" s="105">
        <f t="shared" ca="1" si="86"/>
        <v>0</v>
      </c>
      <c r="F275" s="105">
        <f t="shared" ca="1" si="87"/>
        <v>0</v>
      </c>
      <c r="G275" s="105">
        <f t="shared" ca="1" si="97"/>
        <v>0</v>
      </c>
      <c r="H275" s="105">
        <f t="shared" ca="1" si="98"/>
        <v>0</v>
      </c>
      <c r="I275" s="105">
        <f t="shared" ca="1" si="88"/>
        <v>0</v>
      </c>
      <c r="J275" s="105">
        <f t="shared" ca="1" si="89"/>
        <v>0</v>
      </c>
      <c r="K275" s="105">
        <f t="shared" ca="1" si="90"/>
        <v>0</v>
      </c>
      <c r="L275" s="105">
        <f t="shared" ca="1" si="80"/>
        <v>0</v>
      </c>
      <c r="M275" s="105">
        <f t="shared" ca="1" si="91"/>
        <v>0</v>
      </c>
      <c r="N275" s="105">
        <f t="shared" ca="1" si="81"/>
        <v>0</v>
      </c>
      <c r="O275" s="105">
        <f t="shared" ca="1" si="92"/>
        <v>0</v>
      </c>
      <c r="P275" s="105">
        <f t="shared" ca="1" si="93"/>
        <v>0</v>
      </c>
      <c r="Q275" s="105">
        <f t="shared" ca="1" si="94"/>
        <v>0</v>
      </c>
      <c r="R275" s="105">
        <f t="shared" ca="1" si="95"/>
        <v>0</v>
      </c>
      <c r="S275" s="105">
        <f t="shared" ca="1" si="96"/>
        <v>10</v>
      </c>
    </row>
    <row r="276" spans="1:19" x14ac:dyDescent="0.35">
      <c r="A276" s="105">
        <f t="shared" ca="1" si="82"/>
        <v>369.23250000000121</v>
      </c>
      <c r="B276" s="105">
        <f t="shared" ca="1" si="83"/>
        <v>0</v>
      </c>
      <c r="C276" s="105">
        <f t="shared" ca="1" si="84"/>
        <v>2</v>
      </c>
      <c r="D276" s="105">
        <f t="shared" ca="1" si="85"/>
        <v>25.415000000000163</v>
      </c>
      <c r="E276" s="105">
        <f t="shared" ca="1" si="86"/>
        <v>0</v>
      </c>
      <c r="F276" s="105">
        <f t="shared" ca="1" si="87"/>
        <v>0</v>
      </c>
      <c r="G276" s="105">
        <f t="shared" ca="1" si="97"/>
        <v>0</v>
      </c>
      <c r="H276" s="105">
        <f t="shared" ca="1" si="98"/>
        <v>0</v>
      </c>
      <c r="I276" s="105">
        <f t="shared" ca="1" si="88"/>
        <v>0</v>
      </c>
      <c r="J276" s="105">
        <f t="shared" ca="1" si="89"/>
        <v>0</v>
      </c>
      <c r="K276" s="105">
        <f t="shared" ca="1" si="90"/>
        <v>0</v>
      </c>
      <c r="L276" s="105">
        <f t="shared" ca="1" si="80"/>
        <v>0</v>
      </c>
      <c r="M276" s="105">
        <f t="shared" ca="1" si="91"/>
        <v>0</v>
      </c>
      <c r="N276" s="105">
        <f t="shared" ca="1" si="81"/>
        <v>0</v>
      </c>
      <c r="O276" s="105">
        <f t="shared" ca="1" si="92"/>
        <v>0</v>
      </c>
      <c r="P276" s="105">
        <f t="shared" ca="1" si="93"/>
        <v>0</v>
      </c>
      <c r="Q276" s="105">
        <f t="shared" ca="1" si="94"/>
        <v>0</v>
      </c>
      <c r="R276" s="105">
        <f t="shared" ca="1" si="95"/>
        <v>0</v>
      </c>
      <c r="S276" s="105">
        <f t="shared" ca="1" si="96"/>
        <v>10</v>
      </c>
    </row>
    <row r="277" spans="1:19" x14ac:dyDescent="0.35">
      <c r="A277" s="105">
        <f t="shared" ca="1" si="82"/>
        <v>370.58500000000123</v>
      </c>
      <c r="B277" s="105">
        <f t="shared" ca="1" si="83"/>
        <v>0</v>
      </c>
      <c r="C277" s="105">
        <f t="shared" ca="1" si="84"/>
        <v>2</v>
      </c>
      <c r="D277" s="105">
        <f t="shared" ca="1" si="85"/>
        <v>24.062500000000163</v>
      </c>
      <c r="E277" s="105">
        <f t="shared" ca="1" si="86"/>
        <v>0</v>
      </c>
      <c r="F277" s="105">
        <f t="shared" ca="1" si="87"/>
        <v>0</v>
      </c>
      <c r="G277" s="105">
        <f t="shared" ca="1" si="97"/>
        <v>0</v>
      </c>
      <c r="H277" s="105">
        <f t="shared" ca="1" si="98"/>
        <v>0</v>
      </c>
      <c r="I277" s="105">
        <f t="shared" ca="1" si="88"/>
        <v>0</v>
      </c>
      <c r="J277" s="105">
        <f t="shared" ca="1" si="89"/>
        <v>0</v>
      </c>
      <c r="K277" s="105">
        <f t="shared" ca="1" si="90"/>
        <v>0</v>
      </c>
      <c r="L277" s="105">
        <f t="shared" ca="1" si="80"/>
        <v>0</v>
      </c>
      <c r="M277" s="105">
        <f t="shared" ca="1" si="91"/>
        <v>0</v>
      </c>
      <c r="N277" s="105">
        <f t="shared" ca="1" si="81"/>
        <v>0</v>
      </c>
      <c r="O277" s="105">
        <f t="shared" ca="1" si="92"/>
        <v>0</v>
      </c>
      <c r="P277" s="105">
        <f t="shared" ca="1" si="93"/>
        <v>0</v>
      </c>
      <c r="Q277" s="105">
        <f t="shared" ca="1" si="94"/>
        <v>0</v>
      </c>
      <c r="R277" s="105">
        <f t="shared" ca="1" si="95"/>
        <v>0</v>
      </c>
      <c r="S277" s="105">
        <f t="shared" ca="1" si="96"/>
        <v>10</v>
      </c>
    </row>
    <row r="278" spans="1:19" x14ac:dyDescent="0.35">
      <c r="A278" s="105">
        <f t="shared" ca="1" si="82"/>
        <v>371.93750000000125</v>
      </c>
      <c r="B278" s="105">
        <f t="shared" ca="1" si="83"/>
        <v>0</v>
      </c>
      <c r="C278" s="105">
        <f t="shared" ca="1" si="84"/>
        <v>2</v>
      </c>
      <c r="D278" s="105">
        <f t="shared" ca="1" si="85"/>
        <v>22.710000000000164</v>
      </c>
      <c r="E278" s="105">
        <f t="shared" ca="1" si="86"/>
        <v>0</v>
      </c>
      <c r="F278" s="105">
        <f t="shared" ca="1" si="87"/>
        <v>0</v>
      </c>
      <c r="G278" s="105">
        <f t="shared" ca="1" si="97"/>
        <v>0</v>
      </c>
      <c r="H278" s="105">
        <f t="shared" ca="1" si="98"/>
        <v>0</v>
      </c>
      <c r="I278" s="105">
        <f t="shared" ca="1" si="88"/>
        <v>0</v>
      </c>
      <c r="J278" s="105">
        <f t="shared" ca="1" si="89"/>
        <v>0</v>
      </c>
      <c r="K278" s="105">
        <f t="shared" ca="1" si="90"/>
        <v>0</v>
      </c>
      <c r="L278" s="105">
        <f t="shared" ca="1" si="80"/>
        <v>0</v>
      </c>
      <c r="M278" s="105">
        <f t="shared" ca="1" si="91"/>
        <v>0</v>
      </c>
      <c r="N278" s="105">
        <f t="shared" ca="1" si="81"/>
        <v>0</v>
      </c>
      <c r="O278" s="105">
        <f t="shared" ca="1" si="92"/>
        <v>0</v>
      </c>
      <c r="P278" s="105">
        <f t="shared" ca="1" si="93"/>
        <v>0</v>
      </c>
      <c r="Q278" s="105">
        <f t="shared" ca="1" si="94"/>
        <v>0</v>
      </c>
      <c r="R278" s="105">
        <f t="shared" ca="1" si="95"/>
        <v>0</v>
      </c>
      <c r="S278" s="105">
        <f t="shared" ca="1" si="96"/>
        <v>10</v>
      </c>
    </row>
    <row r="279" spans="1:19" x14ac:dyDescent="0.35">
      <c r="A279" s="105">
        <f t="shared" ca="1" si="82"/>
        <v>373.29000000000127</v>
      </c>
      <c r="B279" s="105">
        <f t="shared" ca="1" si="83"/>
        <v>0</v>
      </c>
      <c r="C279" s="105">
        <f t="shared" ca="1" si="84"/>
        <v>2</v>
      </c>
      <c r="D279" s="105">
        <f t="shared" ca="1" si="85"/>
        <v>21.357500000000165</v>
      </c>
      <c r="E279" s="105">
        <f t="shared" ca="1" si="86"/>
        <v>0</v>
      </c>
      <c r="F279" s="105">
        <f t="shared" ca="1" si="87"/>
        <v>0</v>
      </c>
      <c r="G279" s="105">
        <f t="shared" ca="1" si="97"/>
        <v>0</v>
      </c>
      <c r="H279" s="105">
        <f t="shared" ca="1" si="98"/>
        <v>0</v>
      </c>
      <c r="I279" s="105">
        <f t="shared" ca="1" si="88"/>
        <v>0</v>
      </c>
      <c r="J279" s="105">
        <f t="shared" ca="1" si="89"/>
        <v>0</v>
      </c>
      <c r="K279" s="105">
        <f t="shared" ca="1" si="90"/>
        <v>0</v>
      </c>
      <c r="L279" s="105">
        <f t="shared" ca="1" si="80"/>
        <v>0</v>
      </c>
      <c r="M279" s="105">
        <f t="shared" ca="1" si="91"/>
        <v>0</v>
      </c>
      <c r="N279" s="105">
        <f t="shared" ca="1" si="81"/>
        <v>0</v>
      </c>
      <c r="O279" s="105">
        <f t="shared" ca="1" si="92"/>
        <v>0</v>
      </c>
      <c r="P279" s="105">
        <f t="shared" ca="1" si="93"/>
        <v>0</v>
      </c>
      <c r="Q279" s="105">
        <f t="shared" ca="1" si="94"/>
        <v>0</v>
      </c>
      <c r="R279" s="105">
        <f t="shared" ca="1" si="95"/>
        <v>0</v>
      </c>
      <c r="S279" s="105">
        <f t="shared" ca="1" si="96"/>
        <v>10</v>
      </c>
    </row>
    <row r="280" spans="1:19" x14ac:dyDescent="0.35">
      <c r="A280" s="105">
        <f t="shared" ca="1" si="82"/>
        <v>374.64250000000129</v>
      </c>
      <c r="B280" s="105">
        <f t="shared" ca="1" si="83"/>
        <v>0</v>
      </c>
      <c r="C280" s="105">
        <f t="shared" ca="1" si="84"/>
        <v>2</v>
      </c>
      <c r="D280" s="105">
        <f t="shared" ca="1" si="85"/>
        <v>20.005000000000166</v>
      </c>
      <c r="E280" s="105">
        <f t="shared" ca="1" si="86"/>
        <v>0</v>
      </c>
      <c r="F280" s="105">
        <f t="shared" ca="1" si="87"/>
        <v>0</v>
      </c>
      <c r="G280" s="105">
        <f t="shared" ca="1" si="97"/>
        <v>0</v>
      </c>
      <c r="H280" s="105">
        <f t="shared" ca="1" si="98"/>
        <v>0</v>
      </c>
      <c r="I280" s="105">
        <f t="shared" ca="1" si="88"/>
        <v>0</v>
      </c>
      <c r="J280" s="105">
        <f t="shared" ca="1" si="89"/>
        <v>0</v>
      </c>
      <c r="K280" s="105">
        <f t="shared" ca="1" si="90"/>
        <v>0</v>
      </c>
      <c r="L280" s="105">
        <f t="shared" ref="L280:L343" ca="1" si="99">IF(K280+K279&gt;0,1,0)</f>
        <v>0</v>
      </c>
      <c r="M280" s="105">
        <f t="shared" ca="1" si="91"/>
        <v>0</v>
      </c>
      <c r="N280" s="105">
        <f t="shared" ref="N280:N343" ca="1" si="100">IF(M280+M279&gt;0,1,0)</f>
        <v>0</v>
      </c>
      <c r="O280" s="105">
        <f t="shared" ca="1" si="92"/>
        <v>0</v>
      </c>
      <c r="P280" s="105">
        <f t="shared" ca="1" si="93"/>
        <v>0</v>
      </c>
      <c r="Q280" s="105">
        <f t="shared" ca="1" si="94"/>
        <v>0</v>
      </c>
      <c r="R280" s="105">
        <f t="shared" ca="1" si="95"/>
        <v>0</v>
      </c>
      <c r="S280" s="105">
        <f t="shared" ca="1" si="96"/>
        <v>10</v>
      </c>
    </row>
    <row r="281" spans="1:19" x14ac:dyDescent="0.35">
      <c r="A281" s="105">
        <f t="shared" ca="1" si="82"/>
        <v>375.99500000000131</v>
      </c>
      <c r="B281" s="105">
        <f t="shared" ca="1" si="83"/>
        <v>0</v>
      </c>
      <c r="C281" s="105">
        <f t="shared" ca="1" si="84"/>
        <v>2</v>
      </c>
      <c r="D281" s="105">
        <f t="shared" ca="1" si="85"/>
        <v>18.652500000000167</v>
      </c>
      <c r="E281" s="105">
        <f t="shared" ca="1" si="86"/>
        <v>0</v>
      </c>
      <c r="F281" s="105">
        <f t="shared" ca="1" si="87"/>
        <v>0</v>
      </c>
      <c r="G281" s="105">
        <f t="shared" ca="1" si="97"/>
        <v>0</v>
      </c>
      <c r="H281" s="105">
        <f t="shared" ca="1" si="98"/>
        <v>0</v>
      </c>
      <c r="I281" s="105">
        <f t="shared" ca="1" si="88"/>
        <v>0</v>
      </c>
      <c r="J281" s="105">
        <f t="shared" ca="1" si="89"/>
        <v>0</v>
      </c>
      <c r="K281" s="105">
        <f t="shared" ca="1" si="90"/>
        <v>0</v>
      </c>
      <c r="L281" s="105">
        <f t="shared" ca="1" si="99"/>
        <v>0</v>
      </c>
      <c r="M281" s="105">
        <f t="shared" ca="1" si="91"/>
        <v>0</v>
      </c>
      <c r="N281" s="105">
        <f t="shared" ca="1" si="100"/>
        <v>0</v>
      </c>
      <c r="O281" s="105">
        <f t="shared" ca="1" si="92"/>
        <v>0</v>
      </c>
      <c r="P281" s="105">
        <f t="shared" ca="1" si="93"/>
        <v>0</v>
      </c>
      <c r="Q281" s="105">
        <f t="shared" ca="1" si="94"/>
        <v>0</v>
      </c>
      <c r="R281" s="105">
        <f t="shared" ca="1" si="95"/>
        <v>0</v>
      </c>
      <c r="S281" s="105">
        <f t="shared" ca="1" si="96"/>
        <v>10</v>
      </c>
    </row>
    <row r="282" spans="1:19" x14ac:dyDescent="0.35">
      <c r="A282" s="105">
        <f t="shared" ca="1" si="82"/>
        <v>377.34750000000133</v>
      </c>
      <c r="B282" s="105">
        <f t="shared" ca="1" si="83"/>
        <v>0</v>
      </c>
      <c r="C282" s="105">
        <f t="shared" ca="1" si="84"/>
        <v>2</v>
      </c>
      <c r="D282" s="105">
        <f t="shared" ca="1" si="85"/>
        <v>17.300000000000168</v>
      </c>
      <c r="E282" s="105">
        <f t="shared" ca="1" si="86"/>
        <v>0</v>
      </c>
      <c r="F282" s="105">
        <f t="shared" ca="1" si="87"/>
        <v>0</v>
      </c>
      <c r="G282" s="105">
        <f t="shared" ca="1" si="97"/>
        <v>0</v>
      </c>
      <c r="H282" s="105">
        <f t="shared" ca="1" si="98"/>
        <v>0</v>
      </c>
      <c r="I282" s="105">
        <f t="shared" ca="1" si="88"/>
        <v>0</v>
      </c>
      <c r="J282" s="105">
        <f t="shared" ca="1" si="89"/>
        <v>0</v>
      </c>
      <c r="K282" s="105">
        <f t="shared" ca="1" si="90"/>
        <v>0</v>
      </c>
      <c r="L282" s="105">
        <f t="shared" ca="1" si="99"/>
        <v>0</v>
      </c>
      <c r="M282" s="105">
        <f t="shared" ca="1" si="91"/>
        <v>0</v>
      </c>
      <c r="N282" s="105">
        <f t="shared" ca="1" si="100"/>
        <v>0</v>
      </c>
      <c r="O282" s="105">
        <f t="shared" ca="1" si="92"/>
        <v>0</v>
      </c>
      <c r="P282" s="105">
        <f t="shared" ca="1" si="93"/>
        <v>0</v>
      </c>
      <c r="Q282" s="105">
        <f t="shared" ca="1" si="94"/>
        <v>0</v>
      </c>
      <c r="R282" s="105">
        <f t="shared" ca="1" si="95"/>
        <v>0</v>
      </c>
      <c r="S282" s="105">
        <f t="shared" ca="1" si="96"/>
        <v>10</v>
      </c>
    </row>
    <row r="283" spans="1:19" x14ac:dyDescent="0.35">
      <c r="A283" s="105">
        <f t="shared" ca="1" si="82"/>
        <v>378.70000000000135</v>
      </c>
      <c r="B283" s="105">
        <f t="shared" ca="1" si="83"/>
        <v>0</v>
      </c>
      <c r="C283" s="105">
        <f t="shared" ca="1" si="84"/>
        <v>2</v>
      </c>
      <c r="D283" s="105">
        <f t="shared" ca="1" si="85"/>
        <v>15.947500000000169</v>
      </c>
      <c r="E283" s="105">
        <f t="shared" ca="1" si="86"/>
        <v>0</v>
      </c>
      <c r="F283" s="105">
        <f t="shared" ca="1" si="87"/>
        <v>0</v>
      </c>
      <c r="G283" s="105">
        <f t="shared" ca="1" si="97"/>
        <v>0</v>
      </c>
      <c r="H283" s="105">
        <f t="shared" ca="1" si="98"/>
        <v>0</v>
      </c>
      <c r="I283" s="105">
        <f t="shared" ca="1" si="88"/>
        <v>0</v>
      </c>
      <c r="J283" s="105">
        <f t="shared" ca="1" si="89"/>
        <v>0</v>
      </c>
      <c r="K283" s="105">
        <f t="shared" ca="1" si="90"/>
        <v>0</v>
      </c>
      <c r="L283" s="105">
        <f t="shared" ca="1" si="99"/>
        <v>0</v>
      </c>
      <c r="M283" s="105">
        <f t="shared" ca="1" si="91"/>
        <v>0</v>
      </c>
      <c r="N283" s="105">
        <f t="shared" ca="1" si="100"/>
        <v>0</v>
      </c>
      <c r="O283" s="105">
        <f t="shared" ca="1" si="92"/>
        <v>0</v>
      </c>
      <c r="P283" s="105">
        <f t="shared" ca="1" si="93"/>
        <v>0</v>
      </c>
      <c r="Q283" s="105">
        <f t="shared" ca="1" si="94"/>
        <v>0</v>
      </c>
      <c r="R283" s="105">
        <f t="shared" ca="1" si="95"/>
        <v>0</v>
      </c>
      <c r="S283" s="105">
        <f t="shared" ca="1" si="96"/>
        <v>10</v>
      </c>
    </row>
    <row r="284" spans="1:19" x14ac:dyDescent="0.35">
      <c r="A284" s="105">
        <f t="shared" ca="1" si="82"/>
        <v>380.05250000000137</v>
      </c>
      <c r="B284" s="105">
        <f t="shared" ca="1" si="83"/>
        <v>0</v>
      </c>
      <c r="C284" s="105">
        <f t="shared" ca="1" si="84"/>
        <v>2</v>
      </c>
      <c r="D284" s="105">
        <f t="shared" ca="1" si="85"/>
        <v>14.595000000000169</v>
      </c>
      <c r="E284" s="105">
        <f t="shared" ca="1" si="86"/>
        <v>0</v>
      </c>
      <c r="F284" s="105">
        <f t="shared" ca="1" si="87"/>
        <v>0</v>
      </c>
      <c r="G284" s="105">
        <f t="shared" ca="1" si="97"/>
        <v>0</v>
      </c>
      <c r="H284" s="105">
        <f t="shared" ca="1" si="98"/>
        <v>0</v>
      </c>
      <c r="I284" s="105">
        <f t="shared" ca="1" si="88"/>
        <v>0</v>
      </c>
      <c r="J284" s="105">
        <f t="shared" ca="1" si="89"/>
        <v>0</v>
      </c>
      <c r="K284" s="105">
        <f t="shared" ca="1" si="90"/>
        <v>0</v>
      </c>
      <c r="L284" s="105">
        <f t="shared" ca="1" si="99"/>
        <v>0</v>
      </c>
      <c r="M284" s="105">
        <f t="shared" ca="1" si="91"/>
        <v>0</v>
      </c>
      <c r="N284" s="105">
        <f t="shared" ca="1" si="100"/>
        <v>0</v>
      </c>
      <c r="O284" s="105">
        <f t="shared" ca="1" si="92"/>
        <v>0</v>
      </c>
      <c r="P284" s="105">
        <f t="shared" ca="1" si="93"/>
        <v>0</v>
      </c>
      <c r="Q284" s="105">
        <f t="shared" ca="1" si="94"/>
        <v>0</v>
      </c>
      <c r="R284" s="105">
        <f t="shared" ca="1" si="95"/>
        <v>0</v>
      </c>
      <c r="S284" s="105">
        <f t="shared" ca="1" si="96"/>
        <v>10</v>
      </c>
    </row>
    <row r="285" spans="1:19" x14ac:dyDescent="0.35">
      <c r="A285" s="105">
        <f t="shared" ca="1" si="82"/>
        <v>381.40500000000139</v>
      </c>
      <c r="B285" s="105">
        <f t="shared" ca="1" si="83"/>
        <v>0</v>
      </c>
      <c r="C285" s="105">
        <f t="shared" ca="1" si="84"/>
        <v>2</v>
      </c>
      <c r="D285" s="105">
        <f t="shared" ca="1" si="85"/>
        <v>13.24250000000017</v>
      </c>
      <c r="E285" s="105">
        <f t="shared" ca="1" si="86"/>
        <v>0</v>
      </c>
      <c r="F285" s="105">
        <f t="shared" ca="1" si="87"/>
        <v>0</v>
      </c>
      <c r="G285" s="105">
        <f t="shared" ca="1" si="97"/>
        <v>0</v>
      </c>
      <c r="H285" s="105">
        <f t="shared" ca="1" si="98"/>
        <v>0</v>
      </c>
      <c r="I285" s="105">
        <f t="shared" ca="1" si="88"/>
        <v>0</v>
      </c>
      <c r="J285" s="105">
        <f t="shared" ca="1" si="89"/>
        <v>0</v>
      </c>
      <c r="K285" s="105">
        <f t="shared" ca="1" si="90"/>
        <v>0</v>
      </c>
      <c r="L285" s="105">
        <f t="shared" ca="1" si="99"/>
        <v>0</v>
      </c>
      <c r="M285" s="105">
        <f t="shared" ca="1" si="91"/>
        <v>0</v>
      </c>
      <c r="N285" s="105">
        <f t="shared" ca="1" si="100"/>
        <v>0</v>
      </c>
      <c r="O285" s="105">
        <f t="shared" ca="1" si="92"/>
        <v>0</v>
      </c>
      <c r="P285" s="105">
        <f t="shared" ca="1" si="93"/>
        <v>0</v>
      </c>
      <c r="Q285" s="105">
        <f t="shared" ca="1" si="94"/>
        <v>0</v>
      </c>
      <c r="R285" s="105">
        <f t="shared" ca="1" si="95"/>
        <v>0</v>
      </c>
      <c r="S285" s="105">
        <f t="shared" ca="1" si="96"/>
        <v>10</v>
      </c>
    </row>
    <row r="286" spans="1:19" x14ac:dyDescent="0.35">
      <c r="A286" s="105">
        <f t="shared" ca="1" si="82"/>
        <v>382.75750000000141</v>
      </c>
      <c r="B286" s="105">
        <f t="shared" ca="1" si="83"/>
        <v>0</v>
      </c>
      <c r="C286" s="105">
        <f t="shared" ca="1" si="84"/>
        <v>2</v>
      </c>
      <c r="D286" s="105">
        <f t="shared" ca="1" si="85"/>
        <v>11.890000000000171</v>
      </c>
      <c r="E286" s="105">
        <f t="shared" ca="1" si="86"/>
        <v>0</v>
      </c>
      <c r="F286" s="105">
        <f t="shared" ca="1" si="87"/>
        <v>0</v>
      </c>
      <c r="G286" s="105">
        <f t="shared" ca="1" si="97"/>
        <v>0</v>
      </c>
      <c r="H286" s="105">
        <f t="shared" ca="1" si="98"/>
        <v>0</v>
      </c>
      <c r="I286" s="105">
        <f t="shared" ca="1" si="88"/>
        <v>0</v>
      </c>
      <c r="J286" s="105">
        <f t="shared" ca="1" si="89"/>
        <v>0</v>
      </c>
      <c r="K286" s="105">
        <f t="shared" ca="1" si="90"/>
        <v>0</v>
      </c>
      <c r="L286" s="105">
        <f t="shared" ca="1" si="99"/>
        <v>0</v>
      </c>
      <c r="M286" s="105">
        <f t="shared" ca="1" si="91"/>
        <v>0</v>
      </c>
      <c r="N286" s="105">
        <f t="shared" ca="1" si="100"/>
        <v>0</v>
      </c>
      <c r="O286" s="105">
        <f t="shared" ca="1" si="92"/>
        <v>0</v>
      </c>
      <c r="P286" s="105">
        <f t="shared" ca="1" si="93"/>
        <v>0</v>
      </c>
      <c r="Q286" s="105">
        <f t="shared" ca="1" si="94"/>
        <v>0</v>
      </c>
      <c r="R286" s="105">
        <f t="shared" ca="1" si="95"/>
        <v>0</v>
      </c>
      <c r="S286" s="105">
        <f t="shared" ca="1" si="96"/>
        <v>10</v>
      </c>
    </row>
    <row r="287" spans="1:19" x14ac:dyDescent="0.35">
      <c r="A287" s="105">
        <f t="shared" ca="1" si="82"/>
        <v>384.11000000000143</v>
      </c>
      <c r="B287" s="105">
        <f t="shared" ca="1" si="83"/>
        <v>0</v>
      </c>
      <c r="C287" s="105">
        <f t="shared" ca="1" si="84"/>
        <v>2</v>
      </c>
      <c r="D287" s="105">
        <f t="shared" ca="1" si="85"/>
        <v>10.537500000000172</v>
      </c>
      <c r="E287" s="105">
        <f t="shared" ca="1" si="86"/>
        <v>0</v>
      </c>
      <c r="F287" s="105">
        <f t="shared" ca="1" si="87"/>
        <v>0</v>
      </c>
      <c r="G287" s="105">
        <f t="shared" ca="1" si="97"/>
        <v>0</v>
      </c>
      <c r="H287" s="105">
        <f t="shared" ca="1" si="98"/>
        <v>0</v>
      </c>
      <c r="I287" s="105">
        <f t="shared" ca="1" si="88"/>
        <v>0</v>
      </c>
      <c r="J287" s="105">
        <f t="shared" ca="1" si="89"/>
        <v>0</v>
      </c>
      <c r="K287" s="105">
        <f t="shared" ca="1" si="90"/>
        <v>0</v>
      </c>
      <c r="L287" s="105">
        <f t="shared" ca="1" si="99"/>
        <v>0</v>
      </c>
      <c r="M287" s="105">
        <f t="shared" ca="1" si="91"/>
        <v>0</v>
      </c>
      <c r="N287" s="105">
        <f t="shared" ca="1" si="100"/>
        <v>0</v>
      </c>
      <c r="O287" s="105">
        <f t="shared" ca="1" si="92"/>
        <v>0</v>
      </c>
      <c r="P287" s="105">
        <f t="shared" ca="1" si="93"/>
        <v>0</v>
      </c>
      <c r="Q287" s="105">
        <f t="shared" ca="1" si="94"/>
        <v>0</v>
      </c>
      <c r="R287" s="105">
        <f t="shared" ca="1" si="95"/>
        <v>0</v>
      </c>
      <c r="S287" s="105">
        <f t="shared" ca="1" si="96"/>
        <v>10</v>
      </c>
    </row>
    <row r="288" spans="1:19" x14ac:dyDescent="0.35">
      <c r="A288" s="105">
        <f t="shared" ca="1" si="82"/>
        <v>385.46250000000146</v>
      </c>
      <c r="B288" s="105">
        <f t="shared" ca="1" si="83"/>
        <v>0</v>
      </c>
      <c r="C288" s="105">
        <f t="shared" ca="1" si="84"/>
        <v>2</v>
      </c>
      <c r="D288" s="105">
        <f t="shared" ca="1" si="85"/>
        <v>9.1850000000001728</v>
      </c>
      <c r="E288" s="105">
        <f t="shared" ca="1" si="86"/>
        <v>0</v>
      </c>
      <c r="F288" s="105">
        <f t="shared" ca="1" si="87"/>
        <v>0</v>
      </c>
      <c r="G288" s="105">
        <f t="shared" ca="1" si="97"/>
        <v>0</v>
      </c>
      <c r="H288" s="105">
        <f t="shared" ca="1" si="98"/>
        <v>0</v>
      </c>
      <c r="I288" s="105">
        <f t="shared" ca="1" si="88"/>
        <v>0</v>
      </c>
      <c r="J288" s="105">
        <f t="shared" ca="1" si="89"/>
        <v>0</v>
      </c>
      <c r="K288" s="105">
        <f t="shared" ca="1" si="90"/>
        <v>0</v>
      </c>
      <c r="L288" s="105">
        <f t="shared" ca="1" si="99"/>
        <v>0</v>
      </c>
      <c r="M288" s="105">
        <f t="shared" ca="1" si="91"/>
        <v>0</v>
      </c>
      <c r="N288" s="105">
        <f t="shared" ca="1" si="100"/>
        <v>0</v>
      </c>
      <c r="O288" s="105">
        <f t="shared" ca="1" si="92"/>
        <v>0</v>
      </c>
      <c r="P288" s="105">
        <f t="shared" ca="1" si="93"/>
        <v>0</v>
      </c>
      <c r="Q288" s="105">
        <f t="shared" ca="1" si="94"/>
        <v>0</v>
      </c>
      <c r="R288" s="105">
        <f t="shared" ca="1" si="95"/>
        <v>0</v>
      </c>
      <c r="S288" s="105">
        <f t="shared" ca="1" si="96"/>
        <v>10</v>
      </c>
    </row>
    <row r="289" spans="1:19" x14ac:dyDescent="0.35">
      <c r="A289" s="105">
        <f t="shared" ca="1" si="82"/>
        <v>386.81500000000148</v>
      </c>
      <c r="B289" s="105">
        <f t="shared" ca="1" si="83"/>
        <v>0</v>
      </c>
      <c r="C289" s="105">
        <f t="shared" ca="1" si="84"/>
        <v>2</v>
      </c>
      <c r="D289" s="105">
        <f t="shared" ca="1" si="85"/>
        <v>7.8325000000001728</v>
      </c>
      <c r="E289" s="105">
        <f t="shared" ca="1" si="86"/>
        <v>0</v>
      </c>
      <c r="F289" s="105">
        <f t="shared" ca="1" si="87"/>
        <v>0</v>
      </c>
      <c r="G289" s="105">
        <f t="shared" ca="1" si="97"/>
        <v>0</v>
      </c>
      <c r="H289" s="105">
        <f t="shared" ca="1" si="98"/>
        <v>0</v>
      </c>
      <c r="I289" s="105">
        <f t="shared" ca="1" si="88"/>
        <v>0</v>
      </c>
      <c r="J289" s="105">
        <f t="shared" ca="1" si="89"/>
        <v>0</v>
      </c>
      <c r="K289" s="105">
        <f t="shared" ca="1" si="90"/>
        <v>0</v>
      </c>
      <c r="L289" s="105">
        <f t="shared" ca="1" si="99"/>
        <v>0</v>
      </c>
      <c r="M289" s="105">
        <f t="shared" ca="1" si="91"/>
        <v>0</v>
      </c>
      <c r="N289" s="105">
        <f t="shared" ca="1" si="100"/>
        <v>0</v>
      </c>
      <c r="O289" s="105">
        <f t="shared" ca="1" si="92"/>
        <v>0</v>
      </c>
      <c r="P289" s="105">
        <f t="shared" ca="1" si="93"/>
        <v>0</v>
      </c>
      <c r="Q289" s="105">
        <f t="shared" ca="1" si="94"/>
        <v>0</v>
      </c>
      <c r="R289" s="105">
        <f t="shared" ca="1" si="95"/>
        <v>0</v>
      </c>
      <c r="S289" s="105">
        <f t="shared" ca="1" si="96"/>
        <v>10</v>
      </c>
    </row>
    <row r="290" spans="1:19" x14ac:dyDescent="0.35">
      <c r="A290" s="105">
        <f t="shared" ca="1" si="82"/>
        <v>388.1675000000015</v>
      </c>
      <c r="B290" s="105">
        <f t="shared" ca="1" si="83"/>
        <v>0</v>
      </c>
      <c r="C290" s="105">
        <f t="shared" ca="1" si="84"/>
        <v>2</v>
      </c>
      <c r="D290" s="105">
        <f t="shared" ca="1" si="85"/>
        <v>6.4800000000001727</v>
      </c>
      <c r="E290" s="105">
        <f t="shared" ca="1" si="86"/>
        <v>0</v>
      </c>
      <c r="F290" s="105">
        <f t="shared" ca="1" si="87"/>
        <v>0</v>
      </c>
      <c r="G290" s="105">
        <f t="shared" ca="1" si="97"/>
        <v>0</v>
      </c>
      <c r="H290" s="105">
        <f t="shared" ca="1" si="98"/>
        <v>0</v>
      </c>
      <c r="I290" s="105">
        <f t="shared" ca="1" si="88"/>
        <v>0</v>
      </c>
      <c r="J290" s="105">
        <f t="shared" ca="1" si="89"/>
        <v>0</v>
      </c>
      <c r="K290" s="105">
        <f t="shared" ca="1" si="90"/>
        <v>0</v>
      </c>
      <c r="L290" s="105">
        <f t="shared" ca="1" si="99"/>
        <v>0</v>
      </c>
      <c r="M290" s="105">
        <f t="shared" ca="1" si="91"/>
        <v>0</v>
      </c>
      <c r="N290" s="105">
        <f t="shared" ca="1" si="100"/>
        <v>0</v>
      </c>
      <c r="O290" s="105">
        <f t="shared" ca="1" si="92"/>
        <v>0</v>
      </c>
      <c r="P290" s="105">
        <f t="shared" ca="1" si="93"/>
        <v>0</v>
      </c>
      <c r="Q290" s="105">
        <f t="shared" ca="1" si="94"/>
        <v>0</v>
      </c>
      <c r="R290" s="105">
        <f t="shared" ca="1" si="95"/>
        <v>0</v>
      </c>
      <c r="S290" s="105">
        <f t="shared" ca="1" si="96"/>
        <v>10</v>
      </c>
    </row>
    <row r="291" spans="1:19" x14ac:dyDescent="0.35">
      <c r="A291" s="105">
        <f t="shared" ca="1" si="82"/>
        <v>389.52000000000152</v>
      </c>
      <c r="B291" s="105">
        <f t="shared" ca="1" si="83"/>
        <v>0</v>
      </c>
      <c r="C291" s="105">
        <f t="shared" ca="1" si="84"/>
        <v>2</v>
      </c>
      <c r="D291" s="105">
        <f t="shared" ca="1" si="85"/>
        <v>5.1275000000001727</v>
      </c>
      <c r="E291" s="105">
        <f t="shared" ca="1" si="86"/>
        <v>0</v>
      </c>
      <c r="F291" s="105">
        <f t="shared" ca="1" si="87"/>
        <v>0</v>
      </c>
      <c r="G291" s="105">
        <f t="shared" ca="1" si="97"/>
        <v>0</v>
      </c>
      <c r="H291" s="105">
        <f t="shared" ca="1" si="98"/>
        <v>0</v>
      </c>
      <c r="I291" s="105">
        <f t="shared" ca="1" si="88"/>
        <v>0</v>
      </c>
      <c r="J291" s="105">
        <f t="shared" ca="1" si="89"/>
        <v>0</v>
      </c>
      <c r="K291" s="105">
        <f t="shared" ca="1" si="90"/>
        <v>0</v>
      </c>
      <c r="L291" s="105">
        <f t="shared" ca="1" si="99"/>
        <v>0</v>
      </c>
      <c r="M291" s="105">
        <f t="shared" ca="1" si="91"/>
        <v>0</v>
      </c>
      <c r="N291" s="105">
        <f t="shared" ca="1" si="100"/>
        <v>0</v>
      </c>
      <c r="O291" s="105">
        <f t="shared" ca="1" si="92"/>
        <v>0</v>
      </c>
      <c r="P291" s="105">
        <f t="shared" ca="1" si="93"/>
        <v>0</v>
      </c>
      <c r="Q291" s="105">
        <f t="shared" ca="1" si="94"/>
        <v>0</v>
      </c>
      <c r="R291" s="105">
        <f t="shared" ca="1" si="95"/>
        <v>0</v>
      </c>
      <c r="S291" s="105">
        <f t="shared" ca="1" si="96"/>
        <v>10</v>
      </c>
    </row>
    <row r="292" spans="1:19" x14ac:dyDescent="0.35">
      <c r="A292" s="105">
        <f t="shared" ca="1" si="82"/>
        <v>390.87250000000154</v>
      </c>
      <c r="B292" s="105">
        <f t="shared" ca="1" si="83"/>
        <v>0</v>
      </c>
      <c r="C292" s="105">
        <f t="shared" ca="1" si="84"/>
        <v>2</v>
      </c>
      <c r="D292" s="105">
        <f t="shared" ca="1" si="85"/>
        <v>3.7750000000001727</v>
      </c>
      <c r="E292" s="105">
        <f t="shared" ca="1" si="86"/>
        <v>0</v>
      </c>
      <c r="F292" s="105">
        <f t="shared" ca="1" si="87"/>
        <v>0</v>
      </c>
      <c r="G292" s="105">
        <f t="shared" ca="1" si="97"/>
        <v>0</v>
      </c>
      <c r="H292" s="105">
        <f t="shared" ca="1" si="98"/>
        <v>0</v>
      </c>
      <c r="I292" s="105">
        <f t="shared" ca="1" si="88"/>
        <v>0</v>
      </c>
      <c r="J292" s="105">
        <f t="shared" ca="1" si="89"/>
        <v>0</v>
      </c>
      <c r="K292" s="105">
        <f t="shared" ca="1" si="90"/>
        <v>0</v>
      </c>
      <c r="L292" s="105">
        <f t="shared" ca="1" si="99"/>
        <v>0</v>
      </c>
      <c r="M292" s="105">
        <f t="shared" ca="1" si="91"/>
        <v>0</v>
      </c>
      <c r="N292" s="105">
        <f t="shared" ca="1" si="100"/>
        <v>0</v>
      </c>
      <c r="O292" s="105">
        <f t="shared" ca="1" si="92"/>
        <v>0</v>
      </c>
      <c r="P292" s="105">
        <f t="shared" ca="1" si="93"/>
        <v>0</v>
      </c>
      <c r="Q292" s="105">
        <f t="shared" ca="1" si="94"/>
        <v>0</v>
      </c>
      <c r="R292" s="105">
        <f t="shared" ca="1" si="95"/>
        <v>0</v>
      </c>
      <c r="S292" s="105">
        <f t="shared" ca="1" si="96"/>
        <v>10</v>
      </c>
    </row>
    <row r="293" spans="1:19" x14ac:dyDescent="0.35">
      <c r="A293" s="105">
        <f t="shared" ca="1" si="82"/>
        <v>392.22500000000156</v>
      </c>
      <c r="B293" s="105">
        <f t="shared" ca="1" si="83"/>
        <v>0</v>
      </c>
      <c r="C293" s="105">
        <f t="shared" ca="1" si="84"/>
        <v>2</v>
      </c>
      <c r="D293" s="105">
        <f t="shared" ca="1" si="85"/>
        <v>2.4225000000001726</v>
      </c>
      <c r="E293" s="105">
        <f t="shared" ca="1" si="86"/>
        <v>0</v>
      </c>
      <c r="F293" s="105">
        <f t="shared" ca="1" si="87"/>
        <v>0</v>
      </c>
      <c r="G293" s="105">
        <f t="shared" ca="1" si="97"/>
        <v>0</v>
      </c>
      <c r="H293" s="105">
        <f t="shared" ca="1" si="98"/>
        <v>0</v>
      </c>
      <c r="I293" s="105">
        <f t="shared" ca="1" si="88"/>
        <v>0</v>
      </c>
      <c r="J293" s="105">
        <f t="shared" ca="1" si="89"/>
        <v>0</v>
      </c>
      <c r="K293" s="105">
        <f t="shared" ca="1" si="90"/>
        <v>0</v>
      </c>
      <c r="L293" s="105">
        <f t="shared" ca="1" si="99"/>
        <v>0</v>
      </c>
      <c r="M293" s="105">
        <f t="shared" ca="1" si="91"/>
        <v>0</v>
      </c>
      <c r="N293" s="105">
        <f t="shared" ca="1" si="100"/>
        <v>0</v>
      </c>
      <c r="O293" s="105">
        <f t="shared" ca="1" si="92"/>
        <v>0</v>
      </c>
      <c r="P293" s="105">
        <f t="shared" ca="1" si="93"/>
        <v>0</v>
      </c>
      <c r="Q293" s="105">
        <f t="shared" ca="1" si="94"/>
        <v>0</v>
      </c>
      <c r="R293" s="105">
        <f t="shared" ca="1" si="95"/>
        <v>0</v>
      </c>
      <c r="S293" s="105">
        <f t="shared" ca="1" si="96"/>
        <v>10</v>
      </c>
    </row>
    <row r="294" spans="1:19" x14ac:dyDescent="0.35">
      <c r="A294" s="105">
        <f t="shared" ca="1" si="82"/>
        <v>393.57750000000158</v>
      </c>
      <c r="B294" s="105">
        <f t="shared" ca="1" si="83"/>
        <v>0</v>
      </c>
      <c r="C294" s="105">
        <f t="shared" ca="1" si="84"/>
        <v>2</v>
      </c>
      <c r="D294" s="105">
        <f t="shared" ca="1" si="85"/>
        <v>1.0700000000001726</v>
      </c>
      <c r="E294" s="105">
        <f t="shared" ca="1" si="86"/>
        <v>0</v>
      </c>
      <c r="F294" s="105">
        <f t="shared" ca="1" si="87"/>
        <v>0</v>
      </c>
      <c r="G294" s="105">
        <f t="shared" ca="1" si="97"/>
        <v>0</v>
      </c>
      <c r="H294" s="105">
        <f t="shared" ca="1" si="98"/>
        <v>0</v>
      </c>
      <c r="I294" s="105">
        <f t="shared" ca="1" si="88"/>
        <v>0</v>
      </c>
      <c r="J294" s="105">
        <f t="shared" ca="1" si="89"/>
        <v>0</v>
      </c>
      <c r="K294" s="105">
        <f t="shared" ca="1" si="90"/>
        <v>0</v>
      </c>
      <c r="L294" s="105">
        <f t="shared" ca="1" si="99"/>
        <v>0</v>
      </c>
      <c r="M294" s="105">
        <f t="shared" ca="1" si="91"/>
        <v>0</v>
      </c>
      <c r="N294" s="105">
        <f t="shared" ca="1" si="100"/>
        <v>0</v>
      </c>
      <c r="O294" s="105">
        <f t="shared" ca="1" si="92"/>
        <v>0</v>
      </c>
      <c r="P294" s="105">
        <f t="shared" ca="1" si="93"/>
        <v>0</v>
      </c>
      <c r="Q294" s="105">
        <f t="shared" ca="1" si="94"/>
        <v>0</v>
      </c>
      <c r="R294" s="105">
        <f t="shared" ca="1" si="95"/>
        <v>0</v>
      </c>
      <c r="S294" s="105">
        <f t="shared" ca="1" si="96"/>
        <v>10</v>
      </c>
    </row>
    <row r="295" spans="1:19" x14ac:dyDescent="0.35">
      <c r="A295" s="105">
        <f t="shared" ca="1" si="82"/>
        <v>394.9300000000016</v>
      </c>
      <c r="B295" s="105">
        <f t="shared" ca="1" si="83"/>
        <v>0</v>
      </c>
      <c r="C295" s="105">
        <f t="shared" ca="1" si="84"/>
        <v>2</v>
      </c>
      <c r="D295" s="105">
        <f t="shared" ca="1" si="85"/>
        <v>0</v>
      </c>
      <c r="E295" s="105">
        <f t="shared" ca="1" si="86"/>
        <v>0</v>
      </c>
      <c r="F295" s="105">
        <f t="shared" ca="1" si="87"/>
        <v>0</v>
      </c>
      <c r="G295" s="105">
        <f t="shared" ca="1" si="97"/>
        <v>0</v>
      </c>
      <c r="H295" s="105">
        <f t="shared" ca="1" si="98"/>
        <v>0</v>
      </c>
      <c r="I295" s="105">
        <f t="shared" ca="1" si="88"/>
        <v>0</v>
      </c>
      <c r="J295" s="105">
        <f t="shared" ca="1" si="89"/>
        <v>0</v>
      </c>
      <c r="K295" s="105">
        <f t="shared" ca="1" si="90"/>
        <v>0</v>
      </c>
      <c r="L295" s="105">
        <f t="shared" ca="1" si="99"/>
        <v>0</v>
      </c>
      <c r="M295" s="105">
        <f t="shared" ca="1" si="91"/>
        <v>0</v>
      </c>
      <c r="N295" s="105">
        <f t="shared" ca="1" si="100"/>
        <v>0</v>
      </c>
      <c r="O295" s="105">
        <f t="shared" ca="1" si="92"/>
        <v>0</v>
      </c>
      <c r="P295" s="105">
        <f t="shared" ca="1" si="93"/>
        <v>0</v>
      </c>
      <c r="Q295" s="105">
        <f t="shared" ca="1" si="94"/>
        <v>0</v>
      </c>
      <c r="R295" s="105">
        <f t="shared" ca="1" si="95"/>
        <v>0</v>
      </c>
      <c r="S295" s="105">
        <f t="shared" ca="1" si="96"/>
        <v>10</v>
      </c>
    </row>
    <row r="296" spans="1:19" x14ac:dyDescent="0.35">
      <c r="A296" s="105">
        <f t="shared" ca="1" si="82"/>
        <v>396.28250000000162</v>
      </c>
      <c r="B296" s="105">
        <f t="shared" ca="1" si="83"/>
        <v>0</v>
      </c>
      <c r="C296" s="105">
        <f t="shared" ca="1" si="84"/>
        <v>2</v>
      </c>
      <c r="D296" s="105">
        <f t="shared" ca="1" si="85"/>
        <v>0</v>
      </c>
      <c r="E296" s="105">
        <f t="shared" ca="1" si="86"/>
        <v>0</v>
      </c>
      <c r="F296" s="105">
        <f t="shared" ca="1" si="87"/>
        <v>0</v>
      </c>
      <c r="G296" s="105">
        <f t="shared" ca="1" si="97"/>
        <v>0</v>
      </c>
      <c r="H296" s="105">
        <f t="shared" ca="1" si="98"/>
        <v>0</v>
      </c>
      <c r="I296" s="105">
        <f t="shared" ca="1" si="88"/>
        <v>0</v>
      </c>
      <c r="J296" s="105">
        <f t="shared" ca="1" si="89"/>
        <v>0</v>
      </c>
      <c r="K296" s="105">
        <f t="shared" ca="1" si="90"/>
        <v>0</v>
      </c>
      <c r="L296" s="105">
        <f t="shared" ca="1" si="99"/>
        <v>0</v>
      </c>
      <c r="M296" s="105">
        <f t="shared" ca="1" si="91"/>
        <v>0</v>
      </c>
      <c r="N296" s="105">
        <f t="shared" ca="1" si="100"/>
        <v>0</v>
      </c>
      <c r="O296" s="105">
        <f t="shared" ca="1" si="92"/>
        <v>0</v>
      </c>
      <c r="P296" s="105">
        <f t="shared" ca="1" si="93"/>
        <v>0</v>
      </c>
      <c r="Q296" s="105">
        <f t="shared" ca="1" si="94"/>
        <v>0</v>
      </c>
      <c r="R296" s="105">
        <f t="shared" ca="1" si="95"/>
        <v>0</v>
      </c>
      <c r="S296" s="105">
        <f t="shared" ca="1" si="96"/>
        <v>10</v>
      </c>
    </row>
    <row r="297" spans="1:19" x14ac:dyDescent="0.35">
      <c r="A297" s="105">
        <f t="shared" ca="1" si="82"/>
        <v>397.63500000000164</v>
      </c>
      <c r="B297" s="105">
        <f t="shared" ca="1" si="83"/>
        <v>0</v>
      </c>
      <c r="C297" s="105">
        <f t="shared" ca="1" si="84"/>
        <v>2</v>
      </c>
      <c r="D297" s="105">
        <f t="shared" ca="1" si="85"/>
        <v>0</v>
      </c>
      <c r="E297" s="105">
        <f t="shared" ca="1" si="86"/>
        <v>0</v>
      </c>
      <c r="F297" s="105">
        <f t="shared" ca="1" si="87"/>
        <v>0</v>
      </c>
      <c r="G297" s="105">
        <f t="shared" ca="1" si="97"/>
        <v>0</v>
      </c>
      <c r="H297" s="105">
        <f t="shared" ca="1" si="98"/>
        <v>0</v>
      </c>
      <c r="I297" s="105">
        <f t="shared" ca="1" si="88"/>
        <v>0</v>
      </c>
      <c r="J297" s="105">
        <f t="shared" ca="1" si="89"/>
        <v>0</v>
      </c>
      <c r="K297" s="105">
        <f t="shared" ca="1" si="90"/>
        <v>0</v>
      </c>
      <c r="L297" s="105">
        <f t="shared" ca="1" si="99"/>
        <v>0</v>
      </c>
      <c r="M297" s="105">
        <f t="shared" ca="1" si="91"/>
        <v>0</v>
      </c>
      <c r="N297" s="105">
        <f t="shared" ca="1" si="100"/>
        <v>0</v>
      </c>
      <c r="O297" s="105">
        <f t="shared" ca="1" si="92"/>
        <v>0</v>
      </c>
      <c r="P297" s="105">
        <f t="shared" ca="1" si="93"/>
        <v>0</v>
      </c>
      <c r="Q297" s="105">
        <f t="shared" ca="1" si="94"/>
        <v>0</v>
      </c>
      <c r="R297" s="105">
        <f t="shared" ca="1" si="95"/>
        <v>0</v>
      </c>
      <c r="S297" s="105">
        <f t="shared" ca="1" si="96"/>
        <v>10</v>
      </c>
    </row>
    <row r="298" spans="1:19" x14ac:dyDescent="0.35">
      <c r="A298" s="105">
        <f t="shared" ca="1" si="82"/>
        <v>398.98750000000166</v>
      </c>
      <c r="B298" s="105">
        <f t="shared" ca="1" si="83"/>
        <v>0</v>
      </c>
      <c r="C298" s="105">
        <f t="shared" ca="1" si="84"/>
        <v>2</v>
      </c>
      <c r="D298" s="105">
        <f t="shared" ca="1" si="85"/>
        <v>0</v>
      </c>
      <c r="E298" s="105">
        <f t="shared" ca="1" si="86"/>
        <v>0</v>
      </c>
      <c r="F298" s="105">
        <f t="shared" ca="1" si="87"/>
        <v>0</v>
      </c>
      <c r="G298" s="105">
        <f t="shared" ca="1" si="97"/>
        <v>0</v>
      </c>
      <c r="H298" s="105">
        <f t="shared" ca="1" si="98"/>
        <v>0</v>
      </c>
      <c r="I298" s="105">
        <f t="shared" ca="1" si="88"/>
        <v>0</v>
      </c>
      <c r="J298" s="105">
        <f t="shared" ca="1" si="89"/>
        <v>0</v>
      </c>
      <c r="K298" s="105">
        <f t="shared" ca="1" si="90"/>
        <v>0</v>
      </c>
      <c r="L298" s="105">
        <f t="shared" ca="1" si="99"/>
        <v>0</v>
      </c>
      <c r="M298" s="105">
        <f t="shared" ca="1" si="91"/>
        <v>0</v>
      </c>
      <c r="N298" s="105">
        <f t="shared" ca="1" si="100"/>
        <v>0</v>
      </c>
      <c r="O298" s="105">
        <f t="shared" ca="1" si="92"/>
        <v>0</v>
      </c>
      <c r="P298" s="105">
        <f t="shared" ca="1" si="93"/>
        <v>0</v>
      </c>
      <c r="Q298" s="105">
        <f t="shared" ca="1" si="94"/>
        <v>0</v>
      </c>
      <c r="R298" s="105">
        <f t="shared" ca="1" si="95"/>
        <v>0</v>
      </c>
      <c r="S298" s="105">
        <f t="shared" ca="1" si="96"/>
        <v>10</v>
      </c>
    </row>
    <row r="299" spans="1:19" x14ac:dyDescent="0.35">
      <c r="A299" s="105">
        <f t="shared" ca="1" si="82"/>
        <v>400.34000000000168</v>
      </c>
      <c r="B299" s="105">
        <f t="shared" ca="1" si="83"/>
        <v>0</v>
      </c>
      <c r="C299" s="105">
        <f t="shared" ca="1" si="84"/>
        <v>2</v>
      </c>
      <c r="D299" s="105">
        <f t="shared" ca="1" si="85"/>
        <v>0</v>
      </c>
      <c r="E299" s="105">
        <f t="shared" ca="1" si="86"/>
        <v>0</v>
      </c>
      <c r="F299" s="105">
        <f t="shared" ca="1" si="87"/>
        <v>0</v>
      </c>
      <c r="G299" s="105">
        <f t="shared" ca="1" si="97"/>
        <v>0</v>
      </c>
      <c r="H299" s="105">
        <f t="shared" ca="1" si="98"/>
        <v>0</v>
      </c>
      <c r="I299" s="105">
        <f t="shared" ca="1" si="88"/>
        <v>0</v>
      </c>
      <c r="J299" s="105">
        <f t="shared" ca="1" si="89"/>
        <v>0</v>
      </c>
      <c r="K299" s="105">
        <f t="shared" ca="1" si="90"/>
        <v>0</v>
      </c>
      <c r="L299" s="105">
        <f t="shared" ca="1" si="99"/>
        <v>0</v>
      </c>
      <c r="M299" s="105">
        <f t="shared" ca="1" si="91"/>
        <v>0</v>
      </c>
      <c r="N299" s="105">
        <f t="shared" ca="1" si="100"/>
        <v>0</v>
      </c>
      <c r="O299" s="105">
        <f t="shared" ca="1" si="92"/>
        <v>0</v>
      </c>
      <c r="P299" s="105">
        <f t="shared" ca="1" si="93"/>
        <v>0</v>
      </c>
      <c r="Q299" s="105">
        <f t="shared" ca="1" si="94"/>
        <v>0</v>
      </c>
      <c r="R299" s="105">
        <f t="shared" ca="1" si="95"/>
        <v>0</v>
      </c>
      <c r="S299" s="105">
        <f t="shared" ca="1" si="96"/>
        <v>10</v>
      </c>
    </row>
    <row r="300" spans="1:19" x14ac:dyDescent="0.35">
      <c r="A300" s="105">
        <f t="shared" ca="1" si="82"/>
        <v>401.6925000000017</v>
      </c>
      <c r="B300" s="105">
        <f t="shared" ca="1" si="83"/>
        <v>0</v>
      </c>
      <c r="C300" s="105">
        <f t="shared" ca="1" si="84"/>
        <v>2</v>
      </c>
      <c r="D300" s="105">
        <f t="shared" ca="1" si="85"/>
        <v>0</v>
      </c>
      <c r="E300" s="105">
        <f t="shared" ca="1" si="86"/>
        <v>0</v>
      </c>
      <c r="F300" s="105">
        <f t="shared" ca="1" si="87"/>
        <v>0</v>
      </c>
      <c r="G300" s="105">
        <f t="shared" ca="1" si="97"/>
        <v>0</v>
      </c>
      <c r="H300" s="105">
        <f t="shared" ca="1" si="98"/>
        <v>0</v>
      </c>
      <c r="I300" s="105">
        <f t="shared" ca="1" si="88"/>
        <v>0</v>
      </c>
      <c r="J300" s="105">
        <f t="shared" ca="1" si="89"/>
        <v>0</v>
      </c>
      <c r="K300" s="105">
        <f t="shared" ca="1" si="90"/>
        <v>0</v>
      </c>
      <c r="L300" s="105">
        <f t="shared" ca="1" si="99"/>
        <v>0</v>
      </c>
      <c r="M300" s="105">
        <f t="shared" ca="1" si="91"/>
        <v>0</v>
      </c>
      <c r="N300" s="105">
        <f t="shared" ca="1" si="100"/>
        <v>0</v>
      </c>
      <c r="O300" s="105">
        <f t="shared" ca="1" si="92"/>
        <v>0</v>
      </c>
      <c r="P300" s="105">
        <f t="shared" ca="1" si="93"/>
        <v>0</v>
      </c>
      <c r="Q300" s="105">
        <f t="shared" ca="1" si="94"/>
        <v>0</v>
      </c>
      <c r="R300" s="105">
        <f t="shared" ca="1" si="95"/>
        <v>0</v>
      </c>
      <c r="S300" s="105">
        <f t="shared" ca="1" si="96"/>
        <v>10</v>
      </c>
    </row>
    <row r="301" spans="1:19" x14ac:dyDescent="0.35">
      <c r="A301" s="105">
        <f t="shared" ca="1" si="82"/>
        <v>403.04500000000172</v>
      </c>
      <c r="B301" s="105">
        <f t="shared" ca="1" si="83"/>
        <v>0</v>
      </c>
      <c r="C301" s="105">
        <f t="shared" ca="1" si="84"/>
        <v>2</v>
      </c>
      <c r="D301" s="105">
        <f t="shared" ca="1" si="85"/>
        <v>0</v>
      </c>
      <c r="E301" s="105">
        <f t="shared" ca="1" si="86"/>
        <v>0</v>
      </c>
      <c r="F301" s="105">
        <f t="shared" ca="1" si="87"/>
        <v>0</v>
      </c>
      <c r="G301" s="105">
        <f t="shared" ca="1" si="97"/>
        <v>0</v>
      </c>
      <c r="H301" s="105">
        <f t="shared" ca="1" si="98"/>
        <v>0</v>
      </c>
      <c r="I301" s="105">
        <f t="shared" ca="1" si="88"/>
        <v>0</v>
      </c>
      <c r="J301" s="105">
        <f t="shared" ca="1" si="89"/>
        <v>0</v>
      </c>
      <c r="K301" s="105">
        <f t="shared" ca="1" si="90"/>
        <v>0</v>
      </c>
      <c r="L301" s="105">
        <f t="shared" ca="1" si="99"/>
        <v>0</v>
      </c>
      <c r="M301" s="105">
        <f t="shared" ca="1" si="91"/>
        <v>0</v>
      </c>
      <c r="N301" s="105">
        <f t="shared" ca="1" si="100"/>
        <v>0</v>
      </c>
      <c r="O301" s="105">
        <f t="shared" ca="1" si="92"/>
        <v>0</v>
      </c>
      <c r="P301" s="105">
        <f t="shared" ca="1" si="93"/>
        <v>0</v>
      </c>
      <c r="Q301" s="105">
        <f t="shared" ca="1" si="94"/>
        <v>0</v>
      </c>
      <c r="R301" s="105">
        <f t="shared" ca="1" si="95"/>
        <v>0</v>
      </c>
      <c r="S301" s="105">
        <f t="shared" ca="1" si="96"/>
        <v>10</v>
      </c>
    </row>
    <row r="302" spans="1:19" x14ac:dyDescent="0.35">
      <c r="A302" s="105">
        <f t="shared" ca="1" si="82"/>
        <v>404.39750000000174</v>
      </c>
      <c r="B302" s="105">
        <f t="shared" ca="1" si="83"/>
        <v>0</v>
      </c>
      <c r="C302" s="105">
        <f t="shared" ca="1" si="84"/>
        <v>2</v>
      </c>
      <c r="D302" s="105">
        <f t="shared" ca="1" si="85"/>
        <v>0</v>
      </c>
      <c r="E302" s="105">
        <f t="shared" ca="1" si="86"/>
        <v>0</v>
      </c>
      <c r="F302" s="105">
        <f t="shared" ca="1" si="87"/>
        <v>0</v>
      </c>
      <c r="G302" s="105">
        <f t="shared" ca="1" si="97"/>
        <v>0</v>
      </c>
      <c r="H302" s="105">
        <f t="shared" ca="1" si="98"/>
        <v>0</v>
      </c>
      <c r="I302" s="105">
        <f t="shared" ca="1" si="88"/>
        <v>0</v>
      </c>
      <c r="J302" s="105">
        <f t="shared" ca="1" si="89"/>
        <v>0</v>
      </c>
      <c r="K302" s="105">
        <f t="shared" ca="1" si="90"/>
        <v>0</v>
      </c>
      <c r="L302" s="105">
        <f t="shared" ca="1" si="99"/>
        <v>0</v>
      </c>
      <c r="M302" s="105">
        <f t="shared" ca="1" si="91"/>
        <v>0</v>
      </c>
      <c r="N302" s="105">
        <f t="shared" ca="1" si="100"/>
        <v>0</v>
      </c>
      <c r="O302" s="105">
        <f t="shared" ca="1" si="92"/>
        <v>0</v>
      </c>
      <c r="P302" s="105">
        <f t="shared" ca="1" si="93"/>
        <v>0</v>
      </c>
      <c r="Q302" s="105">
        <f t="shared" ca="1" si="94"/>
        <v>0</v>
      </c>
      <c r="R302" s="105">
        <f t="shared" ca="1" si="95"/>
        <v>0</v>
      </c>
      <c r="S302" s="105">
        <f t="shared" ca="1" si="96"/>
        <v>10</v>
      </c>
    </row>
    <row r="303" spans="1:19" x14ac:dyDescent="0.35">
      <c r="A303" s="105">
        <f t="shared" ca="1" si="82"/>
        <v>405.75000000000176</v>
      </c>
      <c r="B303" s="105">
        <f t="shared" ca="1" si="83"/>
        <v>0</v>
      </c>
      <c r="C303" s="105">
        <f t="shared" ca="1" si="84"/>
        <v>2</v>
      </c>
      <c r="D303" s="105">
        <f t="shared" ca="1" si="85"/>
        <v>0</v>
      </c>
      <c r="E303" s="105">
        <f t="shared" ca="1" si="86"/>
        <v>0</v>
      </c>
      <c r="F303" s="105">
        <f t="shared" ca="1" si="87"/>
        <v>0</v>
      </c>
      <c r="G303" s="105">
        <f t="shared" ca="1" si="97"/>
        <v>0</v>
      </c>
      <c r="H303" s="105">
        <f t="shared" ca="1" si="98"/>
        <v>0</v>
      </c>
      <c r="I303" s="105">
        <f t="shared" ca="1" si="88"/>
        <v>0</v>
      </c>
      <c r="J303" s="105">
        <f t="shared" ca="1" si="89"/>
        <v>0</v>
      </c>
      <c r="K303" s="105">
        <f t="shared" ca="1" si="90"/>
        <v>0</v>
      </c>
      <c r="L303" s="105">
        <f t="shared" ca="1" si="99"/>
        <v>0</v>
      </c>
      <c r="M303" s="105">
        <f t="shared" ca="1" si="91"/>
        <v>0</v>
      </c>
      <c r="N303" s="105">
        <f t="shared" ca="1" si="100"/>
        <v>0</v>
      </c>
      <c r="O303" s="105">
        <f t="shared" ca="1" si="92"/>
        <v>0</v>
      </c>
      <c r="P303" s="105">
        <f t="shared" ca="1" si="93"/>
        <v>0</v>
      </c>
      <c r="Q303" s="105">
        <f t="shared" ca="1" si="94"/>
        <v>0</v>
      </c>
      <c r="R303" s="105">
        <f t="shared" ca="1" si="95"/>
        <v>0</v>
      </c>
      <c r="S303" s="105">
        <f t="shared" ca="1" si="96"/>
        <v>10</v>
      </c>
    </row>
    <row r="304" spans="1:19" x14ac:dyDescent="0.35">
      <c r="A304" s="105">
        <f t="shared" ca="1" si="82"/>
        <v>407.10250000000178</v>
      </c>
      <c r="B304" s="105">
        <f t="shared" ca="1" si="83"/>
        <v>0</v>
      </c>
      <c r="C304" s="105">
        <f t="shared" ca="1" si="84"/>
        <v>2</v>
      </c>
      <c r="D304" s="105">
        <f t="shared" ca="1" si="85"/>
        <v>0</v>
      </c>
      <c r="E304" s="105">
        <f t="shared" ca="1" si="86"/>
        <v>0</v>
      </c>
      <c r="F304" s="105">
        <f t="shared" ca="1" si="87"/>
        <v>0</v>
      </c>
      <c r="G304" s="105">
        <f t="shared" ca="1" si="97"/>
        <v>0</v>
      </c>
      <c r="H304" s="105">
        <f t="shared" ca="1" si="98"/>
        <v>0</v>
      </c>
      <c r="I304" s="105">
        <f t="shared" ca="1" si="88"/>
        <v>0</v>
      </c>
      <c r="J304" s="105">
        <f t="shared" ca="1" si="89"/>
        <v>0</v>
      </c>
      <c r="K304" s="105">
        <f t="shared" ca="1" si="90"/>
        <v>0</v>
      </c>
      <c r="L304" s="105">
        <f t="shared" ca="1" si="99"/>
        <v>0</v>
      </c>
      <c r="M304" s="105">
        <f t="shared" ca="1" si="91"/>
        <v>0</v>
      </c>
      <c r="N304" s="105">
        <f t="shared" ca="1" si="100"/>
        <v>0</v>
      </c>
      <c r="O304" s="105">
        <f t="shared" ca="1" si="92"/>
        <v>0</v>
      </c>
      <c r="P304" s="105">
        <f t="shared" ca="1" si="93"/>
        <v>0</v>
      </c>
      <c r="Q304" s="105">
        <f t="shared" ca="1" si="94"/>
        <v>0</v>
      </c>
      <c r="R304" s="105">
        <f t="shared" ca="1" si="95"/>
        <v>0</v>
      </c>
      <c r="S304" s="105">
        <f t="shared" ca="1" si="96"/>
        <v>10</v>
      </c>
    </row>
    <row r="305" spans="1:19" x14ac:dyDescent="0.35">
      <c r="A305" s="105">
        <f t="shared" ca="1" si="82"/>
        <v>408.4550000000018</v>
      </c>
      <c r="B305" s="105">
        <f t="shared" ca="1" si="83"/>
        <v>0</v>
      </c>
      <c r="C305" s="105">
        <f t="shared" ca="1" si="84"/>
        <v>2</v>
      </c>
      <c r="D305" s="105">
        <f t="shared" ca="1" si="85"/>
        <v>0</v>
      </c>
      <c r="E305" s="105">
        <f t="shared" ca="1" si="86"/>
        <v>0</v>
      </c>
      <c r="F305" s="105">
        <f t="shared" ca="1" si="87"/>
        <v>0</v>
      </c>
      <c r="G305" s="105">
        <f t="shared" ca="1" si="97"/>
        <v>0</v>
      </c>
      <c r="H305" s="105">
        <f t="shared" ca="1" si="98"/>
        <v>0</v>
      </c>
      <c r="I305" s="105">
        <f t="shared" ca="1" si="88"/>
        <v>0</v>
      </c>
      <c r="J305" s="105">
        <f t="shared" ca="1" si="89"/>
        <v>0</v>
      </c>
      <c r="K305" s="105">
        <f t="shared" ca="1" si="90"/>
        <v>0</v>
      </c>
      <c r="L305" s="105">
        <f t="shared" ca="1" si="99"/>
        <v>0</v>
      </c>
      <c r="M305" s="105">
        <f t="shared" ca="1" si="91"/>
        <v>0</v>
      </c>
      <c r="N305" s="105">
        <f t="shared" ca="1" si="100"/>
        <v>0</v>
      </c>
      <c r="O305" s="105">
        <f t="shared" ca="1" si="92"/>
        <v>0</v>
      </c>
      <c r="P305" s="105">
        <f t="shared" ca="1" si="93"/>
        <v>0</v>
      </c>
      <c r="Q305" s="105">
        <f t="shared" ca="1" si="94"/>
        <v>0</v>
      </c>
      <c r="R305" s="105">
        <f t="shared" ca="1" si="95"/>
        <v>0</v>
      </c>
      <c r="S305" s="105">
        <f t="shared" ca="1" si="96"/>
        <v>10</v>
      </c>
    </row>
    <row r="306" spans="1:19" x14ac:dyDescent="0.35">
      <c r="A306" s="105">
        <f t="shared" ca="1" si="82"/>
        <v>409.80750000000182</v>
      </c>
      <c r="B306" s="105">
        <f t="shared" ca="1" si="83"/>
        <v>0</v>
      </c>
      <c r="C306" s="105">
        <f t="shared" ca="1" si="84"/>
        <v>2</v>
      </c>
      <c r="D306" s="105">
        <f t="shared" ca="1" si="85"/>
        <v>0</v>
      </c>
      <c r="E306" s="105">
        <f t="shared" ca="1" si="86"/>
        <v>0</v>
      </c>
      <c r="F306" s="105">
        <f t="shared" ca="1" si="87"/>
        <v>0</v>
      </c>
      <c r="G306" s="105">
        <f t="shared" ca="1" si="97"/>
        <v>0</v>
      </c>
      <c r="H306" s="105">
        <f t="shared" ca="1" si="98"/>
        <v>0</v>
      </c>
      <c r="I306" s="105">
        <f t="shared" ca="1" si="88"/>
        <v>0</v>
      </c>
      <c r="J306" s="105">
        <f t="shared" ca="1" si="89"/>
        <v>0</v>
      </c>
      <c r="K306" s="105">
        <f t="shared" ca="1" si="90"/>
        <v>0</v>
      </c>
      <c r="L306" s="105">
        <f t="shared" ca="1" si="99"/>
        <v>0</v>
      </c>
      <c r="M306" s="105">
        <f t="shared" ca="1" si="91"/>
        <v>0</v>
      </c>
      <c r="N306" s="105">
        <f t="shared" ca="1" si="100"/>
        <v>0</v>
      </c>
      <c r="O306" s="105">
        <f t="shared" ca="1" si="92"/>
        <v>0</v>
      </c>
      <c r="P306" s="105">
        <f t="shared" ca="1" si="93"/>
        <v>0</v>
      </c>
      <c r="Q306" s="105">
        <f t="shared" ca="1" si="94"/>
        <v>0</v>
      </c>
      <c r="R306" s="105">
        <f t="shared" ca="1" si="95"/>
        <v>0</v>
      </c>
      <c r="S306" s="105">
        <f t="shared" ca="1" si="96"/>
        <v>10</v>
      </c>
    </row>
    <row r="307" spans="1:19" x14ac:dyDescent="0.35">
      <c r="A307" s="105">
        <f t="shared" ca="1" si="82"/>
        <v>411.16000000000184</v>
      </c>
      <c r="B307" s="105">
        <f t="shared" ca="1" si="83"/>
        <v>0</v>
      </c>
      <c r="C307" s="105">
        <f t="shared" ca="1" si="84"/>
        <v>2</v>
      </c>
      <c r="D307" s="105">
        <f t="shared" ca="1" si="85"/>
        <v>0</v>
      </c>
      <c r="E307" s="105">
        <f t="shared" ca="1" si="86"/>
        <v>0</v>
      </c>
      <c r="F307" s="105">
        <f t="shared" ca="1" si="87"/>
        <v>0</v>
      </c>
      <c r="G307" s="105">
        <f t="shared" ca="1" si="97"/>
        <v>0</v>
      </c>
      <c r="H307" s="105">
        <f t="shared" ca="1" si="98"/>
        <v>0</v>
      </c>
      <c r="I307" s="105">
        <f t="shared" ca="1" si="88"/>
        <v>0</v>
      </c>
      <c r="J307" s="105">
        <f t="shared" ca="1" si="89"/>
        <v>0</v>
      </c>
      <c r="K307" s="105">
        <f t="shared" ca="1" si="90"/>
        <v>0</v>
      </c>
      <c r="L307" s="105">
        <f t="shared" ca="1" si="99"/>
        <v>0</v>
      </c>
      <c r="M307" s="105">
        <f t="shared" ca="1" si="91"/>
        <v>0</v>
      </c>
      <c r="N307" s="105">
        <f t="shared" ca="1" si="100"/>
        <v>0</v>
      </c>
      <c r="O307" s="105">
        <f t="shared" ca="1" si="92"/>
        <v>0</v>
      </c>
      <c r="P307" s="105">
        <f t="shared" ca="1" si="93"/>
        <v>0</v>
      </c>
      <c r="Q307" s="105">
        <f t="shared" ca="1" si="94"/>
        <v>0</v>
      </c>
      <c r="R307" s="105">
        <f t="shared" ca="1" si="95"/>
        <v>0</v>
      </c>
      <c r="S307" s="105">
        <f t="shared" ca="1" si="96"/>
        <v>10</v>
      </c>
    </row>
    <row r="308" spans="1:19" x14ac:dyDescent="0.35">
      <c r="A308" s="105">
        <f t="shared" ca="1" si="82"/>
        <v>412.51250000000186</v>
      </c>
      <c r="B308" s="105">
        <f t="shared" ca="1" si="83"/>
        <v>0</v>
      </c>
      <c r="C308" s="105">
        <f t="shared" ca="1" si="84"/>
        <v>2</v>
      </c>
      <c r="D308" s="105">
        <f t="shared" ca="1" si="85"/>
        <v>0</v>
      </c>
      <c r="E308" s="105">
        <f t="shared" ca="1" si="86"/>
        <v>0</v>
      </c>
      <c r="F308" s="105">
        <f t="shared" ca="1" si="87"/>
        <v>0</v>
      </c>
      <c r="G308" s="105">
        <f t="shared" ca="1" si="97"/>
        <v>0</v>
      </c>
      <c r="H308" s="105">
        <f t="shared" ca="1" si="98"/>
        <v>0</v>
      </c>
      <c r="I308" s="105">
        <f t="shared" ca="1" si="88"/>
        <v>0</v>
      </c>
      <c r="J308" s="105">
        <f t="shared" ca="1" si="89"/>
        <v>0</v>
      </c>
      <c r="K308" s="105">
        <f t="shared" ca="1" si="90"/>
        <v>0</v>
      </c>
      <c r="L308" s="105">
        <f t="shared" ca="1" si="99"/>
        <v>0</v>
      </c>
      <c r="M308" s="105">
        <f t="shared" ca="1" si="91"/>
        <v>0</v>
      </c>
      <c r="N308" s="105">
        <f t="shared" ca="1" si="100"/>
        <v>0</v>
      </c>
      <c r="O308" s="105">
        <f t="shared" ca="1" si="92"/>
        <v>0</v>
      </c>
      <c r="P308" s="105">
        <f t="shared" ca="1" si="93"/>
        <v>0</v>
      </c>
      <c r="Q308" s="105">
        <f t="shared" ca="1" si="94"/>
        <v>0</v>
      </c>
      <c r="R308" s="105">
        <f t="shared" ca="1" si="95"/>
        <v>0</v>
      </c>
      <c r="S308" s="105">
        <f t="shared" ca="1" si="96"/>
        <v>10</v>
      </c>
    </row>
    <row r="309" spans="1:19" x14ac:dyDescent="0.35">
      <c r="A309" s="105">
        <f t="shared" ca="1" si="82"/>
        <v>413.86500000000188</v>
      </c>
      <c r="B309" s="105">
        <f t="shared" ca="1" si="83"/>
        <v>0</v>
      </c>
      <c r="C309" s="105">
        <f t="shared" ca="1" si="84"/>
        <v>2</v>
      </c>
      <c r="D309" s="105">
        <f t="shared" ca="1" si="85"/>
        <v>0</v>
      </c>
      <c r="E309" s="105">
        <f t="shared" ca="1" si="86"/>
        <v>0</v>
      </c>
      <c r="F309" s="105">
        <f t="shared" ca="1" si="87"/>
        <v>0</v>
      </c>
      <c r="G309" s="105">
        <f t="shared" ca="1" si="97"/>
        <v>0</v>
      </c>
      <c r="H309" s="105">
        <f t="shared" ca="1" si="98"/>
        <v>0</v>
      </c>
      <c r="I309" s="105">
        <f t="shared" ca="1" si="88"/>
        <v>0</v>
      </c>
      <c r="J309" s="105">
        <f t="shared" ca="1" si="89"/>
        <v>0</v>
      </c>
      <c r="K309" s="105">
        <f t="shared" ca="1" si="90"/>
        <v>0</v>
      </c>
      <c r="L309" s="105">
        <f t="shared" ca="1" si="99"/>
        <v>0</v>
      </c>
      <c r="M309" s="105">
        <f t="shared" ca="1" si="91"/>
        <v>0</v>
      </c>
      <c r="N309" s="105">
        <f t="shared" ca="1" si="100"/>
        <v>0</v>
      </c>
      <c r="O309" s="105">
        <f t="shared" ca="1" si="92"/>
        <v>0</v>
      </c>
      <c r="P309" s="105">
        <f t="shared" ca="1" si="93"/>
        <v>0</v>
      </c>
      <c r="Q309" s="105">
        <f t="shared" ca="1" si="94"/>
        <v>0</v>
      </c>
      <c r="R309" s="105">
        <f t="shared" ca="1" si="95"/>
        <v>0</v>
      </c>
      <c r="S309" s="105">
        <f t="shared" ca="1" si="96"/>
        <v>10</v>
      </c>
    </row>
    <row r="310" spans="1:19" x14ac:dyDescent="0.35">
      <c r="A310" s="105">
        <f t="shared" ca="1" si="82"/>
        <v>415.21750000000191</v>
      </c>
      <c r="B310" s="105">
        <f t="shared" ca="1" si="83"/>
        <v>0</v>
      </c>
      <c r="C310" s="105">
        <f t="shared" ca="1" si="84"/>
        <v>2</v>
      </c>
      <c r="D310" s="105">
        <f t="shared" ca="1" si="85"/>
        <v>0</v>
      </c>
      <c r="E310" s="105">
        <f t="shared" ca="1" si="86"/>
        <v>0</v>
      </c>
      <c r="F310" s="105">
        <f t="shared" ca="1" si="87"/>
        <v>0</v>
      </c>
      <c r="G310" s="105">
        <f t="shared" ca="1" si="97"/>
        <v>0</v>
      </c>
      <c r="H310" s="105">
        <f t="shared" ca="1" si="98"/>
        <v>0</v>
      </c>
      <c r="I310" s="105">
        <f t="shared" ca="1" si="88"/>
        <v>0</v>
      </c>
      <c r="J310" s="105">
        <f t="shared" ca="1" si="89"/>
        <v>0</v>
      </c>
      <c r="K310" s="105">
        <f t="shared" ca="1" si="90"/>
        <v>0</v>
      </c>
      <c r="L310" s="105">
        <f t="shared" ca="1" si="99"/>
        <v>0</v>
      </c>
      <c r="M310" s="105">
        <f t="shared" ca="1" si="91"/>
        <v>0</v>
      </c>
      <c r="N310" s="105">
        <f t="shared" ca="1" si="100"/>
        <v>0</v>
      </c>
      <c r="O310" s="105">
        <f t="shared" ca="1" si="92"/>
        <v>0</v>
      </c>
      <c r="P310" s="105">
        <f t="shared" ca="1" si="93"/>
        <v>0</v>
      </c>
      <c r="Q310" s="105">
        <f t="shared" ca="1" si="94"/>
        <v>0</v>
      </c>
      <c r="R310" s="105">
        <f t="shared" ca="1" si="95"/>
        <v>0</v>
      </c>
      <c r="S310" s="105">
        <f t="shared" ca="1" si="96"/>
        <v>10</v>
      </c>
    </row>
    <row r="311" spans="1:19" x14ac:dyDescent="0.35">
      <c r="A311" s="105">
        <f t="shared" ca="1" si="82"/>
        <v>416.57000000000193</v>
      </c>
      <c r="B311" s="105">
        <f t="shared" ca="1" si="83"/>
        <v>0</v>
      </c>
      <c r="C311" s="105">
        <f t="shared" ca="1" si="84"/>
        <v>2</v>
      </c>
      <c r="D311" s="105">
        <f t="shared" ca="1" si="85"/>
        <v>0</v>
      </c>
      <c r="E311" s="105">
        <f t="shared" ca="1" si="86"/>
        <v>0</v>
      </c>
      <c r="F311" s="105">
        <f t="shared" ca="1" si="87"/>
        <v>0</v>
      </c>
      <c r="G311" s="105">
        <f t="shared" ca="1" si="97"/>
        <v>0</v>
      </c>
      <c r="H311" s="105">
        <f t="shared" ca="1" si="98"/>
        <v>0</v>
      </c>
      <c r="I311" s="105">
        <f t="shared" ca="1" si="88"/>
        <v>0</v>
      </c>
      <c r="J311" s="105">
        <f t="shared" ca="1" si="89"/>
        <v>0</v>
      </c>
      <c r="K311" s="105">
        <f t="shared" ca="1" si="90"/>
        <v>0</v>
      </c>
      <c r="L311" s="105">
        <f t="shared" ca="1" si="99"/>
        <v>0</v>
      </c>
      <c r="M311" s="105">
        <f t="shared" ca="1" si="91"/>
        <v>0</v>
      </c>
      <c r="N311" s="105">
        <f t="shared" ca="1" si="100"/>
        <v>0</v>
      </c>
      <c r="O311" s="105">
        <f t="shared" ca="1" si="92"/>
        <v>0</v>
      </c>
      <c r="P311" s="105">
        <f t="shared" ca="1" si="93"/>
        <v>0</v>
      </c>
      <c r="Q311" s="105">
        <f t="shared" ca="1" si="94"/>
        <v>0</v>
      </c>
      <c r="R311" s="105">
        <f t="shared" ca="1" si="95"/>
        <v>0</v>
      </c>
      <c r="S311" s="105">
        <f t="shared" ca="1" si="96"/>
        <v>10</v>
      </c>
    </row>
    <row r="312" spans="1:19" x14ac:dyDescent="0.35">
      <c r="A312" s="105">
        <f t="shared" ca="1" si="82"/>
        <v>417.92250000000195</v>
      </c>
      <c r="B312" s="105">
        <f t="shared" ca="1" si="83"/>
        <v>0</v>
      </c>
      <c r="C312" s="105">
        <f t="shared" ca="1" si="84"/>
        <v>2</v>
      </c>
      <c r="D312" s="105">
        <f t="shared" ca="1" si="85"/>
        <v>0</v>
      </c>
      <c r="E312" s="105">
        <f t="shared" ca="1" si="86"/>
        <v>0</v>
      </c>
      <c r="F312" s="105">
        <f t="shared" ca="1" si="87"/>
        <v>0</v>
      </c>
      <c r="G312" s="105">
        <f t="shared" ca="1" si="97"/>
        <v>0</v>
      </c>
      <c r="H312" s="105">
        <f t="shared" ca="1" si="98"/>
        <v>0</v>
      </c>
      <c r="I312" s="105">
        <f t="shared" ca="1" si="88"/>
        <v>0</v>
      </c>
      <c r="J312" s="105">
        <f t="shared" ca="1" si="89"/>
        <v>0</v>
      </c>
      <c r="K312" s="105">
        <f t="shared" ca="1" si="90"/>
        <v>0</v>
      </c>
      <c r="L312" s="105">
        <f t="shared" ca="1" si="99"/>
        <v>0</v>
      </c>
      <c r="M312" s="105">
        <f t="shared" ca="1" si="91"/>
        <v>0</v>
      </c>
      <c r="N312" s="105">
        <f t="shared" ca="1" si="100"/>
        <v>0</v>
      </c>
      <c r="O312" s="105">
        <f t="shared" ca="1" si="92"/>
        <v>0</v>
      </c>
      <c r="P312" s="105">
        <f t="shared" ca="1" si="93"/>
        <v>0</v>
      </c>
      <c r="Q312" s="105">
        <f t="shared" ca="1" si="94"/>
        <v>0</v>
      </c>
      <c r="R312" s="105">
        <f t="shared" ca="1" si="95"/>
        <v>0</v>
      </c>
      <c r="S312" s="105">
        <f t="shared" ca="1" si="96"/>
        <v>10</v>
      </c>
    </row>
    <row r="313" spans="1:19" x14ac:dyDescent="0.35">
      <c r="A313" s="105">
        <f t="shared" ca="1" si="82"/>
        <v>419.27500000000197</v>
      </c>
      <c r="B313" s="105">
        <f t="shared" ca="1" si="83"/>
        <v>0</v>
      </c>
      <c r="C313" s="105">
        <f t="shared" ca="1" si="84"/>
        <v>2</v>
      </c>
      <c r="D313" s="105">
        <f t="shared" ca="1" si="85"/>
        <v>0</v>
      </c>
      <c r="E313" s="105">
        <f t="shared" ca="1" si="86"/>
        <v>0</v>
      </c>
      <c r="F313" s="105">
        <f t="shared" ca="1" si="87"/>
        <v>0</v>
      </c>
      <c r="G313" s="105">
        <f t="shared" ca="1" si="97"/>
        <v>0</v>
      </c>
      <c r="H313" s="105">
        <f t="shared" ca="1" si="98"/>
        <v>0</v>
      </c>
      <c r="I313" s="105">
        <f t="shared" ca="1" si="88"/>
        <v>0</v>
      </c>
      <c r="J313" s="105">
        <f t="shared" ca="1" si="89"/>
        <v>0</v>
      </c>
      <c r="K313" s="105">
        <f t="shared" ca="1" si="90"/>
        <v>0</v>
      </c>
      <c r="L313" s="105">
        <f t="shared" ca="1" si="99"/>
        <v>0</v>
      </c>
      <c r="M313" s="105">
        <f t="shared" ca="1" si="91"/>
        <v>0</v>
      </c>
      <c r="N313" s="105">
        <f t="shared" ca="1" si="100"/>
        <v>0</v>
      </c>
      <c r="O313" s="105">
        <f t="shared" ca="1" si="92"/>
        <v>0</v>
      </c>
      <c r="P313" s="105">
        <f t="shared" ca="1" si="93"/>
        <v>0</v>
      </c>
      <c r="Q313" s="105">
        <f t="shared" ca="1" si="94"/>
        <v>0</v>
      </c>
      <c r="R313" s="105">
        <f t="shared" ca="1" si="95"/>
        <v>0</v>
      </c>
      <c r="S313" s="105">
        <f t="shared" ca="1" si="96"/>
        <v>10</v>
      </c>
    </row>
    <row r="314" spans="1:19" x14ac:dyDescent="0.35">
      <c r="A314" s="105">
        <f t="shared" ca="1" si="82"/>
        <v>420.62750000000199</v>
      </c>
      <c r="B314" s="105">
        <f t="shared" ca="1" si="83"/>
        <v>0</v>
      </c>
      <c r="C314" s="105">
        <f t="shared" ca="1" si="84"/>
        <v>2</v>
      </c>
      <c r="D314" s="105">
        <f t="shared" ca="1" si="85"/>
        <v>0</v>
      </c>
      <c r="E314" s="105">
        <f t="shared" ca="1" si="86"/>
        <v>0</v>
      </c>
      <c r="F314" s="105">
        <f t="shared" ca="1" si="87"/>
        <v>0</v>
      </c>
      <c r="G314" s="105">
        <f t="shared" ca="1" si="97"/>
        <v>0</v>
      </c>
      <c r="H314" s="105">
        <f t="shared" ca="1" si="98"/>
        <v>0</v>
      </c>
      <c r="I314" s="105">
        <f t="shared" ca="1" si="88"/>
        <v>0</v>
      </c>
      <c r="J314" s="105">
        <f t="shared" ca="1" si="89"/>
        <v>0</v>
      </c>
      <c r="K314" s="105">
        <f t="shared" ca="1" si="90"/>
        <v>0</v>
      </c>
      <c r="L314" s="105">
        <f t="shared" ca="1" si="99"/>
        <v>0</v>
      </c>
      <c r="M314" s="105">
        <f t="shared" ca="1" si="91"/>
        <v>0</v>
      </c>
      <c r="N314" s="105">
        <f t="shared" ca="1" si="100"/>
        <v>0</v>
      </c>
      <c r="O314" s="105">
        <f t="shared" ca="1" si="92"/>
        <v>0</v>
      </c>
      <c r="P314" s="105">
        <f t="shared" ca="1" si="93"/>
        <v>0</v>
      </c>
      <c r="Q314" s="105">
        <f t="shared" ca="1" si="94"/>
        <v>0</v>
      </c>
      <c r="R314" s="105">
        <f t="shared" ca="1" si="95"/>
        <v>0</v>
      </c>
      <c r="S314" s="105">
        <f t="shared" ca="1" si="96"/>
        <v>10</v>
      </c>
    </row>
    <row r="315" spans="1:19" x14ac:dyDescent="0.35">
      <c r="A315" s="105">
        <f t="shared" ca="1" si="82"/>
        <v>421.98000000000201</v>
      </c>
      <c r="B315" s="105">
        <f t="shared" ca="1" si="83"/>
        <v>0</v>
      </c>
      <c r="C315" s="105">
        <f t="shared" ca="1" si="84"/>
        <v>2</v>
      </c>
      <c r="D315" s="105">
        <f t="shared" ca="1" si="85"/>
        <v>0</v>
      </c>
      <c r="E315" s="105">
        <f t="shared" ca="1" si="86"/>
        <v>0</v>
      </c>
      <c r="F315" s="105">
        <f t="shared" ca="1" si="87"/>
        <v>0</v>
      </c>
      <c r="G315" s="105">
        <f t="shared" ca="1" si="97"/>
        <v>0</v>
      </c>
      <c r="H315" s="105">
        <f t="shared" ca="1" si="98"/>
        <v>0</v>
      </c>
      <c r="I315" s="105">
        <f t="shared" ca="1" si="88"/>
        <v>0</v>
      </c>
      <c r="J315" s="105">
        <f t="shared" ca="1" si="89"/>
        <v>0</v>
      </c>
      <c r="K315" s="105">
        <f t="shared" ca="1" si="90"/>
        <v>0</v>
      </c>
      <c r="L315" s="105">
        <f t="shared" ca="1" si="99"/>
        <v>0</v>
      </c>
      <c r="M315" s="105">
        <f t="shared" ca="1" si="91"/>
        <v>0</v>
      </c>
      <c r="N315" s="105">
        <f t="shared" ca="1" si="100"/>
        <v>0</v>
      </c>
      <c r="O315" s="105">
        <f t="shared" ca="1" si="92"/>
        <v>0</v>
      </c>
      <c r="P315" s="105">
        <f t="shared" ca="1" si="93"/>
        <v>0</v>
      </c>
      <c r="Q315" s="105">
        <f t="shared" ca="1" si="94"/>
        <v>0</v>
      </c>
      <c r="R315" s="105">
        <f t="shared" ca="1" si="95"/>
        <v>0</v>
      </c>
      <c r="S315" s="105">
        <f t="shared" ca="1" si="96"/>
        <v>10</v>
      </c>
    </row>
    <row r="316" spans="1:19" x14ac:dyDescent="0.35">
      <c r="A316" s="105">
        <f t="shared" ca="1" si="82"/>
        <v>423.33250000000203</v>
      </c>
      <c r="B316" s="105">
        <f t="shared" ca="1" si="83"/>
        <v>0</v>
      </c>
      <c r="C316" s="105">
        <f t="shared" ca="1" si="84"/>
        <v>2</v>
      </c>
      <c r="D316" s="105">
        <f t="shared" ca="1" si="85"/>
        <v>0</v>
      </c>
      <c r="E316" s="105">
        <f t="shared" ca="1" si="86"/>
        <v>0</v>
      </c>
      <c r="F316" s="105">
        <f t="shared" ca="1" si="87"/>
        <v>0</v>
      </c>
      <c r="G316" s="105">
        <f t="shared" ca="1" si="97"/>
        <v>0</v>
      </c>
      <c r="H316" s="105">
        <f t="shared" ca="1" si="98"/>
        <v>0</v>
      </c>
      <c r="I316" s="105">
        <f t="shared" ca="1" si="88"/>
        <v>0</v>
      </c>
      <c r="J316" s="105">
        <f t="shared" ca="1" si="89"/>
        <v>0</v>
      </c>
      <c r="K316" s="105">
        <f t="shared" ca="1" si="90"/>
        <v>0</v>
      </c>
      <c r="L316" s="105">
        <f t="shared" ca="1" si="99"/>
        <v>0</v>
      </c>
      <c r="M316" s="105">
        <f t="shared" ca="1" si="91"/>
        <v>0</v>
      </c>
      <c r="N316" s="105">
        <f t="shared" ca="1" si="100"/>
        <v>0</v>
      </c>
      <c r="O316" s="105">
        <f t="shared" ca="1" si="92"/>
        <v>0</v>
      </c>
      <c r="P316" s="105">
        <f t="shared" ca="1" si="93"/>
        <v>0</v>
      </c>
      <c r="Q316" s="105">
        <f t="shared" ca="1" si="94"/>
        <v>0</v>
      </c>
      <c r="R316" s="105">
        <f t="shared" ca="1" si="95"/>
        <v>0</v>
      </c>
      <c r="S316" s="105">
        <f t="shared" ca="1" si="96"/>
        <v>10</v>
      </c>
    </row>
    <row r="317" spans="1:19" x14ac:dyDescent="0.35">
      <c r="A317" s="105">
        <f t="shared" ca="1" si="82"/>
        <v>424.68500000000205</v>
      </c>
      <c r="B317" s="105">
        <f t="shared" ca="1" si="83"/>
        <v>0</v>
      </c>
      <c r="C317" s="105">
        <f t="shared" ca="1" si="84"/>
        <v>2</v>
      </c>
      <c r="D317" s="105">
        <f t="shared" ca="1" si="85"/>
        <v>0</v>
      </c>
      <c r="E317" s="105">
        <f t="shared" ca="1" si="86"/>
        <v>0</v>
      </c>
      <c r="F317" s="105">
        <f t="shared" ca="1" si="87"/>
        <v>0</v>
      </c>
      <c r="G317" s="105">
        <f t="shared" ca="1" si="97"/>
        <v>0</v>
      </c>
      <c r="H317" s="105">
        <f t="shared" ca="1" si="98"/>
        <v>0</v>
      </c>
      <c r="I317" s="105">
        <f t="shared" ca="1" si="88"/>
        <v>0</v>
      </c>
      <c r="J317" s="105">
        <f t="shared" ca="1" si="89"/>
        <v>0</v>
      </c>
      <c r="K317" s="105">
        <f t="shared" ca="1" si="90"/>
        <v>0</v>
      </c>
      <c r="L317" s="105">
        <f t="shared" ca="1" si="99"/>
        <v>0</v>
      </c>
      <c r="M317" s="105">
        <f t="shared" ca="1" si="91"/>
        <v>0</v>
      </c>
      <c r="N317" s="105">
        <f t="shared" ca="1" si="100"/>
        <v>0</v>
      </c>
      <c r="O317" s="105">
        <f t="shared" ca="1" si="92"/>
        <v>0</v>
      </c>
      <c r="P317" s="105">
        <f t="shared" ca="1" si="93"/>
        <v>0</v>
      </c>
      <c r="Q317" s="105">
        <f t="shared" ca="1" si="94"/>
        <v>0</v>
      </c>
      <c r="R317" s="105">
        <f t="shared" ca="1" si="95"/>
        <v>0</v>
      </c>
      <c r="S317" s="105">
        <f t="shared" ca="1" si="96"/>
        <v>10</v>
      </c>
    </row>
    <row r="318" spans="1:19" x14ac:dyDescent="0.35">
      <c r="A318" s="105">
        <f t="shared" ca="1" si="82"/>
        <v>426.03750000000207</v>
      </c>
      <c r="B318" s="105">
        <f t="shared" ca="1" si="83"/>
        <v>0</v>
      </c>
      <c r="C318" s="105">
        <f t="shared" ca="1" si="84"/>
        <v>2</v>
      </c>
      <c r="D318" s="105">
        <f t="shared" ca="1" si="85"/>
        <v>0</v>
      </c>
      <c r="E318" s="105">
        <f t="shared" ca="1" si="86"/>
        <v>0</v>
      </c>
      <c r="F318" s="105">
        <f t="shared" ca="1" si="87"/>
        <v>0</v>
      </c>
      <c r="G318" s="105">
        <f t="shared" ca="1" si="97"/>
        <v>0</v>
      </c>
      <c r="H318" s="105">
        <f t="shared" ca="1" si="98"/>
        <v>0</v>
      </c>
      <c r="I318" s="105">
        <f t="shared" ca="1" si="88"/>
        <v>0</v>
      </c>
      <c r="J318" s="105">
        <f t="shared" ca="1" si="89"/>
        <v>0</v>
      </c>
      <c r="K318" s="105">
        <f t="shared" ca="1" si="90"/>
        <v>0</v>
      </c>
      <c r="L318" s="105">
        <f t="shared" ca="1" si="99"/>
        <v>0</v>
      </c>
      <c r="M318" s="105">
        <f t="shared" ca="1" si="91"/>
        <v>0</v>
      </c>
      <c r="N318" s="105">
        <f t="shared" ca="1" si="100"/>
        <v>0</v>
      </c>
      <c r="O318" s="105">
        <f t="shared" ca="1" si="92"/>
        <v>0</v>
      </c>
      <c r="P318" s="105">
        <f t="shared" ca="1" si="93"/>
        <v>0</v>
      </c>
      <c r="Q318" s="105">
        <f t="shared" ca="1" si="94"/>
        <v>0</v>
      </c>
      <c r="R318" s="105">
        <f t="shared" ca="1" si="95"/>
        <v>0</v>
      </c>
      <c r="S318" s="105">
        <f t="shared" ca="1" si="96"/>
        <v>10</v>
      </c>
    </row>
    <row r="319" spans="1:19" x14ac:dyDescent="0.35">
      <c r="A319" s="105">
        <f t="shared" ca="1" si="82"/>
        <v>427.39000000000209</v>
      </c>
      <c r="B319" s="105">
        <f t="shared" ca="1" si="83"/>
        <v>0</v>
      </c>
      <c r="C319" s="105">
        <f t="shared" ca="1" si="84"/>
        <v>2</v>
      </c>
      <c r="D319" s="105">
        <f t="shared" ca="1" si="85"/>
        <v>0</v>
      </c>
      <c r="E319" s="105">
        <f t="shared" ca="1" si="86"/>
        <v>0</v>
      </c>
      <c r="F319" s="105">
        <f t="shared" ca="1" si="87"/>
        <v>0</v>
      </c>
      <c r="G319" s="105">
        <f t="shared" ca="1" si="97"/>
        <v>0</v>
      </c>
      <c r="H319" s="105">
        <f t="shared" ca="1" si="98"/>
        <v>0</v>
      </c>
      <c r="I319" s="105">
        <f t="shared" ca="1" si="88"/>
        <v>0</v>
      </c>
      <c r="J319" s="105">
        <f t="shared" ca="1" si="89"/>
        <v>0</v>
      </c>
      <c r="K319" s="105">
        <f t="shared" ca="1" si="90"/>
        <v>0</v>
      </c>
      <c r="L319" s="105">
        <f t="shared" ca="1" si="99"/>
        <v>0</v>
      </c>
      <c r="M319" s="105">
        <f t="shared" ca="1" si="91"/>
        <v>0</v>
      </c>
      <c r="N319" s="105">
        <f t="shared" ca="1" si="100"/>
        <v>0</v>
      </c>
      <c r="O319" s="105">
        <f t="shared" ca="1" si="92"/>
        <v>0</v>
      </c>
      <c r="P319" s="105">
        <f t="shared" ca="1" si="93"/>
        <v>0</v>
      </c>
      <c r="Q319" s="105">
        <f t="shared" ca="1" si="94"/>
        <v>0</v>
      </c>
      <c r="R319" s="105">
        <f t="shared" ca="1" si="95"/>
        <v>0</v>
      </c>
      <c r="S319" s="105">
        <f t="shared" ca="1" si="96"/>
        <v>10</v>
      </c>
    </row>
    <row r="320" spans="1:19" x14ac:dyDescent="0.35">
      <c r="A320" s="105">
        <f t="shared" ca="1" si="82"/>
        <v>428.74250000000211</v>
      </c>
      <c r="B320" s="105">
        <f t="shared" ca="1" si="83"/>
        <v>0</v>
      </c>
      <c r="C320" s="105">
        <f t="shared" ca="1" si="84"/>
        <v>2</v>
      </c>
      <c r="D320" s="105">
        <f t="shared" ca="1" si="85"/>
        <v>0</v>
      </c>
      <c r="E320" s="105">
        <f t="shared" ca="1" si="86"/>
        <v>0</v>
      </c>
      <c r="F320" s="105">
        <f t="shared" ca="1" si="87"/>
        <v>0</v>
      </c>
      <c r="G320" s="105">
        <f t="shared" ca="1" si="97"/>
        <v>0</v>
      </c>
      <c r="H320" s="105">
        <f t="shared" ca="1" si="98"/>
        <v>0</v>
      </c>
      <c r="I320" s="105">
        <f t="shared" ca="1" si="88"/>
        <v>0</v>
      </c>
      <c r="J320" s="105">
        <f t="shared" ca="1" si="89"/>
        <v>0</v>
      </c>
      <c r="K320" s="105">
        <f t="shared" ca="1" si="90"/>
        <v>0</v>
      </c>
      <c r="L320" s="105">
        <f t="shared" ca="1" si="99"/>
        <v>0</v>
      </c>
      <c r="M320" s="105">
        <f t="shared" ca="1" si="91"/>
        <v>0</v>
      </c>
      <c r="N320" s="105">
        <f t="shared" ca="1" si="100"/>
        <v>0</v>
      </c>
      <c r="O320" s="105">
        <f t="shared" ca="1" si="92"/>
        <v>0</v>
      </c>
      <c r="P320" s="105">
        <f t="shared" ca="1" si="93"/>
        <v>0</v>
      </c>
      <c r="Q320" s="105">
        <f t="shared" ca="1" si="94"/>
        <v>0</v>
      </c>
      <c r="R320" s="105">
        <f t="shared" ca="1" si="95"/>
        <v>0</v>
      </c>
      <c r="S320" s="105">
        <f t="shared" ca="1" si="96"/>
        <v>10</v>
      </c>
    </row>
    <row r="321" spans="1:19" x14ac:dyDescent="0.35">
      <c r="A321" s="105">
        <f t="shared" ca="1" si="82"/>
        <v>430.09500000000213</v>
      </c>
      <c r="B321" s="105">
        <f t="shared" ca="1" si="83"/>
        <v>0</v>
      </c>
      <c r="C321" s="105">
        <f t="shared" ca="1" si="84"/>
        <v>2</v>
      </c>
      <c r="D321" s="105">
        <f t="shared" ca="1" si="85"/>
        <v>0</v>
      </c>
      <c r="E321" s="105">
        <f t="shared" ca="1" si="86"/>
        <v>0</v>
      </c>
      <c r="F321" s="105">
        <f t="shared" ca="1" si="87"/>
        <v>0</v>
      </c>
      <c r="G321" s="105">
        <f t="shared" ca="1" si="97"/>
        <v>0</v>
      </c>
      <c r="H321" s="105">
        <f t="shared" ca="1" si="98"/>
        <v>0</v>
      </c>
      <c r="I321" s="105">
        <f t="shared" ca="1" si="88"/>
        <v>0</v>
      </c>
      <c r="J321" s="105">
        <f t="shared" ca="1" si="89"/>
        <v>0</v>
      </c>
      <c r="K321" s="105">
        <f t="shared" ca="1" si="90"/>
        <v>0</v>
      </c>
      <c r="L321" s="105">
        <f t="shared" ca="1" si="99"/>
        <v>0</v>
      </c>
      <c r="M321" s="105">
        <f t="shared" ca="1" si="91"/>
        <v>0</v>
      </c>
      <c r="N321" s="105">
        <f t="shared" ca="1" si="100"/>
        <v>0</v>
      </c>
      <c r="O321" s="105">
        <f t="shared" ca="1" si="92"/>
        <v>0</v>
      </c>
      <c r="P321" s="105">
        <f t="shared" ca="1" si="93"/>
        <v>0</v>
      </c>
      <c r="Q321" s="105">
        <f t="shared" ca="1" si="94"/>
        <v>0</v>
      </c>
      <c r="R321" s="105">
        <f t="shared" ca="1" si="95"/>
        <v>0</v>
      </c>
      <c r="S321" s="105">
        <f t="shared" ca="1" si="96"/>
        <v>10</v>
      </c>
    </row>
    <row r="322" spans="1:19" x14ac:dyDescent="0.35">
      <c r="A322" s="105">
        <f t="shared" ca="1" si="82"/>
        <v>431.44750000000215</v>
      </c>
      <c r="B322" s="105">
        <f t="shared" ca="1" si="83"/>
        <v>0</v>
      </c>
      <c r="C322" s="105">
        <f t="shared" ca="1" si="84"/>
        <v>2</v>
      </c>
      <c r="D322" s="105">
        <f t="shared" ca="1" si="85"/>
        <v>0</v>
      </c>
      <c r="E322" s="105">
        <f t="shared" ca="1" si="86"/>
        <v>0</v>
      </c>
      <c r="F322" s="105">
        <f t="shared" ca="1" si="87"/>
        <v>0</v>
      </c>
      <c r="G322" s="105">
        <f t="shared" ca="1" si="97"/>
        <v>0</v>
      </c>
      <c r="H322" s="105">
        <f t="shared" ca="1" si="98"/>
        <v>0</v>
      </c>
      <c r="I322" s="105">
        <f t="shared" ca="1" si="88"/>
        <v>0</v>
      </c>
      <c r="J322" s="105">
        <f t="shared" ca="1" si="89"/>
        <v>0</v>
      </c>
      <c r="K322" s="105">
        <f t="shared" ca="1" si="90"/>
        <v>0</v>
      </c>
      <c r="L322" s="105">
        <f t="shared" ca="1" si="99"/>
        <v>0</v>
      </c>
      <c r="M322" s="105">
        <f t="shared" ca="1" si="91"/>
        <v>0</v>
      </c>
      <c r="N322" s="105">
        <f t="shared" ca="1" si="100"/>
        <v>0</v>
      </c>
      <c r="O322" s="105">
        <f t="shared" ca="1" si="92"/>
        <v>0</v>
      </c>
      <c r="P322" s="105">
        <f t="shared" ca="1" si="93"/>
        <v>0</v>
      </c>
      <c r="Q322" s="105">
        <f t="shared" ca="1" si="94"/>
        <v>0</v>
      </c>
      <c r="R322" s="105">
        <f t="shared" ca="1" si="95"/>
        <v>0</v>
      </c>
      <c r="S322" s="105">
        <f t="shared" ca="1" si="96"/>
        <v>10</v>
      </c>
    </row>
    <row r="323" spans="1:19" x14ac:dyDescent="0.35">
      <c r="A323" s="105">
        <f t="shared" ca="1" si="82"/>
        <v>432.80000000000217</v>
      </c>
      <c r="B323" s="105">
        <f t="shared" ca="1" si="83"/>
        <v>0</v>
      </c>
      <c r="C323" s="105">
        <f t="shared" ca="1" si="84"/>
        <v>2</v>
      </c>
      <c r="D323" s="105">
        <f t="shared" ca="1" si="85"/>
        <v>0</v>
      </c>
      <c r="E323" s="105">
        <f t="shared" ca="1" si="86"/>
        <v>0</v>
      </c>
      <c r="F323" s="105">
        <f t="shared" ca="1" si="87"/>
        <v>0</v>
      </c>
      <c r="G323" s="105">
        <f t="shared" ca="1" si="97"/>
        <v>0</v>
      </c>
      <c r="H323" s="105">
        <f t="shared" ca="1" si="98"/>
        <v>0</v>
      </c>
      <c r="I323" s="105">
        <f t="shared" ca="1" si="88"/>
        <v>0</v>
      </c>
      <c r="J323" s="105">
        <f t="shared" ca="1" si="89"/>
        <v>0</v>
      </c>
      <c r="K323" s="105">
        <f t="shared" ca="1" si="90"/>
        <v>0</v>
      </c>
      <c r="L323" s="105">
        <f t="shared" ca="1" si="99"/>
        <v>0</v>
      </c>
      <c r="M323" s="105">
        <f t="shared" ca="1" si="91"/>
        <v>0</v>
      </c>
      <c r="N323" s="105">
        <f t="shared" ca="1" si="100"/>
        <v>0</v>
      </c>
      <c r="O323" s="105">
        <f t="shared" ca="1" si="92"/>
        <v>0</v>
      </c>
      <c r="P323" s="105">
        <f t="shared" ca="1" si="93"/>
        <v>0</v>
      </c>
      <c r="Q323" s="105">
        <f t="shared" ca="1" si="94"/>
        <v>0</v>
      </c>
      <c r="R323" s="105">
        <f t="shared" ca="1" si="95"/>
        <v>0</v>
      </c>
      <c r="S323" s="105">
        <f t="shared" ca="1" si="96"/>
        <v>10</v>
      </c>
    </row>
    <row r="324" spans="1:19" x14ac:dyDescent="0.35">
      <c r="A324" s="105">
        <f t="shared" ref="A324:A387" ca="1" si="101">$V$4+A323</f>
        <v>434.15250000000219</v>
      </c>
      <c r="B324" s="105">
        <f t="shared" ref="B324:B387" ca="1" si="102">IF(AND(A323&gt;$X$1,P323=0,R323=0),0,IF(AND(G323=0,H323=0),"突","")&amp;IF($V$8=0,IF(AND(OR($V$13=0,AND(K323=0,C323&lt;1),AND(K323&gt;0,OR(M323&gt;0,$V$7=0))),$V$6=1,E323=0),"渊","")&amp;IF(AND(OR($V$13=0,AND(K323=0,C323&lt;1),AND(K323&gt;0,OR(M323&gt;0,$V$7=0))),F323=0),"雷","")&amp;IF(AND(C323&gt;0,$V$13=1,E323=0,F323=0,K323=0),"任",IF(AND(G323=1,$V$7=1,I323=0),"乘","循环")),IF(AND($V$6=1,E323=0),"渊","")&amp;IF(AND(OR($V$13=0,AND(K323=0,C323&lt;1),AND(K323&gt;0,OR(M323&gt;0,$V$7=0))),F323=0),"雷","")&amp;IF(AND(C323&gt;0,L323=0,E323=0),"任",IF(AND(G323=1,$V$7=1,I323=0),"乘","循环"))))</f>
        <v>0</v>
      </c>
      <c r="C324" s="105">
        <f t="shared" ref="C324:C387" ca="1" si="103">IF(COUNTIF(B324,"*任*"),C323-1,IF(AND(D323&lt;&gt;0,D323&lt;$V$4),MIN(2,C323+1),C323))</f>
        <v>2</v>
      </c>
      <c r="D324" s="105">
        <f t="shared" ref="D324:D387" ca="1" si="104">IF(AND(D323&lt;$V$4,C323&lt;2),D323+$Y$6-$V$4,IF(AND(C323=2,COUNTIF(B324,"*任*")&gt;0),$Y$6-$V$4,MAX(0,D323-$V$4)))</f>
        <v>0</v>
      </c>
      <c r="E324" s="105">
        <f t="shared" ref="E324:E387" ca="1" si="105">IF(COUNTIF(B324,"*渊*")&gt;0,$Y$8-$V$4,MAX(0,E323-$V$4))</f>
        <v>0</v>
      </c>
      <c r="F324" s="105">
        <f t="shared" ref="F324:F387" ca="1" si="106">IF(COUNTIF(B324,"*雷*")&gt;0,$Y$9-$V$4,MAX(0,F323-$V$4))</f>
        <v>0</v>
      </c>
      <c r="G324" s="105">
        <f t="shared" ca="1" si="97"/>
        <v>0</v>
      </c>
      <c r="H324" s="105">
        <f t="shared" ca="1" si="98"/>
        <v>0</v>
      </c>
      <c r="I324" s="105">
        <f t="shared" ref="I324:I387" ca="1" si="107">IF(COUNTIF(B324,"*乘*")&gt;0,$Y$7-$V$4,MAX(0,I323-$V$4))</f>
        <v>0</v>
      </c>
      <c r="J324" s="105">
        <f t="shared" ref="J324:J387" ca="1" si="108">IF(H323&lt;1,$V$16,MAX(0,J323-1))*$V$11</f>
        <v>0</v>
      </c>
      <c r="K324" s="105">
        <f t="shared" ref="K324:K387" ca="1" si="109">IF(COUNTIF(B324,"*任*")&gt;0,$Z$6-$V$4+0.6875,MAX(0,K323-$V$4))</f>
        <v>0</v>
      </c>
      <c r="L324" s="105">
        <f t="shared" ca="1" si="99"/>
        <v>0</v>
      </c>
      <c r="M324" s="105">
        <f t="shared" ref="M324:M387" ca="1" si="110">IF(COUNTIF(B324,"*乘*")&gt;0,$Z$7-$V$4,MAX(0,M323-$V$4))</f>
        <v>0</v>
      </c>
      <c r="N324" s="105">
        <f t="shared" ca="1" si="100"/>
        <v>0</v>
      </c>
      <c r="O324" s="105">
        <f t="shared" ref="O324:O387" ca="1" si="111">IF(COUNTIF(B324,"*雷*")&gt;0,$Z$9-$V$4,MAX(0,O323-$V$4))</f>
        <v>0</v>
      </c>
      <c r="P324" s="105">
        <f t="shared" ref="P324:P387" ca="1" si="112">IF(O324+O323&gt;0,1,0)</f>
        <v>0</v>
      </c>
      <c r="Q324" s="105">
        <f t="shared" ref="Q324:Q387" ca="1" si="113">IF(COUNTIF(B324,"*渊*")&gt;0,$Z$8-$V$4,MAX(0,Q323-$V$4))</f>
        <v>0</v>
      </c>
      <c r="R324" s="105">
        <f t="shared" ref="R324:R387" ca="1" si="114">IF(Q324+Q323&gt;0,1,0)</f>
        <v>0</v>
      </c>
      <c r="S324" s="105">
        <f t="shared" ref="S324:S387" ca="1" si="115">IF(COUNTIF(B324,"*雷*")&gt;0,S323+1,S323)</f>
        <v>10</v>
      </c>
    </row>
    <row r="325" spans="1:19" x14ac:dyDescent="0.35">
      <c r="A325" s="105">
        <f t="shared" ca="1" si="101"/>
        <v>435.50500000000221</v>
      </c>
      <c r="B325" s="105">
        <f t="shared" ca="1" si="102"/>
        <v>0</v>
      </c>
      <c r="C325" s="105">
        <f t="shared" ca="1" si="103"/>
        <v>2</v>
      </c>
      <c r="D325" s="105">
        <f t="shared" ca="1" si="104"/>
        <v>0</v>
      </c>
      <c r="E325" s="105">
        <f t="shared" ca="1" si="105"/>
        <v>0</v>
      </c>
      <c r="F325" s="105">
        <f t="shared" ca="1" si="106"/>
        <v>0</v>
      </c>
      <c r="G325" s="105">
        <f t="shared" ref="G325:G388" ca="1" si="116">IF(RIGHT(B325,1)="任",1,IF(OR($V$9=0,AND(K324&lt;$V$4,H324=0)),0,G324))</f>
        <v>0</v>
      </c>
      <c r="H325" s="105">
        <f t="shared" ref="H325:H388" ca="1" si="117">IF(COUNTIF(B325,"*突*")&gt;0,$Y$5-$V$4,MAX(0,H324-$V$4))</f>
        <v>0</v>
      </c>
      <c r="I325" s="105">
        <f t="shared" ca="1" si="107"/>
        <v>0</v>
      </c>
      <c r="J325" s="105">
        <f t="shared" ca="1" si="108"/>
        <v>0</v>
      </c>
      <c r="K325" s="105">
        <f t="shared" ca="1" si="109"/>
        <v>0</v>
      </c>
      <c r="L325" s="105">
        <f t="shared" ca="1" si="99"/>
        <v>0</v>
      </c>
      <c r="M325" s="105">
        <f t="shared" ca="1" si="110"/>
        <v>0</v>
      </c>
      <c r="N325" s="105">
        <f t="shared" ca="1" si="100"/>
        <v>0</v>
      </c>
      <c r="O325" s="105">
        <f t="shared" ca="1" si="111"/>
        <v>0</v>
      </c>
      <c r="P325" s="105">
        <f t="shared" ca="1" si="112"/>
        <v>0</v>
      </c>
      <c r="Q325" s="105">
        <f t="shared" ca="1" si="113"/>
        <v>0</v>
      </c>
      <c r="R325" s="105">
        <f t="shared" ca="1" si="114"/>
        <v>0</v>
      </c>
      <c r="S325" s="105">
        <f t="shared" ca="1" si="115"/>
        <v>10</v>
      </c>
    </row>
    <row r="326" spans="1:19" x14ac:dyDescent="0.35">
      <c r="A326" s="105">
        <f t="shared" ca="1" si="101"/>
        <v>436.85750000000223</v>
      </c>
      <c r="B326" s="105">
        <f t="shared" ca="1" si="102"/>
        <v>0</v>
      </c>
      <c r="C326" s="105">
        <f t="shared" ca="1" si="103"/>
        <v>2</v>
      </c>
      <c r="D326" s="105">
        <f t="shared" ca="1" si="104"/>
        <v>0</v>
      </c>
      <c r="E326" s="105">
        <f t="shared" ca="1" si="105"/>
        <v>0</v>
      </c>
      <c r="F326" s="105">
        <f t="shared" ca="1" si="106"/>
        <v>0</v>
      </c>
      <c r="G326" s="105">
        <f t="shared" ca="1" si="116"/>
        <v>0</v>
      </c>
      <c r="H326" s="105">
        <f t="shared" ca="1" si="117"/>
        <v>0</v>
      </c>
      <c r="I326" s="105">
        <f t="shared" ca="1" si="107"/>
        <v>0</v>
      </c>
      <c r="J326" s="105">
        <f t="shared" ca="1" si="108"/>
        <v>0</v>
      </c>
      <c r="K326" s="105">
        <f t="shared" ca="1" si="109"/>
        <v>0</v>
      </c>
      <c r="L326" s="105">
        <f t="shared" ca="1" si="99"/>
        <v>0</v>
      </c>
      <c r="M326" s="105">
        <f t="shared" ca="1" si="110"/>
        <v>0</v>
      </c>
      <c r="N326" s="105">
        <f t="shared" ca="1" si="100"/>
        <v>0</v>
      </c>
      <c r="O326" s="105">
        <f t="shared" ca="1" si="111"/>
        <v>0</v>
      </c>
      <c r="P326" s="105">
        <f t="shared" ca="1" si="112"/>
        <v>0</v>
      </c>
      <c r="Q326" s="105">
        <f t="shared" ca="1" si="113"/>
        <v>0</v>
      </c>
      <c r="R326" s="105">
        <f t="shared" ca="1" si="114"/>
        <v>0</v>
      </c>
      <c r="S326" s="105">
        <f t="shared" ca="1" si="115"/>
        <v>10</v>
      </c>
    </row>
    <row r="327" spans="1:19" x14ac:dyDescent="0.35">
      <c r="A327" s="105">
        <f t="shared" ca="1" si="101"/>
        <v>438.21000000000225</v>
      </c>
      <c r="B327" s="105">
        <f t="shared" ca="1" si="102"/>
        <v>0</v>
      </c>
      <c r="C327" s="105">
        <f t="shared" ca="1" si="103"/>
        <v>2</v>
      </c>
      <c r="D327" s="105">
        <f t="shared" ca="1" si="104"/>
        <v>0</v>
      </c>
      <c r="E327" s="105">
        <f t="shared" ca="1" si="105"/>
        <v>0</v>
      </c>
      <c r="F327" s="105">
        <f t="shared" ca="1" si="106"/>
        <v>0</v>
      </c>
      <c r="G327" s="105">
        <f t="shared" ca="1" si="116"/>
        <v>0</v>
      </c>
      <c r="H327" s="105">
        <f t="shared" ca="1" si="117"/>
        <v>0</v>
      </c>
      <c r="I327" s="105">
        <f t="shared" ca="1" si="107"/>
        <v>0</v>
      </c>
      <c r="J327" s="105">
        <f t="shared" ca="1" si="108"/>
        <v>0</v>
      </c>
      <c r="K327" s="105">
        <f t="shared" ca="1" si="109"/>
        <v>0</v>
      </c>
      <c r="L327" s="105">
        <f t="shared" ca="1" si="99"/>
        <v>0</v>
      </c>
      <c r="M327" s="105">
        <f t="shared" ca="1" si="110"/>
        <v>0</v>
      </c>
      <c r="N327" s="105">
        <f t="shared" ca="1" si="100"/>
        <v>0</v>
      </c>
      <c r="O327" s="105">
        <f t="shared" ca="1" si="111"/>
        <v>0</v>
      </c>
      <c r="P327" s="105">
        <f t="shared" ca="1" si="112"/>
        <v>0</v>
      </c>
      <c r="Q327" s="105">
        <f t="shared" ca="1" si="113"/>
        <v>0</v>
      </c>
      <c r="R327" s="105">
        <f t="shared" ca="1" si="114"/>
        <v>0</v>
      </c>
      <c r="S327" s="105">
        <f t="shared" ca="1" si="115"/>
        <v>10</v>
      </c>
    </row>
    <row r="328" spans="1:19" x14ac:dyDescent="0.35">
      <c r="A328" s="105">
        <f t="shared" ca="1" si="101"/>
        <v>439.56250000000227</v>
      </c>
      <c r="B328" s="105">
        <f t="shared" ca="1" si="102"/>
        <v>0</v>
      </c>
      <c r="C328" s="105">
        <f t="shared" ca="1" si="103"/>
        <v>2</v>
      </c>
      <c r="D328" s="105">
        <f t="shared" ca="1" si="104"/>
        <v>0</v>
      </c>
      <c r="E328" s="105">
        <f t="shared" ca="1" si="105"/>
        <v>0</v>
      </c>
      <c r="F328" s="105">
        <f t="shared" ca="1" si="106"/>
        <v>0</v>
      </c>
      <c r="G328" s="105">
        <f t="shared" ca="1" si="116"/>
        <v>0</v>
      </c>
      <c r="H328" s="105">
        <f t="shared" ca="1" si="117"/>
        <v>0</v>
      </c>
      <c r="I328" s="105">
        <f t="shared" ca="1" si="107"/>
        <v>0</v>
      </c>
      <c r="J328" s="105">
        <f t="shared" ca="1" si="108"/>
        <v>0</v>
      </c>
      <c r="K328" s="105">
        <f t="shared" ca="1" si="109"/>
        <v>0</v>
      </c>
      <c r="L328" s="105">
        <f t="shared" ca="1" si="99"/>
        <v>0</v>
      </c>
      <c r="M328" s="105">
        <f t="shared" ca="1" si="110"/>
        <v>0</v>
      </c>
      <c r="N328" s="105">
        <f t="shared" ca="1" si="100"/>
        <v>0</v>
      </c>
      <c r="O328" s="105">
        <f t="shared" ca="1" si="111"/>
        <v>0</v>
      </c>
      <c r="P328" s="105">
        <f t="shared" ca="1" si="112"/>
        <v>0</v>
      </c>
      <c r="Q328" s="105">
        <f t="shared" ca="1" si="113"/>
        <v>0</v>
      </c>
      <c r="R328" s="105">
        <f t="shared" ca="1" si="114"/>
        <v>0</v>
      </c>
      <c r="S328" s="105">
        <f t="shared" ca="1" si="115"/>
        <v>10</v>
      </c>
    </row>
    <row r="329" spans="1:19" x14ac:dyDescent="0.35">
      <c r="A329" s="105">
        <f t="shared" ca="1" si="101"/>
        <v>440.91500000000229</v>
      </c>
      <c r="B329" s="105">
        <f t="shared" ca="1" si="102"/>
        <v>0</v>
      </c>
      <c r="C329" s="105">
        <f t="shared" ca="1" si="103"/>
        <v>2</v>
      </c>
      <c r="D329" s="105">
        <f t="shared" ca="1" si="104"/>
        <v>0</v>
      </c>
      <c r="E329" s="105">
        <f t="shared" ca="1" si="105"/>
        <v>0</v>
      </c>
      <c r="F329" s="105">
        <f t="shared" ca="1" si="106"/>
        <v>0</v>
      </c>
      <c r="G329" s="105">
        <f t="shared" ca="1" si="116"/>
        <v>0</v>
      </c>
      <c r="H329" s="105">
        <f t="shared" ca="1" si="117"/>
        <v>0</v>
      </c>
      <c r="I329" s="105">
        <f t="shared" ca="1" si="107"/>
        <v>0</v>
      </c>
      <c r="J329" s="105">
        <f t="shared" ca="1" si="108"/>
        <v>0</v>
      </c>
      <c r="K329" s="105">
        <f t="shared" ca="1" si="109"/>
        <v>0</v>
      </c>
      <c r="L329" s="105">
        <f t="shared" ca="1" si="99"/>
        <v>0</v>
      </c>
      <c r="M329" s="105">
        <f t="shared" ca="1" si="110"/>
        <v>0</v>
      </c>
      <c r="N329" s="105">
        <f t="shared" ca="1" si="100"/>
        <v>0</v>
      </c>
      <c r="O329" s="105">
        <f t="shared" ca="1" si="111"/>
        <v>0</v>
      </c>
      <c r="P329" s="105">
        <f t="shared" ca="1" si="112"/>
        <v>0</v>
      </c>
      <c r="Q329" s="105">
        <f t="shared" ca="1" si="113"/>
        <v>0</v>
      </c>
      <c r="R329" s="105">
        <f t="shared" ca="1" si="114"/>
        <v>0</v>
      </c>
      <c r="S329" s="105">
        <f t="shared" ca="1" si="115"/>
        <v>10</v>
      </c>
    </row>
    <row r="330" spans="1:19" x14ac:dyDescent="0.35">
      <c r="A330" s="105">
        <f t="shared" ca="1" si="101"/>
        <v>442.26750000000231</v>
      </c>
      <c r="B330" s="105">
        <f t="shared" ca="1" si="102"/>
        <v>0</v>
      </c>
      <c r="C330" s="105">
        <f t="shared" ca="1" si="103"/>
        <v>2</v>
      </c>
      <c r="D330" s="105">
        <f t="shared" ca="1" si="104"/>
        <v>0</v>
      </c>
      <c r="E330" s="105">
        <f t="shared" ca="1" si="105"/>
        <v>0</v>
      </c>
      <c r="F330" s="105">
        <f t="shared" ca="1" si="106"/>
        <v>0</v>
      </c>
      <c r="G330" s="105">
        <f t="shared" ca="1" si="116"/>
        <v>0</v>
      </c>
      <c r="H330" s="105">
        <f t="shared" ca="1" si="117"/>
        <v>0</v>
      </c>
      <c r="I330" s="105">
        <f t="shared" ca="1" si="107"/>
        <v>0</v>
      </c>
      <c r="J330" s="105">
        <f t="shared" ca="1" si="108"/>
        <v>0</v>
      </c>
      <c r="K330" s="105">
        <f t="shared" ca="1" si="109"/>
        <v>0</v>
      </c>
      <c r="L330" s="105">
        <f t="shared" ca="1" si="99"/>
        <v>0</v>
      </c>
      <c r="M330" s="105">
        <f t="shared" ca="1" si="110"/>
        <v>0</v>
      </c>
      <c r="N330" s="105">
        <f t="shared" ca="1" si="100"/>
        <v>0</v>
      </c>
      <c r="O330" s="105">
        <f t="shared" ca="1" si="111"/>
        <v>0</v>
      </c>
      <c r="P330" s="105">
        <f t="shared" ca="1" si="112"/>
        <v>0</v>
      </c>
      <c r="Q330" s="105">
        <f t="shared" ca="1" si="113"/>
        <v>0</v>
      </c>
      <c r="R330" s="105">
        <f t="shared" ca="1" si="114"/>
        <v>0</v>
      </c>
      <c r="S330" s="105">
        <f t="shared" ca="1" si="115"/>
        <v>10</v>
      </c>
    </row>
    <row r="331" spans="1:19" x14ac:dyDescent="0.35">
      <c r="A331" s="105">
        <f t="shared" ca="1" si="101"/>
        <v>443.62000000000234</v>
      </c>
      <c r="B331" s="105">
        <f t="shared" ca="1" si="102"/>
        <v>0</v>
      </c>
      <c r="C331" s="105">
        <f t="shared" ca="1" si="103"/>
        <v>2</v>
      </c>
      <c r="D331" s="105">
        <f t="shared" ca="1" si="104"/>
        <v>0</v>
      </c>
      <c r="E331" s="105">
        <f t="shared" ca="1" si="105"/>
        <v>0</v>
      </c>
      <c r="F331" s="105">
        <f t="shared" ca="1" si="106"/>
        <v>0</v>
      </c>
      <c r="G331" s="105">
        <f t="shared" ca="1" si="116"/>
        <v>0</v>
      </c>
      <c r="H331" s="105">
        <f t="shared" ca="1" si="117"/>
        <v>0</v>
      </c>
      <c r="I331" s="105">
        <f t="shared" ca="1" si="107"/>
        <v>0</v>
      </c>
      <c r="J331" s="105">
        <f t="shared" ca="1" si="108"/>
        <v>0</v>
      </c>
      <c r="K331" s="105">
        <f t="shared" ca="1" si="109"/>
        <v>0</v>
      </c>
      <c r="L331" s="105">
        <f t="shared" ca="1" si="99"/>
        <v>0</v>
      </c>
      <c r="M331" s="105">
        <f t="shared" ca="1" si="110"/>
        <v>0</v>
      </c>
      <c r="N331" s="105">
        <f t="shared" ca="1" si="100"/>
        <v>0</v>
      </c>
      <c r="O331" s="105">
        <f t="shared" ca="1" si="111"/>
        <v>0</v>
      </c>
      <c r="P331" s="105">
        <f t="shared" ca="1" si="112"/>
        <v>0</v>
      </c>
      <c r="Q331" s="105">
        <f t="shared" ca="1" si="113"/>
        <v>0</v>
      </c>
      <c r="R331" s="105">
        <f t="shared" ca="1" si="114"/>
        <v>0</v>
      </c>
      <c r="S331" s="105">
        <f t="shared" ca="1" si="115"/>
        <v>10</v>
      </c>
    </row>
    <row r="332" spans="1:19" x14ac:dyDescent="0.35">
      <c r="A332" s="105">
        <f t="shared" ca="1" si="101"/>
        <v>444.97250000000236</v>
      </c>
      <c r="B332" s="105">
        <f t="shared" ca="1" si="102"/>
        <v>0</v>
      </c>
      <c r="C332" s="105">
        <f t="shared" ca="1" si="103"/>
        <v>2</v>
      </c>
      <c r="D332" s="105">
        <f t="shared" ca="1" si="104"/>
        <v>0</v>
      </c>
      <c r="E332" s="105">
        <f t="shared" ca="1" si="105"/>
        <v>0</v>
      </c>
      <c r="F332" s="105">
        <f t="shared" ca="1" si="106"/>
        <v>0</v>
      </c>
      <c r="G332" s="105">
        <f t="shared" ca="1" si="116"/>
        <v>0</v>
      </c>
      <c r="H332" s="105">
        <f t="shared" ca="1" si="117"/>
        <v>0</v>
      </c>
      <c r="I332" s="105">
        <f t="shared" ca="1" si="107"/>
        <v>0</v>
      </c>
      <c r="J332" s="105">
        <f t="shared" ca="1" si="108"/>
        <v>0</v>
      </c>
      <c r="K332" s="105">
        <f t="shared" ca="1" si="109"/>
        <v>0</v>
      </c>
      <c r="L332" s="105">
        <f t="shared" ca="1" si="99"/>
        <v>0</v>
      </c>
      <c r="M332" s="105">
        <f t="shared" ca="1" si="110"/>
        <v>0</v>
      </c>
      <c r="N332" s="105">
        <f t="shared" ca="1" si="100"/>
        <v>0</v>
      </c>
      <c r="O332" s="105">
        <f t="shared" ca="1" si="111"/>
        <v>0</v>
      </c>
      <c r="P332" s="105">
        <f t="shared" ca="1" si="112"/>
        <v>0</v>
      </c>
      <c r="Q332" s="105">
        <f t="shared" ca="1" si="113"/>
        <v>0</v>
      </c>
      <c r="R332" s="105">
        <f t="shared" ca="1" si="114"/>
        <v>0</v>
      </c>
      <c r="S332" s="105">
        <f t="shared" ca="1" si="115"/>
        <v>10</v>
      </c>
    </row>
    <row r="333" spans="1:19" x14ac:dyDescent="0.35">
      <c r="A333" s="105">
        <f t="shared" ca="1" si="101"/>
        <v>446.32500000000238</v>
      </c>
      <c r="B333" s="105">
        <f t="shared" ca="1" si="102"/>
        <v>0</v>
      </c>
      <c r="C333" s="105">
        <f t="shared" ca="1" si="103"/>
        <v>2</v>
      </c>
      <c r="D333" s="105">
        <f t="shared" ca="1" si="104"/>
        <v>0</v>
      </c>
      <c r="E333" s="105">
        <f t="shared" ca="1" si="105"/>
        <v>0</v>
      </c>
      <c r="F333" s="105">
        <f t="shared" ca="1" si="106"/>
        <v>0</v>
      </c>
      <c r="G333" s="105">
        <f t="shared" ca="1" si="116"/>
        <v>0</v>
      </c>
      <c r="H333" s="105">
        <f t="shared" ca="1" si="117"/>
        <v>0</v>
      </c>
      <c r="I333" s="105">
        <f t="shared" ca="1" si="107"/>
        <v>0</v>
      </c>
      <c r="J333" s="105">
        <f t="shared" ca="1" si="108"/>
        <v>0</v>
      </c>
      <c r="K333" s="105">
        <f t="shared" ca="1" si="109"/>
        <v>0</v>
      </c>
      <c r="L333" s="105">
        <f t="shared" ca="1" si="99"/>
        <v>0</v>
      </c>
      <c r="M333" s="105">
        <f t="shared" ca="1" si="110"/>
        <v>0</v>
      </c>
      <c r="N333" s="105">
        <f t="shared" ca="1" si="100"/>
        <v>0</v>
      </c>
      <c r="O333" s="105">
        <f t="shared" ca="1" si="111"/>
        <v>0</v>
      </c>
      <c r="P333" s="105">
        <f t="shared" ca="1" si="112"/>
        <v>0</v>
      </c>
      <c r="Q333" s="105">
        <f t="shared" ca="1" si="113"/>
        <v>0</v>
      </c>
      <c r="R333" s="105">
        <f t="shared" ca="1" si="114"/>
        <v>0</v>
      </c>
      <c r="S333" s="105">
        <f t="shared" ca="1" si="115"/>
        <v>10</v>
      </c>
    </row>
    <row r="334" spans="1:19" x14ac:dyDescent="0.35">
      <c r="A334" s="105">
        <f t="shared" ca="1" si="101"/>
        <v>447.6775000000024</v>
      </c>
      <c r="B334" s="105">
        <f t="shared" ca="1" si="102"/>
        <v>0</v>
      </c>
      <c r="C334" s="105">
        <f t="shared" ca="1" si="103"/>
        <v>2</v>
      </c>
      <c r="D334" s="105">
        <f t="shared" ca="1" si="104"/>
        <v>0</v>
      </c>
      <c r="E334" s="105">
        <f t="shared" ca="1" si="105"/>
        <v>0</v>
      </c>
      <c r="F334" s="105">
        <f t="shared" ca="1" si="106"/>
        <v>0</v>
      </c>
      <c r="G334" s="105">
        <f t="shared" ca="1" si="116"/>
        <v>0</v>
      </c>
      <c r="H334" s="105">
        <f t="shared" ca="1" si="117"/>
        <v>0</v>
      </c>
      <c r="I334" s="105">
        <f t="shared" ca="1" si="107"/>
        <v>0</v>
      </c>
      <c r="J334" s="105">
        <f t="shared" ca="1" si="108"/>
        <v>0</v>
      </c>
      <c r="K334" s="105">
        <f t="shared" ca="1" si="109"/>
        <v>0</v>
      </c>
      <c r="L334" s="105">
        <f t="shared" ca="1" si="99"/>
        <v>0</v>
      </c>
      <c r="M334" s="105">
        <f t="shared" ca="1" si="110"/>
        <v>0</v>
      </c>
      <c r="N334" s="105">
        <f t="shared" ca="1" si="100"/>
        <v>0</v>
      </c>
      <c r="O334" s="105">
        <f t="shared" ca="1" si="111"/>
        <v>0</v>
      </c>
      <c r="P334" s="105">
        <f t="shared" ca="1" si="112"/>
        <v>0</v>
      </c>
      <c r="Q334" s="105">
        <f t="shared" ca="1" si="113"/>
        <v>0</v>
      </c>
      <c r="R334" s="105">
        <f t="shared" ca="1" si="114"/>
        <v>0</v>
      </c>
      <c r="S334" s="105">
        <f t="shared" ca="1" si="115"/>
        <v>10</v>
      </c>
    </row>
    <row r="335" spans="1:19" x14ac:dyDescent="0.35">
      <c r="A335" s="105">
        <f t="shared" ca="1" si="101"/>
        <v>449.03000000000242</v>
      </c>
      <c r="B335" s="105">
        <f t="shared" ca="1" si="102"/>
        <v>0</v>
      </c>
      <c r="C335" s="105">
        <f t="shared" ca="1" si="103"/>
        <v>2</v>
      </c>
      <c r="D335" s="105">
        <f t="shared" ca="1" si="104"/>
        <v>0</v>
      </c>
      <c r="E335" s="105">
        <f t="shared" ca="1" si="105"/>
        <v>0</v>
      </c>
      <c r="F335" s="105">
        <f t="shared" ca="1" si="106"/>
        <v>0</v>
      </c>
      <c r="G335" s="105">
        <f t="shared" ca="1" si="116"/>
        <v>0</v>
      </c>
      <c r="H335" s="105">
        <f t="shared" ca="1" si="117"/>
        <v>0</v>
      </c>
      <c r="I335" s="105">
        <f t="shared" ca="1" si="107"/>
        <v>0</v>
      </c>
      <c r="J335" s="105">
        <f t="shared" ca="1" si="108"/>
        <v>0</v>
      </c>
      <c r="K335" s="105">
        <f t="shared" ca="1" si="109"/>
        <v>0</v>
      </c>
      <c r="L335" s="105">
        <f t="shared" ca="1" si="99"/>
        <v>0</v>
      </c>
      <c r="M335" s="105">
        <f t="shared" ca="1" si="110"/>
        <v>0</v>
      </c>
      <c r="N335" s="105">
        <f t="shared" ca="1" si="100"/>
        <v>0</v>
      </c>
      <c r="O335" s="105">
        <f t="shared" ca="1" si="111"/>
        <v>0</v>
      </c>
      <c r="P335" s="105">
        <f t="shared" ca="1" si="112"/>
        <v>0</v>
      </c>
      <c r="Q335" s="105">
        <f t="shared" ca="1" si="113"/>
        <v>0</v>
      </c>
      <c r="R335" s="105">
        <f t="shared" ca="1" si="114"/>
        <v>0</v>
      </c>
      <c r="S335" s="105">
        <f t="shared" ca="1" si="115"/>
        <v>10</v>
      </c>
    </row>
    <row r="336" spans="1:19" x14ac:dyDescent="0.35">
      <c r="A336" s="105">
        <f t="shared" ca="1" si="101"/>
        <v>450.38250000000244</v>
      </c>
      <c r="B336" s="105">
        <f t="shared" ca="1" si="102"/>
        <v>0</v>
      </c>
      <c r="C336" s="105">
        <f t="shared" ca="1" si="103"/>
        <v>2</v>
      </c>
      <c r="D336" s="105">
        <f t="shared" ca="1" si="104"/>
        <v>0</v>
      </c>
      <c r="E336" s="105">
        <f t="shared" ca="1" si="105"/>
        <v>0</v>
      </c>
      <c r="F336" s="105">
        <f t="shared" ca="1" si="106"/>
        <v>0</v>
      </c>
      <c r="G336" s="105">
        <f t="shared" ca="1" si="116"/>
        <v>0</v>
      </c>
      <c r="H336" s="105">
        <f t="shared" ca="1" si="117"/>
        <v>0</v>
      </c>
      <c r="I336" s="105">
        <f t="shared" ca="1" si="107"/>
        <v>0</v>
      </c>
      <c r="J336" s="105">
        <f t="shared" ca="1" si="108"/>
        <v>0</v>
      </c>
      <c r="K336" s="105">
        <f t="shared" ca="1" si="109"/>
        <v>0</v>
      </c>
      <c r="L336" s="105">
        <f t="shared" ca="1" si="99"/>
        <v>0</v>
      </c>
      <c r="M336" s="105">
        <f t="shared" ca="1" si="110"/>
        <v>0</v>
      </c>
      <c r="N336" s="105">
        <f t="shared" ca="1" si="100"/>
        <v>0</v>
      </c>
      <c r="O336" s="105">
        <f t="shared" ca="1" si="111"/>
        <v>0</v>
      </c>
      <c r="P336" s="105">
        <f t="shared" ca="1" si="112"/>
        <v>0</v>
      </c>
      <c r="Q336" s="105">
        <f t="shared" ca="1" si="113"/>
        <v>0</v>
      </c>
      <c r="R336" s="105">
        <f t="shared" ca="1" si="114"/>
        <v>0</v>
      </c>
      <c r="S336" s="105">
        <f t="shared" ca="1" si="115"/>
        <v>10</v>
      </c>
    </row>
    <row r="337" spans="1:19" x14ac:dyDescent="0.35">
      <c r="A337" s="105">
        <f t="shared" ca="1" si="101"/>
        <v>451.73500000000246</v>
      </c>
      <c r="B337" s="105">
        <f t="shared" ca="1" si="102"/>
        <v>0</v>
      </c>
      <c r="C337" s="105">
        <f t="shared" ca="1" si="103"/>
        <v>2</v>
      </c>
      <c r="D337" s="105">
        <f t="shared" ca="1" si="104"/>
        <v>0</v>
      </c>
      <c r="E337" s="105">
        <f t="shared" ca="1" si="105"/>
        <v>0</v>
      </c>
      <c r="F337" s="105">
        <f t="shared" ca="1" si="106"/>
        <v>0</v>
      </c>
      <c r="G337" s="105">
        <f t="shared" ca="1" si="116"/>
        <v>0</v>
      </c>
      <c r="H337" s="105">
        <f t="shared" ca="1" si="117"/>
        <v>0</v>
      </c>
      <c r="I337" s="105">
        <f t="shared" ca="1" si="107"/>
        <v>0</v>
      </c>
      <c r="J337" s="105">
        <f t="shared" ca="1" si="108"/>
        <v>0</v>
      </c>
      <c r="K337" s="105">
        <f t="shared" ca="1" si="109"/>
        <v>0</v>
      </c>
      <c r="L337" s="105">
        <f t="shared" ca="1" si="99"/>
        <v>0</v>
      </c>
      <c r="M337" s="105">
        <f t="shared" ca="1" si="110"/>
        <v>0</v>
      </c>
      <c r="N337" s="105">
        <f t="shared" ca="1" si="100"/>
        <v>0</v>
      </c>
      <c r="O337" s="105">
        <f t="shared" ca="1" si="111"/>
        <v>0</v>
      </c>
      <c r="P337" s="105">
        <f t="shared" ca="1" si="112"/>
        <v>0</v>
      </c>
      <c r="Q337" s="105">
        <f t="shared" ca="1" si="113"/>
        <v>0</v>
      </c>
      <c r="R337" s="105">
        <f t="shared" ca="1" si="114"/>
        <v>0</v>
      </c>
      <c r="S337" s="105">
        <f t="shared" ca="1" si="115"/>
        <v>10</v>
      </c>
    </row>
    <row r="338" spans="1:19" x14ac:dyDescent="0.35">
      <c r="A338" s="105">
        <f t="shared" ca="1" si="101"/>
        <v>453.08750000000248</v>
      </c>
      <c r="B338" s="105">
        <f t="shared" ca="1" si="102"/>
        <v>0</v>
      </c>
      <c r="C338" s="105">
        <f t="shared" ca="1" si="103"/>
        <v>2</v>
      </c>
      <c r="D338" s="105">
        <f t="shared" ca="1" si="104"/>
        <v>0</v>
      </c>
      <c r="E338" s="105">
        <f t="shared" ca="1" si="105"/>
        <v>0</v>
      </c>
      <c r="F338" s="105">
        <f t="shared" ca="1" si="106"/>
        <v>0</v>
      </c>
      <c r="G338" s="105">
        <f t="shared" ca="1" si="116"/>
        <v>0</v>
      </c>
      <c r="H338" s="105">
        <f t="shared" ca="1" si="117"/>
        <v>0</v>
      </c>
      <c r="I338" s="105">
        <f t="shared" ca="1" si="107"/>
        <v>0</v>
      </c>
      <c r="J338" s="105">
        <f t="shared" ca="1" si="108"/>
        <v>0</v>
      </c>
      <c r="K338" s="105">
        <f t="shared" ca="1" si="109"/>
        <v>0</v>
      </c>
      <c r="L338" s="105">
        <f t="shared" ca="1" si="99"/>
        <v>0</v>
      </c>
      <c r="M338" s="105">
        <f t="shared" ca="1" si="110"/>
        <v>0</v>
      </c>
      <c r="N338" s="105">
        <f t="shared" ca="1" si="100"/>
        <v>0</v>
      </c>
      <c r="O338" s="105">
        <f t="shared" ca="1" si="111"/>
        <v>0</v>
      </c>
      <c r="P338" s="105">
        <f t="shared" ca="1" si="112"/>
        <v>0</v>
      </c>
      <c r="Q338" s="105">
        <f t="shared" ca="1" si="113"/>
        <v>0</v>
      </c>
      <c r="R338" s="105">
        <f t="shared" ca="1" si="114"/>
        <v>0</v>
      </c>
      <c r="S338" s="105">
        <f t="shared" ca="1" si="115"/>
        <v>10</v>
      </c>
    </row>
    <row r="339" spans="1:19" x14ac:dyDescent="0.35">
      <c r="A339" s="105">
        <f t="shared" ca="1" si="101"/>
        <v>454.4400000000025</v>
      </c>
      <c r="B339" s="105">
        <f t="shared" ca="1" si="102"/>
        <v>0</v>
      </c>
      <c r="C339" s="105">
        <f t="shared" ca="1" si="103"/>
        <v>2</v>
      </c>
      <c r="D339" s="105">
        <f t="shared" ca="1" si="104"/>
        <v>0</v>
      </c>
      <c r="E339" s="105">
        <f t="shared" ca="1" si="105"/>
        <v>0</v>
      </c>
      <c r="F339" s="105">
        <f t="shared" ca="1" si="106"/>
        <v>0</v>
      </c>
      <c r="G339" s="105">
        <f t="shared" ca="1" si="116"/>
        <v>0</v>
      </c>
      <c r="H339" s="105">
        <f t="shared" ca="1" si="117"/>
        <v>0</v>
      </c>
      <c r="I339" s="105">
        <f t="shared" ca="1" si="107"/>
        <v>0</v>
      </c>
      <c r="J339" s="105">
        <f t="shared" ca="1" si="108"/>
        <v>0</v>
      </c>
      <c r="K339" s="105">
        <f t="shared" ca="1" si="109"/>
        <v>0</v>
      </c>
      <c r="L339" s="105">
        <f t="shared" ca="1" si="99"/>
        <v>0</v>
      </c>
      <c r="M339" s="105">
        <f t="shared" ca="1" si="110"/>
        <v>0</v>
      </c>
      <c r="N339" s="105">
        <f t="shared" ca="1" si="100"/>
        <v>0</v>
      </c>
      <c r="O339" s="105">
        <f t="shared" ca="1" si="111"/>
        <v>0</v>
      </c>
      <c r="P339" s="105">
        <f t="shared" ca="1" si="112"/>
        <v>0</v>
      </c>
      <c r="Q339" s="105">
        <f t="shared" ca="1" si="113"/>
        <v>0</v>
      </c>
      <c r="R339" s="105">
        <f t="shared" ca="1" si="114"/>
        <v>0</v>
      </c>
      <c r="S339" s="105">
        <f t="shared" ca="1" si="115"/>
        <v>10</v>
      </c>
    </row>
    <row r="340" spans="1:19" x14ac:dyDescent="0.35">
      <c r="A340" s="105">
        <f t="shared" ca="1" si="101"/>
        <v>455.79250000000252</v>
      </c>
      <c r="B340" s="105">
        <f t="shared" ca="1" si="102"/>
        <v>0</v>
      </c>
      <c r="C340" s="105">
        <f t="shared" ca="1" si="103"/>
        <v>2</v>
      </c>
      <c r="D340" s="105">
        <f t="shared" ca="1" si="104"/>
        <v>0</v>
      </c>
      <c r="E340" s="105">
        <f t="shared" ca="1" si="105"/>
        <v>0</v>
      </c>
      <c r="F340" s="105">
        <f t="shared" ca="1" si="106"/>
        <v>0</v>
      </c>
      <c r="G340" s="105">
        <f t="shared" ca="1" si="116"/>
        <v>0</v>
      </c>
      <c r="H340" s="105">
        <f t="shared" ca="1" si="117"/>
        <v>0</v>
      </c>
      <c r="I340" s="105">
        <f t="shared" ca="1" si="107"/>
        <v>0</v>
      </c>
      <c r="J340" s="105">
        <f t="shared" ca="1" si="108"/>
        <v>0</v>
      </c>
      <c r="K340" s="105">
        <f t="shared" ca="1" si="109"/>
        <v>0</v>
      </c>
      <c r="L340" s="105">
        <f t="shared" ca="1" si="99"/>
        <v>0</v>
      </c>
      <c r="M340" s="105">
        <f t="shared" ca="1" si="110"/>
        <v>0</v>
      </c>
      <c r="N340" s="105">
        <f t="shared" ca="1" si="100"/>
        <v>0</v>
      </c>
      <c r="O340" s="105">
        <f t="shared" ca="1" si="111"/>
        <v>0</v>
      </c>
      <c r="P340" s="105">
        <f t="shared" ca="1" si="112"/>
        <v>0</v>
      </c>
      <c r="Q340" s="105">
        <f t="shared" ca="1" si="113"/>
        <v>0</v>
      </c>
      <c r="R340" s="105">
        <f t="shared" ca="1" si="114"/>
        <v>0</v>
      </c>
      <c r="S340" s="105">
        <f t="shared" ca="1" si="115"/>
        <v>10</v>
      </c>
    </row>
    <row r="341" spans="1:19" x14ac:dyDescent="0.35">
      <c r="A341" s="105">
        <f t="shared" ca="1" si="101"/>
        <v>457.14500000000254</v>
      </c>
      <c r="B341" s="105">
        <f t="shared" ca="1" si="102"/>
        <v>0</v>
      </c>
      <c r="C341" s="105">
        <f t="shared" ca="1" si="103"/>
        <v>2</v>
      </c>
      <c r="D341" s="105">
        <f t="shared" ca="1" si="104"/>
        <v>0</v>
      </c>
      <c r="E341" s="105">
        <f t="shared" ca="1" si="105"/>
        <v>0</v>
      </c>
      <c r="F341" s="105">
        <f t="shared" ca="1" si="106"/>
        <v>0</v>
      </c>
      <c r="G341" s="105">
        <f t="shared" ca="1" si="116"/>
        <v>0</v>
      </c>
      <c r="H341" s="105">
        <f t="shared" ca="1" si="117"/>
        <v>0</v>
      </c>
      <c r="I341" s="105">
        <f t="shared" ca="1" si="107"/>
        <v>0</v>
      </c>
      <c r="J341" s="105">
        <f t="shared" ca="1" si="108"/>
        <v>0</v>
      </c>
      <c r="K341" s="105">
        <f t="shared" ca="1" si="109"/>
        <v>0</v>
      </c>
      <c r="L341" s="105">
        <f t="shared" ca="1" si="99"/>
        <v>0</v>
      </c>
      <c r="M341" s="105">
        <f t="shared" ca="1" si="110"/>
        <v>0</v>
      </c>
      <c r="N341" s="105">
        <f t="shared" ca="1" si="100"/>
        <v>0</v>
      </c>
      <c r="O341" s="105">
        <f t="shared" ca="1" si="111"/>
        <v>0</v>
      </c>
      <c r="P341" s="105">
        <f t="shared" ca="1" si="112"/>
        <v>0</v>
      </c>
      <c r="Q341" s="105">
        <f t="shared" ca="1" si="113"/>
        <v>0</v>
      </c>
      <c r="R341" s="105">
        <f t="shared" ca="1" si="114"/>
        <v>0</v>
      </c>
      <c r="S341" s="105">
        <f t="shared" ca="1" si="115"/>
        <v>10</v>
      </c>
    </row>
    <row r="342" spans="1:19" x14ac:dyDescent="0.35">
      <c r="A342" s="105">
        <f t="shared" ca="1" si="101"/>
        <v>458.49750000000256</v>
      </c>
      <c r="B342" s="105">
        <f t="shared" ca="1" si="102"/>
        <v>0</v>
      </c>
      <c r="C342" s="105">
        <f t="shared" ca="1" si="103"/>
        <v>2</v>
      </c>
      <c r="D342" s="105">
        <f t="shared" ca="1" si="104"/>
        <v>0</v>
      </c>
      <c r="E342" s="105">
        <f t="shared" ca="1" si="105"/>
        <v>0</v>
      </c>
      <c r="F342" s="105">
        <f t="shared" ca="1" si="106"/>
        <v>0</v>
      </c>
      <c r="G342" s="105">
        <f t="shared" ca="1" si="116"/>
        <v>0</v>
      </c>
      <c r="H342" s="105">
        <f t="shared" ca="1" si="117"/>
        <v>0</v>
      </c>
      <c r="I342" s="105">
        <f t="shared" ca="1" si="107"/>
        <v>0</v>
      </c>
      <c r="J342" s="105">
        <f t="shared" ca="1" si="108"/>
        <v>0</v>
      </c>
      <c r="K342" s="105">
        <f t="shared" ca="1" si="109"/>
        <v>0</v>
      </c>
      <c r="L342" s="105">
        <f t="shared" ca="1" si="99"/>
        <v>0</v>
      </c>
      <c r="M342" s="105">
        <f t="shared" ca="1" si="110"/>
        <v>0</v>
      </c>
      <c r="N342" s="105">
        <f t="shared" ca="1" si="100"/>
        <v>0</v>
      </c>
      <c r="O342" s="105">
        <f t="shared" ca="1" si="111"/>
        <v>0</v>
      </c>
      <c r="P342" s="105">
        <f t="shared" ca="1" si="112"/>
        <v>0</v>
      </c>
      <c r="Q342" s="105">
        <f t="shared" ca="1" si="113"/>
        <v>0</v>
      </c>
      <c r="R342" s="105">
        <f t="shared" ca="1" si="114"/>
        <v>0</v>
      </c>
      <c r="S342" s="105">
        <f t="shared" ca="1" si="115"/>
        <v>10</v>
      </c>
    </row>
    <row r="343" spans="1:19" x14ac:dyDescent="0.35">
      <c r="A343" s="105">
        <f t="shared" ca="1" si="101"/>
        <v>459.85000000000258</v>
      </c>
      <c r="B343" s="105">
        <f t="shared" ca="1" si="102"/>
        <v>0</v>
      </c>
      <c r="C343" s="105">
        <f t="shared" ca="1" si="103"/>
        <v>2</v>
      </c>
      <c r="D343" s="105">
        <f t="shared" ca="1" si="104"/>
        <v>0</v>
      </c>
      <c r="E343" s="105">
        <f t="shared" ca="1" si="105"/>
        <v>0</v>
      </c>
      <c r="F343" s="105">
        <f t="shared" ca="1" si="106"/>
        <v>0</v>
      </c>
      <c r="G343" s="105">
        <f t="shared" ca="1" si="116"/>
        <v>0</v>
      </c>
      <c r="H343" s="105">
        <f t="shared" ca="1" si="117"/>
        <v>0</v>
      </c>
      <c r="I343" s="105">
        <f t="shared" ca="1" si="107"/>
        <v>0</v>
      </c>
      <c r="J343" s="105">
        <f t="shared" ca="1" si="108"/>
        <v>0</v>
      </c>
      <c r="K343" s="105">
        <f t="shared" ca="1" si="109"/>
        <v>0</v>
      </c>
      <c r="L343" s="105">
        <f t="shared" ca="1" si="99"/>
        <v>0</v>
      </c>
      <c r="M343" s="105">
        <f t="shared" ca="1" si="110"/>
        <v>0</v>
      </c>
      <c r="N343" s="105">
        <f t="shared" ca="1" si="100"/>
        <v>0</v>
      </c>
      <c r="O343" s="105">
        <f t="shared" ca="1" si="111"/>
        <v>0</v>
      </c>
      <c r="P343" s="105">
        <f t="shared" ca="1" si="112"/>
        <v>0</v>
      </c>
      <c r="Q343" s="105">
        <f t="shared" ca="1" si="113"/>
        <v>0</v>
      </c>
      <c r="R343" s="105">
        <f t="shared" ca="1" si="114"/>
        <v>0</v>
      </c>
      <c r="S343" s="105">
        <f t="shared" ca="1" si="115"/>
        <v>10</v>
      </c>
    </row>
    <row r="344" spans="1:19" x14ac:dyDescent="0.35">
      <c r="A344" s="105">
        <f t="shared" ca="1" si="101"/>
        <v>461.2025000000026</v>
      </c>
      <c r="B344" s="105">
        <f t="shared" ca="1" si="102"/>
        <v>0</v>
      </c>
      <c r="C344" s="105">
        <f t="shared" ca="1" si="103"/>
        <v>2</v>
      </c>
      <c r="D344" s="105">
        <f t="shared" ca="1" si="104"/>
        <v>0</v>
      </c>
      <c r="E344" s="105">
        <f t="shared" ca="1" si="105"/>
        <v>0</v>
      </c>
      <c r="F344" s="105">
        <f t="shared" ca="1" si="106"/>
        <v>0</v>
      </c>
      <c r="G344" s="105">
        <f t="shared" ca="1" si="116"/>
        <v>0</v>
      </c>
      <c r="H344" s="105">
        <f t="shared" ca="1" si="117"/>
        <v>0</v>
      </c>
      <c r="I344" s="105">
        <f t="shared" ca="1" si="107"/>
        <v>0</v>
      </c>
      <c r="J344" s="105">
        <f t="shared" ca="1" si="108"/>
        <v>0</v>
      </c>
      <c r="K344" s="105">
        <f t="shared" ca="1" si="109"/>
        <v>0</v>
      </c>
      <c r="L344" s="105">
        <f t="shared" ref="L344:L407" ca="1" si="118">IF(K344+K343&gt;0,1,0)</f>
        <v>0</v>
      </c>
      <c r="M344" s="105">
        <f t="shared" ca="1" si="110"/>
        <v>0</v>
      </c>
      <c r="N344" s="105">
        <f t="shared" ref="N344:N407" ca="1" si="119">IF(M344+M343&gt;0,1,0)</f>
        <v>0</v>
      </c>
      <c r="O344" s="105">
        <f t="shared" ca="1" si="111"/>
        <v>0</v>
      </c>
      <c r="P344" s="105">
        <f t="shared" ca="1" si="112"/>
        <v>0</v>
      </c>
      <c r="Q344" s="105">
        <f t="shared" ca="1" si="113"/>
        <v>0</v>
      </c>
      <c r="R344" s="105">
        <f t="shared" ca="1" si="114"/>
        <v>0</v>
      </c>
      <c r="S344" s="105">
        <f t="shared" ca="1" si="115"/>
        <v>10</v>
      </c>
    </row>
    <row r="345" spans="1:19" x14ac:dyDescent="0.35">
      <c r="A345" s="105">
        <f t="shared" ca="1" si="101"/>
        <v>462.55500000000262</v>
      </c>
      <c r="B345" s="105">
        <f t="shared" ca="1" si="102"/>
        <v>0</v>
      </c>
      <c r="C345" s="105">
        <f t="shared" ca="1" si="103"/>
        <v>2</v>
      </c>
      <c r="D345" s="105">
        <f t="shared" ca="1" si="104"/>
        <v>0</v>
      </c>
      <c r="E345" s="105">
        <f t="shared" ca="1" si="105"/>
        <v>0</v>
      </c>
      <c r="F345" s="105">
        <f t="shared" ca="1" si="106"/>
        <v>0</v>
      </c>
      <c r="G345" s="105">
        <f t="shared" ca="1" si="116"/>
        <v>0</v>
      </c>
      <c r="H345" s="105">
        <f t="shared" ca="1" si="117"/>
        <v>0</v>
      </c>
      <c r="I345" s="105">
        <f t="shared" ca="1" si="107"/>
        <v>0</v>
      </c>
      <c r="J345" s="105">
        <f t="shared" ca="1" si="108"/>
        <v>0</v>
      </c>
      <c r="K345" s="105">
        <f t="shared" ca="1" si="109"/>
        <v>0</v>
      </c>
      <c r="L345" s="105">
        <f t="shared" ca="1" si="118"/>
        <v>0</v>
      </c>
      <c r="M345" s="105">
        <f t="shared" ca="1" si="110"/>
        <v>0</v>
      </c>
      <c r="N345" s="105">
        <f t="shared" ca="1" si="119"/>
        <v>0</v>
      </c>
      <c r="O345" s="105">
        <f t="shared" ca="1" si="111"/>
        <v>0</v>
      </c>
      <c r="P345" s="105">
        <f t="shared" ca="1" si="112"/>
        <v>0</v>
      </c>
      <c r="Q345" s="105">
        <f t="shared" ca="1" si="113"/>
        <v>0</v>
      </c>
      <c r="R345" s="105">
        <f t="shared" ca="1" si="114"/>
        <v>0</v>
      </c>
      <c r="S345" s="105">
        <f t="shared" ca="1" si="115"/>
        <v>10</v>
      </c>
    </row>
    <row r="346" spans="1:19" x14ac:dyDescent="0.35">
      <c r="A346" s="105">
        <f t="shared" ca="1" si="101"/>
        <v>463.90750000000264</v>
      </c>
      <c r="B346" s="105">
        <f t="shared" ca="1" si="102"/>
        <v>0</v>
      </c>
      <c r="C346" s="105">
        <f t="shared" ca="1" si="103"/>
        <v>2</v>
      </c>
      <c r="D346" s="105">
        <f t="shared" ca="1" si="104"/>
        <v>0</v>
      </c>
      <c r="E346" s="105">
        <f t="shared" ca="1" si="105"/>
        <v>0</v>
      </c>
      <c r="F346" s="105">
        <f t="shared" ca="1" si="106"/>
        <v>0</v>
      </c>
      <c r="G346" s="105">
        <f t="shared" ca="1" si="116"/>
        <v>0</v>
      </c>
      <c r="H346" s="105">
        <f t="shared" ca="1" si="117"/>
        <v>0</v>
      </c>
      <c r="I346" s="105">
        <f t="shared" ca="1" si="107"/>
        <v>0</v>
      </c>
      <c r="J346" s="105">
        <f t="shared" ca="1" si="108"/>
        <v>0</v>
      </c>
      <c r="K346" s="105">
        <f t="shared" ca="1" si="109"/>
        <v>0</v>
      </c>
      <c r="L346" s="105">
        <f t="shared" ca="1" si="118"/>
        <v>0</v>
      </c>
      <c r="M346" s="105">
        <f t="shared" ca="1" si="110"/>
        <v>0</v>
      </c>
      <c r="N346" s="105">
        <f t="shared" ca="1" si="119"/>
        <v>0</v>
      </c>
      <c r="O346" s="105">
        <f t="shared" ca="1" si="111"/>
        <v>0</v>
      </c>
      <c r="P346" s="105">
        <f t="shared" ca="1" si="112"/>
        <v>0</v>
      </c>
      <c r="Q346" s="105">
        <f t="shared" ca="1" si="113"/>
        <v>0</v>
      </c>
      <c r="R346" s="105">
        <f t="shared" ca="1" si="114"/>
        <v>0</v>
      </c>
      <c r="S346" s="105">
        <f t="shared" ca="1" si="115"/>
        <v>10</v>
      </c>
    </row>
    <row r="347" spans="1:19" x14ac:dyDescent="0.35">
      <c r="A347" s="105">
        <f t="shared" ca="1" si="101"/>
        <v>465.26000000000266</v>
      </c>
      <c r="B347" s="105">
        <f t="shared" ca="1" si="102"/>
        <v>0</v>
      </c>
      <c r="C347" s="105">
        <f t="shared" ca="1" si="103"/>
        <v>2</v>
      </c>
      <c r="D347" s="105">
        <f t="shared" ca="1" si="104"/>
        <v>0</v>
      </c>
      <c r="E347" s="105">
        <f t="shared" ca="1" si="105"/>
        <v>0</v>
      </c>
      <c r="F347" s="105">
        <f t="shared" ca="1" si="106"/>
        <v>0</v>
      </c>
      <c r="G347" s="105">
        <f t="shared" ca="1" si="116"/>
        <v>0</v>
      </c>
      <c r="H347" s="105">
        <f t="shared" ca="1" si="117"/>
        <v>0</v>
      </c>
      <c r="I347" s="105">
        <f t="shared" ca="1" si="107"/>
        <v>0</v>
      </c>
      <c r="J347" s="105">
        <f t="shared" ca="1" si="108"/>
        <v>0</v>
      </c>
      <c r="K347" s="105">
        <f t="shared" ca="1" si="109"/>
        <v>0</v>
      </c>
      <c r="L347" s="105">
        <f t="shared" ca="1" si="118"/>
        <v>0</v>
      </c>
      <c r="M347" s="105">
        <f t="shared" ca="1" si="110"/>
        <v>0</v>
      </c>
      <c r="N347" s="105">
        <f t="shared" ca="1" si="119"/>
        <v>0</v>
      </c>
      <c r="O347" s="105">
        <f t="shared" ca="1" si="111"/>
        <v>0</v>
      </c>
      <c r="P347" s="105">
        <f t="shared" ca="1" si="112"/>
        <v>0</v>
      </c>
      <c r="Q347" s="105">
        <f t="shared" ca="1" si="113"/>
        <v>0</v>
      </c>
      <c r="R347" s="105">
        <f t="shared" ca="1" si="114"/>
        <v>0</v>
      </c>
      <c r="S347" s="105">
        <f t="shared" ca="1" si="115"/>
        <v>10</v>
      </c>
    </row>
    <row r="348" spans="1:19" x14ac:dyDescent="0.35">
      <c r="A348" s="105">
        <f t="shared" ca="1" si="101"/>
        <v>466.61250000000268</v>
      </c>
      <c r="B348" s="105">
        <f t="shared" ca="1" si="102"/>
        <v>0</v>
      </c>
      <c r="C348" s="105">
        <f t="shared" ca="1" si="103"/>
        <v>2</v>
      </c>
      <c r="D348" s="105">
        <f t="shared" ca="1" si="104"/>
        <v>0</v>
      </c>
      <c r="E348" s="105">
        <f t="shared" ca="1" si="105"/>
        <v>0</v>
      </c>
      <c r="F348" s="105">
        <f t="shared" ca="1" si="106"/>
        <v>0</v>
      </c>
      <c r="G348" s="105">
        <f t="shared" ca="1" si="116"/>
        <v>0</v>
      </c>
      <c r="H348" s="105">
        <f t="shared" ca="1" si="117"/>
        <v>0</v>
      </c>
      <c r="I348" s="105">
        <f t="shared" ca="1" si="107"/>
        <v>0</v>
      </c>
      <c r="J348" s="105">
        <f t="shared" ca="1" si="108"/>
        <v>0</v>
      </c>
      <c r="K348" s="105">
        <f t="shared" ca="1" si="109"/>
        <v>0</v>
      </c>
      <c r="L348" s="105">
        <f t="shared" ca="1" si="118"/>
        <v>0</v>
      </c>
      <c r="M348" s="105">
        <f t="shared" ca="1" si="110"/>
        <v>0</v>
      </c>
      <c r="N348" s="105">
        <f t="shared" ca="1" si="119"/>
        <v>0</v>
      </c>
      <c r="O348" s="105">
        <f t="shared" ca="1" si="111"/>
        <v>0</v>
      </c>
      <c r="P348" s="105">
        <f t="shared" ca="1" si="112"/>
        <v>0</v>
      </c>
      <c r="Q348" s="105">
        <f t="shared" ca="1" si="113"/>
        <v>0</v>
      </c>
      <c r="R348" s="105">
        <f t="shared" ca="1" si="114"/>
        <v>0</v>
      </c>
      <c r="S348" s="105">
        <f t="shared" ca="1" si="115"/>
        <v>10</v>
      </c>
    </row>
    <row r="349" spans="1:19" x14ac:dyDescent="0.35">
      <c r="A349" s="105">
        <f t="shared" ca="1" si="101"/>
        <v>467.9650000000027</v>
      </c>
      <c r="B349" s="105">
        <f t="shared" ca="1" si="102"/>
        <v>0</v>
      </c>
      <c r="C349" s="105">
        <f t="shared" ca="1" si="103"/>
        <v>2</v>
      </c>
      <c r="D349" s="105">
        <f t="shared" ca="1" si="104"/>
        <v>0</v>
      </c>
      <c r="E349" s="105">
        <f t="shared" ca="1" si="105"/>
        <v>0</v>
      </c>
      <c r="F349" s="105">
        <f t="shared" ca="1" si="106"/>
        <v>0</v>
      </c>
      <c r="G349" s="105">
        <f t="shared" ca="1" si="116"/>
        <v>0</v>
      </c>
      <c r="H349" s="105">
        <f t="shared" ca="1" si="117"/>
        <v>0</v>
      </c>
      <c r="I349" s="105">
        <f t="shared" ca="1" si="107"/>
        <v>0</v>
      </c>
      <c r="J349" s="105">
        <f t="shared" ca="1" si="108"/>
        <v>0</v>
      </c>
      <c r="K349" s="105">
        <f t="shared" ca="1" si="109"/>
        <v>0</v>
      </c>
      <c r="L349" s="105">
        <f t="shared" ca="1" si="118"/>
        <v>0</v>
      </c>
      <c r="M349" s="105">
        <f t="shared" ca="1" si="110"/>
        <v>0</v>
      </c>
      <c r="N349" s="105">
        <f t="shared" ca="1" si="119"/>
        <v>0</v>
      </c>
      <c r="O349" s="105">
        <f t="shared" ca="1" si="111"/>
        <v>0</v>
      </c>
      <c r="P349" s="105">
        <f t="shared" ca="1" si="112"/>
        <v>0</v>
      </c>
      <c r="Q349" s="105">
        <f t="shared" ca="1" si="113"/>
        <v>0</v>
      </c>
      <c r="R349" s="105">
        <f t="shared" ca="1" si="114"/>
        <v>0</v>
      </c>
      <c r="S349" s="105">
        <f t="shared" ca="1" si="115"/>
        <v>10</v>
      </c>
    </row>
    <row r="350" spans="1:19" x14ac:dyDescent="0.35">
      <c r="A350" s="105">
        <f t="shared" ca="1" si="101"/>
        <v>469.31750000000272</v>
      </c>
      <c r="B350" s="105">
        <f t="shared" ca="1" si="102"/>
        <v>0</v>
      </c>
      <c r="C350" s="105">
        <f t="shared" ca="1" si="103"/>
        <v>2</v>
      </c>
      <c r="D350" s="105">
        <f t="shared" ca="1" si="104"/>
        <v>0</v>
      </c>
      <c r="E350" s="105">
        <f t="shared" ca="1" si="105"/>
        <v>0</v>
      </c>
      <c r="F350" s="105">
        <f t="shared" ca="1" si="106"/>
        <v>0</v>
      </c>
      <c r="G350" s="105">
        <f t="shared" ca="1" si="116"/>
        <v>0</v>
      </c>
      <c r="H350" s="105">
        <f t="shared" ca="1" si="117"/>
        <v>0</v>
      </c>
      <c r="I350" s="105">
        <f t="shared" ca="1" si="107"/>
        <v>0</v>
      </c>
      <c r="J350" s="105">
        <f t="shared" ca="1" si="108"/>
        <v>0</v>
      </c>
      <c r="K350" s="105">
        <f t="shared" ca="1" si="109"/>
        <v>0</v>
      </c>
      <c r="L350" s="105">
        <f t="shared" ca="1" si="118"/>
        <v>0</v>
      </c>
      <c r="M350" s="105">
        <f t="shared" ca="1" si="110"/>
        <v>0</v>
      </c>
      <c r="N350" s="105">
        <f t="shared" ca="1" si="119"/>
        <v>0</v>
      </c>
      <c r="O350" s="105">
        <f t="shared" ca="1" si="111"/>
        <v>0</v>
      </c>
      <c r="P350" s="105">
        <f t="shared" ca="1" si="112"/>
        <v>0</v>
      </c>
      <c r="Q350" s="105">
        <f t="shared" ca="1" si="113"/>
        <v>0</v>
      </c>
      <c r="R350" s="105">
        <f t="shared" ca="1" si="114"/>
        <v>0</v>
      </c>
      <c r="S350" s="105">
        <f t="shared" ca="1" si="115"/>
        <v>10</v>
      </c>
    </row>
    <row r="351" spans="1:19" x14ac:dyDescent="0.35">
      <c r="A351" s="105">
        <f t="shared" ca="1" si="101"/>
        <v>470.67000000000274</v>
      </c>
      <c r="B351" s="105">
        <f t="shared" ca="1" si="102"/>
        <v>0</v>
      </c>
      <c r="C351" s="105">
        <f t="shared" ca="1" si="103"/>
        <v>2</v>
      </c>
      <c r="D351" s="105">
        <f t="shared" ca="1" si="104"/>
        <v>0</v>
      </c>
      <c r="E351" s="105">
        <f t="shared" ca="1" si="105"/>
        <v>0</v>
      </c>
      <c r="F351" s="105">
        <f t="shared" ca="1" si="106"/>
        <v>0</v>
      </c>
      <c r="G351" s="105">
        <f t="shared" ca="1" si="116"/>
        <v>0</v>
      </c>
      <c r="H351" s="105">
        <f t="shared" ca="1" si="117"/>
        <v>0</v>
      </c>
      <c r="I351" s="105">
        <f t="shared" ca="1" si="107"/>
        <v>0</v>
      </c>
      <c r="J351" s="105">
        <f t="shared" ca="1" si="108"/>
        <v>0</v>
      </c>
      <c r="K351" s="105">
        <f t="shared" ca="1" si="109"/>
        <v>0</v>
      </c>
      <c r="L351" s="105">
        <f t="shared" ca="1" si="118"/>
        <v>0</v>
      </c>
      <c r="M351" s="105">
        <f t="shared" ca="1" si="110"/>
        <v>0</v>
      </c>
      <c r="N351" s="105">
        <f t="shared" ca="1" si="119"/>
        <v>0</v>
      </c>
      <c r="O351" s="105">
        <f t="shared" ca="1" si="111"/>
        <v>0</v>
      </c>
      <c r="P351" s="105">
        <f t="shared" ca="1" si="112"/>
        <v>0</v>
      </c>
      <c r="Q351" s="105">
        <f t="shared" ca="1" si="113"/>
        <v>0</v>
      </c>
      <c r="R351" s="105">
        <f t="shared" ca="1" si="114"/>
        <v>0</v>
      </c>
      <c r="S351" s="105">
        <f t="shared" ca="1" si="115"/>
        <v>10</v>
      </c>
    </row>
    <row r="352" spans="1:19" x14ac:dyDescent="0.35">
      <c r="A352" s="105">
        <f t="shared" ca="1" si="101"/>
        <v>472.02250000000276</v>
      </c>
      <c r="B352" s="105">
        <f t="shared" ca="1" si="102"/>
        <v>0</v>
      </c>
      <c r="C352" s="105">
        <f t="shared" ca="1" si="103"/>
        <v>2</v>
      </c>
      <c r="D352" s="105">
        <f t="shared" ca="1" si="104"/>
        <v>0</v>
      </c>
      <c r="E352" s="105">
        <f t="shared" ca="1" si="105"/>
        <v>0</v>
      </c>
      <c r="F352" s="105">
        <f t="shared" ca="1" si="106"/>
        <v>0</v>
      </c>
      <c r="G352" s="105">
        <f t="shared" ca="1" si="116"/>
        <v>0</v>
      </c>
      <c r="H352" s="105">
        <f t="shared" ca="1" si="117"/>
        <v>0</v>
      </c>
      <c r="I352" s="105">
        <f t="shared" ca="1" si="107"/>
        <v>0</v>
      </c>
      <c r="J352" s="105">
        <f t="shared" ca="1" si="108"/>
        <v>0</v>
      </c>
      <c r="K352" s="105">
        <f t="shared" ca="1" si="109"/>
        <v>0</v>
      </c>
      <c r="L352" s="105">
        <f t="shared" ca="1" si="118"/>
        <v>0</v>
      </c>
      <c r="M352" s="105">
        <f t="shared" ca="1" si="110"/>
        <v>0</v>
      </c>
      <c r="N352" s="105">
        <f t="shared" ca="1" si="119"/>
        <v>0</v>
      </c>
      <c r="O352" s="105">
        <f t="shared" ca="1" si="111"/>
        <v>0</v>
      </c>
      <c r="P352" s="105">
        <f t="shared" ca="1" si="112"/>
        <v>0</v>
      </c>
      <c r="Q352" s="105">
        <f t="shared" ca="1" si="113"/>
        <v>0</v>
      </c>
      <c r="R352" s="105">
        <f t="shared" ca="1" si="114"/>
        <v>0</v>
      </c>
      <c r="S352" s="105">
        <f t="shared" ca="1" si="115"/>
        <v>10</v>
      </c>
    </row>
    <row r="353" spans="1:19" x14ac:dyDescent="0.35">
      <c r="A353" s="105">
        <f t="shared" ca="1" si="101"/>
        <v>473.37500000000279</v>
      </c>
      <c r="B353" s="105">
        <f t="shared" ca="1" si="102"/>
        <v>0</v>
      </c>
      <c r="C353" s="105">
        <f t="shared" ca="1" si="103"/>
        <v>2</v>
      </c>
      <c r="D353" s="105">
        <f t="shared" ca="1" si="104"/>
        <v>0</v>
      </c>
      <c r="E353" s="105">
        <f t="shared" ca="1" si="105"/>
        <v>0</v>
      </c>
      <c r="F353" s="105">
        <f t="shared" ca="1" si="106"/>
        <v>0</v>
      </c>
      <c r="G353" s="105">
        <f t="shared" ca="1" si="116"/>
        <v>0</v>
      </c>
      <c r="H353" s="105">
        <f t="shared" ca="1" si="117"/>
        <v>0</v>
      </c>
      <c r="I353" s="105">
        <f t="shared" ca="1" si="107"/>
        <v>0</v>
      </c>
      <c r="J353" s="105">
        <f t="shared" ca="1" si="108"/>
        <v>0</v>
      </c>
      <c r="K353" s="105">
        <f t="shared" ca="1" si="109"/>
        <v>0</v>
      </c>
      <c r="L353" s="105">
        <f t="shared" ca="1" si="118"/>
        <v>0</v>
      </c>
      <c r="M353" s="105">
        <f t="shared" ca="1" si="110"/>
        <v>0</v>
      </c>
      <c r="N353" s="105">
        <f t="shared" ca="1" si="119"/>
        <v>0</v>
      </c>
      <c r="O353" s="105">
        <f t="shared" ca="1" si="111"/>
        <v>0</v>
      </c>
      <c r="P353" s="105">
        <f t="shared" ca="1" si="112"/>
        <v>0</v>
      </c>
      <c r="Q353" s="105">
        <f t="shared" ca="1" si="113"/>
        <v>0</v>
      </c>
      <c r="R353" s="105">
        <f t="shared" ca="1" si="114"/>
        <v>0</v>
      </c>
      <c r="S353" s="105">
        <f t="shared" ca="1" si="115"/>
        <v>10</v>
      </c>
    </row>
    <row r="354" spans="1:19" x14ac:dyDescent="0.35">
      <c r="A354" s="105">
        <f t="shared" ca="1" si="101"/>
        <v>474.72750000000281</v>
      </c>
      <c r="B354" s="105">
        <f t="shared" ca="1" si="102"/>
        <v>0</v>
      </c>
      <c r="C354" s="105">
        <f t="shared" ca="1" si="103"/>
        <v>2</v>
      </c>
      <c r="D354" s="105">
        <f t="shared" ca="1" si="104"/>
        <v>0</v>
      </c>
      <c r="E354" s="105">
        <f t="shared" ca="1" si="105"/>
        <v>0</v>
      </c>
      <c r="F354" s="105">
        <f t="shared" ca="1" si="106"/>
        <v>0</v>
      </c>
      <c r="G354" s="105">
        <f t="shared" ca="1" si="116"/>
        <v>0</v>
      </c>
      <c r="H354" s="105">
        <f t="shared" ca="1" si="117"/>
        <v>0</v>
      </c>
      <c r="I354" s="105">
        <f t="shared" ca="1" si="107"/>
        <v>0</v>
      </c>
      <c r="J354" s="105">
        <f t="shared" ca="1" si="108"/>
        <v>0</v>
      </c>
      <c r="K354" s="105">
        <f t="shared" ca="1" si="109"/>
        <v>0</v>
      </c>
      <c r="L354" s="105">
        <f t="shared" ca="1" si="118"/>
        <v>0</v>
      </c>
      <c r="M354" s="105">
        <f t="shared" ca="1" si="110"/>
        <v>0</v>
      </c>
      <c r="N354" s="105">
        <f t="shared" ca="1" si="119"/>
        <v>0</v>
      </c>
      <c r="O354" s="105">
        <f t="shared" ca="1" si="111"/>
        <v>0</v>
      </c>
      <c r="P354" s="105">
        <f t="shared" ca="1" si="112"/>
        <v>0</v>
      </c>
      <c r="Q354" s="105">
        <f t="shared" ca="1" si="113"/>
        <v>0</v>
      </c>
      <c r="R354" s="105">
        <f t="shared" ca="1" si="114"/>
        <v>0</v>
      </c>
      <c r="S354" s="105">
        <f t="shared" ca="1" si="115"/>
        <v>10</v>
      </c>
    </row>
    <row r="355" spans="1:19" x14ac:dyDescent="0.35">
      <c r="A355" s="105">
        <f t="shared" ca="1" si="101"/>
        <v>476.08000000000283</v>
      </c>
      <c r="B355" s="105">
        <f t="shared" ca="1" si="102"/>
        <v>0</v>
      </c>
      <c r="C355" s="105">
        <f t="shared" ca="1" si="103"/>
        <v>2</v>
      </c>
      <c r="D355" s="105">
        <f t="shared" ca="1" si="104"/>
        <v>0</v>
      </c>
      <c r="E355" s="105">
        <f t="shared" ca="1" si="105"/>
        <v>0</v>
      </c>
      <c r="F355" s="105">
        <f t="shared" ca="1" si="106"/>
        <v>0</v>
      </c>
      <c r="G355" s="105">
        <f t="shared" ca="1" si="116"/>
        <v>0</v>
      </c>
      <c r="H355" s="105">
        <f t="shared" ca="1" si="117"/>
        <v>0</v>
      </c>
      <c r="I355" s="105">
        <f t="shared" ca="1" si="107"/>
        <v>0</v>
      </c>
      <c r="J355" s="105">
        <f t="shared" ca="1" si="108"/>
        <v>0</v>
      </c>
      <c r="K355" s="105">
        <f t="shared" ca="1" si="109"/>
        <v>0</v>
      </c>
      <c r="L355" s="105">
        <f t="shared" ca="1" si="118"/>
        <v>0</v>
      </c>
      <c r="M355" s="105">
        <f t="shared" ca="1" si="110"/>
        <v>0</v>
      </c>
      <c r="N355" s="105">
        <f t="shared" ca="1" si="119"/>
        <v>0</v>
      </c>
      <c r="O355" s="105">
        <f t="shared" ca="1" si="111"/>
        <v>0</v>
      </c>
      <c r="P355" s="105">
        <f t="shared" ca="1" si="112"/>
        <v>0</v>
      </c>
      <c r="Q355" s="105">
        <f t="shared" ca="1" si="113"/>
        <v>0</v>
      </c>
      <c r="R355" s="105">
        <f t="shared" ca="1" si="114"/>
        <v>0</v>
      </c>
      <c r="S355" s="105">
        <f t="shared" ca="1" si="115"/>
        <v>10</v>
      </c>
    </row>
    <row r="356" spans="1:19" x14ac:dyDescent="0.35">
      <c r="A356" s="105">
        <f t="shared" ca="1" si="101"/>
        <v>477.43250000000285</v>
      </c>
      <c r="B356" s="105">
        <f t="shared" ca="1" si="102"/>
        <v>0</v>
      </c>
      <c r="C356" s="105">
        <f t="shared" ca="1" si="103"/>
        <v>2</v>
      </c>
      <c r="D356" s="105">
        <f t="shared" ca="1" si="104"/>
        <v>0</v>
      </c>
      <c r="E356" s="105">
        <f t="shared" ca="1" si="105"/>
        <v>0</v>
      </c>
      <c r="F356" s="105">
        <f t="shared" ca="1" si="106"/>
        <v>0</v>
      </c>
      <c r="G356" s="105">
        <f t="shared" ca="1" si="116"/>
        <v>0</v>
      </c>
      <c r="H356" s="105">
        <f t="shared" ca="1" si="117"/>
        <v>0</v>
      </c>
      <c r="I356" s="105">
        <f t="shared" ca="1" si="107"/>
        <v>0</v>
      </c>
      <c r="J356" s="105">
        <f t="shared" ca="1" si="108"/>
        <v>0</v>
      </c>
      <c r="K356" s="105">
        <f t="shared" ca="1" si="109"/>
        <v>0</v>
      </c>
      <c r="L356" s="105">
        <f t="shared" ca="1" si="118"/>
        <v>0</v>
      </c>
      <c r="M356" s="105">
        <f t="shared" ca="1" si="110"/>
        <v>0</v>
      </c>
      <c r="N356" s="105">
        <f t="shared" ca="1" si="119"/>
        <v>0</v>
      </c>
      <c r="O356" s="105">
        <f t="shared" ca="1" si="111"/>
        <v>0</v>
      </c>
      <c r="P356" s="105">
        <f t="shared" ca="1" si="112"/>
        <v>0</v>
      </c>
      <c r="Q356" s="105">
        <f t="shared" ca="1" si="113"/>
        <v>0</v>
      </c>
      <c r="R356" s="105">
        <f t="shared" ca="1" si="114"/>
        <v>0</v>
      </c>
      <c r="S356" s="105">
        <f t="shared" ca="1" si="115"/>
        <v>10</v>
      </c>
    </row>
    <row r="357" spans="1:19" x14ac:dyDescent="0.35">
      <c r="A357" s="105">
        <f t="shared" ca="1" si="101"/>
        <v>478.78500000000287</v>
      </c>
      <c r="B357" s="105">
        <f t="shared" ca="1" si="102"/>
        <v>0</v>
      </c>
      <c r="C357" s="105">
        <f t="shared" ca="1" si="103"/>
        <v>2</v>
      </c>
      <c r="D357" s="105">
        <f t="shared" ca="1" si="104"/>
        <v>0</v>
      </c>
      <c r="E357" s="105">
        <f t="shared" ca="1" si="105"/>
        <v>0</v>
      </c>
      <c r="F357" s="105">
        <f t="shared" ca="1" si="106"/>
        <v>0</v>
      </c>
      <c r="G357" s="105">
        <f t="shared" ca="1" si="116"/>
        <v>0</v>
      </c>
      <c r="H357" s="105">
        <f t="shared" ca="1" si="117"/>
        <v>0</v>
      </c>
      <c r="I357" s="105">
        <f t="shared" ca="1" si="107"/>
        <v>0</v>
      </c>
      <c r="J357" s="105">
        <f t="shared" ca="1" si="108"/>
        <v>0</v>
      </c>
      <c r="K357" s="105">
        <f t="shared" ca="1" si="109"/>
        <v>0</v>
      </c>
      <c r="L357" s="105">
        <f t="shared" ca="1" si="118"/>
        <v>0</v>
      </c>
      <c r="M357" s="105">
        <f t="shared" ca="1" si="110"/>
        <v>0</v>
      </c>
      <c r="N357" s="105">
        <f t="shared" ca="1" si="119"/>
        <v>0</v>
      </c>
      <c r="O357" s="105">
        <f t="shared" ca="1" si="111"/>
        <v>0</v>
      </c>
      <c r="P357" s="105">
        <f t="shared" ca="1" si="112"/>
        <v>0</v>
      </c>
      <c r="Q357" s="105">
        <f t="shared" ca="1" si="113"/>
        <v>0</v>
      </c>
      <c r="R357" s="105">
        <f t="shared" ca="1" si="114"/>
        <v>0</v>
      </c>
      <c r="S357" s="105">
        <f t="shared" ca="1" si="115"/>
        <v>10</v>
      </c>
    </row>
    <row r="358" spans="1:19" x14ac:dyDescent="0.35">
      <c r="A358" s="105">
        <f t="shared" ca="1" si="101"/>
        <v>480.13750000000289</v>
      </c>
      <c r="B358" s="105">
        <f t="shared" ca="1" si="102"/>
        <v>0</v>
      </c>
      <c r="C358" s="105">
        <f t="shared" ca="1" si="103"/>
        <v>2</v>
      </c>
      <c r="D358" s="105">
        <f t="shared" ca="1" si="104"/>
        <v>0</v>
      </c>
      <c r="E358" s="105">
        <f t="shared" ca="1" si="105"/>
        <v>0</v>
      </c>
      <c r="F358" s="105">
        <f t="shared" ca="1" si="106"/>
        <v>0</v>
      </c>
      <c r="G358" s="105">
        <f t="shared" ca="1" si="116"/>
        <v>0</v>
      </c>
      <c r="H358" s="105">
        <f t="shared" ca="1" si="117"/>
        <v>0</v>
      </c>
      <c r="I358" s="105">
        <f t="shared" ca="1" si="107"/>
        <v>0</v>
      </c>
      <c r="J358" s="105">
        <f t="shared" ca="1" si="108"/>
        <v>0</v>
      </c>
      <c r="K358" s="105">
        <f t="shared" ca="1" si="109"/>
        <v>0</v>
      </c>
      <c r="L358" s="105">
        <f t="shared" ca="1" si="118"/>
        <v>0</v>
      </c>
      <c r="M358" s="105">
        <f t="shared" ca="1" si="110"/>
        <v>0</v>
      </c>
      <c r="N358" s="105">
        <f t="shared" ca="1" si="119"/>
        <v>0</v>
      </c>
      <c r="O358" s="105">
        <f t="shared" ca="1" si="111"/>
        <v>0</v>
      </c>
      <c r="P358" s="105">
        <f t="shared" ca="1" si="112"/>
        <v>0</v>
      </c>
      <c r="Q358" s="105">
        <f t="shared" ca="1" si="113"/>
        <v>0</v>
      </c>
      <c r="R358" s="105">
        <f t="shared" ca="1" si="114"/>
        <v>0</v>
      </c>
      <c r="S358" s="105">
        <f t="shared" ca="1" si="115"/>
        <v>10</v>
      </c>
    </row>
    <row r="359" spans="1:19" x14ac:dyDescent="0.35">
      <c r="A359" s="105">
        <f t="shared" ca="1" si="101"/>
        <v>481.49000000000291</v>
      </c>
      <c r="B359" s="105">
        <f t="shared" ca="1" si="102"/>
        <v>0</v>
      </c>
      <c r="C359" s="105">
        <f t="shared" ca="1" si="103"/>
        <v>2</v>
      </c>
      <c r="D359" s="105">
        <f t="shared" ca="1" si="104"/>
        <v>0</v>
      </c>
      <c r="E359" s="105">
        <f t="shared" ca="1" si="105"/>
        <v>0</v>
      </c>
      <c r="F359" s="105">
        <f t="shared" ca="1" si="106"/>
        <v>0</v>
      </c>
      <c r="G359" s="105">
        <f t="shared" ca="1" si="116"/>
        <v>0</v>
      </c>
      <c r="H359" s="105">
        <f t="shared" ca="1" si="117"/>
        <v>0</v>
      </c>
      <c r="I359" s="105">
        <f t="shared" ca="1" si="107"/>
        <v>0</v>
      </c>
      <c r="J359" s="105">
        <f t="shared" ca="1" si="108"/>
        <v>0</v>
      </c>
      <c r="K359" s="105">
        <f t="shared" ca="1" si="109"/>
        <v>0</v>
      </c>
      <c r="L359" s="105">
        <f t="shared" ca="1" si="118"/>
        <v>0</v>
      </c>
      <c r="M359" s="105">
        <f t="shared" ca="1" si="110"/>
        <v>0</v>
      </c>
      <c r="N359" s="105">
        <f t="shared" ca="1" si="119"/>
        <v>0</v>
      </c>
      <c r="O359" s="105">
        <f t="shared" ca="1" si="111"/>
        <v>0</v>
      </c>
      <c r="P359" s="105">
        <f t="shared" ca="1" si="112"/>
        <v>0</v>
      </c>
      <c r="Q359" s="105">
        <f t="shared" ca="1" si="113"/>
        <v>0</v>
      </c>
      <c r="R359" s="105">
        <f t="shared" ca="1" si="114"/>
        <v>0</v>
      </c>
      <c r="S359" s="105">
        <f t="shared" ca="1" si="115"/>
        <v>10</v>
      </c>
    </row>
    <row r="360" spans="1:19" x14ac:dyDescent="0.35">
      <c r="A360" s="105">
        <f t="shared" ca="1" si="101"/>
        <v>482.84250000000293</v>
      </c>
      <c r="B360" s="105">
        <f t="shared" ca="1" si="102"/>
        <v>0</v>
      </c>
      <c r="C360" s="105">
        <f t="shared" ca="1" si="103"/>
        <v>2</v>
      </c>
      <c r="D360" s="105">
        <f t="shared" ca="1" si="104"/>
        <v>0</v>
      </c>
      <c r="E360" s="105">
        <f t="shared" ca="1" si="105"/>
        <v>0</v>
      </c>
      <c r="F360" s="105">
        <f t="shared" ca="1" si="106"/>
        <v>0</v>
      </c>
      <c r="G360" s="105">
        <f t="shared" ca="1" si="116"/>
        <v>0</v>
      </c>
      <c r="H360" s="105">
        <f t="shared" ca="1" si="117"/>
        <v>0</v>
      </c>
      <c r="I360" s="105">
        <f t="shared" ca="1" si="107"/>
        <v>0</v>
      </c>
      <c r="J360" s="105">
        <f t="shared" ca="1" si="108"/>
        <v>0</v>
      </c>
      <c r="K360" s="105">
        <f t="shared" ca="1" si="109"/>
        <v>0</v>
      </c>
      <c r="L360" s="105">
        <f t="shared" ca="1" si="118"/>
        <v>0</v>
      </c>
      <c r="M360" s="105">
        <f t="shared" ca="1" si="110"/>
        <v>0</v>
      </c>
      <c r="N360" s="105">
        <f t="shared" ca="1" si="119"/>
        <v>0</v>
      </c>
      <c r="O360" s="105">
        <f t="shared" ca="1" si="111"/>
        <v>0</v>
      </c>
      <c r="P360" s="105">
        <f t="shared" ca="1" si="112"/>
        <v>0</v>
      </c>
      <c r="Q360" s="105">
        <f t="shared" ca="1" si="113"/>
        <v>0</v>
      </c>
      <c r="R360" s="105">
        <f t="shared" ca="1" si="114"/>
        <v>0</v>
      </c>
      <c r="S360" s="105">
        <f t="shared" ca="1" si="115"/>
        <v>10</v>
      </c>
    </row>
    <row r="361" spans="1:19" x14ac:dyDescent="0.35">
      <c r="A361" s="105">
        <f t="shared" ca="1" si="101"/>
        <v>484.19500000000295</v>
      </c>
      <c r="B361" s="105">
        <f t="shared" ca="1" si="102"/>
        <v>0</v>
      </c>
      <c r="C361" s="105">
        <f t="shared" ca="1" si="103"/>
        <v>2</v>
      </c>
      <c r="D361" s="105">
        <f t="shared" ca="1" si="104"/>
        <v>0</v>
      </c>
      <c r="E361" s="105">
        <f t="shared" ca="1" si="105"/>
        <v>0</v>
      </c>
      <c r="F361" s="105">
        <f t="shared" ca="1" si="106"/>
        <v>0</v>
      </c>
      <c r="G361" s="105">
        <f t="shared" ca="1" si="116"/>
        <v>0</v>
      </c>
      <c r="H361" s="105">
        <f t="shared" ca="1" si="117"/>
        <v>0</v>
      </c>
      <c r="I361" s="105">
        <f t="shared" ca="1" si="107"/>
        <v>0</v>
      </c>
      <c r="J361" s="105">
        <f t="shared" ca="1" si="108"/>
        <v>0</v>
      </c>
      <c r="K361" s="105">
        <f t="shared" ca="1" si="109"/>
        <v>0</v>
      </c>
      <c r="L361" s="105">
        <f t="shared" ca="1" si="118"/>
        <v>0</v>
      </c>
      <c r="M361" s="105">
        <f t="shared" ca="1" si="110"/>
        <v>0</v>
      </c>
      <c r="N361" s="105">
        <f t="shared" ca="1" si="119"/>
        <v>0</v>
      </c>
      <c r="O361" s="105">
        <f t="shared" ca="1" si="111"/>
        <v>0</v>
      </c>
      <c r="P361" s="105">
        <f t="shared" ca="1" si="112"/>
        <v>0</v>
      </c>
      <c r="Q361" s="105">
        <f t="shared" ca="1" si="113"/>
        <v>0</v>
      </c>
      <c r="R361" s="105">
        <f t="shared" ca="1" si="114"/>
        <v>0</v>
      </c>
      <c r="S361" s="105">
        <f t="shared" ca="1" si="115"/>
        <v>10</v>
      </c>
    </row>
    <row r="362" spans="1:19" x14ac:dyDescent="0.35">
      <c r="A362" s="105">
        <f t="shared" ca="1" si="101"/>
        <v>485.54750000000297</v>
      </c>
      <c r="B362" s="105">
        <f t="shared" ca="1" si="102"/>
        <v>0</v>
      </c>
      <c r="C362" s="105">
        <f t="shared" ca="1" si="103"/>
        <v>2</v>
      </c>
      <c r="D362" s="105">
        <f t="shared" ca="1" si="104"/>
        <v>0</v>
      </c>
      <c r="E362" s="105">
        <f t="shared" ca="1" si="105"/>
        <v>0</v>
      </c>
      <c r="F362" s="105">
        <f t="shared" ca="1" si="106"/>
        <v>0</v>
      </c>
      <c r="G362" s="105">
        <f t="shared" ca="1" si="116"/>
        <v>0</v>
      </c>
      <c r="H362" s="105">
        <f t="shared" ca="1" si="117"/>
        <v>0</v>
      </c>
      <c r="I362" s="105">
        <f t="shared" ca="1" si="107"/>
        <v>0</v>
      </c>
      <c r="J362" s="105">
        <f t="shared" ca="1" si="108"/>
        <v>0</v>
      </c>
      <c r="K362" s="105">
        <f t="shared" ca="1" si="109"/>
        <v>0</v>
      </c>
      <c r="L362" s="105">
        <f t="shared" ca="1" si="118"/>
        <v>0</v>
      </c>
      <c r="M362" s="105">
        <f t="shared" ca="1" si="110"/>
        <v>0</v>
      </c>
      <c r="N362" s="105">
        <f t="shared" ca="1" si="119"/>
        <v>0</v>
      </c>
      <c r="O362" s="105">
        <f t="shared" ca="1" si="111"/>
        <v>0</v>
      </c>
      <c r="P362" s="105">
        <f t="shared" ca="1" si="112"/>
        <v>0</v>
      </c>
      <c r="Q362" s="105">
        <f t="shared" ca="1" si="113"/>
        <v>0</v>
      </c>
      <c r="R362" s="105">
        <f t="shared" ca="1" si="114"/>
        <v>0</v>
      </c>
      <c r="S362" s="105">
        <f t="shared" ca="1" si="115"/>
        <v>10</v>
      </c>
    </row>
    <row r="363" spans="1:19" x14ac:dyDescent="0.35">
      <c r="A363" s="105">
        <f t="shared" ca="1" si="101"/>
        <v>486.90000000000299</v>
      </c>
      <c r="B363" s="105">
        <f t="shared" ca="1" si="102"/>
        <v>0</v>
      </c>
      <c r="C363" s="105">
        <f t="shared" ca="1" si="103"/>
        <v>2</v>
      </c>
      <c r="D363" s="105">
        <f t="shared" ca="1" si="104"/>
        <v>0</v>
      </c>
      <c r="E363" s="105">
        <f t="shared" ca="1" si="105"/>
        <v>0</v>
      </c>
      <c r="F363" s="105">
        <f t="shared" ca="1" si="106"/>
        <v>0</v>
      </c>
      <c r="G363" s="105">
        <f t="shared" ca="1" si="116"/>
        <v>0</v>
      </c>
      <c r="H363" s="105">
        <f t="shared" ca="1" si="117"/>
        <v>0</v>
      </c>
      <c r="I363" s="105">
        <f t="shared" ca="1" si="107"/>
        <v>0</v>
      </c>
      <c r="J363" s="105">
        <f t="shared" ca="1" si="108"/>
        <v>0</v>
      </c>
      <c r="K363" s="105">
        <f t="shared" ca="1" si="109"/>
        <v>0</v>
      </c>
      <c r="L363" s="105">
        <f t="shared" ca="1" si="118"/>
        <v>0</v>
      </c>
      <c r="M363" s="105">
        <f t="shared" ca="1" si="110"/>
        <v>0</v>
      </c>
      <c r="N363" s="105">
        <f t="shared" ca="1" si="119"/>
        <v>0</v>
      </c>
      <c r="O363" s="105">
        <f t="shared" ca="1" si="111"/>
        <v>0</v>
      </c>
      <c r="P363" s="105">
        <f t="shared" ca="1" si="112"/>
        <v>0</v>
      </c>
      <c r="Q363" s="105">
        <f t="shared" ca="1" si="113"/>
        <v>0</v>
      </c>
      <c r="R363" s="105">
        <f t="shared" ca="1" si="114"/>
        <v>0</v>
      </c>
      <c r="S363" s="105">
        <f t="shared" ca="1" si="115"/>
        <v>10</v>
      </c>
    </row>
    <row r="364" spans="1:19" x14ac:dyDescent="0.35">
      <c r="A364" s="105">
        <f t="shared" ca="1" si="101"/>
        <v>488.25250000000301</v>
      </c>
      <c r="B364" s="105">
        <f t="shared" ca="1" si="102"/>
        <v>0</v>
      </c>
      <c r="C364" s="105">
        <f t="shared" ca="1" si="103"/>
        <v>2</v>
      </c>
      <c r="D364" s="105">
        <f t="shared" ca="1" si="104"/>
        <v>0</v>
      </c>
      <c r="E364" s="105">
        <f t="shared" ca="1" si="105"/>
        <v>0</v>
      </c>
      <c r="F364" s="105">
        <f t="shared" ca="1" si="106"/>
        <v>0</v>
      </c>
      <c r="G364" s="105">
        <f t="shared" ca="1" si="116"/>
        <v>0</v>
      </c>
      <c r="H364" s="105">
        <f t="shared" ca="1" si="117"/>
        <v>0</v>
      </c>
      <c r="I364" s="105">
        <f t="shared" ca="1" si="107"/>
        <v>0</v>
      </c>
      <c r="J364" s="105">
        <f t="shared" ca="1" si="108"/>
        <v>0</v>
      </c>
      <c r="K364" s="105">
        <f t="shared" ca="1" si="109"/>
        <v>0</v>
      </c>
      <c r="L364" s="105">
        <f t="shared" ca="1" si="118"/>
        <v>0</v>
      </c>
      <c r="M364" s="105">
        <f t="shared" ca="1" si="110"/>
        <v>0</v>
      </c>
      <c r="N364" s="105">
        <f t="shared" ca="1" si="119"/>
        <v>0</v>
      </c>
      <c r="O364" s="105">
        <f t="shared" ca="1" si="111"/>
        <v>0</v>
      </c>
      <c r="P364" s="105">
        <f t="shared" ca="1" si="112"/>
        <v>0</v>
      </c>
      <c r="Q364" s="105">
        <f t="shared" ca="1" si="113"/>
        <v>0</v>
      </c>
      <c r="R364" s="105">
        <f t="shared" ca="1" si="114"/>
        <v>0</v>
      </c>
      <c r="S364" s="105">
        <f t="shared" ca="1" si="115"/>
        <v>10</v>
      </c>
    </row>
    <row r="365" spans="1:19" x14ac:dyDescent="0.35">
      <c r="A365" s="105">
        <f t="shared" ca="1" si="101"/>
        <v>489.60500000000303</v>
      </c>
      <c r="B365" s="105">
        <f t="shared" ca="1" si="102"/>
        <v>0</v>
      </c>
      <c r="C365" s="105">
        <f t="shared" ca="1" si="103"/>
        <v>2</v>
      </c>
      <c r="D365" s="105">
        <f t="shared" ca="1" si="104"/>
        <v>0</v>
      </c>
      <c r="E365" s="105">
        <f t="shared" ca="1" si="105"/>
        <v>0</v>
      </c>
      <c r="F365" s="105">
        <f t="shared" ca="1" si="106"/>
        <v>0</v>
      </c>
      <c r="G365" s="105">
        <f t="shared" ca="1" si="116"/>
        <v>0</v>
      </c>
      <c r="H365" s="105">
        <f t="shared" ca="1" si="117"/>
        <v>0</v>
      </c>
      <c r="I365" s="105">
        <f t="shared" ca="1" si="107"/>
        <v>0</v>
      </c>
      <c r="J365" s="105">
        <f t="shared" ca="1" si="108"/>
        <v>0</v>
      </c>
      <c r="K365" s="105">
        <f t="shared" ca="1" si="109"/>
        <v>0</v>
      </c>
      <c r="L365" s="105">
        <f t="shared" ca="1" si="118"/>
        <v>0</v>
      </c>
      <c r="M365" s="105">
        <f t="shared" ca="1" si="110"/>
        <v>0</v>
      </c>
      <c r="N365" s="105">
        <f t="shared" ca="1" si="119"/>
        <v>0</v>
      </c>
      <c r="O365" s="105">
        <f t="shared" ca="1" si="111"/>
        <v>0</v>
      </c>
      <c r="P365" s="105">
        <f t="shared" ca="1" si="112"/>
        <v>0</v>
      </c>
      <c r="Q365" s="105">
        <f t="shared" ca="1" si="113"/>
        <v>0</v>
      </c>
      <c r="R365" s="105">
        <f t="shared" ca="1" si="114"/>
        <v>0</v>
      </c>
      <c r="S365" s="105">
        <f t="shared" ca="1" si="115"/>
        <v>10</v>
      </c>
    </row>
    <row r="366" spans="1:19" x14ac:dyDescent="0.35">
      <c r="A366" s="105">
        <f t="shared" ca="1" si="101"/>
        <v>490.95750000000305</v>
      </c>
      <c r="B366" s="105">
        <f t="shared" ca="1" si="102"/>
        <v>0</v>
      </c>
      <c r="C366" s="105">
        <f t="shared" ca="1" si="103"/>
        <v>2</v>
      </c>
      <c r="D366" s="105">
        <f t="shared" ca="1" si="104"/>
        <v>0</v>
      </c>
      <c r="E366" s="105">
        <f t="shared" ca="1" si="105"/>
        <v>0</v>
      </c>
      <c r="F366" s="105">
        <f t="shared" ca="1" si="106"/>
        <v>0</v>
      </c>
      <c r="G366" s="105">
        <f t="shared" ca="1" si="116"/>
        <v>0</v>
      </c>
      <c r="H366" s="105">
        <f t="shared" ca="1" si="117"/>
        <v>0</v>
      </c>
      <c r="I366" s="105">
        <f t="shared" ca="1" si="107"/>
        <v>0</v>
      </c>
      <c r="J366" s="105">
        <f t="shared" ca="1" si="108"/>
        <v>0</v>
      </c>
      <c r="K366" s="105">
        <f t="shared" ca="1" si="109"/>
        <v>0</v>
      </c>
      <c r="L366" s="105">
        <f t="shared" ca="1" si="118"/>
        <v>0</v>
      </c>
      <c r="M366" s="105">
        <f t="shared" ca="1" si="110"/>
        <v>0</v>
      </c>
      <c r="N366" s="105">
        <f t="shared" ca="1" si="119"/>
        <v>0</v>
      </c>
      <c r="O366" s="105">
        <f t="shared" ca="1" si="111"/>
        <v>0</v>
      </c>
      <c r="P366" s="105">
        <f t="shared" ca="1" si="112"/>
        <v>0</v>
      </c>
      <c r="Q366" s="105">
        <f t="shared" ca="1" si="113"/>
        <v>0</v>
      </c>
      <c r="R366" s="105">
        <f t="shared" ca="1" si="114"/>
        <v>0</v>
      </c>
      <c r="S366" s="105">
        <f t="shared" ca="1" si="115"/>
        <v>10</v>
      </c>
    </row>
    <row r="367" spans="1:19" x14ac:dyDescent="0.35">
      <c r="A367" s="105">
        <f t="shared" ca="1" si="101"/>
        <v>492.31000000000307</v>
      </c>
      <c r="B367" s="105">
        <f t="shared" ca="1" si="102"/>
        <v>0</v>
      </c>
      <c r="C367" s="105">
        <f t="shared" ca="1" si="103"/>
        <v>2</v>
      </c>
      <c r="D367" s="105">
        <f t="shared" ca="1" si="104"/>
        <v>0</v>
      </c>
      <c r="E367" s="105">
        <f t="shared" ca="1" si="105"/>
        <v>0</v>
      </c>
      <c r="F367" s="105">
        <f t="shared" ca="1" si="106"/>
        <v>0</v>
      </c>
      <c r="G367" s="105">
        <f t="shared" ca="1" si="116"/>
        <v>0</v>
      </c>
      <c r="H367" s="105">
        <f t="shared" ca="1" si="117"/>
        <v>0</v>
      </c>
      <c r="I367" s="105">
        <f t="shared" ca="1" si="107"/>
        <v>0</v>
      </c>
      <c r="J367" s="105">
        <f t="shared" ca="1" si="108"/>
        <v>0</v>
      </c>
      <c r="K367" s="105">
        <f t="shared" ca="1" si="109"/>
        <v>0</v>
      </c>
      <c r="L367" s="105">
        <f t="shared" ca="1" si="118"/>
        <v>0</v>
      </c>
      <c r="M367" s="105">
        <f t="shared" ca="1" si="110"/>
        <v>0</v>
      </c>
      <c r="N367" s="105">
        <f t="shared" ca="1" si="119"/>
        <v>0</v>
      </c>
      <c r="O367" s="105">
        <f t="shared" ca="1" si="111"/>
        <v>0</v>
      </c>
      <c r="P367" s="105">
        <f t="shared" ca="1" si="112"/>
        <v>0</v>
      </c>
      <c r="Q367" s="105">
        <f t="shared" ca="1" si="113"/>
        <v>0</v>
      </c>
      <c r="R367" s="105">
        <f t="shared" ca="1" si="114"/>
        <v>0</v>
      </c>
      <c r="S367" s="105">
        <f t="shared" ca="1" si="115"/>
        <v>10</v>
      </c>
    </row>
    <row r="368" spans="1:19" x14ac:dyDescent="0.35">
      <c r="A368" s="105">
        <f t="shared" ca="1" si="101"/>
        <v>493.66250000000309</v>
      </c>
      <c r="B368" s="105">
        <f t="shared" ca="1" si="102"/>
        <v>0</v>
      </c>
      <c r="C368" s="105">
        <f t="shared" ca="1" si="103"/>
        <v>2</v>
      </c>
      <c r="D368" s="105">
        <f t="shared" ca="1" si="104"/>
        <v>0</v>
      </c>
      <c r="E368" s="105">
        <f t="shared" ca="1" si="105"/>
        <v>0</v>
      </c>
      <c r="F368" s="105">
        <f t="shared" ca="1" si="106"/>
        <v>0</v>
      </c>
      <c r="G368" s="105">
        <f t="shared" ca="1" si="116"/>
        <v>0</v>
      </c>
      <c r="H368" s="105">
        <f t="shared" ca="1" si="117"/>
        <v>0</v>
      </c>
      <c r="I368" s="105">
        <f t="shared" ca="1" si="107"/>
        <v>0</v>
      </c>
      <c r="J368" s="105">
        <f t="shared" ca="1" si="108"/>
        <v>0</v>
      </c>
      <c r="K368" s="105">
        <f t="shared" ca="1" si="109"/>
        <v>0</v>
      </c>
      <c r="L368" s="105">
        <f t="shared" ca="1" si="118"/>
        <v>0</v>
      </c>
      <c r="M368" s="105">
        <f t="shared" ca="1" si="110"/>
        <v>0</v>
      </c>
      <c r="N368" s="105">
        <f t="shared" ca="1" si="119"/>
        <v>0</v>
      </c>
      <c r="O368" s="105">
        <f t="shared" ca="1" si="111"/>
        <v>0</v>
      </c>
      <c r="P368" s="105">
        <f t="shared" ca="1" si="112"/>
        <v>0</v>
      </c>
      <c r="Q368" s="105">
        <f t="shared" ca="1" si="113"/>
        <v>0</v>
      </c>
      <c r="R368" s="105">
        <f t="shared" ca="1" si="114"/>
        <v>0</v>
      </c>
      <c r="S368" s="105">
        <f t="shared" ca="1" si="115"/>
        <v>10</v>
      </c>
    </row>
    <row r="369" spans="1:19" x14ac:dyDescent="0.35">
      <c r="A369" s="105">
        <f t="shared" ca="1" si="101"/>
        <v>495.01500000000311</v>
      </c>
      <c r="B369" s="105">
        <f t="shared" ca="1" si="102"/>
        <v>0</v>
      </c>
      <c r="C369" s="105">
        <f t="shared" ca="1" si="103"/>
        <v>2</v>
      </c>
      <c r="D369" s="105">
        <f t="shared" ca="1" si="104"/>
        <v>0</v>
      </c>
      <c r="E369" s="105">
        <f t="shared" ca="1" si="105"/>
        <v>0</v>
      </c>
      <c r="F369" s="105">
        <f t="shared" ca="1" si="106"/>
        <v>0</v>
      </c>
      <c r="G369" s="105">
        <f t="shared" ca="1" si="116"/>
        <v>0</v>
      </c>
      <c r="H369" s="105">
        <f t="shared" ca="1" si="117"/>
        <v>0</v>
      </c>
      <c r="I369" s="105">
        <f t="shared" ca="1" si="107"/>
        <v>0</v>
      </c>
      <c r="J369" s="105">
        <f t="shared" ca="1" si="108"/>
        <v>0</v>
      </c>
      <c r="K369" s="105">
        <f t="shared" ca="1" si="109"/>
        <v>0</v>
      </c>
      <c r="L369" s="105">
        <f t="shared" ca="1" si="118"/>
        <v>0</v>
      </c>
      <c r="M369" s="105">
        <f t="shared" ca="1" si="110"/>
        <v>0</v>
      </c>
      <c r="N369" s="105">
        <f t="shared" ca="1" si="119"/>
        <v>0</v>
      </c>
      <c r="O369" s="105">
        <f t="shared" ca="1" si="111"/>
        <v>0</v>
      </c>
      <c r="P369" s="105">
        <f t="shared" ca="1" si="112"/>
        <v>0</v>
      </c>
      <c r="Q369" s="105">
        <f t="shared" ca="1" si="113"/>
        <v>0</v>
      </c>
      <c r="R369" s="105">
        <f t="shared" ca="1" si="114"/>
        <v>0</v>
      </c>
      <c r="S369" s="105">
        <f t="shared" ca="1" si="115"/>
        <v>10</v>
      </c>
    </row>
    <row r="370" spans="1:19" x14ac:dyDescent="0.35">
      <c r="A370" s="105">
        <f t="shared" ca="1" si="101"/>
        <v>496.36750000000313</v>
      </c>
      <c r="B370" s="105">
        <f t="shared" ca="1" si="102"/>
        <v>0</v>
      </c>
      <c r="C370" s="105">
        <f t="shared" ca="1" si="103"/>
        <v>2</v>
      </c>
      <c r="D370" s="105">
        <f t="shared" ca="1" si="104"/>
        <v>0</v>
      </c>
      <c r="E370" s="105">
        <f t="shared" ca="1" si="105"/>
        <v>0</v>
      </c>
      <c r="F370" s="105">
        <f t="shared" ca="1" si="106"/>
        <v>0</v>
      </c>
      <c r="G370" s="105">
        <f t="shared" ca="1" si="116"/>
        <v>0</v>
      </c>
      <c r="H370" s="105">
        <f t="shared" ca="1" si="117"/>
        <v>0</v>
      </c>
      <c r="I370" s="105">
        <f t="shared" ca="1" si="107"/>
        <v>0</v>
      </c>
      <c r="J370" s="105">
        <f t="shared" ca="1" si="108"/>
        <v>0</v>
      </c>
      <c r="K370" s="105">
        <f t="shared" ca="1" si="109"/>
        <v>0</v>
      </c>
      <c r="L370" s="105">
        <f t="shared" ca="1" si="118"/>
        <v>0</v>
      </c>
      <c r="M370" s="105">
        <f t="shared" ca="1" si="110"/>
        <v>0</v>
      </c>
      <c r="N370" s="105">
        <f t="shared" ca="1" si="119"/>
        <v>0</v>
      </c>
      <c r="O370" s="105">
        <f t="shared" ca="1" si="111"/>
        <v>0</v>
      </c>
      <c r="P370" s="105">
        <f t="shared" ca="1" si="112"/>
        <v>0</v>
      </c>
      <c r="Q370" s="105">
        <f t="shared" ca="1" si="113"/>
        <v>0</v>
      </c>
      <c r="R370" s="105">
        <f t="shared" ca="1" si="114"/>
        <v>0</v>
      </c>
      <c r="S370" s="105">
        <f t="shared" ca="1" si="115"/>
        <v>10</v>
      </c>
    </row>
    <row r="371" spans="1:19" x14ac:dyDescent="0.35">
      <c r="A371" s="105">
        <f t="shared" ca="1" si="101"/>
        <v>497.72000000000315</v>
      </c>
      <c r="B371" s="105">
        <f t="shared" ca="1" si="102"/>
        <v>0</v>
      </c>
      <c r="C371" s="105">
        <f t="shared" ca="1" si="103"/>
        <v>2</v>
      </c>
      <c r="D371" s="105">
        <f t="shared" ca="1" si="104"/>
        <v>0</v>
      </c>
      <c r="E371" s="105">
        <f t="shared" ca="1" si="105"/>
        <v>0</v>
      </c>
      <c r="F371" s="105">
        <f t="shared" ca="1" si="106"/>
        <v>0</v>
      </c>
      <c r="G371" s="105">
        <f t="shared" ca="1" si="116"/>
        <v>0</v>
      </c>
      <c r="H371" s="105">
        <f t="shared" ca="1" si="117"/>
        <v>0</v>
      </c>
      <c r="I371" s="105">
        <f t="shared" ca="1" si="107"/>
        <v>0</v>
      </c>
      <c r="J371" s="105">
        <f t="shared" ca="1" si="108"/>
        <v>0</v>
      </c>
      <c r="K371" s="105">
        <f t="shared" ca="1" si="109"/>
        <v>0</v>
      </c>
      <c r="L371" s="105">
        <f t="shared" ca="1" si="118"/>
        <v>0</v>
      </c>
      <c r="M371" s="105">
        <f t="shared" ca="1" si="110"/>
        <v>0</v>
      </c>
      <c r="N371" s="105">
        <f t="shared" ca="1" si="119"/>
        <v>0</v>
      </c>
      <c r="O371" s="105">
        <f t="shared" ca="1" si="111"/>
        <v>0</v>
      </c>
      <c r="P371" s="105">
        <f t="shared" ca="1" si="112"/>
        <v>0</v>
      </c>
      <c r="Q371" s="105">
        <f t="shared" ca="1" si="113"/>
        <v>0</v>
      </c>
      <c r="R371" s="105">
        <f t="shared" ca="1" si="114"/>
        <v>0</v>
      </c>
      <c r="S371" s="105">
        <f t="shared" ca="1" si="115"/>
        <v>10</v>
      </c>
    </row>
    <row r="372" spans="1:19" x14ac:dyDescent="0.35">
      <c r="A372" s="105">
        <f t="shared" ca="1" si="101"/>
        <v>499.07250000000317</v>
      </c>
      <c r="B372" s="105">
        <f t="shared" ca="1" si="102"/>
        <v>0</v>
      </c>
      <c r="C372" s="105">
        <f t="shared" ca="1" si="103"/>
        <v>2</v>
      </c>
      <c r="D372" s="105">
        <f t="shared" ca="1" si="104"/>
        <v>0</v>
      </c>
      <c r="E372" s="105">
        <f t="shared" ca="1" si="105"/>
        <v>0</v>
      </c>
      <c r="F372" s="105">
        <f t="shared" ca="1" si="106"/>
        <v>0</v>
      </c>
      <c r="G372" s="105">
        <f t="shared" ca="1" si="116"/>
        <v>0</v>
      </c>
      <c r="H372" s="105">
        <f t="shared" ca="1" si="117"/>
        <v>0</v>
      </c>
      <c r="I372" s="105">
        <f t="shared" ca="1" si="107"/>
        <v>0</v>
      </c>
      <c r="J372" s="105">
        <f t="shared" ca="1" si="108"/>
        <v>0</v>
      </c>
      <c r="K372" s="105">
        <f t="shared" ca="1" si="109"/>
        <v>0</v>
      </c>
      <c r="L372" s="105">
        <f t="shared" ca="1" si="118"/>
        <v>0</v>
      </c>
      <c r="M372" s="105">
        <f t="shared" ca="1" si="110"/>
        <v>0</v>
      </c>
      <c r="N372" s="105">
        <f t="shared" ca="1" si="119"/>
        <v>0</v>
      </c>
      <c r="O372" s="105">
        <f t="shared" ca="1" si="111"/>
        <v>0</v>
      </c>
      <c r="P372" s="105">
        <f t="shared" ca="1" si="112"/>
        <v>0</v>
      </c>
      <c r="Q372" s="105">
        <f t="shared" ca="1" si="113"/>
        <v>0</v>
      </c>
      <c r="R372" s="105">
        <f t="shared" ca="1" si="114"/>
        <v>0</v>
      </c>
      <c r="S372" s="105">
        <f t="shared" ca="1" si="115"/>
        <v>10</v>
      </c>
    </row>
    <row r="373" spans="1:19" x14ac:dyDescent="0.35">
      <c r="A373" s="105">
        <f t="shared" ca="1" si="101"/>
        <v>500.42500000000319</v>
      </c>
      <c r="B373" s="105">
        <f t="shared" ca="1" si="102"/>
        <v>0</v>
      </c>
      <c r="C373" s="105">
        <f t="shared" ca="1" si="103"/>
        <v>2</v>
      </c>
      <c r="D373" s="105">
        <f t="shared" ca="1" si="104"/>
        <v>0</v>
      </c>
      <c r="E373" s="105">
        <f t="shared" ca="1" si="105"/>
        <v>0</v>
      </c>
      <c r="F373" s="105">
        <f t="shared" ca="1" si="106"/>
        <v>0</v>
      </c>
      <c r="G373" s="105">
        <f t="shared" ca="1" si="116"/>
        <v>0</v>
      </c>
      <c r="H373" s="105">
        <f t="shared" ca="1" si="117"/>
        <v>0</v>
      </c>
      <c r="I373" s="105">
        <f t="shared" ca="1" si="107"/>
        <v>0</v>
      </c>
      <c r="J373" s="105">
        <f t="shared" ca="1" si="108"/>
        <v>0</v>
      </c>
      <c r="K373" s="105">
        <f t="shared" ca="1" si="109"/>
        <v>0</v>
      </c>
      <c r="L373" s="105">
        <f t="shared" ca="1" si="118"/>
        <v>0</v>
      </c>
      <c r="M373" s="105">
        <f t="shared" ca="1" si="110"/>
        <v>0</v>
      </c>
      <c r="N373" s="105">
        <f t="shared" ca="1" si="119"/>
        <v>0</v>
      </c>
      <c r="O373" s="105">
        <f t="shared" ca="1" si="111"/>
        <v>0</v>
      </c>
      <c r="P373" s="105">
        <f t="shared" ca="1" si="112"/>
        <v>0</v>
      </c>
      <c r="Q373" s="105">
        <f t="shared" ca="1" si="113"/>
        <v>0</v>
      </c>
      <c r="R373" s="105">
        <f t="shared" ca="1" si="114"/>
        <v>0</v>
      </c>
      <c r="S373" s="105">
        <f t="shared" ca="1" si="115"/>
        <v>10</v>
      </c>
    </row>
    <row r="374" spans="1:19" x14ac:dyDescent="0.35">
      <c r="A374" s="105">
        <f t="shared" ca="1" si="101"/>
        <v>501.77750000000322</v>
      </c>
      <c r="B374" s="105">
        <f t="shared" ca="1" si="102"/>
        <v>0</v>
      </c>
      <c r="C374" s="105">
        <f t="shared" ca="1" si="103"/>
        <v>2</v>
      </c>
      <c r="D374" s="105">
        <f t="shared" ca="1" si="104"/>
        <v>0</v>
      </c>
      <c r="E374" s="105">
        <f t="shared" ca="1" si="105"/>
        <v>0</v>
      </c>
      <c r="F374" s="105">
        <f t="shared" ca="1" si="106"/>
        <v>0</v>
      </c>
      <c r="G374" s="105">
        <f t="shared" ca="1" si="116"/>
        <v>0</v>
      </c>
      <c r="H374" s="105">
        <f t="shared" ca="1" si="117"/>
        <v>0</v>
      </c>
      <c r="I374" s="105">
        <f t="shared" ca="1" si="107"/>
        <v>0</v>
      </c>
      <c r="J374" s="105">
        <f t="shared" ca="1" si="108"/>
        <v>0</v>
      </c>
      <c r="K374" s="105">
        <f t="shared" ca="1" si="109"/>
        <v>0</v>
      </c>
      <c r="L374" s="105">
        <f t="shared" ca="1" si="118"/>
        <v>0</v>
      </c>
      <c r="M374" s="105">
        <f t="shared" ca="1" si="110"/>
        <v>0</v>
      </c>
      <c r="N374" s="105">
        <f t="shared" ca="1" si="119"/>
        <v>0</v>
      </c>
      <c r="O374" s="105">
        <f t="shared" ca="1" si="111"/>
        <v>0</v>
      </c>
      <c r="P374" s="105">
        <f t="shared" ca="1" si="112"/>
        <v>0</v>
      </c>
      <c r="Q374" s="105">
        <f t="shared" ca="1" si="113"/>
        <v>0</v>
      </c>
      <c r="R374" s="105">
        <f t="shared" ca="1" si="114"/>
        <v>0</v>
      </c>
      <c r="S374" s="105">
        <f t="shared" ca="1" si="115"/>
        <v>10</v>
      </c>
    </row>
    <row r="375" spans="1:19" x14ac:dyDescent="0.35">
      <c r="A375" s="105">
        <f t="shared" ca="1" si="101"/>
        <v>503.13000000000324</v>
      </c>
      <c r="B375" s="105">
        <f t="shared" ca="1" si="102"/>
        <v>0</v>
      </c>
      <c r="C375" s="105">
        <f t="shared" ca="1" si="103"/>
        <v>2</v>
      </c>
      <c r="D375" s="105">
        <f t="shared" ca="1" si="104"/>
        <v>0</v>
      </c>
      <c r="E375" s="105">
        <f t="shared" ca="1" si="105"/>
        <v>0</v>
      </c>
      <c r="F375" s="105">
        <f t="shared" ca="1" si="106"/>
        <v>0</v>
      </c>
      <c r="G375" s="105">
        <f t="shared" ca="1" si="116"/>
        <v>0</v>
      </c>
      <c r="H375" s="105">
        <f t="shared" ca="1" si="117"/>
        <v>0</v>
      </c>
      <c r="I375" s="105">
        <f t="shared" ca="1" si="107"/>
        <v>0</v>
      </c>
      <c r="J375" s="105">
        <f t="shared" ca="1" si="108"/>
        <v>0</v>
      </c>
      <c r="K375" s="105">
        <f t="shared" ca="1" si="109"/>
        <v>0</v>
      </c>
      <c r="L375" s="105">
        <f t="shared" ca="1" si="118"/>
        <v>0</v>
      </c>
      <c r="M375" s="105">
        <f t="shared" ca="1" si="110"/>
        <v>0</v>
      </c>
      <c r="N375" s="105">
        <f t="shared" ca="1" si="119"/>
        <v>0</v>
      </c>
      <c r="O375" s="105">
        <f t="shared" ca="1" si="111"/>
        <v>0</v>
      </c>
      <c r="P375" s="105">
        <f t="shared" ca="1" si="112"/>
        <v>0</v>
      </c>
      <c r="Q375" s="105">
        <f t="shared" ca="1" si="113"/>
        <v>0</v>
      </c>
      <c r="R375" s="105">
        <f t="shared" ca="1" si="114"/>
        <v>0</v>
      </c>
      <c r="S375" s="105">
        <f t="shared" ca="1" si="115"/>
        <v>10</v>
      </c>
    </row>
    <row r="376" spans="1:19" x14ac:dyDescent="0.35">
      <c r="A376" s="105">
        <f t="shared" ca="1" si="101"/>
        <v>504.48250000000326</v>
      </c>
      <c r="B376" s="105">
        <f t="shared" ca="1" si="102"/>
        <v>0</v>
      </c>
      <c r="C376" s="105">
        <f t="shared" ca="1" si="103"/>
        <v>2</v>
      </c>
      <c r="D376" s="105">
        <f t="shared" ca="1" si="104"/>
        <v>0</v>
      </c>
      <c r="E376" s="105">
        <f t="shared" ca="1" si="105"/>
        <v>0</v>
      </c>
      <c r="F376" s="105">
        <f t="shared" ca="1" si="106"/>
        <v>0</v>
      </c>
      <c r="G376" s="105">
        <f t="shared" ca="1" si="116"/>
        <v>0</v>
      </c>
      <c r="H376" s="105">
        <f t="shared" ca="1" si="117"/>
        <v>0</v>
      </c>
      <c r="I376" s="105">
        <f t="shared" ca="1" si="107"/>
        <v>0</v>
      </c>
      <c r="J376" s="105">
        <f t="shared" ca="1" si="108"/>
        <v>0</v>
      </c>
      <c r="K376" s="105">
        <f t="shared" ca="1" si="109"/>
        <v>0</v>
      </c>
      <c r="L376" s="105">
        <f t="shared" ca="1" si="118"/>
        <v>0</v>
      </c>
      <c r="M376" s="105">
        <f t="shared" ca="1" si="110"/>
        <v>0</v>
      </c>
      <c r="N376" s="105">
        <f t="shared" ca="1" si="119"/>
        <v>0</v>
      </c>
      <c r="O376" s="105">
        <f t="shared" ca="1" si="111"/>
        <v>0</v>
      </c>
      <c r="P376" s="105">
        <f t="shared" ca="1" si="112"/>
        <v>0</v>
      </c>
      <c r="Q376" s="105">
        <f t="shared" ca="1" si="113"/>
        <v>0</v>
      </c>
      <c r="R376" s="105">
        <f t="shared" ca="1" si="114"/>
        <v>0</v>
      </c>
      <c r="S376" s="105">
        <f t="shared" ca="1" si="115"/>
        <v>10</v>
      </c>
    </row>
    <row r="377" spans="1:19" x14ac:dyDescent="0.35">
      <c r="A377" s="105">
        <f t="shared" ca="1" si="101"/>
        <v>505.83500000000328</v>
      </c>
      <c r="B377" s="105">
        <f t="shared" ca="1" si="102"/>
        <v>0</v>
      </c>
      <c r="C377" s="105">
        <f t="shared" ca="1" si="103"/>
        <v>2</v>
      </c>
      <c r="D377" s="105">
        <f t="shared" ca="1" si="104"/>
        <v>0</v>
      </c>
      <c r="E377" s="105">
        <f t="shared" ca="1" si="105"/>
        <v>0</v>
      </c>
      <c r="F377" s="105">
        <f t="shared" ca="1" si="106"/>
        <v>0</v>
      </c>
      <c r="G377" s="105">
        <f t="shared" ca="1" si="116"/>
        <v>0</v>
      </c>
      <c r="H377" s="105">
        <f t="shared" ca="1" si="117"/>
        <v>0</v>
      </c>
      <c r="I377" s="105">
        <f t="shared" ca="1" si="107"/>
        <v>0</v>
      </c>
      <c r="J377" s="105">
        <f t="shared" ca="1" si="108"/>
        <v>0</v>
      </c>
      <c r="K377" s="105">
        <f t="shared" ca="1" si="109"/>
        <v>0</v>
      </c>
      <c r="L377" s="105">
        <f t="shared" ca="1" si="118"/>
        <v>0</v>
      </c>
      <c r="M377" s="105">
        <f t="shared" ca="1" si="110"/>
        <v>0</v>
      </c>
      <c r="N377" s="105">
        <f t="shared" ca="1" si="119"/>
        <v>0</v>
      </c>
      <c r="O377" s="105">
        <f t="shared" ca="1" si="111"/>
        <v>0</v>
      </c>
      <c r="P377" s="105">
        <f t="shared" ca="1" si="112"/>
        <v>0</v>
      </c>
      <c r="Q377" s="105">
        <f t="shared" ca="1" si="113"/>
        <v>0</v>
      </c>
      <c r="R377" s="105">
        <f t="shared" ca="1" si="114"/>
        <v>0</v>
      </c>
      <c r="S377" s="105">
        <f t="shared" ca="1" si="115"/>
        <v>10</v>
      </c>
    </row>
    <row r="378" spans="1:19" x14ac:dyDescent="0.35">
      <c r="A378" s="105">
        <f t="shared" ca="1" si="101"/>
        <v>507.1875000000033</v>
      </c>
      <c r="B378" s="105">
        <f t="shared" ca="1" si="102"/>
        <v>0</v>
      </c>
      <c r="C378" s="105">
        <f t="shared" ca="1" si="103"/>
        <v>2</v>
      </c>
      <c r="D378" s="105">
        <f t="shared" ca="1" si="104"/>
        <v>0</v>
      </c>
      <c r="E378" s="105">
        <f t="shared" ca="1" si="105"/>
        <v>0</v>
      </c>
      <c r="F378" s="105">
        <f t="shared" ca="1" si="106"/>
        <v>0</v>
      </c>
      <c r="G378" s="105">
        <f t="shared" ca="1" si="116"/>
        <v>0</v>
      </c>
      <c r="H378" s="105">
        <f t="shared" ca="1" si="117"/>
        <v>0</v>
      </c>
      <c r="I378" s="105">
        <f t="shared" ca="1" si="107"/>
        <v>0</v>
      </c>
      <c r="J378" s="105">
        <f t="shared" ca="1" si="108"/>
        <v>0</v>
      </c>
      <c r="K378" s="105">
        <f t="shared" ca="1" si="109"/>
        <v>0</v>
      </c>
      <c r="L378" s="105">
        <f t="shared" ca="1" si="118"/>
        <v>0</v>
      </c>
      <c r="M378" s="105">
        <f t="shared" ca="1" si="110"/>
        <v>0</v>
      </c>
      <c r="N378" s="105">
        <f t="shared" ca="1" si="119"/>
        <v>0</v>
      </c>
      <c r="O378" s="105">
        <f t="shared" ca="1" si="111"/>
        <v>0</v>
      </c>
      <c r="P378" s="105">
        <f t="shared" ca="1" si="112"/>
        <v>0</v>
      </c>
      <c r="Q378" s="105">
        <f t="shared" ca="1" si="113"/>
        <v>0</v>
      </c>
      <c r="R378" s="105">
        <f t="shared" ca="1" si="114"/>
        <v>0</v>
      </c>
      <c r="S378" s="105">
        <f t="shared" ca="1" si="115"/>
        <v>10</v>
      </c>
    </row>
    <row r="379" spans="1:19" x14ac:dyDescent="0.35">
      <c r="A379" s="105">
        <f t="shared" ca="1" si="101"/>
        <v>508.54000000000332</v>
      </c>
      <c r="B379" s="105">
        <f t="shared" ca="1" si="102"/>
        <v>0</v>
      </c>
      <c r="C379" s="105">
        <f t="shared" ca="1" si="103"/>
        <v>2</v>
      </c>
      <c r="D379" s="105">
        <f t="shared" ca="1" si="104"/>
        <v>0</v>
      </c>
      <c r="E379" s="105">
        <f t="shared" ca="1" si="105"/>
        <v>0</v>
      </c>
      <c r="F379" s="105">
        <f t="shared" ca="1" si="106"/>
        <v>0</v>
      </c>
      <c r="G379" s="105">
        <f t="shared" ca="1" si="116"/>
        <v>0</v>
      </c>
      <c r="H379" s="105">
        <f t="shared" ca="1" si="117"/>
        <v>0</v>
      </c>
      <c r="I379" s="105">
        <f t="shared" ca="1" si="107"/>
        <v>0</v>
      </c>
      <c r="J379" s="105">
        <f t="shared" ca="1" si="108"/>
        <v>0</v>
      </c>
      <c r="K379" s="105">
        <f t="shared" ca="1" si="109"/>
        <v>0</v>
      </c>
      <c r="L379" s="105">
        <f t="shared" ca="1" si="118"/>
        <v>0</v>
      </c>
      <c r="M379" s="105">
        <f t="shared" ca="1" si="110"/>
        <v>0</v>
      </c>
      <c r="N379" s="105">
        <f t="shared" ca="1" si="119"/>
        <v>0</v>
      </c>
      <c r="O379" s="105">
        <f t="shared" ca="1" si="111"/>
        <v>0</v>
      </c>
      <c r="P379" s="105">
        <f t="shared" ca="1" si="112"/>
        <v>0</v>
      </c>
      <c r="Q379" s="105">
        <f t="shared" ca="1" si="113"/>
        <v>0</v>
      </c>
      <c r="R379" s="105">
        <f t="shared" ca="1" si="114"/>
        <v>0</v>
      </c>
      <c r="S379" s="105">
        <f t="shared" ca="1" si="115"/>
        <v>10</v>
      </c>
    </row>
    <row r="380" spans="1:19" x14ac:dyDescent="0.35">
      <c r="A380" s="105">
        <f t="shared" ca="1" si="101"/>
        <v>509.89250000000334</v>
      </c>
      <c r="B380" s="105">
        <f t="shared" ca="1" si="102"/>
        <v>0</v>
      </c>
      <c r="C380" s="105">
        <f t="shared" ca="1" si="103"/>
        <v>2</v>
      </c>
      <c r="D380" s="105">
        <f t="shared" ca="1" si="104"/>
        <v>0</v>
      </c>
      <c r="E380" s="105">
        <f t="shared" ca="1" si="105"/>
        <v>0</v>
      </c>
      <c r="F380" s="105">
        <f t="shared" ca="1" si="106"/>
        <v>0</v>
      </c>
      <c r="G380" s="105">
        <f t="shared" ca="1" si="116"/>
        <v>0</v>
      </c>
      <c r="H380" s="105">
        <f t="shared" ca="1" si="117"/>
        <v>0</v>
      </c>
      <c r="I380" s="105">
        <f t="shared" ca="1" si="107"/>
        <v>0</v>
      </c>
      <c r="J380" s="105">
        <f t="shared" ca="1" si="108"/>
        <v>0</v>
      </c>
      <c r="K380" s="105">
        <f t="shared" ca="1" si="109"/>
        <v>0</v>
      </c>
      <c r="L380" s="105">
        <f t="shared" ca="1" si="118"/>
        <v>0</v>
      </c>
      <c r="M380" s="105">
        <f t="shared" ca="1" si="110"/>
        <v>0</v>
      </c>
      <c r="N380" s="105">
        <f t="shared" ca="1" si="119"/>
        <v>0</v>
      </c>
      <c r="O380" s="105">
        <f t="shared" ca="1" si="111"/>
        <v>0</v>
      </c>
      <c r="P380" s="105">
        <f t="shared" ca="1" si="112"/>
        <v>0</v>
      </c>
      <c r="Q380" s="105">
        <f t="shared" ca="1" si="113"/>
        <v>0</v>
      </c>
      <c r="R380" s="105">
        <f t="shared" ca="1" si="114"/>
        <v>0</v>
      </c>
      <c r="S380" s="105">
        <f t="shared" ca="1" si="115"/>
        <v>10</v>
      </c>
    </row>
    <row r="381" spans="1:19" x14ac:dyDescent="0.35">
      <c r="A381" s="105">
        <f t="shared" ca="1" si="101"/>
        <v>511.24500000000336</v>
      </c>
      <c r="B381" s="105">
        <f t="shared" ca="1" si="102"/>
        <v>0</v>
      </c>
      <c r="C381" s="105">
        <f t="shared" ca="1" si="103"/>
        <v>2</v>
      </c>
      <c r="D381" s="105">
        <f t="shared" ca="1" si="104"/>
        <v>0</v>
      </c>
      <c r="E381" s="105">
        <f t="shared" ca="1" si="105"/>
        <v>0</v>
      </c>
      <c r="F381" s="105">
        <f t="shared" ca="1" si="106"/>
        <v>0</v>
      </c>
      <c r="G381" s="105">
        <f t="shared" ca="1" si="116"/>
        <v>0</v>
      </c>
      <c r="H381" s="105">
        <f t="shared" ca="1" si="117"/>
        <v>0</v>
      </c>
      <c r="I381" s="105">
        <f t="shared" ca="1" si="107"/>
        <v>0</v>
      </c>
      <c r="J381" s="105">
        <f t="shared" ca="1" si="108"/>
        <v>0</v>
      </c>
      <c r="K381" s="105">
        <f t="shared" ca="1" si="109"/>
        <v>0</v>
      </c>
      <c r="L381" s="105">
        <f t="shared" ca="1" si="118"/>
        <v>0</v>
      </c>
      <c r="M381" s="105">
        <f t="shared" ca="1" si="110"/>
        <v>0</v>
      </c>
      <c r="N381" s="105">
        <f t="shared" ca="1" si="119"/>
        <v>0</v>
      </c>
      <c r="O381" s="105">
        <f t="shared" ca="1" si="111"/>
        <v>0</v>
      </c>
      <c r="P381" s="105">
        <f t="shared" ca="1" si="112"/>
        <v>0</v>
      </c>
      <c r="Q381" s="105">
        <f t="shared" ca="1" si="113"/>
        <v>0</v>
      </c>
      <c r="R381" s="105">
        <f t="shared" ca="1" si="114"/>
        <v>0</v>
      </c>
      <c r="S381" s="105">
        <f t="shared" ca="1" si="115"/>
        <v>10</v>
      </c>
    </row>
    <row r="382" spans="1:19" x14ac:dyDescent="0.35">
      <c r="A382" s="105">
        <f t="shared" ca="1" si="101"/>
        <v>512.59750000000338</v>
      </c>
      <c r="B382" s="105">
        <f t="shared" ca="1" si="102"/>
        <v>0</v>
      </c>
      <c r="C382" s="105">
        <f t="shared" ca="1" si="103"/>
        <v>2</v>
      </c>
      <c r="D382" s="105">
        <f t="shared" ca="1" si="104"/>
        <v>0</v>
      </c>
      <c r="E382" s="105">
        <f t="shared" ca="1" si="105"/>
        <v>0</v>
      </c>
      <c r="F382" s="105">
        <f t="shared" ca="1" si="106"/>
        <v>0</v>
      </c>
      <c r="G382" s="105">
        <f t="shared" ca="1" si="116"/>
        <v>0</v>
      </c>
      <c r="H382" s="105">
        <f t="shared" ca="1" si="117"/>
        <v>0</v>
      </c>
      <c r="I382" s="105">
        <f t="shared" ca="1" si="107"/>
        <v>0</v>
      </c>
      <c r="J382" s="105">
        <f t="shared" ca="1" si="108"/>
        <v>0</v>
      </c>
      <c r="K382" s="105">
        <f t="shared" ca="1" si="109"/>
        <v>0</v>
      </c>
      <c r="L382" s="105">
        <f t="shared" ca="1" si="118"/>
        <v>0</v>
      </c>
      <c r="M382" s="105">
        <f t="shared" ca="1" si="110"/>
        <v>0</v>
      </c>
      <c r="N382" s="105">
        <f t="shared" ca="1" si="119"/>
        <v>0</v>
      </c>
      <c r="O382" s="105">
        <f t="shared" ca="1" si="111"/>
        <v>0</v>
      </c>
      <c r="P382" s="105">
        <f t="shared" ca="1" si="112"/>
        <v>0</v>
      </c>
      <c r="Q382" s="105">
        <f t="shared" ca="1" si="113"/>
        <v>0</v>
      </c>
      <c r="R382" s="105">
        <f t="shared" ca="1" si="114"/>
        <v>0</v>
      </c>
      <c r="S382" s="105">
        <f t="shared" ca="1" si="115"/>
        <v>10</v>
      </c>
    </row>
    <row r="383" spans="1:19" x14ac:dyDescent="0.35">
      <c r="A383" s="105">
        <f t="shared" ca="1" si="101"/>
        <v>513.95000000000334</v>
      </c>
      <c r="B383" s="105">
        <f t="shared" ca="1" si="102"/>
        <v>0</v>
      </c>
      <c r="C383" s="105">
        <f t="shared" ca="1" si="103"/>
        <v>2</v>
      </c>
      <c r="D383" s="105">
        <f t="shared" ca="1" si="104"/>
        <v>0</v>
      </c>
      <c r="E383" s="105">
        <f t="shared" ca="1" si="105"/>
        <v>0</v>
      </c>
      <c r="F383" s="105">
        <f t="shared" ca="1" si="106"/>
        <v>0</v>
      </c>
      <c r="G383" s="105">
        <f t="shared" ca="1" si="116"/>
        <v>0</v>
      </c>
      <c r="H383" s="105">
        <f t="shared" ca="1" si="117"/>
        <v>0</v>
      </c>
      <c r="I383" s="105">
        <f t="shared" ca="1" si="107"/>
        <v>0</v>
      </c>
      <c r="J383" s="105">
        <f t="shared" ca="1" si="108"/>
        <v>0</v>
      </c>
      <c r="K383" s="105">
        <f t="shared" ca="1" si="109"/>
        <v>0</v>
      </c>
      <c r="L383" s="105">
        <f t="shared" ca="1" si="118"/>
        <v>0</v>
      </c>
      <c r="M383" s="105">
        <f t="shared" ca="1" si="110"/>
        <v>0</v>
      </c>
      <c r="N383" s="105">
        <f t="shared" ca="1" si="119"/>
        <v>0</v>
      </c>
      <c r="O383" s="105">
        <f t="shared" ca="1" si="111"/>
        <v>0</v>
      </c>
      <c r="P383" s="105">
        <f t="shared" ca="1" si="112"/>
        <v>0</v>
      </c>
      <c r="Q383" s="105">
        <f t="shared" ca="1" si="113"/>
        <v>0</v>
      </c>
      <c r="R383" s="105">
        <f t="shared" ca="1" si="114"/>
        <v>0</v>
      </c>
      <c r="S383" s="105">
        <f t="shared" ca="1" si="115"/>
        <v>10</v>
      </c>
    </row>
    <row r="384" spans="1:19" x14ac:dyDescent="0.35">
      <c r="A384" s="105">
        <f t="shared" ca="1" si="101"/>
        <v>515.30250000000331</v>
      </c>
      <c r="B384" s="105">
        <f t="shared" ca="1" si="102"/>
        <v>0</v>
      </c>
      <c r="C384" s="105">
        <f t="shared" ca="1" si="103"/>
        <v>2</v>
      </c>
      <c r="D384" s="105">
        <f t="shared" ca="1" si="104"/>
        <v>0</v>
      </c>
      <c r="E384" s="105">
        <f t="shared" ca="1" si="105"/>
        <v>0</v>
      </c>
      <c r="F384" s="105">
        <f t="shared" ca="1" si="106"/>
        <v>0</v>
      </c>
      <c r="G384" s="105">
        <f t="shared" ca="1" si="116"/>
        <v>0</v>
      </c>
      <c r="H384" s="105">
        <f t="shared" ca="1" si="117"/>
        <v>0</v>
      </c>
      <c r="I384" s="105">
        <f t="shared" ca="1" si="107"/>
        <v>0</v>
      </c>
      <c r="J384" s="105">
        <f t="shared" ca="1" si="108"/>
        <v>0</v>
      </c>
      <c r="K384" s="105">
        <f t="shared" ca="1" si="109"/>
        <v>0</v>
      </c>
      <c r="L384" s="105">
        <f t="shared" ca="1" si="118"/>
        <v>0</v>
      </c>
      <c r="M384" s="105">
        <f t="shared" ca="1" si="110"/>
        <v>0</v>
      </c>
      <c r="N384" s="105">
        <f t="shared" ca="1" si="119"/>
        <v>0</v>
      </c>
      <c r="O384" s="105">
        <f t="shared" ca="1" si="111"/>
        <v>0</v>
      </c>
      <c r="P384" s="105">
        <f t="shared" ca="1" si="112"/>
        <v>0</v>
      </c>
      <c r="Q384" s="105">
        <f t="shared" ca="1" si="113"/>
        <v>0</v>
      </c>
      <c r="R384" s="105">
        <f t="shared" ca="1" si="114"/>
        <v>0</v>
      </c>
      <c r="S384" s="105">
        <f t="shared" ca="1" si="115"/>
        <v>10</v>
      </c>
    </row>
    <row r="385" spans="1:19" x14ac:dyDescent="0.35">
      <c r="A385" s="105">
        <f t="shared" ca="1" si="101"/>
        <v>516.65500000000327</v>
      </c>
      <c r="B385" s="105">
        <f t="shared" ca="1" si="102"/>
        <v>0</v>
      </c>
      <c r="C385" s="105">
        <f t="shared" ca="1" si="103"/>
        <v>2</v>
      </c>
      <c r="D385" s="105">
        <f t="shared" ca="1" si="104"/>
        <v>0</v>
      </c>
      <c r="E385" s="105">
        <f t="shared" ca="1" si="105"/>
        <v>0</v>
      </c>
      <c r="F385" s="105">
        <f t="shared" ca="1" si="106"/>
        <v>0</v>
      </c>
      <c r="G385" s="105">
        <f t="shared" ca="1" si="116"/>
        <v>0</v>
      </c>
      <c r="H385" s="105">
        <f t="shared" ca="1" si="117"/>
        <v>0</v>
      </c>
      <c r="I385" s="105">
        <f t="shared" ca="1" si="107"/>
        <v>0</v>
      </c>
      <c r="J385" s="105">
        <f t="shared" ca="1" si="108"/>
        <v>0</v>
      </c>
      <c r="K385" s="105">
        <f t="shared" ca="1" si="109"/>
        <v>0</v>
      </c>
      <c r="L385" s="105">
        <f t="shared" ca="1" si="118"/>
        <v>0</v>
      </c>
      <c r="M385" s="105">
        <f t="shared" ca="1" si="110"/>
        <v>0</v>
      </c>
      <c r="N385" s="105">
        <f t="shared" ca="1" si="119"/>
        <v>0</v>
      </c>
      <c r="O385" s="105">
        <f t="shared" ca="1" si="111"/>
        <v>0</v>
      </c>
      <c r="P385" s="105">
        <f t="shared" ca="1" si="112"/>
        <v>0</v>
      </c>
      <c r="Q385" s="105">
        <f t="shared" ca="1" si="113"/>
        <v>0</v>
      </c>
      <c r="R385" s="105">
        <f t="shared" ca="1" si="114"/>
        <v>0</v>
      </c>
      <c r="S385" s="105">
        <f t="shared" ca="1" si="115"/>
        <v>10</v>
      </c>
    </row>
    <row r="386" spans="1:19" x14ac:dyDescent="0.35">
      <c r="A386" s="105">
        <f t="shared" ca="1" si="101"/>
        <v>518.00750000000323</v>
      </c>
      <c r="B386" s="105">
        <f t="shared" ca="1" si="102"/>
        <v>0</v>
      </c>
      <c r="C386" s="105">
        <f t="shared" ca="1" si="103"/>
        <v>2</v>
      </c>
      <c r="D386" s="105">
        <f t="shared" ca="1" si="104"/>
        <v>0</v>
      </c>
      <c r="E386" s="105">
        <f t="shared" ca="1" si="105"/>
        <v>0</v>
      </c>
      <c r="F386" s="105">
        <f t="shared" ca="1" si="106"/>
        <v>0</v>
      </c>
      <c r="G386" s="105">
        <f t="shared" ca="1" si="116"/>
        <v>0</v>
      </c>
      <c r="H386" s="105">
        <f t="shared" ca="1" si="117"/>
        <v>0</v>
      </c>
      <c r="I386" s="105">
        <f t="shared" ca="1" si="107"/>
        <v>0</v>
      </c>
      <c r="J386" s="105">
        <f t="shared" ca="1" si="108"/>
        <v>0</v>
      </c>
      <c r="K386" s="105">
        <f t="shared" ca="1" si="109"/>
        <v>0</v>
      </c>
      <c r="L386" s="105">
        <f t="shared" ca="1" si="118"/>
        <v>0</v>
      </c>
      <c r="M386" s="105">
        <f t="shared" ca="1" si="110"/>
        <v>0</v>
      </c>
      <c r="N386" s="105">
        <f t="shared" ca="1" si="119"/>
        <v>0</v>
      </c>
      <c r="O386" s="105">
        <f t="shared" ca="1" si="111"/>
        <v>0</v>
      </c>
      <c r="P386" s="105">
        <f t="shared" ca="1" si="112"/>
        <v>0</v>
      </c>
      <c r="Q386" s="105">
        <f t="shared" ca="1" si="113"/>
        <v>0</v>
      </c>
      <c r="R386" s="105">
        <f t="shared" ca="1" si="114"/>
        <v>0</v>
      </c>
      <c r="S386" s="105">
        <f t="shared" ca="1" si="115"/>
        <v>10</v>
      </c>
    </row>
    <row r="387" spans="1:19" x14ac:dyDescent="0.35">
      <c r="A387" s="105">
        <f t="shared" ca="1" si="101"/>
        <v>519.3600000000032</v>
      </c>
      <c r="B387" s="105">
        <f t="shared" ca="1" si="102"/>
        <v>0</v>
      </c>
      <c r="C387" s="105">
        <f t="shared" ca="1" si="103"/>
        <v>2</v>
      </c>
      <c r="D387" s="105">
        <f t="shared" ca="1" si="104"/>
        <v>0</v>
      </c>
      <c r="E387" s="105">
        <f t="shared" ca="1" si="105"/>
        <v>0</v>
      </c>
      <c r="F387" s="105">
        <f t="shared" ca="1" si="106"/>
        <v>0</v>
      </c>
      <c r="G387" s="105">
        <f t="shared" ca="1" si="116"/>
        <v>0</v>
      </c>
      <c r="H387" s="105">
        <f t="shared" ca="1" si="117"/>
        <v>0</v>
      </c>
      <c r="I387" s="105">
        <f t="shared" ca="1" si="107"/>
        <v>0</v>
      </c>
      <c r="J387" s="105">
        <f t="shared" ca="1" si="108"/>
        <v>0</v>
      </c>
      <c r="K387" s="105">
        <f t="shared" ca="1" si="109"/>
        <v>0</v>
      </c>
      <c r="L387" s="105">
        <f t="shared" ca="1" si="118"/>
        <v>0</v>
      </c>
      <c r="M387" s="105">
        <f t="shared" ca="1" si="110"/>
        <v>0</v>
      </c>
      <c r="N387" s="105">
        <f t="shared" ca="1" si="119"/>
        <v>0</v>
      </c>
      <c r="O387" s="105">
        <f t="shared" ca="1" si="111"/>
        <v>0</v>
      </c>
      <c r="P387" s="105">
        <f t="shared" ca="1" si="112"/>
        <v>0</v>
      </c>
      <c r="Q387" s="105">
        <f t="shared" ca="1" si="113"/>
        <v>0</v>
      </c>
      <c r="R387" s="105">
        <f t="shared" ca="1" si="114"/>
        <v>0</v>
      </c>
      <c r="S387" s="105">
        <f t="shared" ca="1" si="115"/>
        <v>10</v>
      </c>
    </row>
    <row r="388" spans="1:19" x14ac:dyDescent="0.35">
      <c r="A388" s="105">
        <f t="shared" ref="A388:A451" ca="1" si="120">$V$4+A387</f>
        <v>520.71250000000316</v>
      </c>
      <c r="B388" s="105">
        <f t="shared" ref="B388:B451" ca="1" si="121">IF(AND(A387&gt;$X$1,P387=0,R387=0),0,IF(AND(G387=0,H387=0),"突","")&amp;IF($V$8=0,IF(AND(OR($V$13=0,AND(K387=0,C387&lt;1),AND(K387&gt;0,OR(M387&gt;0,$V$7=0))),$V$6=1,E387=0),"渊","")&amp;IF(AND(OR($V$13=0,AND(K387=0,C387&lt;1),AND(K387&gt;0,OR(M387&gt;0,$V$7=0))),F387=0),"雷","")&amp;IF(AND(C387&gt;0,$V$13=1,E387=0,F387=0,K387=0),"任",IF(AND(G387=1,$V$7=1,I387=0),"乘","循环")),IF(AND($V$6=1,E387=0),"渊","")&amp;IF(AND(OR($V$13=0,AND(K387=0,C387&lt;1),AND(K387&gt;0,OR(M387&gt;0,$V$7=0))),F387=0),"雷","")&amp;IF(AND(C387&gt;0,L387=0,E387=0),"任",IF(AND(G387=1,$V$7=1,I387=0),"乘","循环"))))</f>
        <v>0</v>
      </c>
      <c r="C388" s="105">
        <f t="shared" ref="C388:C451" ca="1" si="122">IF(COUNTIF(B388,"*任*"),C387-1,IF(AND(D387&lt;&gt;0,D387&lt;$V$4),MIN(2,C387+1),C387))</f>
        <v>2</v>
      </c>
      <c r="D388" s="105">
        <f t="shared" ref="D388:D451" ca="1" si="123">IF(AND(D387&lt;$V$4,C387&lt;2),D387+$Y$6-$V$4,IF(AND(C387=2,COUNTIF(B388,"*任*")&gt;0),$Y$6-$V$4,MAX(0,D387-$V$4)))</f>
        <v>0</v>
      </c>
      <c r="E388" s="105">
        <f t="shared" ref="E388:E451" ca="1" si="124">IF(COUNTIF(B388,"*渊*")&gt;0,$Y$8-$V$4,MAX(0,E387-$V$4))</f>
        <v>0</v>
      </c>
      <c r="F388" s="105">
        <f t="shared" ref="F388:F451" ca="1" si="125">IF(COUNTIF(B388,"*雷*")&gt;0,$Y$9-$V$4,MAX(0,F387-$V$4))</f>
        <v>0</v>
      </c>
      <c r="G388" s="105">
        <f t="shared" ca="1" si="116"/>
        <v>0</v>
      </c>
      <c r="H388" s="105">
        <f t="shared" ca="1" si="117"/>
        <v>0</v>
      </c>
      <c r="I388" s="105">
        <f t="shared" ref="I388:I451" ca="1" si="126">IF(COUNTIF(B388,"*乘*")&gt;0,$Y$7-$V$4,MAX(0,I387-$V$4))</f>
        <v>0</v>
      </c>
      <c r="J388" s="105">
        <f t="shared" ref="J388:J451" ca="1" si="127">IF(H387&lt;1,$V$16,MAX(0,J387-1))*$V$11</f>
        <v>0</v>
      </c>
      <c r="K388" s="105">
        <f t="shared" ref="K388:K451" ca="1" si="128">IF(COUNTIF(B388,"*任*")&gt;0,$Z$6-$V$4+0.6875,MAX(0,K387-$V$4))</f>
        <v>0</v>
      </c>
      <c r="L388" s="105">
        <f t="shared" ca="1" si="118"/>
        <v>0</v>
      </c>
      <c r="M388" s="105">
        <f t="shared" ref="M388:M451" ca="1" si="129">IF(COUNTIF(B388,"*乘*")&gt;0,$Z$7-$V$4,MAX(0,M387-$V$4))</f>
        <v>0</v>
      </c>
      <c r="N388" s="105">
        <f t="shared" ca="1" si="119"/>
        <v>0</v>
      </c>
      <c r="O388" s="105">
        <f t="shared" ref="O388:O451" ca="1" si="130">IF(COUNTIF(B388,"*雷*")&gt;0,$Z$9-$V$4,MAX(0,O387-$V$4))</f>
        <v>0</v>
      </c>
      <c r="P388" s="105">
        <f t="shared" ref="P388:P451" ca="1" si="131">IF(O388+O387&gt;0,1,0)</f>
        <v>0</v>
      </c>
      <c r="Q388" s="105">
        <f t="shared" ref="Q388:Q451" ca="1" si="132">IF(COUNTIF(B388,"*渊*")&gt;0,$Z$8-$V$4,MAX(0,Q387-$V$4))</f>
        <v>0</v>
      </c>
      <c r="R388" s="105">
        <f t="shared" ref="R388:R451" ca="1" si="133">IF(Q388+Q387&gt;0,1,0)</f>
        <v>0</v>
      </c>
      <c r="S388" s="105">
        <f t="shared" ref="S388:S451" ca="1" si="134">IF(COUNTIF(B388,"*雷*")&gt;0,S387+1,S387)</f>
        <v>10</v>
      </c>
    </row>
    <row r="389" spans="1:19" x14ac:dyDescent="0.35">
      <c r="A389" s="105">
        <f t="shared" ca="1" si="120"/>
        <v>522.06500000000312</v>
      </c>
      <c r="B389" s="105">
        <f t="shared" ca="1" si="121"/>
        <v>0</v>
      </c>
      <c r="C389" s="105">
        <f t="shared" ca="1" si="122"/>
        <v>2</v>
      </c>
      <c r="D389" s="105">
        <f t="shared" ca="1" si="123"/>
        <v>0</v>
      </c>
      <c r="E389" s="105">
        <f t="shared" ca="1" si="124"/>
        <v>0</v>
      </c>
      <c r="F389" s="105">
        <f t="shared" ca="1" si="125"/>
        <v>0</v>
      </c>
      <c r="G389" s="105">
        <f t="shared" ref="G389:G452" ca="1" si="135">IF(RIGHT(B389,1)="任",1,IF(OR($V$9=0,AND(K388&lt;$V$4,H388=0)),0,G388))</f>
        <v>0</v>
      </c>
      <c r="H389" s="105">
        <f t="shared" ref="H389:H452" ca="1" si="136">IF(COUNTIF(B389,"*突*")&gt;0,$Y$5-$V$4,MAX(0,H388-$V$4))</f>
        <v>0</v>
      </c>
      <c r="I389" s="105">
        <f t="shared" ca="1" si="126"/>
        <v>0</v>
      </c>
      <c r="J389" s="105">
        <f t="shared" ca="1" si="127"/>
        <v>0</v>
      </c>
      <c r="K389" s="105">
        <f t="shared" ca="1" si="128"/>
        <v>0</v>
      </c>
      <c r="L389" s="105">
        <f t="shared" ca="1" si="118"/>
        <v>0</v>
      </c>
      <c r="M389" s="105">
        <f t="shared" ca="1" si="129"/>
        <v>0</v>
      </c>
      <c r="N389" s="105">
        <f t="shared" ca="1" si="119"/>
        <v>0</v>
      </c>
      <c r="O389" s="105">
        <f t="shared" ca="1" si="130"/>
        <v>0</v>
      </c>
      <c r="P389" s="105">
        <f t="shared" ca="1" si="131"/>
        <v>0</v>
      </c>
      <c r="Q389" s="105">
        <f t="shared" ca="1" si="132"/>
        <v>0</v>
      </c>
      <c r="R389" s="105">
        <f t="shared" ca="1" si="133"/>
        <v>0</v>
      </c>
      <c r="S389" s="105">
        <f t="shared" ca="1" si="134"/>
        <v>10</v>
      </c>
    </row>
    <row r="390" spans="1:19" x14ac:dyDescent="0.35">
      <c r="A390" s="105">
        <f t="shared" ca="1" si="120"/>
        <v>523.41750000000309</v>
      </c>
      <c r="B390" s="105">
        <f t="shared" ca="1" si="121"/>
        <v>0</v>
      </c>
      <c r="C390" s="105">
        <f t="shared" ca="1" si="122"/>
        <v>2</v>
      </c>
      <c r="D390" s="105">
        <f t="shared" ca="1" si="123"/>
        <v>0</v>
      </c>
      <c r="E390" s="105">
        <f t="shared" ca="1" si="124"/>
        <v>0</v>
      </c>
      <c r="F390" s="105">
        <f t="shared" ca="1" si="125"/>
        <v>0</v>
      </c>
      <c r="G390" s="105">
        <f t="shared" ca="1" si="135"/>
        <v>0</v>
      </c>
      <c r="H390" s="105">
        <f t="shared" ca="1" si="136"/>
        <v>0</v>
      </c>
      <c r="I390" s="105">
        <f t="shared" ca="1" si="126"/>
        <v>0</v>
      </c>
      <c r="J390" s="105">
        <f t="shared" ca="1" si="127"/>
        <v>0</v>
      </c>
      <c r="K390" s="105">
        <f t="shared" ca="1" si="128"/>
        <v>0</v>
      </c>
      <c r="L390" s="105">
        <f t="shared" ca="1" si="118"/>
        <v>0</v>
      </c>
      <c r="M390" s="105">
        <f t="shared" ca="1" si="129"/>
        <v>0</v>
      </c>
      <c r="N390" s="105">
        <f t="shared" ca="1" si="119"/>
        <v>0</v>
      </c>
      <c r="O390" s="105">
        <f t="shared" ca="1" si="130"/>
        <v>0</v>
      </c>
      <c r="P390" s="105">
        <f t="shared" ca="1" si="131"/>
        <v>0</v>
      </c>
      <c r="Q390" s="105">
        <f t="shared" ca="1" si="132"/>
        <v>0</v>
      </c>
      <c r="R390" s="105">
        <f t="shared" ca="1" si="133"/>
        <v>0</v>
      </c>
      <c r="S390" s="105">
        <f t="shared" ca="1" si="134"/>
        <v>10</v>
      </c>
    </row>
    <row r="391" spans="1:19" x14ac:dyDescent="0.35">
      <c r="A391" s="105">
        <f t="shared" ca="1" si="120"/>
        <v>524.77000000000305</v>
      </c>
      <c r="B391" s="105">
        <f t="shared" ca="1" si="121"/>
        <v>0</v>
      </c>
      <c r="C391" s="105">
        <f t="shared" ca="1" si="122"/>
        <v>2</v>
      </c>
      <c r="D391" s="105">
        <f t="shared" ca="1" si="123"/>
        <v>0</v>
      </c>
      <c r="E391" s="105">
        <f t="shared" ca="1" si="124"/>
        <v>0</v>
      </c>
      <c r="F391" s="105">
        <f t="shared" ca="1" si="125"/>
        <v>0</v>
      </c>
      <c r="G391" s="105">
        <f t="shared" ca="1" si="135"/>
        <v>0</v>
      </c>
      <c r="H391" s="105">
        <f t="shared" ca="1" si="136"/>
        <v>0</v>
      </c>
      <c r="I391" s="105">
        <f t="shared" ca="1" si="126"/>
        <v>0</v>
      </c>
      <c r="J391" s="105">
        <f t="shared" ca="1" si="127"/>
        <v>0</v>
      </c>
      <c r="K391" s="105">
        <f t="shared" ca="1" si="128"/>
        <v>0</v>
      </c>
      <c r="L391" s="105">
        <f t="shared" ca="1" si="118"/>
        <v>0</v>
      </c>
      <c r="M391" s="105">
        <f t="shared" ca="1" si="129"/>
        <v>0</v>
      </c>
      <c r="N391" s="105">
        <f t="shared" ca="1" si="119"/>
        <v>0</v>
      </c>
      <c r="O391" s="105">
        <f t="shared" ca="1" si="130"/>
        <v>0</v>
      </c>
      <c r="P391" s="105">
        <f t="shared" ca="1" si="131"/>
        <v>0</v>
      </c>
      <c r="Q391" s="105">
        <f t="shared" ca="1" si="132"/>
        <v>0</v>
      </c>
      <c r="R391" s="105">
        <f t="shared" ca="1" si="133"/>
        <v>0</v>
      </c>
      <c r="S391" s="105">
        <f t="shared" ca="1" si="134"/>
        <v>10</v>
      </c>
    </row>
    <row r="392" spans="1:19" x14ac:dyDescent="0.35">
      <c r="A392" s="105">
        <f t="shared" ca="1" si="120"/>
        <v>526.12250000000301</v>
      </c>
      <c r="B392" s="105">
        <f t="shared" ca="1" si="121"/>
        <v>0</v>
      </c>
      <c r="C392" s="105">
        <f t="shared" ca="1" si="122"/>
        <v>2</v>
      </c>
      <c r="D392" s="105">
        <f t="shared" ca="1" si="123"/>
        <v>0</v>
      </c>
      <c r="E392" s="105">
        <f t="shared" ca="1" si="124"/>
        <v>0</v>
      </c>
      <c r="F392" s="105">
        <f t="shared" ca="1" si="125"/>
        <v>0</v>
      </c>
      <c r="G392" s="105">
        <f t="shared" ca="1" si="135"/>
        <v>0</v>
      </c>
      <c r="H392" s="105">
        <f t="shared" ca="1" si="136"/>
        <v>0</v>
      </c>
      <c r="I392" s="105">
        <f t="shared" ca="1" si="126"/>
        <v>0</v>
      </c>
      <c r="J392" s="105">
        <f t="shared" ca="1" si="127"/>
        <v>0</v>
      </c>
      <c r="K392" s="105">
        <f t="shared" ca="1" si="128"/>
        <v>0</v>
      </c>
      <c r="L392" s="105">
        <f t="shared" ca="1" si="118"/>
        <v>0</v>
      </c>
      <c r="M392" s="105">
        <f t="shared" ca="1" si="129"/>
        <v>0</v>
      </c>
      <c r="N392" s="105">
        <f t="shared" ca="1" si="119"/>
        <v>0</v>
      </c>
      <c r="O392" s="105">
        <f t="shared" ca="1" si="130"/>
        <v>0</v>
      </c>
      <c r="P392" s="105">
        <f t="shared" ca="1" si="131"/>
        <v>0</v>
      </c>
      <c r="Q392" s="105">
        <f t="shared" ca="1" si="132"/>
        <v>0</v>
      </c>
      <c r="R392" s="105">
        <f t="shared" ca="1" si="133"/>
        <v>0</v>
      </c>
      <c r="S392" s="105">
        <f t="shared" ca="1" si="134"/>
        <v>10</v>
      </c>
    </row>
    <row r="393" spans="1:19" x14ac:dyDescent="0.35">
      <c r="A393" s="105">
        <f t="shared" ca="1" si="120"/>
        <v>527.47500000000298</v>
      </c>
      <c r="B393" s="105">
        <f t="shared" ca="1" si="121"/>
        <v>0</v>
      </c>
      <c r="C393" s="105">
        <f t="shared" ca="1" si="122"/>
        <v>2</v>
      </c>
      <c r="D393" s="105">
        <f t="shared" ca="1" si="123"/>
        <v>0</v>
      </c>
      <c r="E393" s="105">
        <f t="shared" ca="1" si="124"/>
        <v>0</v>
      </c>
      <c r="F393" s="105">
        <f t="shared" ca="1" si="125"/>
        <v>0</v>
      </c>
      <c r="G393" s="105">
        <f t="shared" ca="1" si="135"/>
        <v>0</v>
      </c>
      <c r="H393" s="105">
        <f t="shared" ca="1" si="136"/>
        <v>0</v>
      </c>
      <c r="I393" s="105">
        <f t="shared" ca="1" si="126"/>
        <v>0</v>
      </c>
      <c r="J393" s="105">
        <f t="shared" ca="1" si="127"/>
        <v>0</v>
      </c>
      <c r="K393" s="105">
        <f t="shared" ca="1" si="128"/>
        <v>0</v>
      </c>
      <c r="L393" s="105">
        <f t="shared" ca="1" si="118"/>
        <v>0</v>
      </c>
      <c r="M393" s="105">
        <f t="shared" ca="1" si="129"/>
        <v>0</v>
      </c>
      <c r="N393" s="105">
        <f t="shared" ca="1" si="119"/>
        <v>0</v>
      </c>
      <c r="O393" s="105">
        <f t="shared" ca="1" si="130"/>
        <v>0</v>
      </c>
      <c r="P393" s="105">
        <f t="shared" ca="1" si="131"/>
        <v>0</v>
      </c>
      <c r="Q393" s="105">
        <f t="shared" ca="1" si="132"/>
        <v>0</v>
      </c>
      <c r="R393" s="105">
        <f t="shared" ca="1" si="133"/>
        <v>0</v>
      </c>
      <c r="S393" s="105">
        <f t="shared" ca="1" si="134"/>
        <v>10</v>
      </c>
    </row>
    <row r="394" spans="1:19" x14ac:dyDescent="0.35">
      <c r="A394" s="105">
        <f t="shared" ca="1" si="120"/>
        <v>528.82750000000294</v>
      </c>
      <c r="B394" s="105">
        <f t="shared" ca="1" si="121"/>
        <v>0</v>
      </c>
      <c r="C394" s="105">
        <f t="shared" ca="1" si="122"/>
        <v>2</v>
      </c>
      <c r="D394" s="105">
        <f t="shared" ca="1" si="123"/>
        <v>0</v>
      </c>
      <c r="E394" s="105">
        <f t="shared" ca="1" si="124"/>
        <v>0</v>
      </c>
      <c r="F394" s="105">
        <f t="shared" ca="1" si="125"/>
        <v>0</v>
      </c>
      <c r="G394" s="105">
        <f t="shared" ca="1" si="135"/>
        <v>0</v>
      </c>
      <c r="H394" s="105">
        <f t="shared" ca="1" si="136"/>
        <v>0</v>
      </c>
      <c r="I394" s="105">
        <f t="shared" ca="1" si="126"/>
        <v>0</v>
      </c>
      <c r="J394" s="105">
        <f t="shared" ca="1" si="127"/>
        <v>0</v>
      </c>
      <c r="K394" s="105">
        <f t="shared" ca="1" si="128"/>
        <v>0</v>
      </c>
      <c r="L394" s="105">
        <f t="shared" ca="1" si="118"/>
        <v>0</v>
      </c>
      <c r="M394" s="105">
        <f t="shared" ca="1" si="129"/>
        <v>0</v>
      </c>
      <c r="N394" s="105">
        <f t="shared" ca="1" si="119"/>
        <v>0</v>
      </c>
      <c r="O394" s="105">
        <f t="shared" ca="1" si="130"/>
        <v>0</v>
      </c>
      <c r="P394" s="105">
        <f t="shared" ca="1" si="131"/>
        <v>0</v>
      </c>
      <c r="Q394" s="105">
        <f t="shared" ca="1" si="132"/>
        <v>0</v>
      </c>
      <c r="R394" s="105">
        <f t="shared" ca="1" si="133"/>
        <v>0</v>
      </c>
      <c r="S394" s="105">
        <f t="shared" ca="1" si="134"/>
        <v>10</v>
      </c>
    </row>
    <row r="395" spans="1:19" x14ac:dyDescent="0.35">
      <c r="A395" s="105">
        <f t="shared" ca="1" si="120"/>
        <v>530.18000000000291</v>
      </c>
      <c r="B395" s="105">
        <f t="shared" ca="1" si="121"/>
        <v>0</v>
      </c>
      <c r="C395" s="105">
        <f t="shared" ca="1" si="122"/>
        <v>2</v>
      </c>
      <c r="D395" s="105">
        <f t="shared" ca="1" si="123"/>
        <v>0</v>
      </c>
      <c r="E395" s="105">
        <f t="shared" ca="1" si="124"/>
        <v>0</v>
      </c>
      <c r="F395" s="105">
        <f t="shared" ca="1" si="125"/>
        <v>0</v>
      </c>
      <c r="G395" s="105">
        <f t="shared" ca="1" si="135"/>
        <v>0</v>
      </c>
      <c r="H395" s="105">
        <f t="shared" ca="1" si="136"/>
        <v>0</v>
      </c>
      <c r="I395" s="105">
        <f t="shared" ca="1" si="126"/>
        <v>0</v>
      </c>
      <c r="J395" s="105">
        <f t="shared" ca="1" si="127"/>
        <v>0</v>
      </c>
      <c r="K395" s="105">
        <f t="shared" ca="1" si="128"/>
        <v>0</v>
      </c>
      <c r="L395" s="105">
        <f t="shared" ca="1" si="118"/>
        <v>0</v>
      </c>
      <c r="M395" s="105">
        <f t="shared" ca="1" si="129"/>
        <v>0</v>
      </c>
      <c r="N395" s="105">
        <f t="shared" ca="1" si="119"/>
        <v>0</v>
      </c>
      <c r="O395" s="105">
        <f t="shared" ca="1" si="130"/>
        <v>0</v>
      </c>
      <c r="P395" s="105">
        <f t="shared" ca="1" si="131"/>
        <v>0</v>
      </c>
      <c r="Q395" s="105">
        <f t="shared" ca="1" si="132"/>
        <v>0</v>
      </c>
      <c r="R395" s="105">
        <f t="shared" ca="1" si="133"/>
        <v>0</v>
      </c>
      <c r="S395" s="105">
        <f t="shared" ca="1" si="134"/>
        <v>10</v>
      </c>
    </row>
    <row r="396" spans="1:19" x14ac:dyDescent="0.35">
      <c r="A396" s="105">
        <f t="shared" ca="1" si="120"/>
        <v>531.53250000000287</v>
      </c>
      <c r="B396" s="105">
        <f t="shared" ca="1" si="121"/>
        <v>0</v>
      </c>
      <c r="C396" s="105">
        <f t="shared" ca="1" si="122"/>
        <v>2</v>
      </c>
      <c r="D396" s="105">
        <f t="shared" ca="1" si="123"/>
        <v>0</v>
      </c>
      <c r="E396" s="105">
        <f t="shared" ca="1" si="124"/>
        <v>0</v>
      </c>
      <c r="F396" s="105">
        <f t="shared" ca="1" si="125"/>
        <v>0</v>
      </c>
      <c r="G396" s="105">
        <f t="shared" ca="1" si="135"/>
        <v>0</v>
      </c>
      <c r="H396" s="105">
        <f t="shared" ca="1" si="136"/>
        <v>0</v>
      </c>
      <c r="I396" s="105">
        <f t="shared" ca="1" si="126"/>
        <v>0</v>
      </c>
      <c r="J396" s="105">
        <f t="shared" ca="1" si="127"/>
        <v>0</v>
      </c>
      <c r="K396" s="105">
        <f t="shared" ca="1" si="128"/>
        <v>0</v>
      </c>
      <c r="L396" s="105">
        <f t="shared" ca="1" si="118"/>
        <v>0</v>
      </c>
      <c r="M396" s="105">
        <f t="shared" ca="1" si="129"/>
        <v>0</v>
      </c>
      <c r="N396" s="105">
        <f t="shared" ca="1" si="119"/>
        <v>0</v>
      </c>
      <c r="O396" s="105">
        <f t="shared" ca="1" si="130"/>
        <v>0</v>
      </c>
      <c r="P396" s="105">
        <f t="shared" ca="1" si="131"/>
        <v>0</v>
      </c>
      <c r="Q396" s="105">
        <f t="shared" ca="1" si="132"/>
        <v>0</v>
      </c>
      <c r="R396" s="105">
        <f t="shared" ca="1" si="133"/>
        <v>0</v>
      </c>
      <c r="S396" s="105">
        <f t="shared" ca="1" si="134"/>
        <v>10</v>
      </c>
    </row>
    <row r="397" spans="1:19" x14ac:dyDescent="0.35">
      <c r="A397" s="105">
        <f t="shared" ca="1" si="120"/>
        <v>532.88500000000283</v>
      </c>
      <c r="B397" s="105">
        <f t="shared" ca="1" si="121"/>
        <v>0</v>
      </c>
      <c r="C397" s="105">
        <f t="shared" ca="1" si="122"/>
        <v>2</v>
      </c>
      <c r="D397" s="105">
        <f t="shared" ca="1" si="123"/>
        <v>0</v>
      </c>
      <c r="E397" s="105">
        <f t="shared" ca="1" si="124"/>
        <v>0</v>
      </c>
      <c r="F397" s="105">
        <f t="shared" ca="1" si="125"/>
        <v>0</v>
      </c>
      <c r="G397" s="105">
        <f t="shared" ca="1" si="135"/>
        <v>0</v>
      </c>
      <c r="H397" s="105">
        <f t="shared" ca="1" si="136"/>
        <v>0</v>
      </c>
      <c r="I397" s="105">
        <f t="shared" ca="1" si="126"/>
        <v>0</v>
      </c>
      <c r="J397" s="105">
        <f t="shared" ca="1" si="127"/>
        <v>0</v>
      </c>
      <c r="K397" s="105">
        <f t="shared" ca="1" si="128"/>
        <v>0</v>
      </c>
      <c r="L397" s="105">
        <f t="shared" ca="1" si="118"/>
        <v>0</v>
      </c>
      <c r="M397" s="105">
        <f t="shared" ca="1" si="129"/>
        <v>0</v>
      </c>
      <c r="N397" s="105">
        <f t="shared" ca="1" si="119"/>
        <v>0</v>
      </c>
      <c r="O397" s="105">
        <f t="shared" ca="1" si="130"/>
        <v>0</v>
      </c>
      <c r="P397" s="105">
        <f t="shared" ca="1" si="131"/>
        <v>0</v>
      </c>
      <c r="Q397" s="105">
        <f t="shared" ca="1" si="132"/>
        <v>0</v>
      </c>
      <c r="R397" s="105">
        <f t="shared" ca="1" si="133"/>
        <v>0</v>
      </c>
      <c r="S397" s="105">
        <f t="shared" ca="1" si="134"/>
        <v>10</v>
      </c>
    </row>
    <row r="398" spans="1:19" x14ac:dyDescent="0.35">
      <c r="A398" s="105">
        <f t="shared" ca="1" si="120"/>
        <v>534.2375000000028</v>
      </c>
      <c r="B398" s="105">
        <f t="shared" ca="1" si="121"/>
        <v>0</v>
      </c>
      <c r="C398" s="105">
        <f t="shared" ca="1" si="122"/>
        <v>2</v>
      </c>
      <c r="D398" s="105">
        <f t="shared" ca="1" si="123"/>
        <v>0</v>
      </c>
      <c r="E398" s="105">
        <f t="shared" ca="1" si="124"/>
        <v>0</v>
      </c>
      <c r="F398" s="105">
        <f t="shared" ca="1" si="125"/>
        <v>0</v>
      </c>
      <c r="G398" s="105">
        <f t="shared" ca="1" si="135"/>
        <v>0</v>
      </c>
      <c r="H398" s="105">
        <f t="shared" ca="1" si="136"/>
        <v>0</v>
      </c>
      <c r="I398" s="105">
        <f t="shared" ca="1" si="126"/>
        <v>0</v>
      </c>
      <c r="J398" s="105">
        <f t="shared" ca="1" si="127"/>
        <v>0</v>
      </c>
      <c r="K398" s="105">
        <f t="shared" ca="1" si="128"/>
        <v>0</v>
      </c>
      <c r="L398" s="105">
        <f t="shared" ca="1" si="118"/>
        <v>0</v>
      </c>
      <c r="M398" s="105">
        <f t="shared" ca="1" si="129"/>
        <v>0</v>
      </c>
      <c r="N398" s="105">
        <f t="shared" ca="1" si="119"/>
        <v>0</v>
      </c>
      <c r="O398" s="105">
        <f t="shared" ca="1" si="130"/>
        <v>0</v>
      </c>
      <c r="P398" s="105">
        <f t="shared" ca="1" si="131"/>
        <v>0</v>
      </c>
      <c r="Q398" s="105">
        <f t="shared" ca="1" si="132"/>
        <v>0</v>
      </c>
      <c r="R398" s="105">
        <f t="shared" ca="1" si="133"/>
        <v>0</v>
      </c>
      <c r="S398" s="105">
        <f t="shared" ca="1" si="134"/>
        <v>10</v>
      </c>
    </row>
    <row r="399" spans="1:19" x14ac:dyDescent="0.35">
      <c r="A399" s="105">
        <f t="shared" ca="1" si="120"/>
        <v>535.59000000000276</v>
      </c>
      <c r="B399" s="105">
        <f t="shared" ca="1" si="121"/>
        <v>0</v>
      </c>
      <c r="C399" s="105">
        <f t="shared" ca="1" si="122"/>
        <v>2</v>
      </c>
      <c r="D399" s="105">
        <f t="shared" ca="1" si="123"/>
        <v>0</v>
      </c>
      <c r="E399" s="105">
        <f t="shared" ca="1" si="124"/>
        <v>0</v>
      </c>
      <c r="F399" s="105">
        <f t="shared" ca="1" si="125"/>
        <v>0</v>
      </c>
      <c r="G399" s="105">
        <f t="shared" ca="1" si="135"/>
        <v>0</v>
      </c>
      <c r="H399" s="105">
        <f t="shared" ca="1" si="136"/>
        <v>0</v>
      </c>
      <c r="I399" s="105">
        <f t="shared" ca="1" si="126"/>
        <v>0</v>
      </c>
      <c r="J399" s="105">
        <f t="shared" ca="1" si="127"/>
        <v>0</v>
      </c>
      <c r="K399" s="105">
        <f t="shared" ca="1" si="128"/>
        <v>0</v>
      </c>
      <c r="L399" s="105">
        <f t="shared" ca="1" si="118"/>
        <v>0</v>
      </c>
      <c r="M399" s="105">
        <f t="shared" ca="1" si="129"/>
        <v>0</v>
      </c>
      <c r="N399" s="105">
        <f t="shared" ca="1" si="119"/>
        <v>0</v>
      </c>
      <c r="O399" s="105">
        <f t="shared" ca="1" si="130"/>
        <v>0</v>
      </c>
      <c r="P399" s="105">
        <f t="shared" ca="1" si="131"/>
        <v>0</v>
      </c>
      <c r="Q399" s="105">
        <f t="shared" ca="1" si="132"/>
        <v>0</v>
      </c>
      <c r="R399" s="105">
        <f t="shared" ca="1" si="133"/>
        <v>0</v>
      </c>
      <c r="S399" s="105">
        <f t="shared" ca="1" si="134"/>
        <v>10</v>
      </c>
    </row>
    <row r="400" spans="1:19" x14ac:dyDescent="0.35">
      <c r="A400" s="105">
        <f t="shared" ca="1" si="120"/>
        <v>536.94250000000272</v>
      </c>
      <c r="B400" s="105">
        <f t="shared" ca="1" si="121"/>
        <v>0</v>
      </c>
      <c r="C400" s="105">
        <f t="shared" ca="1" si="122"/>
        <v>2</v>
      </c>
      <c r="D400" s="105">
        <f t="shared" ca="1" si="123"/>
        <v>0</v>
      </c>
      <c r="E400" s="105">
        <f t="shared" ca="1" si="124"/>
        <v>0</v>
      </c>
      <c r="F400" s="105">
        <f t="shared" ca="1" si="125"/>
        <v>0</v>
      </c>
      <c r="G400" s="105">
        <f t="shared" ca="1" si="135"/>
        <v>0</v>
      </c>
      <c r="H400" s="105">
        <f t="shared" ca="1" si="136"/>
        <v>0</v>
      </c>
      <c r="I400" s="105">
        <f t="shared" ca="1" si="126"/>
        <v>0</v>
      </c>
      <c r="J400" s="105">
        <f t="shared" ca="1" si="127"/>
        <v>0</v>
      </c>
      <c r="K400" s="105">
        <f t="shared" ca="1" si="128"/>
        <v>0</v>
      </c>
      <c r="L400" s="105">
        <f t="shared" ca="1" si="118"/>
        <v>0</v>
      </c>
      <c r="M400" s="105">
        <f t="shared" ca="1" si="129"/>
        <v>0</v>
      </c>
      <c r="N400" s="105">
        <f t="shared" ca="1" si="119"/>
        <v>0</v>
      </c>
      <c r="O400" s="105">
        <f t="shared" ca="1" si="130"/>
        <v>0</v>
      </c>
      <c r="P400" s="105">
        <f t="shared" ca="1" si="131"/>
        <v>0</v>
      </c>
      <c r="Q400" s="105">
        <f t="shared" ca="1" si="132"/>
        <v>0</v>
      </c>
      <c r="R400" s="105">
        <f t="shared" ca="1" si="133"/>
        <v>0</v>
      </c>
      <c r="S400" s="105">
        <f t="shared" ca="1" si="134"/>
        <v>10</v>
      </c>
    </row>
    <row r="401" spans="1:19" x14ac:dyDescent="0.35">
      <c r="A401" s="105">
        <f t="shared" ca="1" si="120"/>
        <v>538.29500000000269</v>
      </c>
      <c r="B401" s="105">
        <f t="shared" ca="1" si="121"/>
        <v>0</v>
      </c>
      <c r="C401" s="105">
        <f t="shared" ca="1" si="122"/>
        <v>2</v>
      </c>
      <c r="D401" s="105">
        <f t="shared" ca="1" si="123"/>
        <v>0</v>
      </c>
      <c r="E401" s="105">
        <f t="shared" ca="1" si="124"/>
        <v>0</v>
      </c>
      <c r="F401" s="105">
        <f t="shared" ca="1" si="125"/>
        <v>0</v>
      </c>
      <c r="G401" s="105">
        <f t="shared" ca="1" si="135"/>
        <v>0</v>
      </c>
      <c r="H401" s="105">
        <f t="shared" ca="1" si="136"/>
        <v>0</v>
      </c>
      <c r="I401" s="105">
        <f t="shared" ca="1" si="126"/>
        <v>0</v>
      </c>
      <c r="J401" s="105">
        <f t="shared" ca="1" si="127"/>
        <v>0</v>
      </c>
      <c r="K401" s="105">
        <f t="shared" ca="1" si="128"/>
        <v>0</v>
      </c>
      <c r="L401" s="105">
        <f t="shared" ca="1" si="118"/>
        <v>0</v>
      </c>
      <c r="M401" s="105">
        <f t="shared" ca="1" si="129"/>
        <v>0</v>
      </c>
      <c r="N401" s="105">
        <f t="shared" ca="1" si="119"/>
        <v>0</v>
      </c>
      <c r="O401" s="105">
        <f t="shared" ca="1" si="130"/>
        <v>0</v>
      </c>
      <c r="P401" s="105">
        <f t="shared" ca="1" si="131"/>
        <v>0</v>
      </c>
      <c r="Q401" s="105">
        <f t="shared" ca="1" si="132"/>
        <v>0</v>
      </c>
      <c r="R401" s="105">
        <f t="shared" ca="1" si="133"/>
        <v>0</v>
      </c>
      <c r="S401" s="105">
        <f t="shared" ca="1" si="134"/>
        <v>10</v>
      </c>
    </row>
    <row r="402" spans="1:19" x14ac:dyDescent="0.35">
      <c r="A402" s="105">
        <f t="shared" ca="1" si="120"/>
        <v>539.64750000000265</v>
      </c>
      <c r="B402" s="105">
        <f t="shared" ca="1" si="121"/>
        <v>0</v>
      </c>
      <c r="C402" s="105">
        <f t="shared" ca="1" si="122"/>
        <v>2</v>
      </c>
      <c r="D402" s="105">
        <f t="shared" ca="1" si="123"/>
        <v>0</v>
      </c>
      <c r="E402" s="105">
        <f t="shared" ca="1" si="124"/>
        <v>0</v>
      </c>
      <c r="F402" s="105">
        <f t="shared" ca="1" si="125"/>
        <v>0</v>
      </c>
      <c r="G402" s="105">
        <f t="shared" ca="1" si="135"/>
        <v>0</v>
      </c>
      <c r="H402" s="105">
        <f t="shared" ca="1" si="136"/>
        <v>0</v>
      </c>
      <c r="I402" s="105">
        <f t="shared" ca="1" si="126"/>
        <v>0</v>
      </c>
      <c r="J402" s="105">
        <f t="shared" ca="1" si="127"/>
        <v>0</v>
      </c>
      <c r="K402" s="105">
        <f t="shared" ca="1" si="128"/>
        <v>0</v>
      </c>
      <c r="L402" s="105">
        <f t="shared" ca="1" si="118"/>
        <v>0</v>
      </c>
      <c r="M402" s="105">
        <f t="shared" ca="1" si="129"/>
        <v>0</v>
      </c>
      <c r="N402" s="105">
        <f t="shared" ca="1" si="119"/>
        <v>0</v>
      </c>
      <c r="O402" s="105">
        <f t="shared" ca="1" si="130"/>
        <v>0</v>
      </c>
      <c r="P402" s="105">
        <f t="shared" ca="1" si="131"/>
        <v>0</v>
      </c>
      <c r="Q402" s="105">
        <f t="shared" ca="1" si="132"/>
        <v>0</v>
      </c>
      <c r="R402" s="105">
        <f t="shared" ca="1" si="133"/>
        <v>0</v>
      </c>
      <c r="S402" s="105">
        <f t="shared" ca="1" si="134"/>
        <v>10</v>
      </c>
    </row>
    <row r="403" spans="1:19" x14ac:dyDescent="0.35">
      <c r="A403" s="105">
        <f t="shared" ca="1" si="120"/>
        <v>541.00000000000261</v>
      </c>
      <c r="B403" s="105">
        <f t="shared" ca="1" si="121"/>
        <v>0</v>
      </c>
      <c r="C403" s="105">
        <f t="shared" ca="1" si="122"/>
        <v>2</v>
      </c>
      <c r="D403" s="105">
        <f t="shared" ca="1" si="123"/>
        <v>0</v>
      </c>
      <c r="E403" s="105">
        <f t="shared" ca="1" si="124"/>
        <v>0</v>
      </c>
      <c r="F403" s="105">
        <f t="shared" ca="1" si="125"/>
        <v>0</v>
      </c>
      <c r="G403" s="105">
        <f t="shared" ca="1" si="135"/>
        <v>0</v>
      </c>
      <c r="H403" s="105">
        <f t="shared" ca="1" si="136"/>
        <v>0</v>
      </c>
      <c r="I403" s="105">
        <f t="shared" ca="1" si="126"/>
        <v>0</v>
      </c>
      <c r="J403" s="105">
        <f t="shared" ca="1" si="127"/>
        <v>0</v>
      </c>
      <c r="K403" s="105">
        <f t="shared" ca="1" si="128"/>
        <v>0</v>
      </c>
      <c r="L403" s="105">
        <f t="shared" ca="1" si="118"/>
        <v>0</v>
      </c>
      <c r="M403" s="105">
        <f t="shared" ca="1" si="129"/>
        <v>0</v>
      </c>
      <c r="N403" s="105">
        <f t="shared" ca="1" si="119"/>
        <v>0</v>
      </c>
      <c r="O403" s="105">
        <f t="shared" ca="1" si="130"/>
        <v>0</v>
      </c>
      <c r="P403" s="105">
        <f t="shared" ca="1" si="131"/>
        <v>0</v>
      </c>
      <c r="Q403" s="105">
        <f t="shared" ca="1" si="132"/>
        <v>0</v>
      </c>
      <c r="R403" s="105">
        <f t="shared" ca="1" si="133"/>
        <v>0</v>
      </c>
      <c r="S403" s="105">
        <f t="shared" ca="1" si="134"/>
        <v>10</v>
      </c>
    </row>
    <row r="404" spans="1:19" x14ac:dyDescent="0.35">
      <c r="A404" s="105">
        <f t="shared" ca="1" si="120"/>
        <v>542.35250000000258</v>
      </c>
      <c r="B404" s="105">
        <f t="shared" ca="1" si="121"/>
        <v>0</v>
      </c>
      <c r="C404" s="105">
        <f t="shared" ca="1" si="122"/>
        <v>2</v>
      </c>
      <c r="D404" s="105">
        <f t="shared" ca="1" si="123"/>
        <v>0</v>
      </c>
      <c r="E404" s="105">
        <f t="shared" ca="1" si="124"/>
        <v>0</v>
      </c>
      <c r="F404" s="105">
        <f t="shared" ca="1" si="125"/>
        <v>0</v>
      </c>
      <c r="G404" s="105">
        <f t="shared" ca="1" si="135"/>
        <v>0</v>
      </c>
      <c r="H404" s="105">
        <f t="shared" ca="1" si="136"/>
        <v>0</v>
      </c>
      <c r="I404" s="105">
        <f t="shared" ca="1" si="126"/>
        <v>0</v>
      </c>
      <c r="J404" s="105">
        <f t="shared" ca="1" si="127"/>
        <v>0</v>
      </c>
      <c r="K404" s="105">
        <f t="shared" ca="1" si="128"/>
        <v>0</v>
      </c>
      <c r="L404" s="105">
        <f t="shared" ca="1" si="118"/>
        <v>0</v>
      </c>
      <c r="M404" s="105">
        <f t="shared" ca="1" si="129"/>
        <v>0</v>
      </c>
      <c r="N404" s="105">
        <f t="shared" ca="1" si="119"/>
        <v>0</v>
      </c>
      <c r="O404" s="105">
        <f t="shared" ca="1" si="130"/>
        <v>0</v>
      </c>
      <c r="P404" s="105">
        <f t="shared" ca="1" si="131"/>
        <v>0</v>
      </c>
      <c r="Q404" s="105">
        <f t="shared" ca="1" si="132"/>
        <v>0</v>
      </c>
      <c r="R404" s="105">
        <f t="shared" ca="1" si="133"/>
        <v>0</v>
      </c>
      <c r="S404" s="105">
        <f t="shared" ca="1" si="134"/>
        <v>10</v>
      </c>
    </row>
    <row r="405" spans="1:19" x14ac:dyDescent="0.35">
      <c r="A405" s="105">
        <f t="shared" ca="1" si="120"/>
        <v>543.70500000000254</v>
      </c>
      <c r="B405" s="105">
        <f t="shared" ca="1" si="121"/>
        <v>0</v>
      </c>
      <c r="C405" s="105">
        <f t="shared" ca="1" si="122"/>
        <v>2</v>
      </c>
      <c r="D405" s="105">
        <f t="shared" ca="1" si="123"/>
        <v>0</v>
      </c>
      <c r="E405" s="105">
        <f t="shared" ca="1" si="124"/>
        <v>0</v>
      </c>
      <c r="F405" s="105">
        <f t="shared" ca="1" si="125"/>
        <v>0</v>
      </c>
      <c r="G405" s="105">
        <f t="shared" ca="1" si="135"/>
        <v>0</v>
      </c>
      <c r="H405" s="105">
        <f t="shared" ca="1" si="136"/>
        <v>0</v>
      </c>
      <c r="I405" s="105">
        <f t="shared" ca="1" si="126"/>
        <v>0</v>
      </c>
      <c r="J405" s="105">
        <f t="shared" ca="1" si="127"/>
        <v>0</v>
      </c>
      <c r="K405" s="105">
        <f t="shared" ca="1" si="128"/>
        <v>0</v>
      </c>
      <c r="L405" s="105">
        <f t="shared" ca="1" si="118"/>
        <v>0</v>
      </c>
      <c r="M405" s="105">
        <f t="shared" ca="1" si="129"/>
        <v>0</v>
      </c>
      <c r="N405" s="105">
        <f t="shared" ca="1" si="119"/>
        <v>0</v>
      </c>
      <c r="O405" s="105">
        <f t="shared" ca="1" si="130"/>
        <v>0</v>
      </c>
      <c r="P405" s="105">
        <f t="shared" ca="1" si="131"/>
        <v>0</v>
      </c>
      <c r="Q405" s="105">
        <f t="shared" ca="1" si="132"/>
        <v>0</v>
      </c>
      <c r="R405" s="105">
        <f t="shared" ca="1" si="133"/>
        <v>0</v>
      </c>
      <c r="S405" s="105">
        <f t="shared" ca="1" si="134"/>
        <v>10</v>
      </c>
    </row>
    <row r="406" spans="1:19" x14ac:dyDescent="0.35">
      <c r="A406" s="105">
        <f t="shared" ca="1" si="120"/>
        <v>545.05750000000251</v>
      </c>
      <c r="B406" s="105">
        <f t="shared" ca="1" si="121"/>
        <v>0</v>
      </c>
      <c r="C406" s="105">
        <f t="shared" ca="1" si="122"/>
        <v>2</v>
      </c>
      <c r="D406" s="105">
        <f t="shared" ca="1" si="123"/>
        <v>0</v>
      </c>
      <c r="E406" s="105">
        <f t="shared" ca="1" si="124"/>
        <v>0</v>
      </c>
      <c r="F406" s="105">
        <f t="shared" ca="1" si="125"/>
        <v>0</v>
      </c>
      <c r="G406" s="105">
        <f t="shared" ca="1" si="135"/>
        <v>0</v>
      </c>
      <c r="H406" s="105">
        <f t="shared" ca="1" si="136"/>
        <v>0</v>
      </c>
      <c r="I406" s="105">
        <f t="shared" ca="1" si="126"/>
        <v>0</v>
      </c>
      <c r="J406" s="105">
        <f t="shared" ca="1" si="127"/>
        <v>0</v>
      </c>
      <c r="K406" s="105">
        <f t="shared" ca="1" si="128"/>
        <v>0</v>
      </c>
      <c r="L406" s="105">
        <f t="shared" ca="1" si="118"/>
        <v>0</v>
      </c>
      <c r="M406" s="105">
        <f t="shared" ca="1" si="129"/>
        <v>0</v>
      </c>
      <c r="N406" s="105">
        <f t="shared" ca="1" si="119"/>
        <v>0</v>
      </c>
      <c r="O406" s="105">
        <f t="shared" ca="1" si="130"/>
        <v>0</v>
      </c>
      <c r="P406" s="105">
        <f t="shared" ca="1" si="131"/>
        <v>0</v>
      </c>
      <c r="Q406" s="105">
        <f t="shared" ca="1" si="132"/>
        <v>0</v>
      </c>
      <c r="R406" s="105">
        <f t="shared" ca="1" si="133"/>
        <v>0</v>
      </c>
      <c r="S406" s="105">
        <f t="shared" ca="1" si="134"/>
        <v>10</v>
      </c>
    </row>
    <row r="407" spans="1:19" x14ac:dyDescent="0.35">
      <c r="A407" s="105">
        <f t="shared" ca="1" si="120"/>
        <v>546.41000000000247</v>
      </c>
      <c r="B407" s="105">
        <f t="shared" ca="1" si="121"/>
        <v>0</v>
      </c>
      <c r="C407" s="105">
        <f t="shared" ca="1" si="122"/>
        <v>2</v>
      </c>
      <c r="D407" s="105">
        <f t="shared" ca="1" si="123"/>
        <v>0</v>
      </c>
      <c r="E407" s="105">
        <f t="shared" ca="1" si="124"/>
        <v>0</v>
      </c>
      <c r="F407" s="105">
        <f t="shared" ca="1" si="125"/>
        <v>0</v>
      </c>
      <c r="G407" s="105">
        <f t="shared" ca="1" si="135"/>
        <v>0</v>
      </c>
      <c r="H407" s="105">
        <f t="shared" ca="1" si="136"/>
        <v>0</v>
      </c>
      <c r="I407" s="105">
        <f t="shared" ca="1" si="126"/>
        <v>0</v>
      </c>
      <c r="J407" s="105">
        <f t="shared" ca="1" si="127"/>
        <v>0</v>
      </c>
      <c r="K407" s="105">
        <f t="shared" ca="1" si="128"/>
        <v>0</v>
      </c>
      <c r="L407" s="105">
        <f t="shared" ca="1" si="118"/>
        <v>0</v>
      </c>
      <c r="M407" s="105">
        <f t="shared" ca="1" si="129"/>
        <v>0</v>
      </c>
      <c r="N407" s="105">
        <f t="shared" ca="1" si="119"/>
        <v>0</v>
      </c>
      <c r="O407" s="105">
        <f t="shared" ca="1" si="130"/>
        <v>0</v>
      </c>
      <c r="P407" s="105">
        <f t="shared" ca="1" si="131"/>
        <v>0</v>
      </c>
      <c r="Q407" s="105">
        <f t="shared" ca="1" si="132"/>
        <v>0</v>
      </c>
      <c r="R407" s="105">
        <f t="shared" ca="1" si="133"/>
        <v>0</v>
      </c>
      <c r="S407" s="105">
        <f t="shared" ca="1" si="134"/>
        <v>10</v>
      </c>
    </row>
    <row r="408" spans="1:19" x14ac:dyDescent="0.35">
      <c r="A408" s="105">
        <f t="shared" ca="1" si="120"/>
        <v>547.76250000000243</v>
      </c>
      <c r="B408" s="105">
        <f t="shared" ca="1" si="121"/>
        <v>0</v>
      </c>
      <c r="C408" s="105">
        <f t="shared" ca="1" si="122"/>
        <v>2</v>
      </c>
      <c r="D408" s="105">
        <f t="shared" ca="1" si="123"/>
        <v>0</v>
      </c>
      <c r="E408" s="105">
        <f t="shared" ca="1" si="124"/>
        <v>0</v>
      </c>
      <c r="F408" s="105">
        <f t="shared" ca="1" si="125"/>
        <v>0</v>
      </c>
      <c r="G408" s="105">
        <f t="shared" ca="1" si="135"/>
        <v>0</v>
      </c>
      <c r="H408" s="105">
        <f t="shared" ca="1" si="136"/>
        <v>0</v>
      </c>
      <c r="I408" s="105">
        <f t="shared" ca="1" si="126"/>
        <v>0</v>
      </c>
      <c r="J408" s="105">
        <f t="shared" ca="1" si="127"/>
        <v>0</v>
      </c>
      <c r="K408" s="105">
        <f t="shared" ca="1" si="128"/>
        <v>0</v>
      </c>
      <c r="L408" s="105">
        <f t="shared" ref="L408:L471" ca="1" si="137">IF(K408+K407&gt;0,1,0)</f>
        <v>0</v>
      </c>
      <c r="M408" s="105">
        <f t="shared" ca="1" si="129"/>
        <v>0</v>
      </c>
      <c r="N408" s="105">
        <f t="shared" ref="N408:N471" ca="1" si="138">IF(M408+M407&gt;0,1,0)</f>
        <v>0</v>
      </c>
      <c r="O408" s="105">
        <f t="shared" ca="1" si="130"/>
        <v>0</v>
      </c>
      <c r="P408" s="105">
        <f t="shared" ca="1" si="131"/>
        <v>0</v>
      </c>
      <c r="Q408" s="105">
        <f t="shared" ca="1" si="132"/>
        <v>0</v>
      </c>
      <c r="R408" s="105">
        <f t="shared" ca="1" si="133"/>
        <v>0</v>
      </c>
      <c r="S408" s="105">
        <f t="shared" ca="1" si="134"/>
        <v>10</v>
      </c>
    </row>
    <row r="409" spans="1:19" x14ac:dyDescent="0.35">
      <c r="A409" s="105">
        <f t="shared" ca="1" si="120"/>
        <v>549.1150000000024</v>
      </c>
      <c r="B409" s="105">
        <f t="shared" ca="1" si="121"/>
        <v>0</v>
      </c>
      <c r="C409" s="105">
        <f t="shared" ca="1" si="122"/>
        <v>2</v>
      </c>
      <c r="D409" s="105">
        <f t="shared" ca="1" si="123"/>
        <v>0</v>
      </c>
      <c r="E409" s="105">
        <f t="shared" ca="1" si="124"/>
        <v>0</v>
      </c>
      <c r="F409" s="105">
        <f t="shared" ca="1" si="125"/>
        <v>0</v>
      </c>
      <c r="G409" s="105">
        <f t="shared" ca="1" si="135"/>
        <v>0</v>
      </c>
      <c r="H409" s="105">
        <f t="shared" ca="1" si="136"/>
        <v>0</v>
      </c>
      <c r="I409" s="105">
        <f t="shared" ca="1" si="126"/>
        <v>0</v>
      </c>
      <c r="J409" s="105">
        <f t="shared" ca="1" si="127"/>
        <v>0</v>
      </c>
      <c r="K409" s="105">
        <f t="shared" ca="1" si="128"/>
        <v>0</v>
      </c>
      <c r="L409" s="105">
        <f t="shared" ca="1" si="137"/>
        <v>0</v>
      </c>
      <c r="M409" s="105">
        <f t="shared" ca="1" si="129"/>
        <v>0</v>
      </c>
      <c r="N409" s="105">
        <f t="shared" ca="1" si="138"/>
        <v>0</v>
      </c>
      <c r="O409" s="105">
        <f t="shared" ca="1" si="130"/>
        <v>0</v>
      </c>
      <c r="P409" s="105">
        <f t="shared" ca="1" si="131"/>
        <v>0</v>
      </c>
      <c r="Q409" s="105">
        <f t="shared" ca="1" si="132"/>
        <v>0</v>
      </c>
      <c r="R409" s="105">
        <f t="shared" ca="1" si="133"/>
        <v>0</v>
      </c>
      <c r="S409" s="105">
        <f t="shared" ca="1" si="134"/>
        <v>10</v>
      </c>
    </row>
    <row r="410" spans="1:19" x14ac:dyDescent="0.35">
      <c r="A410" s="105">
        <f t="shared" ca="1" si="120"/>
        <v>550.46750000000236</v>
      </c>
      <c r="B410" s="105">
        <f t="shared" ca="1" si="121"/>
        <v>0</v>
      </c>
      <c r="C410" s="105">
        <f t="shared" ca="1" si="122"/>
        <v>2</v>
      </c>
      <c r="D410" s="105">
        <f t="shared" ca="1" si="123"/>
        <v>0</v>
      </c>
      <c r="E410" s="105">
        <f t="shared" ca="1" si="124"/>
        <v>0</v>
      </c>
      <c r="F410" s="105">
        <f t="shared" ca="1" si="125"/>
        <v>0</v>
      </c>
      <c r="G410" s="105">
        <f t="shared" ca="1" si="135"/>
        <v>0</v>
      </c>
      <c r="H410" s="105">
        <f t="shared" ca="1" si="136"/>
        <v>0</v>
      </c>
      <c r="I410" s="105">
        <f t="shared" ca="1" si="126"/>
        <v>0</v>
      </c>
      <c r="J410" s="105">
        <f t="shared" ca="1" si="127"/>
        <v>0</v>
      </c>
      <c r="K410" s="105">
        <f t="shared" ca="1" si="128"/>
        <v>0</v>
      </c>
      <c r="L410" s="105">
        <f t="shared" ca="1" si="137"/>
        <v>0</v>
      </c>
      <c r="M410" s="105">
        <f t="shared" ca="1" si="129"/>
        <v>0</v>
      </c>
      <c r="N410" s="105">
        <f t="shared" ca="1" si="138"/>
        <v>0</v>
      </c>
      <c r="O410" s="105">
        <f t="shared" ca="1" si="130"/>
        <v>0</v>
      </c>
      <c r="P410" s="105">
        <f t="shared" ca="1" si="131"/>
        <v>0</v>
      </c>
      <c r="Q410" s="105">
        <f t="shared" ca="1" si="132"/>
        <v>0</v>
      </c>
      <c r="R410" s="105">
        <f t="shared" ca="1" si="133"/>
        <v>0</v>
      </c>
      <c r="S410" s="105">
        <f t="shared" ca="1" si="134"/>
        <v>10</v>
      </c>
    </row>
    <row r="411" spans="1:19" x14ac:dyDescent="0.35">
      <c r="A411" s="105">
        <f t="shared" ca="1" si="120"/>
        <v>551.82000000000232</v>
      </c>
      <c r="B411" s="105">
        <f t="shared" ca="1" si="121"/>
        <v>0</v>
      </c>
      <c r="C411" s="105">
        <f t="shared" ca="1" si="122"/>
        <v>2</v>
      </c>
      <c r="D411" s="105">
        <f t="shared" ca="1" si="123"/>
        <v>0</v>
      </c>
      <c r="E411" s="105">
        <f t="shared" ca="1" si="124"/>
        <v>0</v>
      </c>
      <c r="F411" s="105">
        <f t="shared" ca="1" si="125"/>
        <v>0</v>
      </c>
      <c r="G411" s="105">
        <f t="shared" ca="1" si="135"/>
        <v>0</v>
      </c>
      <c r="H411" s="105">
        <f t="shared" ca="1" si="136"/>
        <v>0</v>
      </c>
      <c r="I411" s="105">
        <f t="shared" ca="1" si="126"/>
        <v>0</v>
      </c>
      <c r="J411" s="105">
        <f t="shared" ca="1" si="127"/>
        <v>0</v>
      </c>
      <c r="K411" s="105">
        <f t="shared" ca="1" si="128"/>
        <v>0</v>
      </c>
      <c r="L411" s="105">
        <f t="shared" ca="1" si="137"/>
        <v>0</v>
      </c>
      <c r="M411" s="105">
        <f t="shared" ca="1" si="129"/>
        <v>0</v>
      </c>
      <c r="N411" s="105">
        <f t="shared" ca="1" si="138"/>
        <v>0</v>
      </c>
      <c r="O411" s="105">
        <f t="shared" ca="1" si="130"/>
        <v>0</v>
      </c>
      <c r="P411" s="105">
        <f t="shared" ca="1" si="131"/>
        <v>0</v>
      </c>
      <c r="Q411" s="105">
        <f t="shared" ca="1" si="132"/>
        <v>0</v>
      </c>
      <c r="R411" s="105">
        <f t="shared" ca="1" si="133"/>
        <v>0</v>
      </c>
      <c r="S411" s="105">
        <f t="shared" ca="1" si="134"/>
        <v>10</v>
      </c>
    </row>
    <row r="412" spans="1:19" x14ac:dyDescent="0.35">
      <c r="A412" s="105">
        <f t="shared" ca="1" si="120"/>
        <v>553.17250000000229</v>
      </c>
      <c r="B412" s="105">
        <f t="shared" ca="1" si="121"/>
        <v>0</v>
      </c>
      <c r="C412" s="105">
        <f t="shared" ca="1" si="122"/>
        <v>2</v>
      </c>
      <c r="D412" s="105">
        <f t="shared" ca="1" si="123"/>
        <v>0</v>
      </c>
      <c r="E412" s="105">
        <f t="shared" ca="1" si="124"/>
        <v>0</v>
      </c>
      <c r="F412" s="105">
        <f t="shared" ca="1" si="125"/>
        <v>0</v>
      </c>
      <c r="G412" s="105">
        <f t="shared" ca="1" si="135"/>
        <v>0</v>
      </c>
      <c r="H412" s="105">
        <f t="shared" ca="1" si="136"/>
        <v>0</v>
      </c>
      <c r="I412" s="105">
        <f t="shared" ca="1" si="126"/>
        <v>0</v>
      </c>
      <c r="J412" s="105">
        <f t="shared" ca="1" si="127"/>
        <v>0</v>
      </c>
      <c r="K412" s="105">
        <f t="shared" ca="1" si="128"/>
        <v>0</v>
      </c>
      <c r="L412" s="105">
        <f t="shared" ca="1" si="137"/>
        <v>0</v>
      </c>
      <c r="M412" s="105">
        <f t="shared" ca="1" si="129"/>
        <v>0</v>
      </c>
      <c r="N412" s="105">
        <f t="shared" ca="1" si="138"/>
        <v>0</v>
      </c>
      <c r="O412" s="105">
        <f t="shared" ca="1" si="130"/>
        <v>0</v>
      </c>
      <c r="P412" s="105">
        <f t="shared" ca="1" si="131"/>
        <v>0</v>
      </c>
      <c r="Q412" s="105">
        <f t="shared" ca="1" si="132"/>
        <v>0</v>
      </c>
      <c r="R412" s="105">
        <f t="shared" ca="1" si="133"/>
        <v>0</v>
      </c>
      <c r="S412" s="105">
        <f t="shared" ca="1" si="134"/>
        <v>10</v>
      </c>
    </row>
    <row r="413" spans="1:19" x14ac:dyDescent="0.35">
      <c r="A413" s="105">
        <f t="shared" ca="1" si="120"/>
        <v>554.52500000000225</v>
      </c>
      <c r="B413" s="105">
        <f t="shared" ca="1" si="121"/>
        <v>0</v>
      </c>
      <c r="C413" s="105">
        <f t="shared" ca="1" si="122"/>
        <v>2</v>
      </c>
      <c r="D413" s="105">
        <f t="shared" ca="1" si="123"/>
        <v>0</v>
      </c>
      <c r="E413" s="105">
        <f t="shared" ca="1" si="124"/>
        <v>0</v>
      </c>
      <c r="F413" s="105">
        <f t="shared" ca="1" si="125"/>
        <v>0</v>
      </c>
      <c r="G413" s="105">
        <f t="shared" ca="1" si="135"/>
        <v>0</v>
      </c>
      <c r="H413" s="105">
        <f t="shared" ca="1" si="136"/>
        <v>0</v>
      </c>
      <c r="I413" s="105">
        <f t="shared" ca="1" si="126"/>
        <v>0</v>
      </c>
      <c r="J413" s="105">
        <f t="shared" ca="1" si="127"/>
        <v>0</v>
      </c>
      <c r="K413" s="105">
        <f t="shared" ca="1" si="128"/>
        <v>0</v>
      </c>
      <c r="L413" s="105">
        <f t="shared" ca="1" si="137"/>
        <v>0</v>
      </c>
      <c r="M413" s="105">
        <f t="shared" ca="1" si="129"/>
        <v>0</v>
      </c>
      <c r="N413" s="105">
        <f t="shared" ca="1" si="138"/>
        <v>0</v>
      </c>
      <c r="O413" s="105">
        <f t="shared" ca="1" si="130"/>
        <v>0</v>
      </c>
      <c r="P413" s="105">
        <f t="shared" ca="1" si="131"/>
        <v>0</v>
      </c>
      <c r="Q413" s="105">
        <f t="shared" ca="1" si="132"/>
        <v>0</v>
      </c>
      <c r="R413" s="105">
        <f t="shared" ca="1" si="133"/>
        <v>0</v>
      </c>
      <c r="S413" s="105">
        <f t="shared" ca="1" si="134"/>
        <v>10</v>
      </c>
    </row>
    <row r="414" spans="1:19" x14ac:dyDescent="0.35">
      <c r="A414" s="105">
        <f t="shared" ca="1" si="120"/>
        <v>555.87750000000221</v>
      </c>
      <c r="B414" s="105">
        <f t="shared" ca="1" si="121"/>
        <v>0</v>
      </c>
      <c r="C414" s="105">
        <f t="shared" ca="1" si="122"/>
        <v>2</v>
      </c>
      <c r="D414" s="105">
        <f t="shared" ca="1" si="123"/>
        <v>0</v>
      </c>
      <c r="E414" s="105">
        <f t="shared" ca="1" si="124"/>
        <v>0</v>
      </c>
      <c r="F414" s="105">
        <f t="shared" ca="1" si="125"/>
        <v>0</v>
      </c>
      <c r="G414" s="105">
        <f t="shared" ca="1" si="135"/>
        <v>0</v>
      </c>
      <c r="H414" s="105">
        <f t="shared" ca="1" si="136"/>
        <v>0</v>
      </c>
      <c r="I414" s="105">
        <f t="shared" ca="1" si="126"/>
        <v>0</v>
      </c>
      <c r="J414" s="105">
        <f t="shared" ca="1" si="127"/>
        <v>0</v>
      </c>
      <c r="K414" s="105">
        <f t="shared" ca="1" si="128"/>
        <v>0</v>
      </c>
      <c r="L414" s="105">
        <f t="shared" ca="1" si="137"/>
        <v>0</v>
      </c>
      <c r="M414" s="105">
        <f t="shared" ca="1" si="129"/>
        <v>0</v>
      </c>
      <c r="N414" s="105">
        <f t="shared" ca="1" si="138"/>
        <v>0</v>
      </c>
      <c r="O414" s="105">
        <f t="shared" ca="1" si="130"/>
        <v>0</v>
      </c>
      <c r="P414" s="105">
        <f t="shared" ca="1" si="131"/>
        <v>0</v>
      </c>
      <c r="Q414" s="105">
        <f t="shared" ca="1" si="132"/>
        <v>0</v>
      </c>
      <c r="R414" s="105">
        <f t="shared" ca="1" si="133"/>
        <v>0</v>
      </c>
      <c r="S414" s="105">
        <f t="shared" ca="1" si="134"/>
        <v>10</v>
      </c>
    </row>
    <row r="415" spans="1:19" x14ac:dyDescent="0.35">
      <c r="A415" s="105">
        <f t="shared" ca="1" si="120"/>
        <v>557.23000000000218</v>
      </c>
      <c r="B415" s="105">
        <f t="shared" ca="1" si="121"/>
        <v>0</v>
      </c>
      <c r="C415" s="105">
        <f t="shared" ca="1" si="122"/>
        <v>2</v>
      </c>
      <c r="D415" s="105">
        <f t="shared" ca="1" si="123"/>
        <v>0</v>
      </c>
      <c r="E415" s="105">
        <f t="shared" ca="1" si="124"/>
        <v>0</v>
      </c>
      <c r="F415" s="105">
        <f t="shared" ca="1" si="125"/>
        <v>0</v>
      </c>
      <c r="G415" s="105">
        <f t="shared" ca="1" si="135"/>
        <v>0</v>
      </c>
      <c r="H415" s="105">
        <f t="shared" ca="1" si="136"/>
        <v>0</v>
      </c>
      <c r="I415" s="105">
        <f t="shared" ca="1" si="126"/>
        <v>0</v>
      </c>
      <c r="J415" s="105">
        <f t="shared" ca="1" si="127"/>
        <v>0</v>
      </c>
      <c r="K415" s="105">
        <f t="shared" ca="1" si="128"/>
        <v>0</v>
      </c>
      <c r="L415" s="105">
        <f t="shared" ca="1" si="137"/>
        <v>0</v>
      </c>
      <c r="M415" s="105">
        <f t="shared" ca="1" si="129"/>
        <v>0</v>
      </c>
      <c r="N415" s="105">
        <f t="shared" ca="1" si="138"/>
        <v>0</v>
      </c>
      <c r="O415" s="105">
        <f t="shared" ca="1" si="130"/>
        <v>0</v>
      </c>
      <c r="P415" s="105">
        <f t="shared" ca="1" si="131"/>
        <v>0</v>
      </c>
      <c r="Q415" s="105">
        <f t="shared" ca="1" si="132"/>
        <v>0</v>
      </c>
      <c r="R415" s="105">
        <f t="shared" ca="1" si="133"/>
        <v>0</v>
      </c>
      <c r="S415" s="105">
        <f t="shared" ca="1" si="134"/>
        <v>10</v>
      </c>
    </row>
    <row r="416" spans="1:19" x14ac:dyDescent="0.35">
      <c r="A416" s="105">
        <f t="shared" ca="1" si="120"/>
        <v>558.58250000000214</v>
      </c>
      <c r="B416" s="105">
        <f t="shared" ca="1" si="121"/>
        <v>0</v>
      </c>
      <c r="C416" s="105">
        <f t="shared" ca="1" si="122"/>
        <v>2</v>
      </c>
      <c r="D416" s="105">
        <f t="shared" ca="1" si="123"/>
        <v>0</v>
      </c>
      <c r="E416" s="105">
        <f t="shared" ca="1" si="124"/>
        <v>0</v>
      </c>
      <c r="F416" s="105">
        <f t="shared" ca="1" si="125"/>
        <v>0</v>
      </c>
      <c r="G416" s="105">
        <f t="shared" ca="1" si="135"/>
        <v>0</v>
      </c>
      <c r="H416" s="105">
        <f t="shared" ca="1" si="136"/>
        <v>0</v>
      </c>
      <c r="I416" s="105">
        <f t="shared" ca="1" si="126"/>
        <v>0</v>
      </c>
      <c r="J416" s="105">
        <f t="shared" ca="1" si="127"/>
        <v>0</v>
      </c>
      <c r="K416" s="105">
        <f t="shared" ca="1" si="128"/>
        <v>0</v>
      </c>
      <c r="L416" s="105">
        <f t="shared" ca="1" si="137"/>
        <v>0</v>
      </c>
      <c r="M416" s="105">
        <f t="shared" ca="1" si="129"/>
        <v>0</v>
      </c>
      <c r="N416" s="105">
        <f t="shared" ca="1" si="138"/>
        <v>0</v>
      </c>
      <c r="O416" s="105">
        <f t="shared" ca="1" si="130"/>
        <v>0</v>
      </c>
      <c r="P416" s="105">
        <f t="shared" ca="1" si="131"/>
        <v>0</v>
      </c>
      <c r="Q416" s="105">
        <f t="shared" ca="1" si="132"/>
        <v>0</v>
      </c>
      <c r="R416" s="105">
        <f t="shared" ca="1" si="133"/>
        <v>0</v>
      </c>
      <c r="S416" s="105">
        <f t="shared" ca="1" si="134"/>
        <v>10</v>
      </c>
    </row>
    <row r="417" spans="1:19" x14ac:dyDescent="0.35">
      <c r="A417" s="105">
        <f t="shared" ca="1" si="120"/>
        <v>559.93500000000211</v>
      </c>
      <c r="B417" s="105">
        <f t="shared" ca="1" si="121"/>
        <v>0</v>
      </c>
      <c r="C417" s="105">
        <f t="shared" ca="1" si="122"/>
        <v>2</v>
      </c>
      <c r="D417" s="105">
        <f t="shared" ca="1" si="123"/>
        <v>0</v>
      </c>
      <c r="E417" s="105">
        <f t="shared" ca="1" si="124"/>
        <v>0</v>
      </c>
      <c r="F417" s="105">
        <f t="shared" ca="1" si="125"/>
        <v>0</v>
      </c>
      <c r="G417" s="105">
        <f t="shared" ca="1" si="135"/>
        <v>0</v>
      </c>
      <c r="H417" s="105">
        <f t="shared" ca="1" si="136"/>
        <v>0</v>
      </c>
      <c r="I417" s="105">
        <f t="shared" ca="1" si="126"/>
        <v>0</v>
      </c>
      <c r="J417" s="105">
        <f t="shared" ca="1" si="127"/>
        <v>0</v>
      </c>
      <c r="K417" s="105">
        <f t="shared" ca="1" si="128"/>
        <v>0</v>
      </c>
      <c r="L417" s="105">
        <f t="shared" ca="1" si="137"/>
        <v>0</v>
      </c>
      <c r="M417" s="105">
        <f t="shared" ca="1" si="129"/>
        <v>0</v>
      </c>
      <c r="N417" s="105">
        <f t="shared" ca="1" si="138"/>
        <v>0</v>
      </c>
      <c r="O417" s="105">
        <f t="shared" ca="1" si="130"/>
        <v>0</v>
      </c>
      <c r="P417" s="105">
        <f t="shared" ca="1" si="131"/>
        <v>0</v>
      </c>
      <c r="Q417" s="105">
        <f t="shared" ca="1" si="132"/>
        <v>0</v>
      </c>
      <c r="R417" s="105">
        <f t="shared" ca="1" si="133"/>
        <v>0</v>
      </c>
      <c r="S417" s="105">
        <f t="shared" ca="1" si="134"/>
        <v>10</v>
      </c>
    </row>
    <row r="418" spans="1:19" x14ac:dyDescent="0.35">
      <c r="A418" s="105">
        <f t="shared" ca="1" si="120"/>
        <v>561.28750000000207</v>
      </c>
      <c r="B418" s="105">
        <f t="shared" ca="1" si="121"/>
        <v>0</v>
      </c>
      <c r="C418" s="105">
        <f t="shared" ca="1" si="122"/>
        <v>2</v>
      </c>
      <c r="D418" s="105">
        <f t="shared" ca="1" si="123"/>
        <v>0</v>
      </c>
      <c r="E418" s="105">
        <f t="shared" ca="1" si="124"/>
        <v>0</v>
      </c>
      <c r="F418" s="105">
        <f t="shared" ca="1" si="125"/>
        <v>0</v>
      </c>
      <c r="G418" s="105">
        <f t="shared" ca="1" si="135"/>
        <v>0</v>
      </c>
      <c r="H418" s="105">
        <f t="shared" ca="1" si="136"/>
        <v>0</v>
      </c>
      <c r="I418" s="105">
        <f t="shared" ca="1" si="126"/>
        <v>0</v>
      </c>
      <c r="J418" s="105">
        <f t="shared" ca="1" si="127"/>
        <v>0</v>
      </c>
      <c r="K418" s="105">
        <f t="shared" ca="1" si="128"/>
        <v>0</v>
      </c>
      <c r="L418" s="105">
        <f t="shared" ca="1" si="137"/>
        <v>0</v>
      </c>
      <c r="M418" s="105">
        <f t="shared" ca="1" si="129"/>
        <v>0</v>
      </c>
      <c r="N418" s="105">
        <f t="shared" ca="1" si="138"/>
        <v>0</v>
      </c>
      <c r="O418" s="105">
        <f t="shared" ca="1" si="130"/>
        <v>0</v>
      </c>
      <c r="P418" s="105">
        <f t="shared" ca="1" si="131"/>
        <v>0</v>
      </c>
      <c r="Q418" s="105">
        <f t="shared" ca="1" si="132"/>
        <v>0</v>
      </c>
      <c r="R418" s="105">
        <f t="shared" ca="1" si="133"/>
        <v>0</v>
      </c>
      <c r="S418" s="105">
        <f t="shared" ca="1" si="134"/>
        <v>10</v>
      </c>
    </row>
    <row r="419" spans="1:19" x14ac:dyDescent="0.35">
      <c r="A419" s="105">
        <f t="shared" ca="1" si="120"/>
        <v>562.64000000000203</v>
      </c>
      <c r="B419" s="105">
        <f t="shared" ca="1" si="121"/>
        <v>0</v>
      </c>
      <c r="C419" s="105">
        <f t="shared" ca="1" si="122"/>
        <v>2</v>
      </c>
      <c r="D419" s="105">
        <f t="shared" ca="1" si="123"/>
        <v>0</v>
      </c>
      <c r="E419" s="105">
        <f t="shared" ca="1" si="124"/>
        <v>0</v>
      </c>
      <c r="F419" s="105">
        <f t="shared" ca="1" si="125"/>
        <v>0</v>
      </c>
      <c r="G419" s="105">
        <f t="shared" ca="1" si="135"/>
        <v>0</v>
      </c>
      <c r="H419" s="105">
        <f t="shared" ca="1" si="136"/>
        <v>0</v>
      </c>
      <c r="I419" s="105">
        <f t="shared" ca="1" si="126"/>
        <v>0</v>
      </c>
      <c r="J419" s="105">
        <f t="shared" ca="1" si="127"/>
        <v>0</v>
      </c>
      <c r="K419" s="105">
        <f t="shared" ca="1" si="128"/>
        <v>0</v>
      </c>
      <c r="L419" s="105">
        <f t="shared" ca="1" si="137"/>
        <v>0</v>
      </c>
      <c r="M419" s="105">
        <f t="shared" ca="1" si="129"/>
        <v>0</v>
      </c>
      <c r="N419" s="105">
        <f t="shared" ca="1" si="138"/>
        <v>0</v>
      </c>
      <c r="O419" s="105">
        <f t="shared" ca="1" si="130"/>
        <v>0</v>
      </c>
      <c r="P419" s="105">
        <f t="shared" ca="1" si="131"/>
        <v>0</v>
      </c>
      <c r="Q419" s="105">
        <f t="shared" ca="1" si="132"/>
        <v>0</v>
      </c>
      <c r="R419" s="105">
        <f t="shared" ca="1" si="133"/>
        <v>0</v>
      </c>
      <c r="S419" s="105">
        <f t="shared" ca="1" si="134"/>
        <v>10</v>
      </c>
    </row>
    <row r="420" spans="1:19" x14ac:dyDescent="0.35">
      <c r="A420" s="105">
        <f t="shared" ca="1" si="120"/>
        <v>563.992500000002</v>
      </c>
      <c r="B420" s="105">
        <f t="shared" ca="1" si="121"/>
        <v>0</v>
      </c>
      <c r="C420" s="105">
        <f t="shared" ca="1" si="122"/>
        <v>2</v>
      </c>
      <c r="D420" s="105">
        <f t="shared" ca="1" si="123"/>
        <v>0</v>
      </c>
      <c r="E420" s="105">
        <f t="shared" ca="1" si="124"/>
        <v>0</v>
      </c>
      <c r="F420" s="105">
        <f t="shared" ca="1" si="125"/>
        <v>0</v>
      </c>
      <c r="G420" s="105">
        <f t="shared" ca="1" si="135"/>
        <v>0</v>
      </c>
      <c r="H420" s="105">
        <f t="shared" ca="1" si="136"/>
        <v>0</v>
      </c>
      <c r="I420" s="105">
        <f t="shared" ca="1" si="126"/>
        <v>0</v>
      </c>
      <c r="J420" s="105">
        <f t="shared" ca="1" si="127"/>
        <v>0</v>
      </c>
      <c r="K420" s="105">
        <f t="shared" ca="1" si="128"/>
        <v>0</v>
      </c>
      <c r="L420" s="105">
        <f t="shared" ca="1" si="137"/>
        <v>0</v>
      </c>
      <c r="M420" s="105">
        <f t="shared" ca="1" si="129"/>
        <v>0</v>
      </c>
      <c r="N420" s="105">
        <f t="shared" ca="1" si="138"/>
        <v>0</v>
      </c>
      <c r="O420" s="105">
        <f t="shared" ca="1" si="130"/>
        <v>0</v>
      </c>
      <c r="P420" s="105">
        <f t="shared" ca="1" si="131"/>
        <v>0</v>
      </c>
      <c r="Q420" s="105">
        <f t="shared" ca="1" si="132"/>
        <v>0</v>
      </c>
      <c r="R420" s="105">
        <f t="shared" ca="1" si="133"/>
        <v>0</v>
      </c>
      <c r="S420" s="105">
        <f t="shared" ca="1" si="134"/>
        <v>10</v>
      </c>
    </row>
    <row r="421" spans="1:19" x14ac:dyDescent="0.35">
      <c r="A421" s="105">
        <f t="shared" ca="1" si="120"/>
        <v>565.34500000000196</v>
      </c>
      <c r="B421" s="105">
        <f t="shared" ca="1" si="121"/>
        <v>0</v>
      </c>
      <c r="C421" s="105">
        <f t="shared" ca="1" si="122"/>
        <v>2</v>
      </c>
      <c r="D421" s="105">
        <f t="shared" ca="1" si="123"/>
        <v>0</v>
      </c>
      <c r="E421" s="105">
        <f t="shared" ca="1" si="124"/>
        <v>0</v>
      </c>
      <c r="F421" s="105">
        <f t="shared" ca="1" si="125"/>
        <v>0</v>
      </c>
      <c r="G421" s="105">
        <f t="shared" ca="1" si="135"/>
        <v>0</v>
      </c>
      <c r="H421" s="105">
        <f t="shared" ca="1" si="136"/>
        <v>0</v>
      </c>
      <c r="I421" s="105">
        <f t="shared" ca="1" si="126"/>
        <v>0</v>
      </c>
      <c r="J421" s="105">
        <f t="shared" ca="1" si="127"/>
        <v>0</v>
      </c>
      <c r="K421" s="105">
        <f t="shared" ca="1" si="128"/>
        <v>0</v>
      </c>
      <c r="L421" s="105">
        <f t="shared" ca="1" si="137"/>
        <v>0</v>
      </c>
      <c r="M421" s="105">
        <f t="shared" ca="1" si="129"/>
        <v>0</v>
      </c>
      <c r="N421" s="105">
        <f t="shared" ca="1" si="138"/>
        <v>0</v>
      </c>
      <c r="O421" s="105">
        <f t="shared" ca="1" si="130"/>
        <v>0</v>
      </c>
      <c r="P421" s="105">
        <f t="shared" ca="1" si="131"/>
        <v>0</v>
      </c>
      <c r="Q421" s="105">
        <f t="shared" ca="1" si="132"/>
        <v>0</v>
      </c>
      <c r="R421" s="105">
        <f t="shared" ca="1" si="133"/>
        <v>0</v>
      </c>
      <c r="S421" s="105">
        <f t="shared" ca="1" si="134"/>
        <v>10</v>
      </c>
    </row>
    <row r="422" spans="1:19" x14ac:dyDescent="0.35">
      <c r="A422" s="105">
        <f t="shared" ca="1" si="120"/>
        <v>566.69750000000192</v>
      </c>
      <c r="B422" s="105">
        <f t="shared" ca="1" si="121"/>
        <v>0</v>
      </c>
      <c r="C422" s="105">
        <f t="shared" ca="1" si="122"/>
        <v>2</v>
      </c>
      <c r="D422" s="105">
        <f t="shared" ca="1" si="123"/>
        <v>0</v>
      </c>
      <c r="E422" s="105">
        <f t="shared" ca="1" si="124"/>
        <v>0</v>
      </c>
      <c r="F422" s="105">
        <f t="shared" ca="1" si="125"/>
        <v>0</v>
      </c>
      <c r="G422" s="105">
        <f t="shared" ca="1" si="135"/>
        <v>0</v>
      </c>
      <c r="H422" s="105">
        <f t="shared" ca="1" si="136"/>
        <v>0</v>
      </c>
      <c r="I422" s="105">
        <f t="shared" ca="1" si="126"/>
        <v>0</v>
      </c>
      <c r="J422" s="105">
        <f t="shared" ca="1" si="127"/>
        <v>0</v>
      </c>
      <c r="K422" s="105">
        <f t="shared" ca="1" si="128"/>
        <v>0</v>
      </c>
      <c r="L422" s="105">
        <f t="shared" ca="1" si="137"/>
        <v>0</v>
      </c>
      <c r="M422" s="105">
        <f t="shared" ca="1" si="129"/>
        <v>0</v>
      </c>
      <c r="N422" s="105">
        <f t="shared" ca="1" si="138"/>
        <v>0</v>
      </c>
      <c r="O422" s="105">
        <f t="shared" ca="1" si="130"/>
        <v>0</v>
      </c>
      <c r="P422" s="105">
        <f t="shared" ca="1" si="131"/>
        <v>0</v>
      </c>
      <c r="Q422" s="105">
        <f t="shared" ca="1" si="132"/>
        <v>0</v>
      </c>
      <c r="R422" s="105">
        <f t="shared" ca="1" si="133"/>
        <v>0</v>
      </c>
      <c r="S422" s="105">
        <f t="shared" ca="1" si="134"/>
        <v>10</v>
      </c>
    </row>
    <row r="423" spans="1:19" x14ac:dyDescent="0.35">
      <c r="A423" s="105">
        <f t="shared" ca="1" si="120"/>
        <v>568.05000000000189</v>
      </c>
      <c r="B423" s="105">
        <f t="shared" ca="1" si="121"/>
        <v>0</v>
      </c>
      <c r="C423" s="105">
        <f t="shared" ca="1" si="122"/>
        <v>2</v>
      </c>
      <c r="D423" s="105">
        <f t="shared" ca="1" si="123"/>
        <v>0</v>
      </c>
      <c r="E423" s="105">
        <f t="shared" ca="1" si="124"/>
        <v>0</v>
      </c>
      <c r="F423" s="105">
        <f t="shared" ca="1" si="125"/>
        <v>0</v>
      </c>
      <c r="G423" s="105">
        <f t="shared" ca="1" si="135"/>
        <v>0</v>
      </c>
      <c r="H423" s="105">
        <f t="shared" ca="1" si="136"/>
        <v>0</v>
      </c>
      <c r="I423" s="105">
        <f t="shared" ca="1" si="126"/>
        <v>0</v>
      </c>
      <c r="J423" s="105">
        <f t="shared" ca="1" si="127"/>
        <v>0</v>
      </c>
      <c r="K423" s="105">
        <f t="shared" ca="1" si="128"/>
        <v>0</v>
      </c>
      <c r="L423" s="105">
        <f t="shared" ca="1" si="137"/>
        <v>0</v>
      </c>
      <c r="M423" s="105">
        <f t="shared" ca="1" si="129"/>
        <v>0</v>
      </c>
      <c r="N423" s="105">
        <f t="shared" ca="1" si="138"/>
        <v>0</v>
      </c>
      <c r="O423" s="105">
        <f t="shared" ca="1" si="130"/>
        <v>0</v>
      </c>
      <c r="P423" s="105">
        <f t="shared" ca="1" si="131"/>
        <v>0</v>
      </c>
      <c r="Q423" s="105">
        <f t="shared" ca="1" si="132"/>
        <v>0</v>
      </c>
      <c r="R423" s="105">
        <f t="shared" ca="1" si="133"/>
        <v>0</v>
      </c>
      <c r="S423" s="105">
        <f t="shared" ca="1" si="134"/>
        <v>10</v>
      </c>
    </row>
    <row r="424" spans="1:19" x14ac:dyDescent="0.35">
      <c r="A424" s="105">
        <f t="shared" ca="1" si="120"/>
        <v>569.40250000000185</v>
      </c>
      <c r="B424" s="105">
        <f t="shared" ca="1" si="121"/>
        <v>0</v>
      </c>
      <c r="C424" s="105">
        <f t="shared" ca="1" si="122"/>
        <v>2</v>
      </c>
      <c r="D424" s="105">
        <f t="shared" ca="1" si="123"/>
        <v>0</v>
      </c>
      <c r="E424" s="105">
        <f t="shared" ca="1" si="124"/>
        <v>0</v>
      </c>
      <c r="F424" s="105">
        <f t="shared" ca="1" si="125"/>
        <v>0</v>
      </c>
      <c r="G424" s="105">
        <f t="shared" ca="1" si="135"/>
        <v>0</v>
      </c>
      <c r="H424" s="105">
        <f t="shared" ca="1" si="136"/>
        <v>0</v>
      </c>
      <c r="I424" s="105">
        <f t="shared" ca="1" si="126"/>
        <v>0</v>
      </c>
      <c r="J424" s="105">
        <f t="shared" ca="1" si="127"/>
        <v>0</v>
      </c>
      <c r="K424" s="105">
        <f t="shared" ca="1" si="128"/>
        <v>0</v>
      </c>
      <c r="L424" s="105">
        <f t="shared" ca="1" si="137"/>
        <v>0</v>
      </c>
      <c r="M424" s="105">
        <f t="shared" ca="1" si="129"/>
        <v>0</v>
      </c>
      <c r="N424" s="105">
        <f t="shared" ca="1" si="138"/>
        <v>0</v>
      </c>
      <c r="O424" s="105">
        <f t="shared" ca="1" si="130"/>
        <v>0</v>
      </c>
      <c r="P424" s="105">
        <f t="shared" ca="1" si="131"/>
        <v>0</v>
      </c>
      <c r="Q424" s="105">
        <f t="shared" ca="1" si="132"/>
        <v>0</v>
      </c>
      <c r="R424" s="105">
        <f t="shared" ca="1" si="133"/>
        <v>0</v>
      </c>
      <c r="S424" s="105">
        <f t="shared" ca="1" si="134"/>
        <v>10</v>
      </c>
    </row>
    <row r="425" spans="1:19" x14ac:dyDescent="0.35">
      <c r="A425" s="105">
        <f t="shared" ca="1" si="120"/>
        <v>570.75500000000181</v>
      </c>
      <c r="B425" s="105">
        <f t="shared" ca="1" si="121"/>
        <v>0</v>
      </c>
      <c r="C425" s="105">
        <f t="shared" ca="1" si="122"/>
        <v>2</v>
      </c>
      <c r="D425" s="105">
        <f t="shared" ca="1" si="123"/>
        <v>0</v>
      </c>
      <c r="E425" s="105">
        <f t="shared" ca="1" si="124"/>
        <v>0</v>
      </c>
      <c r="F425" s="105">
        <f t="shared" ca="1" si="125"/>
        <v>0</v>
      </c>
      <c r="G425" s="105">
        <f t="shared" ca="1" si="135"/>
        <v>0</v>
      </c>
      <c r="H425" s="105">
        <f t="shared" ca="1" si="136"/>
        <v>0</v>
      </c>
      <c r="I425" s="105">
        <f t="shared" ca="1" si="126"/>
        <v>0</v>
      </c>
      <c r="J425" s="105">
        <f t="shared" ca="1" si="127"/>
        <v>0</v>
      </c>
      <c r="K425" s="105">
        <f t="shared" ca="1" si="128"/>
        <v>0</v>
      </c>
      <c r="L425" s="105">
        <f t="shared" ca="1" si="137"/>
        <v>0</v>
      </c>
      <c r="M425" s="105">
        <f t="shared" ca="1" si="129"/>
        <v>0</v>
      </c>
      <c r="N425" s="105">
        <f t="shared" ca="1" si="138"/>
        <v>0</v>
      </c>
      <c r="O425" s="105">
        <f t="shared" ca="1" si="130"/>
        <v>0</v>
      </c>
      <c r="P425" s="105">
        <f t="shared" ca="1" si="131"/>
        <v>0</v>
      </c>
      <c r="Q425" s="105">
        <f t="shared" ca="1" si="132"/>
        <v>0</v>
      </c>
      <c r="R425" s="105">
        <f t="shared" ca="1" si="133"/>
        <v>0</v>
      </c>
      <c r="S425" s="105">
        <f t="shared" ca="1" si="134"/>
        <v>10</v>
      </c>
    </row>
    <row r="426" spans="1:19" x14ac:dyDescent="0.35">
      <c r="A426" s="105">
        <f t="shared" ca="1" si="120"/>
        <v>572.10750000000178</v>
      </c>
      <c r="B426" s="105">
        <f t="shared" ca="1" si="121"/>
        <v>0</v>
      </c>
      <c r="C426" s="105">
        <f t="shared" ca="1" si="122"/>
        <v>2</v>
      </c>
      <c r="D426" s="105">
        <f t="shared" ca="1" si="123"/>
        <v>0</v>
      </c>
      <c r="E426" s="105">
        <f t="shared" ca="1" si="124"/>
        <v>0</v>
      </c>
      <c r="F426" s="105">
        <f t="shared" ca="1" si="125"/>
        <v>0</v>
      </c>
      <c r="G426" s="105">
        <f t="shared" ca="1" si="135"/>
        <v>0</v>
      </c>
      <c r="H426" s="105">
        <f t="shared" ca="1" si="136"/>
        <v>0</v>
      </c>
      <c r="I426" s="105">
        <f t="shared" ca="1" si="126"/>
        <v>0</v>
      </c>
      <c r="J426" s="105">
        <f t="shared" ca="1" si="127"/>
        <v>0</v>
      </c>
      <c r="K426" s="105">
        <f t="shared" ca="1" si="128"/>
        <v>0</v>
      </c>
      <c r="L426" s="105">
        <f t="shared" ca="1" si="137"/>
        <v>0</v>
      </c>
      <c r="M426" s="105">
        <f t="shared" ca="1" si="129"/>
        <v>0</v>
      </c>
      <c r="N426" s="105">
        <f t="shared" ca="1" si="138"/>
        <v>0</v>
      </c>
      <c r="O426" s="105">
        <f t="shared" ca="1" si="130"/>
        <v>0</v>
      </c>
      <c r="P426" s="105">
        <f t="shared" ca="1" si="131"/>
        <v>0</v>
      </c>
      <c r="Q426" s="105">
        <f t="shared" ca="1" si="132"/>
        <v>0</v>
      </c>
      <c r="R426" s="105">
        <f t="shared" ca="1" si="133"/>
        <v>0</v>
      </c>
      <c r="S426" s="105">
        <f t="shared" ca="1" si="134"/>
        <v>10</v>
      </c>
    </row>
    <row r="427" spans="1:19" x14ac:dyDescent="0.35">
      <c r="A427" s="105">
        <f t="shared" ca="1" si="120"/>
        <v>573.46000000000174</v>
      </c>
      <c r="B427" s="105">
        <f t="shared" ca="1" si="121"/>
        <v>0</v>
      </c>
      <c r="C427" s="105">
        <f t="shared" ca="1" si="122"/>
        <v>2</v>
      </c>
      <c r="D427" s="105">
        <f t="shared" ca="1" si="123"/>
        <v>0</v>
      </c>
      <c r="E427" s="105">
        <f t="shared" ca="1" si="124"/>
        <v>0</v>
      </c>
      <c r="F427" s="105">
        <f t="shared" ca="1" si="125"/>
        <v>0</v>
      </c>
      <c r="G427" s="105">
        <f t="shared" ca="1" si="135"/>
        <v>0</v>
      </c>
      <c r="H427" s="105">
        <f t="shared" ca="1" si="136"/>
        <v>0</v>
      </c>
      <c r="I427" s="105">
        <f t="shared" ca="1" si="126"/>
        <v>0</v>
      </c>
      <c r="J427" s="105">
        <f t="shared" ca="1" si="127"/>
        <v>0</v>
      </c>
      <c r="K427" s="105">
        <f t="shared" ca="1" si="128"/>
        <v>0</v>
      </c>
      <c r="L427" s="105">
        <f t="shared" ca="1" si="137"/>
        <v>0</v>
      </c>
      <c r="M427" s="105">
        <f t="shared" ca="1" si="129"/>
        <v>0</v>
      </c>
      <c r="N427" s="105">
        <f t="shared" ca="1" si="138"/>
        <v>0</v>
      </c>
      <c r="O427" s="105">
        <f t="shared" ca="1" si="130"/>
        <v>0</v>
      </c>
      <c r="P427" s="105">
        <f t="shared" ca="1" si="131"/>
        <v>0</v>
      </c>
      <c r="Q427" s="105">
        <f t="shared" ca="1" si="132"/>
        <v>0</v>
      </c>
      <c r="R427" s="105">
        <f t="shared" ca="1" si="133"/>
        <v>0</v>
      </c>
      <c r="S427" s="105">
        <f t="shared" ca="1" si="134"/>
        <v>10</v>
      </c>
    </row>
    <row r="428" spans="1:19" x14ac:dyDescent="0.35">
      <c r="A428" s="105">
        <f t="shared" ca="1" si="120"/>
        <v>574.81250000000171</v>
      </c>
      <c r="B428" s="105">
        <f t="shared" ca="1" si="121"/>
        <v>0</v>
      </c>
      <c r="C428" s="105">
        <f t="shared" ca="1" si="122"/>
        <v>2</v>
      </c>
      <c r="D428" s="105">
        <f t="shared" ca="1" si="123"/>
        <v>0</v>
      </c>
      <c r="E428" s="105">
        <f t="shared" ca="1" si="124"/>
        <v>0</v>
      </c>
      <c r="F428" s="105">
        <f t="shared" ca="1" si="125"/>
        <v>0</v>
      </c>
      <c r="G428" s="105">
        <f t="shared" ca="1" si="135"/>
        <v>0</v>
      </c>
      <c r="H428" s="105">
        <f t="shared" ca="1" si="136"/>
        <v>0</v>
      </c>
      <c r="I428" s="105">
        <f t="shared" ca="1" si="126"/>
        <v>0</v>
      </c>
      <c r="J428" s="105">
        <f t="shared" ca="1" si="127"/>
        <v>0</v>
      </c>
      <c r="K428" s="105">
        <f t="shared" ca="1" si="128"/>
        <v>0</v>
      </c>
      <c r="L428" s="105">
        <f t="shared" ca="1" si="137"/>
        <v>0</v>
      </c>
      <c r="M428" s="105">
        <f t="shared" ca="1" si="129"/>
        <v>0</v>
      </c>
      <c r="N428" s="105">
        <f t="shared" ca="1" si="138"/>
        <v>0</v>
      </c>
      <c r="O428" s="105">
        <f t="shared" ca="1" si="130"/>
        <v>0</v>
      </c>
      <c r="P428" s="105">
        <f t="shared" ca="1" si="131"/>
        <v>0</v>
      </c>
      <c r="Q428" s="105">
        <f t="shared" ca="1" si="132"/>
        <v>0</v>
      </c>
      <c r="R428" s="105">
        <f t="shared" ca="1" si="133"/>
        <v>0</v>
      </c>
      <c r="S428" s="105">
        <f t="shared" ca="1" si="134"/>
        <v>10</v>
      </c>
    </row>
    <row r="429" spans="1:19" x14ac:dyDescent="0.35">
      <c r="A429" s="105">
        <f t="shared" ca="1" si="120"/>
        <v>576.16500000000167</v>
      </c>
      <c r="B429" s="105">
        <f t="shared" ca="1" si="121"/>
        <v>0</v>
      </c>
      <c r="C429" s="105">
        <f t="shared" ca="1" si="122"/>
        <v>2</v>
      </c>
      <c r="D429" s="105">
        <f t="shared" ca="1" si="123"/>
        <v>0</v>
      </c>
      <c r="E429" s="105">
        <f t="shared" ca="1" si="124"/>
        <v>0</v>
      </c>
      <c r="F429" s="105">
        <f t="shared" ca="1" si="125"/>
        <v>0</v>
      </c>
      <c r="G429" s="105">
        <f t="shared" ca="1" si="135"/>
        <v>0</v>
      </c>
      <c r="H429" s="105">
        <f t="shared" ca="1" si="136"/>
        <v>0</v>
      </c>
      <c r="I429" s="105">
        <f t="shared" ca="1" si="126"/>
        <v>0</v>
      </c>
      <c r="J429" s="105">
        <f t="shared" ca="1" si="127"/>
        <v>0</v>
      </c>
      <c r="K429" s="105">
        <f t="shared" ca="1" si="128"/>
        <v>0</v>
      </c>
      <c r="L429" s="105">
        <f t="shared" ca="1" si="137"/>
        <v>0</v>
      </c>
      <c r="M429" s="105">
        <f t="shared" ca="1" si="129"/>
        <v>0</v>
      </c>
      <c r="N429" s="105">
        <f t="shared" ca="1" si="138"/>
        <v>0</v>
      </c>
      <c r="O429" s="105">
        <f t="shared" ca="1" si="130"/>
        <v>0</v>
      </c>
      <c r="P429" s="105">
        <f t="shared" ca="1" si="131"/>
        <v>0</v>
      </c>
      <c r="Q429" s="105">
        <f t="shared" ca="1" si="132"/>
        <v>0</v>
      </c>
      <c r="R429" s="105">
        <f t="shared" ca="1" si="133"/>
        <v>0</v>
      </c>
      <c r="S429" s="105">
        <f t="shared" ca="1" si="134"/>
        <v>10</v>
      </c>
    </row>
    <row r="430" spans="1:19" x14ac:dyDescent="0.35">
      <c r="A430" s="105">
        <f t="shared" ca="1" si="120"/>
        <v>577.51750000000163</v>
      </c>
      <c r="B430" s="105">
        <f t="shared" ca="1" si="121"/>
        <v>0</v>
      </c>
      <c r="C430" s="105">
        <f t="shared" ca="1" si="122"/>
        <v>2</v>
      </c>
      <c r="D430" s="105">
        <f t="shared" ca="1" si="123"/>
        <v>0</v>
      </c>
      <c r="E430" s="105">
        <f t="shared" ca="1" si="124"/>
        <v>0</v>
      </c>
      <c r="F430" s="105">
        <f t="shared" ca="1" si="125"/>
        <v>0</v>
      </c>
      <c r="G430" s="105">
        <f t="shared" ca="1" si="135"/>
        <v>0</v>
      </c>
      <c r="H430" s="105">
        <f t="shared" ca="1" si="136"/>
        <v>0</v>
      </c>
      <c r="I430" s="105">
        <f t="shared" ca="1" si="126"/>
        <v>0</v>
      </c>
      <c r="J430" s="105">
        <f t="shared" ca="1" si="127"/>
        <v>0</v>
      </c>
      <c r="K430" s="105">
        <f t="shared" ca="1" si="128"/>
        <v>0</v>
      </c>
      <c r="L430" s="105">
        <f t="shared" ca="1" si="137"/>
        <v>0</v>
      </c>
      <c r="M430" s="105">
        <f t="shared" ca="1" si="129"/>
        <v>0</v>
      </c>
      <c r="N430" s="105">
        <f t="shared" ca="1" si="138"/>
        <v>0</v>
      </c>
      <c r="O430" s="105">
        <f t="shared" ca="1" si="130"/>
        <v>0</v>
      </c>
      <c r="P430" s="105">
        <f t="shared" ca="1" si="131"/>
        <v>0</v>
      </c>
      <c r="Q430" s="105">
        <f t="shared" ca="1" si="132"/>
        <v>0</v>
      </c>
      <c r="R430" s="105">
        <f t="shared" ca="1" si="133"/>
        <v>0</v>
      </c>
      <c r="S430" s="105">
        <f t="shared" ca="1" si="134"/>
        <v>10</v>
      </c>
    </row>
    <row r="431" spans="1:19" x14ac:dyDescent="0.35">
      <c r="A431" s="105">
        <f t="shared" ca="1" si="120"/>
        <v>578.8700000000016</v>
      </c>
      <c r="B431" s="105">
        <f t="shared" ca="1" si="121"/>
        <v>0</v>
      </c>
      <c r="C431" s="105">
        <f t="shared" ca="1" si="122"/>
        <v>2</v>
      </c>
      <c r="D431" s="105">
        <f t="shared" ca="1" si="123"/>
        <v>0</v>
      </c>
      <c r="E431" s="105">
        <f t="shared" ca="1" si="124"/>
        <v>0</v>
      </c>
      <c r="F431" s="105">
        <f t="shared" ca="1" si="125"/>
        <v>0</v>
      </c>
      <c r="G431" s="105">
        <f t="shared" ca="1" si="135"/>
        <v>0</v>
      </c>
      <c r="H431" s="105">
        <f t="shared" ca="1" si="136"/>
        <v>0</v>
      </c>
      <c r="I431" s="105">
        <f t="shared" ca="1" si="126"/>
        <v>0</v>
      </c>
      <c r="J431" s="105">
        <f t="shared" ca="1" si="127"/>
        <v>0</v>
      </c>
      <c r="K431" s="105">
        <f t="shared" ca="1" si="128"/>
        <v>0</v>
      </c>
      <c r="L431" s="105">
        <f t="shared" ca="1" si="137"/>
        <v>0</v>
      </c>
      <c r="M431" s="105">
        <f t="shared" ca="1" si="129"/>
        <v>0</v>
      </c>
      <c r="N431" s="105">
        <f t="shared" ca="1" si="138"/>
        <v>0</v>
      </c>
      <c r="O431" s="105">
        <f t="shared" ca="1" si="130"/>
        <v>0</v>
      </c>
      <c r="P431" s="105">
        <f t="shared" ca="1" si="131"/>
        <v>0</v>
      </c>
      <c r="Q431" s="105">
        <f t="shared" ca="1" si="132"/>
        <v>0</v>
      </c>
      <c r="R431" s="105">
        <f t="shared" ca="1" si="133"/>
        <v>0</v>
      </c>
      <c r="S431" s="105">
        <f t="shared" ca="1" si="134"/>
        <v>10</v>
      </c>
    </row>
    <row r="432" spans="1:19" x14ac:dyDescent="0.35">
      <c r="A432" s="105">
        <f t="shared" ca="1" si="120"/>
        <v>580.22250000000156</v>
      </c>
      <c r="B432" s="105">
        <f t="shared" ca="1" si="121"/>
        <v>0</v>
      </c>
      <c r="C432" s="105">
        <f t="shared" ca="1" si="122"/>
        <v>2</v>
      </c>
      <c r="D432" s="105">
        <f t="shared" ca="1" si="123"/>
        <v>0</v>
      </c>
      <c r="E432" s="105">
        <f t="shared" ca="1" si="124"/>
        <v>0</v>
      </c>
      <c r="F432" s="105">
        <f t="shared" ca="1" si="125"/>
        <v>0</v>
      </c>
      <c r="G432" s="105">
        <f t="shared" ca="1" si="135"/>
        <v>0</v>
      </c>
      <c r="H432" s="105">
        <f t="shared" ca="1" si="136"/>
        <v>0</v>
      </c>
      <c r="I432" s="105">
        <f t="shared" ca="1" si="126"/>
        <v>0</v>
      </c>
      <c r="J432" s="105">
        <f t="shared" ca="1" si="127"/>
        <v>0</v>
      </c>
      <c r="K432" s="105">
        <f t="shared" ca="1" si="128"/>
        <v>0</v>
      </c>
      <c r="L432" s="105">
        <f t="shared" ca="1" si="137"/>
        <v>0</v>
      </c>
      <c r="M432" s="105">
        <f t="shared" ca="1" si="129"/>
        <v>0</v>
      </c>
      <c r="N432" s="105">
        <f t="shared" ca="1" si="138"/>
        <v>0</v>
      </c>
      <c r="O432" s="105">
        <f t="shared" ca="1" si="130"/>
        <v>0</v>
      </c>
      <c r="P432" s="105">
        <f t="shared" ca="1" si="131"/>
        <v>0</v>
      </c>
      <c r="Q432" s="105">
        <f t="shared" ca="1" si="132"/>
        <v>0</v>
      </c>
      <c r="R432" s="105">
        <f t="shared" ca="1" si="133"/>
        <v>0</v>
      </c>
      <c r="S432" s="105">
        <f t="shared" ca="1" si="134"/>
        <v>10</v>
      </c>
    </row>
    <row r="433" spans="1:19" x14ac:dyDescent="0.35">
      <c r="A433" s="105">
        <f t="shared" ca="1" si="120"/>
        <v>581.57500000000152</v>
      </c>
      <c r="B433" s="105">
        <f t="shared" ca="1" si="121"/>
        <v>0</v>
      </c>
      <c r="C433" s="105">
        <f t="shared" ca="1" si="122"/>
        <v>2</v>
      </c>
      <c r="D433" s="105">
        <f t="shared" ca="1" si="123"/>
        <v>0</v>
      </c>
      <c r="E433" s="105">
        <f t="shared" ca="1" si="124"/>
        <v>0</v>
      </c>
      <c r="F433" s="105">
        <f t="shared" ca="1" si="125"/>
        <v>0</v>
      </c>
      <c r="G433" s="105">
        <f t="shared" ca="1" si="135"/>
        <v>0</v>
      </c>
      <c r="H433" s="105">
        <f t="shared" ca="1" si="136"/>
        <v>0</v>
      </c>
      <c r="I433" s="105">
        <f t="shared" ca="1" si="126"/>
        <v>0</v>
      </c>
      <c r="J433" s="105">
        <f t="shared" ca="1" si="127"/>
        <v>0</v>
      </c>
      <c r="K433" s="105">
        <f t="shared" ca="1" si="128"/>
        <v>0</v>
      </c>
      <c r="L433" s="105">
        <f t="shared" ca="1" si="137"/>
        <v>0</v>
      </c>
      <c r="M433" s="105">
        <f t="shared" ca="1" si="129"/>
        <v>0</v>
      </c>
      <c r="N433" s="105">
        <f t="shared" ca="1" si="138"/>
        <v>0</v>
      </c>
      <c r="O433" s="105">
        <f t="shared" ca="1" si="130"/>
        <v>0</v>
      </c>
      <c r="P433" s="105">
        <f t="shared" ca="1" si="131"/>
        <v>0</v>
      </c>
      <c r="Q433" s="105">
        <f t="shared" ca="1" si="132"/>
        <v>0</v>
      </c>
      <c r="R433" s="105">
        <f t="shared" ca="1" si="133"/>
        <v>0</v>
      </c>
      <c r="S433" s="105">
        <f t="shared" ca="1" si="134"/>
        <v>10</v>
      </c>
    </row>
    <row r="434" spans="1:19" x14ac:dyDescent="0.35">
      <c r="A434" s="105">
        <f t="shared" ca="1" si="120"/>
        <v>582.92750000000149</v>
      </c>
      <c r="B434" s="105">
        <f t="shared" ca="1" si="121"/>
        <v>0</v>
      </c>
      <c r="C434" s="105">
        <f t="shared" ca="1" si="122"/>
        <v>2</v>
      </c>
      <c r="D434" s="105">
        <f t="shared" ca="1" si="123"/>
        <v>0</v>
      </c>
      <c r="E434" s="105">
        <f t="shared" ca="1" si="124"/>
        <v>0</v>
      </c>
      <c r="F434" s="105">
        <f t="shared" ca="1" si="125"/>
        <v>0</v>
      </c>
      <c r="G434" s="105">
        <f t="shared" ca="1" si="135"/>
        <v>0</v>
      </c>
      <c r="H434" s="105">
        <f t="shared" ca="1" si="136"/>
        <v>0</v>
      </c>
      <c r="I434" s="105">
        <f t="shared" ca="1" si="126"/>
        <v>0</v>
      </c>
      <c r="J434" s="105">
        <f t="shared" ca="1" si="127"/>
        <v>0</v>
      </c>
      <c r="K434" s="105">
        <f t="shared" ca="1" si="128"/>
        <v>0</v>
      </c>
      <c r="L434" s="105">
        <f t="shared" ca="1" si="137"/>
        <v>0</v>
      </c>
      <c r="M434" s="105">
        <f t="shared" ca="1" si="129"/>
        <v>0</v>
      </c>
      <c r="N434" s="105">
        <f t="shared" ca="1" si="138"/>
        <v>0</v>
      </c>
      <c r="O434" s="105">
        <f t="shared" ca="1" si="130"/>
        <v>0</v>
      </c>
      <c r="P434" s="105">
        <f t="shared" ca="1" si="131"/>
        <v>0</v>
      </c>
      <c r="Q434" s="105">
        <f t="shared" ca="1" si="132"/>
        <v>0</v>
      </c>
      <c r="R434" s="105">
        <f t="shared" ca="1" si="133"/>
        <v>0</v>
      </c>
      <c r="S434" s="105">
        <f t="shared" ca="1" si="134"/>
        <v>10</v>
      </c>
    </row>
    <row r="435" spans="1:19" x14ac:dyDescent="0.35">
      <c r="A435" s="105">
        <f t="shared" ca="1" si="120"/>
        <v>584.28000000000145</v>
      </c>
      <c r="B435" s="105">
        <f t="shared" ca="1" si="121"/>
        <v>0</v>
      </c>
      <c r="C435" s="105">
        <f t="shared" ca="1" si="122"/>
        <v>2</v>
      </c>
      <c r="D435" s="105">
        <f t="shared" ca="1" si="123"/>
        <v>0</v>
      </c>
      <c r="E435" s="105">
        <f t="shared" ca="1" si="124"/>
        <v>0</v>
      </c>
      <c r="F435" s="105">
        <f t="shared" ca="1" si="125"/>
        <v>0</v>
      </c>
      <c r="G435" s="105">
        <f t="shared" ca="1" si="135"/>
        <v>0</v>
      </c>
      <c r="H435" s="105">
        <f t="shared" ca="1" si="136"/>
        <v>0</v>
      </c>
      <c r="I435" s="105">
        <f t="shared" ca="1" si="126"/>
        <v>0</v>
      </c>
      <c r="J435" s="105">
        <f t="shared" ca="1" si="127"/>
        <v>0</v>
      </c>
      <c r="K435" s="105">
        <f t="shared" ca="1" si="128"/>
        <v>0</v>
      </c>
      <c r="L435" s="105">
        <f t="shared" ca="1" si="137"/>
        <v>0</v>
      </c>
      <c r="M435" s="105">
        <f t="shared" ca="1" si="129"/>
        <v>0</v>
      </c>
      <c r="N435" s="105">
        <f t="shared" ca="1" si="138"/>
        <v>0</v>
      </c>
      <c r="O435" s="105">
        <f t="shared" ca="1" si="130"/>
        <v>0</v>
      </c>
      <c r="P435" s="105">
        <f t="shared" ca="1" si="131"/>
        <v>0</v>
      </c>
      <c r="Q435" s="105">
        <f t="shared" ca="1" si="132"/>
        <v>0</v>
      </c>
      <c r="R435" s="105">
        <f t="shared" ca="1" si="133"/>
        <v>0</v>
      </c>
      <c r="S435" s="105">
        <f t="shared" ca="1" si="134"/>
        <v>10</v>
      </c>
    </row>
    <row r="436" spans="1:19" x14ac:dyDescent="0.35">
      <c r="A436" s="105">
        <f t="shared" ca="1" si="120"/>
        <v>585.63250000000141</v>
      </c>
      <c r="B436" s="105">
        <f t="shared" ca="1" si="121"/>
        <v>0</v>
      </c>
      <c r="C436" s="105">
        <f t="shared" ca="1" si="122"/>
        <v>2</v>
      </c>
      <c r="D436" s="105">
        <f t="shared" ca="1" si="123"/>
        <v>0</v>
      </c>
      <c r="E436" s="105">
        <f t="shared" ca="1" si="124"/>
        <v>0</v>
      </c>
      <c r="F436" s="105">
        <f t="shared" ca="1" si="125"/>
        <v>0</v>
      </c>
      <c r="G436" s="105">
        <f t="shared" ca="1" si="135"/>
        <v>0</v>
      </c>
      <c r="H436" s="105">
        <f t="shared" ca="1" si="136"/>
        <v>0</v>
      </c>
      <c r="I436" s="105">
        <f t="shared" ca="1" si="126"/>
        <v>0</v>
      </c>
      <c r="J436" s="105">
        <f t="shared" ca="1" si="127"/>
        <v>0</v>
      </c>
      <c r="K436" s="105">
        <f t="shared" ca="1" si="128"/>
        <v>0</v>
      </c>
      <c r="L436" s="105">
        <f t="shared" ca="1" si="137"/>
        <v>0</v>
      </c>
      <c r="M436" s="105">
        <f t="shared" ca="1" si="129"/>
        <v>0</v>
      </c>
      <c r="N436" s="105">
        <f t="shared" ca="1" si="138"/>
        <v>0</v>
      </c>
      <c r="O436" s="105">
        <f t="shared" ca="1" si="130"/>
        <v>0</v>
      </c>
      <c r="P436" s="105">
        <f t="shared" ca="1" si="131"/>
        <v>0</v>
      </c>
      <c r="Q436" s="105">
        <f t="shared" ca="1" si="132"/>
        <v>0</v>
      </c>
      <c r="R436" s="105">
        <f t="shared" ca="1" si="133"/>
        <v>0</v>
      </c>
      <c r="S436" s="105">
        <f t="shared" ca="1" si="134"/>
        <v>10</v>
      </c>
    </row>
    <row r="437" spans="1:19" x14ac:dyDescent="0.35">
      <c r="A437" s="105">
        <f t="shared" ca="1" si="120"/>
        <v>586.98500000000138</v>
      </c>
      <c r="B437" s="105">
        <f t="shared" ca="1" si="121"/>
        <v>0</v>
      </c>
      <c r="C437" s="105">
        <f t="shared" ca="1" si="122"/>
        <v>2</v>
      </c>
      <c r="D437" s="105">
        <f t="shared" ca="1" si="123"/>
        <v>0</v>
      </c>
      <c r="E437" s="105">
        <f t="shared" ca="1" si="124"/>
        <v>0</v>
      </c>
      <c r="F437" s="105">
        <f t="shared" ca="1" si="125"/>
        <v>0</v>
      </c>
      <c r="G437" s="105">
        <f t="shared" ca="1" si="135"/>
        <v>0</v>
      </c>
      <c r="H437" s="105">
        <f t="shared" ca="1" si="136"/>
        <v>0</v>
      </c>
      <c r="I437" s="105">
        <f t="shared" ca="1" si="126"/>
        <v>0</v>
      </c>
      <c r="J437" s="105">
        <f t="shared" ca="1" si="127"/>
        <v>0</v>
      </c>
      <c r="K437" s="105">
        <f t="shared" ca="1" si="128"/>
        <v>0</v>
      </c>
      <c r="L437" s="105">
        <f t="shared" ca="1" si="137"/>
        <v>0</v>
      </c>
      <c r="M437" s="105">
        <f t="shared" ca="1" si="129"/>
        <v>0</v>
      </c>
      <c r="N437" s="105">
        <f t="shared" ca="1" si="138"/>
        <v>0</v>
      </c>
      <c r="O437" s="105">
        <f t="shared" ca="1" si="130"/>
        <v>0</v>
      </c>
      <c r="P437" s="105">
        <f t="shared" ca="1" si="131"/>
        <v>0</v>
      </c>
      <c r="Q437" s="105">
        <f t="shared" ca="1" si="132"/>
        <v>0</v>
      </c>
      <c r="R437" s="105">
        <f t="shared" ca="1" si="133"/>
        <v>0</v>
      </c>
      <c r="S437" s="105">
        <f t="shared" ca="1" si="134"/>
        <v>10</v>
      </c>
    </row>
    <row r="438" spans="1:19" x14ac:dyDescent="0.35">
      <c r="A438" s="105">
        <f t="shared" ca="1" si="120"/>
        <v>588.33750000000134</v>
      </c>
      <c r="B438" s="105">
        <f t="shared" ca="1" si="121"/>
        <v>0</v>
      </c>
      <c r="C438" s="105">
        <f t="shared" ca="1" si="122"/>
        <v>2</v>
      </c>
      <c r="D438" s="105">
        <f t="shared" ca="1" si="123"/>
        <v>0</v>
      </c>
      <c r="E438" s="105">
        <f t="shared" ca="1" si="124"/>
        <v>0</v>
      </c>
      <c r="F438" s="105">
        <f t="shared" ca="1" si="125"/>
        <v>0</v>
      </c>
      <c r="G438" s="105">
        <f t="shared" ca="1" si="135"/>
        <v>0</v>
      </c>
      <c r="H438" s="105">
        <f t="shared" ca="1" si="136"/>
        <v>0</v>
      </c>
      <c r="I438" s="105">
        <f t="shared" ca="1" si="126"/>
        <v>0</v>
      </c>
      <c r="J438" s="105">
        <f t="shared" ca="1" si="127"/>
        <v>0</v>
      </c>
      <c r="K438" s="105">
        <f t="shared" ca="1" si="128"/>
        <v>0</v>
      </c>
      <c r="L438" s="105">
        <f t="shared" ca="1" si="137"/>
        <v>0</v>
      </c>
      <c r="M438" s="105">
        <f t="shared" ca="1" si="129"/>
        <v>0</v>
      </c>
      <c r="N438" s="105">
        <f t="shared" ca="1" si="138"/>
        <v>0</v>
      </c>
      <c r="O438" s="105">
        <f t="shared" ca="1" si="130"/>
        <v>0</v>
      </c>
      <c r="P438" s="105">
        <f t="shared" ca="1" si="131"/>
        <v>0</v>
      </c>
      <c r="Q438" s="105">
        <f t="shared" ca="1" si="132"/>
        <v>0</v>
      </c>
      <c r="R438" s="105">
        <f t="shared" ca="1" si="133"/>
        <v>0</v>
      </c>
      <c r="S438" s="105">
        <f t="shared" ca="1" si="134"/>
        <v>10</v>
      </c>
    </row>
    <row r="439" spans="1:19" x14ac:dyDescent="0.35">
      <c r="A439" s="105">
        <f t="shared" ca="1" si="120"/>
        <v>589.69000000000131</v>
      </c>
      <c r="B439" s="105">
        <f t="shared" ca="1" si="121"/>
        <v>0</v>
      </c>
      <c r="C439" s="105">
        <f t="shared" ca="1" si="122"/>
        <v>2</v>
      </c>
      <c r="D439" s="105">
        <f t="shared" ca="1" si="123"/>
        <v>0</v>
      </c>
      <c r="E439" s="105">
        <f t="shared" ca="1" si="124"/>
        <v>0</v>
      </c>
      <c r="F439" s="105">
        <f t="shared" ca="1" si="125"/>
        <v>0</v>
      </c>
      <c r="G439" s="105">
        <f t="shared" ca="1" si="135"/>
        <v>0</v>
      </c>
      <c r="H439" s="105">
        <f t="shared" ca="1" si="136"/>
        <v>0</v>
      </c>
      <c r="I439" s="105">
        <f t="shared" ca="1" si="126"/>
        <v>0</v>
      </c>
      <c r="J439" s="105">
        <f t="shared" ca="1" si="127"/>
        <v>0</v>
      </c>
      <c r="K439" s="105">
        <f t="shared" ca="1" si="128"/>
        <v>0</v>
      </c>
      <c r="L439" s="105">
        <f t="shared" ca="1" si="137"/>
        <v>0</v>
      </c>
      <c r="M439" s="105">
        <f t="shared" ca="1" si="129"/>
        <v>0</v>
      </c>
      <c r="N439" s="105">
        <f t="shared" ca="1" si="138"/>
        <v>0</v>
      </c>
      <c r="O439" s="105">
        <f t="shared" ca="1" si="130"/>
        <v>0</v>
      </c>
      <c r="P439" s="105">
        <f t="shared" ca="1" si="131"/>
        <v>0</v>
      </c>
      <c r="Q439" s="105">
        <f t="shared" ca="1" si="132"/>
        <v>0</v>
      </c>
      <c r="R439" s="105">
        <f t="shared" ca="1" si="133"/>
        <v>0</v>
      </c>
      <c r="S439" s="105">
        <f t="shared" ca="1" si="134"/>
        <v>10</v>
      </c>
    </row>
    <row r="440" spans="1:19" x14ac:dyDescent="0.35">
      <c r="A440" s="105">
        <f t="shared" ca="1" si="120"/>
        <v>591.04250000000127</v>
      </c>
      <c r="B440" s="105">
        <f t="shared" ca="1" si="121"/>
        <v>0</v>
      </c>
      <c r="C440" s="105">
        <f t="shared" ca="1" si="122"/>
        <v>2</v>
      </c>
      <c r="D440" s="105">
        <f t="shared" ca="1" si="123"/>
        <v>0</v>
      </c>
      <c r="E440" s="105">
        <f t="shared" ca="1" si="124"/>
        <v>0</v>
      </c>
      <c r="F440" s="105">
        <f t="shared" ca="1" si="125"/>
        <v>0</v>
      </c>
      <c r="G440" s="105">
        <f t="shared" ca="1" si="135"/>
        <v>0</v>
      </c>
      <c r="H440" s="105">
        <f t="shared" ca="1" si="136"/>
        <v>0</v>
      </c>
      <c r="I440" s="105">
        <f t="shared" ca="1" si="126"/>
        <v>0</v>
      </c>
      <c r="J440" s="105">
        <f t="shared" ca="1" si="127"/>
        <v>0</v>
      </c>
      <c r="K440" s="105">
        <f t="shared" ca="1" si="128"/>
        <v>0</v>
      </c>
      <c r="L440" s="105">
        <f t="shared" ca="1" si="137"/>
        <v>0</v>
      </c>
      <c r="M440" s="105">
        <f t="shared" ca="1" si="129"/>
        <v>0</v>
      </c>
      <c r="N440" s="105">
        <f t="shared" ca="1" si="138"/>
        <v>0</v>
      </c>
      <c r="O440" s="105">
        <f t="shared" ca="1" si="130"/>
        <v>0</v>
      </c>
      <c r="P440" s="105">
        <f t="shared" ca="1" si="131"/>
        <v>0</v>
      </c>
      <c r="Q440" s="105">
        <f t="shared" ca="1" si="132"/>
        <v>0</v>
      </c>
      <c r="R440" s="105">
        <f t="shared" ca="1" si="133"/>
        <v>0</v>
      </c>
      <c r="S440" s="105">
        <f t="shared" ca="1" si="134"/>
        <v>10</v>
      </c>
    </row>
    <row r="441" spans="1:19" x14ac:dyDescent="0.35">
      <c r="A441" s="105">
        <f t="shared" ca="1" si="120"/>
        <v>592.39500000000123</v>
      </c>
      <c r="B441" s="105">
        <f t="shared" ca="1" si="121"/>
        <v>0</v>
      </c>
      <c r="C441" s="105">
        <f t="shared" ca="1" si="122"/>
        <v>2</v>
      </c>
      <c r="D441" s="105">
        <f t="shared" ca="1" si="123"/>
        <v>0</v>
      </c>
      <c r="E441" s="105">
        <f t="shared" ca="1" si="124"/>
        <v>0</v>
      </c>
      <c r="F441" s="105">
        <f t="shared" ca="1" si="125"/>
        <v>0</v>
      </c>
      <c r="G441" s="105">
        <f t="shared" ca="1" si="135"/>
        <v>0</v>
      </c>
      <c r="H441" s="105">
        <f t="shared" ca="1" si="136"/>
        <v>0</v>
      </c>
      <c r="I441" s="105">
        <f t="shared" ca="1" si="126"/>
        <v>0</v>
      </c>
      <c r="J441" s="105">
        <f t="shared" ca="1" si="127"/>
        <v>0</v>
      </c>
      <c r="K441" s="105">
        <f t="shared" ca="1" si="128"/>
        <v>0</v>
      </c>
      <c r="L441" s="105">
        <f t="shared" ca="1" si="137"/>
        <v>0</v>
      </c>
      <c r="M441" s="105">
        <f t="shared" ca="1" si="129"/>
        <v>0</v>
      </c>
      <c r="N441" s="105">
        <f t="shared" ca="1" si="138"/>
        <v>0</v>
      </c>
      <c r="O441" s="105">
        <f t="shared" ca="1" si="130"/>
        <v>0</v>
      </c>
      <c r="P441" s="105">
        <f t="shared" ca="1" si="131"/>
        <v>0</v>
      </c>
      <c r="Q441" s="105">
        <f t="shared" ca="1" si="132"/>
        <v>0</v>
      </c>
      <c r="R441" s="105">
        <f t="shared" ca="1" si="133"/>
        <v>0</v>
      </c>
      <c r="S441" s="105">
        <f t="shared" ca="1" si="134"/>
        <v>10</v>
      </c>
    </row>
    <row r="442" spans="1:19" x14ac:dyDescent="0.35">
      <c r="A442" s="105">
        <f t="shared" ca="1" si="120"/>
        <v>593.7475000000012</v>
      </c>
      <c r="B442" s="105">
        <f t="shared" ca="1" si="121"/>
        <v>0</v>
      </c>
      <c r="C442" s="105">
        <f t="shared" ca="1" si="122"/>
        <v>2</v>
      </c>
      <c r="D442" s="105">
        <f t="shared" ca="1" si="123"/>
        <v>0</v>
      </c>
      <c r="E442" s="105">
        <f t="shared" ca="1" si="124"/>
        <v>0</v>
      </c>
      <c r="F442" s="105">
        <f t="shared" ca="1" si="125"/>
        <v>0</v>
      </c>
      <c r="G442" s="105">
        <f t="shared" ca="1" si="135"/>
        <v>0</v>
      </c>
      <c r="H442" s="105">
        <f t="shared" ca="1" si="136"/>
        <v>0</v>
      </c>
      <c r="I442" s="105">
        <f t="shared" ca="1" si="126"/>
        <v>0</v>
      </c>
      <c r="J442" s="105">
        <f t="shared" ca="1" si="127"/>
        <v>0</v>
      </c>
      <c r="K442" s="105">
        <f t="shared" ca="1" si="128"/>
        <v>0</v>
      </c>
      <c r="L442" s="105">
        <f t="shared" ca="1" si="137"/>
        <v>0</v>
      </c>
      <c r="M442" s="105">
        <f t="shared" ca="1" si="129"/>
        <v>0</v>
      </c>
      <c r="N442" s="105">
        <f t="shared" ca="1" si="138"/>
        <v>0</v>
      </c>
      <c r="O442" s="105">
        <f t="shared" ca="1" si="130"/>
        <v>0</v>
      </c>
      <c r="P442" s="105">
        <f t="shared" ca="1" si="131"/>
        <v>0</v>
      </c>
      <c r="Q442" s="105">
        <f t="shared" ca="1" si="132"/>
        <v>0</v>
      </c>
      <c r="R442" s="105">
        <f t="shared" ca="1" si="133"/>
        <v>0</v>
      </c>
      <c r="S442" s="105">
        <f t="shared" ca="1" si="134"/>
        <v>10</v>
      </c>
    </row>
    <row r="443" spans="1:19" x14ac:dyDescent="0.35">
      <c r="A443" s="105">
        <f t="shared" ca="1" si="120"/>
        <v>595.10000000000116</v>
      </c>
      <c r="B443" s="105">
        <f t="shared" ca="1" si="121"/>
        <v>0</v>
      </c>
      <c r="C443" s="105">
        <f t="shared" ca="1" si="122"/>
        <v>2</v>
      </c>
      <c r="D443" s="105">
        <f t="shared" ca="1" si="123"/>
        <v>0</v>
      </c>
      <c r="E443" s="105">
        <f t="shared" ca="1" si="124"/>
        <v>0</v>
      </c>
      <c r="F443" s="105">
        <f t="shared" ca="1" si="125"/>
        <v>0</v>
      </c>
      <c r="G443" s="105">
        <f t="shared" ca="1" si="135"/>
        <v>0</v>
      </c>
      <c r="H443" s="105">
        <f t="shared" ca="1" si="136"/>
        <v>0</v>
      </c>
      <c r="I443" s="105">
        <f t="shared" ca="1" si="126"/>
        <v>0</v>
      </c>
      <c r="J443" s="105">
        <f t="shared" ca="1" si="127"/>
        <v>0</v>
      </c>
      <c r="K443" s="105">
        <f t="shared" ca="1" si="128"/>
        <v>0</v>
      </c>
      <c r="L443" s="105">
        <f t="shared" ca="1" si="137"/>
        <v>0</v>
      </c>
      <c r="M443" s="105">
        <f t="shared" ca="1" si="129"/>
        <v>0</v>
      </c>
      <c r="N443" s="105">
        <f t="shared" ca="1" si="138"/>
        <v>0</v>
      </c>
      <c r="O443" s="105">
        <f t="shared" ca="1" si="130"/>
        <v>0</v>
      </c>
      <c r="P443" s="105">
        <f t="shared" ca="1" si="131"/>
        <v>0</v>
      </c>
      <c r="Q443" s="105">
        <f t="shared" ca="1" si="132"/>
        <v>0</v>
      </c>
      <c r="R443" s="105">
        <f t="shared" ca="1" si="133"/>
        <v>0</v>
      </c>
      <c r="S443" s="105">
        <f t="shared" ca="1" si="134"/>
        <v>10</v>
      </c>
    </row>
    <row r="444" spans="1:19" x14ac:dyDescent="0.35">
      <c r="A444" s="105">
        <f t="shared" ca="1" si="120"/>
        <v>596.45250000000112</v>
      </c>
      <c r="B444" s="105">
        <f t="shared" ca="1" si="121"/>
        <v>0</v>
      </c>
      <c r="C444" s="105">
        <f t="shared" ca="1" si="122"/>
        <v>2</v>
      </c>
      <c r="D444" s="105">
        <f t="shared" ca="1" si="123"/>
        <v>0</v>
      </c>
      <c r="E444" s="105">
        <f t="shared" ca="1" si="124"/>
        <v>0</v>
      </c>
      <c r="F444" s="105">
        <f t="shared" ca="1" si="125"/>
        <v>0</v>
      </c>
      <c r="G444" s="105">
        <f t="shared" ca="1" si="135"/>
        <v>0</v>
      </c>
      <c r="H444" s="105">
        <f t="shared" ca="1" si="136"/>
        <v>0</v>
      </c>
      <c r="I444" s="105">
        <f t="shared" ca="1" si="126"/>
        <v>0</v>
      </c>
      <c r="J444" s="105">
        <f t="shared" ca="1" si="127"/>
        <v>0</v>
      </c>
      <c r="K444" s="105">
        <f t="shared" ca="1" si="128"/>
        <v>0</v>
      </c>
      <c r="L444" s="105">
        <f t="shared" ca="1" si="137"/>
        <v>0</v>
      </c>
      <c r="M444" s="105">
        <f t="shared" ca="1" si="129"/>
        <v>0</v>
      </c>
      <c r="N444" s="105">
        <f t="shared" ca="1" si="138"/>
        <v>0</v>
      </c>
      <c r="O444" s="105">
        <f t="shared" ca="1" si="130"/>
        <v>0</v>
      </c>
      <c r="P444" s="105">
        <f t="shared" ca="1" si="131"/>
        <v>0</v>
      </c>
      <c r="Q444" s="105">
        <f t="shared" ca="1" si="132"/>
        <v>0</v>
      </c>
      <c r="R444" s="105">
        <f t="shared" ca="1" si="133"/>
        <v>0</v>
      </c>
      <c r="S444" s="105">
        <f t="shared" ca="1" si="134"/>
        <v>10</v>
      </c>
    </row>
    <row r="445" spans="1:19" x14ac:dyDescent="0.35">
      <c r="A445" s="105">
        <f t="shared" ca="1" si="120"/>
        <v>597.80500000000109</v>
      </c>
      <c r="B445" s="105">
        <f t="shared" ca="1" si="121"/>
        <v>0</v>
      </c>
      <c r="C445" s="105">
        <f t="shared" ca="1" si="122"/>
        <v>2</v>
      </c>
      <c r="D445" s="105">
        <f t="shared" ca="1" si="123"/>
        <v>0</v>
      </c>
      <c r="E445" s="105">
        <f t="shared" ca="1" si="124"/>
        <v>0</v>
      </c>
      <c r="F445" s="105">
        <f t="shared" ca="1" si="125"/>
        <v>0</v>
      </c>
      <c r="G445" s="105">
        <f t="shared" ca="1" si="135"/>
        <v>0</v>
      </c>
      <c r="H445" s="105">
        <f t="shared" ca="1" si="136"/>
        <v>0</v>
      </c>
      <c r="I445" s="105">
        <f t="shared" ca="1" si="126"/>
        <v>0</v>
      </c>
      <c r="J445" s="105">
        <f t="shared" ca="1" si="127"/>
        <v>0</v>
      </c>
      <c r="K445" s="105">
        <f t="shared" ca="1" si="128"/>
        <v>0</v>
      </c>
      <c r="L445" s="105">
        <f t="shared" ca="1" si="137"/>
        <v>0</v>
      </c>
      <c r="M445" s="105">
        <f t="shared" ca="1" si="129"/>
        <v>0</v>
      </c>
      <c r="N445" s="105">
        <f t="shared" ca="1" si="138"/>
        <v>0</v>
      </c>
      <c r="O445" s="105">
        <f t="shared" ca="1" si="130"/>
        <v>0</v>
      </c>
      <c r="P445" s="105">
        <f t="shared" ca="1" si="131"/>
        <v>0</v>
      </c>
      <c r="Q445" s="105">
        <f t="shared" ca="1" si="132"/>
        <v>0</v>
      </c>
      <c r="R445" s="105">
        <f t="shared" ca="1" si="133"/>
        <v>0</v>
      </c>
      <c r="S445" s="105">
        <f t="shared" ca="1" si="134"/>
        <v>10</v>
      </c>
    </row>
    <row r="446" spans="1:19" x14ac:dyDescent="0.35">
      <c r="A446" s="105">
        <f t="shared" ca="1" si="120"/>
        <v>599.15750000000105</v>
      </c>
      <c r="B446" s="105">
        <f t="shared" ca="1" si="121"/>
        <v>0</v>
      </c>
      <c r="C446" s="105">
        <f t="shared" ca="1" si="122"/>
        <v>2</v>
      </c>
      <c r="D446" s="105">
        <f t="shared" ca="1" si="123"/>
        <v>0</v>
      </c>
      <c r="E446" s="105">
        <f t="shared" ca="1" si="124"/>
        <v>0</v>
      </c>
      <c r="F446" s="105">
        <f t="shared" ca="1" si="125"/>
        <v>0</v>
      </c>
      <c r="G446" s="105">
        <f t="shared" ca="1" si="135"/>
        <v>0</v>
      </c>
      <c r="H446" s="105">
        <f t="shared" ca="1" si="136"/>
        <v>0</v>
      </c>
      <c r="I446" s="105">
        <f t="shared" ca="1" si="126"/>
        <v>0</v>
      </c>
      <c r="J446" s="105">
        <f t="shared" ca="1" si="127"/>
        <v>0</v>
      </c>
      <c r="K446" s="105">
        <f t="shared" ca="1" si="128"/>
        <v>0</v>
      </c>
      <c r="L446" s="105">
        <f t="shared" ca="1" si="137"/>
        <v>0</v>
      </c>
      <c r="M446" s="105">
        <f t="shared" ca="1" si="129"/>
        <v>0</v>
      </c>
      <c r="N446" s="105">
        <f t="shared" ca="1" si="138"/>
        <v>0</v>
      </c>
      <c r="O446" s="105">
        <f t="shared" ca="1" si="130"/>
        <v>0</v>
      </c>
      <c r="P446" s="105">
        <f t="shared" ca="1" si="131"/>
        <v>0</v>
      </c>
      <c r="Q446" s="105">
        <f t="shared" ca="1" si="132"/>
        <v>0</v>
      </c>
      <c r="R446" s="105">
        <f t="shared" ca="1" si="133"/>
        <v>0</v>
      </c>
      <c r="S446" s="105">
        <f t="shared" ca="1" si="134"/>
        <v>10</v>
      </c>
    </row>
    <row r="447" spans="1:19" x14ac:dyDescent="0.35">
      <c r="A447" s="105">
        <f t="shared" ca="1" si="120"/>
        <v>600.51000000000101</v>
      </c>
      <c r="B447" s="105">
        <f t="shared" ca="1" si="121"/>
        <v>0</v>
      </c>
      <c r="C447" s="105">
        <f t="shared" ca="1" si="122"/>
        <v>2</v>
      </c>
      <c r="D447" s="105">
        <f t="shared" ca="1" si="123"/>
        <v>0</v>
      </c>
      <c r="E447" s="105">
        <f t="shared" ca="1" si="124"/>
        <v>0</v>
      </c>
      <c r="F447" s="105">
        <f t="shared" ca="1" si="125"/>
        <v>0</v>
      </c>
      <c r="G447" s="105">
        <f t="shared" ca="1" si="135"/>
        <v>0</v>
      </c>
      <c r="H447" s="105">
        <f t="shared" ca="1" si="136"/>
        <v>0</v>
      </c>
      <c r="I447" s="105">
        <f t="shared" ca="1" si="126"/>
        <v>0</v>
      </c>
      <c r="J447" s="105">
        <f t="shared" ca="1" si="127"/>
        <v>0</v>
      </c>
      <c r="K447" s="105">
        <f t="shared" ca="1" si="128"/>
        <v>0</v>
      </c>
      <c r="L447" s="105">
        <f t="shared" ca="1" si="137"/>
        <v>0</v>
      </c>
      <c r="M447" s="105">
        <f t="shared" ca="1" si="129"/>
        <v>0</v>
      </c>
      <c r="N447" s="105">
        <f t="shared" ca="1" si="138"/>
        <v>0</v>
      </c>
      <c r="O447" s="105">
        <f t="shared" ca="1" si="130"/>
        <v>0</v>
      </c>
      <c r="P447" s="105">
        <f t="shared" ca="1" si="131"/>
        <v>0</v>
      </c>
      <c r="Q447" s="105">
        <f t="shared" ca="1" si="132"/>
        <v>0</v>
      </c>
      <c r="R447" s="105">
        <f t="shared" ca="1" si="133"/>
        <v>0</v>
      </c>
      <c r="S447" s="105">
        <f t="shared" ca="1" si="134"/>
        <v>10</v>
      </c>
    </row>
    <row r="448" spans="1:19" x14ac:dyDescent="0.35">
      <c r="A448" s="105">
        <f t="shared" ca="1" si="120"/>
        <v>601.86250000000098</v>
      </c>
      <c r="B448" s="105">
        <f t="shared" ca="1" si="121"/>
        <v>0</v>
      </c>
      <c r="C448" s="105">
        <f t="shared" ca="1" si="122"/>
        <v>2</v>
      </c>
      <c r="D448" s="105">
        <f t="shared" ca="1" si="123"/>
        <v>0</v>
      </c>
      <c r="E448" s="105">
        <f t="shared" ca="1" si="124"/>
        <v>0</v>
      </c>
      <c r="F448" s="105">
        <f t="shared" ca="1" si="125"/>
        <v>0</v>
      </c>
      <c r="G448" s="105">
        <f t="shared" ca="1" si="135"/>
        <v>0</v>
      </c>
      <c r="H448" s="105">
        <f t="shared" ca="1" si="136"/>
        <v>0</v>
      </c>
      <c r="I448" s="105">
        <f t="shared" ca="1" si="126"/>
        <v>0</v>
      </c>
      <c r="J448" s="105">
        <f t="shared" ca="1" si="127"/>
        <v>0</v>
      </c>
      <c r="K448" s="105">
        <f t="shared" ca="1" si="128"/>
        <v>0</v>
      </c>
      <c r="L448" s="105">
        <f t="shared" ca="1" si="137"/>
        <v>0</v>
      </c>
      <c r="M448" s="105">
        <f t="shared" ca="1" si="129"/>
        <v>0</v>
      </c>
      <c r="N448" s="105">
        <f t="shared" ca="1" si="138"/>
        <v>0</v>
      </c>
      <c r="O448" s="105">
        <f t="shared" ca="1" si="130"/>
        <v>0</v>
      </c>
      <c r="P448" s="105">
        <f t="shared" ca="1" si="131"/>
        <v>0</v>
      </c>
      <c r="Q448" s="105">
        <f t="shared" ca="1" si="132"/>
        <v>0</v>
      </c>
      <c r="R448" s="105">
        <f t="shared" ca="1" si="133"/>
        <v>0</v>
      </c>
      <c r="S448" s="105">
        <f t="shared" ca="1" si="134"/>
        <v>10</v>
      </c>
    </row>
    <row r="449" spans="1:19" x14ac:dyDescent="0.35">
      <c r="A449" s="105">
        <f t="shared" ca="1" si="120"/>
        <v>603.21500000000094</v>
      </c>
      <c r="B449" s="105">
        <f t="shared" ca="1" si="121"/>
        <v>0</v>
      </c>
      <c r="C449" s="105">
        <f t="shared" ca="1" si="122"/>
        <v>2</v>
      </c>
      <c r="D449" s="105">
        <f t="shared" ca="1" si="123"/>
        <v>0</v>
      </c>
      <c r="E449" s="105">
        <f t="shared" ca="1" si="124"/>
        <v>0</v>
      </c>
      <c r="F449" s="105">
        <f t="shared" ca="1" si="125"/>
        <v>0</v>
      </c>
      <c r="G449" s="105">
        <f t="shared" ca="1" si="135"/>
        <v>0</v>
      </c>
      <c r="H449" s="105">
        <f t="shared" ca="1" si="136"/>
        <v>0</v>
      </c>
      <c r="I449" s="105">
        <f t="shared" ca="1" si="126"/>
        <v>0</v>
      </c>
      <c r="J449" s="105">
        <f t="shared" ca="1" si="127"/>
        <v>0</v>
      </c>
      <c r="K449" s="105">
        <f t="shared" ca="1" si="128"/>
        <v>0</v>
      </c>
      <c r="L449" s="105">
        <f t="shared" ca="1" si="137"/>
        <v>0</v>
      </c>
      <c r="M449" s="105">
        <f t="shared" ca="1" si="129"/>
        <v>0</v>
      </c>
      <c r="N449" s="105">
        <f t="shared" ca="1" si="138"/>
        <v>0</v>
      </c>
      <c r="O449" s="105">
        <f t="shared" ca="1" si="130"/>
        <v>0</v>
      </c>
      <c r="P449" s="105">
        <f t="shared" ca="1" si="131"/>
        <v>0</v>
      </c>
      <c r="Q449" s="105">
        <f t="shared" ca="1" si="132"/>
        <v>0</v>
      </c>
      <c r="R449" s="105">
        <f t="shared" ca="1" si="133"/>
        <v>0</v>
      </c>
      <c r="S449" s="105">
        <f t="shared" ca="1" si="134"/>
        <v>10</v>
      </c>
    </row>
    <row r="450" spans="1:19" x14ac:dyDescent="0.35">
      <c r="A450" s="105">
        <f t="shared" ca="1" si="120"/>
        <v>604.5675000000009</v>
      </c>
      <c r="B450" s="105">
        <f t="shared" ca="1" si="121"/>
        <v>0</v>
      </c>
      <c r="C450" s="105">
        <f t="shared" ca="1" si="122"/>
        <v>2</v>
      </c>
      <c r="D450" s="105">
        <f t="shared" ca="1" si="123"/>
        <v>0</v>
      </c>
      <c r="E450" s="105">
        <f t="shared" ca="1" si="124"/>
        <v>0</v>
      </c>
      <c r="F450" s="105">
        <f t="shared" ca="1" si="125"/>
        <v>0</v>
      </c>
      <c r="G450" s="105">
        <f t="shared" ca="1" si="135"/>
        <v>0</v>
      </c>
      <c r="H450" s="105">
        <f t="shared" ca="1" si="136"/>
        <v>0</v>
      </c>
      <c r="I450" s="105">
        <f t="shared" ca="1" si="126"/>
        <v>0</v>
      </c>
      <c r="J450" s="105">
        <f t="shared" ca="1" si="127"/>
        <v>0</v>
      </c>
      <c r="K450" s="105">
        <f t="shared" ca="1" si="128"/>
        <v>0</v>
      </c>
      <c r="L450" s="105">
        <f t="shared" ca="1" si="137"/>
        <v>0</v>
      </c>
      <c r="M450" s="105">
        <f t="shared" ca="1" si="129"/>
        <v>0</v>
      </c>
      <c r="N450" s="105">
        <f t="shared" ca="1" si="138"/>
        <v>0</v>
      </c>
      <c r="O450" s="105">
        <f t="shared" ca="1" si="130"/>
        <v>0</v>
      </c>
      <c r="P450" s="105">
        <f t="shared" ca="1" si="131"/>
        <v>0</v>
      </c>
      <c r="Q450" s="105">
        <f t="shared" ca="1" si="132"/>
        <v>0</v>
      </c>
      <c r="R450" s="105">
        <f t="shared" ca="1" si="133"/>
        <v>0</v>
      </c>
      <c r="S450" s="105">
        <f t="shared" ca="1" si="134"/>
        <v>10</v>
      </c>
    </row>
    <row r="451" spans="1:19" x14ac:dyDescent="0.35">
      <c r="A451" s="105">
        <f t="shared" ca="1" si="120"/>
        <v>605.92000000000087</v>
      </c>
      <c r="B451" s="105">
        <f t="shared" ca="1" si="121"/>
        <v>0</v>
      </c>
      <c r="C451" s="105">
        <f t="shared" ca="1" si="122"/>
        <v>2</v>
      </c>
      <c r="D451" s="105">
        <f t="shared" ca="1" si="123"/>
        <v>0</v>
      </c>
      <c r="E451" s="105">
        <f t="shared" ca="1" si="124"/>
        <v>0</v>
      </c>
      <c r="F451" s="105">
        <f t="shared" ca="1" si="125"/>
        <v>0</v>
      </c>
      <c r="G451" s="105">
        <f t="shared" ca="1" si="135"/>
        <v>0</v>
      </c>
      <c r="H451" s="105">
        <f t="shared" ca="1" si="136"/>
        <v>0</v>
      </c>
      <c r="I451" s="105">
        <f t="shared" ca="1" si="126"/>
        <v>0</v>
      </c>
      <c r="J451" s="105">
        <f t="shared" ca="1" si="127"/>
        <v>0</v>
      </c>
      <c r="K451" s="105">
        <f t="shared" ca="1" si="128"/>
        <v>0</v>
      </c>
      <c r="L451" s="105">
        <f t="shared" ca="1" si="137"/>
        <v>0</v>
      </c>
      <c r="M451" s="105">
        <f t="shared" ca="1" si="129"/>
        <v>0</v>
      </c>
      <c r="N451" s="105">
        <f t="shared" ca="1" si="138"/>
        <v>0</v>
      </c>
      <c r="O451" s="105">
        <f t="shared" ca="1" si="130"/>
        <v>0</v>
      </c>
      <c r="P451" s="105">
        <f t="shared" ca="1" si="131"/>
        <v>0</v>
      </c>
      <c r="Q451" s="105">
        <f t="shared" ca="1" si="132"/>
        <v>0</v>
      </c>
      <c r="R451" s="105">
        <f t="shared" ca="1" si="133"/>
        <v>0</v>
      </c>
      <c r="S451" s="105">
        <f t="shared" ca="1" si="134"/>
        <v>10</v>
      </c>
    </row>
    <row r="452" spans="1:19" x14ac:dyDescent="0.35">
      <c r="A452" s="105">
        <f t="shared" ref="A452:A515" ca="1" si="139">$V$4+A451</f>
        <v>607.27250000000083</v>
      </c>
      <c r="B452" s="105">
        <f t="shared" ref="B452:B515" ca="1" si="140">IF(AND(A451&gt;$X$1,P451=0,R451=0),0,IF(AND(G451=0,H451=0),"突","")&amp;IF($V$8=0,IF(AND(OR($V$13=0,AND(K451=0,C451&lt;1),AND(K451&gt;0,OR(M451&gt;0,$V$7=0))),$V$6=1,E451=0),"渊","")&amp;IF(AND(OR($V$13=0,AND(K451=0,C451&lt;1),AND(K451&gt;0,OR(M451&gt;0,$V$7=0))),F451=0),"雷","")&amp;IF(AND(C451&gt;0,$V$13=1,E451=0,F451=0,K451=0),"任",IF(AND(G451=1,$V$7=1,I451=0),"乘","循环")),IF(AND($V$6=1,E451=0),"渊","")&amp;IF(AND(OR($V$13=0,AND(K451=0,C451&lt;1),AND(K451&gt;0,OR(M451&gt;0,$V$7=0))),F451=0),"雷","")&amp;IF(AND(C451&gt;0,L451=0,E451=0),"任",IF(AND(G451=1,$V$7=1,I451=0),"乘","循环"))))</f>
        <v>0</v>
      </c>
      <c r="C452" s="105">
        <f t="shared" ref="C452:C515" ca="1" si="141">IF(COUNTIF(B452,"*任*"),C451-1,IF(AND(D451&lt;&gt;0,D451&lt;$V$4),MIN(2,C451+1),C451))</f>
        <v>2</v>
      </c>
      <c r="D452" s="105">
        <f t="shared" ref="D452:D515" ca="1" si="142">IF(AND(D451&lt;$V$4,C451&lt;2),D451+$Y$6-$V$4,IF(AND(C451=2,COUNTIF(B452,"*任*")&gt;0),$Y$6-$V$4,MAX(0,D451-$V$4)))</f>
        <v>0</v>
      </c>
      <c r="E452" s="105">
        <f t="shared" ref="E452:E515" ca="1" si="143">IF(COUNTIF(B452,"*渊*")&gt;0,$Y$8-$V$4,MAX(0,E451-$V$4))</f>
        <v>0</v>
      </c>
      <c r="F452" s="105">
        <f t="shared" ref="F452:F515" ca="1" si="144">IF(COUNTIF(B452,"*雷*")&gt;0,$Y$9-$V$4,MAX(0,F451-$V$4))</f>
        <v>0</v>
      </c>
      <c r="G452" s="105">
        <f t="shared" ca="1" si="135"/>
        <v>0</v>
      </c>
      <c r="H452" s="105">
        <f t="shared" ca="1" si="136"/>
        <v>0</v>
      </c>
      <c r="I452" s="105">
        <f t="shared" ref="I452:I515" ca="1" si="145">IF(COUNTIF(B452,"*乘*")&gt;0,$Y$7-$V$4,MAX(0,I451-$V$4))</f>
        <v>0</v>
      </c>
      <c r="J452" s="105">
        <f t="shared" ref="J452:J515" ca="1" si="146">IF(H451&lt;1,$V$16,MAX(0,J451-1))*$V$11</f>
        <v>0</v>
      </c>
      <c r="K452" s="105">
        <f t="shared" ref="K452:K515" ca="1" si="147">IF(COUNTIF(B452,"*任*")&gt;0,$Z$6-$V$4+0.6875,MAX(0,K451-$V$4))</f>
        <v>0</v>
      </c>
      <c r="L452" s="105">
        <f t="shared" ca="1" si="137"/>
        <v>0</v>
      </c>
      <c r="M452" s="105">
        <f t="shared" ref="M452:M515" ca="1" si="148">IF(COUNTIF(B452,"*乘*")&gt;0,$Z$7-$V$4,MAX(0,M451-$V$4))</f>
        <v>0</v>
      </c>
      <c r="N452" s="105">
        <f t="shared" ca="1" si="138"/>
        <v>0</v>
      </c>
      <c r="O452" s="105">
        <f t="shared" ref="O452:O515" ca="1" si="149">IF(COUNTIF(B452,"*雷*")&gt;0,$Z$9-$V$4,MAX(0,O451-$V$4))</f>
        <v>0</v>
      </c>
      <c r="P452" s="105">
        <f t="shared" ref="P452:P515" ca="1" si="150">IF(O452+O451&gt;0,1,0)</f>
        <v>0</v>
      </c>
      <c r="Q452" s="105">
        <f t="shared" ref="Q452:Q515" ca="1" si="151">IF(COUNTIF(B452,"*渊*")&gt;0,$Z$8-$V$4,MAX(0,Q451-$V$4))</f>
        <v>0</v>
      </c>
      <c r="R452" s="105">
        <f t="shared" ref="R452:R515" ca="1" si="152">IF(Q452+Q451&gt;0,1,0)</f>
        <v>0</v>
      </c>
      <c r="S452" s="105">
        <f t="shared" ref="S452:S515" ca="1" si="153">IF(COUNTIF(B452,"*雷*")&gt;0,S451+1,S451)</f>
        <v>10</v>
      </c>
    </row>
    <row r="453" spans="1:19" x14ac:dyDescent="0.35">
      <c r="A453" s="105">
        <f t="shared" ca="1" si="139"/>
        <v>608.6250000000008</v>
      </c>
      <c r="B453" s="105">
        <f t="shared" ca="1" si="140"/>
        <v>0</v>
      </c>
      <c r="C453" s="105">
        <f t="shared" ca="1" si="141"/>
        <v>2</v>
      </c>
      <c r="D453" s="105">
        <f t="shared" ca="1" si="142"/>
        <v>0</v>
      </c>
      <c r="E453" s="105">
        <f t="shared" ca="1" si="143"/>
        <v>0</v>
      </c>
      <c r="F453" s="105">
        <f t="shared" ca="1" si="144"/>
        <v>0</v>
      </c>
      <c r="G453" s="105">
        <f t="shared" ref="G453:G516" ca="1" si="154">IF(RIGHT(B453,1)="任",1,IF(OR($V$9=0,AND(K452&lt;$V$4,H452=0)),0,G452))</f>
        <v>0</v>
      </c>
      <c r="H453" s="105">
        <f t="shared" ref="H453:H516" ca="1" si="155">IF(COUNTIF(B453,"*突*")&gt;0,$Y$5-$V$4,MAX(0,H452-$V$4))</f>
        <v>0</v>
      </c>
      <c r="I453" s="105">
        <f t="shared" ca="1" si="145"/>
        <v>0</v>
      </c>
      <c r="J453" s="105">
        <f t="shared" ca="1" si="146"/>
        <v>0</v>
      </c>
      <c r="K453" s="105">
        <f t="shared" ca="1" si="147"/>
        <v>0</v>
      </c>
      <c r="L453" s="105">
        <f t="shared" ca="1" si="137"/>
        <v>0</v>
      </c>
      <c r="M453" s="105">
        <f t="shared" ca="1" si="148"/>
        <v>0</v>
      </c>
      <c r="N453" s="105">
        <f t="shared" ca="1" si="138"/>
        <v>0</v>
      </c>
      <c r="O453" s="105">
        <f t="shared" ca="1" si="149"/>
        <v>0</v>
      </c>
      <c r="P453" s="105">
        <f t="shared" ca="1" si="150"/>
        <v>0</v>
      </c>
      <c r="Q453" s="105">
        <f t="shared" ca="1" si="151"/>
        <v>0</v>
      </c>
      <c r="R453" s="105">
        <f t="shared" ca="1" si="152"/>
        <v>0</v>
      </c>
      <c r="S453" s="105">
        <f t="shared" ca="1" si="153"/>
        <v>10</v>
      </c>
    </row>
    <row r="454" spans="1:19" x14ac:dyDescent="0.35">
      <c r="A454" s="105">
        <f t="shared" ca="1" si="139"/>
        <v>609.97750000000076</v>
      </c>
      <c r="B454" s="105">
        <f t="shared" ca="1" si="140"/>
        <v>0</v>
      </c>
      <c r="C454" s="105">
        <f t="shared" ca="1" si="141"/>
        <v>2</v>
      </c>
      <c r="D454" s="105">
        <f t="shared" ca="1" si="142"/>
        <v>0</v>
      </c>
      <c r="E454" s="105">
        <f t="shared" ca="1" si="143"/>
        <v>0</v>
      </c>
      <c r="F454" s="105">
        <f t="shared" ca="1" si="144"/>
        <v>0</v>
      </c>
      <c r="G454" s="105">
        <f t="shared" ca="1" si="154"/>
        <v>0</v>
      </c>
      <c r="H454" s="105">
        <f t="shared" ca="1" si="155"/>
        <v>0</v>
      </c>
      <c r="I454" s="105">
        <f t="shared" ca="1" si="145"/>
        <v>0</v>
      </c>
      <c r="J454" s="105">
        <f t="shared" ca="1" si="146"/>
        <v>0</v>
      </c>
      <c r="K454" s="105">
        <f t="shared" ca="1" si="147"/>
        <v>0</v>
      </c>
      <c r="L454" s="105">
        <f t="shared" ca="1" si="137"/>
        <v>0</v>
      </c>
      <c r="M454" s="105">
        <f t="shared" ca="1" si="148"/>
        <v>0</v>
      </c>
      <c r="N454" s="105">
        <f t="shared" ca="1" si="138"/>
        <v>0</v>
      </c>
      <c r="O454" s="105">
        <f t="shared" ca="1" si="149"/>
        <v>0</v>
      </c>
      <c r="P454" s="105">
        <f t="shared" ca="1" si="150"/>
        <v>0</v>
      </c>
      <c r="Q454" s="105">
        <f t="shared" ca="1" si="151"/>
        <v>0</v>
      </c>
      <c r="R454" s="105">
        <f t="shared" ca="1" si="152"/>
        <v>0</v>
      </c>
      <c r="S454" s="105">
        <f t="shared" ca="1" si="153"/>
        <v>10</v>
      </c>
    </row>
    <row r="455" spans="1:19" x14ac:dyDescent="0.35">
      <c r="A455" s="105">
        <f t="shared" ca="1" si="139"/>
        <v>611.33000000000072</v>
      </c>
      <c r="B455" s="105">
        <f t="shared" ca="1" si="140"/>
        <v>0</v>
      </c>
      <c r="C455" s="105">
        <f t="shared" ca="1" si="141"/>
        <v>2</v>
      </c>
      <c r="D455" s="105">
        <f t="shared" ca="1" si="142"/>
        <v>0</v>
      </c>
      <c r="E455" s="105">
        <f t="shared" ca="1" si="143"/>
        <v>0</v>
      </c>
      <c r="F455" s="105">
        <f t="shared" ca="1" si="144"/>
        <v>0</v>
      </c>
      <c r="G455" s="105">
        <f t="shared" ca="1" si="154"/>
        <v>0</v>
      </c>
      <c r="H455" s="105">
        <f t="shared" ca="1" si="155"/>
        <v>0</v>
      </c>
      <c r="I455" s="105">
        <f t="shared" ca="1" si="145"/>
        <v>0</v>
      </c>
      <c r="J455" s="105">
        <f t="shared" ca="1" si="146"/>
        <v>0</v>
      </c>
      <c r="K455" s="105">
        <f t="shared" ca="1" si="147"/>
        <v>0</v>
      </c>
      <c r="L455" s="105">
        <f t="shared" ca="1" si="137"/>
        <v>0</v>
      </c>
      <c r="M455" s="105">
        <f t="shared" ca="1" si="148"/>
        <v>0</v>
      </c>
      <c r="N455" s="105">
        <f t="shared" ca="1" si="138"/>
        <v>0</v>
      </c>
      <c r="O455" s="105">
        <f t="shared" ca="1" si="149"/>
        <v>0</v>
      </c>
      <c r="P455" s="105">
        <f t="shared" ca="1" si="150"/>
        <v>0</v>
      </c>
      <c r="Q455" s="105">
        <f t="shared" ca="1" si="151"/>
        <v>0</v>
      </c>
      <c r="R455" s="105">
        <f t="shared" ca="1" si="152"/>
        <v>0</v>
      </c>
      <c r="S455" s="105">
        <f t="shared" ca="1" si="153"/>
        <v>10</v>
      </c>
    </row>
    <row r="456" spans="1:19" x14ac:dyDescent="0.35">
      <c r="A456" s="105">
        <f t="shared" ca="1" si="139"/>
        <v>612.68250000000069</v>
      </c>
      <c r="B456" s="105">
        <f t="shared" ca="1" si="140"/>
        <v>0</v>
      </c>
      <c r="C456" s="105">
        <f t="shared" ca="1" si="141"/>
        <v>2</v>
      </c>
      <c r="D456" s="105">
        <f t="shared" ca="1" si="142"/>
        <v>0</v>
      </c>
      <c r="E456" s="105">
        <f t="shared" ca="1" si="143"/>
        <v>0</v>
      </c>
      <c r="F456" s="105">
        <f t="shared" ca="1" si="144"/>
        <v>0</v>
      </c>
      <c r="G456" s="105">
        <f t="shared" ca="1" si="154"/>
        <v>0</v>
      </c>
      <c r="H456" s="105">
        <f t="shared" ca="1" si="155"/>
        <v>0</v>
      </c>
      <c r="I456" s="105">
        <f t="shared" ca="1" si="145"/>
        <v>0</v>
      </c>
      <c r="J456" s="105">
        <f t="shared" ca="1" si="146"/>
        <v>0</v>
      </c>
      <c r="K456" s="105">
        <f t="shared" ca="1" si="147"/>
        <v>0</v>
      </c>
      <c r="L456" s="105">
        <f t="shared" ca="1" si="137"/>
        <v>0</v>
      </c>
      <c r="M456" s="105">
        <f t="shared" ca="1" si="148"/>
        <v>0</v>
      </c>
      <c r="N456" s="105">
        <f t="shared" ca="1" si="138"/>
        <v>0</v>
      </c>
      <c r="O456" s="105">
        <f t="shared" ca="1" si="149"/>
        <v>0</v>
      </c>
      <c r="P456" s="105">
        <f t="shared" ca="1" si="150"/>
        <v>0</v>
      </c>
      <c r="Q456" s="105">
        <f t="shared" ca="1" si="151"/>
        <v>0</v>
      </c>
      <c r="R456" s="105">
        <f t="shared" ca="1" si="152"/>
        <v>0</v>
      </c>
      <c r="S456" s="105">
        <f t="shared" ca="1" si="153"/>
        <v>10</v>
      </c>
    </row>
    <row r="457" spans="1:19" x14ac:dyDescent="0.35">
      <c r="A457" s="105">
        <f t="shared" ca="1" si="139"/>
        <v>614.03500000000065</v>
      </c>
      <c r="B457" s="105">
        <f t="shared" ca="1" si="140"/>
        <v>0</v>
      </c>
      <c r="C457" s="105">
        <f t="shared" ca="1" si="141"/>
        <v>2</v>
      </c>
      <c r="D457" s="105">
        <f t="shared" ca="1" si="142"/>
        <v>0</v>
      </c>
      <c r="E457" s="105">
        <f t="shared" ca="1" si="143"/>
        <v>0</v>
      </c>
      <c r="F457" s="105">
        <f t="shared" ca="1" si="144"/>
        <v>0</v>
      </c>
      <c r="G457" s="105">
        <f t="shared" ca="1" si="154"/>
        <v>0</v>
      </c>
      <c r="H457" s="105">
        <f t="shared" ca="1" si="155"/>
        <v>0</v>
      </c>
      <c r="I457" s="105">
        <f t="shared" ca="1" si="145"/>
        <v>0</v>
      </c>
      <c r="J457" s="105">
        <f t="shared" ca="1" si="146"/>
        <v>0</v>
      </c>
      <c r="K457" s="105">
        <f t="shared" ca="1" si="147"/>
        <v>0</v>
      </c>
      <c r="L457" s="105">
        <f t="shared" ca="1" si="137"/>
        <v>0</v>
      </c>
      <c r="M457" s="105">
        <f t="shared" ca="1" si="148"/>
        <v>0</v>
      </c>
      <c r="N457" s="105">
        <f t="shared" ca="1" si="138"/>
        <v>0</v>
      </c>
      <c r="O457" s="105">
        <f t="shared" ca="1" si="149"/>
        <v>0</v>
      </c>
      <c r="P457" s="105">
        <f t="shared" ca="1" si="150"/>
        <v>0</v>
      </c>
      <c r="Q457" s="105">
        <f t="shared" ca="1" si="151"/>
        <v>0</v>
      </c>
      <c r="R457" s="105">
        <f t="shared" ca="1" si="152"/>
        <v>0</v>
      </c>
      <c r="S457" s="105">
        <f t="shared" ca="1" si="153"/>
        <v>10</v>
      </c>
    </row>
    <row r="458" spans="1:19" x14ac:dyDescent="0.35">
      <c r="A458" s="105">
        <f t="shared" ca="1" si="139"/>
        <v>615.38750000000061</v>
      </c>
      <c r="B458" s="105">
        <f t="shared" ca="1" si="140"/>
        <v>0</v>
      </c>
      <c r="C458" s="105">
        <f t="shared" ca="1" si="141"/>
        <v>2</v>
      </c>
      <c r="D458" s="105">
        <f t="shared" ca="1" si="142"/>
        <v>0</v>
      </c>
      <c r="E458" s="105">
        <f t="shared" ca="1" si="143"/>
        <v>0</v>
      </c>
      <c r="F458" s="105">
        <f t="shared" ca="1" si="144"/>
        <v>0</v>
      </c>
      <c r="G458" s="105">
        <f t="shared" ca="1" si="154"/>
        <v>0</v>
      </c>
      <c r="H458" s="105">
        <f t="shared" ca="1" si="155"/>
        <v>0</v>
      </c>
      <c r="I458" s="105">
        <f t="shared" ca="1" si="145"/>
        <v>0</v>
      </c>
      <c r="J458" s="105">
        <f t="shared" ca="1" si="146"/>
        <v>0</v>
      </c>
      <c r="K458" s="105">
        <f t="shared" ca="1" si="147"/>
        <v>0</v>
      </c>
      <c r="L458" s="105">
        <f t="shared" ca="1" si="137"/>
        <v>0</v>
      </c>
      <c r="M458" s="105">
        <f t="shared" ca="1" si="148"/>
        <v>0</v>
      </c>
      <c r="N458" s="105">
        <f t="shared" ca="1" si="138"/>
        <v>0</v>
      </c>
      <c r="O458" s="105">
        <f t="shared" ca="1" si="149"/>
        <v>0</v>
      </c>
      <c r="P458" s="105">
        <f t="shared" ca="1" si="150"/>
        <v>0</v>
      </c>
      <c r="Q458" s="105">
        <f t="shared" ca="1" si="151"/>
        <v>0</v>
      </c>
      <c r="R458" s="105">
        <f t="shared" ca="1" si="152"/>
        <v>0</v>
      </c>
      <c r="S458" s="105">
        <f t="shared" ca="1" si="153"/>
        <v>10</v>
      </c>
    </row>
    <row r="459" spans="1:19" x14ac:dyDescent="0.35">
      <c r="A459" s="105">
        <f t="shared" ca="1" si="139"/>
        <v>616.74000000000058</v>
      </c>
      <c r="B459" s="105">
        <f t="shared" ca="1" si="140"/>
        <v>0</v>
      </c>
      <c r="C459" s="105">
        <f t="shared" ca="1" si="141"/>
        <v>2</v>
      </c>
      <c r="D459" s="105">
        <f t="shared" ca="1" si="142"/>
        <v>0</v>
      </c>
      <c r="E459" s="105">
        <f t="shared" ca="1" si="143"/>
        <v>0</v>
      </c>
      <c r="F459" s="105">
        <f t="shared" ca="1" si="144"/>
        <v>0</v>
      </c>
      <c r="G459" s="105">
        <f t="shared" ca="1" si="154"/>
        <v>0</v>
      </c>
      <c r="H459" s="105">
        <f t="shared" ca="1" si="155"/>
        <v>0</v>
      </c>
      <c r="I459" s="105">
        <f t="shared" ca="1" si="145"/>
        <v>0</v>
      </c>
      <c r="J459" s="105">
        <f t="shared" ca="1" si="146"/>
        <v>0</v>
      </c>
      <c r="K459" s="105">
        <f t="shared" ca="1" si="147"/>
        <v>0</v>
      </c>
      <c r="L459" s="105">
        <f t="shared" ca="1" si="137"/>
        <v>0</v>
      </c>
      <c r="M459" s="105">
        <f t="shared" ca="1" si="148"/>
        <v>0</v>
      </c>
      <c r="N459" s="105">
        <f t="shared" ca="1" si="138"/>
        <v>0</v>
      </c>
      <c r="O459" s="105">
        <f t="shared" ca="1" si="149"/>
        <v>0</v>
      </c>
      <c r="P459" s="105">
        <f t="shared" ca="1" si="150"/>
        <v>0</v>
      </c>
      <c r="Q459" s="105">
        <f t="shared" ca="1" si="151"/>
        <v>0</v>
      </c>
      <c r="R459" s="105">
        <f t="shared" ca="1" si="152"/>
        <v>0</v>
      </c>
      <c r="S459" s="105">
        <f t="shared" ca="1" si="153"/>
        <v>10</v>
      </c>
    </row>
    <row r="460" spans="1:19" x14ac:dyDescent="0.35">
      <c r="A460" s="105">
        <f t="shared" ca="1" si="139"/>
        <v>618.09250000000054</v>
      </c>
      <c r="B460" s="105">
        <f t="shared" ca="1" si="140"/>
        <v>0</v>
      </c>
      <c r="C460" s="105">
        <f t="shared" ca="1" si="141"/>
        <v>2</v>
      </c>
      <c r="D460" s="105">
        <f t="shared" ca="1" si="142"/>
        <v>0</v>
      </c>
      <c r="E460" s="105">
        <f t="shared" ca="1" si="143"/>
        <v>0</v>
      </c>
      <c r="F460" s="105">
        <f t="shared" ca="1" si="144"/>
        <v>0</v>
      </c>
      <c r="G460" s="105">
        <f t="shared" ca="1" si="154"/>
        <v>0</v>
      </c>
      <c r="H460" s="105">
        <f t="shared" ca="1" si="155"/>
        <v>0</v>
      </c>
      <c r="I460" s="105">
        <f t="shared" ca="1" si="145"/>
        <v>0</v>
      </c>
      <c r="J460" s="105">
        <f t="shared" ca="1" si="146"/>
        <v>0</v>
      </c>
      <c r="K460" s="105">
        <f t="shared" ca="1" si="147"/>
        <v>0</v>
      </c>
      <c r="L460" s="105">
        <f t="shared" ca="1" si="137"/>
        <v>0</v>
      </c>
      <c r="M460" s="105">
        <f t="shared" ca="1" si="148"/>
        <v>0</v>
      </c>
      <c r="N460" s="105">
        <f t="shared" ca="1" si="138"/>
        <v>0</v>
      </c>
      <c r="O460" s="105">
        <f t="shared" ca="1" si="149"/>
        <v>0</v>
      </c>
      <c r="P460" s="105">
        <f t="shared" ca="1" si="150"/>
        <v>0</v>
      </c>
      <c r="Q460" s="105">
        <f t="shared" ca="1" si="151"/>
        <v>0</v>
      </c>
      <c r="R460" s="105">
        <f t="shared" ca="1" si="152"/>
        <v>0</v>
      </c>
      <c r="S460" s="105">
        <f t="shared" ca="1" si="153"/>
        <v>10</v>
      </c>
    </row>
    <row r="461" spans="1:19" x14ac:dyDescent="0.35">
      <c r="A461" s="105">
        <f t="shared" ca="1" si="139"/>
        <v>619.4450000000005</v>
      </c>
      <c r="B461" s="105">
        <f t="shared" ca="1" si="140"/>
        <v>0</v>
      </c>
      <c r="C461" s="105">
        <f t="shared" ca="1" si="141"/>
        <v>2</v>
      </c>
      <c r="D461" s="105">
        <f t="shared" ca="1" si="142"/>
        <v>0</v>
      </c>
      <c r="E461" s="105">
        <f t="shared" ca="1" si="143"/>
        <v>0</v>
      </c>
      <c r="F461" s="105">
        <f t="shared" ca="1" si="144"/>
        <v>0</v>
      </c>
      <c r="G461" s="105">
        <f t="shared" ca="1" si="154"/>
        <v>0</v>
      </c>
      <c r="H461" s="105">
        <f t="shared" ca="1" si="155"/>
        <v>0</v>
      </c>
      <c r="I461" s="105">
        <f t="shared" ca="1" si="145"/>
        <v>0</v>
      </c>
      <c r="J461" s="105">
        <f t="shared" ca="1" si="146"/>
        <v>0</v>
      </c>
      <c r="K461" s="105">
        <f t="shared" ca="1" si="147"/>
        <v>0</v>
      </c>
      <c r="L461" s="105">
        <f t="shared" ca="1" si="137"/>
        <v>0</v>
      </c>
      <c r="M461" s="105">
        <f t="shared" ca="1" si="148"/>
        <v>0</v>
      </c>
      <c r="N461" s="105">
        <f t="shared" ca="1" si="138"/>
        <v>0</v>
      </c>
      <c r="O461" s="105">
        <f t="shared" ca="1" si="149"/>
        <v>0</v>
      </c>
      <c r="P461" s="105">
        <f t="shared" ca="1" si="150"/>
        <v>0</v>
      </c>
      <c r="Q461" s="105">
        <f t="shared" ca="1" si="151"/>
        <v>0</v>
      </c>
      <c r="R461" s="105">
        <f t="shared" ca="1" si="152"/>
        <v>0</v>
      </c>
      <c r="S461" s="105">
        <f t="shared" ca="1" si="153"/>
        <v>10</v>
      </c>
    </row>
    <row r="462" spans="1:19" x14ac:dyDescent="0.35">
      <c r="A462" s="105">
        <f t="shared" ca="1" si="139"/>
        <v>620.79750000000047</v>
      </c>
      <c r="B462" s="105">
        <f t="shared" ca="1" si="140"/>
        <v>0</v>
      </c>
      <c r="C462" s="105">
        <f t="shared" ca="1" si="141"/>
        <v>2</v>
      </c>
      <c r="D462" s="105">
        <f t="shared" ca="1" si="142"/>
        <v>0</v>
      </c>
      <c r="E462" s="105">
        <f t="shared" ca="1" si="143"/>
        <v>0</v>
      </c>
      <c r="F462" s="105">
        <f t="shared" ca="1" si="144"/>
        <v>0</v>
      </c>
      <c r="G462" s="105">
        <f t="shared" ca="1" si="154"/>
        <v>0</v>
      </c>
      <c r="H462" s="105">
        <f t="shared" ca="1" si="155"/>
        <v>0</v>
      </c>
      <c r="I462" s="105">
        <f t="shared" ca="1" si="145"/>
        <v>0</v>
      </c>
      <c r="J462" s="105">
        <f t="shared" ca="1" si="146"/>
        <v>0</v>
      </c>
      <c r="K462" s="105">
        <f t="shared" ca="1" si="147"/>
        <v>0</v>
      </c>
      <c r="L462" s="105">
        <f t="shared" ca="1" si="137"/>
        <v>0</v>
      </c>
      <c r="M462" s="105">
        <f t="shared" ca="1" si="148"/>
        <v>0</v>
      </c>
      <c r="N462" s="105">
        <f t="shared" ca="1" si="138"/>
        <v>0</v>
      </c>
      <c r="O462" s="105">
        <f t="shared" ca="1" si="149"/>
        <v>0</v>
      </c>
      <c r="P462" s="105">
        <f t="shared" ca="1" si="150"/>
        <v>0</v>
      </c>
      <c r="Q462" s="105">
        <f t="shared" ca="1" si="151"/>
        <v>0</v>
      </c>
      <c r="R462" s="105">
        <f t="shared" ca="1" si="152"/>
        <v>0</v>
      </c>
      <c r="S462" s="105">
        <f t="shared" ca="1" si="153"/>
        <v>10</v>
      </c>
    </row>
    <row r="463" spans="1:19" x14ac:dyDescent="0.35">
      <c r="A463" s="105">
        <f t="shared" ca="1" si="139"/>
        <v>622.15000000000043</v>
      </c>
      <c r="B463" s="105">
        <f t="shared" ca="1" si="140"/>
        <v>0</v>
      </c>
      <c r="C463" s="105">
        <f t="shared" ca="1" si="141"/>
        <v>2</v>
      </c>
      <c r="D463" s="105">
        <f t="shared" ca="1" si="142"/>
        <v>0</v>
      </c>
      <c r="E463" s="105">
        <f t="shared" ca="1" si="143"/>
        <v>0</v>
      </c>
      <c r="F463" s="105">
        <f t="shared" ca="1" si="144"/>
        <v>0</v>
      </c>
      <c r="G463" s="105">
        <f t="shared" ca="1" si="154"/>
        <v>0</v>
      </c>
      <c r="H463" s="105">
        <f t="shared" ca="1" si="155"/>
        <v>0</v>
      </c>
      <c r="I463" s="105">
        <f t="shared" ca="1" si="145"/>
        <v>0</v>
      </c>
      <c r="J463" s="105">
        <f t="shared" ca="1" si="146"/>
        <v>0</v>
      </c>
      <c r="K463" s="105">
        <f t="shared" ca="1" si="147"/>
        <v>0</v>
      </c>
      <c r="L463" s="105">
        <f t="shared" ca="1" si="137"/>
        <v>0</v>
      </c>
      <c r="M463" s="105">
        <f t="shared" ca="1" si="148"/>
        <v>0</v>
      </c>
      <c r="N463" s="105">
        <f t="shared" ca="1" si="138"/>
        <v>0</v>
      </c>
      <c r="O463" s="105">
        <f t="shared" ca="1" si="149"/>
        <v>0</v>
      </c>
      <c r="P463" s="105">
        <f t="shared" ca="1" si="150"/>
        <v>0</v>
      </c>
      <c r="Q463" s="105">
        <f t="shared" ca="1" si="151"/>
        <v>0</v>
      </c>
      <c r="R463" s="105">
        <f t="shared" ca="1" si="152"/>
        <v>0</v>
      </c>
      <c r="S463" s="105">
        <f t="shared" ca="1" si="153"/>
        <v>10</v>
      </c>
    </row>
    <row r="464" spans="1:19" x14ac:dyDescent="0.35">
      <c r="A464" s="105">
        <f t="shared" ca="1" si="139"/>
        <v>623.5025000000004</v>
      </c>
      <c r="B464" s="105">
        <f t="shared" ca="1" si="140"/>
        <v>0</v>
      </c>
      <c r="C464" s="105">
        <f t="shared" ca="1" si="141"/>
        <v>2</v>
      </c>
      <c r="D464" s="105">
        <f t="shared" ca="1" si="142"/>
        <v>0</v>
      </c>
      <c r="E464" s="105">
        <f t="shared" ca="1" si="143"/>
        <v>0</v>
      </c>
      <c r="F464" s="105">
        <f t="shared" ca="1" si="144"/>
        <v>0</v>
      </c>
      <c r="G464" s="105">
        <f t="shared" ca="1" si="154"/>
        <v>0</v>
      </c>
      <c r="H464" s="105">
        <f t="shared" ca="1" si="155"/>
        <v>0</v>
      </c>
      <c r="I464" s="105">
        <f t="shared" ca="1" si="145"/>
        <v>0</v>
      </c>
      <c r="J464" s="105">
        <f t="shared" ca="1" si="146"/>
        <v>0</v>
      </c>
      <c r="K464" s="105">
        <f t="shared" ca="1" si="147"/>
        <v>0</v>
      </c>
      <c r="L464" s="105">
        <f t="shared" ca="1" si="137"/>
        <v>0</v>
      </c>
      <c r="M464" s="105">
        <f t="shared" ca="1" si="148"/>
        <v>0</v>
      </c>
      <c r="N464" s="105">
        <f t="shared" ca="1" si="138"/>
        <v>0</v>
      </c>
      <c r="O464" s="105">
        <f t="shared" ca="1" si="149"/>
        <v>0</v>
      </c>
      <c r="P464" s="105">
        <f t="shared" ca="1" si="150"/>
        <v>0</v>
      </c>
      <c r="Q464" s="105">
        <f t="shared" ca="1" si="151"/>
        <v>0</v>
      </c>
      <c r="R464" s="105">
        <f t="shared" ca="1" si="152"/>
        <v>0</v>
      </c>
      <c r="S464" s="105">
        <f t="shared" ca="1" si="153"/>
        <v>10</v>
      </c>
    </row>
    <row r="465" spans="1:19" x14ac:dyDescent="0.35">
      <c r="A465" s="105">
        <f t="shared" ca="1" si="139"/>
        <v>624.85500000000036</v>
      </c>
      <c r="B465" s="105">
        <f t="shared" ca="1" si="140"/>
        <v>0</v>
      </c>
      <c r="C465" s="105">
        <f t="shared" ca="1" si="141"/>
        <v>2</v>
      </c>
      <c r="D465" s="105">
        <f t="shared" ca="1" si="142"/>
        <v>0</v>
      </c>
      <c r="E465" s="105">
        <f t="shared" ca="1" si="143"/>
        <v>0</v>
      </c>
      <c r="F465" s="105">
        <f t="shared" ca="1" si="144"/>
        <v>0</v>
      </c>
      <c r="G465" s="105">
        <f t="shared" ca="1" si="154"/>
        <v>0</v>
      </c>
      <c r="H465" s="105">
        <f t="shared" ca="1" si="155"/>
        <v>0</v>
      </c>
      <c r="I465" s="105">
        <f t="shared" ca="1" si="145"/>
        <v>0</v>
      </c>
      <c r="J465" s="105">
        <f t="shared" ca="1" si="146"/>
        <v>0</v>
      </c>
      <c r="K465" s="105">
        <f t="shared" ca="1" si="147"/>
        <v>0</v>
      </c>
      <c r="L465" s="105">
        <f t="shared" ca="1" si="137"/>
        <v>0</v>
      </c>
      <c r="M465" s="105">
        <f t="shared" ca="1" si="148"/>
        <v>0</v>
      </c>
      <c r="N465" s="105">
        <f t="shared" ca="1" si="138"/>
        <v>0</v>
      </c>
      <c r="O465" s="105">
        <f t="shared" ca="1" si="149"/>
        <v>0</v>
      </c>
      <c r="P465" s="105">
        <f t="shared" ca="1" si="150"/>
        <v>0</v>
      </c>
      <c r="Q465" s="105">
        <f t="shared" ca="1" si="151"/>
        <v>0</v>
      </c>
      <c r="R465" s="105">
        <f t="shared" ca="1" si="152"/>
        <v>0</v>
      </c>
      <c r="S465" s="105">
        <f t="shared" ca="1" si="153"/>
        <v>10</v>
      </c>
    </row>
    <row r="466" spans="1:19" x14ac:dyDescent="0.35">
      <c r="A466" s="105">
        <f t="shared" ca="1" si="139"/>
        <v>626.20750000000032</v>
      </c>
      <c r="B466" s="105">
        <f t="shared" ca="1" si="140"/>
        <v>0</v>
      </c>
      <c r="C466" s="105">
        <f t="shared" ca="1" si="141"/>
        <v>2</v>
      </c>
      <c r="D466" s="105">
        <f t="shared" ca="1" si="142"/>
        <v>0</v>
      </c>
      <c r="E466" s="105">
        <f t="shared" ca="1" si="143"/>
        <v>0</v>
      </c>
      <c r="F466" s="105">
        <f t="shared" ca="1" si="144"/>
        <v>0</v>
      </c>
      <c r="G466" s="105">
        <f t="shared" ca="1" si="154"/>
        <v>0</v>
      </c>
      <c r="H466" s="105">
        <f t="shared" ca="1" si="155"/>
        <v>0</v>
      </c>
      <c r="I466" s="105">
        <f t="shared" ca="1" si="145"/>
        <v>0</v>
      </c>
      <c r="J466" s="105">
        <f t="shared" ca="1" si="146"/>
        <v>0</v>
      </c>
      <c r="K466" s="105">
        <f t="shared" ca="1" si="147"/>
        <v>0</v>
      </c>
      <c r="L466" s="105">
        <f t="shared" ca="1" si="137"/>
        <v>0</v>
      </c>
      <c r="M466" s="105">
        <f t="shared" ca="1" si="148"/>
        <v>0</v>
      </c>
      <c r="N466" s="105">
        <f t="shared" ca="1" si="138"/>
        <v>0</v>
      </c>
      <c r="O466" s="105">
        <f t="shared" ca="1" si="149"/>
        <v>0</v>
      </c>
      <c r="P466" s="105">
        <f t="shared" ca="1" si="150"/>
        <v>0</v>
      </c>
      <c r="Q466" s="105">
        <f t="shared" ca="1" si="151"/>
        <v>0</v>
      </c>
      <c r="R466" s="105">
        <f t="shared" ca="1" si="152"/>
        <v>0</v>
      </c>
      <c r="S466" s="105">
        <f t="shared" ca="1" si="153"/>
        <v>10</v>
      </c>
    </row>
    <row r="467" spans="1:19" x14ac:dyDescent="0.35">
      <c r="A467" s="105">
        <f t="shared" ca="1" si="139"/>
        <v>627.56000000000029</v>
      </c>
      <c r="B467" s="105">
        <f t="shared" ca="1" si="140"/>
        <v>0</v>
      </c>
      <c r="C467" s="105">
        <f t="shared" ca="1" si="141"/>
        <v>2</v>
      </c>
      <c r="D467" s="105">
        <f t="shared" ca="1" si="142"/>
        <v>0</v>
      </c>
      <c r="E467" s="105">
        <f t="shared" ca="1" si="143"/>
        <v>0</v>
      </c>
      <c r="F467" s="105">
        <f t="shared" ca="1" si="144"/>
        <v>0</v>
      </c>
      <c r="G467" s="105">
        <f t="shared" ca="1" si="154"/>
        <v>0</v>
      </c>
      <c r="H467" s="105">
        <f t="shared" ca="1" si="155"/>
        <v>0</v>
      </c>
      <c r="I467" s="105">
        <f t="shared" ca="1" si="145"/>
        <v>0</v>
      </c>
      <c r="J467" s="105">
        <f t="shared" ca="1" si="146"/>
        <v>0</v>
      </c>
      <c r="K467" s="105">
        <f t="shared" ca="1" si="147"/>
        <v>0</v>
      </c>
      <c r="L467" s="105">
        <f t="shared" ca="1" si="137"/>
        <v>0</v>
      </c>
      <c r="M467" s="105">
        <f t="shared" ca="1" si="148"/>
        <v>0</v>
      </c>
      <c r="N467" s="105">
        <f t="shared" ca="1" si="138"/>
        <v>0</v>
      </c>
      <c r="O467" s="105">
        <f t="shared" ca="1" si="149"/>
        <v>0</v>
      </c>
      <c r="P467" s="105">
        <f t="shared" ca="1" si="150"/>
        <v>0</v>
      </c>
      <c r="Q467" s="105">
        <f t="shared" ca="1" si="151"/>
        <v>0</v>
      </c>
      <c r="R467" s="105">
        <f t="shared" ca="1" si="152"/>
        <v>0</v>
      </c>
      <c r="S467" s="105">
        <f t="shared" ca="1" si="153"/>
        <v>10</v>
      </c>
    </row>
    <row r="468" spans="1:19" x14ac:dyDescent="0.35">
      <c r="A468" s="105">
        <f t="shared" ca="1" si="139"/>
        <v>628.91250000000025</v>
      </c>
      <c r="B468" s="105">
        <f t="shared" ca="1" si="140"/>
        <v>0</v>
      </c>
      <c r="C468" s="105">
        <f t="shared" ca="1" si="141"/>
        <v>2</v>
      </c>
      <c r="D468" s="105">
        <f t="shared" ca="1" si="142"/>
        <v>0</v>
      </c>
      <c r="E468" s="105">
        <f t="shared" ca="1" si="143"/>
        <v>0</v>
      </c>
      <c r="F468" s="105">
        <f t="shared" ca="1" si="144"/>
        <v>0</v>
      </c>
      <c r="G468" s="105">
        <f t="shared" ca="1" si="154"/>
        <v>0</v>
      </c>
      <c r="H468" s="105">
        <f t="shared" ca="1" si="155"/>
        <v>0</v>
      </c>
      <c r="I468" s="105">
        <f t="shared" ca="1" si="145"/>
        <v>0</v>
      </c>
      <c r="J468" s="105">
        <f t="shared" ca="1" si="146"/>
        <v>0</v>
      </c>
      <c r="K468" s="105">
        <f t="shared" ca="1" si="147"/>
        <v>0</v>
      </c>
      <c r="L468" s="105">
        <f t="shared" ca="1" si="137"/>
        <v>0</v>
      </c>
      <c r="M468" s="105">
        <f t="shared" ca="1" si="148"/>
        <v>0</v>
      </c>
      <c r="N468" s="105">
        <f t="shared" ca="1" si="138"/>
        <v>0</v>
      </c>
      <c r="O468" s="105">
        <f t="shared" ca="1" si="149"/>
        <v>0</v>
      </c>
      <c r="P468" s="105">
        <f t="shared" ca="1" si="150"/>
        <v>0</v>
      </c>
      <c r="Q468" s="105">
        <f t="shared" ca="1" si="151"/>
        <v>0</v>
      </c>
      <c r="R468" s="105">
        <f t="shared" ca="1" si="152"/>
        <v>0</v>
      </c>
      <c r="S468" s="105">
        <f t="shared" ca="1" si="153"/>
        <v>10</v>
      </c>
    </row>
    <row r="469" spans="1:19" x14ac:dyDescent="0.35">
      <c r="A469" s="105">
        <f t="shared" ca="1" si="139"/>
        <v>630.26500000000021</v>
      </c>
      <c r="B469" s="105">
        <f t="shared" ca="1" si="140"/>
        <v>0</v>
      </c>
      <c r="C469" s="105">
        <f t="shared" ca="1" si="141"/>
        <v>2</v>
      </c>
      <c r="D469" s="105">
        <f t="shared" ca="1" si="142"/>
        <v>0</v>
      </c>
      <c r="E469" s="105">
        <f t="shared" ca="1" si="143"/>
        <v>0</v>
      </c>
      <c r="F469" s="105">
        <f t="shared" ca="1" si="144"/>
        <v>0</v>
      </c>
      <c r="G469" s="105">
        <f t="shared" ca="1" si="154"/>
        <v>0</v>
      </c>
      <c r="H469" s="105">
        <f t="shared" ca="1" si="155"/>
        <v>0</v>
      </c>
      <c r="I469" s="105">
        <f t="shared" ca="1" si="145"/>
        <v>0</v>
      </c>
      <c r="J469" s="105">
        <f t="shared" ca="1" si="146"/>
        <v>0</v>
      </c>
      <c r="K469" s="105">
        <f t="shared" ca="1" si="147"/>
        <v>0</v>
      </c>
      <c r="L469" s="105">
        <f t="shared" ca="1" si="137"/>
        <v>0</v>
      </c>
      <c r="M469" s="105">
        <f t="shared" ca="1" si="148"/>
        <v>0</v>
      </c>
      <c r="N469" s="105">
        <f t="shared" ca="1" si="138"/>
        <v>0</v>
      </c>
      <c r="O469" s="105">
        <f t="shared" ca="1" si="149"/>
        <v>0</v>
      </c>
      <c r="P469" s="105">
        <f t="shared" ca="1" si="150"/>
        <v>0</v>
      </c>
      <c r="Q469" s="105">
        <f t="shared" ca="1" si="151"/>
        <v>0</v>
      </c>
      <c r="R469" s="105">
        <f t="shared" ca="1" si="152"/>
        <v>0</v>
      </c>
      <c r="S469" s="105">
        <f t="shared" ca="1" si="153"/>
        <v>10</v>
      </c>
    </row>
    <row r="470" spans="1:19" x14ac:dyDescent="0.35">
      <c r="A470" s="105">
        <f t="shared" ca="1" si="139"/>
        <v>631.61750000000018</v>
      </c>
      <c r="B470" s="105">
        <f t="shared" ca="1" si="140"/>
        <v>0</v>
      </c>
      <c r="C470" s="105">
        <f t="shared" ca="1" si="141"/>
        <v>2</v>
      </c>
      <c r="D470" s="105">
        <f t="shared" ca="1" si="142"/>
        <v>0</v>
      </c>
      <c r="E470" s="105">
        <f t="shared" ca="1" si="143"/>
        <v>0</v>
      </c>
      <c r="F470" s="105">
        <f t="shared" ca="1" si="144"/>
        <v>0</v>
      </c>
      <c r="G470" s="105">
        <f t="shared" ca="1" si="154"/>
        <v>0</v>
      </c>
      <c r="H470" s="105">
        <f t="shared" ca="1" si="155"/>
        <v>0</v>
      </c>
      <c r="I470" s="105">
        <f t="shared" ca="1" si="145"/>
        <v>0</v>
      </c>
      <c r="J470" s="105">
        <f t="shared" ca="1" si="146"/>
        <v>0</v>
      </c>
      <c r="K470" s="105">
        <f t="shared" ca="1" si="147"/>
        <v>0</v>
      </c>
      <c r="L470" s="105">
        <f t="shared" ca="1" si="137"/>
        <v>0</v>
      </c>
      <c r="M470" s="105">
        <f t="shared" ca="1" si="148"/>
        <v>0</v>
      </c>
      <c r="N470" s="105">
        <f t="shared" ca="1" si="138"/>
        <v>0</v>
      </c>
      <c r="O470" s="105">
        <f t="shared" ca="1" si="149"/>
        <v>0</v>
      </c>
      <c r="P470" s="105">
        <f t="shared" ca="1" si="150"/>
        <v>0</v>
      </c>
      <c r="Q470" s="105">
        <f t="shared" ca="1" si="151"/>
        <v>0</v>
      </c>
      <c r="R470" s="105">
        <f t="shared" ca="1" si="152"/>
        <v>0</v>
      </c>
      <c r="S470" s="105">
        <f t="shared" ca="1" si="153"/>
        <v>10</v>
      </c>
    </row>
    <row r="471" spans="1:19" x14ac:dyDescent="0.35">
      <c r="A471" s="105">
        <f t="shared" ca="1" si="139"/>
        <v>632.97000000000014</v>
      </c>
      <c r="B471" s="105">
        <f t="shared" ca="1" si="140"/>
        <v>0</v>
      </c>
      <c r="C471" s="105">
        <f t="shared" ca="1" si="141"/>
        <v>2</v>
      </c>
      <c r="D471" s="105">
        <f t="shared" ca="1" si="142"/>
        <v>0</v>
      </c>
      <c r="E471" s="105">
        <f t="shared" ca="1" si="143"/>
        <v>0</v>
      </c>
      <c r="F471" s="105">
        <f t="shared" ca="1" si="144"/>
        <v>0</v>
      </c>
      <c r="G471" s="105">
        <f t="shared" ca="1" si="154"/>
        <v>0</v>
      </c>
      <c r="H471" s="105">
        <f t="shared" ca="1" si="155"/>
        <v>0</v>
      </c>
      <c r="I471" s="105">
        <f t="shared" ca="1" si="145"/>
        <v>0</v>
      </c>
      <c r="J471" s="105">
        <f t="shared" ca="1" si="146"/>
        <v>0</v>
      </c>
      <c r="K471" s="105">
        <f t="shared" ca="1" si="147"/>
        <v>0</v>
      </c>
      <c r="L471" s="105">
        <f t="shared" ca="1" si="137"/>
        <v>0</v>
      </c>
      <c r="M471" s="105">
        <f t="shared" ca="1" si="148"/>
        <v>0</v>
      </c>
      <c r="N471" s="105">
        <f t="shared" ca="1" si="138"/>
        <v>0</v>
      </c>
      <c r="O471" s="105">
        <f t="shared" ca="1" si="149"/>
        <v>0</v>
      </c>
      <c r="P471" s="105">
        <f t="shared" ca="1" si="150"/>
        <v>0</v>
      </c>
      <c r="Q471" s="105">
        <f t="shared" ca="1" si="151"/>
        <v>0</v>
      </c>
      <c r="R471" s="105">
        <f t="shared" ca="1" si="152"/>
        <v>0</v>
      </c>
      <c r="S471" s="105">
        <f t="shared" ca="1" si="153"/>
        <v>10</v>
      </c>
    </row>
    <row r="472" spans="1:19" x14ac:dyDescent="0.35">
      <c r="A472" s="105">
        <f t="shared" ca="1" si="139"/>
        <v>634.3225000000001</v>
      </c>
      <c r="B472" s="105">
        <f t="shared" ca="1" si="140"/>
        <v>0</v>
      </c>
      <c r="C472" s="105">
        <f t="shared" ca="1" si="141"/>
        <v>2</v>
      </c>
      <c r="D472" s="105">
        <f t="shared" ca="1" si="142"/>
        <v>0</v>
      </c>
      <c r="E472" s="105">
        <f t="shared" ca="1" si="143"/>
        <v>0</v>
      </c>
      <c r="F472" s="105">
        <f t="shared" ca="1" si="144"/>
        <v>0</v>
      </c>
      <c r="G472" s="105">
        <f t="shared" ca="1" si="154"/>
        <v>0</v>
      </c>
      <c r="H472" s="105">
        <f t="shared" ca="1" si="155"/>
        <v>0</v>
      </c>
      <c r="I472" s="105">
        <f t="shared" ca="1" si="145"/>
        <v>0</v>
      </c>
      <c r="J472" s="105">
        <f t="shared" ca="1" si="146"/>
        <v>0</v>
      </c>
      <c r="K472" s="105">
        <f t="shared" ca="1" si="147"/>
        <v>0</v>
      </c>
      <c r="L472" s="105">
        <f t="shared" ref="L472:L535" ca="1" si="156">IF(K472+K471&gt;0,1,0)</f>
        <v>0</v>
      </c>
      <c r="M472" s="105">
        <f t="shared" ca="1" si="148"/>
        <v>0</v>
      </c>
      <c r="N472" s="105">
        <f t="shared" ref="N472:N535" ca="1" si="157">IF(M472+M471&gt;0,1,0)</f>
        <v>0</v>
      </c>
      <c r="O472" s="105">
        <f t="shared" ca="1" si="149"/>
        <v>0</v>
      </c>
      <c r="P472" s="105">
        <f t="shared" ca="1" si="150"/>
        <v>0</v>
      </c>
      <c r="Q472" s="105">
        <f t="shared" ca="1" si="151"/>
        <v>0</v>
      </c>
      <c r="R472" s="105">
        <f t="shared" ca="1" si="152"/>
        <v>0</v>
      </c>
      <c r="S472" s="105">
        <f t="shared" ca="1" si="153"/>
        <v>10</v>
      </c>
    </row>
    <row r="473" spans="1:19" x14ac:dyDescent="0.35">
      <c r="A473" s="105">
        <f t="shared" ca="1" si="139"/>
        <v>635.67500000000007</v>
      </c>
      <c r="B473" s="105">
        <f t="shared" ca="1" si="140"/>
        <v>0</v>
      </c>
      <c r="C473" s="105">
        <f t="shared" ca="1" si="141"/>
        <v>2</v>
      </c>
      <c r="D473" s="105">
        <f t="shared" ca="1" si="142"/>
        <v>0</v>
      </c>
      <c r="E473" s="105">
        <f t="shared" ca="1" si="143"/>
        <v>0</v>
      </c>
      <c r="F473" s="105">
        <f t="shared" ca="1" si="144"/>
        <v>0</v>
      </c>
      <c r="G473" s="105">
        <f t="shared" ca="1" si="154"/>
        <v>0</v>
      </c>
      <c r="H473" s="105">
        <f t="shared" ca="1" si="155"/>
        <v>0</v>
      </c>
      <c r="I473" s="105">
        <f t="shared" ca="1" si="145"/>
        <v>0</v>
      </c>
      <c r="J473" s="105">
        <f t="shared" ca="1" si="146"/>
        <v>0</v>
      </c>
      <c r="K473" s="105">
        <f t="shared" ca="1" si="147"/>
        <v>0</v>
      </c>
      <c r="L473" s="105">
        <f t="shared" ca="1" si="156"/>
        <v>0</v>
      </c>
      <c r="M473" s="105">
        <f t="shared" ca="1" si="148"/>
        <v>0</v>
      </c>
      <c r="N473" s="105">
        <f t="shared" ca="1" si="157"/>
        <v>0</v>
      </c>
      <c r="O473" s="105">
        <f t="shared" ca="1" si="149"/>
        <v>0</v>
      </c>
      <c r="P473" s="105">
        <f t="shared" ca="1" si="150"/>
        <v>0</v>
      </c>
      <c r="Q473" s="105">
        <f t="shared" ca="1" si="151"/>
        <v>0</v>
      </c>
      <c r="R473" s="105">
        <f t="shared" ca="1" si="152"/>
        <v>0</v>
      </c>
      <c r="S473" s="105">
        <f t="shared" ca="1" si="153"/>
        <v>10</v>
      </c>
    </row>
    <row r="474" spans="1:19" x14ac:dyDescent="0.35">
      <c r="A474" s="105">
        <f t="shared" ca="1" si="139"/>
        <v>637.02750000000003</v>
      </c>
      <c r="B474" s="105">
        <f t="shared" ca="1" si="140"/>
        <v>0</v>
      </c>
      <c r="C474" s="105">
        <f t="shared" ca="1" si="141"/>
        <v>2</v>
      </c>
      <c r="D474" s="105">
        <f t="shared" ca="1" si="142"/>
        <v>0</v>
      </c>
      <c r="E474" s="105">
        <f t="shared" ca="1" si="143"/>
        <v>0</v>
      </c>
      <c r="F474" s="105">
        <f t="shared" ca="1" si="144"/>
        <v>0</v>
      </c>
      <c r="G474" s="105">
        <f t="shared" ca="1" si="154"/>
        <v>0</v>
      </c>
      <c r="H474" s="105">
        <f t="shared" ca="1" si="155"/>
        <v>0</v>
      </c>
      <c r="I474" s="105">
        <f t="shared" ca="1" si="145"/>
        <v>0</v>
      </c>
      <c r="J474" s="105">
        <f t="shared" ca="1" si="146"/>
        <v>0</v>
      </c>
      <c r="K474" s="105">
        <f t="shared" ca="1" si="147"/>
        <v>0</v>
      </c>
      <c r="L474" s="105">
        <f t="shared" ca="1" si="156"/>
        <v>0</v>
      </c>
      <c r="M474" s="105">
        <f t="shared" ca="1" si="148"/>
        <v>0</v>
      </c>
      <c r="N474" s="105">
        <f t="shared" ca="1" si="157"/>
        <v>0</v>
      </c>
      <c r="O474" s="105">
        <f t="shared" ca="1" si="149"/>
        <v>0</v>
      </c>
      <c r="P474" s="105">
        <f t="shared" ca="1" si="150"/>
        <v>0</v>
      </c>
      <c r="Q474" s="105">
        <f t="shared" ca="1" si="151"/>
        <v>0</v>
      </c>
      <c r="R474" s="105">
        <f t="shared" ca="1" si="152"/>
        <v>0</v>
      </c>
      <c r="S474" s="105">
        <f t="shared" ca="1" si="153"/>
        <v>10</v>
      </c>
    </row>
    <row r="475" spans="1:19" x14ac:dyDescent="0.35">
      <c r="A475" s="105">
        <f t="shared" ca="1" si="139"/>
        <v>638.38</v>
      </c>
      <c r="B475" s="105">
        <f t="shared" ca="1" si="140"/>
        <v>0</v>
      </c>
      <c r="C475" s="105">
        <f t="shared" ca="1" si="141"/>
        <v>2</v>
      </c>
      <c r="D475" s="105">
        <f t="shared" ca="1" si="142"/>
        <v>0</v>
      </c>
      <c r="E475" s="105">
        <f t="shared" ca="1" si="143"/>
        <v>0</v>
      </c>
      <c r="F475" s="105">
        <f t="shared" ca="1" si="144"/>
        <v>0</v>
      </c>
      <c r="G475" s="105">
        <f t="shared" ca="1" si="154"/>
        <v>0</v>
      </c>
      <c r="H475" s="105">
        <f t="shared" ca="1" si="155"/>
        <v>0</v>
      </c>
      <c r="I475" s="105">
        <f t="shared" ca="1" si="145"/>
        <v>0</v>
      </c>
      <c r="J475" s="105">
        <f t="shared" ca="1" si="146"/>
        <v>0</v>
      </c>
      <c r="K475" s="105">
        <f t="shared" ca="1" si="147"/>
        <v>0</v>
      </c>
      <c r="L475" s="105">
        <f t="shared" ca="1" si="156"/>
        <v>0</v>
      </c>
      <c r="M475" s="105">
        <f t="shared" ca="1" si="148"/>
        <v>0</v>
      </c>
      <c r="N475" s="105">
        <f t="shared" ca="1" si="157"/>
        <v>0</v>
      </c>
      <c r="O475" s="105">
        <f t="shared" ca="1" si="149"/>
        <v>0</v>
      </c>
      <c r="P475" s="105">
        <f t="shared" ca="1" si="150"/>
        <v>0</v>
      </c>
      <c r="Q475" s="105">
        <f t="shared" ca="1" si="151"/>
        <v>0</v>
      </c>
      <c r="R475" s="105">
        <f t="shared" ca="1" si="152"/>
        <v>0</v>
      </c>
      <c r="S475" s="105">
        <f t="shared" ca="1" si="153"/>
        <v>10</v>
      </c>
    </row>
    <row r="476" spans="1:19" x14ac:dyDescent="0.35">
      <c r="A476" s="105">
        <f t="shared" ca="1" si="139"/>
        <v>639.73249999999996</v>
      </c>
      <c r="B476" s="105">
        <f t="shared" ca="1" si="140"/>
        <v>0</v>
      </c>
      <c r="C476" s="105">
        <f t="shared" ca="1" si="141"/>
        <v>2</v>
      </c>
      <c r="D476" s="105">
        <f t="shared" ca="1" si="142"/>
        <v>0</v>
      </c>
      <c r="E476" s="105">
        <f t="shared" ca="1" si="143"/>
        <v>0</v>
      </c>
      <c r="F476" s="105">
        <f t="shared" ca="1" si="144"/>
        <v>0</v>
      </c>
      <c r="G476" s="105">
        <f t="shared" ca="1" si="154"/>
        <v>0</v>
      </c>
      <c r="H476" s="105">
        <f t="shared" ca="1" si="155"/>
        <v>0</v>
      </c>
      <c r="I476" s="105">
        <f t="shared" ca="1" si="145"/>
        <v>0</v>
      </c>
      <c r="J476" s="105">
        <f t="shared" ca="1" si="146"/>
        <v>0</v>
      </c>
      <c r="K476" s="105">
        <f t="shared" ca="1" si="147"/>
        <v>0</v>
      </c>
      <c r="L476" s="105">
        <f t="shared" ca="1" si="156"/>
        <v>0</v>
      </c>
      <c r="M476" s="105">
        <f t="shared" ca="1" si="148"/>
        <v>0</v>
      </c>
      <c r="N476" s="105">
        <f t="shared" ca="1" si="157"/>
        <v>0</v>
      </c>
      <c r="O476" s="105">
        <f t="shared" ca="1" si="149"/>
        <v>0</v>
      </c>
      <c r="P476" s="105">
        <f t="shared" ca="1" si="150"/>
        <v>0</v>
      </c>
      <c r="Q476" s="105">
        <f t="shared" ca="1" si="151"/>
        <v>0</v>
      </c>
      <c r="R476" s="105">
        <f t="shared" ca="1" si="152"/>
        <v>0</v>
      </c>
      <c r="S476" s="105">
        <f t="shared" ca="1" si="153"/>
        <v>10</v>
      </c>
    </row>
    <row r="477" spans="1:19" x14ac:dyDescent="0.35">
      <c r="A477" s="105">
        <f t="shared" ca="1" si="139"/>
        <v>641.08499999999992</v>
      </c>
      <c r="B477" s="105">
        <f t="shared" ca="1" si="140"/>
        <v>0</v>
      </c>
      <c r="C477" s="105">
        <f t="shared" ca="1" si="141"/>
        <v>2</v>
      </c>
      <c r="D477" s="105">
        <f t="shared" ca="1" si="142"/>
        <v>0</v>
      </c>
      <c r="E477" s="105">
        <f t="shared" ca="1" si="143"/>
        <v>0</v>
      </c>
      <c r="F477" s="105">
        <f t="shared" ca="1" si="144"/>
        <v>0</v>
      </c>
      <c r="G477" s="105">
        <f t="shared" ca="1" si="154"/>
        <v>0</v>
      </c>
      <c r="H477" s="105">
        <f t="shared" ca="1" si="155"/>
        <v>0</v>
      </c>
      <c r="I477" s="105">
        <f t="shared" ca="1" si="145"/>
        <v>0</v>
      </c>
      <c r="J477" s="105">
        <f t="shared" ca="1" si="146"/>
        <v>0</v>
      </c>
      <c r="K477" s="105">
        <f t="shared" ca="1" si="147"/>
        <v>0</v>
      </c>
      <c r="L477" s="105">
        <f t="shared" ca="1" si="156"/>
        <v>0</v>
      </c>
      <c r="M477" s="105">
        <f t="shared" ca="1" si="148"/>
        <v>0</v>
      </c>
      <c r="N477" s="105">
        <f t="shared" ca="1" si="157"/>
        <v>0</v>
      </c>
      <c r="O477" s="105">
        <f t="shared" ca="1" si="149"/>
        <v>0</v>
      </c>
      <c r="P477" s="105">
        <f t="shared" ca="1" si="150"/>
        <v>0</v>
      </c>
      <c r="Q477" s="105">
        <f t="shared" ca="1" si="151"/>
        <v>0</v>
      </c>
      <c r="R477" s="105">
        <f t="shared" ca="1" si="152"/>
        <v>0</v>
      </c>
      <c r="S477" s="105">
        <f t="shared" ca="1" si="153"/>
        <v>10</v>
      </c>
    </row>
    <row r="478" spans="1:19" x14ac:dyDescent="0.35">
      <c r="A478" s="105">
        <f t="shared" ca="1" si="139"/>
        <v>642.43749999999989</v>
      </c>
      <c r="B478" s="105">
        <f t="shared" ca="1" si="140"/>
        <v>0</v>
      </c>
      <c r="C478" s="105">
        <f t="shared" ca="1" si="141"/>
        <v>2</v>
      </c>
      <c r="D478" s="105">
        <f t="shared" ca="1" si="142"/>
        <v>0</v>
      </c>
      <c r="E478" s="105">
        <f t="shared" ca="1" si="143"/>
        <v>0</v>
      </c>
      <c r="F478" s="105">
        <f t="shared" ca="1" si="144"/>
        <v>0</v>
      </c>
      <c r="G478" s="105">
        <f t="shared" ca="1" si="154"/>
        <v>0</v>
      </c>
      <c r="H478" s="105">
        <f t="shared" ca="1" si="155"/>
        <v>0</v>
      </c>
      <c r="I478" s="105">
        <f t="shared" ca="1" si="145"/>
        <v>0</v>
      </c>
      <c r="J478" s="105">
        <f t="shared" ca="1" si="146"/>
        <v>0</v>
      </c>
      <c r="K478" s="105">
        <f t="shared" ca="1" si="147"/>
        <v>0</v>
      </c>
      <c r="L478" s="105">
        <f t="shared" ca="1" si="156"/>
        <v>0</v>
      </c>
      <c r="M478" s="105">
        <f t="shared" ca="1" si="148"/>
        <v>0</v>
      </c>
      <c r="N478" s="105">
        <f t="shared" ca="1" si="157"/>
        <v>0</v>
      </c>
      <c r="O478" s="105">
        <f t="shared" ca="1" si="149"/>
        <v>0</v>
      </c>
      <c r="P478" s="105">
        <f t="shared" ca="1" si="150"/>
        <v>0</v>
      </c>
      <c r="Q478" s="105">
        <f t="shared" ca="1" si="151"/>
        <v>0</v>
      </c>
      <c r="R478" s="105">
        <f t="shared" ca="1" si="152"/>
        <v>0</v>
      </c>
      <c r="S478" s="105">
        <f t="shared" ca="1" si="153"/>
        <v>10</v>
      </c>
    </row>
    <row r="479" spans="1:19" x14ac:dyDescent="0.35">
      <c r="A479" s="105">
        <f t="shared" ca="1" si="139"/>
        <v>643.78999999999985</v>
      </c>
      <c r="B479" s="105">
        <f t="shared" ca="1" si="140"/>
        <v>0</v>
      </c>
      <c r="C479" s="105">
        <f t="shared" ca="1" si="141"/>
        <v>2</v>
      </c>
      <c r="D479" s="105">
        <f t="shared" ca="1" si="142"/>
        <v>0</v>
      </c>
      <c r="E479" s="105">
        <f t="shared" ca="1" si="143"/>
        <v>0</v>
      </c>
      <c r="F479" s="105">
        <f t="shared" ca="1" si="144"/>
        <v>0</v>
      </c>
      <c r="G479" s="105">
        <f t="shared" ca="1" si="154"/>
        <v>0</v>
      </c>
      <c r="H479" s="105">
        <f t="shared" ca="1" si="155"/>
        <v>0</v>
      </c>
      <c r="I479" s="105">
        <f t="shared" ca="1" si="145"/>
        <v>0</v>
      </c>
      <c r="J479" s="105">
        <f t="shared" ca="1" si="146"/>
        <v>0</v>
      </c>
      <c r="K479" s="105">
        <f t="shared" ca="1" si="147"/>
        <v>0</v>
      </c>
      <c r="L479" s="105">
        <f t="shared" ca="1" si="156"/>
        <v>0</v>
      </c>
      <c r="M479" s="105">
        <f t="shared" ca="1" si="148"/>
        <v>0</v>
      </c>
      <c r="N479" s="105">
        <f t="shared" ca="1" si="157"/>
        <v>0</v>
      </c>
      <c r="O479" s="105">
        <f t="shared" ca="1" si="149"/>
        <v>0</v>
      </c>
      <c r="P479" s="105">
        <f t="shared" ca="1" si="150"/>
        <v>0</v>
      </c>
      <c r="Q479" s="105">
        <f t="shared" ca="1" si="151"/>
        <v>0</v>
      </c>
      <c r="R479" s="105">
        <f t="shared" ca="1" si="152"/>
        <v>0</v>
      </c>
      <c r="S479" s="105">
        <f t="shared" ca="1" si="153"/>
        <v>10</v>
      </c>
    </row>
    <row r="480" spans="1:19" x14ac:dyDescent="0.35">
      <c r="A480" s="105">
        <f t="shared" ca="1" si="139"/>
        <v>645.14249999999981</v>
      </c>
      <c r="B480" s="105">
        <f t="shared" ca="1" si="140"/>
        <v>0</v>
      </c>
      <c r="C480" s="105">
        <f t="shared" ca="1" si="141"/>
        <v>2</v>
      </c>
      <c r="D480" s="105">
        <f t="shared" ca="1" si="142"/>
        <v>0</v>
      </c>
      <c r="E480" s="105">
        <f t="shared" ca="1" si="143"/>
        <v>0</v>
      </c>
      <c r="F480" s="105">
        <f t="shared" ca="1" si="144"/>
        <v>0</v>
      </c>
      <c r="G480" s="105">
        <f t="shared" ca="1" si="154"/>
        <v>0</v>
      </c>
      <c r="H480" s="105">
        <f t="shared" ca="1" si="155"/>
        <v>0</v>
      </c>
      <c r="I480" s="105">
        <f t="shared" ca="1" si="145"/>
        <v>0</v>
      </c>
      <c r="J480" s="105">
        <f t="shared" ca="1" si="146"/>
        <v>0</v>
      </c>
      <c r="K480" s="105">
        <f t="shared" ca="1" si="147"/>
        <v>0</v>
      </c>
      <c r="L480" s="105">
        <f t="shared" ca="1" si="156"/>
        <v>0</v>
      </c>
      <c r="M480" s="105">
        <f t="shared" ca="1" si="148"/>
        <v>0</v>
      </c>
      <c r="N480" s="105">
        <f t="shared" ca="1" si="157"/>
        <v>0</v>
      </c>
      <c r="O480" s="105">
        <f t="shared" ca="1" si="149"/>
        <v>0</v>
      </c>
      <c r="P480" s="105">
        <f t="shared" ca="1" si="150"/>
        <v>0</v>
      </c>
      <c r="Q480" s="105">
        <f t="shared" ca="1" si="151"/>
        <v>0</v>
      </c>
      <c r="R480" s="105">
        <f t="shared" ca="1" si="152"/>
        <v>0</v>
      </c>
      <c r="S480" s="105">
        <f t="shared" ca="1" si="153"/>
        <v>10</v>
      </c>
    </row>
    <row r="481" spans="1:19" x14ac:dyDescent="0.35">
      <c r="A481" s="105">
        <f t="shared" ca="1" si="139"/>
        <v>646.49499999999978</v>
      </c>
      <c r="B481" s="105">
        <f t="shared" ca="1" si="140"/>
        <v>0</v>
      </c>
      <c r="C481" s="105">
        <f t="shared" ca="1" si="141"/>
        <v>2</v>
      </c>
      <c r="D481" s="105">
        <f t="shared" ca="1" si="142"/>
        <v>0</v>
      </c>
      <c r="E481" s="105">
        <f t="shared" ca="1" si="143"/>
        <v>0</v>
      </c>
      <c r="F481" s="105">
        <f t="shared" ca="1" si="144"/>
        <v>0</v>
      </c>
      <c r="G481" s="105">
        <f t="shared" ca="1" si="154"/>
        <v>0</v>
      </c>
      <c r="H481" s="105">
        <f t="shared" ca="1" si="155"/>
        <v>0</v>
      </c>
      <c r="I481" s="105">
        <f t="shared" ca="1" si="145"/>
        <v>0</v>
      </c>
      <c r="J481" s="105">
        <f t="shared" ca="1" si="146"/>
        <v>0</v>
      </c>
      <c r="K481" s="105">
        <f t="shared" ca="1" si="147"/>
        <v>0</v>
      </c>
      <c r="L481" s="105">
        <f t="shared" ca="1" si="156"/>
        <v>0</v>
      </c>
      <c r="M481" s="105">
        <f t="shared" ca="1" si="148"/>
        <v>0</v>
      </c>
      <c r="N481" s="105">
        <f t="shared" ca="1" si="157"/>
        <v>0</v>
      </c>
      <c r="O481" s="105">
        <f t="shared" ca="1" si="149"/>
        <v>0</v>
      </c>
      <c r="P481" s="105">
        <f t="shared" ca="1" si="150"/>
        <v>0</v>
      </c>
      <c r="Q481" s="105">
        <f t="shared" ca="1" si="151"/>
        <v>0</v>
      </c>
      <c r="R481" s="105">
        <f t="shared" ca="1" si="152"/>
        <v>0</v>
      </c>
      <c r="S481" s="105">
        <f t="shared" ca="1" si="153"/>
        <v>10</v>
      </c>
    </row>
    <row r="482" spans="1:19" x14ac:dyDescent="0.35">
      <c r="A482" s="105">
        <f t="shared" ca="1" si="139"/>
        <v>647.84749999999974</v>
      </c>
      <c r="B482" s="105">
        <f t="shared" ca="1" si="140"/>
        <v>0</v>
      </c>
      <c r="C482" s="105">
        <f t="shared" ca="1" si="141"/>
        <v>2</v>
      </c>
      <c r="D482" s="105">
        <f t="shared" ca="1" si="142"/>
        <v>0</v>
      </c>
      <c r="E482" s="105">
        <f t="shared" ca="1" si="143"/>
        <v>0</v>
      </c>
      <c r="F482" s="105">
        <f t="shared" ca="1" si="144"/>
        <v>0</v>
      </c>
      <c r="G482" s="105">
        <f t="shared" ca="1" si="154"/>
        <v>0</v>
      </c>
      <c r="H482" s="105">
        <f t="shared" ca="1" si="155"/>
        <v>0</v>
      </c>
      <c r="I482" s="105">
        <f t="shared" ca="1" si="145"/>
        <v>0</v>
      </c>
      <c r="J482" s="105">
        <f t="shared" ca="1" si="146"/>
        <v>0</v>
      </c>
      <c r="K482" s="105">
        <f t="shared" ca="1" si="147"/>
        <v>0</v>
      </c>
      <c r="L482" s="105">
        <f t="shared" ca="1" si="156"/>
        <v>0</v>
      </c>
      <c r="M482" s="105">
        <f t="shared" ca="1" si="148"/>
        <v>0</v>
      </c>
      <c r="N482" s="105">
        <f t="shared" ca="1" si="157"/>
        <v>0</v>
      </c>
      <c r="O482" s="105">
        <f t="shared" ca="1" si="149"/>
        <v>0</v>
      </c>
      <c r="P482" s="105">
        <f t="shared" ca="1" si="150"/>
        <v>0</v>
      </c>
      <c r="Q482" s="105">
        <f t="shared" ca="1" si="151"/>
        <v>0</v>
      </c>
      <c r="R482" s="105">
        <f t="shared" ca="1" si="152"/>
        <v>0</v>
      </c>
      <c r="S482" s="105">
        <f t="shared" ca="1" si="153"/>
        <v>10</v>
      </c>
    </row>
    <row r="483" spans="1:19" x14ac:dyDescent="0.35">
      <c r="A483" s="105">
        <f t="shared" ca="1" si="139"/>
        <v>649.1999999999997</v>
      </c>
      <c r="B483" s="105">
        <f t="shared" ca="1" si="140"/>
        <v>0</v>
      </c>
      <c r="C483" s="105">
        <f t="shared" ca="1" si="141"/>
        <v>2</v>
      </c>
      <c r="D483" s="105">
        <f t="shared" ca="1" si="142"/>
        <v>0</v>
      </c>
      <c r="E483" s="105">
        <f t="shared" ca="1" si="143"/>
        <v>0</v>
      </c>
      <c r="F483" s="105">
        <f t="shared" ca="1" si="144"/>
        <v>0</v>
      </c>
      <c r="G483" s="105">
        <f t="shared" ca="1" si="154"/>
        <v>0</v>
      </c>
      <c r="H483" s="105">
        <f t="shared" ca="1" si="155"/>
        <v>0</v>
      </c>
      <c r="I483" s="105">
        <f t="shared" ca="1" si="145"/>
        <v>0</v>
      </c>
      <c r="J483" s="105">
        <f t="shared" ca="1" si="146"/>
        <v>0</v>
      </c>
      <c r="K483" s="105">
        <f t="shared" ca="1" si="147"/>
        <v>0</v>
      </c>
      <c r="L483" s="105">
        <f t="shared" ca="1" si="156"/>
        <v>0</v>
      </c>
      <c r="M483" s="105">
        <f t="shared" ca="1" si="148"/>
        <v>0</v>
      </c>
      <c r="N483" s="105">
        <f t="shared" ca="1" si="157"/>
        <v>0</v>
      </c>
      <c r="O483" s="105">
        <f t="shared" ca="1" si="149"/>
        <v>0</v>
      </c>
      <c r="P483" s="105">
        <f t="shared" ca="1" si="150"/>
        <v>0</v>
      </c>
      <c r="Q483" s="105">
        <f t="shared" ca="1" si="151"/>
        <v>0</v>
      </c>
      <c r="R483" s="105">
        <f t="shared" ca="1" si="152"/>
        <v>0</v>
      </c>
      <c r="S483" s="105">
        <f t="shared" ca="1" si="153"/>
        <v>10</v>
      </c>
    </row>
    <row r="484" spans="1:19" x14ac:dyDescent="0.35">
      <c r="A484" s="105">
        <f t="shared" ca="1" si="139"/>
        <v>650.55249999999967</v>
      </c>
      <c r="B484" s="105">
        <f t="shared" ca="1" si="140"/>
        <v>0</v>
      </c>
      <c r="C484" s="105">
        <f t="shared" ca="1" si="141"/>
        <v>2</v>
      </c>
      <c r="D484" s="105">
        <f t="shared" ca="1" si="142"/>
        <v>0</v>
      </c>
      <c r="E484" s="105">
        <f t="shared" ca="1" si="143"/>
        <v>0</v>
      </c>
      <c r="F484" s="105">
        <f t="shared" ca="1" si="144"/>
        <v>0</v>
      </c>
      <c r="G484" s="105">
        <f t="shared" ca="1" si="154"/>
        <v>0</v>
      </c>
      <c r="H484" s="105">
        <f t="shared" ca="1" si="155"/>
        <v>0</v>
      </c>
      <c r="I484" s="105">
        <f t="shared" ca="1" si="145"/>
        <v>0</v>
      </c>
      <c r="J484" s="105">
        <f t="shared" ca="1" si="146"/>
        <v>0</v>
      </c>
      <c r="K484" s="105">
        <f t="shared" ca="1" si="147"/>
        <v>0</v>
      </c>
      <c r="L484" s="105">
        <f t="shared" ca="1" si="156"/>
        <v>0</v>
      </c>
      <c r="M484" s="105">
        <f t="shared" ca="1" si="148"/>
        <v>0</v>
      </c>
      <c r="N484" s="105">
        <f t="shared" ca="1" si="157"/>
        <v>0</v>
      </c>
      <c r="O484" s="105">
        <f t="shared" ca="1" si="149"/>
        <v>0</v>
      </c>
      <c r="P484" s="105">
        <f t="shared" ca="1" si="150"/>
        <v>0</v>
      </c>
      <c r="Q484" s="105">
        <f t="shared" ca="1" si="151"/>
        <v>0</v>
      </c>
      <c r="R484" s="105">
        <f t="shared" ca="1" si="152"/>
        <v>0</v>
      </c>
      <c r="S484" s="105">
        <f t="shared" ca="1" si="153"/>
        <v>10</v>
      </c>
    </row>
    <row r="485" spans="1:19" x14ac:dyDescent="0.35">
      <c r="A485" s="105">
        <f t="shared" ca="1" si="139"/>
        <v>651.90499999999963</v>
      </c>
      <c r="B485" s="105">
        <f t="shared" ca="1" si="140"/>
        <v>0</v>
      </c>
      <c r="C485" s="105">
        <f t="shared" ca="1" si="141"/>
        <v>2</v>
      </c>
      <c r="D485" s="105">
        <f t="shared" ca="1" si="142"/>
        <v>0</v>
      </c>
      <c r="E485" s="105">
        <f t="shared" ca="1" si="143"/>
        <v>0</v>
      </c>
      <c r="F485" s="105">
        <f t="shared" ca="1" si="144"/>
        <v>0</v>
      </c>
      <c r="G485" s="105">
        <f t="shared" ca="1" si="154"/>
        <v>0</v>
      </c>
      <c r="H485" s="105">
        <f t="shared" ca="1" si="155"/>
        <v>0</v>
      </c>
      <c r="I485" s="105">
        <f t="shared" ca="1" si="145"/>
        <v>0</v>
      </c>
      <c r="J485" s="105">
        <f t="shared" ca="1" si="146"/>
        <v>0</v>
      </c>
      <c r="K485" s="105">
        <f t="shared" ca="1" si="147"/>
        <v>0</v>
      </c>
      <c r="L485" s="105">
        <f t="shared" ca="1" si="156"/>
        <v>0</v>
      </c>
      <c r="M485" s="105">
        <f t="shared" ca="1" si="148"/>
        <v>0</v>
      </c>
      <c r="N485" s="105">
        <f t="shared" ca="1" si="157"/>
        <v>0</v>
      </c>
      <c r="O485" s="105">
        <f t="shared" ca="1" si="149"/>
        <v>0</v>
      </c>
      <c r="P485" s="105">
        <f t="shared" ca="1" si="150"/>
        <v>0</v>
      </c>
      <c r="Q485" s="105">
        <f t="shared" ca="1" si="151"/>
        <v>0</v>
      </c>
      <c r="R485" s="105">
        <f t="shared" ca="1" si="152"/>
        <v>0</v>
      </c>
      <c r="S485" s="105">
        <f t="shared" ca="1" si="153"/>
        <v>10</v>
      </c>
    </row>
    <row r="486" spans="1:19" x14ac:dyDescent="0.35">
      <c r="A486" s="105">
        <f t="shared" ca="1" si="139"/>
        <v>653.2574999999996</v>
      </c>
      <c r="B486" s="105">
        <f t="shared" ca="1" si="140"/>
        <v>0</v>
      </c>
      <c r="C486" s="105">
        <f t="shared" ca="1" si="141"/>
        <v>2</v>
      </c>
      <c r="D486" s="105">
        <f t="shared" ca="1" si="142"/>
        <v>0</v>
      </c>
      <c r="E486" s="105">
        <f t="shared" ca="1" si="143"/>
        <v>0</v>
      </c>
      <c r="F486" s="105">
        <f t="shared" ca="1" si="144"/>
        <v>0</v>
      </c>
      <c r="G486" s="105">
        <f t="shared" ca="1" si="154"/>
        <v>0</v>
      </c>
      <c r="H486" s="105">
        <f t="shared" ca="1" si="155"/>
        <v>0</v>
      </c>
      <c r="I486" s="105">
        <f t="shared" ca="1" si="145"/>
        <v>0</v>
      </c>
      <c r="J486" s="105">
        <f t="shared" ca="1" si="146"/>
        <v>0</v>
      </c>
      <c r="K486" s="105">
        <f t="shared" ca="1" si="147"/>
        <v>0</v>
      </c>
      <c r="L486" s="105">
        <f t="shared" ca="1" si="156"/>
        <v>0</v>
      </c>
      <c r="M486" s="105">
        <f t="shared" ca="1" si="148"/>
        <v>0</v>
      </c>
      <c r="N486" s="105">
        <f t="shared" ca="1" si="157"/>
        <v>0</v>
      </c>
      <c r="O486" s="105">
        <f t="shared" ca="1" si="149"/>
        <v>0</v>
      </c>
      <c r="P486" s="105">
        <f t="shared" ca="1" si="150"/>
        <v>0</v>
      </c>
      <c r="Q486" s="105">
        <f t="shared" ca="1" si="151"/>
        <v>0</v>
      </c>
      <c r="R486" s="105">
        <f t="shared" ca="1" si="152"/>
        <v>0</v>
      </c>
      <c r="S486" s="105">
        <f t="shared" ca="1" si="153"/>
        <v>10</v>
      </c>
    </row>
    <row r="487" spans="1:19" x14ac:dyDescent="0.35">
      <c r="A487" s="105">
        <f t="shared" ca="1" si="139"/>
        <v>654.60999999999956</v>
      </c>
      <c r="B487" s="105">
        <f t="shared" ca="1" si="140"/>
        <v>0</v>
      </c>
      <c r="C487" s="105">
        <f t="shared" ca="1" si="141"/>
        <v>2</v>
      </c>
      <c r="D487" s="105">
        <f t="shared" ca="1" si="142"/>
        <v>0</v>
      </c>
      <c r="E487" s="105">
        <f t="shared" ca="1" si="143"/>
        <v>0</v>
      </c>
      <c r="F487" s="105">
        <f t="shared" ca="1" si="144"/>
        <v>0</v>
      </c>
      <c r="G487" s="105">
        <f t="shared" ca="1" si="154"/>
        <v>0</v>
      </c>
      <c r="H487" s="105">
        <f t="shared" ca="1" si="155"/>
        <v>0</v>
      </c>
      <c r="I487" s="105">
        <f t="shared" ca="1" si="145"/>
        <v>0</v>
      </c>
      <c r="J487" s="105">
        <f t="shared" ca="1" si="146"/>
        <v>0</v>
      </c>
      <c r="K487" s="105">
        <f t="shared" ca="1" si="147"/>
        <v>0</v>
      </c>
      <c r="L487" s="105">
        <f t="shared" ca="1" si="156"/>
        <v>0</v>
      </c>
      <c r="M487" s="105">
        <f t="shared" ca="1" si="148"/>
        <v>0</v>
      </c>
      <c r="N487" s="105">
        <f t="shared" ca="1" si="157"/>
        <v>0</v>
      </c>
      <c r="O487" s="105">
        <f t="shared" ca="1" si="149"/>
        <v>0</v>
      </c>
      <c r="P487" s="105">
        <f t="shared" ca="1" si="150"/>
        <v>0</v>
      </c>
      <c r="Q487" s="105">
        <f t="shared" ca="1" si="151"/>
        <v>0</v>
      </c>
      <c r="R487" s="105">
        <f t="shared" ca="1" si="152"/>
        <v>0</v>
      </c>
      <c r="S487" s="105">
        <f t="shared" ca="1" si="153"/>
        <v>10</v>
      </c>
    </row>
    <row r="488" spans="1:19" x14ac:dyDescent="0.35">
      <c r="A488" s="105">
        <f t="shared" ca="1" si="139"/>
        <v>655.96249999999952</v>
      </c>
      <c r="B488" s="105">
        <f t="shared" ca="1" si="140"/>
        <v>0</v>
      </c>
      <c r="C488" s="105">
        <f t="shared" ca="1" si="141"/>
        <v>2</v>
      </c>
      <c r="D488" s="105">
        <f t="shared" ca="1" si="142"/>
        <v>0</v>
      </c>
      <c r="E488" s="105">
        <f t="shared" ca="1" si="143"/>
        <v>0</v>
      </c>
      <c r="F488" s="105">
        <f t="shared" ca="1" si="144"/>
        <v>0</v>
      </c>
      <c r="G488" s="105">
        <f t="shared" ca="1" si="154"/>
        <v>0</v>
      </c>
      <c r="H488" s="105">
        <f t="shared" ca="1" si="155"/>
        <v>0</v>
      </c>
      <c r="I488" s="105">
        <f t="shared" ca="1" si="145"/>
        <v>0</v>
      </c>
      <c r="J488" s="105">
        <f t="shared" ca="1" si="146"/>
        <v>0</v>
      </c>
      <c r="K488" s="105">
        <f t="shared" ca="1" si="147"/>
        <v>0</v>
      </c>
      <c r="L488" s="105">
        <f t="shared" ca="1" si="156"/>
        <v>0</v>
      </c>
      <c r="M488" s="105">
        <f t="shared" ca="1" si="148"/>
        <v>0</v>
      </c>
      <c r="N488" s="105">
        <f t="shared" ca="1" si="157"/>
        <v>0</v>
      </c>
      <c r="O488" s="105">
        <f t="shared" ca="1" si="149"/>
        <v>0</v>
      </c>
      <c r="P488" s="105">
        <f t="shared" ca="1" si="150"/>
        <v>0</v>
      </c>
      <c r="Q488" s="105">
        <f t="shared" ca="1" si="151"/>
        <v>0</v>
      </c>
      <c r="R488" s="105">
        <f t="shared" ca="1" si="152"/>
        <v>0</v>
      </c>
      <c r="S488" s="105">
        <f t="shared" ca="1" si="153"/>
        <v>10</v>
      </c>
    </row>
    <row r="489" spans="1:19" x14ac:dyDescent="0.35">
      <c r="A489" s="105">
        <f t="shared" ca="1" si="139"/>
        <v>657.31499999999949</v>
      </c>
      <c r="B489" s="105">
        <f t="shared" ca="1" si="140"/>
        <v>0</v>
      </c>
      <c r="C489" s="105">
        <f t="shared" ca="1" si="141"/>
        <v>2</v>
      </c>
      <c r="D489" s="105">
        <f t="shared" ca="1" si="142"/>
        <v>0</v>
      </c>
      <c r="E489" s="105">
        <f t="shared" ca="1" si="143"/>
        <v>0</v>
      </c>
      <c r="F489" s="105">
        <f t="shared" ca="1" si="144"/>
        <v>0</v>
      </c>
      <c r="G489" s="105">
        <f t="shared" ca="1" si="154"/>
        <v>0</v>
      </c>
      <c r="H489" s="105">
        <f t="shared" ca="1" si="155"/>
        <v>0</v>
      </c>
      <c r="I489" s="105">
        <f t="shared" ca="1" si="145"/>
        <v>0</v>
      </c>
      <c r="J489" s="105">
        <f t="shared" ca="1" si="146"/>
        <v>0</v>
      </c>
      <c r="K489" s="105">
        <f t="shared" ca="1" si="147"/>
        <v>0</v>
      </c>
      <c r="L489" s="105">
        <f t="shared" ca="1" si="156"/>
        <v>0</v>
      </c>
      <c r="M489" s="105">
        <f t="shared" ca="1" si="148"/>
        <v>0</v>
      </c>
      <c r="N489" s="105">
        <f t="shared" ca="1" si="157"/>
        <v>0</v>
      </c>
      <c r="O489" s="105">
        <f t="shared" ca="1" si="149"/>
        <v>0</v>
      </c>
      <c r="P489" s="105">
        <f t="shared" ca="1" si="150"/>
        <v>0</v>
      </c>
      <c r="Q489" s="105">
        <f t="shared" ca="1" si="151"/>
        <v>0</v>
      </c>
      <c r="R489" s="105">
        <f t="shared" ca="1" si="152"/>
        <v>0</v>
      </c>
      <c r="S489" s="105">
        <f t="shared" ca="1" si="153"/>
        <v>10</v>
      </c>
    </row>
    <row r="490" spans="1:19" x14ac:dyDescent="0.35">
      <c r="A490" s="105">
        <f t="shared" ca="1" si="139"/>
        <v>658.66749999999945</v>
      </c>
      <c r="B490" s="105">
        <f t="shared" ca="1" si="140"/>
        <v>0</v>
      </c>
      <c r="C490" s="105">
        <f t="shared" ca="1" si="141"/>
        <v>2</v>
      </c>
      <c r="D490" s="105">
        <f t="shared" ca="1" si="142"/>
        <v>0</v>
      </c>
      <c r="E490" s="105">
        <f t="shared" ca="1" si="143"/>
        <v>0</v>
      </c>
      <c r="F490" s="105">
        <f t="shared" ca="1" si="144"/>
        <v>0</v>
      </c>
      <c r="G490" s="105">
        <f t="shared" ca="1" si="154"/>
        <v>0</v>
      </c>
      <c r="H490" s="105">
        <f t="shared" ca="1" si="155"/>
        <v>0</v>
      </c>
      <c r="I490" s="105">
        <f t="shared" ca="1" si="145"/>
        <v>0</v>
      </c>
      <c r="J490" s="105">
        <f t="shared" ca="1" si="146"/>
        <v>0</v>
      </c>
      <c r="K490" s="105">
        <f t="shared" ca="1" si="147"/>
        <v>0</v>
      </c>
      <c r="L490" s="105">
        <f t="shared" ca="1" si="156"/>
        <v>0</v>
      </c>
      <c r="M490" s="105">
        <f t="shared" ca="1" si="148"/>
        <v>0</v>
      </c>
      <c r="N490" s="105">
        <f t="shared" ca="1" si="157"/>
        <v>0</v>
      </c>
      <c r="O490" s="105">
        <f t="shared" ca="1" si="149"/>
        <v>0</v>
      </c>
      <c r="P490" s="105">
        <f t="shared" ca="1" si="150"/>
        <v>0</v>
      </c>
      <c r="Q490" s="105">
        <f t="shared" ca="1" si="151"/>
        <v>0</v>
      </c>
      <c r="R490" s="105">
        <f t="shared" ca="1" si="152"/>
        <v>0</v>
      </c>
      <c r="S490" s="105">
        <f t="shared" ca="1" si="153"/>
        <v>10</v>
      </c>
    </row>
    <row r="491" spans="1:19" x14ac:dyDescent="0.35">
      <c r="A491" s="105">
        <f t="shared" ca="1" si="139"/>
        <v>660.01999999999941</v>
      </c>
      <c r="B491" s="105">
        <f t="shared" ca="1" si="140"/>
        <v>0</v>
      </c>
      <c r="C491" s="105">
        <f t="shared" ca="1" si="141"/>
        <v>2</v>
      </c>
      <c r="D491" s="105">
        <f t="shared" ca="1" si="142"/>
        <v>0</v>
      </c>
      <c r="E491" s="105">
        <f t="shared" ca="1" si="143"/>
        <v>0</v>
      </c>
      <c r="F491" s="105">
        <f t="shared" ca="1" si="144"/>
        <v>0</v>
      </c>
      <c r="G491" s="105">
        <f t="shared" ca="1" si="154"/>
        <v>0</v>
      </c>
      <c r="H491" s="105">
        <f t="shared" ca="1" si="155"/>
        <v>0</v>
      </c>
      <c r="I491" s="105">
        <f t="shared" ca="1" si="145"/>
        <v>0</v>
      </c>
      <c r="J491" s="105">
        <f t="shared" ca="1" si="146"/>
        <v>0</v>
      </c>
      <c r="K491" s="105">
        <f t="shared" ca="1" si="147"/>
        <v>0</v>
      </c>
      <c r="L491" s="105">
        <f t="shared" ca="1" si="156"/>
        <v>0</v>
      </c>
      <c r="M491" s="105">
        <f t="shared" ca="1" si="148"/>
        <v>0</v>
      </c>
      <c r="N491" s="105">
        <f t="shared" ca="1" si="157"/>
        <v>0</v>
      </c>
      <c r="O491" s="105">
        <f t="shared" ca="1" si="149"/>
        <v>0</v>
      </c>
      <c r="P491" s="105">
        <f t="shared" ca="1" si="150"/>
        <v>0</v>
      </c>
      <c r="Q491" s="105">
        <f t="shared" ca="1" si="151"/>
        <v>0</v>
      </c>
      <c r="R491" s="105">
        <f t="shared" ca="1" si="152"/>
        <v>0</v>
      </c>
      <c r="S491" s="105">
        <f t="shared" ca="1" si="153"/>
        <v>10</v>
      </c>
    </row>
    <row r="492" spans="1:19" x14ac:dyDescent="0.35">
      <c r="A492" s="105">
        <f t="shared" ca="1" si="139"/>
        <v>661.37249999999938</v>
      </c>
      <c r="B492" s="105">
        <f t="shared" ca="1" si="140"/>
        <v>0</v>
      </c>
      <c r="C492" s="105">
        <f t="shared" ca="1" si="141"/>
        <v>2</v>
      </c>
      <c r="D492" s="105">
        <f t="shared" ca="1" si="142"/>
        <v>0</v>
      </c>
      <c r="E492" s="105">
        <f t="shared" ca="1" si="143"/>
        <v>0</v>
      </c>
      <c r="F492" s="105">
        <f t="shared" ca="1" si="144"/>
        <v>0</v>
      </c>
      <c r="G492" s="105">
        <f t="shared" ca="1" si="154"/>
        <v>0</v>
      </c>
      <c r="H492" s="105">
        <f t="shared" ca="1" si="155"/>
        <v>0</v>
      </c>
      <c r="I492" s="105">
        <f t="shared" ca="1" si="145"/>
        <v>0</v>
      </c>
      <c r="J492" s="105">
        <f t="shared" ca="1" si="146"/>
        <v>0</v>
      </c>
      <c r="K492" s="105">
        <f t="shared" ca="1" si="147"/>
        <v>0</v>
      </c>
      <c r="L492" s="105">
        <f t="shared" ca="1" si="156"/>
        <v>0</v>
      </c>
      <c r="M492" s="105">
        <f t="shared" ca="1" si="148"/>
        <v>0</v>
      </c>
      <c r="N492" s="105">
        <f t="shared" ca="1" si="157"/>
        <v>0</v>
      </c>
      <c r="O492" s="105">
        <f t="shared" ca="1" si="149"/>
        <v>0</v>
      </c>
      <c r="P492" s="105">
        <f t="shared" ca="1" si="150"/>
        <v>0</v>
      </c>
      <c r="Q492" s="105">
        <f t="shared" ca="1" si="151"/>
        <v>0</v>
      </c>
      <c r="R492" s="105">
        <f t="shared" ca="1" si="152"/>
        <v>0</v>
      </c>
      <c r="S492" s="105">
        <f t="shared" ca="1" si="153"/>
        <v>10</v>
      </c>
    </row>
    <row r="493" spans="1:19" x14ac:dyDescent="0.35">
      <c r="A493" s="105">
        <f t="shared" ca="1" si="139"/>
        <v>662.72499999999934</v>
      </c>
      <c r="B493" s="105">
        <f t="shared" ca="1" si="140"/>
        <v>0</v>
      </c>
      <c r="C493" s="105">
        <f t="shared" ca="1" si="141"/>
        <v>2</v>
      </c>
      <c r="D493" s="105">
        <f t="shared" ca="1" si="142"/>
        <v>0</v>
      </c>
      <c r="E493" s="105">
        <f t="shared" ca="1" si="143"/>
        <v>0</v>
      </c>
      <c r="F493" s="105">
        <f t="shared" ca="1" si="144"/>
        <v>0</v>
      </c>
      <c r="G493" s="105">
        <f t="shared" ca="1" si="154"/>
        <v>0</v>
      </c>
      <c r="H493" s="105">
        <f t="shared" ca="1" si="155"/>
        <v>0</v>
      </c>
      <c r="I493" s="105">
        <f t="shared" ca="1" si="145"/>
        <v>0</v>
      </c>
      <c r="J493" s="105">
        <f t="shared" ca="1" si="146"/>
        <v>0</v>
      </c>
      <c r="K493" s="105">
        <f t="shared" ca="1" si="147"/>
        <v>0</v>
      </c>
      <c r="L493" s="105">
        <f t="shared" ca="1" si="156"/>
        <v>0</v>
      </c>
      <c r="M493" s="105">
        <f t="shared" ca="1" si="148"/>
        <v>0</v>
      </c>
      <c r="N493" s="105">
        <f t="shared" ca="1" si="157"/>
        <v>0</v>
      </c>
      <c r="O493" s="105">
        <f t="shared" ca="1" si="149"/>
        <v>0</v>
      </c>
      <c r="P493" s="105">
        <f t="shared" ca="1" si="150"/>
        <v>0</v>
      </c>
      <c r="Q493" s="105">
        <f t="shared" ca="1" si="151"/>
        <v>0</v>
      </c>
      <c r="R493" s="105">
        <f t="shared" ca="1" si="152"/>
        <v>0</v>
      </c>
      <c r="S493" s="105">
        <f t="shared" ca="1" si="153"/>
        <v>10</v>
      </c>
    </row>
    <row r="494" spans="1:19" x14ac:dyDescent="0.35">
      <c r="A494" s="105">
        <f t="shared" ca="1" si="139"/>
        <v>664.0774999999993</v>
      </c>
      <c r="B494" s="105">
        <f t="shared" ca="1" si="140"/>
        <v>0</v>
      </c>
      <c r="C494" s="105">
        <f t="shared" ca="1" si="141"/>
        <v>2</v>
      </c>
      <c r="D494" s="105">
        <f t="shared" ca="1" si="142"/>
        <v>0</v>
      </c>
      <c r="E494" s="105">
        <f t="shared" ca="1" si="143"/>
        <v>0</v>
      </c>
      <c r="F494" s="105">
        <f t="shared" ca="1" si="144"/>
        <v>0</v>
      </c>
      <c r="G494" s="105">
        <f t="shared" ca="1" si="154"/>
        <v>0</v>
      </c>
      <c r="H494" s="105">
        <f t="shared" ca="1" si="155"/>
        <v>0</v>
      </c>
      <c r="I494" s="105">
        <f t="shared" ca="1" si="145"/>
        <v>0</v>
      </c>
      <c r="J494" s="105">
        <f t="shared" ca="1" si="146"/>
        <v>0</v>
      </c>
      <c r="K494" s="105">
        <f t="shared" ca="1" si="147"/>
        <v>0</v>
      </c>
      <c r="L494" s="105">
        <f t="shared" ca="1" si="156"/>
        <v>0</v>
      </c>
      <c r="M494" s="105">
        <f t="shared" ca="1" si="148"/>
        <v>0</v>
      </c>
      <c r="N494" s="105">
        <f t="shared" ca="1" si="157"/>
        <v>0</v>
      </c>
      <c r="O494" s="105">
        <f t="shared" ca="1" si="149"/>
        <v>0</v>
      </c>
      <c r="P494" s="105">
        <f t="shared" ca="1" si="150"/>
        <v>0</v>
      </c>
      <c r="Q494" s="105">
        <f t="shared" ca="1" si="151"/>
        <v>0</v>
      </c>
      <c r="R494" s="105">
        <f t="shared" ca="1" si="152"/>
        <v>0</v>
      </c>
      <c r="S494" s="105">
        <f t="shared" ca="1" si="153"/>
        <v>10</v>
      </c>
    </row>
    <row r="495" spans="1:19" x14ac:dyDescent="0.35">
      <c r="A495" s="105">
        <f t="shared" ca="1" si="139"/>
        <v>665.42999999999927</v>
      </c>
      <c r="B495" s="105">
        <f t="shared" ca="1" si="140"/>
        <v>0</v>
      </c>
      <c r="C495" s="105">
        <f t="shared" ca="1" si="141"/>
        <v>2</v>
      </c>
      <c r="D495" s="105">
        <f t="shared" ca="1" si="142"/>
        <v>0</v>
      </c>
      <c r="E495" s="105">
        <f t="shared" ca="1" si="143"/>
        <v>0</v>
      </c>
      <c r="F495" s="105">
        <f t="shared" ca="1" si="144"/>
        <v>0</v>
      </c>
      <c r="G495" s="105">
        <f t="shared" ca="1" si="154"/>
        <v>0</v>
      </c>
      <c r="H495" s="105">
        <f t="shared" ca="1" si="155"/>
        <v>0</v>
      </c>
      <c r="I495" s="105">
        <f t="shared" ca="1" si="145"/>
        <v>0</v>
      </c>
      <c r="J495" s="105">
        <f t="shared" ca="1" si="146"/>
        <v>0</v>
      </c>
      <c r="K495" s="105">
        <f t="shared" ca="1" si="147"/>
        <v>0</v>
      </c>
      <c r="L495" s="105">
        <f t="shared" ca="1" si="156"/>
        <v>0</v>
      </c>
      <c r="M495" s="105">
        <f t="shared" ca="1" si="148"/>
        <v>0</v>
      </c>
      <c r="N495" s="105">
        <f t="shared" ca="1" si="157"/>
        <v>0</v>
      </c>
      <c r="O495" s="105">
        <f t="shared" ca="1" si="149"/>
        <v>0</v>
      </c>
      <c r="P495" s="105">
        <f t="shared" ca="1" si="150"/>
        <v>0</v>
      </c>
      <c r="Q495" s="105">
        <f t="shared" ca="1" si="151"/>
        <v>0</v>
      </c>
      <c r="R495" s="105">
        <f t="shared" ca="1" si="152"/>
        <v>0</v>
      </c>
      <c r="S495" s="105">
        <f t="shared" ca="1" si="153"/>
        <v>10</v>
      </c>
    </row>
    <row r="496" spans="1:19" x14ac:dyDescent="0.35">
      <c r="A496" s="105">
        <f t="shared" ca="1" si="139"/>
        <v>666.78249999999923</v>
      </c>
      <c r="B496" s="105">
        <f t="shared" ca="1" si="140"/>
        <v>0</v>
      </c>
      <c r="C496" s="105">
        <f t="shared" ca="1" si="141"/>
        <v>2</v>
      </c>
      <c r="D496" s="105">
        <f t="shared" ca="1" si="142"/>
        <v>0</v>
      </c>
      <c r="E496" s="105">
        <f t="shared" ca="1" si="143"/>
        <v>0</v>
      </c>
      <c r="F496" s="105">
        <f t="shared" ca="1" si="144"/>
        <v>0</v>
      </c>
      <c r="G496" s="105">
        <f t="shared" ca="1" si="154"/>
        <v>0</v>
      </c>
      <c r="H496" s="105">
        <f t="shared" ca="1" si="155"/>
        <v>0</v>
      </c>
      <c r="I496" s="105">
        <f t="shared" ca="1" si="145"/>
        <v>0</v>
      </c>
      <c r="J496" s="105">
        <f t="shared" ca="1" si="146"/>
        <v>0</v>
      </c>
      <c r="K496" s="105">
        <f t="shared" ca="1" si="147"/>
        <v>0</v>
      </c>
      <c r="L496" s="105">
        <f t="shared" ca="1" si="156"/>
        <v>0</v>
      </c>
      <c r="M496" s="105">
        <f t="shared" ca="1" si="148"/>
        <v>0</v>
      </c>
      <c r="N496" s="105">
        <f t="shared" ca="1" si="157"/>
        <v>0</v>
      </c>
      <c r="O496" s="105">
        <f t="shared" ca="1" si="149"/>
        <v>0</v>
      </c>
      <c r="P496" s="105">
        <f t="shared" ca="1" si="150"/>
        <v>0</v>
      </c>
      <c r="Q496" s="105">
        <f t="shared" ca="1" si="151"/>
        <v>0</v>
      </c>
      <c r="R496" s="105">
        <f t="shared" ca="1" si="152"/>
        <v>0</v>
      </c>
      <c r="S496" s="105">
        <f t="shared" ca="1" si="153"/>
        <v>10</v>
      </c>
    </row>
    <row r="497" spans="1:19" x14ac:dyDescent="0.35">
      <c r="A497" s="105">
        <f t="shared" ca="1" si="139"/>
        <v>668.1349999999992</v>
      </c>
      <c r="B497" s="105">
        <f t="shared" ca="1" si="140"/>
        <v>0</v>
      </c>
      <c r="C497" s="105">
        <f t="shared" ca="1" si="141"/>
        <v>2</v>
      </c>
      <c r="D497" s="105">
        <f t="shared" ca="1" si="142"/>
        <v>0</v>
      </c>
      <c r="E497" s="105">
        <f t="shared" ca="1" si="143"/>
        <v>0</v>
      </c>
      <c r="F497" s="105">
        <f t="shared" ca="1" si="144"/>
        <v>0</v>
      </c>
      <c r="G497" s="105">
        <f t="shared" ca="1" si="154"/>
        <v>0</v>
      </c>
      <c r="H497" s="105">
        <f t="shared" ca="1" si="155"/>
        <v>0</v>
      </c>
      <c r="I497" s="105">
        <f t="shared" ca="1" si="145"/>
        <v>0</v>
      </c>
      <c r="J497" s="105">
        <f t="shared" ca="1" si="146"/>
        <v>0</v>
      </c>
      <c r="K497" s="105">
        <f t="shared" ca="1" si="147"/>
        <v>0</v>
      </c>
      <c r="L497" s="105">
        <f t="shared" ca="1" si="156"/>
        <v>0</v>
      </c>
      <c r="M497" s="105">
        <f t="shared" ca="1" si="148"/>
        <v>0</v>
      </c>
      <c r="N497" s="105">
        <f t="shared" ca="1" si="157"/>
        <v>0</v>
      </c>
      <c r="O497" s="105">
        <f t="shared" ca="1" si="149"/>
        <v>0</v>
      </c>
      <c r="P497" s="105">
        <f t="shared" ca="1" si="150"/>
        <v>0</v>
      </c>
      <c r="Q497" s="105">
        <f t="shared" ca="1" si="151"/>
        <v>0</v>
      </c>
      <c r="R497" s="105">
        <f t="shared" ca="1" si="152"/>
        <v>0</v>
      </c>
      <c r="S497" s="105">
        <f t="shared" ca="1" si="153"/>
        <v>10</v>
      </c>
    </row>
    <row r="498" spans="1:19" x14ac:dyDescent="0.35">
      <c r="A498" s="105">
        <f t="shared" ca="1" si="139"/>
        <v>669.48749999999916</v>
      </c>
      <c r="B498" s="105">
        <f t="shared" ca="1" si="140"/>
        <v>0</v>
      </c>
      <c r="C498" s="105">
        <f t="shared" ca="1" si="141"/>
        <v>2</v>
      </c>
      <c r="D498" s="105">
        <f t="shared" ca="1" si="142"/>
        <v>0</v>
      </c>
      <c r="E498" s="105">
        <f t="shared" ca="1" si="143"/>
        <v>0</v>
      </c>
      <c r="F498" s="105">
        <f t="shared" ca="1" si="144"/>
        <v>0</v>
      </c>
      <c r="G498" s="105">
        <f t="shared" ca="1" si="154"/>
        <v>0</v>
      </c>
      <c r="H498" s="105">
        <f t="shared" ca="1" si="155"/>
        <v>0</v>
      </c>
      <c r="I498" s="105">
        <f t="shared" ca="1" si="145"/>
        <v>0</v>
      </c>
      <c r="J498" s="105">
        <f t="shared" ca="1" si="146"/>
        <v>0</v>
      </c>
      <c r="K498" s="105">
        <f t="shared" ca="1" si="147"/>
        <v>0</v>
      </c>
      <c r="L498" s="105">
        <f t="shared" ca="1" si="156"/>
        <v>0</v>
      </c>
      <c r="M498" s="105">
        <f t="shared" ca="1" si="148"/>
        <v>0</v>
      </c>
      <c r="N498" s="105">
        <f t="shared" ca="1" si="157"/>
        <v>0</v>
      </c>
      <c r="O498" s="105">
        <f t="shared" ca="1" si="149"/>
        <v>0</v>
      </c>
      <c r="P498" s="105">
        <f t="shared" ca="1" si="150"/>
        <v>0</v>
      </c>
      <c r="Q498" s="105">
        <f t="shared" ca="1" si="151"/>
        <v>0</v>
      </c>
      <c r="R498" s="105">
        <f t="shared" ca="1" si="152"/>
        <v>0</v>
      </c>
      <c r="S498" s="105">
        <f t="shared" ca="1" si="153"/>
        <v>10</v>
      </c>
    </row>
    <row r="499" spans="1:19" x14ac:dyDescent="0.35">
      <c r="A499" s="105">
        <f t="shared" ca="1" si="139"/>
        <v>670.83999999999912</v>
      </c>
      <c r="B499" s="105">
        <f t="shared" ca="1" si="140"/>
        <v>0</v>
      </c>
      <c r="C499" s="105">
        <f t="shared" ca="1" si="141"/>
        <v>2</v>
      </c>
      <c r="D499" s="105">
        <f t="shared" ca="1" si="142"/>
        <v>0</v>
      </c>
      <c r="E499" s="105">
        <f t="shared" ca="1" si="143"/>
        <v>0</v>
      </c>
      <c r="F499" s="105">
        <f t="shared" ca="1" si="144"/>
        <v>0</v>
      </c>
      <c r="G499" s="105">
        <f t="shared" ca="1" si="154"/>
        <v>0</v>
      </c>
      <c r="H499" s="105">
        <f t="shared" ca="1" si="155"/>
        <v>0</v>
      </c>
      <c r="I499" s="105">
        <f t="shared" ca="1" si="145"/>
        <v>0</v>
      </c>
      <c r="J499" s="105">
        <f t="shared" ca="1" si="146"/>
        <v>0</v>
      </c>
      <c r="K499" s="105">
        <f t="shared" ca="1" si="147"/>
        <v>0</v>
      </c>
      <c r="L499" s="105">
        <f t="shared" ca="1" si="156"/>
        <v>0</v>
      </c>
      <c r="M499" s="105">
        <f t="shared" ca="1" si="148"/>
        <v>0</v>
      </c>
      <c r="N499" s="105">
        <f t="shared" ca="1" si="157"/>
        <v>0</v>
      </c>
      <c r="O499" s="105">
        <f t="shared" ca="1" si="149"/>
        <v>0</v>
      </c>
      <c r="P499" s="105">
        <f t="shared" ca="1" si="150"/>
        <v>0</v>
      </c>
      <c r="Q499" s="105">
        <f t="shared" ca="1" si="151"/>
        <v>0</v>
      </c>
      <c r="R499" s="105">
        <f t="shared" ca="1" si="152"/>
        <v>0</v>
      </c>
      <c r="S499" s="105">
        <f t="shared" ca="1" si="153"/>
        <v>10</v>
      </c>
    </row>
    <row r="500" spans="1:19" x14ac:dyDescent="0.35">
      <c r="A500" s="105">
        <f t="shared" ca="1" si="139"/>
        <v>672.19249999999909</v>
      </c>
      <c r="B500" s="105">
        <f t="shared" ca="1" si="140"/>
        <v>0</v>
      </c>
      <c r="C500" s="105">
        <f t="shared" ca="1" si="141"/>
        <v>2</v>
      </c>
      <c r="D500" s="105">
        <f t="shared" ca="1" si="142"/>
        <v>0</v>
      </c>
      <c r="E500" s="105">
        <f t="shared" ca="1" si="143"/>
        <v>0</v>
      </c>
      <c r="F500" s="105">
        <f t="shared" ca="1" si="144"/>
        <v>0</v>
      </c>
      <c r="G500" s="105">
        <f t="shared" ca="1" si="154"/>
        <v>0</v>
      </c>
      <c r="H500" s="105">
        <f t="shared" ca="1" si="155"/>
        <v>0</v>
      </c>
      <c r="I500" s="105">
        <f t="shared" ca="1" si="145"/>
        <v>0</v>
      </c>
      <c r="J500" s="105">
        <f t="shared" ca="1" si="146"/>
        <v>0</v>
      </c>
      <c r="K500" s="105">
        <f t="shared" ca="1" si="147"/>
        <v>0</v>
      </c>
      <c r="L500" s="105">
        <f t="shared" ca="1" si="156"/>
        <v>0</v>
      </c>
      <c r="M500" s="105">
        <f t="shared" ca="1" si="148"/>
        <v>0</v>
      </c>
      <c r="N500" s="105">
        <f t="shared" ca="1" si="157"/>
        <v>0</v>
      </c>
      <c r="O500" s="105">
        <f t="shared" ca="1" si="149"/>
        <v>0</v>
      </c>
      <c r="P500" s="105">
        <f t="shared" ca="1" si="150"/>
        <v>0</v>
      </c>
      <c r="Q500" s="105">
        <f t="shared" ca="1" si="151"/>
        <v>0</v>
      </c>
      <c r="R500" s="105">
        <f t="shared" ca="1" si="152"/>
        <v>0</v>
      </c>
      <c r="S500" s="105">
        <f t="shared" ca="1" si="153"/>
        <v>10</v>
      </c>
    </row>
    <row r="501" spans="1:19" x14ac:dyDescent="0.35">
      <c r="A501" s="105">
        <f t="shared" ca="1" si="139"/>
        <v>673.54499999999905</v>
      </c>
      <c r="B501" s="105">
        <f t="shared" ca="1" si="140"/>
        <v>0</v>
      </c>
      <c r="C501" s="105">
        <f t="shared" ca="1" si="141"/>
        <v>2</v>
      </c>
      <c r="D501" s="105">
        <f t="shared" ca="1" si="142"/>
        <v>0</v>
      </c>
      <c r="E501" s="105">
        <f t="shared" ca="1" si="143"/>
        <v>0</v>
      </c>
      <c r="F501" s="105">
        <f t="shared" ca="1" si="144"/>
        <v>0</v>
      </c>
      <c r="G501" s="105">
        <f t="shared" ca="1" si="154"/>
        <v>0</v>
      </c>
      <c r="H501" s="105">
        <f t="shared" ca="1" si="155"/>
        <v>0</v>
      </c>
      <c r="I501" s="105">
        <f t="shared" ca="1" si="145"/>
        <v>0</v>
      </c>
      <c r="J501" s="105">
        <f t="shared" ca="1" si="146"/>
        <v>0</v>
      </c>
      <c r="K501" s="105">
        <f t="shared" ca="1" si="147"/>
        <v>0</v>
      </c>
      <c r="L501" s="105">
        <f t="shared" ca="1" si="156"/>
        <v>0</v>
      </c>
      <c r="M501" s="105">
        <f t="shared" ca="1" si="148"/>
        <v>0</v>
      </c>
      <c r="N501" s="105">
        <f t="shared" ca="1" si="157"/>
        <v>0</v>
      </c>
      <c r="O501" s="105">
        <f t="shared" ca="1" si="149"/>
        <v>0</v>
      </c>
      <c r="P501" s="105">
        <f t="shared" ca="1" si="150"/>
        <v>0</v>
      </c>
      <c r="Q501" s="105">
        <f t="shared" ca="1" si="151"/>
        <v>0</v>
      </c>
      <c r="R501" s="105">
        <f t="shared" ca="1" si="152"/>
        <v>0</v>
      </c>
      <c r="S501" s="105">
        <f t="shared" ca="1" si="153"/>
        <v>10</v>
      </c>
    </row>
    <row r="502" spans="1:19" x14ac:dyDescent="0.35">
      <c r="A502" s="105">
        <f t="shared" ca="1" si="139"/>
        <v>674.89749999999901</v>
      </c>
      <c r="B502" s="105">
        <f t="shared" ca="1" si="140"/>
        <v>0</v>
      </c>
      <c r="C502" s="105">
        <f t="shared" ca="1" si="141"/>
        <v>2</v>
      </c>
      <c r="D502" s="105">
        <f t="shared" ca="1" si="142"/>
        <v>0</v>
      </c>
      <c r="E502" s="105">
        <f t="shared" ca="1" si="143"/>
        <v>0</v>
      </c>
      <c r="F502" s="105">
        <f t="shared" ca="1" si="144"/>
        <v>0</v>
      </c>
      <c r="G502" s="105">
        <f t="shared" ca="1" si="154"/>
        <v>0</v>
      </c>
      <c r="H502" s="105">
        <f t="shared" ca="1" si="155"/>
        <v>0</v>
      </c>
      <c r="I502" s="105">
        <f t="shared" ca="1" si="145"/>
        <v>0</v>
      </c>
      <c r="J502" s="105">
        <f t="shared" ca="1" si="146"/>
        <v>0</v>
      </c>
      <c r="K502" s="105">
        <f t="shared" ca="1" si="147"/>
        <v>0</v>
      </c>
      <c r="L502" s="105">
        <f t="shared" ca="1" si="156"/>
        <v>0</v>
      </c>
      <c r="M502" s="105">
        <f t="shared" ca="1" si="148"/>
        <v>0</v>
      </c>
      <c r="N502" s="105">
        <f t="shared" ca="1" si="157"/>
        <v>0</v>
      </c>
      <c r="O502" s="105">
        <f t="shared" ca="1" si="149"/>
        <v>0</v>
      </c>
      <c r="P502" s="105">
        <f t="shared" ca="1" si="150"/>
        <v>0</v>
      </c>
      <c r="Q502" s="105">
        <f t="shared" ca="1" si="151"/>
        <v>0</v>
      </c>
      <c r="R502" s="105">
        <f t="shared" ca="1" si="152"/>
        <v>0</v>
      </c>
      <c r="S502" s="105">
        <f t="shared" ca="1" si="153"/>
        <v>10</v>
      </c>
    </row>
    <row r="503" spans="1:19" x14ac:dyDescent="0.35">
      <c r="A503" s="105">
        <f t="shared" ca="1" si="139"/>
        <v>676.24999999999898</v>
      </c>
      <c r="B503" s="105">
        <f t="shared" ca="1" si="140"/>
        <v>0</v>
      </c>
      <c r="C503" s="105">
        <f t="shared" ca="1" si="141"/>
        <v>2</v>
      </c>
      <c r="D503" s="105">
        <f t="shared" ca="1" si="142"/>
        <v>0</v>
      </c>
      <c r="E503" s="105">
        <f t="shared" ca="1" si="143"/>
        <v>0</v>
      </c>
      <c r="F503" s="105">
        <f t="shared" ca="1" si="144"/>
        <v>0</v>
      </c>
      <c r="G503" s="105">
        <f t="shared" ca="1" si="154"/>
        <v>0</v>
      </c>
      <c r="H503" s="105">
        <f t="shared" ca="1" si="155"/>
        <v>0</v>
      </c>
      <c r="I503" s="105">
        <f t="shared" ca="1" si="145"/>
        <v>0</v>
      </c>
      <c r="J503" s="105">
        <f t="shared" ca="1" si="146"/>
        <v>0</v>
      </c>
      <c r="K503" s="105">
        <f t="shared" ca="1" si="147"/>
        <v>0</v>
      </c>
      <c r="L503" s="105">
        <f t="shared" ca="1" si="156"/>
        <v>0</v>
      </c>
      <c r="M503" s="105">
        <f t="shared" ca="1" si="148"/>
        <v>0</v>
      </c>
      <c r="N503" s="105">
        <f t="shared" ca="1" si="157"/>
        <v>0</v>
      </c>
      <c r="O503" s="105">
        <f t="shared" ca="1" si="149"/>
        <v>0</v>
      </c>
      <c r="P503" s="105">
        <f t="shared" ca="1" si="150"/>
        <v>0</v>
      </c>
      <c r="Q503" s="105">
        <f t="shared" ca="1" si="151"/>
        <v>0</v>
      </c>
      <c r="R503" s="105">
        <f t="shared" ca="1" si="152"/>
        <v>0</v>
      </c>
      <c r="S503" s="105">
        <f t="shared" ca="1" si="153"/>
        <v>10</v>
      </c>
    </row>
    <row r="504" spans="1:19" x14ac:dyDescent="0.35">
      <c r="A504" s="105">
        <f t="shared" ca="1" si="139"/>
        <v>677.60249999999894</v>
      </c>
      <c r="B504" s="105">
        <f t="shared" ca="1" si="140"/>
        <v>0</v>
      </c>
      <c r="C504" s="105">
        <f t="shared" ca="1" si="141"/>
        <v>2</v>
      </c>
      <c r="D504" s="105">
        <f t="shared" ca="1" si="142"/>
        <v>0</v>
      </c>
      <c r="E504" s="105">
        <f t="shared" ca="1" si="143"/>
        <v>0</v>
      </c>
      <c r="F504" s="105">
        <f t="shared" ca="1" si="144"/>
        <v>0</v>
      </c>
      <c r="G504" s="105">
        <f t="shared" ca="1" si="154"/>
        <v>0</v>
      </c>
      <c r="H504" s="105">
        <f t="shared" ca="1" si="155"/>
        <v>0</v>
      </c>
      <c r="I504" s="105">
        <f t="shared" ca="1" si="145"/>
        <v>0</v>
      </c>
      <c r="J504" s="105">
        <f t="shared" ca="1" si="146"/>
        <v>0</v>
      </c>
      <c r="K504" s="105">
        <f t="shared" ca="1" si="147"/>
        <v>0</v>
      </c>
      <c r="L504" s="105">
        <f t="shared" ca="1" si="156"/>
        <v>0</v>
      </c>
      <c r="M504" s="105">
        <f t="shared" ca="1" si="148"/>
        <v>0</v>
      </c>
      <c r="N504" s="105">
        <f t="shared" ca="1" si="157"/>
        <v>0</v>
      </c>
      <c r="O504" s="105">
        <f t="shared" ca="1" si="149"/>
        <v>0</v>
      </c>
      <c r="P504" s="105">
        <f t="shared" ca="1" si="150"/>
        <v>0</v>
      </c>
      <c r="Q504" s="105">
        <f t="shared" ca="1" si="151"/>
        <v>0</v>
      </c>
      <c r="R504" s="105">
        <f t="shared" ca="1" si="152"/>
        <v>0</v>
      </c>
      <c r="S504" s="105">
        <f t="shared" ca="1" si="153"/>
        <v>10</v>
      </c>
    </row>
    <row r="505" spans="1:19" x14ac:dyDescent="0.35">
      <c r="A505" s="105">
        <f t="shared" ca="1" si="139"/>
        <v>678.9549999999989</v>
      </c>
      <c r="B505" s="105">
        <f t="shared" ca="1" si="140"/>
        <v>0</v>
      </c>
      <c r="C505" s="105">
        <f t="shared" ca="1" si="141"/>
        <v>2</v>
      </c>
      <c r="D505" s="105">
        <f t="shared" ca="1" si="142"/>
        <v>0</v>
      </c>
      <c r="E505" s="105">
        <f t="shared" ca="1" si="143"/>
        <v>0</v>
      </c>
      <c r="F505" s="105">
        <f t="shared" ca="1" si="144"/>
        <v>0</v>
      </c>
      <c r="G505" s="105">
        <f t="shared" ca="1" si="154"/>
        <v>0</v>
      </c>
      <c r="H505" s="105">
        <f t="shared" ca="1" si="155"/>
        <v>0</v>
      </c>
      <c r="I505" s="105">
        <f t="shared" ca="1" si="145"/>
        <v>0</v>
      </c>
      <c r="J505" s="105">
        <f t="shared" ca="1" si="146"/>
        <v>0</v>
      </c>
      <c r="K505" s="105">
        <f t="shared" ca="1" si="147"/>
        <v>0</v>
      </c>
      <c r="L505" s="105">
        <f t="shared" ca="1" si="156"/>
        <v>0</v>
      </c>
      <c r="M505" s="105">
        <f t="shared" ca="1" si="148"/>
        <v>0</v>
      </c>
      <c r="N505" s="105">
        <f t="shared" ca="1" si="157"/>
        <v>0</v>
      </c>
      <c r="O505" s="105">
        <f t="shared" ca="1" si="149"/>
        <v>0</v>
      </c>
      <c r="P505" s="105">
        <f t="shared" ca="1" si="150"/>
        <v>0</v>
      </c>
      <c r="Q505" s="105">
        <f t="shared" ca="1" si="151"/>
        <v>0</v>
      </c>
      <c r="R505" s="105">
        <f t="shared" ca="1" si="152"/>
        <v>0</v>
      </c>
      <c r="S505" s="105">
        <f t="shared" ca="1" si="153"/>
        <v>10</v>
      </c>
    </row>
    <row r="506" spans="1:19" x14ac:dyDescent="0.35">
      <c r="A506" s="105">
        <f t="shared" ca="1" si="139"/>
        <v>680.30749999999887</v>
      </c>
      <c r="B506" s="105">
        <f t="shared" ca="1" si="140"/>
        <v>0</v>
      </c>
      <c r="C506" s="105">
        <f t="shared" ca="1" si="141"/>
        <v>2</v>
      </c>
      <c r="D506" s="105">
        <f t="shared" ca="1" si="142"/>
        <v>0</v>
      </c>
      <c r="E506" s="105">
        <f t="shared" ca="1" si="143"/>
        <v>0</v>
      </c>
      <c r="F506" s="105">
        <f t="shared" ca="1" si="144"/>
        <v>0</v>
      </c>
      <c r="G506" s="105">
        <f t="shared" ca="1" si="154"/>
        <v>0</v>
      </c>
      <c r="H506" s="105">
        <f t="shared" ca="1" si="155"/>
        <v>0</v>
      </c>
      <c r="I506" s="105">
        <f t="shared" ca="1" si="145"/>
        <v>0</v>
      </c>
      <c r="J506" s="105">
        <f t="shared" ca="1" si="146"/>
        <v>0</v>
      </c>
      <c r="K506" s="105">
        <f t="shared" ca="1" si="147"/>
        <v>0</v>
      </c>
      <c r="L506" s="105">
        <f t="shared" ca="1" si="156"/>
        <v>0</v>
      </c>
      <c r="M506" s="105">
        <f t="shared" ca="1" si="148"/>
        <v>0</v>
      </c>
      <c r="N506" s="105">
        <f t="shared" ca="1" si="157"/>
        <v>0</v>
      </c>
      <c r="O506" s="105">
        <f t="shared" ca="1" si="149"/>
        <v>0</v>
      </c>
      <c r="P506" s="105">
        <f t="shared" ca="1" si="150"/>
        <v>0</v>
      </c>
      <c r="Q506" s="105">
        <f t="shared" ca="1" si="151"/>
        <v>0</v>
      </c>
      <c r="R506" s="105">
        <f t="shared" ca="1" si="152"/>
        <v>0</v>
      </c>
      <c r="S506" s="105">
        <f t="shared" ca="1" si="153"/>
        <v>10</v>
      </c>
    </row>
    <row r="507" spans="1:19" x14ac:dyDescent="0.35">
      <c r="A507" s="105">
        <f t="shared" ca="1" si="139"/>
        <v>681.65999999999883</v>
      </c>
      <c r="B507" s="105">
        <f t="shared" ca="1" si="140"/>
        <v>0</v>
      </c>
      <c r="C507" s="105">
        <f t="shared" ca="1" si="141"/>
        <v>2</v>
      </c>
      <c r="D507" s="105">
        <f t="shared" ca="1" si="142"/>
        <v>0</v>
      </c>
      <c r="E507" s="105">
        <f t="shared" ca="1" si="143"/>
        <v>0</v>
      </c>
      <c r="F507" s="105">
        <f t="shared" ca="1" si="144"/>
        <v>0</v>
      </c>
      <c r="G507" s="105">
        <f t="shared" ca="1" si="154"/>
        <v>0</v>
      </c>
      <c r="H507" s="105">
        <f t="shared" ca="1" si="155"/>
        <v>0</v>
      </c>
      <c r="I507" s="105">
        <f t="shared" ca="1" si="145"/>
        <v>0</v>
      </c>
      <c r="J507" s="105">
        <f t="shared" ca="1" si="146"/>
        <v>0</v>
      </c>
      <c r="K507" s="105">
        <f t="shared" ca="1" si="147"/>
        <v>0</v>
      </c>
      <c r="L507" s="105">
        <f t="shared" ca="1" si="156"/>
        <v>0</v>
      </c>
      <c r="M507" s="105">
        <f t="shared" ca="1" si="148"/>
        <v>0</v>
      </c>
      <c r="N507" s="105">
        <f t="shared" ca="1" si="157"/>
        <v>0</v>
      </c>
      <c r="O507" s="105">
        <f t="shared" ca="1" si="149"/>
        <v>0</v>
      </c>
      <c r="P507" s="105">
        <f t="shared" ca="1" si="150"/>
        <v>0</v>
      </c>
      <c r="Q507" s="105">
        <f t="shared" ca="1" si="151"/>
        <v>0</v>
      </c>
      <c r="R507" s="105">
        <f t="shared" ca="1" si="152"/>
        <v>0</v>
      </c>
      <c r="S507" s="105">
        <f t="shared" ca="1" si="153"/>
        <v>10</v>
      </c>
    </row>
    <row r="508" spans="1:19" x14ac:dyDescent="0.35">
      <c r="A508" s="105">
        <f t="shared" ca="1" si="139"/>
        <v>683.01249999999879</v>
      </c>
      <c r="B508" s="105">
        <f t="shared" ca="1" si="140"/>
        <v>0</v>
      </c>
      <c r="C508" s="105">
        <f t="shared" ca="1" si="141"/>
        <v>2</v>
      </c>
      <c r="D508" s="105">
        <f t="shared" ca="1" si="142"/>
        <v>0</v>
      </c>
      <c r="E508" s="105">
        <f t="shared" ca="1" si="143"/>
        <v>0</v>
      </c>
      <c r="F508" s="105">
        <f t="shared" ca="1" si="144"/>
        <v>0</v>
      </c>
      <c r="G508" s="105">
        <f t="shared" ca="1" si="154"/>
        <v>0</v>
      </c>
      <c r="H508" s="105">
        <f t="shared" ca="1" si="155"/>
        <v>0</v>
      </c>
      <c r="I508" s="105">
        <f t="shared" ca="1" si="145"/>
        <v>0</v>
      </c>
      <c r="J508" s="105">
        <f t="shared" ca="1" si="146"/>
        <v>0</v>
      </c>
      <c r="K508" s="105">
        <f t="shared" ca="1" si="147"/>
        <v>0</v>
      </c>
      <c r="L508" s="105">
        <f t="shared" ca="1" si="156"/>
        <v>0</v>
      </c>
      <c r="M508" s="105">
        <f t="shared" ca="1" si="148"/>
        <v>0</v>
      </c>
      <c r="N508" s="105">
        <f t="shared" ca="1" si="157"/>
        <v>0</v>
      </c>
      <c r="O508" s="105">
        <f t="shared" ca="1" si="149"/>
        <v>0</v>
      </c>
      <c r="P508" s="105">
        <f t="shared" ca="1" si="150"/>
        <v>0</v>
      </c>
      <c r="Q508" s="105">
        <f t="shared" ca="1" si="151"/>
        <v>0</v>
      </c>
      <c r="R508" s="105">
        <f t="shared" ca="1" si="152"/>
        <v>0</v>
      </c>
      <c r="S508" s="105">
        <f t="shared" ca="1" si="153"/>
        <v>10</v>
      </c>
    </row>
    <row r="509" spans="1:19" x14ac:dyDescent="0.35">
      <c r="A509" s="105">
        <f t="shared" ca="1" si="139"/>
        <v>684.36499999999876</v>
      </c>
      <c r="B509" s="105">
        <f t="shared" ca="1" si="140"/>
        <v>0</v>
      </c>
      <c r="C509" s="105">
        <f t="shared" ca="1" si="141"/>
        <v>2</v>
      </c>
      <c r="D509" s="105">
        <f t="shared" ca="1" si="142"/>
        <v>0</v>
      </c>
      <c r="E509" s="105">
        <f t="shared" ca="1" si="143"/>
        <v>0</v>
      </c>
      <c r="F509" s="105">
        <f t="shared" ca="1" si="144"/>
        <v>0</v>
      </c>
      <c r="G509" s="105">
        <f t="shared" ca="1" si="154"/>
        <v>0</v>
      </c>
      <c r="H509" s="105">
        <f t="shared" ca="1" si="155"/>
        <v>0</v>
      </c>
      <c r="I509" s="105">
        <f t="shared" ca="1" si="145"/>
        <v>0</v>
      </c>
      <c r="J509" s="105">
        <f t="shared" ca="1" si="146"/>
        <v>0</v>
      </c>
      <c r="K509" s="105">
        <f t="shared" ca="1" si="147"/>
        <v>0</v>
      </c>
      <c r="L509" s="105">
        <f t="shared" ca="1" si="156"/>
        <v>0</v>
      </c>
      <c r="M509" s="105">
        <f t="shared" ca="1" si="148"/>
        <v>0</v>
      </c>
      <c r="N509" s="105">
        <f t="shared" ca="1" si="157"/>
        <v>0</v>
      </c>
      <c r="O509" s="105">
        <f t="shared" ca="1" si="149"/>
        <v>0</v>
      </c>
      <c r="P509" s="105">
        <f t="shared" ca="1" si="150"/>
        <v>0</v>
      </c>
      <c r="Q509" s="105">
        <f t="shared" ca="1" si="151"/>
        <v>0</v>
      </c>
      <c r="R509" s="105">
        <f t="shared" ca="1" si="152"/>
        <v>0</v>
      </c>
      <c r="S509" s="105">
        <f t="shared" ca="1" si="153"/>
        <v>10</v>
      </c>
    </row>
    <row r="510" spans="1:19" x14ac:dyDescent="0.35">
      <c r="A510" s="105">
        <f t="shared" ca="1" si="139"/>
        <v>685.71749999999872</v>
      </c>
      <c r="B510" s="105">
        <f t="shared" ca="1" si="140"/>
        <v>0</v>
      </c>
      <c r="C510" s="105">
        <f t="shared" ca="1" si="141"/>
        <v>2</v>
      </c>
      <c r="D510" s="105">
        <f t="shared" ca="1" si="142"/>
        <v>0</v>
      </c>
      <c r="E510" s="105">
        <f t="shared" ca="1" si="143"/>
        <v>0</v>
      </c>
      <c r="F510" s="105">
        <f t="shared" ca="1" si="144"/>
        <v>0</v>
      </c>
      <c r="G510" s="105">
        <f t="shared" ca="1" si="154"/>
        <v>0</v>
      </c>
      <c r="H510" s="105">
        <f t="shared" ca="1" si="155"/>
        <v>0</v>
      </c>
      <c r="I510" s="105">
        <f t="shared" ca="1" si="145"/>
        <v>0</v>
      </c>
      <c r="J510" s="105">
        <f t="shared" ca="1" si="146"/>
        <v>0</v>
      </c>
      <c r="K510" s="105">
        <f t="shared" ca="1" si="147"/>
        <v>0</v>
      </c>
      <c r="L510" s="105">
        <f t="shared" ca="1" si="156"/>
        <v>0</v>
      </c>
      <c r="M510" s="105">
        <f t="shared" ca="1" si="148"/>
        <v>0</v>
      </c>
      <c r="N510" s="105">
        <f t="shared" ca="1" si="157"/>
        <v>0</v>
      </c>
      <c r="O510" s="105">
        <f t="shared" ca="1" si="149"/>
        <v>0</v>
      </c>
      <c r="P510" s="105">
        <f t="shared" ca="1" si="150"/>
        <v>0</v>
      </c>
      <c r="Q510" s="105">
        <f t="shared" ca="1" si="151"/>
        <v>0</v>
      </c>
      <c r="R510" s="105">
        <f t="shared" ca="1" si="152"/>
        <v>0</v>
      </c>
      <c r="S510" s="105">
        <f t="shared" ca="1" si="153"/>
        <v>10</v>
      </c>
    </row>
    <row r="511" spans="1:19" x14ac:dyDescent="0.35">
      <c r="A511" s="105">
        <f t="shared" ca="1" si="139"/>
        <v>687.06999999999869</v>
      </c>
      <c r="B511" s="105">
        <f t="shared" ca="1" si="140"/>
        <v>0</v>
      </c>
      <c r="C511" s="105">
        <f t="shared" ca="1" si="141"/>
        <v>2</v>
      </c>
      <c r="D511" s="105">
        <f t="shared" ca="1" si="142"/>
        <v>0</v>
      </c>
      <c r="E511" s="105">
        <f t="shared" ca="1" si="143"/>
        <v>0</v>
      </c>
      <c r="F511" s="105">
        <f t="shared" ca="1" si="144"/>
        <v>0</v>
      </c>
      <c r="G511" s="105">
        <f t="shared" ca="1" si="154"/>
        <v>0</v>
      </c>
      <c r="H511" s="105">
        <f t="shared" ca="1" si="155"/>
        <v>0</v>
      </c>
      <c r="I511" s="105">
        <f t="shared" ca="1" si="145"/>
        <v>0</v>
      </c>
      <c r="J511" s="105">
        <f t="shared" ca="1" si="146"/>
        <v>0</v>
      </c>
      <c r="K511" s="105">
        <f t="shared" ca="1" si="147"/>
        <v>0</v>
      </c>
      <c r="L511" s="105">
        <f t="shared" ca="1" si="156"/>
        <v>0</v>
      </c>
      <c r="M511" s="105">
        <f t="shared" ca="1" si="148"/>
        <v>0</v>
      </c>
      <c r="N511" s="105">
        <f t="shared" ca="1" si="157"/>
        <v>0</v>
      </c>
      <c r="O511" s="105">
        <f t="shared" ca="1" si="149"/>
        <v>0</v>
      </c>
      <c r="P511" s="105">
        <f t="shared" ca="1" si="150"/>
        <v>0</v>
      </c>
      <c r="Q511" s="105">
        <f t="shared" ca="1" si="151"/>
        <v>0</v>
      </c>
      <c r="R511" s="105">
        <f t="shared" ca="1" si="152"/>
        <v>0</v>
      </c>
      <c r="S511" s="105">
        <f t="shared" ca="1" si="153"/>
        <v>10</v>
      </c>
    </row>
    <row r="512" spans="1:19" x14ac:dyDescent="0.35">
      <c r="A512" s="105">
        <f t="shared" ca="1" si="139"/>
        <v>688.42249999999865</v>
      </c>
      <c r="B512" s="105">
        <f t="shared" ca="1" si="140"/>
        <v>0</v>
      </c>
      <c r="C512" s="105">
        <f t="shared" ca="1" si="141"/>
        <v>2</v>
      </c>
      <c r="D512" s="105">
        <f t="shared" ca="1" si="142"/>
        <v>0</v>
      </c>
      <c r="E512" s="105">
        <f t="shared" ca="1" si="143"/>
        <v>0</v>
      </c>
      <c r="F512" s="105">
        <f t="shared" ca="1" si="144"/>
        <v>0</v>
      </c>
      <c r="G512" s="105">
        <f t="shared" ca="1" si="154"/>
        <v>0</v>
      </c>
      <c r="H512" s="105">
        <f t="shared" ca="1" si="155"/>
        <v>0</v>
      </c>
      <c r="I512" s="105">
        <f t="shared" ca="1" si="145"/>
        <v>0</v>
      </c>
      <c r="J512" s="105">
        <f t="shared" ca="1" si="146"/>
        <v>0</v>
      </c>
      <c r="K512" s="105">
        <f t="shared" ca="1" si="147"/>
        <v>0</v>
      </c>
      <c r="L512" s="105">
        <f t="shared" ca="1" si="156"/>
        <v>0</v>
      </c>
      <c r="M512" s="105">
        <f t="shared" ca="1" si="148"/>
        <v>0</v>
      </c>
      <c r="N512" s="105">
        <f t="shared" ca="1" si="157"/>
        <v>0</v>
      </c>
      <c r="O512" s="105">
        <f t="shared" ca="1" si="149"/>
        <v>0</v>
      </c>
      <c r="P512" s="105">
        <f t="shared" ca="1" si="150"/>
        <v>0</v>
      </c>
      <c r="Q512" s="105">
        <f t="shared" ca="1" si="151"/>
        <v>0</v>
      </c>
      <c r="R512" s="105">
        <f t="shared" ca="1" si="152"/>
        <v>0</v>
      </c>
      <c r="S512" s="105">
        <f t="shared" ca="1" si="153"/>
        <v>10</v>
      </c>
    </row>
    <row r="513" spans="1:19" x14ac:dyDescent="0.35">
      <c r="A513" s="105">
        <f t="shared" ca="1" si="139"/>
        <v>689.77499999999861</v>
      </c>
      <c r="B513" s="105">
        <f t="shared" ca="1" si="140"/>
        <v>0</v>
      </c>
      <c r="C513" s="105">
        <f t="shared" ca="1" si="141"/>
        <v>2</v>
      </c>
      <c r="D513" s="105">
        <f t="shared" ca="1" si="142"/>
        <v>0</v>
      </c>
      <c r="E513" s="105">
        <f t="shared" ca="1" si="143"/>
        <v>0</v>
      </c>
      <c r="F513" s="105">
        <f t="shared" ca="1" si="144"/>
        <v>0</v>
      </c>
      <c r="G513" s="105">
        <f t="shared" ca="1" si="154"/>
        <v>0</v>
      </c>
      <c r="H513" s="105">
        <f t="shared" ca="1" si="155"/>
        <v>0</v>
      </c>
      <c r="I513" s="105">
        <f t="shared" ca="1" si="145"/>
        <v>0</v>
      </c>
      <c r="J513" s="105">
        <f t="shared" ca="1" si="146"/>
        <v>0</v>
      </c>
      <c r="K513" s="105">
        <f t="shared" ca="1" si="147"/>
        <v>0</v>
      </c>
      <c r="L513" s="105">
        <f t="shared" ca="1" si="156"/>
        <v>0</v>
      </c>
      <c r="M513" s="105">
        <f t="shared" ca="1" si="148"/>
        <v>0</v>
      </c>
      <c r="N513" s="105">
        <f t="shared" ca="1" si="157"/>
        <v>0</v>
      </c>
      <c r="O513" s="105">
        <f t="shared" ca="1" si="149"/>
        <v>0</v>
      </c>
      <c r="P513" s="105">
        <f t="shared" ca="1" si="150"/>
        <v>0</v>
      </c>
      <c r="Q513" s="105">
        <f t="shared" ca="1" si="151"/>
        <v>0</v>
      </c>
      <c r="R513" s="105">
        <f t="shared" ca="1" si="152"/>
        <v>0</v>
      </c>
      <c r="S513" s="105">
        <f t="shared" ca="1" si="153"/>
        <v>10</v>
      </c>
    </row>
    <row r="514" spans="1:19" x14ac:dyDescent="0.35">
      <c r="A514" s="105">
        <f t="shared" ca="1" si="139"/>
        <v>691.12749999999858</v>
      </c>
      <c r="B514" s="105">
        <f t="shared" ca="1" si="140"/>
        <v>0</v>
      </c>
      <c r="C514" s="105">
        <f t="shared" ca="1" si="141"/>
        <v>2</v>
      </c>
      <c r="D514" s="105">
        <f t="shared" ca="1" si="142"/>
        <v>0</v>
      </c>
      <c r="E514" s="105">
        <f t="shared" ca="1" si="143"/>
        <v>0</v>
      </c>
      <c r="F514" s="105">
        <f t="shared" ca="1" si="144"/>
        <v>0</v>
      </c>
      <c r="G514" s="105">
        <f t="shared" ca="1" si="154"/>
        <v>0</v>
      </c>
      <c r="H514" s="105">
        <f t="shared" ca="1" si="155"/>
        <v>0</v>
      </c>
      <c r="I514" s="105">
        <f t="shared" ca="1" si="145"/>
        <v>0</v>
      </c>
      <c r="J514" s="105">
        <f t="shared" ca="1" si="146"/>
        <v>0</v>
      </c>
      <c r="K514" s="105">
        <f t="shared" ca="1" si="147"/>
        <v>0</v>
      </c>
      <c r="L514" s="105">
        <f t="shared" ca="1" si="156"/>
        <v>0</v>
      </c>
      <c r="M514" s="105">
        <f t="shared" ca="1" si="148"/>
        <v>0</v>
      </c>
      <c r="N514" s="105">
        <f t="shared" ca="1" si="157"/>
        <v>0</v>
      </c>
      <c r="O514" s="105">
        <f t="shared" ca="1" si="149"/>
        <v>0</v>
      </c>
      <c r="P514" s="105">
        <f t="shared" ca="1" si="150"/>
        <v>0</v>
      </c>
      <c r="Q514" s="105">
        <f t="shared" ca="1" si="151"/>
        <v>0</v>
      </c>
      <c r="R514" s="105">
        <f t="shared" ca="1" si="152"/>
        <v>0</v>
      </c>
      <c r="S514" s="105">
        <f t="shared" ca="1" si="153"/>
        <v>10</v>
      </c>
    </row>
    <row r="515" spans="1:19" x14ac:dyDescent="0.35">
      <c r="A515" s="105">
        <f t="shared" ca="1" si="139"/>
        <v>692.47999999999854</v>
      </c>
      <c r="B515" s="105">
        <f t="shared" ca="1" si="140"/>
        <v>0</v>
      </c>
      <c r="C515" s="105">
        <f t="shared" ca="1" si="141"/>
        <v>2</v>
      </c>
      <c r="D515" s="105">
        <f t="shared" ca="1" si="142"/>
        <v>0</v>
      </c>
      <c r="E515" s="105">
        <f t="shared" ca="1" si="143"/>
        <v>0</v>
      </c>
      <c r="F515" s="105">
        <f t="shared" ca="1" si="144"/>
        <v>0</v>
      </c>
      <c r="G515" s="105">
        <f t="shared" ca="1" si="154"/>
        <v>0</v>
      </c>
      <c r="H515" s="105">
        <f t="shared" ca="1" si="155"/>
        <v>0</v>
      </c>
      <c r="I515" s="105">
        <f t="shared" ca="1" si="145"/>
        <v>0</v>
      </c>
      <c r="J515" s="105">
        <f t="shared" ca="1" si="146"/>
        <v>0</v>
      </c>
      <c r="K515" s="105">
        <f t="shared" ca="1" si="147"/>
        <v>0</v>
      </c>
      <c r="L515" s="105">
        <f t="shared" ca="1" si="156"/>
        <v>0</v>
      </c>
      <c r="M515" s="105">
        <f t="shared" ca="1" si="148"/>
        <v>0</v>
      </c>
      <c r="N515" s="105">
        <f t="shared" ca="1" si="157"/>
        <v>0</v>
      </c>
      <c r="O515" s="105">
        <f t="shared" ca="1" si="149"/>
        <v>0</v>
      </c>
      <c r="P515" s="105">
        <f t="shared" ca="1" si="150"/>
        <v>0</v>
      </c>
      <c r="Q515" s="105">
        <f t="shared" ca="1" si="151"/>
        <v>0</v>
      </c>
      <c r="R515" s="105">
        <f t="shared" ca="1" si="152"/>
        <v>0</v>
      </c>
      <c r="S515" s="105">
        <f t="shared" ca="1" si="153"/>
        <v>10</v>
      </c>
    </row>
    <row r="516" spans="1:19" x14ac:dyDescent="0.35">
      <c r="A516" s="105">
        <f t="shared" ref="A516:A579" ca="1" si="158">$V$4+A515</f>
        <v>693.8324999999985</v>
      </c>
      <c r="B516" s="105">
        <f t="shared" ref="B516:B579" ca="1" si="159">IF(AND(A515&gt;$X$1,P515=0,R515=0),0,IF(AND(G515=0,H515=0),"突","")&amp;IF($V$8=0,IF(AND(OR($V$13=0,AND(K515=0,C515&lt;1),AND(K515&gt;0,OR(M515&gt;0,$V$7=0))),$V$6=1,E515=0),"渊","")&amp;IF(AND(OR($V$13=0,AND(K515=0,C515&lt;1),AND(K515&gt;0,OR(M515&gt;0,$V$7=0))),F515=0),"雷","")&amp;IF(AND(C515&gt;0,$V$13=1,E515=0,F515=0,K515=0),"任",IF(AND(G515=1,$V$7=1,I515=0),"乘","循环")),IF(AND($V$6=1,E515=0),"渊","")&amp;IF(AND(OR($V$13=0,AND(K515=0,C515&lt;1),AND(K515&gt;0,OR(M515&gt;0,$V$7=0))),F515=0),"雷","")&amp;IF(AND(C515&gt;0,L515=0,E515=0),"任",IF(AND(G515=1,$V$7=1,I515=0),"乘","循环"))))</f>
        <v>0</v>
      </c>
      <c r="C516" s="105">
        <f t="shared" ref="C516:C579" ca="1" si="160">IF(COUNTIF(B516,"*任*"),C515-1,IF(AND(D515&lt;&gt;0,D515&lt;$V$4),MIN(2,C515+1),C515))</f>
        <v>2</v>
      </c>
      <c r="D516" s="105">
        <f t="shared" ref="D516:D579" ca="1" si="161">IF(AND(D515&lt;$V$4,C515&lt;2),D515+$Y$6-$V$4,IF(AND(C515=2,COUNTIF(B516,"*任*")&gt;0),$Y$6-$V$4,MAX(0,D515-$V$4)))</f>
        <v>0</v>
      </c>
      <c r="E516" s="105">
        <f t="shared" ref="E516:E579" ca="1" si="162">IF(COUNTIF(B516,"*渊*")&gt;0,$Y$8-$V$4,MAX(0,E515-$V$4))</f>
        <v>0</v>
      </c>
      <c r="F516" s="105">
        <f t="shared" ref="F516:F579" ca="1" si="163">IF(COUNTIF(B516,"*雷*")&gt;0,$Y$9-$V$4,MAX(0,F515-$V$4))</f>
        <v>0</v>
      </c>
      <c r="G516" s="105">
        <f t="shared" ca="1" si="154"/>
        <v>0</v>
      </c>
      <c r="H516" s="105">
        <f t="shared" ca="1" si="155"/>
        <v>0</v>
      </c>
      <c r="I516" s="105">
        <f t="shared" ref="I516:I579" ca="1" si="164">IF(COUNTIF(B516,"*乘*")&gt;0,$Y$7-$V$4,MAX(0,I515-$V$4))</f>
        <v>0</v>
      </c>
      <c r="J516" s="105">
        <f t="shared" ref="J516:J579" ca="1" si="165">IF(H515&lt;1,$V$16,MAX(0,J515-1))*$V$11</f>
        <v>0</v>
      </c>
      <c r="K516" s="105">
        <f t="shared" ref="K516:K579" ca="1" si="166">IF(COUNTIF(B516,"*任*")&gt;0,$Z$6-$V$4+0.6875,MAX(0,K515-$V$4))</f>
        <v>0</v>
      </c>
      <c r="L516" s="105">
        <f t="shared" ca="1" si="156"/>
        <v>0</v>
      </c>
      <c r="M516" s="105">
        <f t="shared" ref="M516:M579" ca="1" si="167">IF(COUNTIF(B516,"*乘*")&gt;0,$Z$7-$V$4,MAX(0,M515-$V$4))</f>
        <v>0</v>
      </c>
      <c r="N516" s="105">
        <f t="shared" ca="1" si="157"/>
        <v>0</v>
      </c>
      <c r="O516" s="105">
        <f t="shared" ref="O516:O579" ca="1" si="168">IF(COUNTIF(B516,"*雷*")&gt;0,$Z$9-$V$4,MAX(0,O515-$V$4))</f>
        <v>0</v>
      </c>
      <c r="P516" s="105">
        <f t="shared" ref="P516:P579" ca="1" si="169">IF(O516+O515&gt;0,1,0)</f>
        <v>0</v>
      </c>
      <c r="Q516" s="105">
        <f t="shared" ref="Q516:Q579" ca="1" si="170">IF(COUNTIF(B516,"*渊*")&gt;0,$Z$8-$V$4,MAX(0,Q515-$V$4))</f>
        <v>0</v>
      </c>
      <c r="R516" s="105">
        <f t="shared" ref="R516:R579" ca="1" si="171">IF(Q516+Q515&gt;0,1,0)</f>
        <v>0</v>
      </c>
      <c r="S516" s="105">
        <f t="shared" ref="S516:S579" ca="1" si="172">IF(COUNTIF(B516,"*雷*")&gt;0,S515+1,S515)</f>
        <v>10</v>
      </c>
    </row>
    <row r="517" spans="1:19" x14ac:dyDescent="0.35">
      <c r="A517" s="105">
        <f t="shared" ca="1" si="158"/>
        <v>695.18499999999847</v>
      </c>
      <c r="B517" s="105">
        <f t="shared" ca="1" si="159"/>
        <v>0</v>
      </c>
      <c r="C517" s="105">
        <f t="shared" ca="1" si="160"/>
        <v>2</v>
      </c>
      <c r="D517" s="105">
        <f t="shared" ca="1" si="161"/>
        <v>0</v>
      </c>
      <c r="E517" s="105">
        <f t="shared" ca="1" si="162"/>
        <v>0</v>
      </c>
      <c r="F517" s="105">
        <f t="shared" ca="1" si="163"/>
        <v>0</v>
      </c>
      <c r="G517" s="105">
        <f t="shared" ref="G517:G580" ca="1" si="173">IF(RIGHT(B517,1)="任",1,IF(OR($V$9=0,AND(K516&lt;$V$4,H516=0)),0,G516))</f>
        <v>0</v>
      </c>
      <c r="H517" s="105">
        <f t="shared" ref="H517:H580" ca="1" si="174">IF(COUNTIF(B517,"*突*")&gt;0,$Y$5-$V$4,MAX(0,H516-$V$4))</f>
        <v>0</v>
      </c>
      <c r="I517" s="105">
        <f t="shared" ca="1" si="164"/>
        <v>0</v>
      </c>
      <c r="J517" s="105">
        <f t="shared" ca="1" si="165"/>
        <v>0</v>
      </c>
      <c r="K517" s="105">
        <f t="shared" ca="1" si="166"/>
        <v>0</v>
      </c>
      <c r="L517" s="105">
        <f t="shared" ca="1" si="156"/>
        <v>0</v>
      </c>
      <c r="M517" s="105">
        <f t="shared" ca="1" si="167"/>
        <v>0</v>
      </c>
      <c r="N517" s="105">
        <f t="shared" ca="1" si="157"/>
        <v>0</v>
      </c>
      <c r="O517" s="105">
        <f t="shared" ca="1" si="168"/>
        <v>0</v>
      </c>
      <c r="P517" s="105">
        <f t="shared" ca="1" si="169"/>
        <v>0</v>
      </c>
      <c r="Q517" s="105">
        <f t="shared" ca="1" si="170"/>
        <v>0</v>
      </c>
      <c r="R517" s="105">
        <f t="shared" ca="1" si="171"/>
        <v>0</v>
      </c>
      <c r="S517" s="105">
        <f t="shared" ca="1" si="172"/>
        <v>10</v>
      </c>
    </row>
    <row r="518" spans="1:19" x14ac:dyDescent="0.35">
      <c r="A518" s="105">
        <f t="shared" ca="1" si="158"/>
        <v>696.53749999999843</v>
      </c>
      <c r="B518" s="105">
        <f t="shared" ca="1" si="159"/>
        <v>0</v>
      </c>
      <c r="C518" s="105">
        <f t="shared" ca="1" si="160"/>
        <v>2</v>
      </c>
      <c r="D518" s="105">
        <f t="shared" ca="1" si="161"/>
        <v>0</v>
      </c>
      <c r="E518" s="105">
        <f t="shared" ca="1" si="162"/>
        <v>0</v>
      </c>
      <c r="F518" s="105">
        <f t="shared" ca="1" si="163"/>
        <v>0</v>
      </c>
      <c r="G518" s="105">
        <f t="shared" ca="1" si="173"/>
        <v>0</v>
      </c>
      <c r="H518" s="105">
        <f t="shared" ca="1" si="174"/>
        <v>0</v>
      </c>
      <c r="I518" s="105">
        <f t="shared" ca="1" si="164"/>
        <v>0</v>
      </c>
      <c r="J518" s="105">
        <f t="shared" ca="1" si="165"/>
        <v>0</v>
      </c>
      <c r="K518" s="105">
        <f t="shared" ca="1" si="166"/>
        <v>0</v>
      </c>
      <c r="L518" s="105">
        <f t="shared" ca="1" si="156"/>
        <v>0</v>
      </c>
      <c r="M518" s="105">
        <f t="shared" ca="1" si="167"/>
        <v>0</v>
      </c>
      <c r="N518" s="105">
        <f t="shared" ca="1" si="157"/>
        <v>0</v>
      </c>
      <c r="O518" s="105">
        <f t="shared" ca="1" si="168"/>
        <v>0</v>
      </c>
      <c r="P518" s="105">
        <f t="shared" ca="1" si="169"/>
        <v>0</v>
      </c>
      <c r="Q518" s="105">
        <f t="shared" ca="1" si="170"/>
        <v>0</v>
      </c>
      <c r="R518" s="105">
        <f t="shared" ca="1" si="171"/>
        <v>0</v>
      </c>
      <c r="S518" s="105">
        <f t="shared" ca="1" si="172"/>
        <v>10</v>
      </c>
    </row>
    <row r="519" spans="1:19" x14ac:dyDescent="0.35">
      <c r="A519" s="105">
        <f t="shared" ca="1" si="158"/>
        <v>697.88999999999839</v>
      </c>
      <c r="B519" s="105">
        <f t="shared" ca="1" si="159"/>
        <v>0</v>
      </c>
      <c r="C519" s="105">
        <f t="shared" ca="1" si="160"/>
        <v>2</v>
      </c>
      <c r="D519" s="105">
        <f t="shared" ca="1" si="161"/>
        <v>0</v>
      </c>
      <c r="E519" s="105">
        <f t="shared" ca="1" si="162"/>
        <v>0</v>
      </c>
      <c r="F519" s="105">
        <f t="shared" ca="1" si="163"/>
        <v>0</v>
      </c>
      <c r="G519" s="105">
        <f t="shared" ca="1" si="173"/>
        <v>0</v>
      </c>
      <c r="H519" s="105">
        <f t="shared" ca="1" si="174"/>
        <v>0</v>
      </c>
      <c r="I519" s="105">
        <f t="shared" ca="1" si="164"/>
        <v>0</v>
      </c>
      <c r="J519" s="105">
        <f t="shared" ca="1" si="165"/>
        <v>0</v>
      </c>
      <c r="K519" s="105">
        <f t="shared" ca="1" si="166"/>
        <v>0</v>
      </c>
      <c r="L519" s="105">
        <f t="shared" ca="1" si="156"/>
        <v>0</v>
      </c>
      <c r="M519" s="105">
        <f t="shared" ca="1" si="167"/>
        <v>0</v>
      </c>
      <c r="N519" s="105">
        <f t="shared" ca="1" si="157"/>
        <v>0</v>
      </c>
      <c r="O519" s="105">
        <f t="shared" ca="1" si="168"/>
        <v>0</v>
      </c>
      <c r="P519" s="105">
        <f t="shared" ca="1" si="169"/>
        <v>0</v>
      </c>
      <c r="Q519" s="105">
        <f t="shared" ca="1" si="170"/>
        <v>0</v>
      </c>
      <c r="R519" s="105">
        <f t="shared" ca="1" si="171"/>
        <v>0</v>
      </c>
      <c r="S519" s="105">
        <f t="shared" ca="1" si="172"/>
        <v>10</v>
      </c>
    </row>
    <row r="520" spans="1:19" x14ac:dyDescent="0.35">
      <c r="A520" s="105">
        <f t="shared" ca="1" si="158"/>
        <v>699.24249999999836</v>
      </c>
      <c r="B520" s="105">
        <f t="shared" ca="1" si="159"/>
        <v>0</v>
      </c>
      <c r="C520" s="105">
        <f t="shared" ca="1" si="160"/>
        <v>2</v>
      </c>
      <c r="D520" s="105">
        <f t="shared" ca="1" si="161"/>
        <v>0</v>
      </c>
      <c r="E520" s="105">
        <f t="shared" ca="1" si="162"/>
        <v>0</v>
      </c>
      <c r="F520" s="105">
        <f t="shared" ca="1" si="163"/>
        <v>0</v>
      </c>
      <c r="G520" s="105">
        <f t="shared" ca="1" si="173"/>
        <v>0</v>
      </c>
      <c r="H520" s="105">
        <f t="shared" ca="1" si="174"/>
        <v>0</v>
      </c>
      <c r="I520" s="105">
        <f t="shared" ca="1" si="164"/>
        <v>0</v>
      </c>
      <c r="J520" s="105">
        <f t="shared" ca="1" si="165"/>
        <v>0</v>
      </c>
      <c r="K520" s="105">
        <f t="shared" ca="1" si="166"/>
        <v>0</v>
      </c>
      <c r="L520" s="105">
        <f t="shared" ca="1" si="156"/>
        <v>0</v>
      </c>
      <c r="M520" s="105">
        <f t="shared" ca="1" si="167"/>
        <v>0</v>
      </c>
      <c r="N520" s="105">
        <f t="shared" ca="1" si="157"/>
        <v>0</v>
      </c>
      <c r="O520" s="105">
        <f t="shared" ca="1" si="168"/>
        <v>0</v>
      </c>
      <c r="P520" s="105">
        <f t="shared" ca="1" si="169"/>
        <v>0</v>
      </c>
      <c r="Q520" s="105">
        <f t="shared" ca="1" si="170"/>
        <v>0</v>
      </c>
      <c r="R520" s="105">
        <f t="shared" ca="1" si="171"/>
        <v>0</v>
      </c>
      <c r="S520" s="105">
        <f t="shared" ca="1" si="172"/>
        <v>10</v>
      </c>
    </row>
    <row r="521" spans="1:19" x14ac:dyDescent="0.35">
      <c r="A521" s="105">
        <f t="shared" ca="1" si="158"/>
        <v>700.59499999999832</v>
      </c>
      <c r="B521" s="105">
        <f t="shared" ca="1" si="159"/>
        <v>0</v>
      </c>
      <c r="C521" s="105">
        <f t="shared" ca="1" si="160"/>
        <v>2</v>
      </c>
      <c r="D521" s="105">
        <f t="shared" ca="1" si="161"/>
        <v>0</v>
      </c>
      <c r="E521" s="105">
        <f t="shared" ca="1" si="162"/>
        <v>0</v>
      </c>
      <c r="F521" s="105">
        <f t="shared" ca="1" si="163"/>
        <v>0</v>
      </c>
      <c r="G521" s="105">
        <f t="shared" ca="1" si="173"/>
        <v>0</v>
      </c>
      <c r="H521" s="105">
        <f t="shared" ca="1" si="174"/>
        <v>0</v>
      </c>
      <c r="I521" s="105">
        <f t="shared" ca="1" si="164"/>
        <v>0</v>
      </c>
      <c r="J521" s="105">
        <f t="shared" ca="1" si="165"/>
        <v>0</v>
      </c>
      <c r="K521" s="105">
        <f t="shared" ca="1" si="166"/>
        <v>0</v>
      </c>
      <c r="L521" s="105">
        <f t="shared" ca="1" si="156"/>
        <v>0</v>
      </c>
      <c r="M521" s="105">
        <f t="shared" ca="1" si="167"/>
        <v>0</v>
      </c>
      <c r="N521" s="105">
        <f t="shared" ca="1" si="157"/>
        <v>0</v>
      </c>
      <c r="O521" s="105">
        <f t="shared" ca="1" si="168"/>
        <v>0</v>
      </c>
      <c r="P521" s="105">
        <f t="shared" ca="1" si="169"/>
        <v>0</v>
      </c>
      <c r="Q521" s="105">
        <f t="shared" ca="1" si="170"/>
        <v>0</v>
      </c>
      <c r="R521" s="105">
        <f t="shared" ca="1" si="171"/>
        <v>0</v>
      </c>
      <c r="S521" s="105">
        <f t="shared" ca="1" si="172"/>
        <v>10</v>
      </c>
    </row>
    <row r="522" spans="1:19" x14ac:dyDescent="0.35">
      <c r="A522" s="105">
        <f t="shared" ca="1" si="158"/>
        <v>701.94749999999829</v>
      </c>
      <c r="B522" s="105">
        <f t="shared" ca="1" si="159"/>
        <v>0</v>
      </c>
      <c r="C522" s="105">
        <f t="shared" ca="1" si="160"/>
        <v>2</v>
      </c>
      <c r="D522" s="105">
        <f t="shared" ca="1" si="161"/>
        <v>0</v>
      </c>
      <c r="E522" s="105">
        <f t="shared" ca="1" si="162"/>
        <v>0</v>
      </c>
      <c r="F522" s="105">
        <f t="shared" ca="1" si="163"/>
        <v>0</v>
      </c>
      <c r="G522" s="105">
        <f t="shared" ca="1" si="173"/>
        <v>0</v>
      </c>
      <c r="H522" s="105">
        <f t="shared" ca="1" si="174"/>
        <v>0</v>
      </c>
      <c r="I522" s="105">
        <f t="shared" ca="1" si="164"/>
        <v>0</v>
      </c>
      <c r="J522" s="105">
        <f t="shared" ca="1" si="165"/>
        <v>0</v>
      </c>
      <c r="K522" s="105">
        <f t="shared" ca="1" si="166"/>
        <v>0</v>
      </c>
      <c r="L522" s="105">
        <f t="shared" ca="1" si="156"/>
        <v>0</v>
      </c>
      <c r="M522" s="105">
        <f t="shared" ca="1" si="167"/>
        <v>0</v>
      </c>
      <c r="N522" s="105">
        <f t="shared" ca="1" si="157"/>
        <v>0</v>
      </c>
      <c r="O522" s="105">
        <f t="shared" ca="1" si="168"/>
        <v>0</v>
      </c>
      <c r="P522" s="105">
        <f t="shared" ca="1" si="169"/>
        <v>0</v>
      </c>
      <c r="Q522" s="105">
        <f t="shared" ca="1" si="170"/>
        <v>0</v>
      </c>
      <c r="R522" s="105">
        <f t="shared" ca="1" si="171"/>
        <v>0</v>
      </c>
      <c r="S522" s="105">
        <f t="shared" ca="1" si="172"/>
        <v>10</v>
      </c>
    </row>
    <row r="523" spans="1:19" x14ac:dyDescent="0.35">
      <c r="A523" s="105">
        <f t="shared" ca="1" si="158"/>
        <v>703.29999999999825</v>
      </c>
      <c r="B523" s="105">
        <f t="shared" ca="1" si="159"/>
        <v>0</v>
      </c>
      <c r="C523" s="105">
        <f t="shared" ca="1" si="160"/>
        <v>2</v>
      </c>
      <c r="D523" s="105">
        <f t="shared" ca="1" si="161"/>
        <v>0</v>
      </c>
      <c r="E523" s="105">
        <f t="shared" ca="1" si="162"/>
        <v>0</v>
      </c>
      <c r="F523" s="105">
        <f t="shared" ca="1" si="163"/>
        <v>0</v>
      </c>
      <c r="G523" s="105">
        <f t="shared" ca="1" si="173"/>
        <v>0</v>
      </c>
      <c r="H523" s="105">
        <f t="shared" ca="1" si="174"/>
        <v>0</v>
      </c>
      <c r="I523" s="105">
        <f t="shared" ca="1" si="164"/>
        <v>0</v>
      </c>
      <c r="J523" s="105">
        <f t="shared" ca="1" si="165"/>
        <v>0</v>
      </c>
      <c r="K523" s="105">
        <f t="shared" ca="1" si="166"/>
        <v>0</v>
      </c>
      <c r="L523" s="105">
        <f t="shared" ca="1" si="156"/>
        <v>0</v>
      </c>
      <c r="M523" s="105">
        <f t="shared" ca="1" si="167"/>
        <v>0</v>
      </c>
      <c r="N523" s="105">
        <f t="shared" ca="1" si="157"/>
        <v>0</v>
      </c>
      <c r="O523" s="105">
        <f t="shared" ca="1" si="168"/>
        <v>0</v>
      </c>
      <c r="P523" s="105">
        <f t="shared" ca="1" si="169"/>
        <v>0</v>
      </c>
      <c r="Q523" s="105">
        <f t="shared" ca="1" si="170"/>
        <v>0</v>
      </c>
      <c r="R523" s="105">
        <f t="shared" ca="1" si="171"/>
        <v>0</v>
      </c>
      <c r="S523" s="105">
        <f t="shared" ca="1" si="172"/>
        <v>10</v>
      </c>
    </row>
    <row r="524" spans="1:19" x14ac:dyDescent="0.35">
      <c r="A524" s="105">
        <f t="shared" ca="1" si="158"/>
        <v>704.65249999999821</v>
      </c>
      <c r="B524" s="105">
        <f t="shared" ca="1" si="159"/>
        <v>0</v>
      </c>
      <c r="C524" s="105">
        <f t="shared" ca="1" si="160"/>
        <v>2</v>
      </c>
      <c r="D524" s="105">
        <f t="shared" ca="1" si="161"/>
        <v>0</v>
      </c>
      <c r="E524" s="105">
        <f t="shared" ca="1" si="162"/>
        <v>0</v>
      </c>
      <c r="F524" s="105">
        <f t="shared" ca="1" si="163"/>
        <v>0</v>
      </c>
      <c r="G524" s="105">
        <f t="shared" ca="1" si="173"/>
        <v>0</v>
      </c>
      <c r="H524" s="105">
        <f t="shared" ca="1" si="174"/>
        <v>0</v>
      </c>
      <c r="I524" s="105">
        <f t="shared" ca="1" si="164"/>
        <v>0</v>
      </c>
      <c r="J524" s="105">
        <f t="shared" ca="1" si="165"/>
        <v>0</v>
      </c>
      <c r="K524" s="105">
        <f t="shared" ca="1" si="166"/>
        <v>0</v>
      </c>
      <c r="L524" s="105">
        <f t="shared" ca="1" si="156"/>
        <v>0</v>
      </c>
      <c r="M524" s="105">
        <f t="shared" ca="1" si="167"/>
        <v>0</v>
      </c>
      <c r="N524" s="105">
        <f t="shared" ca="1" si="157"/>
        <v>0</v>
      </c>
      <c r="O524" s="105">
        <f t="shared" ca="1" si="168"/>
        <v>0</v>
      </c>
      <c r="P524" s="105">
        <f t="shared" ca="1" si="169"/>
        <v>0</v>
      </c>
      <c r="Q524" s="105">
        <f t="shared" ca="1" si="170"/>
        <v>0</v>
      </c>
      <c r="R524" s="105">
        <f t="shared" ca="1" si="171"/>
        <v>0</v>
      </c>
      <c r="S524" s="105">
        <f t="shared" ca="1" si="172"/>
        <v>10</v>
      </c>
    </row>
    <row r="525" spans="1:19" x14ac:dyDescent="0.35">
      <c r="A525" s="105">
        <f t="shared" ca="1" si="158"/>
        <v>706.00499999999818</v>
      </c>
      <c r="B525" s="105">
        <f t="shared" ca="1" si="159"/>
        <v>0</v>
      </c>
      <c r="C525" s="105">
        <f t="shared" ca="1" si="160"/>
        <v>2</v>
      </c>
      <c r="D525" s="105">
        <f t="shared" ca="1" si="161"/>
        <v>0</v>
      </c>
      <c r="E525" s="105">
        <f t="shared" ca="1" si="162"/>
        <v>0</v>
      </c>
      <c r="F525" s="105">
        <f t="shared" ca="1" si="163"/>
        <v>0</v>
      </c>
      <c r="G525" s="105">
        <f t="shared" ca="1" si="173"/>
        <v>0</v>
      </c>
      <c r="H525" s="105">
        <f t="shared" ca="1" si="174"/>
        <v>0</v>
      </c>
      <c r="I525" s="105">
        <f t="shared" ca="1" si="164"/>
        <v>0</v>
      </c>
      <c r="J525" s="105">
        <f t="shared" ca="1" si="165"/>
        <v>0</v>
      </c>
      <c r="K525" s="105">
        <f t="shared" ca="1" si="166"/>
        <v>0</v>
      </c>
      <c r="L525" s="105">
        <f t="shared" ca="1" si="156"/>
        <v>0</v>
      </c>
      <c r="M525" s="105">
        <f t="shared" ca="1" si="167"/>
        <v>0</v>
      </c>
      <c r="N525" s="105">
        <f t="shared" ca="1" si="157"/>
        <v>0</v>
      </c>
      <c r="O525" s="105">
        <f t="shared" ca="1" si="168"/>
        <v>0</v>
      </c>
      <c r="P525" s="105">
        <f t="shared" ca="1" si="169"/>
        <v>0</v>
      </c>
      <c r="Q525" s="105">
        <f t="shared" ca="1" si="170"/>
        <v>0</v>
      </c>
      <c r="R525" s="105">
        <f t="shared" ca="1" si="171"/>
        <v>0</v>
      </c>
      <c r="S525" s="105">
        <f t="shared" ca="1" si="172"/>
        <v>10</v>
      </c>
    </row>
    <row r="526" spans="1:19" x14ac:dyDescent="0.35">
      <c r="A526" s="105">
        <f t="shared" ca="1" si="158"/>
        <v>707.35749999999814</v>
      </c>
      <c r="B526" s="105">
        <f t="shared" ca="1" si="159"/>
        <v>0</v>
      </c>
      <c r="C526" s="105">
        <f t="shared" ca="1" si="160"/>
        <v>2</v>
      </c>
      <c r="D526" s="105">
        <f t="shared" ca="1" si="161"/>
        <v>0</v>
      </c>
      <c r="E526" s="105">
        <f t="shared" ca="1" si="162"/>
        <v>0</v>
      </c>
      <c r="F526" s="105">
        <f t="shared" ca="1" si="163"/>
        <v>0</v>
      </c>
      <c r="G526" s="105">
        <f t="shared" ca="1" si="173"/>
        <v>0</v>
      </c>
      <c r="H526" s="105">
        <f t="shared" ca="1" si="174"/>
        <v>0</v>
      </c>
      <c r="I526" s="105">
        <f t="shared" ca="1" si="164"/>
        <v>0</v>
      </c>
      <c r="J526" s="105">
        <f t="shared" ca="1" si="165"/>
        <v>0</v>
      </c>
      <c r="K526" s="105">
        <f t="shared" ca="1" si="166"/>
        <v>0</v>
      </c>
      <c r="L526" s="105">
        <f t="shared" ca="1" si="156"/>
        <v>0</v>
      </c>
      <c r="M526" s="105">
        <f t="shared" ca="1" si="167"/>
        <v>0</v>
      </c>
      <c r="N526" s="105">
        <f t="shared" ca="1" si="157"/>
        <v>0</v>
      </c>
      <c r="O526" s="105">
        <f t="shared" ca="1" si="168"/>
        <v>0</v>
      </c>
      <c r="P526" s="105">
        <f t="shared" ca="1" si="169"/>
        <v>0</v>
      </c>
      <c r="Q526" s="105">
        <f t="shared" ca="1" si="170"/>
        <v>0</v>
      </c>
      <c r="R526" s="105">
        <f t="shared" ca="1" si="171"/>
        <v>0</v>
      </c>
      <c r="S526" s="105">
        <f t="shared" ca="1" si="172"/>
        <v>10</v>
      </c>
    </row>
    <row r="527" spans="1:19" x14ac:dyDescent="0.35">
      <c r="A527" s="105">
        <f t="shared" ca="1" si="158"/>
        <v>708.7099999999981</v>
      </c>
      <c r="B527" s="105">
        <f t="shared" ca="1" si="159"/>
        <v>0</v>
      </c>
      <c r="C527" s="105">
        <f t="shared" ca="1" si="160"/>
        <v>2</v>
      </c>
      <c r="D527" s="105">
        <f t="shared" ca="1" si="161"/>
        <v>0</v>
      </c>
      <c r="E527" s="105">
        <f t="shared" ca="1" si="162"/>
        <v>0</v>
      </c>
      <c r="F527" s="105">
        <f t="shared" ca="1" si="163"/>
        <v>0</v>
      </c>
      <c r="G527" s="105">
        <f t="shared" ca="1" si="173"/>
        <v>0</v>
      </c>
      <c r="H527" s="105">
        <f t="shared" ca="1" si="174"/>
        <v>0</v>
      </c>
      <c r="I527" s="105">
        <f t="shared" ca="1" si="164"/>
        <v>0</v>
      </c>
      <c r="J527" s="105">
        <f t="shared" ca="1" si="165"/>
        <v>0</v>
      </c>
      <c r="K527" s="105">
        <f t="shared" ca="1" si="166"/>
        <v>0</v>
      </c>
      <c r="L527" s="105">
        <f t="shared" ca="1" si="156"/>
        <v>0</v>
      </c>
      <c r="M527" s="105">
        <f t="shared" ca="1" si="167"/>
        <v>0</v>
      </c>
      <c r="N527" s="105">
        <f t="shared" ca="1" si="157"/>
        <v>0</v>
      </c>
      <c r="O527" s="105">
        <f t="shared" ca="1" si="168"/>
        <v>0</v>
      </c>
      <c r="P527" s="105">
        <f t="shared" ca="1" si="169"/>
        <v>0</v>
      </c>
      <c r="Q527" s="105">
        <f t="shared" ca="1" si="170"/>
        <v>0</v>
      </c>
      <c r="R527" s="105">
        <f t="shared" ca="1" si="171"/>
        <v>0</v>
      </c>
      <c r="S527" s="105">
        <f t="shared" ca="1" si="172"/>
        <v>10</v>
      </c>
    </row>
    <row r="528" spans="1:19" x14ac:dyDescent="0.35">
      <c r="A528" s="105">
        <f t="shared" ca="1" si="158"/>
        <v>710.06249999999807</v>
      </c>
      <c r="B528" s="105">
        <f t="shared" ca="1" si="159"/>
        <v>0</v>
      </c>
      <c r="C528" s="105">
        <f t="shared" ca="1" si="160"/>
        <v>2</v>
      </c>
      <c r="D528" s="105">
        <f t="shared" ca="1" si="161"/>
        <v>0</v>
      </c>
      <c r="E528" s="105">
        <f t="shared" ca="1" si="162"/>
        <v>0</v>
      </c>
      <c r="F528" s="105">
        <f t="shared" ca="1" si="163"/>
        <v>0</v>
      </c>
      <c r="G528" s="105">
        <f t="shared" ca="1" si="173"/>
        <v>0</v>
      </c>
      <c r="H528" s="105">
        <f t="shared" ca="1" si="174"/>
        <v>0</v>
      </c>
      <c r="I528" s="105">
        <f t="shared" ca="1" si="164"/>
        <v>0</v>
      </c>
      <c r="J528" s="105">
        <f t="shared" ca="1" si="165"/>
        <v>0</v>
      </c>
      <c r="K528" s="105">
        <f t="shared" ca="1" si="166"/>
        <v>0</v>
      </c>
      <c r="L528" s="105">
        <f t="shared" ca="1" si="156"/>
        <v>0</v>
      </c>
      <c r="M528" s="105">
        <f t="shared" ca="1" si="167"/>
        <v>0</v>
      </c>
      <c r="N528" s="105">
        <f t="shared" ca="1" si="157"/>
        <v>0</v>
      </c>
      <c r="O528" s="105">
        <f t="shared" ca="1" si="168"/>
        <v>0</v>
      </c>
      <c r="P528" s="105">
        <f t="shared" ca="1" si="169"/>
        <v>0</v>
      </c>
      <c r="Q528" s="105">
        <f t="shared" ca="1" si="170"/>
        <v>0</v>
      </c>
      <c r="R528" s="105">
        <f t="shared" ca="1" si="171"/>
        <v>0</v>
      </c>
      <c r="S528" s="105">
        <f t="shared" ca="1" si="172"/>
        <v>10</v>
      </c>
    </row>
    <row r="529" spans="1:19" x14ac:dyDescent="0.35">
      <c r="A529" s="105">
        <f t="shared" ca="1" si="158"/>
        <v>711.41499999999803</v>
      </c>
      <c r="B529" s="105">
        <f t="shared" ca="1" si="159"/>
        <v>0</v>
      </c>
      <c r="C529" s="105">
        <f t="shared" ca="1" si="160"/>
        <v>2</v>
      </c>
      <c r="D529" s="105">
        <f t="shared" ca="1" si="161"/>
        <v>0</v>
      </c>
      <c r="E529" s="105">
        <f t="shared" ca="1" si="162"/>
        <v>0</v>
      </c>
      <c r="F529" s="105">
        <f t="shared" ca="1" si="163"/>
        <v>0</v>
      </c>
      <c r="G529" s="105">
        <f t="shared" ca="1" si="173"/>
        <v>0</v>
      </c>
      <c r="H529" s="105">
        <f t="shared" ca="1" si="174"/>
        <v>0</v>
      </c>
      <c r="I529" s="105">
        <f t="shared" ca="1" si="164"/>
        <v>0</v>
      </c>
      <c r="J529" s="105">
        <f t="shared" ca="1" si="165"/>
        <v>0</v>
      </c>
      <c r="K529" s="105">
        <f t="shared" ca="1" si="166"/>
        <v>0</v>
      </c>
      <c r="L529" s="105">
        <f t="shared" ca="1" si="156"/>
        <v>0</v>
      </c>
      <c r="M529" s="105">
        <f t="shared" ca="1" si="167"/>
        <v>0</v>
      </c>
      <c r="N529" s="105">
        <f t="shared" ca="1" si="157"/>
        <v>0</v>
      </c>
      <c r="O529" s="105">
        <f t="shared" ca="1" si="168"/>
        <v>0</v>
      </c>
      <c r="P529" s="105">
        <f t="shared" ca="1" si="169"/>
        <v>0</v>
      </c>
      <c r="Q529" s="105">
        <f t="shared" ca="1" si="170"/>
        <v>0</v>
      </c>
      <c r="R529" s="105">
        <f t="shared" ca="1" si="171"/>
        <v>0</v>
      </c>
      <c r="S529" s="105">
        <f t="shared" ca="1" si="172"/>
        <v>10</v>
      </c>
    </row>
    <row r="530" spans="1:19" x14ac:dyDescent="0.35">
      <c r="A530" s="105">
        <f t="shared" ca="1" si="158"/>
        <v>712.76749999999799</v>
      </c>
      <c r="B530" s="105">
        <f t="shared" ca="1" si="159"/>
        <v>0</v>
      </c>
      <c r="C530" s="105">
        <f t="shared" ca="1" si="160"/>
        <v>2</v>
      </c>
      <c r="D530" s="105">
        <f t="shared" ca="1" si="161"/>
        <v>0</v>
      </c>
      <c r="E530" s="105">
        <f t="shared" ca="1" si="162"/>
        <v>0</v>
      </c>
      <c r="F530" s="105">
        <f t="shared" ca="1" si="163"/>
        <v>0</v>
      </c>
      <c r="G530" s="105">
        <f t="shared" ca="1" si="173"/>
        <v>0</v>
      </c>
      <c r="H530" s="105">
        <f t="shared" ca="1" si="174"/>
        <v>0</v>
      </c>
      <c r="I530" s="105">
        <f t="shared" ca="1" si="164"/>
        <v>0</v>
      </c>
      <c r="J530" s="105">
        <f t="shared" ca="1" si="165"/>
        <v>0</v>
      </c>
      <c r="K530" s="105">
        <f t="shared" ca="1" si="166"/>
        <v>0</v>
      </c>
      <c r="L530" s="105">
        <f t="shared" ca="1" si="156"/>
        <v>0</v>
      </c>
      <c r="M530" s="105">
        <f t="shared" ca="1" si="167"/>
        <v>0</v>
      </c>
      <c r="N530" s="105">
        <f t="shared" ca="1" si="157"/>
        <v>0</v>
      </c>
      <c r="O530" s="105">
        <f t="shared" ca="1" si="168"/>
        <v>0</v>
      </c>
      <c r="P530" s="105">
        <f t="shared" ca="1" si="169"/>
        <v>0</v>
      </c>
      <c r="Q530" s="105">
        <f t="shared" ca="1" si="170"/>
        <v>0</v>
      </c>
      <c r="R530" s="105">
        <f t="shared" ca="1" si="171"/>
        <v>0</v>
      </c>
      <c r="S530" s="105">
        <f t="shared" ca="1" si="172"/>
        <v>10</v>
      </c>
    </row>
    <row r="531" spans="1:19" x14ac:dyDescent="0.35">
      <c r="A531" s="105">
        <f t="shared" ca="1" si="158"/>
        <v>714.11999999999796</v>
      </c>
      <c r="B531" s="105">
        <f t="shared" ca="1" si="159"/>
        <v>0</v>
      </c>
      <c r="C531" s="105">
        <f t="shared" ca="1" si="160"/>
        <v>2</v>
      </c>
      <c r="D531" s="105">
        <f t="shared" ca="1" si="161"/>
        <v>0</v>
      </c>
      <c r="E531" s="105">
        <f t="shared" ca="1" si="162"/>
        <v>0</v>
      </c>
      <c r="F531" s="105">
        <f t="shared" ca="1" si="163"/>
        <v>0</v>
      </c>
      <c r="G531" s="105">
        <f t="shared" ca="1" si="173"/>
        <v>0</v>
      </c>
      <c r="H531" s="105">
        <f t="shared" ca="1" si="174"/>
        <v>0</v>
      </c>
      <c r="I531" s="105">
        <f t="shared" ca="1" si="164"/>
        <v>0</v>
      </c>
      <c r="J531" s="105">
        <f t="shared" ca="1" si="165"/>
        <v>0</v>
      </c>
      <c r="K531" s="105">
        <f t="shared" ca="1" si="166"/>
        <v>0</v>
      </c>
      <c r="L531" s="105">
        <f t="shared" ca="1" si="156"/>
        <v>0</v>
      </c>
      <c r="M531" s="105">
        <f t="shared" ca="1" si="167"/>
        <v>0</v>
      </c>
      <c r="N531" s="105">
        <f t="shared" ca="1" si="157"/>
        <v>0</v>
      </c>
      <c r="O531" s="105">
        <f t="shared" ca="1" si="168"/>
        <v>0</v>
      </c>
      <c r="P531" s="105">
        <f t="shared" ca="1" si="169"/>
        <v>0</v>
      </c>
      <c r="Q531" s="105">
        <f t="shared" ca="1" si="170"/>
        <v>0</v>
      </c>
      <c r="R531" s="105">
        <f t="shared" ca="1" si="171"/>
        <v>0</v>
      </c>
      <c r="S531" s="105">
        <f t="shared" ca="1" si="172"/>
        <v>10</v>
      </c>
    </row>
    <row r="532" spans="1:19" x14ac:dyDescent="0.35">
      <c r="A532" s="105">
        <f t="shared" ca="1" si="158"/>
        <v>715.47249999999792</v>
      </c>
      <c r="B532" s="105">
        <f t="shared" ca="1" si="159"/>
        <v>0</v>
      </c>
      <c r="C532" s="105">
        <f t="shared" ca="1" si="160"/>
        <v>2</v>
      </c>
      <c r="D532" s="105">
        <f t="shared" ca="1" si="161"/>
        <v>0</v>
      </c>
      <c r="E532" s="105">
        <f t="shared" ca="1" si="162"/>
        <v>0</v>
      </c>
      <c r="F532" s="105">
        <f t="shared" ca="1" si="163"/>
        <v>0</v>
      </c>
      <c r="G532" s="105">
        <f t="shared" ca="1" si="173"/>
        <v>0</v>
      </c>
      <c r="H532" s="105">
        <f t="shared" ca="1" si="174"/>
        <v>0</v>
      </c>
      <c r="I532" s="105">
        <f t="shared" ca="1" si="164"/>
        <v>0</v>
      </c>
      <c r="J532" s="105">
        <f t="shared" ca="1" si="165"/>
        <v>0</v>
      </c>
      <c r="K532" s="105">
        <f t="shared" ca="1" si="166"/>
        <v>0</v>
      </c>
      <c r="L532" s="105">
        <f t="shared" ca="1" si="156"/>
        <v>0</v>
      </c>
      <c r="M532" s="105">
        <f t="shared" ca="1" si="167"/>
        <v>0</v>
      </c>
      <c r="N532" s="105">
        <f t="shared" ca="1" si="157"/>
        <v>0</v>
      </c>
      <c r="O532" s="105">
        <f t="shared" ca="1" si="168"/>
        <v>0</v>
      </c>
      <c r="P532" s="105">
        <f t="shared" ca="1" si="169"/>
        <v>0</v>
      </c>
      <c r="Q532" s="105">
        <f t="shared" ca="1" si="170"/>
        <v>0</v>
      </c>
      <c r="R532" s="105">
        <f t="shared" ca="1" si="171"/>
        <v>0</v>
      </c>
      <c r="S532" s="105">
        <f t="shared" ca="1" si="172"/>
        <v>10</v>
      </c>
    </row>
    <row r="533" spans="1:19" x14ac:dyDescent="0.35">
      <c r="A533" s="105">
        <f t="shared" ca="1" si="158"/>
        <v>716.82499999999789</v>
      </c>
      <c r="B533" s="105">
        <f t="shared" ca="1" si="159"/>
        <v>0</v>
      </c>
      <c r="C533" s="105">
        <f t="shared" ca="1" si="160"/>
        <v>2</v>
      </c>
      <c r="D533" s="105">
        <f t="shared" ca="1" si="161"/>
        <v>0</v>
      </c>
      <c r="E533" s="105">
        <f t="shared" ca="1" si="162"/>
        <v>0</v>
      </c>
      <c r="F533" s="105">
        <f t="shared" ca="1" si="163"/>
        <v>0</v>
      </c>
      <c r="G533" s="105">
        <f t="shared" ca="1" si="173"/>
        <v>0</v>
      </c>
      <c r="H533" s="105">
        <f t="shared" ca="1" si="174"/>
        <v>0</v>
      </c>
      <c r="I533" s="105">
        <f t="shared" ca="1" si="164"/>
        <v>0</v>
      </c>
      <c r="J533" s="105">
        <f t="shared" ca="1" si="165"/>
        <v>0</v>
      </c>
      <c r="K533" s="105">
        <f t="shared" ca="1" si="166"/>
        <v>0</v>
      </c>
      <c r="L533" s="105">
        <f t="shared" ca="1" si="156"/>
        <v>0</v>
      </c>
      <c r="M533" s="105">
        <f t="shared" ca="1" si="167"/>
        <v>0</v>
      </c>
      <c r="N533" s="105">
        <f t="shared" ca="1" si="157"/>
        <v>0</v>
      </c>
      <c r="O533" s="105">
        <f t="shared" ca="1" si="168"/>
        <v>0</v>
      </c>
      <c r="P533" s="105">
        <f t="shared" ca="1" si="169"/>
        <v>0</v>
      </c>
      <c r="Q533" s="105">
        <f t="shared" ca="1" si="170"/>
        <v>0</v>
      </c>
      <c r="R533" s="105">
        <f t="shared" ca="1" si="171"/>
        <v>0</v>
      </c>
      <c r="S533" s="105">
        <f t="shared" ca="1" si="172"/>
        <v>10</v>
      </c>
    </row>
    <row r="534" spans="1:19" x14ac:dyDescent="0.35">
      <c r="A534" s="105">
        <f t="shared" ca="1" si="158"/>
        <v>718.17749999999785</v>
      </c>
      <c r="B534" s="105">
        <f t="shared" ca="1" si="159"/>
        <v>0</v>
      </c>
      <c r="C534" s="105">
        <f t="shared" ca="1" si="160"/>
        <v>2</v>
      </c>
      <c r="D534" s="105">
        <f t="shared" ca="1" si="161"/>
        <v>0</v>
      </c>
      <c r="E534" s="105">
        <f t="shared" ca="1" si="162"/>
        <v>0</v>
      </c>
      <c r="F534" s="105">
        <f t="shared" ca="1" si="163"/>
        <v>0</v>
      </c>
      <c r="G534" s="105">
        <f t="shared" ca="1" si="173"/>
        <v>0</v>
      </c>
      <c r="H534" s="105">
        <f t="shared" ca="1" si="174"/>
        <v>0</v>
      </c>
      <c r="I534" s="105">
        <f t="shared" ca="1" si="164"/>
        <v>0</v>
      </c>
      <c r="J534" s="105">
        <f t="shared" ca="1" si="165"/>
        <v>0</v>
      </c>
      <c r="K534" s="105">
        <f t="shared" ca="1" si="166"/>
        <v>0</v>
      </c>
      <c r="L534" s="105">
        <f t="shared" ca="1" si="156"/>
        <v>0</v>
      </c>
      <c r="M534" s="105">
        <f t="shared" ca="1" si="167"/>
        <v>0</v>
      </c>
      <c r="N534" s="105">
        <f t="shared" ca="1" si="157"/>
        <v>0</v>
      </c>
      <c r="O534" s="105">
        <f t="shared" ca="1" si="168"/>
        <v>0</v>
      </c>
      <c r="P534" s="105">
        <f t="shared" ca="1" si="169"/>
        <v>0</v>
      </c>
      <c r="Q534" s="105">
        <f t="shared" ca="1" si="170"/>
        <v>0</v>
      </c>
      <c r="R534" s="105">
        <f t="shared" ca="1" si="171"/>
        <v>0</v>
      </c>
      <c r="S534" s="105">
        <f t="shared" ca="1" si="172"/>
        <v>10</v>
      </c>
    </row>
    <row r="535" spans="1:19" x14ac:dyDescent="0.35">
      <c r="A535" s="105">
        <f t="shared" ca="1" si="158"/>
        <v>719.52999999999781</v>
      </c>
      <c r="B535" s="105">
        <f t="shared" ca="1" si="159"/>
        <v>0</v>
      </c>
      <c r="C535" s="105">
        <f t="shared" ca="1" si="160"/>
        <v>2</v>
      </c>
      <c r="D535" s="105">
        <f t="shared" ca="1" si="161"/>
        <v>0</v>
      </c>
      <c r="E535" s="105">
        <f t="shared" ca="1" si="162"/>
        <v>0</v>
      </c>
      <c r="F535" s="105">
        <f t="shared" ca="1" si="163"/>
        <v>0</v>
      </c>
      <c r="G535" s="105">
        <f t="shared" ca="1" si="173"/>
        <v>0</v>
      </c>
      <c r="H535" s="105">
        <f t="shared" ca="1" si="174"/>
        <v>0</v>
      </c>
      <c r="I535" s="105">
        <f t="shared" ca="1" si="164"/>
        <v>0</v>
      </c>
      <c r="J535" s="105">
        <f t="shared" ca="1" si="165"/>
        <v>0</v>
      </c>
      <c r="K535" s="105">
        <f t="shared" ca="1" si="166"/>
        <v>0</v>
      </c>
      <c r="L535" s="105">
        <f t="shared" ca="1" si="156"/>
        <v>0</v>
      </c>
      <c r="M535" s="105">
        <f t="shared" ca="1" si="167"/>
        <v>0</v>
      </c>
      <c r="N535" s="105">
        <f t="shared" ca="1" si="157"/>
        <v>0</v>
      </c>
      <c r="O535" s="105">
        <f t="shared" ca="1" si="168"/>
        <v>0</v>
      </c>
      <c r="P535" s="105">
        <f t="shared" ca="1" si="169"/>
        <v>0</v>
      </c>
      <c r="Q535" s="105">
        <f t="shared" ca="1" si="170"/>
        <v>0</v>
      </c>
      <c r="R535" s="105">
        <f t="shared" ca="1" si="171"/>
        <v>0</v>
      </c>
      <c r="S535" s="105">
        <f t="shared" ca="1" si="172"/>
        <v>10</v>
      </c>
    </row>
    <row r="536" spans="1:19" x14ac:dyDescent="0.35">
      <c r="A536" s="105">
        <f t="shared" ca="1" si="158"/>
        <v>720.88249999999778</v>
      </c>
      <c r="B536" s="105">
        <f t="shared" ca="1" si="159"/>
        <v>0</v>
      </c>
      <c r="C536" s="105">
        <f t="shared" ca="1" si="160"/>
        <v>2</v>
      </c>
      <c r="D536" s="105">
        <f t="shared" ca="1" si="161"/>
        <v>0</v>
      </c>
      <c r="E536" s="105">
        <f t="shared" ca="1" si="162"/>
        <v>0</v>
      </c>
      <c r="F536" s="105">
        <f t="shared" ca="1" si="163"/>
        <v>0</v>
      </c>
      <c r="G536" s="105">
        <f t="shared" ca="1" si="173"/>
        <v>0</v>
      </c>
      <c r="H536" s="105">
        <f t="shared" ca="1" si="174"/>
        <v>0</v>
      </c>
      <c r="I536" s="105">
        <f t="shared" ca="1" si="164"/>
        <v>0</v>
      </c>
      <c r="J536" s="105">
        <f t="shared" ca="1" si="165"/>
        <v>0</v>
      </c>
      <c r="K536" s="105">
        <f t="shared" ca="1" si="166"/>
        <v>0</v>
      </c>
      <c r="L536" s="105">
        <f t="shared" ref="L536:L599" ca="1" si="175">IF(K536+K535&gt;0,1,0)</f>
        <v>0</v>
      </c>
      <c r="M536" s="105">
        <f t="shared" ca="1" si="167"/>
        <v>0</v>
      </c>
      <c r="N536" s="105">
        <f t="shared" ref="N536:N599" ca="1" si="176">IF(M536+M535&gt;0,1,0)</f>
        <v>0</v>
      </c>
      <c r="O536" s="105">
        <f t="shared" ca="1" si="168"/>
        <v>0</v>
      </c>
      <c r="P536" s="105">
        <f t="shared" ca="1" si="169"/>
        <v>0</v>
      </c>
      <c r="Q536" s="105">
        <f t="shared" ca="1" si="170"/>
        <v>0</v>
      </c>
      <c r="R536" s="105">
        <f t="shared" ca="1" si="171"/>
        <v>0</v>
      </c>
      <c r="S536" s="105">
        <f t="shared" ca="1" si="172"/>
        <v>10</v>
      </c>
    </row>
    <row r="537" spans="1:19" x14ac:dyDescent="0.35">
      <c r="A537" s="105">
        <f t="shared" ca="1" si="158"/>
        <v>722.23499999999774</v>
      </c>
      <c r="B537" s="105">
        <f t="shared" ca="1" si="159"/>
        <v>0</v>
      </c>
      <c r="C537" s="105">
        <f t="shared" ca="1" si="160"/>
        <v>2</v>
      </c>
      <c r="D537" s="105">
        <f t="shared" ca="1" si="161"/>
        <v>0</v>
      </c>
      <c r="E537" s="105">
        <f t="shared" ca="1" si="162"/>
        <v>0</v>
      </c>
      <c r="F537" s="105">
        <f t="shared" ca="1" si="163"/>
        <v>0</v>
      </c>
      <c r="G537" s="105">
        <f t="shared" ca="1" si="173"/>
        <v>0</v>
      </c>
      <c r="H537" s="105">
        <f t="shared" ca="1" si="174"/>
        <v>0</v>
      </c>
      <c r="I537" s="105">
        <f t="shared" ca="1" si="164"/>
        <v>0</v>
      </c>
      <c r="J537" s="105">
        <f t="shared" ca="1" si="165"/>
        <v>0</v>
      </c>
      <c r="K537" s="105">
        <f t="shared" ca="1" si="166"/>
        <v>0</v>
      </c>
      <c r="L537" s="105">
        <f t="shared" ca="1" si="175"/>
        <v>0</v>
      </c>
      <c r="M537" s="105">
        <f t="shared" ca="1" si="167"/>
        <v>0</v>
      </c>
      <c r="N537" s="105">
        <f t="shared" ca="1" si="176"/>
        <v>0</v>
      </c>
      <c r="O537" s="105">
        <f t="shared" ca="1" si="168"/>
        <v>0</v>
      </c>
      <c r="P537" s="105">
        <f t="shared" ca="1" si="169"/>
        <v>0</v>
      </c>
      <c r="Q537" s="105">
        <f t="shared" ca="1" si="170"/>
        <v>0</v>
      </c>
      <c r="R537" s="105">
        <f t="shared" ca="1" si="171"/>
        <v>0</v>
      </c>
      <c r="S537" s="105">
        <f t="shared" ca="1" si="172"/>
        <v>10</v>
      </c>
    </row>
    <row r="538" spans="1:19" x14ac:dyDescent="0.35">
      <c r="A538" s="105">
        <f t="shared" ca="1" si="158"/>
        <v>723.5874999999977</v>
      </c>
      <c r="B538" s="105">
        <f t="shared" ca="1" si="159"/>
        <v>0</v>
      </c>
      <c r="C538" s="105">
        <f t="shared" ca="1" si="160"/>
        <v>2</v>
      </c>
      <c r="D538" s="105">
        <f t="shared" ca="1" si="161"/>
        <v>0</v>
      </c>
      <c r="E538" s="105">
        <f t="shared" ca="1" si="162"/>
        <v>0</v>
      </c>
      <c r="F538" s="105">
        <f t="shared" ca="1" si="163"/>
        <v>0</v>
      </c>
      <c r="G538" s="105">
        <f t="shared" ca="1" si="173"/>
        <v>0</v>
      </c>
      <c r="H538" s="105">
        <f t="shared" ca="1" si="174"/>
        <v>0</v>
      </c>
      <c r="I538" s="105">
        <f t="shared" ca="1" si="164"/>
        <v>0</v>
      </c>
      <c r="J538" s="105">
        <f t="shared" ca="1" si="165"/>
        <v>0</v>
      </c>
      <c r="K538" s="105">
        <f t="shared" ca="1" si="166"/>
        <v>0</v>
      </c>
      <c r="L538" s="105">
        <f t="shared" ca="1" si="175"/>
        <v>0</v>
      </c>
      <c r="M538" s="105">
        <f t="shared" ca="1" si="167"/>
        <v>0</v>
      </c>
      <c r="N538" s="105">
        <f t="shared" ca="1" si="176"/>
        <v>0</v>
      </c>
      <c r="O538" s="105">
        <f t="shared" ca="1" si="168"/>
        <v>0</v>
      </c>
      <c r="P538" s="105">
        <f t="shared" ca="1" si="169"/>
        <v>0</v>
      </c>
      <c r="Q538" s="105">
        <f t="shared" ca="1" si="170"/>
        <v>0</v>
      </c>
      <c r="R538" s="105">
        <f t="shared" ca="1" si="171"/>
        <v>0</v>
      </c>
      <c r="S538" s="105">
        <f t="shared" ca="1" si="172"/>
        <v>10</v>
      </c>
    </row>
    <row r="539" spans="1:19" x14ac:dyDescent="0.35">
      <c r="A539" s="105">
        <f t="shared" ca="1" si="158"/>
        <v>724.93999999999767</v>
      </c>
      <c r="B539" s="105">
        <f t="shared" ca="1" si="159"/>
        <v>0</v>
      </c>
      <c r="C539" s="105">
        <f t="shared" ca="1" si="160"/>
        <v>2</v>
      </c>
      <c r="D539" s="105">
        <f t="shared" ca="1" si="161"/>
        <v>0</v>
      </c>
      <c r="E539" s="105">
        <f t="shared" ca="1" si="162"/>
        <v>0</v>
      </c>
      <c r="F539" s="105">
        <f t="shared" ca="1" si="163"/>
        <v>0</v>
      </c>
      <c r="G539" s="105">
        <f t="shared" ca="1" si="173"/>
        <v>0</v>
      </c>
      <c r="H539" s="105">
        <f t="shared" ca="1" si="174"/>
        <v>0</v>
      </c>
      <c r="I539" s="105">
        <f t="shared" ca="1" si="164"/>
        <v>0</v>
      </c>
      <c r="J539" s="105">
        <f t="shared" ca="1" si="165"/>
        <v>0</v>
      </c>
      <c r="K539" s="105">
        <f t="shared" ca="1" si="166"/>
        <v>0</v>
      </c>
      <c r="L539" s="105">
        <f t="shared" ca="1" si="175"/>
        <v>0</v>
      </c>
      <c r="M539" s="105">
        <f t="shared" ca="1" si="167"/>
        <v>0</v>
      </c>
      <c r="N539" s="105">
        <f t="shared" ca="1" si="176"/>
        <v>0</v>
      </c>
      <c r="O539" s="105">
        <f t="shared" ca="1" si="168"/>
        <v>0</v>
      </c>
      <c r="P539" s="105">
        <f t="shared" ca="1" si="169"/>
        <v>0</v>
      </c>
      <c r="Q539" s="105">
        <f t="shared" ca="1" si="170"/>
        <v>0</v>
      </c>
      <c r="R539" s="105">
        <f t="shared" ca="1" si="171"/>
        <v>0</v>
      </c>
      <c r="S539" s="105">
        <f t="shared" ca="1" si="172"/>
        <v>10</v>
      </c>
    </row>
    <row r="540" spans="1:19" x14ac:dyDescent="0.35">
      <c r="A540" s="105">
        <f t="shared" ca="1" si="158"/>
        <v>726.29249999999763</v>
      </c>
      <c r="B540" s="105">
        <f t="shared" ca="1" si="159"/>
        <v>0</v>
      </c>
      <c r="C540" s="105">
        <f t="shared" ca="1" si="160"/>
        <v>2</v>
      </c>
      <c r="D540" s="105">
        <f t="shared" ca="1" si="161"/>
        <v>0</v>
      </c>
      <c r="E540" s="105">
        <f t="shared" ca="1" si="162"/>
        <v>0</v>
      </c>
      <c r="F540" s="105">
        <f t="shared" ca="1" si="163"/>
        <v>0</v>
      </c>
      <c r="G540" s="105">
        <f t="shared" ca="1" si="173"/>
        <v>0</v>
      </c>
      <c r="H540" s="105">
        <f t="shared" ca="1" si="174"/>
        <v>0</v>
      </c>
      <c r="I540" s="105">
        <f t="shared" ca="1" si="164"/>
        <v>0</v>
      </c>
      <c r="J540" s="105">
        <f t="shared" ca="1" si="165"/>
        <v>0</v>
      </c>
      <c r="K540" s="105">
        <f t="shared" ca="1" si="166"/>
        <v>0</v>
      </c>
      <c r="L540" s="105">
        <f t="shared" ca="1" si="175"/>
        <v>0</v>
      </c>
      <c r="M540" s="105">
        <f t="shared" ca="1" si="167"/>
        <v>0</v>
      </c>
      <c r="N540" s="105">
        <f t="shared" ca="1" si="176"/>
        <v>0</v>
      </c>
      <c r="O540" s="105">
        <f t="shared" ca="1" si="168"/>
        <v>0</v>
      </c>
      <c r="P540" s="105">
        <f t="shared" ca="1" si="169"/>
        <v>0</v>
      </c>
      <c r="Q540" s="105">
        <f t="shared" ca="1" si="170"/>
        <v>0</v>
      </c>
      <c r="R540" s="105">
        <f t="shared" ca="1" si="171"/>
        <v>0</v>
      </c>
      <c r="S540" s="105">
        <f t="shared" ca="1" si="172"/>
        <v>10</v>
      </c>
    </row>
    <row r="541" spans="1:19" x14ac:dyDescent="0.35">
      <c r="A541" s="105">
        <f t="shared" ca="1" si="158"/>
        <v>727.64499999999759</v>
      </c>
      <c r="B541" s="105">
        <f t="shared" ca="1" si="159"/>
        <v>0</v>
      </c>
      <c r="C541" s="105">
        <f t="shared" ca="1" si="160"/>
        <v>2</v>
      </c>
      <c r="D541" s="105">
        <f t="shared" ca="1" si="161"/>
        <v>0</v>
      </c>
      <c r="E541" s="105">
        <f t="shared" ca="1" si="162"/>
        <v>0</v>
      </c>
      <c r="F541" s="105">
        <f t="shared" ca="1" si="163"/>
        <v>0</v>
      </c>
      <c r="G541" s="105">
        <f t="shared" ca="1" si="173"/>
        <v>0</v>
      </c>
      <c r="H541" s="105">
        <f t="shared" ca="1" si="174"/>
        <v>0</v>
      </c>
      <c r="I541" s="105">
        <f t="shared" ca="1" si="164"/>
        <v>0</v>
      </c>
      <c r="J541" s="105">
        <f t="shared" ca="1" si="165"/>
        <v>0</v>
      </c>
      <c r="K541" s="105">
        <f t="shared" ca="1" si="166"/>
        <v>0</v>
      </c>
      <c r="L541" s="105">
        <f t="shared" ca="1" si="175"/>
        <v>0</v>
      </c>
      <c r="M541" s="105">
        <f t="shared" ca="1" si="167"/>
        <v>0</v>
      </c>
      <c r="N541" s="105">
        <f t="shared" ca="1" si="176"/>
        <v>0</v>
      </c>
      <c r="O541" s="105">
        <f t="shared" ca="1" si="168"/>
        <v>0</v>
      </c>
      <c r="P541" s="105">
        <f t="shared" ca="1" si="169"/>
        <v>0</v>
      </c>
      <c r="Q541" s="105">
        <f t="shared" ca="1" si="170"/>
        <v>0</v>
      </c>
      <c r="R541" s="105">
        <f t="shared" ca="1" si="171"/>
        <v>0</v>
      </c>
      <c r="S541" s="105">
        <f t="shared" ca="1" si="172"/>
        <v>10</v>
      </c>
    </row>
    <row r="542" spans="1:19" x14ac:dyDescent="0.35">
      <c r="A542" s="105">
        <f t="shared" ca="1" si="158"/>
        <v>728.99749999999756</v>
      </c>
      <c r="B542" s="105">
        <f t="shared" ca="1" si="159"/>
        <v>0</v>
      </c>
      <c r="C542" s="105">
        <f t="shared" ca="1" si="160"/>
        <v>2</v>
      </c>
      <c r="D542" s="105">
        <f t="shared" ca="1" si="161"/>
        <v>0</v>
      </c>
      <c r="E542" s="105">
        <f t="shared" ca="1" si="162"/>
        <v>0</v>
      </c>
      <c r="F542" s="105">
        <f t="shared" ca="1" si="163"/>
        <v>0</v>
      </c>
      <c r="G542" s="105">
        <f t="shared" ca="1" si="173"/>
        <v>0</v>
      </c>
      <c r="H542" s="105">
        <f t="shared" ca="1" si="174"/>
        <v>0</v>
      </c>
      <c r="I542" s="105">
        <f t="shared" ca="1" si="164"/>
        <v>0</v>
      </c>
      <c r="J542" s="105">
        <f t="shared" ca="1" si="165"/>
        <v>0</v>
      </c>
      <c r="K542" s="105">
        <f t="shared" ca="1" si="166"/>
        <v>0</v>
      </c>
      <c r="L542" s="105">
        <f t="shared" ca="1" si="175"/>
        <v>0</v>
      </c>
      <c r="M542" s="105">
        <f t="shared" ca="1" si="167"/>
        <v>0</v>
      </c>
      <c r="N542" s="105">
        <f t="shared" ca="1" si="176"/>
        <v>0</v>
      </c>
      <c r="O542" s="105">
        <f t="shared" ca="1" si="168"/>
        <v>0</v>
      </c>
      <c r="P542" s="105">
        <f t="shared" ca="1" si="169"/>
        <v>0</v>
      </c>
      <c r="Q542" s="105">
        <f t="shared" ca="1" si="170"/>
        <v>0</v>
      </c>
      <c r="R542" s="105">
        <f t="shared" ca="1" si="171"/>
        <v>0</v>
      </c>
      <c r="S542" s="105">
        <f t="shared" ca="1" si="172"/>
        <v>10</v>
      </c>
    </row>
    <row r="543" spans="1:19" x14ac:dyDescent="0.35">
      <c r="A543" s="105">
        <f t="shared" ca="1" si="158"/>
        <v>730.34999999999752</v>
      </c>
      <c r="B543" s="105">
        <f t="shared" ca="1" si="159"/>
        <v>0</v>
      </c>
      <c r="C543" s="105">
        <f t="shared" ca="1" si="160"/>
        <v>2</v>
      </c>
      <c r="D543" s="105">
        <f t="shared" ca="1" si="161"/>
        <v>0</v>
      </c>
      <c r="E543" s="105">
        <f t="shared" ca="1" si="162"/>
        <v>0</v>
      </c>
      <c r="F543" s="105">
        <f t="shared" ca="1" si="163"/>
        <v>0</v>
      </c>
      <c r="G543" s="105">
        <f t="shared" ca="1" si="173"/>
        <v>0</v>
      </c>
      <c r="H543" s="105">
        <f t="shared" ca="1" si="174"/>
        <v>0</v>
      </c>
      <c r="I543" s="105">
        <f t="shared" ca="1" si="164"/>
        <v>0</v>
      </c>
      <c r="J543" s="105">
        <f t="shared" ca="1" si="165"/>
        <v>0</v>
      </c>
      <c r="K543" s="105">
        <f t="shared" ca="1" si="166"/>
        <v>0</v>
      </c>
      <c r="L543" s="105">
        <f t="shared" ca="1" si="175"/>
        <v>0</v>
      </c>
      <c r="M543" s="105">
        <f t="shared" ca="1" si="167"/>
        <v>0</v>
      </c>
      <c r="N543" s="105">
        <f t="shared" ca="1" si="176"/>
        <v>0</v>
      </c>
      <c r="O543" s="105">
        <f t="shared" ca="1" si="168"/>
        <v>0</v>
      </c>
      <c r="P543" s="105">
        <f t="shared" ca="1" si="169"/>
        <v>0</v>
      </c>
      <c r="Q543" s="105">
        <f t="shared" ca="1" si="170"/>
        <v>0</v>
      </c>
      <c r="R543" s="105">
        <f t="shared" ca="1" si="171"/>
        <v>0</v>
      </c>
      <c r="S543" s="105">
        <f t="shared" ca="1" si="172"/>
        <v>10</v>
      </c>
    </row>
    <row r="544" spans="1:19" x14ac:dyDescent="0.35">
      <c r="A544" s="105">
        <f t="shared" ca="1" si="158"/>
        <v>731.70249999999749</v>
      </c>
      <c r="B544" s="105">
        <f t="shared" ca="1" si="159"/>
        <v>0</v>
      </c>
      <c r="C544" s="105">
        <f t="shared" ca="1" si="160"/>
        <v>2</v>
      </c>
      <c r="D544" s="105">
        <f t="shared" ca="1" si="161"/>
        <v>0</v>
      </c>
      <c r="E544" s="105">
        <f t="shared" ca="1" si="162"/>
        <v>0</v>
      </c>
      <c r="F544" s="105">
        <f t="shared" ca="1" si="163"/>
        <v>0</v>
      </c>
      <c r="G544" s="105">
        <f t="shared" ca="1" si="173"/>
        <v>0</v>
      </c>
      <c r="H544" s="105">
        <f t="shared" ca="1" si="174"/>
        <v>0</v>
      </c>
      <c r="I544" s="105">
        <f t="shared" ca="1" si="164"/>
        <v>0</v>
      </c>
      <c r="J544" s="105">
        <f t="shared" ca="1" si="165"/>
        <v>0</v>
      </c>
      <c r="K544" s="105">
        <f t="shared" ca="1" si="166"/>
        <v>0</v>
      </c>
      <c r="L544" s="105">
        <f t="shared" ca="1" si="175"/>
        <v>0</v>
      </c>
      <c r="M544" s="105">
        <f t="shared" ca="1" si="167"/>
        <v>0</v>
      </c>
      <c r="N544" s="105">
        <f t="shared" ca="1" si="176"/>
        <v>0</v>
      </c>
      <c r="O544" s="105">
        <f t="shared" ca="1" si="168"/>
        <v>0</v>
      </c>
      <c r="P544" s="105">
        <f t="shared" ca="1" si="169"/>
        <v>0</v>
      </c>
      <c r="Q544" s="105">
        <f t="shared" ca="1" si="170"/>
        <v>0</v>
      </c>
      <c r="R544" s="105">
        <f t="shared" ca="1" si="171"/>
        <v>0</v>
      </c>
      <c r="S544" s="105">
        <f t="shared" ca="1" si="172"/>
        <v>10</v>
      </c>
    </row>
    <row r="545" spans="1:19" x14ac:dyDescent="0.35">
      <c r="A545" s="105">
        <f t="shared" ca="1" si="158"/>
        <v>733.05499999999745</v>
      </c>
      <c r="B545" s="105">
        <f t="shared" ca="1" si="159"/>
        <v>0</v>
      </c>
      <c r="C545" s="105">
        <f t="shared" ca="1" si="160"/>
        <v>2</v>
      </c>
      <c r="D545" s="105">
        <f t="shared" ca="1" si="161"/>
        <v>0</v>
      </c>
      <c r="E545" s="105">
        <f t="shared" ca="1" si="162"/>
        <v>0</v>
      </c>
      <c r="F545" s="105">
        <f t="shared" ca="1" si="163"/>
        <v>0</v>
      </c>
      <c r="G545" s="105">
        <f t="shared" ca="1" si="173"/>
        <v>0</v>
      </c>
      <c r="H545" s="105">
        <f t="shared" ca="1" si="174"/>
        <v>0</v>
      </c>
      <c r="I545" s="105">
        <f t="shared" ca="1" si="164"/>
        <v>0</v>
      </c>
      <c r="J545" s="105">
        <f t="shared" ca="1" si="165"/>
        <v>0</v>
      </c>
      <c r="K545" s="105">
        <f t="shared" ca="1" si="166"/>
        <v>0</v>
      </c>
      <c r="L545" s="105">
        <f t="shared" ca="1" si="175"/>
        <v>0</v>
      </c>
      <c r="M545" s="105">
        <f t="shared" ca="1" si="167"/>
        <v>0</v>
      </c>
      <c r="N545" s="105">
        <f t="shared" ca="1" si="176"/>
        <v>0</v>
      </c>
      <c r="O545" s="105">
        <f t="shared" ca="1" si="168"/>
        <v>0</v>
      </c>
      <c r="P545" s="105">
        <f t="shared" ca="1" si="169"/>
        <v>0</v>
      </c>
      <c r="Q545" s="105">
        <f t="shared" ca="1" si="170"/>
        <v>0</v>
      </c>
      <c r="R545" s="105">
        <f t="shared" ca="1" si="171"/>
        <v>0</v>
      </c>
      <c r="S545" s="105">
        <f t="shared" ca="1" si="172"/>
        <v>10</v>
      </c>
    </row>
    <row r="546" spans="1:19" x14ac:dyDescent="0.35">
      <c r="A546" s="105">
        <f t="shared" ca="1" si="158"/>
        <v>734.40749999999741</v>
      </c>
      <c r="B546" s="105">
        <f t="shared" ca="1" si="159"/>
        <v>0</v>
      </c>
      <c r="C546" s="105">
        <f t="shared" ca="1" si="160"/>
        <v>2</v>
      </c>
      <c r="D546" s="105">
        <f t="shared" ca="1" si="161"/>
        <v>0</v>
      </c>
      <c r="E546" s="105">
        <f t="shared" ca="1" si="162"/>
        <v>0</v>
      </c>
      <c r="F546" s="105">
        <f t="shared" ca="1" si="163"/>
        <v>0</v>
      </c>
      <c r="G546" s="105">
        <f t="shared" ca="1" si="173"/>
        <v>0</v>
      </c>
      <c r="H546" s="105">
        <f t="shared" ca="1" si="174"/>
        <v>0</v>
      </c>
      <c r="I546" s="105">
        <f t="shared" ca="1" si="164"/>
        <v>0</v>
      </c>
      <c r="J546" s="105">
        <f t="shared" ca="1" si="165"/>
        <v>0</v>
      </c>
      <c r="K546" s="105">
        <f t="shared" ca="1" si="166"/>
        <v>0</v>
      </c>
      <c r="L546" s="105">
        <f t="shared" ca="1" si="175"/>
        <v>0</v>
      </c>
      <c r="M546" s="105">
        <f t="shared" ca="1" si="167"/>
        <v>0</v>
      </c>
      <c r="N546" s="105">
        <f t="shared" ca="1" si="176"/>
        <v>0</v>
      </c>
      <c r="O546" s="105">
        <f t="shared" ca="1" si="168"/>
        <v>0</v>
      </c>
      <c r="P546" s="105">
        <f t="shared" ca="1" si="169"/>
        <v>0</v>
      </c>
      <c r="Q546" s="105">
        <f t="shared" ca="1" si="170"/>
        <v>0</v>
      </c>
      <c r="R546" s="105">
        <f t="shared" ca="1" si="171"/>
        <v>0</v>
      </c>
      <c r="S546" s="105">
        <f t="shared" ca="1" si="172"/>
        <v>10</v>
      </c>
    </row>
    <row r="547" spans="1:19" x14ac:dyDescent="0.35">
      <c r="A547" s="105">
        <f t="shared" ca="1" si="158"/>
        <v>735.75999999999738</v>
      </c>
      <c r="B547" s="105">
        <f t="shared" ca="1" si="159"/>
        <v>0</v>
      </c>
      <c r="C547" s="105">
        <f t="shared" ca="1" si="160"/>
        <v>2</v>
      </c>
      <c r="D547" s="105">
        <f t="shared" ca="1" si="161"/>
        <v>0</v>
      </c>
      <c r="E547" s="105">
        <f t="shared" ca="1" si="162"/>
        <v>0</v>
      </c>
      <c r="F547" s="105">
        <f t="shared" ca="1" si="163"/>
        <v>0</v>
      </c>
      <c r="G547" s="105">
        <f t="shared" ca="1" si="173"/>
        <v>0</v>
      </c>
      <c r="H547" s="105">
        <f t="shared" ca="1" si="174"/>
        <v>0</v>
      </c>
      <c r="I547" s="105">
        <f t="shared" ca="1" si="164"/>
        <v>0</v>
      </c>
      <c r="J547" s="105">
        <f t="shared" ca="1" si="165"/>
        <v>0</v>
      </c>
      <c r="K547" s="105">
        <f t="shared" ca="1" si="166"/>
        <v>0</v>
      </c>
      <c r="L547" s="105">
        <f t="shared" ca="1" si="175"/>
        <v>0</v>
      </c>
      <c r="M547" s="105">
        <f t="shared" ca="1" si="167"/>
        <v>0</v>
      </c>
      <c r="N547" s="105">
        <f t="shared" ca="1" si="176"/>
        <v>0</v>
      </c>
      <c r="O547" s="105">
        <f t="shared" ca="1" si="168"/>
        <v>0</v>
      </c>
      <c r="P547" s="105">
        <f t="shared" ca="1" si="169"/>
        <v>0</v>
      </c>
      <c r="Q547" s="105">
        <f t="shared" ca="1" si="170"/>
        <v>0</v>
      </c>
      <c r="R547" s="105">
        <f t="shared" ca="1" si="171"/>
        <v>0</v>
      </c>
      <c r="S547" s="105">
        <f t="shared" ca="1" si="172"/>
        <v>10</v>
      </c>
    </row>
    <row r="548" spans="1:19" x14ac:dyDescent="0.35">
      <c r="A548" s="105">
        <f t="shared" ca="1" si="158"/>
        <v>737.11249999999734</v>
      </c>
      <c r="B548" s="105">
        <f t="shared" ca="1" si="159"/>
        <v>0</v>
      </c>
      <c r="C548" s="105">
        <f t="shared" ca="1" si="160"/>
        <v>2</v>
      </c>
      <c r="D548" s="105">
        <f t="shared" ca="1" si="161"/>
        <v>0</v>
      </c>
      <c r="E548" s="105">
        <f t="shared" ca="1" si="162"/>
        <v>0</v>
      </c>
      <c r="F548" s="105">
        <f t="shared" ca="1" si="163"/>
        <v>0</v>
      </c>
      <c r="G548" s="105">
        <f t="shared" ca="1" si="173"/>
        <v>0</v>
      </c>
      <c r="H548" s="105">
        <f t="shared" ca="1" si="174"/>
        <v>0</v>
      </c>
      <c r="I548" s="105">
        <f t="shared" ca="1" si="164"/>
        <v>0</v>
      </c>
      <c r="J548" s="105">
        <f t="shared" ca="1" si="165"/>
        <v>0</v>
      </c>
      <c r="K548" s="105">
        <f t="shared" ca="1" si="166"/>
        <v>0</v>
      </c>
      <c r="L548" s="105">
        <f t="shared" ca="1" si="175"/>
        <v>0</v>
      </c>
      <c r="M548" s="105">
        <f t="shared" ca="1" si="167"/>
        <v>0</v>
      </c>
      <c r="N548" s="105">
        <f t="shared" ca="1" si="176"/>
        <v>0</v>
      </c>
      <c r="O548" s="105">
        <f t="shared" ca="1" si="168"/>
        <v>0</v>
      </c>
      <c r="P548" s="105">
        <f t="shared" ca="1" si="169"/>
        <v>0</v>
      </c>
      <c r="Q548" s="105">
        <f t="shared" ca="1" si="170"/>
        <v>0</v>
      </c>
      <c r="R548" s="105">
        <f t="shared" ca="1" si="171"/>
        <v>0</v>
      </c>
      <c r="S548" s="105">
        <f t="shared" ca="1" si="172"/>
        <v>10</v>
      </c>
    </row>
    <row r="549" spans="1:19" x14ac:dyDescent="0.35">
      <c r="A549" s="105">
        <f t="shared" ca="1" si="158"/>
        <v>738.4649999999973</v>
      </c>
      <c r="B549" s="105">
        <f t="shared" ca="1" si="159"/>
        <v>0</v>
      </c>
      <c r="C549" s="105">
        <f t="shared" ca="1" si="160"/>
        <v>2</v>
      </c>
      <c r="D549" s="105">
        <f t="shared" ca="1" si="161"/>
        <v>0</v>
      </c>
      <c r="E549" s="105">
        <f t="shared" ca="1" si="162"/>
        <v>0</v>
      </c>
      <c r="F549" s="105">
        <f t="shared" ca="1" si="163"/>
        <v>0</v>
      </c>
      <c r="G549" s="105">
        <f t="shared" ca="1" si="173"/>
        <v>0</v>
      </c>
      <c r="H549" s="105">
        <f t="shared" ca="1" si="174"/>
        <v>0</v>
      </c>
      <c r="I549" s="105">
        <f t="shared" ca="1" si="164"/>
        <v>0</v>
      </c>
      <c r="J549" s="105">
        <f t="shared" ca="1" si="165"/>
        <v>0</v>
      </c>
      <c r="K549" s="105">
        <f t="shared" ca="1" si="166"/>
        <v>0</v>
      </c>
      <c r="L549" s="105">
        <f t="shared" ca="1" si="175"/>
        <v>0</v>
      </c>
      <c r="M549" s="105">
        <f t="shared" ca="1" si="167"/>
        <v>0</v>
      </c>
      <c r="N549" s="105">
        <f t="shared" ca="1" si="176"/>
        <v>0</v>
      </c>
      <c r="O549" s="105">
        <f t="shared" ca="1" si="168"/>
        <v>0</v>
      </c>
      <c r="P549" s="105">
        <f t="shared" ca="1" si="169"/>
        <v>0</v>
      </c>
      <c r="Q549" s="105">
        <f t="shared" ca="1" si="170"/>
        <v>0</v>
      </c>
      <c r="R549" s="105">
        <f t="shared" ca="1" si="171"/>
        <v>0</v>
      </c>
      <c r="S549" s="105">
        <f t="shared" ca="1" si="172"/>
        <v>10</v>
      </c>
    </row>
    <row r="550" spans="1:19" x14ac:dyDescent="0.35">
      <c r="A550" s="105">
        <f t="shared" ca="1" si="158"/>
        <v>739.81749999999727</v>
      </c>
      <c r="B550" s="105">
        <f t="shared" ca="1" si="159"/>
        <v>0</v>
      </c>
      <c r="C550" s="105">
        <f t="shared" ca="1" si="160"/>
        <v>2</v>
      </c>
      <c r="D550" s="105">
        <f t="shared" ca="1" si="161"/>
        <v>0</v>
      </c>
      <c r="E550" s="105">
        <f t="shared" ca="1" si="162"/>
        <v>0</v>
      </c>
      <c r="F550" s="105">
        <f t="shared" ca="1" si="163"/>
        <v>0</v>
      </c>
      <c r="G550" s="105">
        <f t="shared" ca="1" si="173"/>
        <v>0</v>
      </c>
      <c r="H550" s="105">
        <f t="shared" ca="1" si="174"/>
        <v>0</v>
      </c>
      <c r="I550" s="105">
        <f t="shared" ca="1" si="164"/>
        <v>0</v>
      </c>
      <c r="J550" s="105">
        <f t="shared" ca="1" si="165"/>
        <v>0</v>
      </c>
      <c r="K550" s="105">
        <f t="shared" ca="1" si="166"/>
        <v>0</v>
      </c>
      <c r="L550" s="105">
        <f t="shared" ca="1" si="175"/>
        <v>0</v>
      </c>
      <c r="M550" s="105">
        <f t="shared" ca="1" si="167"/>
        <v>0</v>
      </c>
      <c r="N550" s="105">
        <f t="shared" ca="1" si="176"/>
        <v>0</v>
      </c>
      <c r="O550" s="105">
        <f t="shared" ca="1" si="168"/>
        <v>0</v>
      </c>
      <c r="P550" s="105">
        <f t="shared" ca="1" si="169"/>
        <v>0</v>
      </c>
      <c r="Q550" s="105">
        <f t="shared" ca="1" si="170"/>
        <v>0</v>
      </c>
      <c r="R550" s="105">
        <f t="shared" ca="1" si="171"/>
        <v>0</v>
      </c>
      <c r="S550" s="105">
        <f t="shared" ca="1" si="172"/>
        <v>10</v>
      </c>
    </row>
    <row r="551" spans="1:19" x14ac:dyDescent="0.35">
      <c r="A551" s="105">
        <f t="shared" ca="1" si="158"/>
        <v>741.16999999999723</v>
      </c>
      <c r="B551" s="105">
        <f t="shared" ca="1" si="159"/>
        <v>0</v>
      </c>
      <c r="C551" s="105">
        <f t="shared" ca="1" si="160"/>
        <v>2</v>
      </c>
      <c r="D551" s="105">
        <f t="shared" ca="1" si="161"/>
        <v>0</v>
      </c>
      <c r="E551" s="105">
        <f t="shared" ca="1" si="162"/>
        <v>0</v>
      </c>
      <c r="F551" s="105">
        <f t="shared" ca="1" si="163"/>
        <v>0</v>
      </c>
      <c r="G551" s="105">
        <f t="shared" ca="1" si="173"/>
        <v>0</v>
      </c>
      <c r="H551" s="105">
        <f t="shared" ca="1" si="174"/>
        <v>0</v>
      </c>
      <c r="I551" s="105">
        <f t="shared" ca="1" si="164"/>
        <v>0</v>
      </c>
      <c r="J551" s="105">
        <f t="shared" ca="1" si="165"/>
        <v>0</v>
      </c>
      <c r="K551" s="105">
        <f t="shared" ca="1" si="166"/>
        <v>0</v>
      </c>
      <c r="L551" s="105">
        <f t="shared" ca="1" si="175"/>
        <v>0</v>
      </c>
      <c r="M551" s="105">
        <f t="shared" ca="1" si="167"/>
        <v>0</v>
      </c>
      <c r="N551" s="105">
        <f t="shared" ca="1" si="176"/>
        <v>0</v>
      </c>
      <c r="O551" s="105">
        <f t="shared" ca="1" si="168"/>
        <v>0</v>
      </c>
      <c r="P551" s="105">
        <f t="shared" ca="1" si="169"/>
        <v>0</v>
      </c>
      <c r="Q551" s="105">
        <f t="shared" ca="1" si="170"/>
        <v>0</v>
      </c>
      <c r="R551" s="105">
        <f t="shared" ca="1" si="171"/>
        <v>0</v>
      </c>
      <c r="S551" s="105">
        <f t="shared" ca="1" si="172"/>
        <v>10</v>
      </c>
    </row>
    <row r="552" spans="1:19" x14ac:dyDescent="0.35">
      <c r="A552" s="105">
        <f t="shared" ca="1" si="158"/>
        <v>742.52249999999719</v>
      </c>
      <c r="B552" s="105">
        <f t="shared" ca="1" si="159"/>
        <v>0</v>
      </c>
      <c r="C552" s="105">
        <f t="shared" ca="1" si="160"/>
        <v>2</v>
      </c>
      <c r="D552" s="105">
        <f t="shared" ca="1" si="161"/>
        <v>0</v>
      </c>
      <c r="E552" s="105">
        <f t="shared" ca="1" si="162"/>
        <v>0</v>
      </c>
      <c r="F552" s="105">
        <f t="shared" ca="1" si="163"/>
        <v>0</v>
      </c>
      <c r="G552" s="105">
        <f t="shared" ca="1" si="173"/>
        <v>0</v>
      </c>
      <c r="H552" s="105">
        <f t="shared" ca="1" si="174"/>
        <v>0</v>
      </c>
      <c r="I552" s="105">
        <f t="shared" ca="1" si="164"/>
        <v>0</v>
      </c>
      <c r="J552" s="105">
        <f t="shared" ca="1" si="165"/>
        <v>0</v>
      </c>
      <c r="K552" s="105">
        <f t="shared" ca="1" si="166"/>
        <v>0</v>
      </c>
      <c r="L552" s="105">
        <f t="shared" ca="1" si="175"/>
        <v>0</v>
      </c>
      <c r="M552" s="105">
        <f t="shared" ca="1" si="167"/>
        <v>0</v>
      </c>
      <c r="N552" s="105">
        <f t="shared" ca="1" si="176"/>
        <v>0</v>
      </c>
      <c r="O552" s="105">
        <f t="shared" ca="1" si="168"/>
        <v>0</v>
      </c>
      <c r="P552" s="105">
        <f t="shared" ca="1" si="169"/>
        <v>0</v>
      </c>
      <c r="Q552" s="105">
        <f t="shared" ca="1" si="170"/>
        <v>0</v>
      </c>
      <c r="R552" s="105">
        <f t="shared" ca="1" si="171"/>
        <v>0</v>
      </c>
      <c r="S552" s="105">
        <f t="shared" ca="1" si="172"/>
        <v>10</v>
      </c>
    </row>
    <row r="553" spans="1:19" x14ac:dyDescent="0.35">
      <c r="A553" s="105">
        <f t="shared" ca="1" si="158"/>
        <v>743.87499999999716</v>
      </c>
      <c r="B553" s="105">
        <f t="shared" ca="1" si="159"/>
        <v>0</v>
      </c>
      <c r="C553" s="105">
        <f t="shared" ca="1" si="160"/>
        <v>2</v>
      </c>
      <c r="D553" s="105">
        <f t="shared" ca="1" si="161"/>
        <v>0</v>
      </c>
      <c r="E553" s="105">
        <f t="shared" ca="1" si="162"/>
        <v>0</v>
      </c>
      <c r="F553" s="105">
        <f t="shared" ca="1" si="163"/>
        <v>0</v>
      </c>
      <c r="G553" s="105">
        <f t="shared" ca="1" si="173"/>
        <v>0</v>
      </c>
      <c r="H553" s="105">
        <f t="shared" ca="1" si="174"/>
        <v>0</v>
      </c>
      <c r="I553" s="105">
        <f t="shared" ca="1" si="164"/>
        <v>0</v>
      </c>
      <c r="J553" s="105">
        <f t="shared" ca="1" si="165"/>
        <v>0</v>
      </c>
      <c r="K553" s="105">
        <f t="shared" ca="1" si="166"/>
        <v>0</v>
      </c>
      <c r="L553" s="105">
        <f t="shared" ca="1" si="175"/>
        <v>0</v>
      </c>
      <c r="M553" s="105">
        <f t="shared" ca="1" si="167"/>
        <v>0</v>
      </c>
      <c r="N553" s="105">
        <f t="shared" ca="1" si="176"/>
        <v>0</v>
      </c>
      <c r="O553" s="105">
        <f t="shared" ca="1" si="168"/>
        <v>0</v>
      </c>
      <c r="P553" s="105">
        <f t="shared" ca="1" si="169"/>
        <v>0</v>
      </c>
      <c r="Q553" s="105">
        <f t="shared" ca="1" si="170"/>
        <v>0</v>
      </c>
      <c r="R553" s="105">
        <f t="shared" ca="1" si="171"/>
        <v>0</v>
      </c>
      <c r="S553" s="105">
        <f t="shared" ca="1" si="172"/>
        <v>10</v>
      </c>
    </row>
    <row r="554" spans="1:19" x14ac:dyDescent="0.35">
      <c r="A554" s="105">
        <f t="shared" ca="1" si="158"/>
        <v>745.22749999999712</v>
      </c>
      <c r="B554" s="105">
        <f t="shared" ca="1" si="159"/>
        <v>0</v>
      </c>
      <c r="C554" s="105">
        <f t="shared" ca="1" si="160"/>
        <v>2</v>
      </c>
      <c r="D554" s="105">
        <f t="shared" ca="1" si="161"/>
        <v>0</v>
      </c>
      <c r="E554" s="105">
        <f t="shared" ca="1" si="162"/>
        <v>0</v>
      </c>
      <c r="F554" s="105">
        <f t="shared" ca="1" si="163"/>
        <v>0</v>
      </c>
      <c r="G554" s="105">
        <f t="shared" ca="1" si="173"/>
        <v>0</v>
      </c>
      <c r="H554" s="105">
        <f t="shared" ca="1" si="174"/>
        <v>0</v>
      </c>
      <c r="I554" s="105">
        <f t="shared" ca="1" si="164"/>
        <v>0</v>
      </c>
      <c r="J554" s="105">
        <f t="shared" ca="1" si="165"/>
        <v>0</v>
      </c>
      <c r="K554" s="105">
        <f t="shared" ca="1" si="166"/>
        <v>0</v>
      </c>
      <c r="L554" s="105">
        <f t="shared" ca="1" si="175"/>
        <v>0</v>
      </c>
      <c r="M554" s="105">
        <f t="shared" ca="1" si="167"/>
        <v>0</v>
      </c>
      <c r="N554" s="105">
        <f t="shared" ca="1" si="176"/>
        <v>0</v>
      </c>
      <c r="O554" s="105">
        <f t="shared" ca="1" si="168"/>
        <v>0</v>
      </c>
      <c r="P554" s="105">
        <f t="shared" ca="1" si="169"/>
        <v>0</v>
      </c>
      <c r="Q554" s="105">
        <f t="shared" ca="1" si="170"/>
        <v>0</v>
      </c>
      <c r="R554" s="105">
        <f t="shared" ca="1" si="171"/>
        <v>0</v>
      </c>
      <c r="S554" s="105">
        <f t="shared" ca="1" si="172"/>
        <v>10</v>
      </c>
    </row>
    <row r="555" spans="1:19" x14ac:dyDescent="0.35">
      <c r="A555" s="105">
        <f t="shared" ca="1" si="158"/>
        <v>746.57999999999709</v>
      </c>
      <c r="B555" s="105">
        <f t="shared" ca="1" si="159"/>
        <v>0</v>
      </c>
      <c r="C555" s="105">
        <f t="shared" ca="1" si="160"/>
        <v>2</v>
      </c>
      <c r="D555" s="105">
        <f t="shared" ca="1" si="161"/>
        <v>0</v>
      </c>
      <c r="E555" s="105">
        <f t="shared" ca="1" si="162"/>
        <v>0</v>
      </c>
      <c r="F555" s="105">
        <f t="shared" ca="1" si="163"/>
        <v>0</v>
      </c>
      <c r="G555" s="105">
        <f t="shared" ca="1" si="173"/>
        <v>0</v>
      </c>
      <c r="H555" s="105">
        <f t="shared" ca="1" si="174"/>
        <v>0</v>
      </c>
      <c r="I555" s="105">
        <f t="shared" ca="1" si="164"/>
        <v>0</v>
      </c>
      <c r="J555" s="105">
        <f t="shared" ca="1" si="165"/>
        <v>0</v>
      </c>
      <c r="K555" s="105">
        <f t="shared" ca="1" si="166"/>
        <v>0</v>
      </c>
      <c r="L555" s="105">
        <f t="shared" ca="1" si="175"/>
        <v>0</v>
      </c>
      <c r="M555" s="105">
        <f t="shared" ca="1" si="167"/>
        <v>0</v>
      </c>
      <c r="N555" s="105">
        <f t="shared" ca="1" si="176"/>
        <v>0</v>
      </c>
      <c r="O555" s="105">
        <f t="shared" ca="1" si="168"/>
        <v>0</v>
      </c>
      <c r="P555" s="105">
        <f t="shared" ca="1" si="169"/>
        <v>0</v>
      </c>
      <c r="Q555" s="105">
        <f t="shared" ca="1" si="170"/>
        <v>0</v>
      </c>
      <c r="R555" s="105">
        <f t="shared" ca="1" si="171"/>
        <v>0</v>
      </c>
      <c r="S555" s="105">
        <f t="shared" ca="1" si="172"/>
        <v>10</v>
      </c>
    </row>
    <row r="556" spans="1:19" x14ac:dyDescent="0.35">
      <c r="A556" s="105">
        <f t="shared" ca="1" si="158"/>
        <v>747.93249999999705</v>
      </c>
      <c r="B556" s="105">
        <f t="shared" ca="1" si="159"/>
        <v>0</v>
      </c>
      <c r="C556" s="105">
        <f t="shared" ca="1" si="160"/>
        <v>2</v>
      </c>
      <c r="D556" s="105">
        <f t="shared" ca="1" si="161"/>
        <v>0</v>
      </c>
      <c r="E556" s="105">
        <f t="shared" ca="1" si="162"/>
        <v>0</v>
      </c>
      <c r="F556" s="105">
        <f t="shared" ca="1" si="163"/>
        <v>0</v>
      </c>
      <c r="G556" s="105">
        <f t="shared" ca="1" si="173"/>
        <v>0</v>
      </c>
      <c r="H556" s="105">
        <f t="shared" ca="1" si="174"/>
        <v>0</v>
      </c>
      <c r="I556" s="105">
        <f t="shared" ca="1" si="164"/>
        <v>0</v>
      </c>
      <c r="J556" s="105">
        <f t="shared" ca="1" si="165"/>
        <v>0</v>
      </c>
      <c r="K556" s="105">
        <f t="shared" ca="1" si="166"/>
        <v>0</v>
      </c>
      <c r="L556" s="105">
        <f t="shared" ca="1" si="175"/>
        <v>0</v>
      </c>
      <c r="M556" s="105">
        <f t="shared" ca="1" si="167"/>
        <v>0</v>
      </c>
      <c r="N556" s="105">
        <f t="shared" ca="1" si="176"/>
        <v>0</v>
      </c>
      <c r="O556" s="105">
        <f t="shared" ca="1" si="168"/>
        <v>0</v>
      </c>
      <c r="P556" s="105">
        <f t="shared" ca="1" si="169"/>
        <v>0</v>
      </c>
      <c r="Q556" s="105">
        <f t="shared" ca="1" si="170"/>
        <v>0</v>
      </c>
      <c r="R556" s="105">
        <f t="shared" ca="1" si="171"/>
        <v>0</v>
      </c>
      <c r="S556" s="105">
        <f t="shared" ca="1" si="172"/>
        <v>10</v>
      </c>
    </row>
    <row r="557" spans="1:19" x14ac:dyDescent="0.35">
      <c r="A557" s="105">
        <f t="shared" ca="1" si="158"/>
        <v>749.28499999999701</v>
      </c>
      <c r="B557" s="105">
        <f t="shared" ca="1" si="159"/>
        <v>0</v>
      </c>
      <c r="C557" s="105">
        <f t="shared" ca="1" si="160"/>
        <v>2</v>
      </c>
      <c r="D557" s="105">
        <f t="shared" ca="1" si="161"/>
        <v>0</v>
      </c>
      <c r="E557" s="105">
        <f t="shared" ca="1" si="162"/>
        <v>0</v>
      </c>
      <c r="F557" s="105">
        <f t="shared" ca="1" si="163"/>
        <v>0</v>
      </c>
      <c r="G557" s="105">
        <f t="shared" ca="1" si="173"/>
        <v>0</v>
      </c>
      <c r="H557" s="105">
        <f t="shared" ca="1" si="174"/>
        <v>0</v>
      </c>
      <c r="I557" s="105">
        <f t="shared" ca="1" si="164"/>
        <v>0</v>
      </c>
      <c r="J557" s="105">
        <f t="shared" ca="1" si="165"/>
        <v>0</v>
      </c>
      <c r="K557" s="105">
        <f t="shared" ca="1" si="166"/>
        <v>0</v>
      </c>
      <c r="L557" s="105">
        <f t="shared" ca="1" si="175"/>
        <v>0</v>
      </c>
      <c r="M557" s="105">
        <f t="shared" ca="1" si="167"/>
        <v>0</v>
      </c>
      <c r="N557" s="105">
        <f t="shared" ca="1" si="176"/>
        <v>0</v>
      </c>
      <c r="O557" s="105">
        <f t="shared" ca="1" si="168"/>
        <v>0</v>
      </c>
      <c r="P557" s="105">
        <f t="shared" ca="1" si="169"/>
        <v>0</v>
      </c>
      <c r="Q557" s="105">
        <f t="shared" ca="1" si="170"/>
        <v>0</v>
      </c>
      <c r="R557" s="105">
        <f t="shared" ca="1" si="171"/>
        <v>0</v>
      </c>
      <c r="S557" s="105">
        <f t="shared" ca="1" si="172"/>
        <v>10</v>
      </c>
    </row>
    <row r="558" spans="1:19" x14ac:dyDescent="0.35">
      <c r="A558" s="105">
        <f t="shared" ca="1" si="158"/>
        <v>750.63749999999698</v>
      </c>
      <c r="B558" s="105">
        <f t="shared" ca="1" si="159"/>
        <v>0</v>
      </c>
      <c r="C558" s="105">
        <f t="shared" ca="1" si="160"/>
        <v>2</v>
      </c>
      <c r="D558" s="105">
        <f t="shared" ca="1" si="161"/>
        <v>0</v>
      </c>
      <c r="E558" s="105">
        <f t="shared" ca="1" si="162"/>
        <v>0</v>
      </c>
      <c r="F558" s="105">
        <f t="shared" ca="1" si="163"/>
        <v>0</v>
      </c>
      <c r="G558" s="105">
        <f t="shared" ca="1" si="173"/>
        <v>0</v>
      </c>
      <c r="H558" s="105">
        <f t="shared" ca="1" si="174"/>
        <v>0</v>
      </c>
      <c r="I558" s="105">
        <f t="shared" ca="1" si="164"/>
        <v>0</v>
      </c>
      <c r="J558" s="105">
        <f t="shared" ca="1" si="165"/>
        <v>0</v>
      </c>
      <c r="K558" s="105">
        <f t="shared" ca="1" si="166"/>
        <v>0</v>
      </c>
      <c r="L558" s="105">
        <f t="shared" ca="1" si="175"/>
        <v>0</v>
      </c>
      <c r="M558" s="105">
        <f t="shared" ca="1" si="167"/>
        <v>0</v>
      </c>
      <c r="N558" s="105">
        <f t="shared" ca="1" si="176"/>
        <v>0</v>
      </c>
      <c r="O558" s="105">
        <f t="shared" ca="1" si="168"/>
        <v>0</v>
      </c>
      <c r="P558" s="105">
        <f t="shared" ca="1" si="169"/>
        <v>0</v>
      </c>
      <c r="Q558" s="105">
        <f t="shared" ca="1" si="170"/>
        <v>0</v>
      </c>
      <c r="R558" s="105">
        <f t="shared" ca="1" si="171"/>
        <v>0</v>
      </c>
      <c r="S558" s="105">
        <f t="shared" ca="1" si="172"/>
        <v>10</v>
      </c>
    </row>
    <row r="559" spans="1:19" x14ac:dyDescent="0.35">
      <c r="A559" s="105">
        <f t="shared" ca="1" si="158"/>
        <v>751.98999999999694</v>
      </c>
      <c r="B559" s="105">
        <f t="shared" ca="1" si="159"/>
        <v>0</v>
      </c>
      <c r="C559" s="105">
        <f t="shared" ca="1" si="160"/>
        <v>2</v>
      </c>
      <c r="D559" s="105">
        <f t="shared" ca="1" si="161"/>
        <v>0</v>
      </c>
      <c r="E559" s="105">
        <f t="shared" ca="1" si="162"/>
        <v>0</v>
      </c>
      <c r="F559" s="105">
        <f t="shared" ca="1" si="163"/>
        <v>0</v>
      </c>
      <c r="G559" s="105">
        <f t="shared" ca="1" si="173"/>
        <v>0</v>
      </c>
      <c r="H559" s="105">
        <f t="shared" ca="1" si="174"/>
        <v>0</v>
      </c>
      <c r="I559" s="105">
        <f t="shared" ca="1" si="164"/>
        <v>0</v>
      </c>
      <c r="J559" s="105">
        <f t="shared" ca="1" si="165"/>
        <v>0</v>
      </c>
      <c r="K559" s="105">
        <f t="shared" ca="1" si="166"/>
        <v>0</v>
      </c>
      <c r="L559" s="105">
        <f t="shared" ca="1" si="175"/>
        <v>0</v>
      </c>
      <c r="M559" s="105">
        <f t="shared" ca="1" si="167"/>
        <v>0</v>
      </c>
      <c r="N559" s="105">
        <f t="shared" ca="1" si="176"/>
        <v>0</v>
      </c>
      <c r="O559" s="105">
        <f t="shared" ca="1" si="168"/>
        <v>0</v>
      </c>
      <c r="P559" s="105">
        <f t="shared" ca="1" si="169"/>
        <v>0</v>
      </c>
      <c r="Q559" s="105">
        <f t="shared" ca="1" si="170"/>
        <v>0</v>
      </c>
      <c r="R559" s="105">
        <f t="shared" ca="1" si="171"/>
        <v>0</v>
      </c>
      <c r="S559" s="105">
        <f t="shared" ca="1" si="172"/>
        <v>10</v>
      </c>
    </row>
    <row r="560" spans="1:19" x14ac:dyDescent="0.35">
      <c r="A560" s="105">
        <f t="shared" ca="1" si="158"/>
        <v>753.3424999999969</v>
      </c>
      <c r="B560" s="105">
        <f t="shared" ca="1" si="159"/>
        <v>0</v>
      </c>
      <c r="C560" s="105">
        <f t="shared" ca="1" si="160"/>
        <v>2</v>
      </c>
      <c r="D560" s="105">
        <f t="shared" ca="1" si="161"/>
        <v>0</v>
      </c>
      <c r="E560" s="105">
        <f t="shared" ca="1" si="162"/>
        <v>0</v>
      </c>
      <c r="F560" s="105">
        <f t="shared" ca="1" si="163"/>
        <v>0</v>
      </c>
      <c r="G560" s="105">
        <f t="shared" ca="1" si="173"/>
        <v>0</v>
      </c>
      <c r="H560" s="105">
        <f t="shared" ca="1" si="174"/>
        <v>0</v>
      </c>
      <c r="I560" s="105">
        <f t="shared" ca="1" si="164"/>
        <v>0</v>
      </c>
      <c r="J560" s="105">
        <f t="shared" ca="1" si="165"/>
        <v>0</v>
      </c>
      <c r="K560" s="105">
        <f t="shared" ca="1" si="166"/>
        <v>0</v>
      </c>
      <c r="L560" s="105">
        <f t="shared" ca="1" si="175"/>
        <v>0</v>
      </c>
      <c r="M560" s="105">
        <f t="shared" ca="1" si="167"/>
        <v>0</v>
      </c>
      <c r="N560" s="105">
        <f t="shared" ca="1" si="176"/>
        <v>0</v>
      </c>
      <c r="O560" s="105">
        <f t="shared" ca="1" si="168"/>
        <v>0</v>
      </c>
      <c r="P560" s="105">
        <f t="shared" ca="1" si="169"/>
        <v>0</v>
      </c>
      <c r="Q560" s="105">
        <f t="shared" ca="1" si="170"/>
        <v>0</v>
      </c>
      <c r="R560" s="105">
        <f t="shared" ca="1" si="171"/>
        <v>0</v>
      </c>
      <c r="S560" s="105">
        <f t="shared" ca="1" si="172"/>
        <v>10</v>
      </c>
    </row>
    <row r="561" spans="1:19" x14ac:dyDescent="0.35">
      <c r="A561" s="105">
        <f t="shared" ca="1" si="158"/>
        <v>754.69499999999687</v>
      </c>
      <c r="B561" s="105">
        <f t="shared" ca="1" si="159"/>
        <v>0</v>
      </c>
      <c r="C561" s="105">
        <f t="shared" ca="1" si="160"/>
        <v>2</v>
      </c>
      <c r="D561" s="105">
        <f t="shared" ca="1" si="161"/>
        <v>0</v>
      </c>
      <c r="E561" s="105">
        <f t="shared" ca="1" si="162"/>
        <v>0</v>
      </c>
      <c r="F561" s="105">
        <f t="shared" ca="1" si="163"/>
        <v>0</v>
      </c>
      <c r="G561" s="105">
        <f t="shared" ca="1" si="173"/>
        <v>0</v>
      </c>
      <c r="H561" s="105">
        <f t="shared" ca="1" si="174"/>
        <v>0</v>
      </c>
      <c r="I561" s="105">
        <f t="shared" ca="1" si="164"/>
        <v>0</v>
      </c>
      <c r="J561" s="105">
        <f t="shared" ca="1" si="165"/>
        <v>0</v>
      </c>
      <c r="K561" s="105">
        <f t="shared" ca="1" si="166"/>
        <v>0</v>
      </c>
      <c r="L561" s="105">
        <f t="shared" ca="1" si="175"/>
        <v>0</v>
      </c>
      <c r="M561" s="105">
        <f t="shared" ca="1" si="167"/>
        <v>0</v>
      </c>
      <c r="N561" s="105">
        <f t="shared" ca="1" si="176"/>
        <v>0</v>
      </c>
      <c r="O561" s="105">
        <f t="shared" ca="1" si="168"/>
        <v>0</v>
      </c>
      <c r="P561" s="105">
        <f t="shared" ca="1" si="169"/>
        <v>0</v>
      </c>
      <c r="Q561" s="105">
        <f t="shared" ca="1" si="170"/>
        <v>0</v>
      </c>
      <c r="R561" s="105">
        <f t="shared" ca="1" si="171"/>
        <v>0</v>
      </c>
      <c r="S561" s="105">
        <f t="shared" ca="1" si="172"/>
        <v>10</v>
      </c>
    </row>
    <row r="562" spans="1:19" x14ac:dyDescent="0.35">
      <c r="A562" s="105">
        <f t="shared" ca="1" si="158"/>
        <v>756.04749999999683</v>
      </c>
      <c r="B562" s="105">
        <f t="shared" ca="1" si="159"/>
        <v>0</v>
      </c>
      <c r="C562" s="105">
        <f t="shared" ca="1" si="160"/>
        <v>2</v>
      </c>
      <c r="D562" s="105">
        <f t="shared" ca="1" si="161"/>
        <v>0</v>
      </c>
      <c r="E562" s="105">
        <f t="shared" ca="1" si="162"/>
        <v>0</v>
      </c>
      <c r="F562" s="105">
        <f t="shared" ca="1" si="163"/>
        <v>0</v>
      </c>
      <c r="G562" s="105">
        <f t="shared" ca="1" si="173"/>
        <v>0</v>
      </c>
      <c r="H562" s="105">
        <f t="shared" ca="1" si="174"/>
        <v>0</v>
      </c>
      <c r="I562" s="105">
        <f t="shared" ca="1" si="164"/>
        <v>0</v>
      </c>
      <c r="J562" s="105">
        <f t="shared" ca="1" si="165"/>
        <v>0</v>
      </c>
      <c r="K562" s="105">
        <f t="shared" ca="1" si="166"/>
        <v>0</v>
      </c>
      <c r="L562" s="105">
        <f t="shared" ca="1" si="175"/>
        <v>0</v>
      </c>
      <c r="M562" s="105">
        <f t="shared" ca="1" si="167"/>
        <v>0</v>
      </c>
      <c r="N562" s="105">
        <f t="shared" ca="1" si="176"/>
        <v>0</v>
      </c>
      <c r="O562" s="105">
        <f t="shared" ca="1" si="168"/>
        <v>0</v>
      </c>
      <c r="P562" s="105">
        <f t="shared" ca="1" si="169"/>
        <v>0</v>
      </c>
      <c r="Q562" s="105">
        <f t="shared" ca="1" si="170"/>
        <v>0</v>
      </c>
      <c r="R562" s="105">
        <f t="shared" ca="1" si="171"/>
        <v>0</v>
      </c>
      <c r="S562" s="105">
        <f t="shared" ca="1" si="172"/>
        <v>10</v>
      </c>
    </row>
    <row r="563" spans="1:19" x14ac:dyDescent="0.35">
      <c r="A563" s="105">
        <f t="shared" ca="1" si="158"/>
        <v>757.39999999999679</v>
      </c>
      <c r="B563" s="105">
        <f t="shared" ca="1" si="159"/>
        <v>0</v>
      </c>
      <c r="C563" s="105">
        <f t="shared" ca="1" si="160"/>
        <v>2</v>
      </c>
      <c r="D563" s="105">
        <f t="shared" ca="1" si="161"/>
        <v>0</v>
      </c>
      <c r="E563" s="105">
        <f t="shared" ca="1" si="162"/>
        <v>0</v>
      </c>
      <c r="F563" s="105">
        <f t="shared" ca="1" si="163"/>
        <v>0</v>
      </c>
      <c r="G563" s="105">
        <f t="shared" ca="1" si="173"/>
        <v>0</v>
      </c>
      <c r="H563" s="105">
        <f t="shared" ca="1" si="174"/>
        <v>0</v>
      </c>
      <c r="I563" s="105">
        <f t="shared" ca="1" si="164"/>
        <v>0</v>
      </c>
      <c r="J563" s="105">
        <f t="shared" ca="1" si="165"/>
        <v>0</v>
      </c>
      <c r="K563" s="105">
        <f t="shared" ca="1" si="166"/>
        <v>0</v>
      </c>
      <c r="L563" s="105">
        <f t="shared" ca="1" si="175"/>
        <v>0</v>
      </c>
      <c r="M563" s="105">
        <f t="shared" ca="1" si="167"/>
        <v>0</v>
      </c>
      <c r="N563" s="105">
        <f t="shared" ca="1" si="176"/>
        <v>0</v>
      </c>
      <c r="O563" s="105">
        <f t="shared" ca="1" si="168"/>
        <v>0</v>
      </c>
      <c r="P563" s="105">
        <f t="shared" ca="1" si="169"/>
        <v>0</v>
      </c>
      <c r="Q563" s="105">
        <f t="shared" ca="1" si="170"/>
        <v>0</v>
      </c>
      <c r="R563" s="105">
        <f t="shared" ca="1" si="171"/>
        <v>0</v>
      </c>
      <c r="S563" s="105">
        <f t="shared" ca="1" si="172"/>
        <v>10</v>
      </c>
    </row>
    <row r="564" spans="1:19" x14ac:dyDescent="0.35">
      <c r="A564" s="105">
        <f t="shared" ca="1" si="158"/>
        <v>758.75249999999676</v>
      </c>
      <c r="B564" s="105">
        <f t="shared" ca="1" si="159"/>
        <v>0</v>
      </c>
      <c r="C564" s="105">
        <f t="shared" ca="1" si="160"/>
        <v>2</v>
      </c>
      <c r="D564" s="105">
        <f t="shared" ca="1" si="161"/>
        <v>0</v>
      </c>
      <c r="E564" s="105">
        <f t="shared" ca="1" si="162"/>
        <v>0</v>
      </c>
      <c r="F564" s="105">
        <f t="shared" ca="1" si="163"/>
        <v>0</v>
      </c>
      <c r="G564" s="105">
        <f t="shared" ca="1" si="173"/>
        <v>0</v>
      </c>
      <c r="H564" s="105">
        <f t="shared" ca="1" si="174"/>
        <v>0</v>
      </c>
      <c r="I564" s="105">
        <f t="shared" ca="1" si="164"/>
        <v>0</v>
      </c>
      <c r="J564" s="105">
        <f t="shared" ca="1" si="165"/>
        <v>0</v>
      </c>
      <c r="K564" s="105">
        <f t="shared" ca="1" si="166"/>
        <v>0</v>
      </c>
      <c r="L564" s="105">
        <f t="shared" ca="1" si="175"/>
        <v>0</v>
      </c>
      <c r="M564" s="105">
        <f t="shared" ca="1" si="167"/>
        <v>0</v>
      </c>
      <c r="N564" s="105">
        <f t="shared" ca="1" si="176"/>
        <v>0</v>
      </c>
      <c r="O564" s="105">
        <f t="shared" ca="1" si="168"/>
        <v>0</v>
      </c>
      <c r="P564" s="105">
        <f t="shared" ca="1" si="169"/>
        <v>0</v>
      </c>
      <c r="Q564" s="105">
        <f t="shared" ca="1" si="170"/>
        <v>0</v>
      </c>
      <c r="R564" s="105">
        <f t="shared" ca="1" si="171"/>
        <v>0</v>
      </c>
      <c r="S564" s="105">
        <f t="shared" ca="1" si="172"/>
        <v>10</v>
      </c>
    </row>
    <row r="565" spans="1:19" x14ac:dyDescent="0.35">
      <c r="A565" s="105">
        <f t="shared" ca="1" si="158"/>
        <v>760.10499999999672</v>
      </c>
      <c r="B565" s="105">
        <f t="shared" ca="1" si="159"/>
        <v>0</v>
      </c>
      <c r="C565" s="105">
        <f t="shared" ca="1" si="160"/>
        <v>2</v>
      </c>
      <c r="D565" s="105">
        <f t="shared" ca="1" si="161"/>
        <v>0</v>
      </c>
      <c r="E565" s="105">
        <f t="shared" ca="1" si="162"/>
        <v>0</v>
      </c>
      <c r="F565" s="105">
        <f t="shared" ca="1" si="163"/>
        <v>0</v>
      </c>
      <c r="G565" s="105">
        <f t="shared" ca="1" si="173"/>
        <v>0</v>
      </c>
      <c r="H565" s="105">
        <f t="shared" ca="1" si="174"/>
        <v>0</v>
      </c>
      <c r="I565" s="105">
        <f t="shared" ca="1" si="164"/>
        <v>0</v>
      </c>
      <c r="J565" s="105">
        <f t="shared" ca="1" si="165"/>
        <v>0</v>
      </c>
      <c r="K565" s="105">
        <f t="shared" ca="1" si="166"/>
        <v>0</v>
      </c>
      <c r="L565" s="105">
        <f t="shared" ca="1" si="175"/>
        <v>0</v>
      </c>
      <c r="M565" s="105">
        <f t="shared" ca="1" si="167"/>
        <v>0</v>
      </c>
      <c r="N565" s="105">
        <f t="shared" ca="1" si="176"/>
        <v>0</v>
      </c>
      <c r="O565" s="105">
        <f t="shared" ca="1" si="168"/>
        <v>0</v>
      </c>
      <c r="P565" s="105">
        <f t="shared" ca="1" si="169"/>
        <v>0</v>
      </c>
      <c r="Q565" s="105">
        <f t="shared" ca="1" si="170"/>
        <v>0</v>
      </c>
      <c r="R565" s="105">
        <f t="shared" ca="1" si="171"/>
        <v>0</v>
      </c>
      <c r="S565" s="105">
        <f t="shared" ca="1" si="172"/>
        <v>10</v>
      </c>
    </row>
    <row r="566" spans="1:19" x14ac:dyDescent="0.35">
      <c r="A566" s="105">
        <f t="shared" ca="1" si="158"/>
        <v>761.45749999999668</v>
      </c>
      <c r="B566" s="105">
        <f t="shared" ca="1" si="159"/>
        <v>0</v>
      </c>
      <c r="C566" s="105">
        <f t="shared" ca="1" si="160"/>
        <v>2</v>
      </c>
      <c r="D566" s="105">
        <f t="shared" ca="1" si="161"/>
        <v>0</v>
      </c>
      <c r="E566" s="105">
        <f t="shared" ca="1" si="162"/>
        <v>0</v>
      </c>
      <c r="F566" s="105">
        <f t="shared" ca="1" si="163"/>
        <v>0</v>
      </c>
      <c r="G566" s="105">
        <f t="shared" ca="1" si="173"/>
        <v>0</v>
      </c>
      <c r="H566" s="105">
        <f t="shared" ca="1" si="174"/>
        <v>0</v>
      </c>
      <c r="I566" s="105">
        <f t="shared" ca="1" si="164"/>
        <v>0</v>
      </c>
      <c r="J566" s="105">
        <f t="shared" ca="1" si="165"/>
        <v>0</v>
      </c>
      <c r="K566" s="105">
        <f t="shared" ca="1" si="166"/>
        <v>0</v>
      </c>
      <c r="L566" s="105">
        <f t="shared" ca="1" si="175"/>
        <v>0</v>
      </c>
      <c r="M566" s="105">
        <f t="shared" ca="1" si="167"/>
        <v>0</v>
      </c>
      <c r="N566" s="105">
        <f t="shared" ca="1" si="176"/>
        <v>0</v>
      </c>
      <c r="O566" s="105">
        <f t="shared" ca="1" si="168"/>
        <v>0</v>
      </c>
      <c r="P566" s="105">
        <f t="shared" ca="1" si="169"/>
        <v>0</v>
      </c>
      <c r="Q566" s="105">
        <f t="shared" ca="1" si="170"/>
        <v>0</v>
      </c>
      <c r="R566" s="105">
        <f t="shared" ca="1" si="171"/>
        <v>0</v>
      </c>
      <c r="S566" s="105">
        <f t="shared" ca="1" si="172"/>
        <v>10</v>
      </c>
    </row>
    <row r="567" spans="1:19" x14ac:dyDescent="0.35">
      <c r="A567" s="105">
        <f t="shared" ca="1" si="158"/>
        <v>762.80999999999665</v>
      </c>
      <c r="B567" s="105">
        <f t="shared" ca="1" si="159"/>
        <v>0</v>
      </c>
      <c r="C567" s="105">
        <f t="shared" ca="1" si="160"/>
        <v>2</v>
      </c>
      <c r="D567" s="105">
        <f t="shared" ca="1" si="161"/>
        <v>0</v>
      </c>
      <c r="E567" s="105">
        <f t="shared" ca="1" si="162"/>
        <v>0</v>
      </c>
      <c r="F567" s="105">
        <f t="shared" ca="1" si="163"/>
        <v>0</v>
      </c>
      <c r="G567" s="105">
        <f t="shared" ca="1" si="173"/>
        <v>0</v>
      </c>
      <c r="H567" s="105">
        <f t="shared" ca="1" si="174"/>
        <v>0</v>
      </c>
      <c r="I567" s="105">
        <f t="shared" ca="1" si="164"/>
        <v>0</v>
      </c>
      <c r="J567" s="105">
        <f t="shared" ca="1" si="165"/>
        <v>0</v>
      </c>
      <c r="K567" s="105">
        <f t="shared" ca="1" si="166"/>
        <v>0</v>
      </c>
      <c r="L567" s="105">
        <f t="shared" ca="1" si="175"/>
        <v>0</v>
      </c>
      <c r="M567" s="105">
        <f t="shared" ca="1" si="167"/>
        <v>0</v>
      </c>
      <c r="N567" s="105">
        <f t="shared" ca="1" si="176"/>
        <v>0</v>
      </c>
      <c r="O567" s="105">
        <f t="shared" ca="1" si="168"/>
        <v>0</v>
      </c>
      <c r="P567" s="105">
        <f t="shared" ca="1" si="169"/>
        <v>0</v>
      </c>
      <c r="Q567" s="105">
        <f t="shared" ca="1" si="170"/>
        <v>0</v>
      </c>
      <c r="R567" s="105">
        <f t="shared" ca="1" si="171"/>
        <v>0</v>
      </c>
      <c r="S567" s="105">
        <f t="shared" ca="1" si="172"/>
        <v>10</v>
      </c>
    </row>
    <row r="568" spans="1:19" x14ac:dyDescent="0.35">
      <c r="A568" s="105">
        <f t="shared" ca="1" si="158"/>
        <v>764.16249999999661</v>
      </c>
      <c r="B568" s="105">
        <f t="shared" ca="1" si="159"/>
        <v>0</v>
      </c>
      <c r="C568" s="105">
        <f t="shared" ca="1" si="160"/>
        <v>2</v>
      </c>
      <c r="D568" s="105">
        <f t="shared" ca="1" si="161"/>
        <v>0</v>
      </c>
      <c r="E568" s="105">
        <f t="shared" ca="1" si="162"/>
        <v>0</v>
      </c>
      <c r="F568" s="105">
        <f t="shared" ca="1" si="163"/>
        <v>0</v>
      </c>
      <c r="G568" s="105">
        <f t="shared" ca="1" si="173"/>
        <v>0</v>
      </c>
      <c r="H568" s="105">
        <f t="shared" ca="1" si="174"/>
        <v>0</v>
      </c>
      <c r="I568" s="105">
        <f t="shared" ca="1" si="164"/>
        <v>0</v>
      </c>
      <c r="J568" s="105">
        <f t="shared" ca="1" si="165"/>
        <v>0</v>
      </c>
      <c r="K568" s="105">
        <f t="shared" ca="1" si="166"/>
        <v>0</v>
      </c>
      <c r="L568" s="105">
        <f t="shared" ca="1" si="175"/>
        <v>0</v>
      </c>
      <c r="M568" s="105">
        <f t="shared" ca="1" si="167"/>
        <v>0</v>
      </c>
      <c r="N568" s="105">
        <f t="shared" ca="1" si="176"/>
        <v>0</v>
      </c>
      <c r="O568" s="105">
        <f t="shared" ca="1" si="168"/>
        <v>0</v>
      </c>
      <c r="P568" s="105">
        <f t="shared" ca="1" si="169"/>
        <v>0</v>
      </c>
      <c r="Q568" s="105">
        <f t="shared" ca="1" si="170"/>
        <v>0</v>
      </c>
      <c r="R568" s="105">
        <f t="shared" ca="1" si="171"/>
        <v>0</v>
      </c>
      <c r="S568" s="105">
        <f t="shared" ca="1" si="172"/>
        <v>10</v>
      </c>
    </row>
    <row r="569" spans="1:19" x14ac:dyDescent="0.35">
      <c r="A569" s="105">
        <f t="shared" ca="1" si="158"/>
        <v>765.51499999999658</v>
      </c>
      <c r="B569" s="105">
        <f t="shared" ca="1" si="159"/>
        <v>0</v>
      </c>
      <c r="C569" s="105">
        <f t="shared" ca="1" si="160"/>
        <v>2</v>
      </c>
      <c r="D569" s="105">
        <f t="shared" ca="1" si="161"/>
        <v>0</v>
      </c>
      <c r="E569" s="105">
        <f t="shared" ca="1" si="162"/>
        <v>0</v>
      </c>
      <c r="F569" s="105">
        <f t="shared" ca="1" si="163"/>
        <v>0</v>
      </c>
      <c r="G569" s="105">
        <f t="shared" ca="1" si="173"/>
        <v>0</v>
      </c>
      <c r="H569" s="105">
        <f t="shared" ca="1" si="174"/>
        <v>0</v>
      </c>
      <c r="I569" s="105">
        <f t="shared" ca="1" si="164"/>
        <v>0</v>
      </c>
      <c r="J569" s="105">
        <f t="shared" ca="1" si="165"/>
        <v>0</v>
      </c>
      <c r="K569" s="105">
        <f t="shared" ca="1" si="166"/>
        <v>0</v>
      </c>
      <c r="L569" s="105">
        <f t="shared" ca="1" si="175"/>
        <v>0</v>
      </c>
      <c r="M569" s="105">
        <f t="shared" ca="1" si="167"/>
        <v>0</v>
      </c>
      <c r="N569" s="105">
        <f t="shared" ca="1" si="176"/>
        <v>0</v>
      </c>
      <c r="O569" s="105">
        <f t="shared" ca="1" si="168"/>
        <v>0</v>
      </c>
      <c r="P569" s="105">
        <f t="shared" ca="1" si="169"/>
        <v>0</v>
      </c>
      <c r="Q569" s="105">
        <f t="shared" ca="1" si="170"/>
        <v>0</v>
      </c>
      <c r="R569" s="105">
        <f t="shared" ca="1" si="171"/>
        <v>0</v>
      </c>
      <c r="S569" s="105">
        <f t="shared" ca="1" si="172"/>
        <v>10</v>
      </c>
    </row>
    <row r="570" spans="1:19" x14ac:dyDescent="0.35">
      <c r="A570" s="105">
        <f t="shared" ca="1" si="158"/>
        <v>766.86749999999654</v>
      </c>
      <c r="B570" s="105">
        <f t="shared" ca="1" si="159"/>
        <v>0</v>
      </c>
      <c r="C570" s="105">
        <f t="shared" ca="1" si="160"/>
        <v>2</v>
      </c>
      <c r="D570" s="105">
        <f t="shared" ca="1" si="161"/>
        <v>0</v>
      </c>
      <c r="E570" s="105">
        <f t="shared" ca="1" si="162"/>
        <v>0</v>
      </c>
      <c r="F570" s="105">
        <f t="shared" ca="1" si="163"/>
        <v>0</v>
      </c>
      <c r="G570" s="105">
        <f t="shared" ca="1" si="173"/>
        <v>0</v>
      </c>
      <c r="H570" s="105">
        <f t="shared" ca="1" si="174"/>
        <v>0</v>
      </c>
      <c r="I570" s="105">
        <f t="shared" ca="1" si="164"/>
        <v>0</v>
      </c>
      <c r="J570" s="105">
        <f t="shared" ca="1" si="165"/>
        <v>0</v>
      </c>
      <c r="K570" s="105">
        <f t="shared" ca="1" si="166"/>
        <v>0</v>
      </c>
      <c r="L570" s="105">
        <f t="shared" ca="1" si="175"/>
        <v>0</v>
      </c>
      <c r="M570" s="105">
        <f t="shared" ca="1" si="167"/>
        <v>0</v>
      </c>
      <c r="N570" s="105">
        <f t="shared" ca="1" si="176"/>
        <v>0</v>
      </c>
      <c r="O570" s="105">
        <f t="shared" ca="1" si="168"/>
        <v>0</v>
      </c>
      <c r="P570" s="105">
        <f t="shared" ca="1" si="169"/>
        <v>0</v>
      </c>
      <c r="Q570" s="105">
        <f t="shared" ca="1" si="170"/>
        <v>0</v>
      </c>
      <c r="R570" s="105">
        <f t="shared" ca="1" si="171"/>
        <v>0</v>
      </c>
      <c r="S570" s="105">
        <f t="shared" ca="1" si="172"/>
        <v>10</v>
      </c>
    </row>
    <row r="571" spans="1:19" x14ac:dyDescent="0.35">
      <c r="A571" s="105">
        <f t="shared" ca="1" si="158"/>
        <v>768.2199999999965</v>
      </c>
      <c r="B571" s="105">
        <f t="shared" ca="1" si="159"/>
        <v>0</v>
      </c>
      <c r="C571" s="105">
        <f t="shared" ca="1" si="160"/>
        <v>2</v>
      </c>
      <c r="D571" s="105">
        <f t="shared" ca="1" si="161"/>
        <v>0</v>
      </c>
      <c r="E571" s="105">
        <f t="shared" ca="1" si="162"/>
        <v>0</v>
      </c>
      <c r="F571" s="105">
        <f t="shared" ca="1" si="163"/>
        <v>0</v>
      </c>
      <c r="G571" s="105">
        <f t="shared" ca="1" si="173"/>
        <v>0</v>
      </c>
      <c r="H571" s="105">
        <f t="shared" ca="1" si="174"/>
        <v>0</v>
      </c>
      <c r="I571" s="105">
        <f t="shared" ca="1" si="164"/>
        <v>0</v>
      </c>
      <c r="J571" s="105">
        <f t="shared" ca="1" si="165"/>
        <v>0</v>
      </c>
      <c r="K571" s="105">
        <f t="shared" ca="1" si="166"/>
        <v>0</v>
      </c>
      <c r="L571" s="105">
        <f t="shared" ca="1" si="175"/>
        <v>0</v>
      </c>
      <c r="M571" s="105">
        <f t="shared" ca="1" si="167"/>
        <v>0</v>
      </c>
      <c r="N571" s="105">
        <f t="shared" ca="1" si="176"/>
        <v>0</v>
      </c>
      <c r="O571" s="105">
        <f t="shared" ca="1" si="168"/>
        <v>0</v>
      </c>
      <c r="P571" s="105">
        <f t="shared" ca="1" si="169"/>
        <v>0</v>
      </c>
      <c r="Q571" s="105">
        <f t="shared" ca="1" si="170"/>
        <v>0</v>
      </c>
      <c r="R571" s="105">
        <f t="shared" ca="1" si="171"/>
        <v>0</v>
      </c>
      <c r="S571" s="105">
        <f t="shared" ca="1" si="172"/>
        <v>10</v>
      </c>
    </row>
    <row r="572" spans="1:19" x14ac:dyDescent="0.35">
      <c r="A572" s="105">
        <f t="shared" ca="1" si="158"/>
        <v>769.57249999999647</v>
      </c>
      <c r="B572" s="105">
        <f t="shared" ca="1" si="159"/>
        <v>0</v>
      </c>
      <c r="C572" s="105">
        <f t="shared" ca="1" si="160"/>
        <v>2</v>
      </c>
      <c r="D572" s="105">
        <f t="shared" ca="1" si="161"/>
        <v>0</v>
      </c>
      <c r="E572" s="105">
        <f t="shared" ca="1" si="162"/>
        <v>0</v>
      </c>
      <c r="F572" s="105">
        <f t="shared" ca="1" si="163"/>
        <v>0</v>
      </c>
      <c r="G572" s="105">
        <f t="shared" ca="1" si="173"/>
        <v>0</v>
      </c>
      <c r="H572" s="105">
        <f t="shared" ca="1" si="174"/>
        <v>0</v>
      </c>
      <c r="I572" s="105">
        <f t="shared" ca="1" si="164"/>
        <v>0</v>
      </c>
      <c r="J572" s="105">
        <f t="shared" ca="1" si="165"/>
        <v>0</v>
      </c>
      <c r="K572" s="105">
        <f t="shared" ca="1" si="166"/>
        <v>0</v>
      </c>
      <c r="L572" s="105">
        <f t="shared" ca="1" si="175"/>
        <v>0</v>
      </c>
      <c r="M572" s="105">
        <f t="shared" ca="1" si="167"/>
        <v>0</v>
      </c>
      <c r="N572" s="105">
        <f t="shared" ca="1" si="176"/>
        <v>0</v>
      </c>
      <c r="O572" s="105">
        <f t="shared" ca="1" si="168"/>
        <v>0</v>
      </c>
      <c r="P572" s="105">
        <f t="shared" ca="1" si="169"/>
        <v>0</v>
      </c>
      <c r="Q572" s="105">
        <f t="shared" ca="1" si="170"/>
        <v>0</v>
      </c>
      <c r="R572" s="105">
        <f t="shared" ca="1" si="171"/>
        <v>0</v>
      </c>
      <c r="S572" s="105">
        <f t="shared" ca="1" si="172"/>
        <v>10</v>
      </c>
    </row>
    <row r="573" spans="1:19" x14ac:dyDescent="0.35">
      <c r="A573" s="105">
        <f t="shared" ca="1" si="158"/>
        <v>770.92499999999643</v>
      </c>
      <c r="B573" s="105">
        <f t="shared" ca="1" si="159"/>
        <v>0</v>
      </c>
      <c r="C573" s="105">
        <f t="shared" ca="1" si="160"/>
        <v>2</v>
      </c>
      <c r="D573" s="105">
        <f t="shared" ca="1" si="161"/>
        <v>0</v>
      </c>
      <c r="E573" s="105">
        <f t="shared" ca="1" si="162"/>
        <v>0</v>
      </c>
      <c r="F573" s="105">
        <f t="shared" ca="1" si="163"/>
        <v>0</v>
      </c>
      <c r="G573" s="105">
        <f t="shared" ca="1" si="173"/>
        <v>0</v>
      </c>
      <c r="H573" s="105">
        <f t="shared" ca="1" si="174"/>
        <v>0</v>
      </c>
      <c r="I573" s="105">
        <f t="shared" ca="1" si="164"/>
        <v>0</v>
      </c>
      <c r="J573" s="105">
        <f t="shared" ca="1" si="165"/>
        <v>0</v>
      </c>
      <c r="K573" s="105">
        <f t="shared" ca="1" si="166"/>
        <v>0</v>
      </c>
      <c r="L573" s="105">
        <f t="shared" ca="1" si="175"/>
        <v>0</v>
      </c>
      <c r="M573" s="105">
        <f t="shared" ca="1" si="167"/>
        <v>0</v>
      </c>
      <c r="N573" s="105">
        <f t="shared" ca="1" si="176"/>
        <v>0</v>
      </c>
      <c r="O573" s="105">
        <f t="shared" ca="1" si="168"/>
        <v>0</v>
      </c>
      <c r="P573" s="105">
        <f t="shared" ca="1" si="169"/>
        <v>0</v>
      </c>
      <c r="Q573" s="105">
        <f t="shared" ca="1" si="170"/>
        <v>0</v>
      </c>
      <c r="R573" s="105">
        <f t="shared" ca="1" si="171"/>
        <v>0</v>
      </c>
      <c r="S573" s="105">
        <f t="shared" ca="1" si="172"/>
        <v>10</v>
      </c>
    </row>
    <row r="574" spans="1:19" x14ac:dyDescent="0.35">
      <c r="A574" s="105">
        <f t="shared" ca="1" si="158"/>
        <v>772.27749999999639</v>
      </c>
      <c r="B574" s="105">
        <f t="shared" ca="1" si="159"/>
        <v>0</v>
      </c>
      <c r="C574" s="105">
        <f t="shared" ca="1" si="160"/>
        <v>2</v>
      </c>
      <c r="D574" s="105">
        <f t="shared" ca="1" si="161"/>
        <v>0</v>
      </c>
      <c r="E574" s="105">
        <f t="shared" ca="1" si="162"/>
        <v>0</v>
      </c>
      <c r="F574" s="105">
        <f t="shared" ca="1" si="163"/>
        <v>0</v>
      </c>
      <c r="G574" s="105">
        <f t="shared" ca="1" si="173"/>
        <v>0</v>
      </c>
      <c r="H574" s="105">
        <f t="shared" ca="1" si="174"/>
        <v>0</v>
      </c>
      <c r="I574" s="105">
        <f t="shared" ca="1" si="164"/>
        <v>0</v>
      </c>
      <c r="J574" s="105">
        <f t="shared" ca="1" si="165"/>
        <v>0</v>
      </c>
      <c r="K574" s="105">
        <f t="shared" ca="1" si="166"/>
        <v>0</v>
      </c>
      <c r="L574" s="105">
        <f t="shared" ca="1" si="175"/>
        <v>0</v>
      </c>
      <c r="M574" s="105">
        <f t="shared" ca="1" si="167"/>
        <v>0</v>
      </c>
      <c r="N574" s="105">
        <f t="shared" ca="1" si="176"/>
        <v>0</v>
      </c>
      <c r="O574" s="105">
        <f t="shared" ca="1" si="168"/>
        <v>0</v>
      </c>
      <c r="P574" s="105">
        <f t="shared" ca="1" si="169"/>
        <v>0</v>
      </c>
      <c r="Q574" s="105">
        <f t="shared" ca="1" si="170"/>
        <v>0</v>
      </c>
      <c r="R574" s="105">
        <f t="shared" ca="1" si="171"/>
        <v>0</v>
      </c>
      <c r="S574" s="105">
        <f t="shared" ca="1" si="172"/>
        <v>10</v>
      </c>
    </row>
    <row r="575" spans="1:19" x14ac:dyDescent="0.35">
      <c r="A575" s="105">
        <f t="shared" ca="1" si="158"/>
        <v>773.62999999999636</v>
      </c>
      <c r="B575" s="105">
        <f t="shared" ca="1" si="159"/>
        <v>0</v>
      </c>
      <c r="C575" s="105">
        <f t="shared" ca="1" si="160"/>
        <v>2</v>
      </c>
      <c r="D575" s="105">
        <f t="shared" ca="1" si="161"/>
        <v>0</v>
      </c>
      <c r="E575" s="105">
        <f t="shared" ca="1" si="162"/>
        <v>0</v>
      </c>
      <c r="F575" s="105">
        <f t="shared" ca="1" si="163"/>
        <v>0</v>
      </c>
      <c r="G575" s="105">
        <f t="shared" ca="1" si="173"/>
        <v>0</v>
      </c>
      <c r="H575" s="105">
        <f t="shared" ca="1" si="174"/>
        <v>0</v>
      </c>
      <c r="I575" s="105">
        <f t="shared" ca="1" si="164"/>
        <v>0</v>
      </c>
      <c r="J575" s="105">
        <f t="shared" ca="1" si="165"/>
        <v>0</v>
      </c>
      <c r="K575" s="105">
        <f t="shared" ca="1" si="166"/>
        <v>0</v>
      </c>
      <c r="L575" s="105">
        <f t="shared" ca="1" si="175"/>
        <v>0</v>
      </c>
      <c r="M575" s="105">
        <f t="shared" ca="1" si="167"/>
        <v>0</v>
      </c>
      <c r="N575" s="105">
        <f t="shared" ca="1" si="176"/>
        <v>0</v>
      </c>
      <c r="O575" s="105">
        <f t="shared" ca="1" si="168"/>
        <v>0</v>
      </c>
      <c r="P575" s="105">
        <f t="shared" ca="1" si="169"/>
        <v>0</v>
      </c>
      <c r="Q575" s="105">
        <f t="shared" ca="1" si="170"/>
        <v>0</v>
      </c>
      <c r="R575" s="105">
        <f t="shared" ca="1" si="171"/>
        <v>0</v>
      </c>
      <c r="S575" s="105">
        <f t="shared" ca="1" si="172"/>
        <v>10</v>
      </c>
    </row>
    <row r="576" spans="1:19" x14ac:dyDescent="0.35">
      <c r="A576" s="105">
        <f t="shared" ca="1" si="158"/>
        <v>774.98249999999632</v>
      </c>
      <c r="B576" s="105">
        <f t="shared" ca="1" si="159"/>
        <v>0</v>
      </c>
      <c r="C576" s="105">
        <f t="shared" ca="1" si="160"/>
        <v>2</v>
      </c>
      <c r="D576" s="105">
        <f t="shared" ca="1" si="161"/>
        <v>0</v>
      </c>
      <c r="E576" s="105">
        <f t="shared" ca="1" si="162"/>
        <v>0</v>
      </c>
      <c r="F576" s="105">
        <f t="shared" ca="1" si="163"/>
        <v>0</v>
      </c>
      <c r="G576" s="105">
        <f t="shared" ca="1" si="173"/>
        <v>0</v>
      </c>
      <c r="H576" s="105">
        <f t="shared" ca="1" si="174"/>
        <v>0</v>
      </c>
      <c r="I576" s="105">
        <f t="shared" ca="1" si="164"/>
        <v>0</v>
      </c>
      <c r="J576" s="105">
        <f t="shared" ca="1" si="165"/>
        <v>0</v>
      </c>
      <c r="K576" s="105">
        <f t="shared" ca="1" si="166"/>
        <v>0</v>
      </c>
      <c r="L576" s="105">
        <f t="shared" ca="1" si="175"/>
        <v>0</v>
      </c>
      <c r="M576" s="105">
        <f t="shared" ca="1" si="167"/>
        <v>0</v>
      </c>
      <c r="N576" s="105">
        <f t="shared" ca="1" si="176"/>
        <v>0</v>
      </c>
      <c r="O576" s="105">
        <f t="shared" ca="1" si="168"/>
        <v>0</v>
      </c>
      <c r="P576" s="105">
        <f t="shared" ca="1" si="169"/>
        <v>0</v>
      </c>
      <c r="Q576" s="105">
        <f t="shared" ca="1" si="170"/>
        <v>0</v>
      </c>
      <c r="R576" s="105">
        <f t="shared" ca="1" si="171"/>
        <v>0</v>
      </c>
      <c r="S576" s="105">
        <f t="shared" ca="1" si="172"/>
        <v>10</v>
      </c>
    </row>
    <row r="577" spans="1:19" x14ac:dyDescent="0.35">
      <c r="A577" s="105">
        <f t="shared" ca="1" si="158"/>
        <v>776.33499999999628</v>
      </c>
      <c r="B577" s="105">
        <f t="shared" ca="1" si="159"/>
        <v>0</v>
      </c>
      <c r="C577" s="105">
        <f t="shared" ca="1" si="160"/>
        <v>2</v>
      </c>
      <c r="D577" s="105">
        <f t="shared" ca="1" si="161"/>
        <v>0</v>
      </c>
      <c r="E577" s="105">
        <f t="shared" ca="1" si="162"/>
        <v>0</v>
      </c>
      <c r="F577" s="105">
        <f t="shared" ca="1" si="163"/>
        <v>0</v>
      </c>
      <c r="G577" s="105">
        <f t="shared" ca="1" si="173"/>
        <v>0</v>
      </c>
      <c r="H577" s="105">
        <f t="shared" ca="1" si="174"/>
        <v>0</v>
      </c>
      <c r="I577" s="105">
        <f t="shared" ca="1" si="164"/>
        <v>0</v>
      </c>
      <c r="J577" s="105">
        <f t="shared" ca="1" si="165"/>
        <v>0</v>
      </c>
      <c r="K577" s="105">
        <f t="shared" ca="1" si="166"/>
        <v>0</v>
      </c>
      <c r="L577" s="105">
        <f t="shared" ca="1" si="175"/>
        <v>0</v>
      </c>
      <c r="M577" s="105">
        <f t="shared" ca="1" si="167"/>
        <v>0</v>
      </c>
      <c r="N577" s="105">
        <f t="shared" ca="1" si="176"/>
        <v>0</v>
      </c>
      <c r="O577" s="105">
        <f t="shared" ca="1" si="168"/>
        <v>0</v>
      </c>
      <c r="P577" s="105">
        <f t="shared" ca="1" si="169"/>
        <v>0</v>
      </c>
      <c r="Q577" s="105">
        <f t="shared" ca="1" si="170"/>
        <v>0</v>
      </c>
      <c r="R577" s="105">
        <f t="shared" ca="1" si="171"/>
        <v>0</v>
      </c>
      <c r="S577" s="105">
        <f t="shared" ca="1" si="172"/>
        <v>10</v>
      </c>
    </row>
    <row r="578" spans="1:19" x14ac:dyDescent="0.35">
      <c r="A578" s="105">
        <f t="shared" ca="1" si="158"/>
        <v>777.68749999999625</v>
      </c>
      <c r="B578" s="105">
        <f t="shared" ca="1" si="159"/>
        <v>0</v>
      </c>
      <c r="C578" s="105">
        <f t="shared" ca="1" si="160"/>
        <v>2</v>
      </c>
      <c r="D578" s="105">
        <f t="shared" ca="1" si="161"/>
        <v>0</v>
      </c>
      <c r="E578" s="105">
        <f t="shared" ca="1" si="162"/>
        <v>0</v>
      </c>
      <c r="F578" s="105">
        <f t="shared" ca="1" si="163"/>
        <v>0</v>
      </c>
      <c r="G578" s="105">
        <f t="shared" ca="1" si="173"/>
        <v>0</v>
      </c>
      <c r="H578" s="105">
        <f t="shared" ca="1" si="174"/>
        <v>0</v>
      </c>
      <c r="I578" s="105">
        <f t="shared" ca="1" si="164"/>
        <v>0</v>
      </c>
      <c r="J578" s="105">
        <f t="shared" ca="1" si="165"/>
        <v>0</v>
      </c>
      <c r="K578" s="105">
        <f t="shared" ca="1" si="166"/>
        <v>0</v>
      </c>
      <c r="L578" s="105">
        <f t="shared" ca="1" si="175"/>
        <v>0</v>
      </c>
      <c r="M578" s="105">
        <f t="shared" ca="1" si="167"/>
        <v>0</v>
      </c>
      <c r="N578" s="105">
        <f t="shared" ca="1" si="176"/>
        <v>0</v>
      </c>
      <c r="O578" s="105">
        <f t="shared" ca="1" si="168"/>
        <v>0</v>
      </c>
      <c r="P578" s="105">
        <f t="shared" ca="1" si="169"/>
        <v>0</v>
      </c>
      <c r="Q578" s="105">
        <f t="shared" ca="1" si="170"/>
        <v>0</v>
      </c>
      <c r="R578" s="105">
        <f t="shared" ca="1" si="171"/>
        <v>0</v>
      </c>
      <c r="S578" s="105">
        <f t="shared" ca="1" si="172"/>
        <v>10</v>
      </c>
    </row>
    <row r="579" spans="1:19" x14ac:dyDescent="0.35">
      <c r="A579" s="105">
        <f t="shared" ca="1" si="158"/>
        <v>779.03999999999621</v>
      </c>
      <c r="B579" s="105">
        <f t="shared" ca="1" si="159"/>
        <v>0</v>
      </c>
      <c r="C579" s="105">
        <f t="shared" ca="1" si="160"/>
        <v>2</v>
      </c>
      <c r="D579" s="105">
        <f t="shared" ca="1" si="161"/>
        <v>0</v>
      </c>
      <c r="E579" s="105">
        <f t="shared" ca="1" si="162"/>
        <v>0</v>
      </c>
      <c r="F579" s="105">
        <f t="shared" ca="1" si="163"/>
        <v>0</v>
      </c>
      <c r="G579" s="105">
        <f t="shared" ca="1" si="173"/>
        <v>0</v>
      </c>
      <c r="H579" s="105">
        <f t="shared" ca="1" si="174"/>
        <v>0</v>
      </c>
      <c r="I579" s="105">
        <f t="shared" ca="1" si="164"/>
        <v>0</v>
      </c>
      <c r="J579" s="105">
        <f t="shared" ca="1" si="165"/>
        <v>0</v>
      </c>
      <c r="K579" s="105">
        <f t="shared" ca="1" si="166"/>
        <v>0</v>
      </c>
      <c r="L579" s="105">
        <f t="shared" ca="1" si="175"/>
        <v>0</v>
      </c>
      <c r="M579" s="105">
        <f t="shared" ca="1" si="167"/>
        <v>0</v>
      </c>
      <c r="N579" s="105">
        <f t="shared" ca="1" si="176"/>
        <v>0</v>
      </c>
      <c r="O579" s="105">
        <f t="shared" ca="1" si="168"/>
        <v>0</v>
      </c>
      <c r="P579" s="105">
        <f t="shared" ca="1" si="169"/>
        <v>0</v>
      </c>
      <c r="Q579" s="105">
        <f t="shared" ca="1" si="170"/>
        <v>0</v>
      </c>
      <c r="R579" s="105">
        <f t="shared" ca="1" si="171"/>
        <v>0</v>
      </c>
      <c r="S579" s="105">
        <f t="shared" ca="1" si="172"/>
        <v>10</v>
      </c>
    </row>
    <row r="580" spans="1:19" x14ac:dyDescent="0.35">
      <c r="A580" s="105">
        <f t="shared" ref="A580:A635" ca="1" si="177">$V$4+A579</f>
        <v>780.39249999999618</v>
      </c>
      <c r="B580" s="105">
        <f t="shared" ref="B580:B635" ca="1" si="178">IF(AND(A579&gt;$X$1,P579=0,R579=0),0,IF(AND(G579=0,H579=0),"突","")&amp;IF($V$8=0,IF(AND(OR($V$13=0,AND(K579=0,C579&lt;1),AND(K579&gt;0,OR(M579&gt;0,$V$7=0))),$V$6=1,E579=0),"渊","")&amp;IF(AND(OR($V$13=0,AND(K579=0,C579&lt;1),AND(K579&gt;0,OR(M579&gt;0,$V$7=0))),F579=0),"雷","")&amp;IF(AND(C579&gt;0,$V$13=1,E579=0,F579=0,K579=0),"任",IF(AND(G579=1,$V$7=1,I579=0),"乘","循环")),IF(AND($V$6=1,E579=0),"渊","")&amp;IF(AND(OR($V$13=0,AND(K579=0,C579&lt;1),AND(K579&gt;0,OR(M579&gt;0,$V$7=0))),F579=0),"雷","")&amp;IF(AND(C579&gt;0,L579=0,E579=0),"任",IF(AND(G579=1,$V$7=1,I579=0),"乘","循环"))))</f>
        <v>0</v>
      </c>
      <c r="C580" s="105">
        <f t="shared" ref="C580:C635" ca="1" si="179">IF(COUNTIF(B580,"*任*"),C579-1,IF(AND(D579&lt;&gt;0,D579&lt;$V$4),MIN(2,C579+1),C579))</f>
        <v>2</v>
      </c>
      <c r="D580" s="105">
        <f t="shared" ref="D580:D635" ca="1" si="180">IF(AND(D579&lt;$V$4,C579&lt;2),D579+$Y$6-$V$4,IF(AND(C579=2,COUNTIF(B580,"*任*")&gt;0),$Y$6-$V$4,MAX(0,D579-$V$4)))</f>
        <v>0</v>
      </c>
      <c r="E580" s="105">
        <f t="shared" ref="E580:E635" ca="1" si="181">IF(COUNTIF(B580,"*渊*")&gt;0,$Y$8-$V$4,MAX(0,E579-$V$4))</f>
        <v>0</v>
      </c>
      <c r="F580" s="105">
        <f t="shared" ref="F580:F635" ca="1" si="182">IF(COUNTIF(B580,"*雷*")&gt;0,$Y$9-$V$4,MAX(0,F579-$V$4))</f>
        <v>0</v>
      </c>
      <c r="G580" s="105">
        <f t="shared" ca="1" si="173"/>
        <v>0</v>
      </c>
      <c r="H580" s="105">
        <f t="shared" ca="1" si="174"/>
        <v>0</v>
      </c>
      <c r="I580" s="105">
        <f t="shared" ref="I580:I635" ca="1" si="183">IF(COUNTIF(B580,"*乘*")&gt;0,$Y$7-$V$4,MAX(0,I579-$V$4))</f>
        <v>0</v>
      </c>
      <c r="J580" s="105">
        <f t="shared" ref="J580:J635" ca="1" si="184">IF(H579&lt;1,$V$16,MAX(0,J579-1))*$V$11</f>
        <v>0</v>
      </c>
      <c r="K580" s="105">
        <f t="shared" ref="K580:K635" ca="1" si="185">IF(COUNTIF(B580,"*任*")&gt;0,$Z$6-$V$4+0.6875,MAX(0,K579-$V$4))</f>
        <v>0</v>
      </c>
      <c r="L580" s="105">
        <f t="shared" ca="1" si="175"/>
        <v>0</v>
      </c>
      <c r="M580" s="105">
        <f t="shared" ref="M580:M635" ca="1" si="186">IF(COUNTIF(B580,"*乘*")&gt;0,$Z$7-$V$4,MAX(0,M579-$V$4))</f>
        <v>0</v>
      </c>
      <c r="N580" s="105">
        <f t="shared" ca="1" si="176"/>
        <v>0</v>
      </c>
      <c r="O580" s="105">
        <f t="shared" ref="O580:O635" ca="1" si="187">IF(COUNTIF(B580,"*雷*")&gt;0,$Z$9-$V$4,MAX(0,O579-$V$4))</f>
        <v>0</v>
      </c>
      <c r="P580" s="105">
        <f t="shared" ref="P580:P635" ca="1" si="188">IF(O580+O579&gt;0,1,0)</f>
        <v>0</v>
      </c>
      <c r="Q580" s="105">
        <f t="shared" ref="Q580:Q635" ca="1" si="189">IF(COUNTIF(B580,"*渊*")&gt;0,$Z$8-$V$4,MAX(0,Q579-$V$4))</f>
        <v>0</v>
      </c>
      <c r="R580" s="105">
        <f t="shared" ref="R580:R635" ca="1" si="190">IF(Q580+Q579&gt;0,1,0)</f>
        <v>0</v>
      </c>
      <c r="S580" s="105">
        <f t="shared" ref="S580:S635" ca="1" si="191">IF(COUNTIF(B580,"*雷*")&gt;0,S579+1,S579)</f>
        <v>10</v>
      </c>
    </row>
    <row r="581" spans="1:19" x14ac:dyDescent="0.35">
      <c r="A581" s="105">
        <f t="shared" ca="1" si="177"/>
        <v>781.74499999999614</v>
      </c>
      <c r="B581" s="105">
        <f t="shared" ca="1" si="178"/>
        <v>0</v>
      </c>
      <c r="C581" s="105">
        <f t="shared" ca="1" si="179"/>
        <v>2</v>
      </c>
      <c r="D581" s="105">
        <f t="shared" ca="1" si="180"/>
        <v>0</v>
      </c>
      <c r="E581" s="105">
        <f t="shared" ca="1" si="181"/>
        <v>0</v>
      </c>
      <c r="F581" s="105">
        <f t="shared" ca="1" si="182"/>
        <v>0</v>
      </c>
      <c r="G581" s="105">
        <f t="shared" ref="G581:G635" ca="1" si="192">IF(RIGHT(B581,1)="任",1,IF(OR($V$9=0,AND(K580&lt;$V$4,H580=0)),0,G580))</f>
        <v>0</v>
      </c>
      <c r="H581" s="105">
        <f t="shared" ref="H581:H635" ca="1" si="193">IF(COUNTIF(B581,"*突*")&gt;0,$Y$5-$V$4,MAX(0,H580-$V$4))</f>
        <v>0</v>
      </c>
      <c r="I581" s="105">
        <f t="shared" ca="1" si="183"/>
        <v>0</v>
      </c>
      <c r="J581" s="105">
        <f t="shared" ca="1" si="184"/>
        <v>0</v>
      </c>
      <c r="K581" s="105">
        <f t="shared" ca="1" si="185"/>
        <v>0</v>
      </c>
      <c r="L581" s="105">
        <f t="shared" ca="1" si="175"/>
        <v>0</v>
      </c>
      <c r="M581" s="105">
        <f t="shared" ca="1" si="186"/>
        <v>0</v>
      </c>
      <c r="N581" s="105">
        <f t="shared" ca="1" si="176"/>
        <v>0</v>
      </c>
      <c r="O581" s="105">
        <f t="shared" ca="1" si="187"/>
        <v>0</v>
      </c>
      <c r="P581" s="105">
        <f t="shared" ca="1" si="188"/>
        <v>0</v>
      </c>
      <c r="Q581" s="105">
        <f t="shared" ca="1" si="189"/>
        <v>0</v>
      </c>
      <c r="R581" s="105">
        <f t="shared" ca="1" si="190"/>
        <v>0</v>
      </c>
      <c r="S581" s="105">
        <f t="shared" ca="1" si="191"/>
        <v>10</v>
      </c>
    </row>
    <row r="582" spans="1:19" x14ac:dyDescent="0.35">
      <c r="A582" s="105">
        <f t="shared" ca="1" si="177"/>
        <v>783.0974999999961</v>
      </c>
      <c r="B582" s="105">
        <f t="shared" ca="1" si="178"/>
        <v>0</v>
      </c>
      <c r="C582" s="105">
        <f t="shared" ca="1" si="179"/>
        <v>2</v>
      </c>
      <c r="D582" s="105">
        <f t="shared" ca="1" si="180"/>
        <v>0</v>
      </c>
      <c r="E582" s="105">
        <f t="shared" ca="1" si="181"/>
        <v>0</v>
      </c>
      <c r="F582" s="105">
        <f t="shared" ca="1" si="182"/>
        <v>0</v>
      </c>
      <c r="G582" s="105">
        <f t="shared" ca="1" si="192"/>
        <v>0</v>
      </c>
      <c r="H582" s="105">
        <f t="shared" ca="1" si="193"/>
        <v>0</v>
      </c>
      <c r="I582" s="105">
        <f t="shared" ca="1" si="183"/>
        <v>0</v>
      </c>
      <c r="J582" s="105">
        <f t="shared" ca="1" si="184"/>
        <v>0</v>
      </c>
      <c r="K582" s="105">
        <f t="shared" ca="1" si="185"/>
        <v>0</v>
      </c>
      <c r="L582" s="105">
        <f t="shared" ca="1" si="175"/>
        <v>0</v>
      </c>
      <c r="M582" s="105">
        <f t="shared" ca="1" si="186"/>
        <v>0</v>
      </c>
      <c r="N582" s="105">
        <f t="shared" ca="1" si="176"/>
        <v>0</v>
      </c>
      <c r="O582" s="105">
        <f t="shared" ca="1" si="187"/>
        <v>0</v>
      </c>
      <c r="P582" s="105">
        <f t="shared" ca="1" si="188"/>
        <v>0</v>
      </c>
      <c r="Q582" s="105">
        <f t="shared" ca="1" si="189"/>
        <v>0</v>
      </c>
      <c r="R582" s="105">
        <f t="shared" ca="1" si="190"/>
        <v>0</v>
      </c>
      <c r="S582" s="105">
        <f t="shared" ca="1" si="191"/>
        <v>10</v>
      </c>
    </row>
    <row r="583" spans="1:19" x14ac:dyDescent="0.35">
      <c r="A583" s="105">
        <f t="shared" ca="1" si="177"/>
        <v>784.44999999999607</v>
      </c>
      <c r="B583" s="105">
        <f t="shared" ca="1" si="178"/>
        <v>0</v>
      </c>
      <c r="C583" s="105">
        <f t="shared" ca="1" si="179"/>
        <v>2</v>
      </c>
      <c r="D583" s="105">
        <f t="shared" ca="1" si="180"/>
        <v>0</v>
      </c>
      <c r="E583" s="105">
        <f t="shared" ca="1" si="181"/>
        <v>0</v>
      </c>
      <c r="F583" s="105">
        <f t="shared" ca="1" si="182"/>
        <v>0</v>
      </c>
      <c r="G583" s="105">
        <f t="shared" ca="1" si="192"/>
        <v>0</v>
      </c>
      <c r="H583" s="105">
        <f t="shared" ca="1" si="193"/>
        <v>0</v>
      </c>
      <c r="I583" s="105">
        <f t="shared" ca="1" si="183"/>
        <v>0</v>
      </c>
      <c r="J583" s="105">
        <f t="shared" ca="1" si="184"/>
        <v>0</v>
      </c>
      <c r="K583" s="105">
        <f t="shared" ca="1" si="185"/>
        <v>0</v>
      </c>
      <c r="L583" s="105">
        <f t="shared" ca="1" si="175"/>
        <v>0</v>
      </c>
      <c r="M583" s="105">
        <f t="shared" ca="1" si="186"/>
        <v>0</v>
      </c>
      <c r="N583" s="105">
        <f t="shared" ca="1" si="176"/>
        <v>0</v>
      </c>
      <c r="O583" s="105">
        <f t="shared" ca="1" si="187"/>
        <v>0</v>
      </c>
      <c r="P583" s="105">
        <f t="shared" ca="1" si="188"/>
        <v>0</v>
      </c>
      <c r="Q583" s="105">
        <f t="shared" ca="1" si="189"/>
        <v>0</v>
      </c>
      <c r="R583" s="105">
        <f t="shared" ca="1" si="190"/>
        <v>0</v>
      </c>
      <c r="S583" s="105">
        <f t="shared" ca="1" si="191"/>
        <v>10</v>
      </c>
    </row>
    <row r="584" spans="1:19" x14ac:dyDescent="0.35">
      <c r="A584" s="105">
        <f t="shared" ca="1" si="177"/>
        <v>785.80249999999603</v>
      </c>
      <c r="B584" s="105">
        <f t="shared" ca="1" si="178"/>
        <v>0</v>
      </c>
      <c r="C584" s="105">
        <f t="shared" ca="1" si="179"/>
        <v>2</v>
      </c>
      <c r="D584" s="105">
        <f t="shared" ca="1" si="180"/>
        <v>0</v>
      </c>
      <c r="E584" s="105">
        <f t="shared" ca="1" si="181"/>
        <v>0</v>
      </c>
      <c r="F584" s="105">
        <f t="shared" ca="1" si="182"/>
        <v>0</v>
      </c>
      <c r="G584" s="105">
        <f t="shared" ca="1" si="192"/>
        <v>0</v>
      </c>
      <c r="H584" s="105">
        <f t="shared" ca="1" si="193"/>
        <v>0</v>
      </c>
      <c r="I584" s="105">
        <f t="shared" ca="1" si="183"/>
        <v>0</v>
      </c>
      <c r="J584" s="105">
        <f t="shared" ca="1" si="184"/>
        <v>0</v>
      </c>
      <c r="K584" s="105">
        <f t="shared" ca="1" si="185"/>
        <v>0</v>
      </c>
      <c r="L584" s="105">
        <f t="shared" ca="1" si="175"/>
        <v>0</v>
      </c>
      <c r="M584" s="105">
        <f t="shared" ca="1" si="186"/>
        <v>0</v>
      </c>
      <c r="N584" s="105">
        <f t="shared" ca="1" si="176"/>
        <v>0</v>
      </c>
      <c r="O584" s="105">
        <f t="shared" ca="1" si="187"/>
        <v>0</v>
      </c>
      <c r="P584" s="105">
        <f t="shared" ca="1" si="188"/>
        <v>0</v>
      </c>
      <c r="Q584" s="105">
        <f t="shared" ca="1" si="189"/>
        <v>0</v>
      </c>
      <c r="R584" s="105">
        <f t="shared" ca="1" si="190"/>
        <v>0</v>
      </c>
      <c r="S584" s="105">
        <f t="shared" ca="1" si="191"/>
        <v>10</v>
      </c>
    </row>
    <row r="585" spans="1:19" x14ac:dyDescent="0.35">
      <c r="A585" s="105">
        <f t="shared" ca="1" si="177"/>
        <v>787.15499999999599</v>
      </c>
      <c r="B585" s="105">
        <f t="shared" ca="1" si="178"/>
        <v>0</v>
      </c>
      <c r="C585" s="105">
        <f t="shared" ca="1" si="179"/>
        <v>2</v>
      </c>
      <c r="D585" s="105">
        <f t="shared" ca="1" si="180"/>
        <v>0</v>
      </c>
      <c r="E585" s="105">
        <f t="shared" ca="1" si="181"/>
        <v>0</v>
      </c>
      <c r="F585" s="105">
        <f t="shared" ca="1" si="182"/>
        <v>0</v>
      </c>
      <c r="G585" s="105">
        <f t="shared" ca="1" si="192"/>
        <v>0</v>
      </c>
      <c r="H585" s="105">
        <f t="shared" ca="1" si="193"/>
        <v>0</v>
      </c>
      <c r="I585" s="105">
        <f t="shared" ca="1" si="183"/>
        <v>0</v>
      </c>
      <c r="J585" s="105">
        <f t="shared" ca="1" si="184"/>
        <v>0</v>
      </c>
      <c r="K585" s="105">
        <f t="shared" ca="1" si="185"/>
        <v>0</v>
      </c>
      <c r="L585" s="105">
        <f t="shared" ca="1" si="175"/>
        <v>0</v>
      </c>
      <c r="M585" s="105">
        <f t="shared" ca="1" si="186"/>
        <v>0</v>
      </c>
      <c r="N585" s="105">
        <f t="shared" ca="1" si="176"/>
        <v>0</v>
      </c>
      <c r="O585" s="105">
        <f t="shared" ca="1" si="187"/>
        <v>0</v>
      </c>
      <c r="P585" s="105">
        <f t="shared" ca="1" si="188"/>
        <v>0</v>
      </c>
      <c r="Q585" s="105">
        <f t="shared" ca="1" si="189"/>
        <v>0</v>
      </c>
      <c r="R585" s="105">
        <f t="shared" ca="1" si="190"/>
        <v>0</v>
      </c>
      <c r="S585" s="105">
        <f t="shared" ca="1" si="191"/>
        <v>10</v>
      </c>
    </row>
    <row r="586" spans="1:19" x14ac:dyDescent="0.35">
      <c r="A586" s="105">
        <f t="shared" ca="1" si="177"/>
        <v>788.50749999999596</v>
      </c>
      <c r="B586" s="105">
        <f t="shared" ca="1" si="178"/>
        <v>0</v>
      </c>
      <c r="C586" s="105">
        <f t="shared" ca="1" si="179"/>
        <v>2</v>
      </c>
      <c r="D586" s="105">
        <f t="shared" ca="1" si="180"/>
        <v>0</v>
      </c>
      <c r="E586" s="105">
        <f t="shared" ca="1" si="181"/>
        <v>0</v>
      </c>
      <c r="F586" s="105">
        <f t="shared" ca="1" si="182"/>
        <v>0</v>
      </c>
      <c r="G586" s="105">
        <f t="shared" ca="1" si="192"/>
        <v>0</v>
      </c>
      <c r="H586" s="105">
        <f t="shared" ca="1" si="193"/>
        <v>0</v>
      </c>
      <c r="I586" s="105">
        <f t="shared" ca="1" si="183"/>
        <v>0</v>
      </c>
      <c r="J586" s="105">
        <f t="shared" ca="1" si="184"/>
        <v>0</v>
      </c>
      <c r="K586" s="105">
        <f t="shared" ca="1" si="185"/>
        <v>0</v>
      </c>
      <c r="L586" s="105">
        <f t="shared" ca="1" si="175"/>
        <v>0</v>
      </c>
      <c r="M586" s="105">
        <f t="shared" ca="1" si="186"/>
        <v>0</v>
      </c>
      <c r="N586" s="105">
        <f t="shared" ca="1" si="176"/>
        <v>0</v>
      </c>
      <c r="O586" s="105">
        <f t="shared" ca="1" si="187"/>
        <v>0</v>
      </c>
      <c r="P586" s="105">
        <f t="shared" ca="1" si="188"/>
        <v>0</v>
      </c>
      <c r="Q586" s="105">
        <f t="shared" ca="1" si="189"/>
        <v>0</v>
      </c>
      <c r="R586" s="105">
        <f t="shared" ca="1" si="190"/>
        <v>0</v>
      </c>
      <c r="S586" s="105">
        <f t="shared" ca="1" si="191"/>
        <v>10</v>
      </c>
    </row>
    <row r="587" spans="1:19" x14ac:dyDescent="0.35">
      <c r="A587" s="105">
        <f t="shared" ca="1" si="177"/>
        <v>789.85999999999592</v>
      </c>
      <c r="B587" s="105">
        <f t="shared" ca="1" si="178"/>
        <v>0</v>
      </c>
      <c r="C587" s="105">
        <f t="shared" ca="1" si="179"/>
        <v>2</v>
      </c>
      <c r="D587" s="105">
        <f t="shared" ca="1" si="180"/>
        <v>0</v>
      </c>
      <c r="E587" s="105">
        <f t="shared" ca="1" si="181"/>
        <v>0</v>
      </c>
      <c r="F587" s="105">
        <f t="shared" ca="1" si="182"/>
        <v>0</v>
      </c>
      <c r="G587" s="105">
        <f t="shared" ca="1" si="192"/>
        <v>0</v>
      </c>
      <c r="H587" s="105">
        <f t="shared" ca="1" si="193"/>
        <v>0</v>
      </c>
      <c r="I587" s="105">
        <f t="shared" ca="1" si="183"/>
        <v>0</v>
      </c>
      <c r="J587" s="105">
        <f t="shared" ca="1" si="184"/>
        <v>0</v>
      </c>
      <c r="K587" s="105">
        <f t="shared" ca="1" si="185"/>
        <v>0</v>
      </c>
      <c r="L587" s="105">
        <f t="shared" ca="1" si="175"/>
        <v>0</v>
      </c>
      <c r="M587" s="105">
        <f t="shared" ca="1" si="186"/>
        <v>0</v>
      </c>
      <c r="N587" s="105">
        <f t="shared" ca="1" si="176"/>
        <v>0</v>
      </c>
      <c r="O587" s="105">
        <f t="shared" ca="1" si="187"/>
        <v>0</v>
      </c>
      <c r="P587" s="105">
        <f t="shared" ca="1" si="188"/>
        <v>0</v>
      </c>
      <c r="Q587" s="105">
        <f t="shared" ca="1" si="189"/>
        <v>0</v>
      </c>
      <c r="R587" s="105">
        <f t="shared" ca="1" si="190"/>
        <v>0</v>
      </c>
      <c r="S587" s="105">
        <f t="shared" ca="1" si="191"/>
        <v>10</v>
      </c>
    </row>
    <row r="588" spans="1:19" x14ac:dyDescent="0.35">
      <c r="A588" s="105">
        <f t="shared" ca="1" si="177"/>
        <v>791.21249999999588</v>
      </c>
      <c r="B588" s="105">
        <f t="shared" ca="1" si="178"/>
        <v>0</v>
      </c>
      <c r="C588" s="105">
        <f t="shared" ca="1" si="179"/>
        <v>2</v>
      </c>
      <c r="D588" s="105">
        <f t="shared" ca="1" si="180"/>
        <v>0</v>
      </c>
      <c r="E588" s="105">
        <f t="shared" ca="1" si="181"/>
        <v>0</v>
      </c>
      <c r="F588" s="105">
        <f t="shared" ca="1" si="182"/>
        <v>0</v>
      </c>
      <c r="G588" s="105">
        <f t="shared" ca="1" si="192"/>
        <v>0</v>
      </c>
      <c r="H588" s="105">
        <f t="shared" ca="1" si="193"/>
        <v>0</v>
      </c>
      <c r="I588" s="105">
        <f t="shared" ca="1" si="183"/>
        <v>0</v>
      </c>
      <c r="J588" s="105">
        <f t="shared" ca="1" si="184"/>
        <v>0</v>
      </c>
      <c r="K588" s="105">
        <f t="shared" ca="1" si="185"/>
        <v>0</v>
      </c>
      <c r="L588" s="105">
        <f t="shared" ca="1" si="175"/>
        <v>0</v>
      </c>
      <c r="M588" s="105">
        <f t="shared" ca="1" si="186"/>
        <v>0</v>
      </c>
      <c r="N588" s="105">
        <f t="shared" ca="1" si="176"/>
        <v>0</v>
      </c>
      <c r="O588" s="105">
        <f t="shared" ca="1" si="187"/>
        <v>0</v>
      </c>
      <c r="P588" s="105">
        <f t="shared" ca="1" si="188"/>
        <v>0</v>
      </c>
      <c r="Q588" s="105">
        <f t="shared" ca="1" si="189"/>
        <v>0</v>
      </c>
      <c r="R588" s="105">
        <f t="shared" ca="1" si="190"/>
        <v>0</v>
      </c>
      <c r="S588" s="105">
        <f t="shared" ca="1" si="191"/>
        <v>10</v>
      </c>
    </row>
    <row r="589" spans="1:19" x14ac:dyDescent="0.35">
      <c r="A589" s="105">
        <f t="shared" ca="1" si="177"/>
        <v>792.56499999999585</v>
      </c>
      <c r="B589" s="105">
        <f t="shared" ca="1" si="178"/>
        <v>0</v>
      </c>
      <c r="C589" s="105">
        <f t="shared" ca="1" si="179"/>
        <v>2</v>
      </c>
      <c r="D589" s="105">
        <f t="shared" ca="1" si="180"/>
        <v>0</v>
      </c>
      <c r="E589" s="105">
        <f t="shared" ca="1" si="181"/>
        <v>0</v>
      </c>
      <c r="F589" s="105">
        <f t="shared" ca="1" si="182"/>
        <v>0</v>
      </c>
      <c r="G589" s="105">
        <f t="shared" ca="1" si="192"/>
        <v>0</v>
      </c>
      <c r="H589" s="105">
        <f t="shared" ca="1" si="193"/>
        <v>0</v>
      </c>
      <c r="I589" s="105">
        <f t="shared" ca="1" si="183"/>
        <v>0</v>
      </c>
      <c r="J589" s="105">
        <f t="shared" ca="1" si="184"/>
        <v>0</v>
      </c>
      <c r="K589" s="105">
        <f t="shared" ca="1" si="185"/>
        <v>0</v>
      </c>
      <c r="L589" s="105">
        <f t="shared" ca="1" si="175"/>
        <v>0</v>
      </c>
      <c r="M589" s="105">
        <f t="shared" ca="1" si="186"/>
        <v>0</v>
      </c>
      <c r="N589" s="105">
        <f t="shared" ca="1" si="176"/>
        <v>0</v>
      </c>
      <c r="O589" s="105">
        <f t="shared" ca="1" si="187"/>
        <v>0</v>
      </c>
      <c r="P589" s="105">
        <f t="shared" ca="1" si="188"/>
        <v>0</v>
      </c>
      <c r="Q589" s="105">
        <f t="shared" ca="1" si="189"/>
        <v>0</v>
      </c>
      <c r="R589" s="105">
        <f t="shared" ca="1" si="190"/>
        <v>0</v>
      </c>
      <c r="S589" s="105">
        <f t="shared" ca="1" si="191"/>
        <v>10</v>
      </c>
    </row>
    <row r="590" spans="1:19" x14ac:dyDescent="0.35">
      <c r="A590" s="105">
        <f t="shared" ca="1" si="177"/>
        <v>793.91749999999581</v>
      </c>
      <c r="B590" s="105">
        <f t="shared" ca="1" si="178"/>
        <v>0</v>
      </c>
      <c r="C590" s="105">
        <f t="shared" ca="1" si="179"/>
        <v>2</v>
      </c>
      <c r="D590" s="105">
        <f t="shared" ca="1" si="180"/>
        <v>0</v>
      </c>
      <c r="E590" s="105">
        <f t="shared" ca="1" si="181"/>
        <v>0</v>
      </c>
      <c r="F590" s="105">
        <f t="shared" ca="1" si="182"/>
        <v>0</v>
      </c>
      <c r="G590" s="105">
        <f t="shared" ca="1" si="192"/>
        <v>0</v>
      </c>
      <c r="H590" s="105">
        <f t="shared" ca="1" si="193"/>
        <v>0</v>
      </c>
      <c r="I590" s="105">
        <f t="shared" ca="1" si="183"/>
        <v>0</v>
      </c>
      <c r="J590" s="105">
        <f t="shared" ca="1" si="184"/>
        <v>0</v>
      </c>
      <c r="K590" s="105">
        <f t="shared" ca="1" si="185"/>
        <v>0</v>
      </c>
      <c r="L590" s="105">
        <f t="shared" ca="1" si="175"/>
        <v>0</v>
      </c>
      <c r="M590" s="105">
        <f t="shared" ca="1" si="186"/>
        <v>0</v>
      </c>
      <c r="N590" s="105">
        <f t="shared" ca="1" si="176"/>
        <v>0</v>
      </c>
      <c r="O590" s="105">
        <f t="shared" ca="1" si="187"/>
        <v>0</v>
      </c>
      <c r="P590" s="105">
        <f t="shared" ca="1" si="188"/>
        <v>0</v>
      </c>
      <c r="Q590" s="105">
        <f t="shared" ca="1" si="189"/>
        <v>0</v>
      </c>
      <c r="R590" s="105">
        <f t="shared" ca="1" si="190"/>
        <v>0</v>
      </c>
      <c r="S590" s="105">
        <f t="shared" ca="1" si="191"/>
        <v>10</v>
      </c>
    </row>
    <row r="591" spans="1:19" x14ac:dyDescent="0.35">
      <c r="A591" s="105">
        <f t="shared" ca="1" si="177"/>
        <v>795.26999999999578</v>
      </c>
      <c r="B591" s="105">
        <f t="shared" ca="1" si="178"/>
        <v>0</v>
      </c>
      <c r="C591" s="105">
        <f t="shared" ca="1" si="179"/>
        <v>2</v>
      </c>
      <c r="D591" s="105">
        <f t="shared" ca="1" si="180"/>
        <v>0</v>
      </c>
      <c r="E591" s="105">
        <f t="shared" ca="1" si="181"/>
        <v>0</v>
      </c>
      <c r="F591" s="105">
        <f t="shared" ca="1" si="182"/>
        <v>0</v>
      </c>
      <c r="G591" s="105">
        <f t="shared" ca="1" si="192"/>
        <v>0</v>
      </c>
      <c r="H591" s="105">
        <f t="shared" ca="1" si="193"/>
        <v>0</v>
      </c>
      <c r="I591" s="105">
        <f t="shared" ca="1" si="183"/>
        <v>0</v>
      </c>
      <c r="J591" s="105">
        <f t="shared" ca="1" si="184"/>
        <v>0</v>
      </c>
      <c r="K591" s="105">
        <f t="shared" ca="1" si="185"/>
        <v>0</v>
      </c>
      <c r="L591" s="105">
        <f t="shared" ca="1" si="175"/>
        <v>0</v>
      </c>
      <c r="M591" s="105">
        <f t="shared" ca="1" si="186"/>
        <v>0</v>
      </c>
      <c r="N591" s="105">
        <f t="shared" ca="1" si="176"/>
        <v>0</v>
      </c>
      <c r="O591" s="105">
        <f t="shared" ca="1" si="187"/>
        <v>0</v>
      </c>
      <c r="P591" s="105">
        <f t="shared" ca="1" si="188"/>
        <v>0</v>
      </c>
      <c r="Q591" s="105">
        <f t="shared" ca="1" si="189"/>
        <v>0</v>
      </c>
      <c r="R591" s="105">
        <f t="shared" ca="1" si="190"/>
        <v>0</v>
      </c>
      <c r="S591" s="105">
        <f t="shared" ca="1" si="191"/>
        <v>10</v>
      </c>
    </row>
    <row r="592" spans="1:19" x14ac:dyDescent="0.35">
      <c r="A592" s="105">
        <f t="shared" ca="1" si="177"/>
        <v>796.62249999999574</v>
      </c>
      <c r="B592" s="105">
        <f t="shared" ca="1" si="178"/>
        <v>0</v>
      </c>
      <c r="C592" s="105">
        <f t="shared" ca="1" si="179"/>
        <v>2</v>
      </c>
      <c r="D592" s="105">
        <f t="shared" ca="1" si="180"/>
        <v>0</v>
      </c>
      <c r="E592" s="105">
        <f t="shared" ca="1" si="181"/>
        <v>0</v>
      </c>
      <c r="F592" s="105">
        <f t="shared" ca="1" si="182"/>
        <v>0</v>
      </c>
      <c r="G592" s="105">
        <f t="shared" ca="1" si="192"/>
        <v>0</v>
      </c>
      <c r="H592" s="105">
        <f t="shared" ca="1" si="193"/>
        <v>0</v>
      </c>
      <c r="I592" s="105">
        <f t="shared" ca="1" si="183"/>
        <v>0</v>
      </c>
      <c r="J592" s="105">
        <f t="shared" ca="1" si="184"/>
        <v>0</v>
      </c>
      <c r="K592" s="105">
        <f t="shared" ca="1" si="185"/>
        <v>0</v>
      </c>
      <c r="L592" s="105">
        <f t="shared" ca="1" si="175"/>
        <v>0</v>
      </c>
      <c r="M592" s="105">
        <f t="shared" ca="1" si="186"/>
        <v>0</v>
      </c>
      <c r="N592" s="105">
        <f t="shared" ca="1" si="176"/>
        <v>0</v>
      </c>
      <c r="O592" s="105">
        <f t="shared" ca="1" si="187"/>
        <v>0</v>
      </c>
      <c r="P592" s="105">
        <f t="shared" ca="1" si="188"/>
        <v>0</v>
      </c>
      <c r="Q592" s="105">
        <f t="shared" ca="1" si="189"/>
        <v>0</v>
      </c>
      <c r="R592" s="105">
        <f t="shared" ca="1" si="190"/>
        <v>0</v>
      </c>
      <c r="S592" s="105">
        <f t="shared" ca="1" si="191"/>
        <v>10</v>
      </c>
    </row>
    <row r="593" spans="1:19" x14ac:dyDescent="0.35">
      <c r="A593" s="105">
        <f t="shared" ca="1" si="177"/>
        <v>797.9749999999957</v>
      </c>
      <c r="B593" s="105">
        <f t="shared" ca="1" si="178"/>
        <v>0</v>
      </c>
      <c r="C593" s="105">
        <f t="shared" ca="1" si="179"/>
        <v>2</v>
      </c>
      <c r="D593" s="105">
        <f t="shared" ca="1" si="180"/>
        <v>0</v>
      </c>
      <c r="E593" s="105">
        <f t="shared" ca="1" si="181"/>
        <v>0</v>
      </c>
      <c r="F593" s="105">
        <f t="shared" ca="1" si="182"/>
        <v>0</v>
      </c>
      <c r="G593" s="105">
        <f t="shared" ca="1" si="192"/>
        <v>0</v>
      </c>
      <c r="H593" s="105">
        <f t="shared" ca="1" si="193"/>
        <v>0</v>
      </c>
      <c r="I593" s="105">
        <f t="shared" ca="1" si="183"/>
        <v>0</v>
      </c>
      <c r="J593" s="105">
        <f t="shared" ca="1" si="184"/>
        <v>0</v>
      </c>
      <c r="K593" s="105">
        <f t="shared" ca="1" si="185"/>
        <v>0</v>
      </c>
      <c r="L593" s="105">
        <f t="shared" ca="1" si="175"/>
        <v>0</v>
      </c>
      <c r="M593" s="105">
        <f t="shared" ca="1" si="186"/>
        <v>0</v>
      </c>
      <c r="N593" s="105">
        <f t="shared" ca="1" si="176"/>
        <v>0</v>
      </c>
      <c r="O593" s="105">
        <f t="shared" ca="1" si="187"/>
        <v>0</v>
      </c>
      <c r="P593" s="105">
        <f t="shared" ca="1" si="188"/>
        <v>0</v>
      </c>
      <c r="Q593" s="105">
        <f t="shared" ca="1" si="189"/>
        <v>0</v>
      </c>
      <c r="R593" s="105">
        <f t="shared" ca="1" si="190"/>
        <v>0</v>
      </c>
      <c r="S593" s="105">
        <f t="shared" ca="1" si="191"/>
        <v>10</v>
      </c>
    </row>
    <row r="594" spans="1:19" x14ac:dyDescent="0.35">
      <c r="A594" s="105">
        <f t="shared" ca="1" si="177"/>
        <v>799.32749999999567</v>
      </c>
      <c r="B594" s="105">
        <f t="shared" ca="1" si="178"/>
        <v>0</v>
      </c>
      <c r="C594" s="105">
        <f t="shared" ca="1" si="179"/>
        <v>2</v>
      </c>
      <c r="D594" s="105">
        <f t="shared" ca="1" si="180"/>
        <v>0</v>
      </c>
      <c r="E594" s="105">
        <f t="shared" ca="1" si="181"/>
        <v>0</v>
      </c>
      <c r="F594" s="105">
        <f t="shared" ca="1" si="182"/>
        <v>0</v>
      </c>
      <c r="G594" s="105">
        <f t="shared" ca="1" si="192"/>
        <v>0</v>
      </c>
      <c r="H594" s="105">
        <f t="shared" ca="1" si="193"/>
        <v>0</v>
      </c>
      <c r="I594" s="105">
        <f t="shared" ca="1" si="183"/>
        <v>0</v>
      </c>
      <c r="J594" s="105">
        <f t="shared" ca="1" si="184"/>
        <v>0</v>
      </c>
      <c r="K594" s="105">
        <f t="shared" ca="1" si="185"/>
        <v>0</v>
      </c>
      <c r="L594" s="105">
        <f t="shared" ca="1" si="175"/>
        <v>0</v>
      </c>
      <c r="M594" s="105">
        <f t="shared" ca="1" si="186"/>
        <v>0</v>
      </c>
      <c r="N594" s="105">
        <f t="shared" ca="1" si="176"/>
        <v>0</v>
      </c>
      <c r="O594" s="105">
        <f t="shared" ca="1" si="187"/>
        <v>0</v>
      </c>
      <c r="P594" s="105">
        <f t="shared" ca="1" si="188"/>
        <v>0</v>
      </c>
      <c r="Q594" s="105">
        <f t="shared" ca="1" si="189"/>
        <v>0</v>
      </c>
      <c r="R594" s="105">
        <f t="shared" ca="1" si="190"/>
        <v>0</v>
      </c>
      <c r="S594" s="105">
        <f t="shared" ca="1" si="191"/>
        <v>10</v>
      </c>
    </row>
    <row r="595" spans="1:19" x14ac:dyDescent="0.35">
      <c r="A595" s="105">
        <f t="shared" ca="1" si="177"/>
        <v>800.67999999999563</v>
      </c>
      <c r="B595" s="105">
        <f t="shared" ca="1" si="178"/>
        <v>0</v>
      </c>
      <c r="C595" s="105">
        <f t="shared" ca="1" si="179"/>
        <v>2</v>
      </c>
      <c r="D595" s="105">
        <f t="shared" ca="1" si="180"/>
        <v>0</v>
      </c>
      <c r="E595" s="105">
        <f t="shared" ca="1" si="181"/>
        <v>0</v>
      </c>
      <c r="F595" s="105">
        <f t="shared" ca="1" si="182"/>
        <v>0</v>
      </c>
      <c r="G595" s="105">
        <f t="shared" ca="1" si="192"/>
        <v>0</v>
      </c>
      <c r="H595" s="105">
        <f t="shared" ca="1" si="193"/>
        <v>0</v>
      </c>
      <c r="I595" s="105">
        <f t="shared" ca="1" si="183"/>
        <v>0</v>
      </c>
      <c r="J595" s="105">
        <f t="shared" ca="1" si="184"/>
        <v>0</v>
      </c>
      <c r="K595" s="105">
        <f t="shared" ca="1" si="185"/>
        <v>0</v>
      </c>
      <c r="L595" s="105">
        <f t="shared" ca="1" si="175"/>
        <v>0</v>
      </c>
      <c r="M595" s="105">
        <f t="shared" ca="1" si="186"/>
        <v>0</v>
      </c>
      <c r="N595" s="105">
        <f t="shared" ca="1" si="176"/>
        <v>0</v>
      </c>
      <c r="O595" s="105">
        <f t="shared" ca="1" si="187"/>
        <v>0</v>
      </c>
      <c r="P595" s="105">
        <f t="shared" ca="1" si="188"/>
        <v>0</v>
      </c>
      <c r="Q595" s="105">
        <f t="shared" ca="1" si="189"/>
        <v>0</v>
      </c>
      <c r="R595" s="105">
        <f t="shared" ca="1" si="190"/>
        <v>0</v>
      </c>
      <c r="S595" s="105">
        <f t="shared" ca="1" si="191"/>
        <v>10</v>
      </c>
    </row>
    <row r="596" spans="1:19" x14ac:dyDescent="0.35">
      <c r="A596" s="105">
        <f t="shared" ca="1" si="177"/>
        <v>802.03249999999559</v>
      </c>
      <c r="B596" s="105">
        <f t="shared" ca="1" si="178"/>
        <v>0</v>
      </c>
      <c r="C596" s="105">
        <f t="shared" ca="1" si="179"/>
        <v>2</v>
      </c>
      <c r="D596" s="105">
        <f t="shared" ca="1" si="180"/>
        <v>0</v>
      </c>
      <c r="E596" s="105">
        <f t="shared" ca="1" si="181"/>
        <v>0</v>
      </c>
      <c r="F596" s="105">
        <f t="shared" ca="1" si="182"/>
        <v>0</v>
      </c>
      <c r="G596" s="105">
        <f t="shared" ca="1" si="192"/>
        <v>0</v>
      </c>
      <c r="H596" s="105">
        <f t="shared" ca="1" si="193"/>
        <v>0</v>
      </c>
      <c r="I596" s="105">
        <f t="shared" ca="1" si="183"/>
        <v>0</v>
      </c>
      <c r="J596" s="105">
        <f t="shared" ca="1" si="184"/>
        <v>0</v>
      </c>
      <c r="K596" s="105">
        <f t="shared" ca="1" si="185"/>
        <v>0</v>
      </c>
      <c r="L596" s="105">
        <f t="shared" ca="1" si="175"/>
        <v>0</v>
      </c>
      <c r="M596" s="105">
        <f t="shared" ca="1" si="186"/>
        <v>0</v>
      </c>
      <c r="N596" s="105">
        <f t="shared" ca="1" si="176"/>
        <v>0</v>
      </c>
      <c r="O596" s="105">
        <f t="shared" ca="1" si="187"/>
        <v>0</v>
      </c>
      <c r="P596" s="105">
        <f t="shared" ca="1" si="188"/>
        <v>0</v>
      </c>
      <c r="Q596" s="105">
        <f t="shared" ca="1" si="189"/>
        <v>0</v>
      </c>
      <c r="R596" s="105">
        <f t="shared" ca="1" si="190"/>
        <v>0</v>
      </c>
      <c r="S596" s="105">
        <f t="shared" ca="1" si="191"/>
        <v>10</v>
      </c>
    </row>
    <row r="597" spans="1:19" x14ac:dyDescent="0.35">
      <c r="A597" s="105">
        <f t="shared" ca="1" si="177"/>
        <v>803.38499999999556</v>
      </c>
      <c r="B597" s="105">
        <f t="shared" ca="1" si="178"/>
        <v>0</v>
      </c>
      <c r="C597" s="105">
        <f t="shared" ca="1" si="179"/>
        <v>2</v>
      </c>
      <c r="D597" s="105">
        <f t="shared" ca="1" si="180"/>
        <v>0</v>
      </c>
      <c r="E597" s="105">
        <f t="shared" ca="1" si="181"/>
        <v>0</v>
      </c>
      <c r="F597" s="105">
        <f t="shared" ca="1" si="182"/>
        <v>0</v>
      </c>
      <c r="G597" s="105">
        <f t="shared" ca="1" si="192"/>
        <v>0</v>
      </c>
      <c r="H597" s="105">
        <f t="shared" ca="1" si="193"/>
        <v>0</v>
      </c>
      <c r="I597" s="105">
        <f t="shared" ca="1" si="183"/>
        <v>0</v>
      </c>
      <c r="J597" s="105">
        <f t="shared" ca="1" si="184"/>
        <v>0</v>
      </c>
      <c r="K597" s="105">
        <f t="shared" ca="1" si="185"/>
        <v>0</v>
      </c>
      <c r="L597" s="105">
        <f t="shared" ca="1" si="175"/>
        <v>0</v>
      </c>
      <c r="M597" s="105">
        <f t="shared" ca="1" si="186"/>
        <v>0</v>
      </c>
      <c r="N597" s="105">
        <f t="shared" ca="1" si="176"/>
        <v>0</v>
      </c>
      <c r="O597" s="105">
        <f t="shared" ca="1" si="187"/>
        <v>0</v>
      </c>
      <c r="P597" s="105">
        <f t="shared" ca="1" si="188"/>
        <v>0</v>
      </c>
      <c r="Q597" s="105">
        <f t="shared" ca="1" si="189"/>
        <v>0</v>
      </c>
      <c r="R597" s="105">
        <f t="shared" ca="1" si="190"/>
        <v>0</v>
      </c>
      <c r="S597" s="105">
        <f t="shared" ca="1" si="191"/>
        <v>10</v>
      </c>
    </row>
    <row r="598" spans="1:19" x14ac:dyDescent="0.35">
      <c r="A598" s="105">
        <f t="shared" ca="1" si="177"/>
        <v>804.73749999999552</v>
      </c>
      <c r="B598" s="105">
        <f t="shared" ca="1" si="178"/>
        <v>0</v>
      </c>
      <c r="C598" s="105">
        <f t="shared" ca="1" si="179"/>
        <v>2</v>
      </c>
      <c r="D598" s="105">
        <f t="shared" ca="1" si="180"/>
        <v>0</v>
      </c>
      <c r="E598" s="105">
        <f t="shared" ca="1" si="181"/>
        <v>0</v>
      </c>
      <c r="F598" s="105">
        <f t="shared" ca="1" si="182"/>
        <v>0</v>
      </c>
      <c r="G598" s="105">
        <f t="shared" ca="1" si="192"/>
        <v>0</v>
      </c>
      <c r="H598" s="105">
        <f t="shared" ca="1" si="193"/>
        <v>0</v>
      </c>
      <c r="I598" s="105">
        <f t="shared" ca="1" si="183"/>
        <v>0</v>
      </c>
      <c r="J598" s="105">
        <f t="shared" ca="1" si="184"/>
        <v>0</v>
      </c>
      <c r="K598" s="105">
        <f t="shared" ca="1" si="185"/>
        <v>0</v>
      </c>
      <c r="L598" s="105">
        <f t="shared" ca="1" si="175"/>
        <v>0</v>
      </c>
      <c r="M598" s="105">
        <f t="shared" ca="1" si="186"/>
        <v>0</v>
      </c>
      <c r="N598" s="105">
        <f t="shared" ca="1" si="176"/>
        <v>0</v>
      </c>
      <c r="O598" s="105">
        <f t="shared" ca="1" si="187"/>
        <v>0</v>
      </c>
      <c r="P598" s="105">
        <f t="shared" ca="1" si="188"/>
        <v>0</v>
      </c>
      <c r="Q598" s="105">
        <f t="shared" ca="1" si="189"/>
        <v>0</v>
      </c>
      <c r="R598" s="105">
        <f t="shared" ca="1" si="190"/>
        <v>0</v>
      </c>
      <c r="S598" s="105">
        <f t="shared" ca="1" si="191"/>
        <v>10</v>
      </c>
    </row>
    <row r="599" spans="1:19" x14ac:dyDescent="0.35">
      <c r="A599" s="105">
        <f t="shared" ca="1" si="177"/>
        <v>806.08999999999548</v>
      </c>
      <c r="B599" s="105">
        <f t="shared" ca="1" si="178"/>
        <v>0</v>
      </c>
      <c r="C599" s="105">
        <f t="shared" ca="1" si="179"/>
        <v>2</v>
      </c>
      <c r="D599" s="105">
        <f t="shared" ca="1" si="180"/>
        <v>0</v>
      </c>
      <c r="E599" s="105">
        <f t="shared" ca="1" si="181"/>
        <v>0</v>
      </c>
      <c r="F599" s="105">
        <f t="shared" ca="1" si="182"/>
        <v>0</v>
      </c>
      <c r="G599" s="105">
        <f t="shared" ca="1" si="192"/>
        <v>0</v>
      </c>
      <c r="H599" s="105">
        <f t="shared" ca="1" si="193"/>
        <v>0</v>
      </c>
      <c r="I599" s="105">
        <f t="shared" ca="1" si="183"/>
        <v>0</v>
      </c>
      <c r="J599" s="105">
        <f t="shared" ca="1" si="184"/>
        <v>0</v>
      </c>
      <c r="K599" s="105">
        <f t="shared" ca="1" si="185"/>
        <v>0</v>
      </c>
      <c r="L599" s="105">
        <f t="shared" ca="1" si="175"/>
        <v>0</v>
      </c>
      <c r="M599" s="105">
        <f t="shared" ca="1" si="186"/>
        <v>0</v>
      </c>
      <c r="N599" s="105">
        <f t="shared" ca="1" si="176"/>
        <v>0</v>
      </c>
      <c r="O599" s="105">
        <f t="shared" ca="1" si="187"/>
        <v>0</v>
      </c>
      <c r="P599" s="105">
        <f t="shared" ca="1" si="188"/>
        <v>0</v>
      </c>
      <c r="Q599" s="105">
        <f t="shared" ca="1" si="189"/>
        <v>0</v>
      </c>
      <c r="R599" s="105">
        <f t="shared" ca="1" si="190"/>
        <v>0</v>
      </c>
      <c r="S599" s="105">
        <f t="shared" ca="1" si="191"/>
        <v>10</v>
      </c>
    </row>
    <row r="600" spans="1:19" x14ac:dyDescent="0.35">
      <c r="A600" s="105">
        <f t="shared" ca="1" si="177"/>
        <v>807.44249999999545</v>
      </c>
      <c r="B600" s="105">
        <f t="shared" ca="1" si="178"/>
        <v>0</v>
      </c>
      <c r="C600" s="105">
        <f t="shared" ca="1" si="179"/>
        <v>2</v>
      </c>
      <c r="D600" s="105">
        <f t="shared" ca="1" si="180"/>
        <v>0</v>
      </c>
      <c r="E600" s="105">
        <f t="shared" ca="1" si="181"/>
        <v>0</v>
      </c>
      <c r="F600" s="105">
        <f t="shared" ca="1" si="182"/>
        <v>0</v>
      </c>
      <c r="G600" s="105">
        <f t="shared" ca="1" si="192"/>
        <v>0</v>
      </c>
      <c r="H600" s="105">
        <f t="shared" ca="1" si="193"/>
        <v>0</v>
      </c>
      <c r="I600" s="105">
        <f t="shared" ca="1" si="183"/>
        <v>0</v>
      </c>
      <c r="J600" s="105">
        <f t="shared" ca="1" si="184"/>
        <v>0</v>
      </c>
      <c r="K600" s="105">
        <f t="shared" ca="1" si="185"/>
        <v>0</v>
      </c>
      <c r="L600" s="105">
        <f t="shared" ref="L600:L635" ca="1" si="194">IF(K600+K599&gt;0,1,0)</f>
        <v>0</v>
      </c>
      <c r="M600" s="105">
        <f t="shared" ca="1" si="186"/>
        <v>0</v>
      </c>
      <c r="N600" s="105">
        <f t="shared" ref="N600:N635" ca="1" si="195">IF(M600+M599&gt;0,1,0)</f>
        <v>0</v>
      </c>
      <c r="O600" s="105">
        <f t="shared" ca="1" si="187"/>
        <v>0</v>
      </c>
      <c r="P600" s="105">
        <f t="shared" ca="1" si="188"/>
        <v>0</v>
      </c>
      <c r="Q600" s="105">
        <f t="shared" ca="1" si="189"/>
        <v>0</v>
      </c>
      <c r="R600" s="105">
        <f t="shared" ca="1" si="190"/>
        <v>0</v>
      </c>
      <c r="S600" s="105">
        <f t="shared" ca="1" si="191"/>
        <v>10</v>
      </c>
    </row>
    <row r="601" spans="1:19" x14ac:dyDescent="0.35">
      <c r="A601" s="105">
        <f t="shared" ca="1" si="177"/>
        <v>808.79499999999541</v>
      </c>
      <c r="B601" s="105">
        <f t="shared" ca="1" si="178"/>
        <v>0</v>
      </c>
      <c r="C601" s="105">
        <f t="shared" ca="1" si="179"/>
        <v>2</v>
      </c>
      <c r="D601" s="105">
        <f t="shared" ca="1" si="180"/>
        <v>0</v>
      </c>
      <c r="E601" s="105">
        <f t="shared" ca="1" si="181"/>
        <v>0</v>
      </c>
      <c r="F601" s="105">
        <f t="shared" ca="1" si="182"/>
        <v>0</v>
      </c>
      <c r="G601" s="105">
        <f t="shared" ca="1" si="192"/>
        <v>0</v>
      </c>
      <c r="H601" s="105">
        <f t="shared" ca="1" si="193"/>
        <v>0</v>
      </c>
      <c r="I601" s="105">
        <f t="shared" ca="1" si="183"/>
        <v>0</v>
      </c>
      <c r="J601" s="105">
        <f t="shared" ca="1" si="184"/>
        <v>0</v>
      </c>
      <c r="K601" s="105">
        <f t="shared" ca="1" si="185"/>
        <v>0</v>
      </c>
      <c r="L601" s="105">
        <f t="shared" ca="1" si="194"/>
        <v>0</v>
      </c>
      <c r="M601" s="105">
        <f t="shared" ca="1" si="186"/>
        <v>0</v>
      </c>
      <c r="N601" s="105">
        <f t="shared" ca="1" si="195"/>
        <v>0</v>
      </c>
      <c r="O601" s="105">
        <f t="shared" ca="1" si="187"/>
        <v>0</v>
      </c>
      <c r="P601" s="105">
        <f t="shared" ca="1" si="188"/>
        <v>0</v>
      </c>
      <c r="Q601" s="105">
        <f t="shared" ca="1" si="189"/>
        <v>0</v>
      </c>
      <c r="R601" s="105">
        <f t="shared" ca="1" si="190"/>
        <v>0</v>
      </c>
      <c r="S601" s="105">
        <f t="shared" ca="1" si="191"/>
        <v>10</v>
      </c>
    </row>
    <row r="602" spans="1:19" x14ac:dyDescent="0.35">
      <c r="A602" s="105">
        <f t="shared" ca="1" si="177"/>
        <v>810.14749999999538</v>
      </c>
      <c r="B602" s="105">
        <f t="shared" ca="1" si="178"/>
        <v>0</v>
      </c>
      <c r="C602" s="105">
        <f t="shared" ca="1" si="179"/>
        <v>2</v>
      </c>
      <c r="D602" s="105">
        <f t="shared" ca="1" si="180"/>
        <v>0</v>
      </c>
      <c r="E602" s="105">
        <f t="shared" ca="1" si="181"/>
        <v>0</v>
      </c>
      <c r="F602" s="105">
        <f t="shared" ca="1" si="182"/>
        <v>0</v>
      </c>
      <c r="G602" s="105">
        <f t="shared" ca="1" si="192"/>
        <v>0</v>
      </c>
      <c r="H602" s="105">
        <f t="shared" ca="1" si="193"/>
        <v>0</v>
      </c>
      <c r="I602" s="105">
        <f t="shared" ca="1" si="183"/>
        <v>0</v>
      </c>
      <c r="J602" s="105">
        <f t="shared" ca="1" si="184"/>
        <v>0</v>
      </c>
      <c r="K602" s="105">
        <f t="shared" ca="1" si="185"/>
        <v>0</v>
      </c>
      <c r="L602" s="105">
        <f t="shared" ca="1" si="194"/>
        <v>0</v>
      </c>
      <c r="M602" s="105">
        <f t="shared" ca="1" si="186"/>
        <v>0</v>
      </c>
      <c r="N602" s="105">
        <f t="shared" ca="1" si="195"/>
        <v>0</v>
      </c>
      <c r="O602" s="105">
        <f t="shared" ca="1" si="187"/>
        <v>0</v>
      </c>
      <c r="P602" s="105">
        <f t="shared" ca="1" si="188"/>
        <v>0</v>
      </c>
      <c r="Q602" s="105">
        <f t="shared" ca="1" si="189"/>
        <v>0</v>
      </c>
      <c r="R602" s="105">
        <f t="shared" ca="1" si="190"/>
        <v>0</v>
      </c>
      <c r="S602" s="105">
        <f t="shared" ca="1" si="191"/>
        <v>10</v>
      </c>
    </row>
    <row r="603" spans="1:19" x14ac:dyDescent="0.35">
      <c r="A603" s="105">
        <f t="shared" ca="1" si="177"/>
        <v>811.49999999999534</v>
      </c>
      <c r="B603" s="105">
        <f t="shared" ca="1" si="178"/>
        <v>0</v>
      </c>
      <c r="C603" s="105">
        <f t="shared" ca="1" si="179"/>
        <v>2</v>
      </c>
      <c r="D603" s="105">
        <f t="shared" ca="1" si="180"/>
        <v>0</v>
      </c>
      <c r="E603" s="105">
        <f t="shared" ca="1" si="181"/>
        <v>0</v>
      </c>
      <c r="F603" s="105">
        <f t="shared" ca="1" si="182"/>
        <v>0</v>
      </c>
      <c r="G603" s="105">
        <f t="shared" ca="1" si="192"/>
        <v>0</v>
      </c>
      <c r="H603" s="105">
        <f t="shared" ca="1" si="193"/>
        <v>0</v>
      </c>
      <c r="I603" s="105">
        <f t="shared" ca="1" si="183"/>
        <v>0</v>
      </c>
      <c r="J603" s="105">
        <f t="shared" ca="1" si="184"/>
        <v>0</v>
      </c>
      <c r="K603" s="105">
        <f t="shared" ca="1" si="185"/>
        <v>0</v>
      </c>
      <c r="L603" s="105">
        <f t="shared" ca="1" si="194"/>
        <v>0</v>
      </c>
      <c r="M603" s="105">
        <f t="shared" ca="1" si="186"/>
        <v>0</v>
      </c>
      <c r="N603" s="105">
        <f t="shared" ca="1" si="195"/>
        <v>0</v>
      </c>
      <c r="O603" s="105">
        <f t="shared" ca="1" si="187"/>
        <v>0</v>
      </c>
      <c r="P603" s="105">
        <f t="shared" ca="1" si="188"/>
        <v>0</v>
      </c>
      <c r="Q603" s="105">
        <f t="shared" ca="1" si="189"/>
        <v>0</v>
      </c>
      <c r="R603" s="105">
        <f t="shared" ca="1" si="190"/>
        <v>0</v>
      </c>
      <c r="S603" s="105">
        <f t="shared" ca="1" si="191"/>
        <v>10</v>
      </c>
    </row>
    <row r="604" spans="1:19" x14ac:dyDescent="0.35">
      <c r="A604" s="105">
        <f t="shared" ca="1" si="177"/>
        <v>812.8524999999953</v>
      </c>
      <c r="B604" s="105">
        <f t="shared" ca="1" si="178"/>
        <v>0</v>
      </c>
      <c r="C604" s="105">
        <f t="shared" ca="1" si="179"/>
        <v>2</v>
      </c>
      <c r="D604" s="105">
        <f t="shared" ca="1" si="180"/>
        <v>0</v>
      </c>
      <c r="E604" s="105">
        <f t="shared" ca="1" si="181"/>
        <v>0</v>
      </c>
      <c r="F604" s="105">
        <f t="shared" ca="1" si="182"/>
        <v>0</v>
      </c>
      <c r="G604" s="105">
        <f t="shared" ca="1" si="192"/>
        <v>0</v>
      </c>
      <c r="H604" s="105">
        <f t="shared" ca="1" si="193"/>
        <v>0</v>
      </c>
      <c r="I604" s="105">
        <f t="shared" ca="1" si="183"/>
        <v>0</v>
      </c>
      <c r="J604" s="105">
        <f t="shared" ca="1" si="184"/>
        <v>0</v>
      </c>
      <c r="K604" s="105">
        <f t="shared" ca="1" si="185"/>
        <v>0</v>
      </c>
      <c r="L604" s="105">
        <f t="shared" ca="1" si="194"/>
        <v>0</v>
      </c>
      <c r="M604" s="105">
        <f t="shared" ca="1" si="186"/>
        <v>0</v>
      </c>
      <c r="N604" s="105">
        <f t="shared" ca="1" si="195"/>
        <v>0</v>
      </c>
      <c r="O604" s="105">
        <f t="shared" ca="1" si="187"/>
        <v>0</v>
      </c>
      <c r="P604" s="105">
        <f t="shared" ca="1" si="188"/>
        <v>0</v>
      </c>
      <c r="Q604" s="105">
        <f t="shared" ca="1" si="189"/>
        <v>0</v>
      </c>
      <c r="R604" s="105">
        <f t="shared" ca="1" si="190"/>
        <v>0</v>
      </c>
      <c r="S604" s="105">
        <f t="shared" ca="1" si="191"/>
        <v>10</v>
      </c>
    </row>
    <row r="605" spans="1:19" x14ac:dyDescent="0.35">
      <c r="A605" s="105">
        <f t="shared" ca="1" si="177"/>
        <v>814.20499999999527</v>
      </c>
      <c r="B605" s="105">
        <f t="shared" ca="1" si="178"/>
        <v>0</v>
      </c>
      <c r="C605" s="105">
        <f t="shared" ca="1" si="179"/>
        <v>2</v>
      </c>
      <c r="D605" s="105">
        <f t="shared" ca="1" si="180"/>
        <v>0</v>
      </c>
      <c r="E605" s="105">
        <f t="shared" ca="1" si="181"/>
        <v>0</v>
      </c>
      <c r="F605" s="105">
        <f t="shared" ca="1" si="182"/>
        <v>0</v>
      </c>
      <c r="G605" s="105">
        <f t="shared" ca="1" si="192"/>
        <v>0</v>
      </c>
      <c r="H605" s="105">
        <f t="shared" ca="1" si="193"/>
        <v>0</v>
      </c>
      <c r="I605" s="105">
        <f t="shared" ca="1" si="183"/>
        <v>0</v>
      </c>
      <c r="J605" s="105">
        <f t="shared" ca="1" si="184"/>
        <v>0</v>
      </c>
      <c r="K605" s="105">
        <f t="shared" ca="1" si="185"/>
        <v>0</v>
      </c>
      <c r="L605" s="105">
        <f t="shared" ca="1" si="194"/>
        <v>0</v>
      </c>
      <c r="M605" s="105">
        <f t="shared" ca="1" si="186"/>
        <v>0</v>
      </c>
      <c r="N605" s="105">
        <f t="shared" ca="1" si="195"/>
        <v>0</v>
      </c>
      <c r="O605" s="105">
        <f t="shared" ca="1" si="187"/>
        <v>0</v>
      </c>
      <c r="P605" s="105">
        <f t="shared" ca="1" si="188"/>
        <v>0</v>
      </c>
      <c r="Q605" s="105">
        <f t="shared" ca="1" si="189"/>
        <v>0</v>
      </c>
      <c r="R605" s="105">
        <f t="shared" ca="1" si="190"/>
        <v>0</v>
      </c>
      <c r="S605" s="105">
        <f t="shared" ca="1" si="191"/>
        <v>10</v>
      </c>
    </row>
    <row r="606" spans="1:19" x14ac:dyDescent="0.35">
      <c r="A606" s="105">
        <f t="shared" ca="1" si="177"/>
        <v>815.55749999999523</v>
      </c>
      <c r="B606" s="105">
        <f t="shared" ca="1" si="178"/>
        <v>0</v>
      </c>
      <c r="C606" s="105">
        <f t="shared" ca="1" si="179"/>
        <v>2</v>
      </c>
      <c r="D606" s="105">
        <f t="shared" ca="1" si="180"/>
        <v>0</v>
      </c>
      <c r="E606" s="105">
        <f t="shared" ca="1" si="181"/>
        <v>0</v>
      </c>
      <c r="F606" s="105">
        <f t="shared" ca="1" si="182"/>
        <v>0</v>
      </c>
      <c r="G606" s="105">
        <f t="shared" ca="1" si="192"/>
        <v>0</v>
      </c>
      <c r="H606" s="105">
        <f t="shared" ca="1" si="193"/>
        <v>0</v>
      </c>
      <c r="I606" s="105">
        <f t="shared" ca="1" si="183"/>
        <v>0</v>
      </c>
      <c r="J606" s="105">
        <f t="shared" ca="1" si="184"/>
        <v>0</v>
      </c>
      <c r="K606" s="105">
        <f t="shared" ca="1" si="185"/>
        <v>0</v>
      </c>
      <c r="L606" s="105">
        <f t="shared" ca="1" si="194"/>
        <v>0</v>
      </c>
      <c r="M606" s="105">
        <f t="shared" ca="1" si="186"/>
        <v>0</v>
      </c>
      <c r="N606" s="105">
        <f t="shared" ca="1" si="195"/>
        <v>0</v>
      </c>
      <c r="O606" s="105">
        <f t="shared" ca="1" si="187"/>
        <v>0</v>
      </c>
      <c r="P606" s="105">
        <f t="shared" ca="1" si="188"/>
        <v>0</v>
      </c>
      <c r="Q606" s="105">
        <f t="shared" ca="1" si="189"/>
        <v>0</v>
      </c>
      <c r="R606" s="105">
        <f t="shared" ca="1" si="190"/>
        <v>0</v>
      </c>
      <c r="S606" s="105">
        <f t="shared" ca="1" si="191"/>
        <v>10</v>
      </c>
    </row>
    <row r="607" spans="1:19" x14ac:dyDescent="0.35">
      <c r="A607" s="105">
        <f t="shared" ca="1" si="177"/>
        <v>816.90999999999519</v>
      </c>
      <c r="B607" s="105">
        <f t="shared" ca="1" si="178"/>
        <v>0</v>
      </c>
      <c r="C607" s="105">
        <f t="shared" ca="1" si="179"/>
        <v>2</v>
      </c>
      <c r="D607" s="105">
        <f t="shared" ca="1" si="180"/>
        <v>0</v>
      </c>
      <c r="E607" s="105">
        <f t="shared" ca="1" si="181"/>
        <v>0</v>
      </c>
      <c r="F607" s="105">
        <f t="shared" ca="1" si="182"/>
        <v>0</v>
      </c>
      <c r="G607" s="105">
        <f t="shared" ca="1" si="192"/>
        <v>0</v>
      </c>
      <c r="H607" s="105">
        <f t="shared" ca="1" si="193"/>
        <v>0</v>
      </c>
      <c r="I607" s="105">
        <f t="shared" ca="1" si="183"/>
        <v>0</v>
      </c>
      <c r="J607" s="105">
        <f t="shared" ca="1" si="184"/>
        <v>0</v>
      </c>
      <c r="K607" s="105">
        <f t="shared" ca="1" si="185"/>
        <v>0</v>
      </c>
      <c r="L607" s="105">
        <f t="shared" ca="1" si="194"/>
        <v>0</v>
      </c>
      <c r="M607" s="105">
        <f t="shared" ca="1" si="186"/>
        <v>0</v>
      </c>
      <c r="N607" s="105">
        <f t="shared" ca="1" si="195"/>
        <v>0</v>
      </c>
      <c r="O607" s="105">
        <f t="shared" ca="1" si="187"/>
        <v>0</v>
      </c>
      <c r="P607" s="105">
        <f t="shared" ca="1" si="188"/>
        <v>0</v>
      </c>
      <c r="Q607" s="105">
        <f t="shared" ca="1" si="189"/>
        <v>0</v>
      </c>
      <c r="R607" s="105">
        <f t="shared" ca="1" si="190"/>
        <v>0</v>
      </c>
      <c r="S607" s="105">
        <f t="shared" ca="1" si="191"/>
        <v>10</v>
      </c>
    </row>
    <row r="608" spans="1:19" x14ac:dyDescent="0.35">
      <c r="A608" s="105">
        <f t="shared" ca="1" si="177"/>
        <v>818.26249999999516</v>
      </c>
      <c r="B608" s="105">
        <f t="shared" ca="1" si="178"/>
        <v>0</v>
      </c>
      <c r="C608" s="105">
        <f t="shared" ca="1" si="179"/>
        <v>2</v>
      </c>
      <c r="D608" s="105">
        <f t="shared" ca="1" si="180"/>
        <v>0</v>
      </c>
      <c r="E608" s="105">
        <f t="shared" ca="1" si="181"/>
        <v>0</v>
      </c>
      <c r="F608" s="105">
        <f t="shared" ca="1" si="182"/>
        <v>0</v>
      </c>
      <c r="G608" s="105">
        <f t="shared" ca="1" si="192"/>
        <v>0</v>
      </c>
      <c r="H608" s="105">
        <f t="shared" ca="1" si="193"/>
        <v>0</v>
      </c>
      <c r="I608" s="105">
        <f t="shared" ca="1" si="183"/>
        <v>0</v>
      </c>
      <c r="J608" s="105">
        <f t="shared" ca="1" si="184"/>
        <v>0</v>
      </c>
      <c r="K608" s="105">
        <f t="shared" ca="1" si="185"/>
        <v>0</v>
      </c>
      <c r="L608" s="105">
        <f t="shared" ca="1" si="194"/>
        <v>0</v>
      </c>
      <c r="M608" s="105">
        <f t="shared" ca="1" si="186"/>
        <v>0</v>
      </c>
      <c r="N608" s="105">
        <f t="shared" ca="1" si="195"/>
        <v>0</v>
      </c>
      <c r="O608" s="105">
        <f t="shared" ca="1" si="187"/>
        <v>0</v>
      </c>
      <c r="P608" s="105">
        <f t="shared" ca="1" si="188"/>
        <v>0</v>
      </c>
      <c r="Q608" s="105">
        <f t="shared" ca="1" si="189"/>
        <v>0</v>
      </c>
      <c r="R608" s="105">
        <f t="shared" ca="1" si="190"/>
        <v>0</v>
      </c>
      <c r="S608" s="105">
        <f t="shared" ca="1" si="191"/>
        <v>10</v>
      </c>
    </row>
    <row r="609" spans="1:19" x14ac:dyDescent="0.35">
      <c r="A609" s="105">
        <f t="shared" ca="1" si="177"/>
        <v>819.61499999999512</v>
      </c>
      <c r="B609" s="105">
        <f t="shared" ca="1" si="178"/>
        <v>0</v>
      </c>
      <c r="C609" s="105">
        <f t="shared" ca="1" si="179"/>
        <v>2</v>
      </c>
      <c r="D609" s="105">
        <f t="shared" ca="1" si="180"/>
        <v>0</v>
      </c>
      <c r="E609" s="105">
        <f t="shared" ca="1" si="181"/>
        <v>0</v>
      </c>
      <c r="F609" s="105">
        <f t="shared" ca="1" si="182"/>
        <v>0</v>
      </c>
      <c r="G609" s="105">
        <f t="shared" ca="1" si="192"/>
        <v>0</v>
      </c>
      <c r="H609" s="105">
        <f t="shared" ca="1" si="193"/>
        <v>0</v>
      </c>
      <c r="I609" s="105">
        <f t="shared" ca="1" si="183"/>
        <v>0</v>
      </c>
      <c r="J609" s="105">
        <f t="shared" ca="1" si="184"/>
        <v>0</v>
      </c>
      <c r="K609" s="105">
        <f t="shared" ca="1" si="185"/>
        <v>0</v>
      </c>
      <c r="L609" s="105">
        <f t="shared" ca="1" si="194"/>
        <v>0</v>
      </c>
      <c r="M609" s="105">
        <f t="shared" ca="1" si="186"/>
        <v>0</v>
      </c>
      <c r="N609" s="105">
        <f t="shared" ca="1" si="195"/>
        <v>0</v>
      </c>
      <c r="O609" s="105">
        <f t="shared" ca="1" si="187"/>
        <v>0</v>
      </c>
      <c r="P609" s="105">
        <f t="shared" ca="1" si="188"/>
        <v>0</v>
      </c>
      <c r="Q609" s="105">
        <f t="shared" ca="1" si="189"/>
        <v>0</v>
      </c>
      <c r="R609" s="105">
        <f t="shared" ca="1" si="190"/>
        <v>0</v>
      </c>
      <c r="S609" s="105">
        <f t="shared" ca="1" si="191"/>
        <v>10</v>
      </c>
    </row>
    <row r="610" spans="1:19" x14ac:dyDescent="0.35">
      <c r="A610" s="105">
        <f t="shared" ca="1" si="177"/>
        <v>820.96749999999508</v>
      </c>
      <c r="B610" s="105">
        <f t="shared" ca="1" si="178"/>
        <v>0</v>
      </c>
      <c r="C610" s="105">
        <f t="shared" ca="1" si="179"/>
        <v>2</v>
      </c>
      <c r="D610" s="105">
        <f t="shared" ca="1" si="180"/>
        <v>0</v>
      </c>
      <c r="E610" s="105">
        <f t="shared" ca="1" si="181"/>
        <v>0</v>
      </c>
      <c r="F610" s="105">
        <f t="shared" ca="1" si="182"/>
        <v>0</v>
      </c>
      <c r="G610" s="105">
        <f t="shared" ca="1" si="192"/>
        <v>0</v>
      </c>
      <c r="H610" s="105">
        <f t="shared" ca="1" si="193"/>
        <v>0</v>
      </c>
      <c r="I610" s="105">
        <f t="shared" ca="1" si="183"/>
        <v>0</v>
      </c>
      <c r="J610" s="105">
        <f t="shared" ca="1" si="184"/>
        <v>0</v>
      </c>
      <c r="K610" s="105">
        <f t="shared" ca="1" si="185"/>
        <v>0</v>
      </c>
      <c r="L610" s="105">
        <f t="shared" ca="1" si="194"/>
        <v>0</v>
      </c>
      <c r="M610" s="105">
        <f t="shared" ca="1" si="186"/>
        <v>0</v>
      </c>
      <c r="N610" s="105">
        <f t="shared" ca="1" si="195"/>
        <v>0</v>
      </c>
      <c r="O610" s="105">
        <f t="shared" ca="1" si="187"/>
        <v>0</v>
      </c>
      <c r="P610" s="105">
        <f t="shared" ca="1" si="188"/>
        <v>0</v>
      </c>
      <c r="Q610" s="105">
        <f t="shared" ca="1" si="189"/>
        <v>0</v>
      </c>
      <c r="R610" s="105">
        <f t="shared" ca="1" si="190"/>
        <v>0</v>
      </c>
      <c r="S610" s="105">
        <f t="shared" ca="1" si="191"/>
        <v>10</v>
      </c>
    </row>
    <row r="611" spans="1:19" x14ac:dyDescent="0.35">
      <c r="A611" s="105">
        <f t="shared" ca="1" si="177"/>
        <v>822.31999999999505</v>
      </c>
      <c r="B611" s="105">
        <f t="shared" ca="1" si="178"/>
        <v>0</v>
      </c>
      <c r="C611" s="105">
        <f t="shared" ca="1" si="179"/>
        <v>2</v>
      </c>
      <c r="D611" s="105">
        <f t="shared" ca="1" si="180"/>
        <v>0</v>
      </c>
      <c r="E611" s="105">
        <f t="shared" ca="1" si="181"/>
        <v>0</v>
      </c>
      <c r="F611" s="105">
        <f t="shared" ca="1" si="182"/>
        <v>0</v>
      </c>
      <c r="G611" s="105">
        <f t="shared" ca="1" si="192"/>
        <v>0</v>
      </c>
      <c r="H611" s="105">
        <f t="shared" ca="1" si="193"/>
        <v>0</v>
      </c>
      <c r="I611" s="105">
        <f t="shared" ca="1" si="183"/>
        <v>0</v>
      </c>
      <c r="J611" s="105">
        <f t="shared" ca="1" si="184"/>
        <v>0</v>
      </c>
      <c r="K611" s="105">
        <f t="shared" ca="1" si="185"/>
        <v>0</v>
      </c>
      <c r="L611" s="105">
        <f t="shared" ca="1" si="194"/>
        <v>0</v>
      </c>
      <c r="M611" s="105">
        <f t="shared" ca="1" si="186"/>
        <v>0</v>
      </c>
      <c r="N611" s="105">
        <f t="shared" ca="1" si="195"/>
        <v>0</v>
      </c>
      <c r="O611" s="105">
        <f t="shared" ca="1" si="187"/>
        <v>0</v>
      </c>
      <c r="P611" s="105">
        <f t="shared" ca="1" si="188"/>
        <v>0</v>
      </c>
      <c r="Q611" s="105">
        <f t="shared" ca="1" si="189"/>
        <v>0</v>
      </c>
      <c r="R611" s="105">
        <f t="shared" ca="1" si="190"/>
        <v>0</v>
      </c>
      <c r="S611" s="105">
        <f t="shared" ca="1" si="191"/>
        <v>10</v>
      </c>
    </row>
    <row r="612" spans="1:19" x14ac:dyDescent="0.35">
      <c r="A612" s="105">
        <f t="shared" ca="1" si="177"/>
        <v>823.67249999999501</v>
      </c>
      <c r="B612" s="105">
        <f t="shared" ca="1" si="178"/>
        <v>0</v>
      </c>
      <c r="C612" s="105">
        <f t="shared" ca="1" si="179"/>
        <v>2</v>
      </c>
      <c r="D612" s="105">
        <f t="shared" ca="1" si="180"/>
        <v>0</v>
      </c>
      <c r="E612" s="105">
        <f t="shared" ca="1" si="181"/>
        <v>0</v>
      </c>
      <c r="F612" s="105">
        <f t="shared" ca="1" si="182"/>
        <v>0</v>
      </c>
      <c r="G612" s="105">
        <f t="shared" ca="1" si="192"/>
        <v>0</v>
      </c>
      <c r="H612" s="105">
        <f t="shared" ca="1" si="193"/>
        <v>0</v>
      </c>
      <c r="I612" s="105">
        <f t="shared" ca="1" si="183"/>
        <v>0</v>
      </c>
      <c r="J612" s="105">
        <f t="shared" ca="1" si="184"/>
        <v>0</v>
      </c>
      <c r="K612" s="105">
        <f t="shared" ca="1" si="185"/>
        <v>0</v>
      </c>
      <c r="L612" s="105">
        <f t="shared" ca="1" si="194"/>
        <v>0</v>
      </c>
      <c r="M612" s="105">
        <f t="shared" ca="1" si="186"/>
        <v>0</v>
      </c>
      <c r="N612" s="105">
        <f t="shared" ca="1" si="195"/>
        <v>0</v>
      </c>
      <c r="O612" s="105">
        <f t="shared" ca="1" si="187"/>
        <v>0</v>
      </c>
      <c r="P612" s="105">
        <f t="shared" ca="1" si="188"/>
        <v>0</v>
      </c>
      <c r="Q612" s="105">
        <f t="shared" ca="1" si="189"/>
        <v>0</v>
      </c>
      <c r="R612" s="105">
        <f t="shared" ca="1" si="190"/>
        <v>0</v>
      </c>
      <c r="S612" s="105">
        <f t="shared" ca="1" si="191"/>
        <v>10</v>
      </c>
    </row>
    <row r="613" spans="1:19" x14ac:dyDescent="0.35">
      <c r="A613" s="105">
        <f t="shared" ca="1" si="177"/>
        <v>825.02499999999498</v>
      </c>
      <c r="B613" s="105">
        <f t="shared" ca="1" si="178"/>
        <v>0</v>
      </c>
      <c r="C613" s="105">
        <f t="shared" ca="1" si="179"/>
        <v>2</v>
      </c>
      <c r="D613" s="105">
        <f t="shared" ca="1" si="180"/>
        <v>0</v>
      </c>
      <c r="E613" s="105">
        <f t="shared" ca="1" si="181"/>
        <v>0</v>
      </c>
      <c r="F613" s="105">
        <f t="shared" ca="1" si="182"/>
        <v>0</v>
      </c>
      <c r="G613" s="105">
        <f t="shared" ca="1" si="192"/>
        <v>0</v>
      </c>
      <c r="H613" s="105">
        <f t="shared" ca="1" si="193"/>
        <v>0</v>
      </c>
      <c r="I613" s="105">
        <f t="shared" ca="1" si="183"/>
        <v>0</v>
      </c>
      <c r="J613" s="105">
        <f t="shared" ca="1" si="184"/>
        <v>0</v>
      </c>
      <c r="K613" s="105">
        <f t="shared" ca="1" si="185"/>
        <v>0</v>
      </c>
      <c r="L613" s="105">
        <f t="shared" ca="1" si="194"/>
        <v>0</v>
      </c>
      <c r="M613" s="105">
        <f t="shared" ca="1" si="186"/>
        <v>0</v>
      </c>
      <c r="N613" s="105">
        <f t="shared" ca="1" si="195"/>
        <v>0</v>
      </c>
      <c r="O613" s="105">
        <f t="shared" ca="1" si="187"/>
        <v>0</v>
      </c>
      <c r="P613" s="105">
        <f t="shared" ca="1" si="188"/>
        <v>0</v>
      </c>
      <c r="Q613" s="105">
        <f t="shared" ca="1" si="189"/>
        <v>0</v>
      </c>
      <c r="R613" s="105">
        <f t="shared" ca="1" si="190"/>
        <v>0</v>
      </c>
      <c r="S613" s="105">
        <f t="shared" ca="1" si="191"/>
        <v>10</v>
      </c>
    </row>
    <row r="614" spans="1:19" x14ac:dyDescent="0.35">
      <c r="A614" s="105">
        <f t="shared" ca="1" si="177"/>
        <v>826.37749999999494</v>
      </c>
      <c r="B614" s="105">
        <f t="shared" ca="1" si="178"/>
        <v>0</v>
      </c>
      <c r="C614" s="105">
        <f t="shared" ca="1" si="179"/>
        <v>2</v>
      </c>
      <c r="D614" s="105">
        <f t="shared" ca="1" si="180"/>
        <v>0</v>
      </c>
      <c r="E614" s="105">
        <f t="shared" ca="1" si="181"/>
        <v>0</v>
      </c>
      <c r="F614" s="105">
        <f t="shared" ca="1" si="182"/>
        <v>0</v>
      </c>
      <c r="G614" s="105">
        <f t="shared" ca="1" si="192"/>
        <v>0</v>
      </c>
      <c r="H614" s="105">
        <f t="shared" ca="1" si="193"/>
        <v>0</v>
      </c>
      <c r="I614" s="105">
        <f t="shared" ca="1" si="183"/>
        <v>0</v>
      </c>
      <c r="J614" s="105">
        <f t="shared" ca="1" si="184"/>
        <v>0</v>
      </c>
      <c r="K614" s="105">
        <f t="shared" ca="1" si="185"/>
        <v>0</v>
      </c>
      <c r="L614" s="105">
        <f t="shared" ca="1" si="194"/>
        <v>0</v>
      </c>
      <c r="M614" s="105">
        <f t="shared" ca="1" si="186"/>
        <v>0</v>
      </c>
      <c r="N614" s="105">
        <f t="shared" ca="1" si="195"/>
        <v>0</v>
      </c>
      <c r="O614" s="105">
        <f t="shared" ca="1" si="187"/>
        <v>0</v>
      </c>
      <c r="P614" s="105">
        <f t="shared" ca="1" si="188"/>
        <v>0</v>
      </c>
      <c r="Q614" s="105">
        <f t="shared" ca="1" si="189"/>
        <v>0</v>
      </c>
      <c r="R614" s="105">
        <f t="shared" ca="1" si="190"/>
        <v>0</v>
      </c>
      <c r="S614" s="105">
        <f t="shared" ca="1" si="191"/>
        <v>10</v>
      </c>
    </row>
    <row r="615" spans="1:19" x14ac:dyDescent="0.35">
      <c r="A615" s="105">
        <f t="shared" ca="1" si="177"/>
        <v>827.7299999999949</v>
      </c>
      <c r="B615" s="105">
        <f t="shared" ca="1" si="178"/>
        <v>0</v>
      </c>
      <c r="C615" s="105">
        <f t="shared" ca="1" si="179"/>
        <v>2</v>
      </c>
      <c r="D615" s="105">
        <f t="shared" ca="1" si="180"/>
        <v>0</v>
      </c>
      <c r="E615" s="105">
        <f t="shared" ca="1" si="181"/>
        <v>0</v>
      </c>
      <c r="F615" s="105">
        <f t="shared" ca="1" si="182"/>
        <v>0</v>
      </c>
      <c r="G615" s="105">
        <f t="shared" ca="1" si="192"/>
        <v>0</v>
      </c>
      <c r="H615" s="105">
        <f t="shared" ca="1" si="193"/>
        <v>0</v>
      </c>
      <c r="I615" s="105">
        <f t="shared" ca="1" si="183"/>
        <v>0</v>
      </c>
      <c r="J615" s="105">
        <f t="shared" ca="1" si="184"/>
        <v>0</v>
      </c>
      <c r="K615" s="105">
        <f t="shared" ca="1" si="185"/>
        <v>0</v>
      </c>
      <c r="L615" s="105">
        <f t="shared" ca="1" si="194"/>
        <v>0</v>
      </c>
      <c r="M615" s="105">
        <f t="shared" ca="1" si="186"/>
        <v>0</v>
      </c>
      <c r="N615" s="105">
        <f t="shared" ca="1" si="195"/>
        <v>0</v>
      </c>
      <c r="O615" s="105">
        <f t="shared" ca="1" si="187"/>
        <v>0</v>
      </c>
      <c r="P615" s="105">
        <f t="shared" ca="1" si="188"/>
        <v>0</v>
      </c>
      <c r="Q615" s="105">
        <f t="shared" ca="1" si="189"/>
        <v>0</v>
      </c>
      <c r="R615" s="105">
        <f t="shared" ca="1" si="190"/>
        <v>0</v>
      </c>
      <c r="S615" s="105">
        <f t="shared" ca="1" si="191"/>
        <v>10</v>
      </c>
    </row>
    <row r="616" spans="1:19" x14ac:dyDescent="0.35">
      <c r="A616" s="105">
        <f t="shared" ca="1" si="177"/>
        <v>829.08249999999487</v>
      </c>
      <c r="B616" s="105">
        <f t="shared" ca="1" si="178"/>
        <v>0</v>
      </c>
      <c r="C616" s="105">
        <f t="shared" ca="1" si="179"/>
        <v>2</v>
      </c>
      <c r="D616" s="105">
        <f t="shared" ca="1" si="180"/>
        <v>0</v>
      </c>
      <c r="E616" s="105">
        <f t="shared" ca="1" si="181"/>
        <v>0</v>
      </c>
      <c r="F616" s="105">
        <f t="shared" ca="1" si="182"/>
        <v>0</v>
      </c>
      <c r="G616" s="105">
        <f t="shared" ca="1" si="192"/>
        <v>0</v>
      </c>
      <c r="H616" s="105">
        <f t="shared" ca="1" si="193"/>
        <v>0</v>
      </c>
      <c r="I616" s="105">
        <f t="shared" ca="1" si="183"/>
        <v>0</v>
      </c>
      <c r="J616" s="105">
        <f t="shared" ca="1" si="184"/>
        <v>0</v>
      </c>
      <c r="K616" s="105">
        <f t="shared" ca="1" si="185"/>
        <v>0</v>
      </c>
      <c r="L616" s="105">
        <f t="shared" ca="1" si="194"/>
        <v>0</v>
      </c>
      <c r="M616" s="105">
        <f t="shared" ca="1" si="186"/>
        <v>0</v>
      </c>
      <c r="N616" s="105">
        <f t="shared" ca="1" si="195"/>
        <v>0</v>
      </c>
      <c r="O616" s="105">
        <f t="shared" ca="1" si="187"/>
        <v>0</v>
      </c>
      <c r="P616" s="105">
        <f t="shared" ca="1" si="188"/>
        <v>0</v>
      </c>
      <c r="Q616" s="105">
        <f t="shared" ca="1" si="189"/>
        <v>0</v>
      </c>
      <c r="R616" s="105">
        <f t="shared" ca="1" si="190"/>
        <v>0</v>
      </c>
      <c r="S616" s="105">
        <f t="shared" ca="1" si="191"/>
        <v>10</v>
      </c>
    </row>
    <row r="617" spans="1:19" x14ac:dyDescent="0.35">
      <c r="A617" s="105">
        <f t="shared" ca="1" si="177"/>
        <v>830.43499999999483</v>
      </c>
      <c r="B617" s="105">
        <f t="shared" ca="1" si="178"/>
        <v>0</v>
      </c>
      <c r="C617" s="105">
        <f t="shared" ca="1" si="179"/>
        <v>2</v>
      </c>
      <c r="D617" s="105">
        <f t="shared" ca="1" si="180"/>
        <v>0</v>
      </c>
      <c r="E617" s="105">
        <f t="shared" ca="1" si="181"/>
        <v>0</v>
      </c>
      <c r="F617" s="105">
        <f t="shared" ca="1" si="182"/>
        <v>0</v>
      </c>
      <c r="G617" s="105">
        <f t="shared" ca="1" si="192"/>
        <v>0</v>
      </c>
      <c r="H617" s="105">
        <f t="shared" ca="1" si="193"/>
        <v>0</v>
      </c>
      <c r="I617" s="105">
        <f t="shared" ca="1" si="183"/>
        <v>0</v>
      </c>
      <c r="J617" s="105">
        <f t="shared" ca="1" si="184"/>
        <v>0</v>
      </c>
      <c r="K617" s="105">
        <f t="shared" ca="1" si="185"/>
        <v>0</v>
      </c>
      <c r="L617" s="105">
        <f t="shared" ca="1" si="194"/>
        <v>0</v>
      </c>
      <c r="M617" s="105">
        <f t="shared" ca="1" si="186"/>
        <v>0</v>
      </c>
      <c r="N617" s="105">
        <f t="shared" ca="1" si="195"/>
        <v>0</v>
      </c>
      <c r="O617" s="105">
        <f t="shared" ca="1" si="187"/>
        <v>0</v>
      </c>
      <c r="P617" s="105">
        <f t="shared" ca="1" si="188"/>
        <v>0</v>
      </c>
      <c r="Q617" s="105">
        <f t="shared" ca="1" si="189"/>
        <v>0</v>
      </c>
      <c r="R617" s="105">
        <f t="shared" ca="1" si="190"/>
        <v>0</v>
      </c>
      <c r="S617" s="105">
        <f t="shared" ca="1" si="191"/>
        <v>10</v>
      </c>
    </row>
    <row r="618" spans="1:19" x14ac:dyDescent="0.35">
      <c r="A618" s="105">
        <f t="shared" ca="1" si="177"/>
        <v>831.78749999999479</v>
      </c>
      <c r="B618" s="105">
        <f t="shared" ca="1" si="178"/>
        <v>0</v>
      </c>
      <c r="C618" s="105">
        <f t="shared" ca="1" si="179"/>
        <v>2</v>
      </c>
      <c r="D618" s="105">
        <f t="shared" ca="1" si="180"/>
        <v>0</v>
      </c>
      <c r="E618" s="105">
        <f t="shared" ca="1" si="181"/>
        <v>0</v>
      </c>
      <c r="F618" s="105">
        <f t="shared" ca="1" si="182"/>
        <v>0</v>
      </c>
      <c r="G618" s="105">
        <f t="shared" ca="1" si="192"/>
        <v>0</v>
      </c>
      <c r="H618" s="105">
        <f t="shared" ca="1" si="193"/>
        <v>0</v>
      </c>
      <c r="I618" s="105">
        <f t="shared" ca="1" si="183"/>
        <v>0</v>
      </c>
      <c r="J618" s="105">
        <f t="shared" ca="1" si="184"/>
        <v>0</v>
      </c>
      <c r="K618" s="105">
        <f t="shared" ca="1" si="185"/>
        <v>0</v>
      </c>
      <c r="L618" s="105">
        <f t="shared" ca="1" si="194"/>
        <v>0</v>
      </c>
      <c r="M618" s="105">
        <f t="shared" ca="1" si="186"/>
        <v>0</v>
      </c>
      <c r="N618" s="105">
        <f t="shared" ca="1" si="195"/>
        <v>0</v>
      </c>
      <c r="O618" s="105">
        <f t="shared" ca="1" si="187"/>
        <v>0</v>
      </c>
      <c r="P618" s="105">
        <f t="shared" ca="1" si="188"/>
        <v>0</v>
      </c>
      <c r="Q618" s="105">
        <f t="shared" ca="1" si="189"/>
        <v>0</v>
      </c>
      <c r="R618" s="105">
        <f t="shared" ca="1" si="190"/>
        <v>0</v>
      </c>
      <c r="S618" s="105">
        <f t="shared" ca="1" si="191"/>
        <v>10</v>
      </c>
    </row>
    <row r="619" spans="1:19" x14ac:dyDescent="0.35">
      <c r="A619" s="105">
        <f t="shared" ca="1" si="177"/>
        <v>833.13999999999476</v>
      </c>
      <c r="B619" s="105">
        <f t="shared" ca="1" si="178"/>
        <v>0</v>
      </c>
      <c r="C619" s="105">
        <f t="shared" ca="1" si="179"/>
        <v>2</v>
      </c>
      <c r="D619" s="105">
        <f t="shared" ca="1" si="180"/>
        <v>0</v>
      </c>
      <c r="E619" s="105">
        <f t="shared" ca="1" si="181"/>
        <v>0</v>
      </c>
      <c r="F619" s="105">
        <f t="shared" ca="1" si="182"/>
        <v>0</v>
      </c>
      <c r="G619" s="105">
        <f t="shared" ca="1" si="192"/>
        <v>0</v>
      </c>
      <c r="H619" s="105">
        <f t="shared" ca="1" si="193"/>
        <v>0</v>
      </c>
      <c r="I619" s="105">
        <f t="shared" ca="1" si="183"/>
        <v>0</v>
      </c>
      <c r="J619" s="105">
        <f t="shared" ca="1" si="184"/>
        <v>0</v>
      </c>
      <c r="K619" s="105">
        <f t="shared" ca="1" si="185"/>
        <v>0</v>
      </c>
      <c r="L619" s="105">
        <f t="shared" ca="1" si="194"/>
        <v>0</v>
      </c>
      <c r="M619" s="105">
        <f t="shared" ca="1" si="186"/>
        <v>0</v>
      </c>
      <c r="N619" s="105">
        <f t="shared" ca="1" si="195"/>
        <v>0</v>
      </c>
      <c r="O619" s="105">
        <f t="shared" ca="1" si="187"/>
        <v>0</v>
      </c>
      <c r="P619" s="105">
        <f t="shared" ca="1" si="188"/>
        <v>0</v>
      </c>
      <c r="Q619" s="105">
        <f t="shared" ca="1" si="189"/>
        <v>0</v>
      </c>
      <c r="R619" s="105">
        <f t="shared" ca="1" si="190"/>
        <v>0</v>
      </c>
      <c r="S619" s="105">
        <f t="shared" ca="1" si="191"/>
        <v>10</v>
      </c>
    </row>
    <row r="620" spans="1:19" x14ac:dyDescent="0.35">
      <c r="A620" s="105">
        <f t="shared" ca="1" si="177"/>
        <v>834.49249999999472</v>
      </c>
      <c r="B620" s="105">
        <f t="shared" ca="1" si="178"/>
        <v>0</v>
      </c>
      <c r="C620" s="105">
        <f t="shared" ca="1" si="179"/>
        <v>2</v>
      </c>
      <c r="D620" s="105">
        <f t="shared" ca="1" si="180"/>
        <v>0</v>
      </c>
      <c r="E620" s="105">
        <f t="shared" ca="1" si="181"/>
        <v>0</v>
      </c>
      <c r="F620" s="105">
        <f t="shared" ca="1" si="182"/>
        <v>0</v>
      </c>
      <c r="G620" s="105">
        <f t="shared" ca="1" si="192"/>
        <v>0</v>
      </c>
      <c r="H620" s="105">
        <f t="shared" ca="1" si="193"/>
        <v>0</v>
      </c>
      <c r="I620" s="105">
        <f t="shared" ca="1" si="183"/>
        <v>0</v>
      </c>
      <c r="J620" s="105">
        <f t="shared" ca="1" si="184"/>
        <v>0</v>
      </c>
      <c r="K620" s="105">
        <f t="shared" ca="1" si="185"/>
        <v>0</v>
      </c>
      <c r="L620" s="105">
        <f t="shared" ca="1" si="194"/>
        <v>0</v>
      </c>
      <c r="M620" s="105">
        <f t="shared" ca="1" si="186"/>
        <v>0</v>
      </c>
      <c r="N620" s="105">
        <f t="shared" ca="1" si="195"/>
        <v>0</v>
      </c>
      <c r="O620" s="105">
        <f t="shared" ca="1" si="187"/>
        <v>0</v>
      </c>
      <c r="P620" s="105">
        <f t="shared" ca="1" si="188"/>
        <v>0</v>
      </c>
      <c r="Q620" s="105">
        <f t="shared" ca="1" si="189"/>
        <v>0</v>
      </c>
      <c r="R620" s="105">
        <f t="shared" ca="1" si="190"/>
        <v>0</v>
      </c>
      <c r="S620" s="105">
        <f t="shared" ca="1" si="191"/>
        <v>10</v>
      </c>
    </row>
    <row r="621" spans="1:19" x14ac:dyDescent="0.35">
      <c r="A621" s="105">
        <f t="shared" ca="1" si="177"/>
        <v>835.84499999999468</v>
      </c>
      <c r="B621" s="105">
        <f t="shared" ca="1" si="178"/>
        <v>0</v>
      </c>
      <c r="C621" s="105">
        <f t="shared" ca="1" si="179"/>
        <v>2</v>
      </c>
      <c r="D621" s="105">
        <f t="shared" ca="1" si="180"/>
        <v>0</v>
      </c>
      <c r="E621" s="105">
        <f t="shared" ca="1" si="181"/>
        <v>0</v>
      </c>
      <c r="F621" s="105">
        <f t="shared" ca="1" si="182"/>
        <v>0</v>
      </c>
      <c r="G621" s="105">
        <f t="shared" ca="1" si="192"/>
        <v>0</v>
      </c>
      <c r="H621" s="105">
        <f t="shared" ca="1" si="193"/>
        <v>0</v>
      </c>
      <c r="I621" s="105">
        <f t="shared" ca="1" si="183"/>
        <v>0</v>
      </c>
      <c r="J621" s="105">
        <f t="shared" ca="1" si="184"/>
        <v>0</v>
      </c>
      <c r="K621" s="105">
        <f t="shared" ca="1" si="185"/>
        <v>0</v>
      </c>
      <c r="L621" s="105">
        <f t="shared" ca="1" si="194"/>
        <v>0</v>
      </c>
      <c r="M621" s="105">
        <f t="shared" ca="1" si="186"/>
        <v>0</v>
      </c>
      <c r="N621" s="105">
        <f t="shared" ca="1" si="195"/>
        <v>0</v>
      </c>
      <c r="O621" s="105">
        <f t="shared" ca="1" si="187"/>
        <v>0</v>
      </c>
      <c r="P621" s="105">
        <f t="shared" ca="1" si="188"/>
        <v>0</v>
      </c>
      <c r="Q621" s="105">
        <f t="shared" ca="1" si="189"/>
        <v>0</v>
      </c>
      <c r="R621" s="105">
        <f t="shared" ca="1" si="190"/>
        <v>0</v>
      </c>
      <c r="S621" s="105">
        <f t="shared" ca="1" si="191"/>
        <v>10</v>
      </c>
    </row>
    <row r="622" spans="1:19" x14ac:dyDescent="0.35">
      <c r="A622" s="105">
        <f t="shared" ca="1" si="177"/>
        <v>837.19749999999465</v>
      </c>
      <c r="B622" s="105">
        <f t="shared" ca="1" si="178"/>
        <v>0</v>
      </c>
      <c r="C622" s="105">
        <f t="shared" ca="1" si="179"/>
        <v>2</v>
      </c>
      <c r="D622" s="105">
        <f t="shared" ca="1" si="180"/>
        <v>0</v>
      </c>
      <c r="E622" s="105">
        <f t="shared" ca="1" si="181"/>
        <v>0</v>
      </c>
      <c r="F622" s="105">
        <f t="shared" ca="1" si="182"/>
        <v>0</v>
      </c>
      <c r="G622" s="105">
        <f t="shared" ca="1" si="192"/>
        <v>0</v>
      </c>
      <c r="H622" s="105">
        <f t="shared" ca="1" si="193"/>
        <v>0</v>
      </c>
      <c r="I622" s="105">
        <f t="shared" ca="1" si="183"/>
        <v>0</v>
      </c>
      <c r="J622" s="105">
        <f t="shared" ca="1" si="184"/>
        <v>0</v>
      </c>
      <c r="K622" s="105">
        <f t="shared" ca="1" si="185"/>
        <v>0</v>
      </c>
      <c r="L622" s="105">
        <f t="shared" ca="1" si="194"/>
        <v>0</v>
      </c>
      <c r="M622" s="105">
        <f t="shared" ca="1" si="186"/>
        <v>0</v>
      </c>
      <c r="N622" s="105">
        <f t="shared" ca="1" si="195"/>
        <v>0</v>
      </c>
      <c r="O622" s="105">
        <f t="shared" ca="1" si="187"/>
        <v>0</v>
      </c>
      <c r="P622" s="105">
        <f t="shared" ca="1" si="188"/>
        <v>0</v>
      </c>
      <c r="Q622" s="105">
        <f t="shared" ca="1" si="189"/>
        <v>0</v>
      </c>
      <c r="R622" s="105">
        <f t="shared" ca="1" si="190"/>
        <v>0</v>
      </c>
      <c r="S622" s="105">
        <f t="shared" ca="1" si="191"/>
        <v>10</v>
      </c>
    </row>
    <row r="623" spans="1:19" x14ac:dyDescent="0.35">
      <c r="A623" s="105">
        <f t="shared" ca="1" si="177"/>
        <v>838.54999999999461</v>
      </c>
      <c r="B623" s="105">
        <f t="shared" ca="1" si="178"/>
        <v>0</v>
      </c>
      <c r="C623" s="105">
        <f t="shared" ca="1" si="179"/>
        <v>2</v>
      </c>
      <c r="D623" s="105">
        <f t="shared" ca="1" si="180"/>
        <v>0</v>
      </c>
      <c r="E623" s="105">
        <f t="shared" ca="1" si="181"/>
        <v>0</v>
      </c>
      <c r="F623" s="105">
        <f t="shared" ca="1" si="182"/>
        <v>0</v>
      </c>
      <c r="G623" s="105">
        <f t="shared" ca="1" si="192"/>
        <v>0</v>
      </c>
      <c r="H623" s="105">
        <f t="shared" ca="1" si="193"/>
        <v>0</v>
      </c>
      <c r="I623" s="105">
        <f t="shared" ca="1" si="183"/>
        <v>0</v>
      </c>
      <c r="J623" s="105">
        <f t="shared" ca="1" si="184"/>
        <v>0</v>
      </c>
      <c r="K623" s="105">
        <f t="shared" ca="1" si="185"/>
        <v>0</v>
      </c>
      <c r="L623" s="105">
        <f t="shared" ca="1" si="194"/>
        <v>0</v>
      </c>
      <c r="M623" s="105">
        <f t="shared" ca="1" si="186"/>
        <v>0</v>
      </c>
      <c r="N623" s="105">
        <f t="shared" ca="1" si="195"/>
        <v>0</v>
      </c>
      <c r="O623" s="105">
        <f t="shared" ca="1" si="187"/>
        <v>0</v>
      </c>
      <c r="P623" s="105">
        <f t="shared" ca="1" si="188"/>
        <v>0</v>
      </c>
      <c r="Q623" s="105">
        <f t="shared" ca="1" si="189"/>
        <v>0</v>
      </c>
      <c r="R623" s="105">
        <f t="shared" ca="1" si="190"/>
        <v>0</v>
      </c>
      <c r="S623" s="105">
        <f t="shared" ca="1" si="191"/>
        <v>10</v>
      </c>
    </row>
    <row r="624" spans="1:19" x14ac:dyDescent="0.35">
      <c r="A624" s="105">
        <f t="shared" ca="1" si="177"/>
        <v>839.90249999999457</v>
      </c>
      <c r="B624" s="105">
        <f t="shared" ca="1" si="178"/>
        <v>0</v>
      </c>
      <c r="C624" s="105">
        <f t="shared" ca="1" si="179"/>
        <v>2</v>
      </c>
      <c r="D624" s="105">
        <f t="shared" ca="1" si="180"/>
        <v>0</v>
      </c>
      <c r="E624" s="105">
        <f t="shared" ca="1" si="181"/>
        <v>0</v>
      </c>
      <c r="F624" s="105">
        <f t="shared" ca="1" si="182"/>
        <v>0</v>
      </c>
      <c r="G624" s="105">
        <f t="shared" ca="1" si="192"/>
        <v>0</v>
      </c>
      <c r="H624" s="105">
        <f t="shared" ca="1" si="193"/>
        <v>0</v>
      </c>
      <c r="I624" s="105">
        <f t="shared" ca="1" si="183"/>
        <v>0</v>
      </c>
      <c r="J624" s="105">
        <f t="shared" ca="1" si="184"/>
        <v>0</v>
      </c>
      <c r="K624" s="105">
        <f t="shared" ca="1" si="185"/>
        <v>0</v>
      </c>
      <c r="L624" s="105">
        <f t="shared" ca="1" si="194"/>
        <v>0</v>
      </c>
      <c r="M624" s="105">
        <f t="shared" ca="1" si="186"/>
        <v>0</v>
      </c>
      <c r="N624" s="105">
        <f t="shared" ca="1" si="195"/>
        <v>0</v>
      </c>
      <c r="O624" s="105">
        <f t="shared" ca="1" si="187"/>
        <v>0</v>
      </c>
      <c r="P624" s="105">
        <f t="shared" ca="1" si="188"/>
        <v>0</v>
      </c>
      <c r="Q624" s="105">
        <f t="shared" ca="1" si="189"/>
        <v>0</v>
      </c>
      <c r="R624" s="105">
        <f t="shared" ca="1" si="190"/>
        <v>0</v>
      </c>
      <c r="S624" s="105">
        <f t="shared" ca="1" si="191"/>
        <v>10</v>
      </c>
    </row>
    <row r="625" spans="1:19" x14ac:dyDescent="0.35">
      <c r="A625" s="105">
        <f t="shared" ca="1" si="177"/>
        <v>841.25499999999454</v>
      </c>
      <c r="B625" s="105">
        <f t="shared" ca="1" si="178"/>
        <v>0</v>
      </c>
      <c r="C625" s="105">
        <f t="shared" ca="1" si="179"/>
        <v>2</v>
      </c>
      <c r="D625" s="105">
        <f t="shared" ca="1" si="180"/>
        <v>0</v>
      </c>
      <c r="E625" s="105">
        <f t="shared" ca="1" si="181"/>
        <v>0</v>
      </c>
      <c r="F625" s="105">
        <f t="shared" ca="1" si="182"/>
        <v>0</v>
      </c>
      <c r="G625" s="105">
        <f t="shared" ca="1" si="192"/>
        <v>0</v>
      </c>
      <c r="H625" s="105">
        <f t="shared" ca="1" si="193"/>
        <v>0</v>
      </c>
      <c r="I625" s="105">
        <f t="shared" ca="1" si="183"/>
        <v>0</v>
      </c>
      <c r="J625" s="105">
        <f t="shared" ca="1" si="184"/>
        <v>0</v>
      </c>
      <c r="K625" s="105">
        <f t="shared" ca="1" si="185"/>
        <v>0</v>
      </c>
      <c r="L625" s="105">
        <f t="shared" ca="1" si="194"/>
        <v>0</v>
      </c>
      <c r="M625" s="105">
        <f t="shared" ca="1" si="186"/>
        <v>0</v>
      </c>
      <c r="N625" s="105">
        <f t="shared" ca="1" si="195"/>
        <v>0</v>
      </c>
      <c r="O625" s="105">
        <f t="shared" ca="1" si="187"/>
        <v>0</v>
      </c>
      <c r="P625" s="105">
        <f t="shared" ca="1" si="188"/>
        <v>0</v>
      </c>
      <c r="Q625" s="105">
        <f t="shared" ca="1" si="189"/>
        <v>0</v>
      </c>
      <c r="R625" s="105">
        <f t="shared" ca="1" si="190"/>
        <v>0</v>
      </c>
      <c r="S625" s="105">
        <f t="shared" ca="1" si="191"/>
        <v>10</v>
      </c>
    </row>
    <row r="626" spans="1:19" x14ac:dyDescent="0.35">
      <c r="A626" s="105">
        <f t="shared" ca="1" si="177"/>
        <v>842.6074999999945</v>
      </c>
      <c r="B626" s="105">
        <f t="shared" ca="1" si="178"/>
        <v>0</v>
      </c>
      <c r="C626" s="105">
        <f t="shared" ca="1" si="179"/>
        <v>2</v>
      </c>
      <c r="D626" s="105">
        <f t="shared" ca="1" si="180"/>
        <v>0</v>
      </c>
      <c r="E626" s="105">
        <f t="shared" ca="1" si="181"/>
        <v>0</v>
      </c>
      <c r="F626" s="105">
        <f t="shared" ca="1" si="182"/>
        <v>0</v>
      </c>
      <c r="G626" s="105">
        <f t="shared" ca="1" si="192"/>
        <v>0</v>
      </c>
      <c r="H626" s="105">
        <f t="shared" ca="1" si="193"/>
        <v>0</v>
      </c>
      <c r="I626" s="105">
        <f t="shared" ca="1" si="183"/>
        <v>0</v>
      </c>
      <c r="J626" s="105">
        <f t="shared" ca="1" si="184"/>
        <v>0</v>
      </c>
      <c r="K626" s="105">
        <f t="shared" ca="1" si="185"/>
        <v>0</v>
      </c>
      <c r="L626" s="105">
        <f t="shared" ca="1" si="194"/>
        <v>0</v>
      </c>
      <c r="M626" s="105">
        <f t="shared" ca="1" si="186"/>
        <v>0</v>
      </c>
      <c r="N626" s="105">
        <f t="shared" ca="1" si="195"/>
        <v>0</v>
      </c>
      <c r="O626" s="105">
        <f t="shared" ca="1" si="187"/>
        <v>0</v>
      </c>
      <c r="P626" s="105">
        <f t="shared" ca="1" si="188"/>
        <v>0</v>
      </c>
      <c r="Q626" s="105">
        <f t="shared" ca="1" si="189"/>
        <v>0</v>
      </c>
      <c r="R626" s="105">
        <f t="shared" ca="1" si="190"/>
        <v>0</v>
      </c>
      <c r="S626" s="105">
        <f t="shared" ca="1" si="191"/>
        <v>10</v>
      </c>
    </row>
    <row r="627" spans="1:19" x14ac:dyDescent="0.35">
      <c r="A627" s="105">
        <f t="shared" ca="1" si="177"/>
        <v>843.95999999999447</v>
      </c>
      <c r="B627" s="105">
        <f t="shared" ca="1" si="178"/>
        <v>0</v>
      </c>
      <c r="C627" s="105">
        <f t="shared" ca="1" si="179"/>
        <v>2</v>
      </c>
      <c r="D627" s="105">
        <f t="shared" ca="1" si="180"/>
        <v>0</v>
      </c>
      <c r="E627" s="105">
        <f t="shared" ca="1" si="181"/>
        <v>0</v>
      </c>
      <c r="F627" s="105">
        <f t="shared" ca="1" si="182"/>
        <v>0</v>
      </c>
      <c r="G627" s="105">
        <f t="shared" ca="1" si="192"/>
        <v>0</v>
      </c>
      <c r="H627" s="105">
        <f t="shared" ca="1" si="193"/>
        <v>0</v>
      </c>
      <c r="I627" s="105">
        <f t="shared" ca="1" si="183"/>
        <v>0</v>
      </c>
      <c r="J627" s="105">
        <f t="shared" ca="1" si="184"/>
        <v>0</v>
      </c>
      <c r="K627" s="105">
        <f t="shared" ca="1" si="185"/>
        <v>0</v>
      </c>
      <c r="L627" s="105">
        <f t="shared" ca="1" si="194"/>
        <v>0</v>
      </c>
      <c r="M627" s="105">
        <f t="shared" ca="1" si="186"/>
        <v>0</v>
      </c>
      <c r="N627" s="105">
        <f t="shared" ca="1" si="195"/>
        <v>0</v>
      </c>
      <c r="O627" s="105">
        <f t="shared" ca="1" si="187"/>
        <v>0</v>
      </c>
      <c r="P627" s="105">
        <f t="shared" ca="1" si="188"/>
        <v>0</v>
      </c>
      <c r="Q627" s="105">
        <f t="shared" ca="1" si="189"/>
        <v>0</v>
      </c>
      <c r="R627" s="105">
        <f t="shared" ca="1" si="190"/>
        <v>0</v>
      </c>
      <c r="S627" s="105">
        <f t="shared" ca="1" si="191"/>
        <v>10</v>
      </c>
    </row>
    <row r="628" spans="1:19" x14ac:dyDescent="0.35">
      <c r="A628" s="105">
        <f t="shared" ca="1" si="177"/>
        <v>845.31249999999443</v>
      </c>
      <c r="B628" s="105">
        <f t="shared" ca="1" si="178"/>
        <v>0</v>
      </c>
      <c r="C628" s="105">
        <f t="shared" ca="1" si="179"/>
        <v>2</v>
      </c>
      <c r="D628" s="105">
        <f t="shared" ca="1" si="180"/>
        <v>0</v>
      </c>
      <c r="E628" s="105">
        <f t="shared" ca="1" si="181"/>
        <v>0</v>
      </c>
      <c r="F628" s="105">
        <f t="shared" ca="1" si="182"/>
        <v>0</v>
      </c>
      <c r="G628" s="105">
        <f t="shared" ca="1" si="192"/>
        <v>0</v>
      </c>
      <c r="H628" s="105">
        <f t="shared" ca="1" si="193"/>
        <v>0</v>
      </c>
      <c r="I628" s="105">
        <f t="shared" ca="1" si="183"/>
        <v>0</v>
      </c>
      <c r="J628" s="105">
        <f t="shared" ca="1" si="184"/>
        <v>0</v>
      </c>
      <c r="K628" s="105">
        <f t="shared" ca="1" si="185"/>
        <v>0</v>
      </c>
      <c r="L628" s="105">
        <f t="shared" ca="1" si="194"/>
        <v>0</v>
      </c>
      <c r="M628" s="105">
        <f t="shared" ca="1" si="186"/>
        <v>0</v>
      </c>
      <c r="N628" s="105">
        <f t="shared" ca="1" si="195"/>
        <v>0</v>
      </c>
      <c r="O628" s="105">
        <f t="shared" ca="1" si="187"/>
        <v>0</v>
      </c>
      <c r="P628" s="105">
        <f t="shared" ca="1" si="188"/>
        <v>0</v>
      </c>
      <c r="Q628" s="105">
        <f t="shared" ca="1" si="189"/>
        <v>0</v>
      </c>
      <c r="R628" s="105">
        <f t="shared" ca="1" si="190"/>
        <v>0</v>
      </c>
      <c r="S628" s="105">
        <f t="shared" ca="1" si="191"/>
        <v>10</v>
      </c>
    </row>
    <row r="629" spans="1:19" x14ac:dyDescent="0.35">
      <c r="A629" s="105">
        <f t="shared" ca="1" si="177"/>
        <v>846.66499999999439</v>
      </c>
      <c r="B629" s="105">
        <f t="shared" ca="1" si="178"/>
        <v>0</v>
      </c>
      <c r="C629" s="105">
        <f t="shared" ca="1" si="179"/>
        <v>2</v>
      </c>
      <c r="D629" s="105">
        <f t="shared" ca="1" si="180"/>
        <v>0</v>
      </c>
      <c r="E629" s="105">
        <f t="shared" ca="1" si="181"/>
        <v>0</v>
      </c>
      <c r="F629" s="105">
        <f t="shared" ca="1" si="182"/>
        <v>0</v>
      </c>
      <c r="G629" s="105">
        <f t="shared" ca="1" si="192"/>
        <v>0</v>
      </c>
      <c r="H629" s="105">
        <f t="shared" ca="1" si="193"/>
        <v>0</v>
      </c>
      <c r="I629" s="105">
        <f t="shared" ca="1" si="183"/>
        <v>0</v>
      </c>
      <c r="J629" s="105">
        <f t="shared" ca="1" si="184"/>
        <v>0</v>
      </c>
      <c r="K629" s="105">
        <f t="shared" ca="1" si="185"/>
        <v>0</v>
      </c>
      <c r="L629" s="105">
        <f t="shared" ca="1" si="194"/>
        <v>0</v>
      </c>
      <c r="M629" s="105">
        <f t="shared" ca="1" si="186"/>
        <v>0</v>
      </c>
      <c r="N629" s="105">
        <f t="shared" ca="1" si="195"/>
        <v>0</v>
      </c>
      <c r="O629" s="105">
        <f t="shared" ca="1" si="187"/>
        <v>0</v>
      </c>
      <c r="P629" s="105">
        <f t="shared" ca="1" si="188"/>
        <v>0</v>
      </c>
      <c r="Q629" s="105">
        <f t="shared" ca="1" si="189"/>
        <v>0</v>
      </c>
      <c r="R629" s="105">
        <f t="shared" ca="1" si="190"/>
        <v>0</v>
      </c>
      <c r="S629" s="105">
        <f t="shared" ca="1" si="191"/>
        <v>10</v>
      </c>
    </row>
    <row r="630" spans="1:19" x14ac:dyDescent="0.35">
      <c r="A630" s="105">
        <f t="shared" ca="1" si="177"/>
        <v>848.01749999999436</v>
      </c>
      <c r="B630" s="105">
        <f t="shared" ca="1" si="178"/>
        <v>0</v>
      </c>
      <c r="C630" s="105">
        <f t="shared" ca="1" si="179"/>
        <v>2</v>
      </c>
      <c r="D630" s="105">
        <f t="shared" ca="1" si="180"/>
        <v>0</v>
      </c>
      <c r="E630" s="105">
        <f t="shared" ca="1" si="181"/>
        <v>0</v>
      </c>
      <c r="F630" s="105">
        <f t="shared" ca="1" si="182"/>
        <v>0</v>
      </c>
      <c r="G630" s="105">
        <f t="shared" ca="1" si="192"/>
        <v>0</v>
      </c>
      <c r="H630" s="105">
        <f t="shared" ca="1" si="193"/>
        <v>0</v>
      </c>
      <c r="I630" s="105">
        <f t="shared" ca="1" si="183"/>
        <v>0</v>
      </c>
      <c r="J630" s="105">
        <f t="shared" ca="1" si="184"/>
        <v>0</v>
      </c>
      <c r="K630" s="105">
        <f t="shared" ca="1" si="185"/>
        <v>0</v>
      </c>
      <c r="L630" s="105">
        <f t="shared" ca="1" si="194"/>
        <v>0</v>
      </c>
      <c r="M630" s="105">
        <f t="shared" ca="1" si="186"/>
        <v>0</v>
      </c>
      <c r="N630" s="105">
        <f t="shared" ca="1" si="195"/>
        <v>0</v>
      </c>
      <c r="O630" s="105">
        <f t="shared" ca="1" si="187"/>
        <v>0</v>
      </c>
      <c r="P630" s="105">
        <f t="shared" ca="1" si="188"/>
        <v>0</v>
      </c>
      <c r="Q630" s="105">
        <f t="shared" ca="1" si="189"/>
        <v>0</v>
      </c>
      <c r="R630" s="105">
        <f t="shared" ca="1" si="190"/>
        <v>0</v>
      </c>
      <c r="S630" s="105">
        <f t="shared" ca="1" si="191"/>
        <v>10</v>
      </c>
    </row>
    <row r="631" spans="1:19" x14ac:dyDescent="0.35">
      <c r="A631" s="105">
        <f t="shared" ca="1" si="177"/>
        <v>849.36999999999432</v>
      </c>
      <c r="B631" s="105">
        <f t="shared" ca="1" si="178"/>
        <v>0</v>
      </c>
      <c r="C631" s="105">
        <f t="shared" ca="1" si="179"/>
        <v>2</v>
      </c>
      <c r="D631" s="105">
        <f t="shared" ca="1" si="180"/>
        <v>0</v>
      </c>
      <c r="E631" s="105">
        <f t="shared" ca="1" si="181"/>
        <v>0</v>
      </c>
      <c r="F631" s="105">
        <f t="shared" ca="1" si="182"/>
        <v>0</v>
      </c>
      <c r="G631" s="105">
        <f t="shared" ca="1" si="192"/>
        <v>0</v>
      </c>
      <c r="H631" s="105">
        <f t="shared" ca="1" si="193"/>
        <v>0</v>
      </c>
      <c r="I631" s="105">
        <f t="shared" ca="1" si="183"/>
        <v>0</v>
      </c>
      <c r="J631" s="105">
        <f t="shared" ca="1" si="184"/>
        <v>0</v>
      </c>
      <c r="K631" s="105">
        <f t="shared" ca="1" si="185"/>
        <v>0</v>
      </c>
      <c r="L631" s="105">
        <f t="shared" ca="1" si="194"/>
        <v>0</v>
      </c>
      <c r="M631" s="105">
        <f t="shared" ca="1" si="186"/>
        <v>0</v>
      </c>
      <c r="N631" s="105">
        <f t="shared" ca="1" si="195"/>
        <v>0</v>
      </c>
      <c r="O631" s="105">
        <f t="shared" ca="1" si="187"/>
        <v>0</v>
      </c>
      <c r="P631" s="105">
        <f t="shared" ca="1" si="188"/>
        <v>0</v>
      </c>
      <c r="Q631" s="105">
        <f t="shared" ca="1" si="189"/>
        <v>0</v>
      </c>
      <c r="R631" s="105">
        <f t="shared" ca="1" si="190"/>
        <v>0</v>
      </c>
      <c r="S631" s="105">
        <f t="shared" ca="1" si="191"/>
        <v>10</v>
      </c>
    </row>
    <row r="632" spans="1:19" x14ac:dyDescent="0.35">
      <c r="A632" s="105">
        <f t="shared" ca="1" si="177"/>
        <v>850.72249999999428</v>
      </c>
      <c r="B632" s="105">
        <f t="shared" ca="1" si="178"/>
        <v>0</v>
      </c>
      <c r="C632" s="105">
        <f t="shared" ca="1" si="179"/>
        <v>2</v>
      </c>
      <c r="D632" s="105">
        <f t="shared" ca="1" si="180"/>
        <v>0</v>
      </c>
      <c r="E632" s="105">
        <f t="shared" ca="1" si="181"/>
        <v>0</v>
      </c>
      <c r="F632" s="105">
        <f t="shared" ca="1" si="182"/>
        <v>0</v>
      </c>
      <c r="G632" s="105">
        <f t="shared" ca="1" si="192"/>
        <v>0</v>
      </c>
      <c r="H632" s="105">
        <f t="shared" ca="1" si="193"/>
        <v>0</v>
      </c>
      <c r="I632" s="105">
        <f t="shared" ca="1" si="183"/>
        <v>0</v>
      </c>
      <c r="J632" s="105">
        <f t="shared" ca="1" si="184"/>
        <v>0</v>
      </c>
      <c r="K632" s="105">
        <f t="shared" ca="1" si="185"/>
        <v>0</v>
      </c>
      <c r="L632" s="105">
        <f t="shared" ca="1" si="194"/>
        <v>0</v>
      </c>
      <c r="M632" s="105">
        <f t="shared" ca="1" si="186"/>
        <v>0</v>
      </c>
      <c r="N632" s="105">
        <f t="shared" ca="1" si="195"/>
        <v>0</v>
      </c>
      <c r="O632" s="105">
        <f t="shared" ca="1" si="187"/>
        <v>0</v>
      </c>
      <c r="P632" s="105">
        <f t="shared" ca="1" si="188"/>
        <v>0</v>
      </c>
      <c r="Q632" s="105">
        <f t="shared" ca="1" si="189"/>
        <v>0</v>
      </c>
      <c r="R632" s="105">
        <f t="shared" ca="1" si="190"/>
        <v>0</v>
      </c>
      <c r="S632" s="105">
        <f t="shared" ca="1" si="191"/>
        <v>10</v>
      </c>
    </row>
    <row r="633" spans="1:19" x14ac:dyDescent="0.35">
      <c r="A633" s="105">
        <f t="shared" ca="1" si="177"/>
        <v>852.07499999999425</v>
      </c>
      <c r="B633" s="105">
        <f t="shared" ca="1" si="178"/>
        <v>0</v>
      </c>
      <c r="C633" s="105">
        <f t="shared" ca="1" si="179"/>
        <v>2</v>
      </c>
      <c r="D633" s="105">
        <f t="shared" ca="1" si="180"/>
        <v>0</v>
      </c>
      <c r="E633" s="105">
        <f t="shared" ca="1" si="181"/>
        <v>0</v>
      </c>
      <c r="F633" s="105">
        <f t="shared" ca="1" si="182"/>
        <v>0</v>
      </c>
      <c r="G633" s="105">
        <f t="shared" ca="1" si="192"/>
        <v>0</v>
      </c>
      <c r="H633" s="105">
        <f t="shared" ca="1" si="193"/>
        <v>0</v>
      </c>
      <c r="I633" s="105">
        <f t="shared" ca="1" si="183"/>
        <v>0</v>
      </c>
      <c r="J633" s="105">
        <f t="shared" ca="1" si="184"/>
        <v>0</v>
      </c>
      <c r="K633" s="105">
        <f t="shared" ca="1" si="185"/>
        <v>0</v>
      </c>
      <c r="L633" s="105">
        <f t="shared" ca="1" si="194"/>
        <v>0</v>
      </c>
      <c r="M633" s="105">
        <f t="shared" ca="1" si="186"/>
        <v>0</v>
      </c>
      <c r="N633" s="105">
        <f t="shared" ca="1" si="195"/>
        <v>0</v>
      </c>
      <c r="O633" s="105">
        <f t="shared" ca="1" si="187"/>
        <v>0</v>
      </c>
      <c r="P633" s="105">
        <f t="shared" ca="1" si="188"/>
        <v>0</v>
      </c>
      <c r="Q633" s="105">
        <f t="shared" ca="1" si="189"/>
        <v>0</v>
      </c>
      <c r="R633" s="105">
        <f t="shared" ca="1" si="190"/>
        <v>0</v>
      </c>
      <c r="S633" s="105">
        <f t="shared" ca="1" si="191"/>
        <v>10</v>
      </c>
    </row>
    <row r="634" spans="1:19" x14ac:dyDescent="0.35">
      <c r="A634" s="105">
        <f t="shared" ca="1" si="177"/>
        <v>853.42749999999421</v>
      </c>
      <c r="B634" s="105">
        <f t="shared" ca="1" si="178"/>
        <v>0</v>
      </c>
      <c r="C634" s="105">
        <f t="shared" ca="1" si="179"/>
        <v>2</v>
      </c>
      <c r="D634" s="105">
        <f t="shared" ca="1" si="180"/>
        <v>0</v>
      </c>
      <c r="E634" s="105">
        <f t="shared" ca="1" si="181"/>
        <v>0</v>
      </c>
      <c r="F634" s="105">
        <f t="shared" ca="1" si="182"/>
        <v>0</v>
      </c>
      <c r="G634" s="105">
        <f t="shared" ca="1" si="192"/>
        <v>0</v>
      </c>
      <c r="H634" s="105">
        <f t="shared" ca="1" si="193"/>
        <v>0</v>
      </c>
      <c r="I634" s="105">
        <f t="shared" ca="1" si="183"/>
        <v>0</v>
      </c>
      <c r="J634" s="105">
        <f t="shared" ca="1" si="184"/>
        <v>0</v>
      </c>
      <c r="K634" s="105">
        <f t="shared" ca="1" si="185"/>
        <v>0</v>
      </c>
      <c r="L634" s="105">
        <f t="shared" ca="1" si="194"/>
        <v>0</v>
      </c>
      <c r="M634" s="105">
        <f t="shared" ca="1" si="186"/>
        <v>0</v>
      </c>
      <c r="N634" s="105">
        <f t="shared" ca="1" si="195"/>
        <v>0</v>
      </c>
      <c r="O634" s="105">
        <f t="shared" ca="1" si="187"/>
        <v>0</v>
      </c>
      <c r="P634" s="105">
        <f t="shared" ca="1" si="188"/>
        <v>0</v>
      </c>
      <c r="Q634" s="105">
        <f t="shared" ca="1" si="189"/>
        <v>0</v>
      </c>
      <c r="R634" s="105">
        <f t="shared" ca="1" si="190"/>
        <v>0</v>
      </c>
      <c r="S634" s="105">
        <f t="shared" ca="1" si="191"/>
        <v>10</v>
      </c>
    </row>
    <row r="635" spans="1:19" x14ac:dyDescent="0.35">
      <c r="A635" s="105">
        <f t="shared" ca="1" si="177"/>
        <v>854.77999999999417</v>
      </c>
      <c r="B635" s="105">
        <f t="shared" ca="1" si="178"/>
        <v>0</v>
      </c>
      <c r="C635" s="105">
        <f t="shared" ca="1" si="179"/>
        <v>2</v>
      </c>
      <c r="D635" s="105">
        <f t="shared" ca="1" si="180"/>
        <v>0</v>
      </c>
      <c r="E635" s="105">
        <f t="shared" ca="1" si="181"/>
        <v>0</v>
      </c>
      <c r="F635" s="105">
        <f t="shared" ca="1" si="182"/>
        <v>0</v>
      </c>
      <c r="G635" s="105">
        <f t="shared" ca="1" si="192"/>
        <v>0</v>
      </c>
      <c r="H635" s="105">
        <f t="shared" ca="1" si="193"/>
        <v>0</v>
      </c>
      <c r="I635" s="105">
        <f t="shared" ca="1" si="183"/>
        <v>0</v>
      </c>
      <c r="J635" s="105">
        <f t="shared" ca="1" si="184"/>
        <v>0</v>
      </c>
      <c r="K635" s="105">
        <f t="shared" ca="1" si="185"/>
        <v>0</v>
      </c>
      <c r="L635" s="105">
        <f t="shared" ca="1" si="194"/>
        <v>0</v>
      </c>
      <c r="M635" s="105">
        <f t="shared" ca="1" si="186"/>
        <v>0</v>
      </c>
      <c r="N635" s="105">
        <f t="shared" ca="1" si="195"/>
        <v>0</v>
      </c>
      <c r="O635" s="105">
        <f t="shared" ca="1" si="187"/>
        <v>0</v>
      </c>
      <c r="P635" s="105">
        <f t="shared" ca="1" si="188"/>
        <v>0</v>
      </c>
      <c r="Q635" s="105">
        <f t="shared" ca="1" si="189"/>
        <v>0</v>
      </c>
      <c r="R635" s="105">
        <f t="shared" ca="1" si="190"/>
        <v>0</v>
      </c>
      <c r="S635" s="105">
        <f t="shared" ca="1" si="191"/>
        <v>10</v>
      </c>
    </row>
  </sheetData>
  <customSheetViews>
    <customSheetView guid="{1FA5F82F-E003-4967-9CFA-E539A86F7F8F}" state="hidden">
      <selection activeCell="G34" sqref="G34:K34"/>
      <pageMargins left="0.7" right="0.7" top="0.75" bottom="0.75" header="0.3" footer="0.3"/>
    </customSheetView>
  </customSheetViews>
  <phoneticPr fontId="11" type="noConversion"/>
  <conditionalFormatting sqref="B1:B2 B636:B1048576">
    <cfRule type="containsText" dxfId="87" priority="2" operator="containsText" text="任">
      <formula>NOT(ISERROR(SEARCH("任",B1)))</formula>
    </cfRule>
  </conditionalFormatting>
  <conditionalFormatting sqref="B3:B635">
    <cfRule type="containsText" dxfId="86" priority="1" operator="containsText" text="任">
      <formula>NOT(ISERROR(SEARCH("任",B3)))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R157"/>
  <sheetViews>
    <sheetView topLeftCell="M34" workbookViewId="0">
      <selection activeCell="S15" sqref="S15"/>
    </sheetView>
  </sheetViews>
  <sheetFormatPr defaultColWidth="9" defaultRowHeight="15.6" x14ac:dyDescent="0.35"/>
  <cols>
    <col min="1" max="1" width="13.54296875" bestFit="1" customWidth="1"/>
    <col min="2" max="2" width="32.81640625" customWidth="1"/>
    <col min="3" max="3" width="10.6328125" bestFit="1" customWidth="1"/>
    <col min="4" max="4" width="11.6328125" bestFit="1" customWidth="1"/>
    <col min="9" max="9" width="21.453125" customWidth="1"/>
    <col min="10" max="10" width="14.90625" bestFit="1" customWidth="1"/>
    <col min="11" max="11" width="12.453125"/>
    <col min="12" max="12" width="10.453125" bestFit="1" customWidth="1"/>
    <col min="13" max="13" width="9.453125" bestFit="1" customWidth="1"/>
    <col min="14" max="14" width="18.36328125" customWidth="1"/>
    <col min="17" max="17" width="15.1796875" bestFit="1" customWidth="1"/>
    <col min="19" max="19" width="17.90625" customWidth="1"/>
    <col min="20" max="20" width="13.54296875" customWidth="1"/>
    <col min="25" max="25" width="12.81640625" bestFit="1" customWidth="1"/>
    <col min="27" max="27" width="12.453125"/>
    <col min="35" max="35" width="22.54296875" bestFit="1" customWidth="1"/>
  </cols>
  <sheetData>
    <row r="1" spans="1:44" x14ac:dyDescent="0.35">
      <c r="C1" t="s">
        <v>0</v>
      </c>
      <c r="D1" t="s">
        <v>1</v>
      </c>
      <c r="E1" t="s">
        <v>10</v>
      </c>
      <c r="F1" t="s">
        <v>12</v>
      </c>
      <c r="G1" t="s">
        <v>14</v>
      </c>
      <c r="H1" t="s">
        <v>16</v>
      </c>
      <c r="I1" t="s">
        <v>17</v>
      </c>
      <c r="J1" t="s">
        <v>18</v>
      </c>
      <c r="K1" t="s">
        <v>20</v>
      </c>
      <c r="L1" t="s">
        <v>22</v>
      </c>
      <c r="M1" t="s">
        <v>24</v>
      </c>
    </row>
    <row r="2" spans="1:44" x14ac:dyDescent="0.35">
      <c r="A2" s="34" t="s">
        <v>612</v>
      </c>
      <c r="B2">
        <f>COUNTIF(配装页面!W12,A2)</f>
        <v>1</v>
      </c>
      <c r="D2">
        <f ca="1">大附魔数值!$I$5+INT((属性开关!F31-大附魔数值!I7)*0.15)+SUM(D43:D94)</f>
        <v>24811</v>
      </c>
      <c r="E2">
        <f ca="1">大附魔数值!$I$6</f>
        <v>37226</v>
      </c>
      <c r="F2">
        <f ca="1">大附魔数值!$I$7</f>
        <v>7799</v>
      </c>
      <c r="G2">
        <f ca="1">大附魔数值!$I$8</f>
        <v>3282</v>
      </c>
      <c r="H2">
        <f ca="1">大附魔数值!$I$9</f>
        <v>5470</v>
      </c>
      <c r="I2" s="21">
        <f ca="1">大附魔数值!$I$10</f>
        <v>0.21473496772552386</v>
      </c>
      <c r="J2" s="21">
        <f ca="1">大附魔数值!$I$11</f>
        <v>1.8463154786243241</v>
      </c>
      <c r="K2">
        <f ca="1">装备库!F1110+INT((F31-F2)*0.3)+SUM(K44:K94)</f>
        <v>26504</v>
      </c>
      <c r="L2" s="21">
        <f>大附魔数值!$I$14</f>
        <v>1</v>
      </c>
      <c r="M2" s="21">
        <f ca="1">大附魔数值!$I$15</f>
        <v>0.35489072903372609</v>
      </c>
    </row>
    <row r="3" spans="1:44" x14ac:dyDescent="0.35">
      <c r="A3" s="30" t="s">
        <v>213</v>
      </c>
      <c r="B3" t="s">
        <v>39</v>
      </c>
      <c r="C3">
        <f>MIN(2,大附魔数值!Q9)*B2</f>
        <v>0</v>
      </c>
      <c r="D3">
        <f ca="1">C3*D2*20/40*306/1024*(1-X37)</f>
        <v>0</v>
      </c>
      <c r="G3">
        <f>15/IF(配装页面!Y22="60s",65,95)*属性开关!B2*IF(配装页面!Y22&lt;&gt;"无",1024-W95*307,0)/1024*(1-群侠万变)*IFERROR(IF(配装页面!Y22&lt;6,0,1),1)+IFERROR(MIN(1,10/45*1024/1024*配装页面!Y22),0)</f>
        <v>0</v>
      </c>
      <c r="N3" s="34" t="s">
        <v>606</v>
      </c>
      <c r="Q3" s="30" t="s">
        <v>222</v>
      </c>
      <c r="R3" t="s">
        <v>40</v>
      </c>
      <c r="S3" t="s">
        <v>41</v>
      </c>
      <c r="T3" s="34" t="s">
        <v>240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AB3" s="1" t="s">
        <v>50</v>
      </c>
      <c r="AC3" s="1" t="s">
        <v>51</v>
      </c>
      <c r="AD3" s="1" t="s">
        <v>52</v>
      </c>
      <c r="AE3" s="1" t="s">
        <v>53</v>
      </c>
      <c r="AF3" s="1" t="s">
        <v>54</v>
      </c>
      <c r="AG3" s="1" t="s">
        <v>55</v>
      </c>
      <c r="AH3" s="1" t="s">
        <v>56</v>
      </c>
      <c r="AI3" s="1" t="s">
        <v>57</v>
      </c>
      <c r="AJ3" s="38" t="s">
        <v>311</v>
      </c>
      <c r="AK3" s="1"/>
    </row>
    <row r="4" spans="1:44" x14ac:dyDescent="0.35">
      <c r="A4" s="30"/>
      <c r="B4" s="34" t="s">
        <v>598</v>
      </c>
      <c r="C4">
        <f>IF(X37=0,IF(配装页面!AB14&gt;0,1,0),配装页面!AB14)</f>
        <v>0</v>
      </c>
      <c r="D4">
        <f ca="1">INT(C4*(204+408)/1024*D2*30/300)*B2*(1-X37)+INT(CHOOSE($X$84,0,205,307,205,307)/1024*D2*8/CHOOSE($X$84,1,300,300,150,150))*B2*(1-X37)</f>
        <v>0</v>
      </c>
      <c r="Q4" s="1" t="s">
        <v>1</v>
      </c>
      <c r="R4" s="20">
        <f ca="1">装备库!E1103</f>
        <v>24751</v>
      </c>
      <c r="S4" s="20">
        <f ca="1">R4+INT(SUM(U6:AJ6)*0.15)+SUM(U4:AJ4)</f>
        <v>24787</v>
      </c>
      <c r="T4" s="20">
        <f ca="1">S4</f>
        <v>24787</v>
      </c>
      <c r="Z4">
        <f>D43</f>
        <v>0</v>
      </c>
      <c r="AD4">
        <f>SUM(D68:D77)</f>
        <v>0</v>
      </c>
      <c r="AF4">
        <f>SUM(D56:D67)</f>
        <v>0</v>
      </c>
      <c r="AG4">
        <f>SUM(D80:D82)</f>
        <v>0</v>
      </c>
      <c r="AH4">
        <f>SUM(D83:D84)</f>
        <v>0</v>
      </c>
      <c r="AJ4">
        <f>D86</f>
        <v>0</v>
      </c>
      <c r="AK4" s="1"/>
    </row>
    <row r="5" spans="1:44" x14ac:dyDescent="0.35">
      <c r="B5" t="s">
        <v>49</v>
      </c>
      <c r="C5">
        <v>0</v>
      </c>
      <c r="I5" s="22"/>
      <c r="J5" s="58">
        <f>C5*50/1024</f>
        <v>0</v>
      </c>
      <c r="K5" s="23"/>
      <c r="L5" s="22"/>
      <c r="M5" s="22"/>
      <c r="Q5" s="1" t="s">
        <v>10</v>
      </c>
      <c r="R5" s="20">
        <f ca="1">装备库!E1104</f>
        <v>37226</v>
      </c>
      <c r="S5" s="20">
        <f ca="1">S4+INT(S6*1638/1024)+SUM(U4:AJ4)</f>
        <v>37903</v>
      </c>
      <c r="T5" s="31">
        <f ca="1">S5+INT(SUM(U5:AI5))</f>
        <v>40347</v>
      </c>
      <c r="W5">
        <f ca="1">INT(S4*51/1024*C10)</f>
        <v>1234</v>
      </c>
      <c r="Y5">
        <f ca="1">CHOOSE(B17,51,50,50,0,0,50,50,0,50,102,0,50,0)/1024*S4</f>
        <v>1210.302734375</v>
      </c>
    </row>
    <row r="6" spans="1:44" x14ac:dyDescent="0.35">
      <c r="B6" t="s">
        <v>43</v>
      </c>
      <c r="C6">
        <f>MIN(2,大附魔数值!O5)*B2</f>
        <v>0</v>
      </c>
      <c r="I6" s="22">
        <f>C6*10%</f>
        <v>0</v>
      </c>
      <c r="J6" s="22"/>
      <c r="K6" s="24"/>
      <c r="L6" s="22"/>
      <c r="M6" s="22"/>
      <c r="Q6" s="1" t="s">
        <v>12</v>
      </c>
      <c r="R6" s="20">
        <f ca="1">装备库!E1105+INT(X47/1024*(F2+F9+SUM(F48:F85)))</f>
        <v>7799</v>
      </c>
      <c r="S6" s="20">
        <f ca="1">INT((R6+SUM(U6:AJ6))*A32/1024)+(R6+SUM(U6:AJ6))</f>
        <v>8200</v>
      </c>
      <c r="T6" s="20">
        <f ca="1">S6</f>
        <v>8200</v>
      </c>
      <c r="X6">
        <f>F9</f>
        <v>244</v>
      </c>
      <c r="Y6">
        <f>F22</f>
        <v>0</v>
      </c>
      <c r="AC6">
        <f>SUM(F52:F53)</f>
        <v>0</v>
      </c>
      <c r="AE6">
        <f>SUM(F48:F49)</f>
        <v>0</v>
      </c>
      <c r="AH6">
        <f>SUM(F83:F84)</f>
        <v>0</v>
      </c>
      <c r="AJ6">
        <f>F87</f>
        <v>0</v>
      </c>
    </row>
    <row r="7" spans="1:44" x14ac:dyDescent="0.35">
      <c r="A7">
        <v>1</v>
      </c>
      <c r="B7" s="34" t="s">
        <v>521</v>
      </c>
      <c r="C7">
        <f>MIN(1,大附魔数值!Q14)</f>
        <v>1</v>
      </c>
      <c r="D7">
        <f ca="1">C7*正常!E55*102/1024*D31*(A7*-1+1)</f>
        <v>0</v>
      </c>
      <c r="I7">
        <f ca="1">C7*正常!E55*0.04*(A7)</f>
        <v>2.2598787999023519E-2</v>
      </c>
      <c r="J7">
        <f ca="1">C7*正常!E55*40/1024*A7</f>
        <v>2.2069128905296408E-2</v>
      </c>
      <c r="L7" s="22"/>
      <c r="M7" s="22"/>
      <c r="Q7" s="1" t="s">
        <v>14</v>
      </c>
      <c r="R7" s="20">
        <f ca="1">装备库!E1106</f>
        <v>3282</v>
      </c>
      <c r="S7" s="20">
        <f ca="1">R7</f>
        <v>3282</v>
      </c>
      <c r="T7" s="20">
        <f ca="1">S7</f>
        <v>3282</v>
      </c>
    </row>
    <row r="8" spans="1:44" x14ac:dyDescent="0.35">
      <c r="B8" t="s">
        <v>44</v>
      </c>
      <c r="C8">
        <f>MIN(1,大附魔数值!O6)*B2</f>
        <v>0</v>
      </c>
      <c r="I8" s="22">
        <v>0</v>
      </c>
      <c r="J8" s="22">
        <f>C8*102/1024</f>
        <v>0</v>
      </c>
      <c r="K8" s="24"/>
      <c r="L8" s="22"/>
      <c r="M8" s="22"/>
      <c r="Q8" s="1" t="s">
        <v>16</v>
      </c>
      <c r="R8" s="20">
        <f ca="1">装备库!E1107</f>
        <v>5470</v>
      </c>
      <c r="S8" s="20">
        <f ca="1">R8</f>
        <v>5470</v>
      </c>
      <c r="T8" s="20">
        <f ca="1">S8</f>
        <v>5470</v>
      </c>
    </row>
    <row r="9" spans="1:44" x14ac:dyDescent="0.35">
      <c r="B9" t="s">
        <v>46</v>
      </c>
      <c r="C9">
        <f>MIN(1,大附魔数值!O8)*B2</f>
        <v>1</v>
      </c>
      <c r="F9">
        <f>C9*244</f>
        <v>244</v>
      </c>
      <c r="I9" s="22">
        <f>INT((F83+F9)*0.64)/属性开关!U25</f>
        <v>1.984164838309644E-3</v>
      </c>
      <c r="J9" s="22"/>
      <c r="K9" s="24"/>
      <c r="L9" s="22"/>
      <c r="M9" s="22"/>
      <c r="Q9" s="1" t="s">
        <v>17</v>
      </c>
      <c r="R9" s="32">
        <f ca="1">装备库!E1108</f>
        <v>0.21473496772552386</v>
      </c>
      <c r="S9" s="32">
        <f ca="1">R9</f>
        <v>0.21473496772552386</v>
      </c>
      <c r="T9" s="32">
        <f ca="1">SUM(S9,U9:AJ9)</f>
        <v>0.24673185156920729</v>
      </c>
      <c r="U9" s="21">
        <f>I6</f>
        <v>0</v>
      </c>
      <c r="V9" s="21">
        <f>I8</f>
        <v>0</v>
      </c>
      <c r="X9" s="32">
        <f>INT(X6*0.645)/属性开关!U25</f>
        <v>1.996883843683424E-3</v>
      </c>
      <c r="Y9">
        <f>CHOOSE(B17,0,0,0,0.03+AO14*0.01,0.05,0,0.05,0.05,0.03,0.03,0.03,0,0)</f>
        <v>0.03</v>
      </c>
      <c r="AD9">
        <f>SUM(I68:I79)</f>
        <v>0</v>
      </c>
      <c r="AF9">
        <f>SUM(I56:I68)</f>
        <v>0</v>
      </c>
      <c r="AH9">
        <f>I84</f>
        <v>0</v>
      </c>
      <c r="AJ9">
        <f>I86</f>
        <v>0</v>
      </c>
    </row>
    <row r="10" spans="1:44" x14ac:dyDescent="0.35">
      <c r="B10" t="s">
        <v>45</v>
      </c>
      <c r="C10">
        <v>1</v>
      </c>
      <c r="D10" s="20">
        <f ca="1">C10*(D2)*51/1024</f>
        <v>1235.7041015625</v>
      </c>
      <c r="I10" s="22"/>
      <c r="J10" s="22"/>
      <c r="K10" s="24"/>
      <c r="L10" s="22"/>
      <c r="M10" s="22"/>
      <c r="Q10" s="1" t="s">
        <v>18</v>
      </c>
      <c r="R10" s="32">
        <f ca="1">装备库!E1109</f>
        <v>1.8463154786243241</v>
      </c>
      <c r="S10" s="32">
        <f ca="1">R10</f>
        <v>1.8463154786243241</v>
      </c>
      <c r="T10" s="32">
        <f ca="1">SUM(S10,U10:AI10)</f>
        <v>1.9967061036243241</v>
      </c>
      <c r="V10" s="21">
        <f>C8*102/(1000+X37*24)</f>
        <v>0</v>
      </c>
      <c r="Y10">
        <f>CHOOSE(B17,0.204,0,0,0.15,0,0,0,0.15,0.154,0,0.1,0,0)*1000/(1000+X37*24)</f>
        <v>0.150390625</v>
      </c>
      <c r="AA10" s="21">
        <f>C5*50/(1000+X37*24)</f>
        <v>0</v>
      </c>
    </row>
    <row r="11" spans="1:44" x14ac:dyDescent="0.35">
      <c r="B11" t="s">
        <v>58</v>
      </c>
      <c r="D11" s="20">
        <f ca="1">INT((D2)*A15*205/1024)*U37</f>
        <v>0</v>
      </c>
      <c r="I11" s="22"/>
      <c r="J11" s="22"/>
      <c r="K11" s="20">
        <f ca="1">INT(K2*205/1024)*U37</f>
        <v>0</v>
      </c>
      <c r="L11" s="22"/>
      <c r="M11" s="22">
        <f>群侠万变*MIN(200,配装页面!AB20)*60/U27*B2*C88</f>
        <v>3.1658405801402861E-2</v>
      </c>
      <c r="N11" s="34" t="s">
        <v>2370</v>
      </c>
      <c r="Q11" t="s">
        <v>20</v>
      </c>
      <c r="R11" s="20">
        <f ca="1">装备库!E1110</f>
        <v>28333</v>
      </c>
      <c r="S11" s="20">
        <f ca="1">R11+INT(SUM(U6:AJ6)*0.3)+INT(SUM(U6:AJ6)*0.25)+Z11+AD11+AF11+AJ11</f>
        <v>28467</v>
      </c>
      <c r="T11" s="20">
        <f ca="1">S11+INT(Y11+AA11)</f>
        <v>28467</v>
      </c>
      <c r="Y11">
        <f ca="1">INT(CHOOSE(B17,0,200,200,0,200,102,102,0,0,102,0,256,0)/1024*S16)</f>
        <v>0</v>
      </c>
      <c r="Z11">
        <f>K45</f>
        <v>0</v>
      </c>
      <c r="AA11" s="33"/>
      <c r="AD11">
        <f>SUM(K68:K77)</f>
        <v>0</v>
      </c>
      <c r="AF11">
        <f>SUM(K56:K67)</f>
        <v>0</v>
      </c>
      <c r="AJ11">
        <f>K86</f>
        <v>0</v>
      </c>
    </row>
    <row r="12" spans="1:44" x14ac:dyDescent="0.35">
      <c r="B12" s="34" t="s">
        <v>256</v>
      </c>
      <c r="C12">
        <f>MIN(4-C5-C6-C8-C14,大附魔数值!O7,(30-6-AB35*6-5*大附魔数值!Q21)/6)*B2</f>
        <v>0</v>
      </c>
      <c r="D12" s="20">
        <f ca="1">(C12)*6/30*INT((D2)*205/1024)</f>
        <v>0</v>
      </c>
      <c r="I12" s="22"/>
      <c r="J12" s="22"/>
      <c r="K12" s="20">
        <f ca="1">(C12)*6/30*INT((K2)*A15*205/1024)</f>
        <v>0</v>
      </c>
      <c r="L12" s="22"/>
      <c r="M12" s="22">
        <f>配装页面!W22*CHOOSE($X$84,0,400,600,400,600)*8/CHOOSE($X$84,1,300,300,150,150)*B2*(X37)/U27</f>
        <v>0</v>
      </c>
      <c r="N12" s="34" t="s">
        <v>632</v>
      </c>
      <c r="Q12" s="34" t="s">
        <v>519</v>
      </c>
      <c r="R12" s="32">
        <f ca="1">装备库!E1111</f>
        <v>0.36036757925530222</v>
      </c>
      <c r="S12" s="32">
        <f ca="1">S11/属性开关!U25</f>
        <v>0.36207192597538873</v>
      </c>
      <c r="T12" s="32">
        <f ca="1">T11/属性开关!U25</f>
        <v>0.36207192597538873</v>
      </c>
      <c r="AO12">
        <f>IFERROR(_xlfn.NUMBERVALUE(LEFT(配装页面!$AB$22,FIND("%",配装页面!$AB$22))),0)</f>
        <v>0</v>
      </c>
    </row>
    <row r="13" spans="1:44" x14ac:dyDescent="0.35">
      <c r="B13" s="30" t="s">
        <v>217</v>
      </c>
      <c r="I13">
        <f>0.12*(45+群侠万变*15)/循环!Y5</f>
        <v>0.11612903225806451</v>
      </c>
      <c r="J13">
        <f>(50*4/1024+X37*10*4/1024)*(45+群侠万变*15)/循环!Y5</f>
        <v>0.22681451612903225</v>
      </c>
      <c r="L13" s="22"/>
      <c r="M13" s="22">
        <f>(C4*(400+40*群侠万变)+INT(C4/2)*(400+40*群侠万变))*30/300*B2*(X37)/U27</f>
        <v>0</v>
      </c>
      <c r="N13" s="34" t="s">
        <v>631</v>
      </c>
      <c r="Q13" s="1" t="s">
        <v>22</v>
      </c>
      <c r="R13" s="32">
        <f>装备库!E1112</f>
        <v>1</v>
      </c>
      <c r="S13" s="32">
        <f>R13</f>
        <v>1</v>
      </c>
      <c r="T13" s="32">
        <f>S13+SUM(U13:AJ13)</f>
        <v>4513</v>
      </c>
      <c r="Y13" s="21">
        <f>SUM(L18:L28)</f>
        <v>0</v>
      </c>
      <c r="AA13" s="21">
        <f>L5</f>
        <v>0</v>
      </c>
      <c r="AB13" s="21">
        <f>L16</f>
        <v>0</v>
      </c>
      <c r="AD13">
        <f>SUM(L68:L77)</f>
        <v>0</v>
      </c>
      <c r="AF13">
        <f>SUM(L57:L67)</f>
        <v>0</v>
      </c>
      <c r="AH13">
        <f>L84</f>
        <v>0</v>
      </c>
      <c r="AI13">
        <f>L17+L15</f>
        <v>4512</v>
      </c>
      <c r="AJ13">
        <f>L86</f>
        <v>0</v>
      </c>
      <c r="AN13" t="s">
        <v>581</v>
      </c>
      <c r="AP13">
        <f>1-SUM(AP14:AP16)</f>
        <v>1</v>
      </c>
    </row>
    <row r="14" spans="1:44" x14ac:dyDescent="0.35">
      <c r="B14" t="s">
        <v>59</v>
      </c>
      <c r="C14">
        <f>MIN(4-C5-C6-C8,大附魔数值!Q7)*B2</f>
        <v>0</v>
      </c>
      <c r="D14" s="20">
        <f ca="1">C14*(D2)*12/60*307/1024</f>
        <v>0</v>
      </c>
      <c r="I14" s="22"/>
      <c r="J14" s="22"/>
      <c r="L14" s="24"/>
      <c r="M14" s="22">
        <f>C3*配装页面!AB13*20/40*400*(X37)/U27</f>
        <v>0</v>
      </c>
      <c r="N14" s="34" t="s">
        <v>630</v>
      </c>
      <c r="P14" s="21"/>
      <c r="Q14" s="1" t="s">
        <v>24</v>
      </c>
      <c r="R14" s="32">
        <f ca="1">装备库!E1113</f>
        <v>0.35489072903372609</v>
      </c>
      <c r="S14" s="32">
        <f ca="1">R14</f>
        <v>0.35489072903372609</v>
      </c>
      <c r="T14" s="32">
        <f ca="1">SUM(U14:AJ14,S14)</f>
        <v>0.36424314974755717</v>
      </c>
      <c r="Y14" s="21">
        <f>SUM(M18:M28)</f>
        <v>0</v>
      </c>
      <c r="AB14" s="21">
        <f>M16</f>
        <v>6.8197482497188667E-3</v>
      </c>
      <c r="AI14" s="21">
        <f>M17+M15</f>
        <v>2.5326724641122293E-3</v>
      </c>
      <c r="AJ14">
        <f>M86</f>
        <v>0</v>
      </c>
      <c r="AN14" t="s">
        <v>582</v>
      </c>
      <c r="AO14">
        <f>IF(COUNTIF(配装页面!AB22,"*%*")&gt;0,5,配装页面!AB22)</f>
        <v>5</v>
      </c>
      <c r="AP14">
        <f>COUNTIF(配装页面!$W$13,AN14)</f>
        <v>0</v>
      </c>
    </row>
    <row r="15" spans="1:44" x14ac:dyDescent="0.35">
      <c r="A15">
        <f>1-X49</f>
        <v>0</v>
      </c>
      <c r="B15" t="s">
        <v>72</v>
      </c>
      <c r="D15" s="20">
        <f ca="1">INT(A15*D31*205/1024)</f>
        <v>0</v>
      </c>
      <c r="I15">
        <f>30%*A15</f>
        <v>0</v>
      </c>
      <c r="J15" s="60" t="s">
        <v>520</v>
      </c>
      <c r="K15" s="23">
        <f ca="1">MIN(2,大附魔数值!Q11)*K2*15/30*204/1024*B2</f>
        <v>0</v>
      </c>
      <c r="L15" s="24">
        <f>192*O15+CHOOSE(群侠万变+1,4500,54)*B2*MIN(CHOOSE(群侠万变+1,1,150),配装页面!AB16)</f>
        <v>4512</v>
      </c>
      <c r="M15" s="22">
        <f>192/属性开关!U27*O15</f>
        <v>2.5326724641122293E-3</v>
      </c>
      <c r="N15" s="34" t="s">
        <v>577</v>
      </c>
      <c r="O15">
        <f>配装页面!Y14*B2</f>
        <v>1</v>
      </c>
      <c r="P15" s="21"/>
      <c r="Q15" s="1" t="s">
        <v>63</v>
      </c>
      <c r="R15" s="20">
        <f ca="1">装备库!E1114</f>
        <v>4335</v>
      </c>
      <c r="S15" s="20">
        <f ca="1">R15</f>
        <v>4335</v>
      </c>
      <c r="T15" s="20">
        <f ca="1">S15</f>
        <v>4335</v>
      </c>
      <c r="AN15" s="34" t="s">
        <v>1378</v>
      </c>
      <c r="AO15">
        <f>IF(COUNTIF(配装页面!AB22,"*%*")&lt;1,IF(配装页面!AB22=0,0,0.5),AO12)</f>
        <v>0.5</v>
      </c>
      <c r="AP15">
        <f>COUNTIF(配装页面!$W$13,AN15)</f>
        <v>0</v>
      </c>
    </row>
    <row r="16" spans="1:44" x14ac:dyDescent="0.35">
      <c r="B16" s="30" t="s">
        <v>215</v>
      </c>
      <c r="D16">
        <f ca="1">IF(配装页面!D32="渊",INT(D31*0.5),0)</f>
        <v>12405</v>
      </c>
      <c r="I16" s="22"/>
      <c r="J16" s="22"/>
      <c r="K16" s="24"/>
      <c r="L16" s="22"/>
      <c r="M16" s="22">
        <f>517/U27*O16</f>
        <v>6.8197482497188667E-3</v>
      </c>
      <c r="N16" s="34" t="s">
        <v>342</v>
      </c>
      <c r="O16">
        <f>MIN(1,大附魔数值!O12)*B2</f>
        <v>1</v>
      </c>
      <c r="Q16" s="1" t="s">
        <v>65</v>
      </c>
      <c r="R16">
        <f ca="1">装备库!F1110</f>
        <v>26384</v>
      </c>
      <c r="S16">
        <f ca="1">R16+INT(SUM(U6:AI6)*0.3)+Z11+AD11+AF11</f>
        <v>26457</v>
      </c>
      <c r="AN16" t="s">
        <v>583</v>
      </c>
      <c r="AO16">
        <f>IF(COUNTIF(配装页面!AB22,"*%*")&gt;0,5,配装页面!AB22)</f>
        <v>5</v>
      </c>
      <c r="AP16">
        <f>COUNTIF(配装页面!$W$13,AN16)</f>
        <v>0</v>
      </c>
      <c r="AR16">
        <f>MATCH(1,AP13:AP16,0)</f>
        <v>1</v>
      </c>
    </row>
    <row r="17" spans="1:44" x14ac:dyDescent="0.35">
      <c r="A17" t="s">
        <v>60</v>
      </c>
      <c r="B17">
        <f>MATCH(大附魔数值!O9,属性开关!B18:B30,0)*B2+(1-B2)*13</f>
        <v>9</v>
      </c>
      <c r="C17" t="str">
        <f>大附魔数值!O9</f>
        <v>凌雪阵</v>
      </c>
      <c r="I17" s="22"/>
      <c r="J17" s="22"/>
      <c r="K17" s="24"/>
      <c r="L17" s="24">
        <f>100*O17</f>
        <v>0</v>
      </c>
      <c r="M17" s="22">
        <f>100/属性开关!U27*O17</f>
        <v>0</v>
      </c>
      <c r="N17" s="34" t="s">
        <v>343</v>
      </c>
      <c r="O17">
        <f>MIN(1,大附魔数值!Q12)*B2</f>
        <v>0</v>
      </c>
      <c r="P17" s="21"/>
      <c r="Q17" s="1" t="s">
        <v>324</v>
      </c>
      <c r="R17">
        <f ca="1">装备库!E1116</f>
        <v>15107</v>
      </c>
      <c r="S17">
        <f ca="1">R17</f>
        <v>15107</v>
      </c>
      <c r="T17">
        <f ca="1">S17+AC17+Y17</f>
        <v>19619</v>
      </c>
      <c r="Y17">
        <f>CHOOSE(B17,0,0,0,0,0,0,0,0,0,0,0,1516,0)</f>
        <v>0</v>
      </c>
      <c r="AB17">
        <v>130</v>
      </c>
      <c r="AC17">
        <f>SUM(L17,L46:L94,L15)</f>
        <v>4512</v>
      </c>
      <c r="AR17">
        <f>CHOOSE($AR$16,1,6,4,6)</f>
        <v>1</v>
      </c>
    </row>
    <row r="18" spans="1:44" x14ac:dyDescent="0.35">
      <c r="B18" t="s">
        <v>62</v>
      </c>
      <c r="D18">
        <f>IF(ROW($B$18)-ROW($B$17)=$B$17,INT(D2*51/1024),0)</f>
        <v>0</v>
      </c>
      <c r="I18" s="22">
        <f>IF(ROW($B$18)-ROW($B$17)=$B$17,INT(INT(34+F9)*31/1024)/属性开关!U25,0)</f>
        <v>0</v>
      </c>
      <c r="J18" s="22">
        <f>IF(ROW($B$18)-ROW($B$17)=$B$17,204/1024,0)</f>
        <v>0</v>
      </c>
      <c r="K18" s="24"/>
      <c r="L18" s="22"/>
      <c r="M18" s="22"/>
      <c r="N18" s="34" t="s">
        <v>1317</v>
      </c>
      <c r="P18" s="21"/>
      <c r="Q18" s="38" t="s">
        <v>469</v>
      </c>
      <c r="R18">
        <f ca="1">装备库!K1100</f>
        <v>26904</v>
      </c>
      <c r="S18">
        <f ca="1">R18</f>
        <v>26904</v>
      </c>
      <c r="T18">
        <f ca="1">S18+SUM(Z14:AJ14)*U27</f>
        <v>27613</v>
      </c>
      <c r="AR18" t="str">
        <f>CHOOSE($AR$16,"",0,"0%",0)</f>
        <v/>
      </c>
    </row>
    <row r="19" spans="1:44" x14ac:dyDescent="0.35">
      <c r="B19" t="s">
        <v>64</v>
      </c>
      <c r="D19">
        <f>IF(ROW($B$19)-ROW($B$17)=$B$17,D2*(50+51*0.5)/1024,0)</f>
        <v>0</v>
      </c>
      <c r="F19">
        <f>IF(ROW($B$19)-ROW($B$17)=$B$17,INT(50/1024*(F2+F9+SUM(F48:F85))),0)</f>
        <v>0</v>
      </c>
      <c r="I19" s="22"/>
      <c r="J19" s="22"/>
      <c r="K19" s="24">
        <f>IF(ROW($B$19)-ROW($B$17)=$B$17,200/1024*(K2),0)</f>
        <v>0</v>
      </c>
      <c r="L19" s="22"/>
      <c r="M19" s="22"/>
      <c r="N19">
        <f>MIN(1,配装页面!AB21*B2*25/121.5)*123/1024</f>
        <v>0</v>
      </c>
      <c r="AR19" t="str">
        <f>CHOOSE($AR$16,"",1,"47%",1)</f>
        <v/>
      </c>
    </row>
    <row r="20" spans="1:44" x14ac:dyDescent="0.35">
      <c r="B20" t="s">
        <v>66</v>
      </c>
      <c r="D20">
        <f>IF(ROW($B$20)-ROW($B$17)=$B$17,D2*(50+51*0.5)/1024,0)</f>
        <v>0</v>
      </c>
      <c r="I20" s="22"/>
      <c r="J20" s="22"/>
      <c r="K20" s="24">
        <f>IF(ROW($B$20)-ROW($B$17)=$B$17,200/1024*(K2),0)</f>
        <v>0</v>
      </c>
      <c r="L20" s="22"/>
      <c r="M20" s="22"/>
      <c r="AR20" t="str">
        <f>CHOOSE($AR$16,"",2,"50%",2)</f>
        <v/>
      </c>
    </row>
    <row r="21" spans="1:44" x14ac:dyDescent="0.35">
      <c r="B21" t="s">
        <v>67</v>
      </c>
      <c r="I21" s="22">
        <f>IF(ROW($B$21)-ROW($B$17)=$B$17,0.03+0.01*AO14,0)</f>
        <v>0</v>
      </c>
      <c r="J21" s="22">
        <f>IF(ROW($B$21)-ROW($B$17)=$B$17,150/1024,0)</f>
        <v>0</v>
      </c>
      <c r="K21" s="24"/>
      <c r="L21" s="22"/>
      <c r="M21" s="22">
        <f>IF(ROW($B$21)-ROW($B$17)=$B$17,20/1024,0)</f>
        <v>0</v>
      </c>
      <c r="AR21" t="str">
        <f>CHOOSE($AR$16,"",3,"52%",3)</f>
        <v/>
      </c>
    </row>
    <row r="22" spans="1:44" x14ac:dyDescent="0.35">
      <c r="A22" s="20"/>
      <c r="B22" s="34" t="s">
        <v>344</v>
      </c>
      <c r="F22">
        <f>IF(ROW($B$22)-ROW($B$17)=$B$17,INT(31/1024*(F2+F9+SUM(F48:F85))),0)</f>
        <v>0</v>
      </c>
      <c r="I22" s="22">
        <f>IF(ROW($B$22)-ROW($B$17)=$B$17,0.05,0)</f>
        <v>0</v>
      </c>
      <c r="J22" s="22"/>
      <c r="K22" s="24">
        <f>IF(ROW($B$22)-ROW($B$17)=$B$17,204/1024*(K2),0)</f>
        <v>0</v>
      </c>
      <c r="L22" s="22"/>
      <c r="M22" s="22">
        <f>IF(ROW($B$22)-ROW($B$17)=$B$17,20/1024,0)</f>
        <v>0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R22" t="str">
        <f>CHOOSE($AR$16,"",4,"56%",4)</f>
        <v/>
      </c>
    </row>
    <row r="23" spans="1:44" x14ac:dyDescent="0.35">
      <c r="B23" t="s">
        <v>68</v>
      </c>
      <c r="D23" s="20">
        <f>IF(ROW($B$23)-ROW($B$17)=$B$17,D2*50/1024,0)</f>
        <v>0</v>
      </c>
      <c r="E23" s="20"/>
      <c r="F23" s="20"/>
      <c r="G23" s="20"/>
      <c r="H23" s="20"/>
      <c r="I23" s="20"/>
      <c r="J23" s="20"/>
      <c r="K23" s="20">
        <f>IF(ROW($B$23)-ROW($B$17)=$B$17,102/1024*K2,0)</f>
        <v>0</v>
      </c>
      <c r="L23" s="22"/>
      <c r="M23" s="22"/>
      <c r="R23" s="1"/>
      <c r="S23" s="1"/>
      <c r="T23" s="38" t="s">
        <v>319</v>
      </c>
      <c r="U23">
        <v>0</v>
      </c>
      <c r="V23" s="38"/>
      <c r="W23" s="1"/>
      <c r="X23" s="1"/>
      <c r="Z23" s="1"/>
      <c r="AA23" s="1"/>
      <c r="AB23" s="1"/>
      <c r="AC23" s="1"/>
      <c r="AD23" s="1"/>
      <c r="AE23" s="1"/>
      <c r="AF23" s="1"/>
      <c r="AI23" s="34" t="s">
        <v>472</v>
      </c>
      <c r="AJ23">
        <v>1</v>
      </c>
      <c r="AR23" t="str">
        <f>CHOOSE($AR$16,"",5,"5/20",5)</f>
        <v/>
      </c>
    </row>
    <row r="24" spans="1:44" x14ac:dyDescent="0.35">
      <c r="B24" t="s">
        <v>69</v>
      </c>
      <c r="D24" s="20">
        <f>IF(ROW($B$24)-ROW($B$17)=$B$17,D2*50/1024,0)</f>
        <v>0</v>
      </c>
      <c r="E24" s="20"/>
      <c r="F24" s="20"/>
      <c r="G24" s="20"/>
      <c r="H24" s="20"/>
      <c r="I24" s="39">
        <f>IF(ROW($B$24)-ROW($B$17)=$B$17,0.05,0)</f>
        <v>0</v>
      </c>
      <c r="J24" s="20"/>
      <c r="K24" s="20">
        <f>IF(ROW($B$24)-ROW($B$17)=$B$17,102/1024*(K2),0)</f>
        <v>0</v>
      </c>
      <c r="L24" s="22"/>
      <c r="M24" s="22">
        <f>IF(ROW($B$24)-ROW($B$17)=$B$17,20/1024,0)</f>
        <v>0</v>
      </c>
      <c r="T24" s="34" t="s">
        <v>304</v>
      </c>
      <c r="U24">
        <v>1</v>
      </c>
      <c r="V24" s="34"/>
      <c r="AI24" s="34" t="s">
        <v>473</v>
      </c>
      <c r="AJ24">
        <f>262*AJ23</f>
        <v>262</v>
      </c>
    </row>
    <row r="25" spans="1:44" x14ac:dyDescent="0.35">
      <c r="B25" s="34" t="s">
        <v>345</v>
      </c>
      <c r="D25" s="20"/>
      <c r="E25" s="20"/>
      <c r="F25" s="20"/>
      <c r="G25" s="20"/>
      <c r="H25" s="20"/>
      <c r="I25" s="22">
        <f>IF(ROW($B$25)-ROW($B$17)=$B$17,0.05,0)</f>
        <v>0</v>
      </c>
      <c r="J25" s="22">
        <f>IF(ROW($B$25)-ROW($B$17)=$B$17,150/1024,0)</f>
        <v>0</v>
      </c>
      <c r="K25" s="20"/>
      <c r="L25" s="22"/>
      <c r="M25" s="22"/>
      <c r="T25" s="34" t="s">
        <v>320</v>
      </c>
      <c r="U25">
        <f>2.2*35737.5</f>
        <v>78622.5</v>
      </c>
      <c r="AA25" s="34" t="s">
        <v>747</v>
      </c>
      <c r="AB25">
        <f>IF(配装页面!D34=$AA$25,1,0)</f>
        <v>0</v>
      </c>
      <c r="AI25" s="34" t="s">
        <v>310</v>
      </c>
      <c r="AJ25">
        <f ca="1">(INT((SUM(F2:F24)+SUM(F39:F94)+131)*(A32+X47)/1024)-INT((SUM(F2:F24)+SUM(F39:F94))*(X47+A32)/1024)+131)*AJ23</f>
        <v>133</v>
      </c>
    </row>
    <row r="26" spans="1:44" x14ac:dyDescent="0.35">
      <c r="B26" s="34" t="s">
        <v>512</v>
      </c>
      <c r="D26" s="20">
        <f ca="1">IF(ROW($B$26)-ROW($B$17)=$B$17,D2*(0.5*102+50)/1024,0)</f>
        <v>2447.1787109375</v>
      </c>
      <c r="E26" s="20"/>
      <c r="F26" s="20"/>
      <c r="G26" s="20"/>
      <c r="H26" s="20"/>
      <c r="I26" s="22">
        <f>IF(ROW($B$26)-ROW($B$17)=$B$17,0.03,0)</f>
        <v>0.03</v>
      </c>
      <c r="J26" s="22">
        <f>IF(ROW($B$26)-ROW($B$17)=$B$17,154/1024,0)</f>
        <v>0.150390625</v>
      </c>
      <c r="K26" s="20"/>
      <c r="L26" s="22"/>
      <c r="M26" s="22"/>
      <c r="T26" s="34" t="s">
        <v>321</v>
      </c>
      <c r="U26">
        <f>12506.25*2.2</f>
        <v>27513.750000000004</v>
      </c>
      <c r="AA26" s="34" t="s">
        <v>748</v>
      </c>
      <c r="AB26">
        <f>IF(配装页面!D34=$AA$26,1,0)</f>
        <v>1</v>
      </c>
      <c r="AI26" s="34" t="s">
        <v>474</v>
      </c>
      <c r="AJ26">
        <f>585*AJ23</f>
        <v>585</v>
      </c>
    </row>
    <row r="27" spans="1:44" x14ac:dyDescent="0.35">
      <c r="B27" s="34" t="s">
        <v>513</v>
      </c>
      <c r="D27" s="20">
        <f>IF(ROW($B$27)-ROW($B$17)=$B$17,D2*(102)/1024,0)</f>
        <v>0</v>
      </c>
      <c r="E27" s="20"/>
      <c r="F27" s="20"/>
      <c r="G27" s="20"/>
      <c r="H27" s="20"/>
      <c r="I27" s="22">
        <f>IF(ROW($B$27)-ROW($B$17)=$B$17,0.03,0)</f>
        <v>0</v>
      </c>
      <c r="J27" s="22"/>
      <c r="K27" s="20">
        <f>IF(ROW($B$27)-ROW($B$17)=$B$17,102/1024*(K2),0)</f>
        <v>0</v>
      </c>
      <c r="L27" s="22"/>
      <c r="M27" s="22"/>
      <c r="T27" s="34" t="s">
        <v>305</v>
      </c>
      <c r="U27">
        <f>34458.75*2.2</f>
        <v>75809.25</v>
      </c>
      <c r="AA27" s="34" t="s">
        <v>739</v>
      </c>
      <c r="AB27">
        <f>IF(配装页面!D35=$AA$27,1,0)</f>
        <v>0</v>
      </c>
      <c r="AI27" s="34" t="s">
        <v>475</v>
      </c>
      <c r="AJ27">
        <f>1571/4*AJ23</f>
        <v>392.75</v>
      </c>
    </row>
    <row r="28" spans="1:44" x14ac:dyDescent="0.35">
      <c r="B28" s="34" t="s">
        <v>289</v>
      </c>
      <c r="D28" s="20"/>
      <c r="E28" s="20"/>
      <c r="F28" s="20"/>
      <c r="G28" s="20"/>
      <c r="H28" s="20"/>
      <c r="I28" s="22">
        <f>IF(ROW($B$28)-ROW($B$17)=$B$17,0.03,0)</f>
        <v>0</v>
      </c>
      <c r="J28" s="22">
        <f>IF(ROW($B$28)-ROW($B$17)=$B$17,100/1024,0)</f>
        <v>0</v>
      </c>
      <c r="K28" s="20"/>
      <c r="L28" s="22"/>
      <c r="M28" s="22">
        <f>IF(ROW($B$28)-ROW($B$17)=$B$17,20/1024,0)</f>
        <v>0</v>
      </c>
      <c r="T28" s="34" t="s">
        <v>322</v>
      </c>
      <c r="U28">
        <f>43856.25*2.2</f>
        <v>96483.750000000015</v>
      </c>
      <c r="AA28" s="34" t="s">
        <v>463</v>
      </c>
      <c r="AB28">
        <f>IF(配装页面!D35=$AA$28,1,0)</f>
        <v>0</v>
      </c>
    </row>
    <row r="29" spans="1:44" x14ac:dyDescent="0.35">
      <c r="B29" s="34" t="s">
        <v>749</v>
      </c>
      <c r="D29" s="20">
        <f>IF(ROW($B$29)-ROW($B$17)=$B$17,D2*50/1024,0)</f>
        <v>0</v>
      </c>
      <c r="E29" s="20"/>
      <c r="F29" s="20"/>
      <c r="G29" s="20"/>
      <c r="H29" s="20"/>
      <c r="I29" s="22"/>
      <c r="J29" s="22"/>
      <c r="K29" s="20">
        <f>IF(ROW($B$29)-ROW($B$17)=$B$17,256/1024*(K2),0)</f>
        <v>0</v>
      </c>
      <c r="L29" s="22"/>
      <c r="M29" s="22"/>
      <c r="T29" s="34"/>
      <c r="AA29" s="34"/>
    </row>
    <row r="30" spans="1:44" x14ac:dyDescent="0.35">
      <c r="B30" t="s">
        <v>70</v>
      </c>
      <c r="C30" t="s">
        <v>0</v>
      </c>
      <c r="D30" t="s">
        <v>1</v>
      </c>
      <c r="E30" s="30" t="s">
        <v>216</v>
      </c>
      <c r="F30" t="s">
        <v>12</v>
      </c>
      <c r="G30" t="s">
        <v>14</v>
      </c>
      <c r="H30" t="s">
        <v>16</v>
      </c>
      <c r="I30" t="s">
        <v>17</v>
      </c>
      <c r="J30" t="s">
        <v>18</v>
      </c>
      <c r="K30" t="s">
        <v>20</v>
      </c>
      <c r="L30" t="s">
        <v>22</v>
      </c>
      <c r="M30" t="s">
        <v>24</v>
      </c>
      <c r="N30" t="s">
        <v>71</v>
      </c>
      <c r="O30" s="34" t="s">
        <v>518</v>
      </c>
      <c r="T30" s="34" t="s">
        <v>305</v>
      </c>
      <c r="U30">
        <v>8717.6</v>
      </c>
      <c r="V30" s="34"/>
      <c r="AA30" s="34" t="s">
        <v>722</v>
      </c>
      <c r="AB30">
        <f>IF(配装页面!D32=$AA$30,1,0)</f>
        <v>0</v>
      </c>
      <c r="AP30">
        <f>2+群侠万变*124</f>
        <v>126</v>
      </c>
    </row>
    <row r="31" spans="1:44" x14ac:dyDescent="0.35">
      <c r="A31" s="34" t="s">
        <v>578</v>
      </c>
      <c r="C31" s="34" t="s">
        <v>223</v>
      </c>
      <c r="D31">
        <f ca="1">D2</f>
        <v>24811</v>
      </c>
      <c r="E31" s="20">
        <f ca="1">D31+INT(F31*1638/1024)+INT(SUM(D3:D10,D12:D14,D17:D29))</f>
        <v>41609</v>
      </c>
      <c r="F31">
        <f ca="1">(SUM(F2:F24)+SUM(F39:F94))+INT((SUM(F2:F24)+SUM(F39:F94))*A32/1024)</f>
        <v>8200</v>
      </c>
      <c r="G31">
        <f ca="1">G2*(1+G3)</f>
        <v>3282</v>
      </c>
      <c r="H31">
        <f ca="1">H2+G2*G3</f>
        <v>5470</v>
      </c>
      <c r="I31" s="21">
        <f ca="1">SUM(I2:I14,I16:I28)+SUM(I38:I95)</f>
        <v>0.38544695282092156</v>
      </c>
      <c r="J31" s="21">
        <f ca="1">SUM(J2:J28,J39,J95)</f>
        <v>2.2455897486586527</v>
      </c>
      <c r="K31" s="20">
        <f ca="1">K2+SUM(K3:K10,K12:K29)+INT((F31)*0.25)</f>
        <v>28554</v>
      </c>
      <c r="L31" s="21">
        <f>L2</f>
        <v>1</v>
      </c>
      <c r="M31" s="21">
        <f ca="1">SUM(M2:M28)+M86</f>
        <v>0.39590155554896006</v>
      </c>
      <c r="N31">
        <f ca="1">(MIN(6,大附魔数值!O19)*51/1024)+(大附魔数值!S8*(0.3*10/1024+0.7*51/1024)*8/正常!E46)+循环!$Y$11*72*3*属性开关!AB32/1024+属性开关!N19</f>
        <v>0.19498679812293862</v>
      </c>
      <c r="O31">
        <f ca="1">(E31-INT(D31+F31*1638/1024))/D31*1024</f>
        <v>151.96356454798274</v>
      </c>
      <c r="R31" s="25"/>
      <c r="T31" s="34" t="s">
        <v>324</v>
      </c>
      <c r="U31">
        <v>13.192</v>
      </c>
      <c r="AA31" s="34" t="s">
        <v>697</v>
      </c>
      <c r="AB31">
        <f>配装页面!AE18</f>
        <v>0</v>
      </c>
      <c r="AO31" s="34" t="s">
        <v>2372</v>
      </c>
      <c r="AP31" s="34" t="s">
        <v>2369</v>
      </c>
      <c r="AQ31" s="34" t="s">
        <v>554</v>
      </c>
      <c r="AR31">
        <v>26</v>
      </c>
    </row>
    <row r="32" spans="1:44" x14ac:dyDescent="0.35">
      <c r="A32">
        <f>B2*配装页面!AB17*10+X47</f>
        <v>20</v>
      </c>
      <c r="C32" s="34" t="s">
        <v>224</v>
      </c>
      <c r="D32">
        <f ca="1">D31</f>
        <v>24811</v>
      </c>
      <c r="E32" s="20">
        <f ca="1">D32+INT(F32*1638/1024)+INT(SUM(D3:D10,D11:D15,D17:D29))</f>
        <v>41609</v>
      </c>
      <c r="F32">
        <f ca="1">F31</f>
        <v>8200</v>
      </c>
      <c r="G32">
        <f ca="1">G31</f>
        <v>3282</v>
      </c>
      <c r="H32">
        <f ca="1">H31</f>
        <v>5470</v>
      </c>
      <c r="I32" s="21">
        <f ca="1">SUM(I2:I14,I15:I28)+SUM(I38:I95)</f>
        <v>0.38544695282092156</v>
      </c>
      <c r="J32" s="21">
        <f ca="1">J31</f>
        <v>2.2455897486586527</v>
      </c>
      <c r="K32" s="20">
        <f ca="1">K2+SUM(K3:K11,K12:K29)+INT((F31)*0.25)</f>
        <v>28554</v>
      </c>
      <c r="L32" s="21">
        <f>L31</f>
        <v>1</v>
      </c>
      <c r="M32" s="21">
        <f ca="1">M31</f>
        <v>0.39590155554896006</v>
      </c>
      <c r="O32">
        <f t="shared" ref="O32:O37" ca="1" si="0">(E32-INT(D32+F32*1638/1024))/D32*1024</f>
        <v>151.96356454798274</v>
      </c>
      <c r="R32" s="25"/>
      <c r="T32" s="34" t="s">
        <v>729</v>
      </c>
      <c r="U32">
        <f>1048576*(0.39-1)</f>
        <v>-639631.35999999999</v>
      </c>
      <c r="AA32" s="34" t="s">
        <v>646</v>
      </c>
      <c r="AB32">
        <f>IF(配装页面!D27="龙驭",1,0)</f>
        <v>1</v>
      </c>
      <c r="AI32" s="34" t="s">
        <v>476</v>
      </c>
      <c r="AJ32" s="34" t="s">
        <v>478</v>
      </c>
      <c r="AO32">
        <v>0</v>
      </c>
      <c r="AP32">
        <v>0</v>
      </c>
      <c r="AQ32" s="34" t="s">
        <v>2373</v>
      </c>
      <c r="AR32">
        <v>31</v>
      </c>
    </row>
    <row r="33" spans="1:44" x14ac:dyDescent="0.35">
      <c r="A33" s="20"/>
      <c r="C33" s="34" t="s">
        <v>225</v>
      </c>
      <c r="D33">
        <f t="shared" ref="D33:D37" ca="1" si="1">D32</f>
        <v>24811</v>
      </c>
      <c r="E33" s="20">
        <f ca="1">D31+INT(F31*1638/1024)+INT(SUM(D3:D10,D12:D14,D16:D29))</f>
        <v>54014</v>
      </c>
      <c r="F33">
        <f t="shared" ref="F33:F38" ca="1" si="2">F32</f>
        <v>8200</v>
      </c>
      <c r="G33">
        <f t="shared" ref="G33:G37" ca="1" si="3">G32</f>
        <v>3282</v>
      </c>
      <c r="H33">
        <f t="shared" ref="H33:H37" ca="1" si="4">H32</f>
        <v>5470</v>
      </c>
      <c r="I33" s="21">
        <f ca="1">SUM(I2:I14,I16:I28)+SUM(I38:I95)</f>
        <v>0.38544695282092156</v>
      </c>
      <c r="J33" s="21">
        <f t="shared" ref="J33:J37" ca="1" si="5">J32</f>
        <v>2.2455897486586527</v>
      </c>
      <c r="K33" s="20">
        <f ca="1">K2+SUM(K3:K10,K12:K29)+INT((F31)*0.25)</f>
        <v>28554</v>
      </c>
      <c r="L33" s="21">
        <f t="shared" ref="L33:L37" si="6">L32</f>
        <v>1</v>
      </c>
      <c r="M33" s="21">
        <f t="shared" ref="M33:M37" ca="1" si="7">M32</f>
        <v>0.39590155554896006</v>
      </c>
      <c r="O33">
        <f t="shared" ca="1" si="0"/>
        <v>663.9429285397606</v>
      </c>
      <c r="R33" s="25"/>
      <c r="AA33" s="34" t="s">
        <v>215</v>
      </c>
      <c r="AB33">
        <f>IF(配装页面!D32="渊",1,0)</f>
        <v>1</v>
      </c>
      <c r="AC33">
        <f>AB32*8+AB33*4+AB34*2+AB35+1</f>
        <v>14</v>
      </c>
      <c r="AI33" s="34" t="s">
        <v>702</v>
      </c>
      <c r="AJ33" s="34">
        <v>1</v>
      </c>
      <c r="AO33">
        <v>1</v>
      </c>
      <c r="AP33">
        <v>5</v>
      </c>
      <c r="AQ33" s="34" t="s">
        <v>735</v>
      </c>
      <c r="AR33">
        <v>41</v>
      </c>
    </row>
    <row r="34" spans="1:44" x14ac:dyDescent="0.35">
      <c r="C34" s="34" t="s">
        <v>226</v>
      </c>
      <c r="D34">
        <f t="shared" ca="1" si="1"/>
        <v>24811</v>
      </c>
      <c r="E34" s="20">
        <f ca="1">D31+INT(F31*1638/1024)+INT(SUM(D3:D11,D12:D16,D17:D29))</f>
        <v>54014</v>
      </c>
      <c r="F34">
        <f t="shared" ca="1" si="2"/>
        <v>8200</v>
      </c>
      <c r="G34">
        <f t="shared" ca="1" si="3"/>
        <v>3282</v>
      </c>
      <c r="H34">
        <f t="shared" ca="1" si="4"/>
        <v>5470</v>
      </c>
      <c r="I34" s="21">
        <f ca="1">SUM(I2:I14,I15:I28)+SUM(I38:I95)</f>
        <v>0.38544695282092156</v>
      </c>
      <c r="J34" s="21">
        <f t="shared" ca="1" si="5"/>
        <v>2.2455897486586527</v>
      </c>
      <c r="K34" s="20">
        <f ca="1">K2+SUM(K3:K11,K12:K29)+INT((F31)*0.25)</f>
        <v>28554</v>
      </c>
      <c r="L34" s="21">
        <f t="shared" si="6"/>
        <v>1</v>
      </c>
      <c r="M34" s="21">
        <f t="shared" ca="1" si="7"/>
        <v>0.39590155554896006</v>
      </c>
      <c r="O34">
        <f t="shared" ca="1" si="0"/>
        <v>663.9429285397606</v>
      </c>
      <c r="R34" s="113" t="s">
        <v>716</v>
      </c>
      <c r="AA34" s="34" t="s">
        <v>287</v>
      </c>
      <c r="AB34">
        <f>T45</f>
        <v>0</v>
      </c>
      <c r="AC34">
        <f>INDEX(AA36:AA55,MATCH(AC33,Z36:Z55,0),1)</f>
        <v>15</v>
      </c>
      <c r="AI34" s="34" t="s">
        <v>703</v>
      </c>
      <c r="AJ34" s="34">
        <v>2</v>
      </c>
      <c r="AO34">
        <v>2</v>
      </c>
      <c r="AP34">
        <v>10</v>
      </c>
    </row>
    <row r="35" spans="1:44" x14ac:dyDescent="0.35">
      <c r="C35" s="34" t="s">
        <v>227</v>
      </c>
      <c r="D35">
        <f t="shared" ca="1" si="1"/>
        <v>24811</v>
      </c>
      <c r="E35" s="20">
        <f ca="1">D31+INT(F31*1638/1024)+INT(SUM(D3:D10,D12:D14,D17:D29,D38))</f>
        <v>49047</v>
      </c>
      <c r="F35">
        <f t="shared" ca="1" si="2"/>
        <v>8200</v>
      </c>
      <c r="G35">
        <f t="shared" ca="1" si="3"/>
        <v>3282</v>
      </c>
      <c r="H35">
        <f t="shared" ca="1" si="4"/>
        <v>5470</v>
      </c>
      <c r="I35" s="21">
        <f ca="1">SUM(I2:I14,I16:I28)+SUM(I38:I95)</f>
        <v>0.38544695282092156</v>
      </c>
      <c r="J35" s="21">
        <f t="shared" ca="1" si="5"/>
        <v>2.2455897486586527</v>
      </c>
      <c r="K35" s="20">
        <f ca="1">K2+SUM(K3:K10,K12:K29)+INT((F31)*0.25)</f>
        <v>28554</v>
      </c>
      <c r="L35" s="21">
        <f t="shared" si="6"/>
        <v>1</v>
      </c>
      <c r="M35" s="21">
        <f t="shared" ca="1" si="7"/>
        <v>0.39590155554896006</v>
      </c>
      <c r="O35">
        <f t="shared" ca="1" si="0"/>
        <v>458.94482286082786</v>
      </c>
      <c r="R35" s="25">
        <f>COUNTIF(配装页面!$D$25,属性开关!R34)</f>
        <v>0</v>
      </c>
      <c r="AA35" s="34" t="s">
        <v>255</v>
      </c>
      <c r="AB35">
        <f>T37</f>
        <v>1</v>
      </c>
      <c r="AI35" s="34" t="s">
        <v>704</v>
      </c>
      <c r="AJ35" s="34">
        <v>3</v>
      </c>
      <c r="AO35">
        <v>3</v>
      </c>
      <c r="AP35">
        <v>15</v>
      </c>
    </row>
    <row r="36" spans="1:44" x14ac:dyDescent="0.35">
      <c r="C36" s="34" t="s">
        <v>228</v>
      </c>
      <c r="D36">
        <f t="shared" ca="1" si="1"/>
        <v>24811</v>
      </c>
      <c r="E36" s="20">
        <f ca="1">D31+INT(F31*1638/1024)+INT(SUM(D3:D10,D12:D14,D16:D29,D38))</f>
        <v>61452</v>
      </c>
      <c r="F36">
        <f t="shared" ca="1" si="2"/>
        <v>8200</v>
      </c>
      <c r="G36">
        <f t="shared" ca="1" si="3"/>
        <v>3282</v>
      </c>
      <c r="H36">
        <f t="shared" ca="1" si="4"/>
        <v>5470</v>
      </c>
      <c r="I36" s="21">
        <f ca="1">SUM(I2:I14,I16:I28)+SUM(I38:I95)</f>
        <v>0.38544695282092156</v>
      </c>
      <c r="J36" s="21">
        <f t="shared" ca="1" si="5"/>
        <v>2.2455897486586527</v>
      </c>
      <c r="K36" s="20">
        <f ca="1">K2+SUM(K3:K10,K12:K29)+INT((F31)*0.25)</f>
        <v>28554</v>
      </c>
      <c r="L36" s="21">
        <f t="shared" si="6"/>
        <v>1</v>
      </c>
      <c r="M36" s="21">
        <f t="shared" ca="1" si="7"/>
        <v>0.39590155554896006</v>
      </c>
      <c r="O36">
        <f t="shared" ca="1" si="0"/>
        <v>970.92418685260566</v>
      </c>
      <c r="R36" s="113" t="s">
        <v>717</v>
      </c>
      <c r="S36" s="34" t="s">
        <v>546</v>
      </c>
      <c r="T36" s="34" t="s">
        <v>255</v>
      </c>
      <c r="U36" s="34" t="s">
        <v>258</v>
      </c>
      <c r="V36" s="34" t="s">
        <v>257</v>
      </c>
      <c r="W36" s="34" t="s">
        <v>547</v>
      </c>
      <c r="X36" s="34" t="s">
        <v>605</v>
      </c>
      <c r="Y36" s="34" t="s">
        <v>260</v>
      </c>
      <c r="Z36">
        <v>4</v>
      </c>
      <c r="AA36">
        <v>1</v>
      </c>
      <c r="AB36">
        <f>IF(COUNTIF(Y36,"*非渊*")&gt;0,0.825,0.68)</f>
        <v>0.82499999999999996</v>
      </c>
      <c r="AI36" s="34" t="s">
        <v>705</v>
      </c>
      <c r="AJ36" s="34">
        <v>4</v>
      </c>
      <c r="AO36">
        <v>4</v>
      </c>
      <c r="AP36">
        <v>20</v>
      </c>
    </row>
    <row r="37" spans="1:44" x14ac:dyDescent="0.35">
      <c r="C37" s="34" t="s">
        <v>229</v>
      </c>
      <c r="D37">
        <f t="shared" ca="1" si="1"/>
        <v>24811</v>
      </c>
      <c r="E37" s="20">
        <f ca="1">D31+INT(F31*1638/1024)+INT(SUM(D3:D11,D12:D14,D15:D29,D38))</f>
        <v>61452</v>
      </c>
      <c r="F37">
        <f t="shared" ca="1" si="2"/>
        <v>8200</v>
      </c>
      <c r="G37">
        <f t="shared" ca="1" si="3"/>
        <v>3282</v>
      </c>
      <c r="H37">
        <f t="shared" ca="1" si="4"/>
        <v>5470</v>
      </c>
      <c r="I37" s="21">
        <f ca="1">SUM(I2:I14,I15:I28)+SUM(I38:I95)</f>
        <v>0.38544695282092156</v>
      </c>
      <c r="J37" s="21">
        <f t="shared" ca="1" si="5"/>
        <v>2.2455897486586527</v>
      </c>
      <c r="K37" s="20">
        <f ca="1">K2+SUM(K3:K11,K12:K29)+INT((F31)*0.25)</f>
        <v>28554</v>
      </c>
      <c r="L37" s="21">
        <f t="shared" si="6"/>
        <v>1</v>
      </c>
      <c r="M37" s="21">
        <f t="shared" ca="1" si="7"/>
        <v>0.39590155554896006</v>
      </c>
      <c r="O37">
        <f t="shared" ca="1" si="0"/>
        <v>970.92418685260566</v>
      </c>
      <c r="Q37" s="34" t="s">
        <v>254</v>
      </c>
      <c r="R37" s="25">
        <f>COUNTIF(配装页面!$D$25,属性开关!R36)</f>
        <v>1</v>
      </c>
      <c r="S37">
        <v>1</v>
      </c>
      <c r="T37">
        <f>IF(AND(S37=1,配装页面!D33=属性开关!R51),1,0)</f>
        <v>1</v>
      </c>
      <c r="U37">
        <f>-1*(T37-1)</f>
        <v>0</v>
      </c>
      <c r="V37">
        <f>-1*(S37-1)</f>
        <v>0</v>
      </c>
      <c r="W37">
        <v>1</v>
      </c>
      <c r="X37">
        <v>1</v>
      </c>
      <c r="Y37" s="34" t="s">
        <v>261</v>
      </c>
      <c r="Z37">
        <v>3</v>
      </c>
      <c r="AA37">
        <v>2</v>
      </c>
      <c r="AB37">
        <f t="shared" ref="AB37:AB55" si="8">IF(COUNTIF(Y37,"*非渊*")&gt;0,0.825,0.68)</f>
        <v>0.82499999999999996</v>
      </c>
      <c r="AI37" s="34" t="s">
        <v>641</v>
      </c>
      <c r="AJ37" s="34">
        <v>1</v>
      </c>
      <c r="AO37">
        <v>5</v>
      </c>
      <c r="AP37">
        <v>25</v>
      </c>
    </row>
    <row r="38" spans="1:44" x14ac:dyDescent="0.35">
      <c r="A38" s="30" t="s">
        <v>218</v>
      </c>
      <c r="B38" t="s">
        <v>84</v>
      </c>
      <c r="D38">
        <f ca="1">INT(D31*(154/1024+153/1024*IF(配装页面!D28=属性开关!R45,1,0)))</f>
        <v>7438</v>
      </c>
      <c r="E38" s="20">
        <f ca="1">INT(D31*(154/1024+153/1024*IF(配装页面!D28=属性开关!R45,1,0))+E31)</f>
        <v>49047</v>
      </c>
      <c r="F38">
        <f t="shared" ca="1" si="2"/>
        <v>8200</v>
      </c>
      <c r="O38">
        <f ca="1">(E38-INT(D37+F38*1638/1024))/D37*1024</f>
        <v>458.94482286082786</v>
      </c>
      <c r="Q38" s="30" t="s">
        <v>221</v>
      </c>
      <c r="S38" s="34" t="s">
        <v>1504</v>
      </c>
      <c r="Y38" s="34" t="s">
        <v>262</v>
      </c>
      <c r="Z38">
        <v>8</v>
      </c>
      <c r="AA38">
        <v>3</v>
      </c>
      <c r="AB38">
        <f t="shared" si="8"/>
        <v>0.68</v>
      </c>
      <c r="AI38" s="34" t="s">
        <v>642</v>
      </c>
      <c r="AJ38" s="34">
        <v>2</v>
      </c>
      <c r="AO38">
        <v>6</v>
      </c>
      <c r="AP38">
        <v>30</v>
      </c>
    </row>
    <row r="39" spans="1:44" x14ac:dyDescent="0.35">
      <c r="C39" s="34" t="s">
        <v>514</v>
      </c>
      <c r="D39">
        <f ca="1">D35</f>
        <v>24811</v>
      </c>
      <c r="E39" s="20">
        <f ca="1">E35+E32-E31</f>
        <v>49047</v>
      </c>
      <c r="O39">
        <f ca="1">(E39-INT(D39+F38*1638/1024))/D39*1024</f>
        <v>458.94482286082786</v>
      </c>
      <c r="P39" s="20"/>
      <c r="Q39" t="s">
        <v>73</v>
      </c>
      <c r="R39" t="s">
        <v>74</v>
      </c>
      <c r="S39">
        <v>1</v>
      </c>
      <c r="Y39" s="34" t="s">
        <v>263</v>
      </c>
      <c r="Z39">
        <v>7</v>
      </c>
      <c r="AA39">
        <v>4</v>
      </c>
      <c r="AB39">
        <f t="shared" si="8"/>
        <v>0.68</v>
      </c>
      <c r="AI39" s="34" t="s">
        <v>643</v>
      </c>
      <c r="AJ39" s="34">
        <v>3</v>
      </c>
      <c r="AO39">
        <v>7</v>
      </c>
      <c r="AP39">
        <v>35</v>
      </c>
    </row>
    <row r="40" spans="1:44" x14ac:dyDescent="0.35">
      <c r="B40" t="s">
        <v>76</v>
      </c>
      <c r="C40">
        <f>MIN(1,大附魔数值!Q13)</f>
        <v>1</v>
      </c>
      <c r="K40" s="37">
        <f ca="1">K41-IF(配装页面!D33=属性开关!Q51,205,0)</f>
        <v>0</v>
      </c>
      <c r="L40" s="34" t="s">
        <v>516</v>
      </c>
      <c r="O40" s="21"/>
      <c r="Q40" t="s">
        <v>75</v>
      </c>
      <c r="R40" s="34" t="s">
        <v>716</v>
      </c>
      <c r="Y40" s="34" t="s">
        <v>265</v>
      </c>
      <c r="Z40">
        <v>2</v>
      </c>
      <c r="AA40">
        <v>5</v>
      </c>
      <c r="AB40">
        <f t="shared" si="8"/>
        <v>0.82499999999999996</v>
      </c>
      <c r="AI40" s="34" t="s">
        <v>644</v>
      </c>
      <c r="AJ40" s="34">
        <v>4</v>
      </c>
      <c r="AO40">
        <v>8</v>
      </c>
      <c r="AP40">
        <v>40</v>
      </c>
    </row>
    <row r="41" spans="1:44" x14ac:dyDescent="0.35">
      <c r="A41" s="30" t="s">
        <v>219</v>
      </c>
      <c r="B41" t="s">
        <v>81</v>
      </c>
      <c r="C41">
        <f>MIN(1,大附魔数值!Q10)*B2</f>
        <v>1</v>
      </c>
      <c r="D41" s="28"/>
      <c r="K41" s="25">
        <f ca="1">ROUND(SUM(K3:K29)/K2*1024,0)</f>
        <v>0</v>
      </c>
      <c r="L41" s="34" t="s">
        <v>517</v>
      </c>
      <c r="P41" s="20"/>
      <c r="Q41" t="s">
        <v>77</v>
      </c>
      <c r="R41" s="20" t="s">
        <v>78</v>
      </c>
      <c r="S41" s="34" t="s">
        <v>558</v>
      </c>
      <c r="Y41" s="34" t="s">
        <v>266</v>
      </c>
      <c r="Z41">
        <v>1</v>
      </c>
      <c r="AA41">
        <v>6</v>
      </c>
      <c r="AB41">
        <f t="shared" si="8"/>
        <v>0.82499999999999996</v>
      </c>
      <c r="AO41">
        <v>9</v>
      </c>
      <c r="AP41">
        <v>45</v>
      </c>
    </row>
    <row r="42" spans="1:44" x14ac:dyDescent="0.35">
      <c r="A42" s="30" t="s">
        <v>214</v>
      </c>
      <c r="B42" s="34"/>
      <c r="Q42" t="s">
        <v>80</v>
      </c>
      <c r="R42" s="34" t="s">
        <v>646</v>
      </c>
      <c r="Y42" s="34" t="s">
        <v>267</v>
      </c>
      <c r="Z42">
        <v>6</v>
      </c>
      <c r="AA42">
        <v>7</v>
      </c>
      <c r="AB42">
        <f t="shared" si="8"/>
        <v>0.68</v>
      </c>
      <c r="AO42">
        <v>10</v>
      </c>
      <c r="AP42">
        <v>50</v>
      </c>
    </row>
    <row r="43" spans="1:44" x14ac:dyDescent="0.35">
      <c r="A43" s="30"/>
      <c r="B43" s="34" t="s">
        <v>611</v>
      </c>
      <c r="D43">
        <f>0*1250+(C4*150+INT(C4/2)*150)*30/300*B2*(X37)*0+配装页面!W22*CHOOSE($X$84,0,100,150,100,150)*8/CHOOSE($X$84,1,300,300,150,150)*B2*(X37)*0+C3*配装页面!AB13*20/40*150*(X37)*0</f>
        <v>0</v>
      </c>
      <c r="Y43" s="34"/>
      <c r="AB43">
        <f t="shared" si="8"/>
        <v>0.68</v>
      </c>
      <c r="AO43">
        <v>11</v>
      </c>
      <c r="AP43">
        <v>55</v>
      </c>
    </row>
    <row r="44" spans="1:44" x14ac:dyDescent="0.35">
      <c r="A44" s="30"/>
      <c r="B44" s="34" t="s">
        <v>554</v>
      </c>
      <c r="C44">
        <f>配装页面!Y24*B2</f>
        <v>0</v>
      </c>
      <c r="K44">
        <f>MIN(MAX(0,C44),125)*60</f>
        <v>0</v>
      </c>
      <c r="Y44" s="34"/>
      <c r="AB44">
        <f t="shared" si="8"/>
        <v>0.68</v>
      </c>
      <c r="AI44" s="34" t="s">
        <v>1527</v>
      </c>
      <c r="AJ44" s="34" t="s">
        <v>1528</v>
      </c>
      <c r="AO44">
        <v>12</v>
      </c>
      <c r="AP44">
        <v>60</v>
      </c>
    </row>
    <row r="45" spans="1:44" x14ac:dyDescent="0.35">
      <c r="B45" t="s">
        <v>48</v>
      </c>
      <c r="C45">
        <f>AO16</f>
        <v>5</v>
      </c>
      <c r="I45" s="22"/>
      <c r="J45" s="22"/>
      <c r="K45" s="24">
        <f>IF(ROW($B$23)-ROW($B$17)=$B$17,C45*770,0)</f>
        <v>0</v>
      </c>
      <c r="Q45" t="s">
        <v>82</v>
      </c>
      <c r="R45" t="s">
        <v>83</v>
      </c>
      <c r="S45">
        <f>T45*-1+1</f>
        <v>1</v>
      </c>
      <c r="T45">
        <f>IF(配装页面!D28=属性开关!Q45,1,0)</f>
        <v>0</v>
      </c>
      <c r="Y45" s="34" t="s">
        <v>268</v>
      </c>
      <c r="Z45">
        <v>5</v>
      </c>
      <c r="AA45">
        <v>8</v>
      </c>
      <c r="AB45">
        <f t="shared" si="8"/>
        <v>0.68</v>
      </c>
      <c r="AI45">
        <f>41+F9*B2</f>
        <v>285</v>
      </c>
      <c r="AO45">
        <v>13</v>
      </c>
      <c r="AP45">
        <v>65</v>
      </c>
    </row>
    <row r="46" spans="1:44" x14ac:dyDescent="0.35">
      <c r="A46" t="s">
        <v>85</v>
      </c>
      <c r="N46" s="34"/>
      <c r="Q46" t="str">
        <f>IF(S37=0,"风虎","牧云")</f>
        <v>牧云</v>
      </c>
      <c r="Y46" s="34" t="s">
        <v>647</v>
      </c>
      <c r="Z46">
        <f>Z36+8</f>
        <v>12</v>
      </c>
      <c r="AA46">
        <v>9</v>
      </c>
      <c r="AB46">
        <f t="shared" si="8"/>
        <v>0.82499999999999996</v>
      </c>
      <c r="AI46" s="21">
        <f>I25*B2</f>
        <v>0</v>
      </c>
      <c r="AJ46">
        <f>J25*B2</f>
        <v>0</v>
      </c>
      <c r="AO46">
        <v>14</v>
      </c>
      <c r="AP46">
        <v>70</v>
      </c>
    </row>
    <row r="47" spans="1:44" x14ac:dyDescent="0.35">
      <c r="Q47" t="str">
        <f>IF(S37=0,"牧云","风虎")</f>
        <v>风虎</v>
      </c>
      <c r="W47" s="34" t="s">
        <v>364</v>
      </c>
      <c r="X47">
        <f>IF(AND(装备库!D1094="精简",装备库!D1096="百分比力道"),10,0)*(装备库!L1066+2.1)</f>
        <v>0</v>
      </c>
      <c r="Y47" t="s">
        <v>648</v>
      </c>
      <c r="Z47">
        <f t="shared" ref="Z47:Z49" si="9">Z37+8</f>
        <v>11</v>
      </c>
      <c r="AA47">
        <v>10</v>
      </c>
      <c r="AB47">
        <f t="shared" si="8"/>
        <v>0.82499999999999996</v>
      </c>
      <c r="AI47" s="127">
        <f>AI45/U25+AI46</f>
        <v>3.6249165315272347E-3</v>
      </c>
      <c r="AJ47">
        <f>1.75+AJ46</f>
        <v>1.75</v>
      </c>
      <c r="AO47">
        <v>15</v>
      </c>
      <c r="AP47">
        <v>75</v>
      </c>
    </row>
    <row r="48" spans="1:44" x14ac:dyDescent="0.35">
      <c r="A48" t="s">
        <v>53</v>
      </c>
      <c r="B48" t="s">
        <v>1292</v>
      </c>
      <c r="F48">
        <f>IF(大附魔数值!$O$15=B48,A49,0)*B2</f>
        <v>0</v>
      </c>
      <c r="Q48" t="s">
        <v>86</v>
      </c>
      <c r="Y48" t="s">
        <v>649</v>
      </c>
      <c r="Z48">
        <f t="shared" si="9"/>
        <v>16</v>
      </c>
      <c r="AA48">
        <v>11</v>
      </c>
      <c r="AB48">
        <f t="shared" si="8"/>
        <v>0.68</v>
      </c>
      <c r="AO48">
        <v>16</v>
      </c>
      <c r="AP48">
        <v>80</v>
      </c>
    </row>
    <row r="49" spans="1:42" x14ac:dyDescent="0.35">
      <c r="A49">
        <f>284+群侠万变*30</f>
        <v>314</v>
      </c>
      <c r="B49" t="s">
        <v>1293</v>
      </c>
      <c r="F49">
        <f>IF(大附魔数值!$O$15=B49,A51,0)*B2</f>
        <v>0</v>
      </c>
      <c r="Q49" t="s">
        <v>87</v>
      </c>
      <c r="R49" t="s">
        <v>88</v>
      </c>
      <c r="S49" t="s">
        <v>89</v>
      </c>
      <c r="T49" s="34" t="s">
        <v>722</v>
      </c>
      <c r="W49" s="34" t="s">
        <v>604</v>
      </c>
      <c r="X49">
        <v>1</v>
      </c>
      <c r="Y49" t="s">
        <v>650</v>
      </c>
      <c r="Z49">
        <f t="shared" si="9"/>
        <v>15</v>
      </c>
      <c r="AA49">
        <v>12</v>
      </c>
      <c r="AB49">
        <f t="shared" si="8"/>
        <v>0.68</v>
      </c>
      <c r="AC49" s="34"/>
      <c r="AO49">
        <v>17</v>
      </c>
      <c r="AP49">
        <v>85</v>
      </c>
    </row>
    <row r="50" spans="1:42" x14ac:dyDescent="0.35">
      <c r="A50">
        <v>157</v>
      </c>
      <c r="B50" s="34" t="s">
        <v>2623</v>
      </c>
      <c r="F50">
        <f>IF(大附魔数值!$O$15=B50,A50,0)*B2</f>
        <v>0</v>
      </c>
      <c r="I50">
        <f>INT(IF(大附魔数值!$O$15=B50,A50,0)*B2*0.64)/$U$25</f>
        <v>0</v>
      </c>
      <c r="T50" s="34"/>
      <c r="W50" s="34"/>
      <c r="AC50" s="34"/>
      <c r="AO50">
        <v>18</v>
      </c>
      <c r="AP50">
        <v>90</v>
      </c>
    </row>
    <row r="51" spans="1:42" x14ac:dyDescent="0.35">
      <c r="A51">
        <f>142+群侠万变*15</f>
        <v>157</v>
      </c>
      <c r="B51" t="s">
        <v>70</v>
      </c>
      <c r="Q51" t="s">
        <v>58</v>
      </c>
      <c r="R51" s="34" t="s">
        <v>255</v>
      </c>
      <c r="W51" s="34" t="s">
        <v>584</v>
      </c>
      <c r="X51">
        <f>COUNTIF(配装页面!AE15,"*自动*")</f>
        <v>0</v>
      </c>
      <c r="Y51" t="s">
        <v>651</v>
      </c>
      <c r="Z51">
        <f>Z40+8</f>
        <v>10</v>
      </c>
      <c r="AA51">
        <v>13</v>
      </c>
      <c r="AB51">
        <f t="shared" si="8"/>
        <v>0.82499999999999996</v>
      </c>
      <c r="AD51" s="34"/>
      <c r="AO51">
        <v>19</v>
      </c>
      <c r="AP51">
        <v>95</v>
      </c>
    </row>
    <row r="52" spans="1:42" x14ac:dyDescent="0.35">
      <c r="A52" t="s">
        <v>51</v>
      </c>
      <c r="B52" t="s">
        <v>1294</v>
      </c>
      <c r="F52">
        <f>IF(大附魔数值!$O$13=B52,A53,0)*B2</f>
        <v>0</v>
      </c>
      <c r="Q52" t="s">
        <v>32</v>
      </c>
      <c r="R52" s="34" t="s">
        <v>747</v>
      </c>
      <c r="W52" s="34" t="s">
        <v>559</v>
      </c>
      <c r="X52">
        <f>COUNTIF(配装页面!D26,"大漠")</f>
        <v>1</v>
      </c>
      <c r="Y52" t="s">
        <v>652</v>
      </c>
      <c r="Z52">
        <f>Z41+8</f>
        <v>9</v>
      </c>
      <c r="AA52">
        <v>14</v>
      </c>
      <c r="AB52">
        <f t="shared" si="8"/>
        <v>0.82499999999999996</v>
      </c>
      <c r="AO52">
        <v>20</v>
      </c>
      <c r="AP52">
        <v>100</v>
      </c>
    </row>
    <row r="53" spans="1:42" x14ac:dyDescent="0.35">
      <c r="A53">
        <f>365+群侠万变*38</f>
        <v>403</v>
      </c>
      <c r="B53" t="s">
        <v>1295</v>
      </c>
      <c r="F53">
        <f>IF(大附魔数值!$O$13=B53,A55,0)*B2</f>
        <v>0</v>
      </c>
      <c r="Q53" t="s">
        <v>90</v>
      </c>
      <c r="R53" s="34" t="s">
        <v>463</v>
      </c>
      <c r="S53" s="34" t="s">
        <v>739</v>
      </c>
      <c r="W53" s="34" t="s">
        <v>462</v>
      </c>
      <c r="X53">
        <f>IF(配装页面!D35=属性开关!Q53,1,0)</f>
        <v>1</v>
      </c>
      <c r="Y53" t="s">
        <v>653</v>
      </c>
      <c r="Z53">
        <f>Z42+8</f>
        <v>14</v>
      </c>
      <c r="AA53">
        <v>15</v>
      </c>
      <c r="AB53">
        <f t="shared" si="8"/>
        <v>0.68</v>
      </c>
      <c r="AO53">
        <v>21</v>
      </c>
      <c r="AP53">
        <v>105</v>
      </c>
    </row>
    <row r="54" spans="1:42" x14ac:dyDescent="0.35">
      <c r="A54">
        <v>202</v>
      </c>
      <c r="B54" s="34" t="s">
        <v>2625</v>
      </c>
      <c r="F54">
        <f>IF(大附魔数值!$O$13=B54,A54,0)*B2</f>
        <v>0</v>
      </c>
      <c r="I54">
        <f>INT(IF(大附魔数值!$O$13=B54,A54,0)*B2*0.64)/$U$25</f>
        <v>0</v>
      </c>
      <c r="R54" s="34"/>
      <c r="S54" s="34"/>
      <c r="W54" s="34"/>
      <c r="AO54">
        <v>22</v>
      </c>
      <c r="AP54">
        <v>110</v>
      </c>
    </row>
    <row r="55" spans="1:42" x14ac:dyDescent="0.35">
      <c r="A55">
        <f>182+群侠万变*20</f>
        <v>202</v>
      </c>
      <c r="B55" t="s">
        <v>70</v>
      </c>
      <c r="W55" s="34" t="s">
        <v>539</v>
      </c>
      <c r="X55">
        <f>CHOOSE(大附魔数值!$S$5+1,0,1680,1890,3400)/U25*6/(6+T37*9+大附魔数值!Q21*1.25*(2+T37*2))*IF(大附魔数值!S5&gt;0,1,0)</f>
        <v>0</v>
      </c>
      <c r="Y55" t="s">
        <v>654</v>
      </c>
      <c r="Z55">
        <v>13</v>
      </c>
      <c r="AA55">
        <v>16</v>
      </c>
      <c r="AB55">
        <f t="shared" si="8"/>
        <v>0.68</v>
      </c>
      <c r="AO55">
        <v>23</v>
      </c>
      <c r="AP55">
        <v>115</v>
      </c>
    </row>
    <row r="56" spans="1:42" x14ac:dyDescent="0.35">
      <c r="A56" t="s">
        <v>54</v>
      </c>
      <c r="B56" t="s">
        <v>1296</v>
      </c>
      <c r="K56">
        <f>IF(大附魔数值!O16=B56,A57,0)*B2</f>
        <v>0</v>
      </c>
      <c r="W56" s="34" t="s">
        <v>540</v>
      </c>
      <c r="X56">
        <f>CHOOSE(大附魔数值!$S$5+1,0,800,900,1620)/U26*6/(6+T37*9+大附魔数值!Q21*1.25*(2+T37*2))*IF(大附魔数值!S5&gt;0,1,0)</f>
        <v>0</v>
      </c>
      <c r="AO56">
        <v>24</v>
      </c>
      <c r="AP56">
        <v>120</v>
      </c>
    </row>
    <row r="57" spans="1:42" x14ac:dyDescent="0.35">
      <c r="A57">
        <f>1266+群侠万变*133</f>
        <v>1399</v>
      </c>
      <c r="B57" t="s">
        <v>1297</v>
      </c>
      <c r="D57">
        <f>IF(大附魔数值!O16=B57,A60,0)*B2</f>
        <v>0</v>
      </c>
      <c r="Q57" s="30" t="s">
        <v>220</v>
      </c>
      <c r="AO57">
        <v>25</v>
      </c>
      <c r="AP57">
        <v>125</v>
      </c>
    </row>
    <row r="58" spans="1:42" x14ac:dyDescent="0.35">
      <c r="A58">
        <f>633+群侠万变*66</f>
        <v>699</v>
      </c>
      <c r="B58" t="s">
        <v>1298</v>
      </c>
      <c r="I58">
        <f>IF(大附魔数值!O16=B58,A57/属性开关!U25,0)*B2</f>
        <v>0</v>
      </c>
      <c r="Q58" s="134" t="s">
        <v>3</v>
      </c>
      <c r="R58" t="s">
        <v>91</v>
      </c>
      <c r="S58" t="s">
        <v>92</v>
      </c>
      <c r="T58" t="s">
        <v>93</v>
      </c>
      <c r="U58" t="s">
        <v>94</v>
      </c>
      <c r="V58" t="s">
        <v>95</v>
      </c>
      <c r="W58" t="s">
        <v>96</v>
      </c>
      <c r="X58" t="s">
        <v>97</v>
      </c>
      <c r="Y58" t="s">
        <v>98</v>
      </c>
      <c r="Z58" t="s">
        <v>99</v>
      </c>
      <c r="AA58" t="s">
        <v>100</v>
      </c>
      <c r="AB58" t="s">
        <v>101</v>
      </c>
      <c r="AC58" t="s">
        <v>102</v>
      </c>
      <c r="AO58">
        <v>26</v>
      </c>
      <c r="AP58">
        <v>130</v>
      </c>
    </row>
    <row r="59" spans="1:42" x14ac:dyDescent="0.35">
      <c r="B59" s="34" t="s">
        <v>1376</v>
      </c>
      <c r="Q59" s="136"/>
      <c r="S59" s="26"/>
      <c r="T59" s="26"/>
      <c r="U59" s="26"/>
      <c r="V59" s="26"/>
      <c r="W59" s="26"/>
      <c r="X59" s="26"/>
      <c r="Y59" s="26"/>
      <c r="Z59" s="26"/>
      <c r="AO59">
        <v>27</v>
      </c>
      <c r="AP59">
        <v>135</v>
      </c>
    </row>
    <row r="60" spans="1:42" x14ac:dyDescent="0.35">
      <c r="A60">
        <f>570+群侠万变*60</f>
        <v>630</v>
      </c>
      <c r="B60" s="34" t="s">
        <v>1299</v>
      </c>
      <c r="L60">
        <f>IF(大附魔数值!O16=B60,A57/属性开关!U24,0)*B2</f>
        <v>0</v>
      </c>
      <c r="Q60" s="135"/>
      <c r="R60">
        <f>COUNTIF(S60:Z60,"TRUE")</f>
        <v>4</v>
      </c>
      <c r="S60" s="26" t="b">
        <v>1</v>
      </c>
      <c r="T60" s="26" t="b">
        <v>1</v>
      </c>
      <c r="U60" s="26" t="b">
        <v>0</v>
      </c>
      <c r="V60" s="26" t="b">
        <v>1</v>
      </c>
      <c r="W60" s="26" t="b">
        <v>1</v>
      </c>
      <c r="X60" s="26" t="b">
        <v>0</v>
      </c>
      <c r="Y60" s="26" t="b">
        <v>0</v>
      </c>
      <c r="Z60" s="26" t="b">
        <v>0</v>
      </c>
      <c r="AA60">
        <f>IF(R60&lt;=4,51/1024*S60+41/1024*T60+31/1024*U60,92/1024)</f>
        <v>8.984375E-2</v>
      </c>
      <c r="AB60">
        <f>IF(R60&lt;=4,0.02*Y60+0.01*Z60,0)</f>
        <v>0</v>
      </c>
      <c r="AC60">
        <f>IF(R60&lt;=4,(3*W60+4*V60+2*X60)/100,0.07)</f>
        <v>7.0000000000000007E-2</v>
      </c>
      <c r="AO60">
        <v>28</v>
      </c>
      <c r="AP60">
        <v>140</v>
      </c>
    </row>
    <row r="61" spans="1:42" x14ac:dyDescent="0.35">
      <c r="A61">
        <f>285+群侠万变*30</f>
        <v>315</v>
      </c>
      <c r="B61" t="s">
        <v>1300</v>
      </c>
      <c r="K61">
        <f>IF(大附魔数值!O16=B61,A58,0)*B2</f>
        <v>0</v>
      </c>
      <c r="Q61" s="134" t="s">
        <v>4</v>
      </c>
      <c r="S61" t="s">
        <v>92</v>
      </c>
      <c r="T61" t="s">
        <v>93</v>
      </c>
      <c r="U61" t="s">
        <v>94</v>
      </c>
      <c r="V61" s="29" t="s">
        <v>103</v>
      </c>
      <c r="Y61" t="s">
        <v>98</v>
      </c>
      <c r="Z61" t="s">
        <v>99</v>
      </c>
      <c r="AO61">
        <v>29</v>
      </c>
      <c r="AP61">
        <v>145</v>
      </c>
    </row>
    <row r="62" spans="1:42" x14ac:dyDescent="0.35">
      <c r="B62" t="s">
        <v>1301</v>
      </c>
      <c r="D62">
        <f>IF(大附魔数值!O16=B62,A61,0)*B2</f>
        <v>0</v>
      </c>
      <c r="Q62" s="135"/>
      <c r="R62">
        <f t="shared" ref="R62:R70" si="10">COUNTIF(S62:Z62,"TRUE")</f>
        <v>4</v>
      </c>
      <c r="S62" s="26" t="b">
        <v>1</v>
      </c>
      <c r="T62" s="26" t="b">
        <v>1</v>
      </c>
      <c r="U62" s="26" t="b">
        <v>1</v>
      </c>
      <c r="V62" t="b">
        <v>1</v>
      </c>
      <c r="Y62" s="26" t="b">
        <v>0</v>
      </c>
      <c r="Z62" s="26" t="b">
        <v>0</v>
      </c>
      <c r="AA62">
        <f>IF(R62&lt;=4,51/1024*S62+41/1024*T62+31/1024*U62,123/1024)</f>
        <v>0.1201171875</v>
      </c>
      <c r="AB62">
        <f>IF(R62&lt;=4,0.02*Y62+0.01*Z62,0)</f>
        <v>0</v>
      </c>
      <c r="AO62">
        <v>30</v>
      </c>
      <c r="AP62">
        <v>150</v>
      </c>
    </row>
    <row r="63" spans="1:42" x14ac:dyDescent="0.35">
      <c r="B63" t="s">
        <v>1302</v>
      </c>
      <c r="I63">
        <f>IF(大附魔数值!O16=B63,A58/属性开关!U25,0)*B2</f>
        <v>0</v>
      </c>
      <c r="Q63" s="134" t="s">
        <v>6</v>
      </c>
      <c r="T63" t="s">
        <v>93</v>
      </c>
      <c r="U63" t="s">
        <v>94</v>
      </c>
      <c r="V63" s="29" t="s">
        <v>103</v>
      </c>
      <c r="W63" t="s">
        <v>96</v>
      </c>
      <c r="X63" t="s">
        <v>97</v>
      </c>
      <c r="AO63">
        <v>31</v>
      </c>
      <c r="AP63">
        <v>155</v>
      </c>
    </row>
    <row r="64" spans="1:42" x14ac:dyDescent="0.35">
      <c r="B64" s="34" t="s">
        <v>1377</v>
      </c>
      <c r="Q64" s="136"/>
      <c r="T64" s="26"/>
      <c r="U64" s="26"/>
      <c r="W64" s="26"/>
      <c r="X64" s="26"/>
      <c r="AO64">
        <v>32</v>
      </c>
      <c r="AP64">
        <v>160</v>
      </c>
    </row>
    <row r="65" spans="1:42" x14ac:dyDescent="0.35">
      <c r="B65" s="34" t="s">
        <v>1303</v>
      </c>
      <c r="L65">
        <f>IF(大附魔数值!O16=B65,A58/属性开关!U24,0)*B2</f>
        <v>0</v>
      </c>
      <c r="Q65" s="135"/>
      <c r="R65">
        <f>COUNTIF(T65:Z65,"TRUE")</f>
        <v>4</v>
      </c>
      <c r="T65" s="26" t="b">
        <v>1</v>
      </c>
      <c r="U65" s="26" t="b">
        <v>1</v>
      </c>
      <c r="V65" t="b">
        <v>1</v>
      </c>
      <c r="W65" s="26" t="b">
        <v>1</v>
      </c>
      <c r="X65" s="26" t="b">
        <v>0</v>
      </c>
      <c r="AA65">
        <f>IF(R65&lt;=4,41/1024*T65+31/1024*U65,72/1024)</f>
        <v>7.03125E-2</v>
      </c>
      <c r="AC65">
        <f>IF(R65&lt;=4,(3*W65+2*X65)/100,0.03)</f>
        <v>0.03</v>
      </c>
      <c r="AO65">
        <v>33</v>
      </c>
      <c r="AP65">
        <v>165</v>
      </c>
    </row>
    <row r="66" spans="1:42" x14ac:dyDescent="0.35">
      <c r="A66">
        <v>315</v>
      </c>
      <c r="B66" s="34" t="s">
        <v>2624</v>
      </c>
      <c r="D66">
        <f>IF(大附魔数值!O16=B66,A66,0)*B2</f>
        <v>0</v>
      </c>
      <c r="Q66" s="132"/>
      <c r="T66" s="26"/>
      <c r="U66" s="26"/>
      <c r="W66" s="26"/>
      <c r="X66" s="26"/>
      <c r="AO66">
        <v>34</v>
      </c>
      <c r="AP66">
        <v>170</v>
      </c>
    </row>
    <row r="67" spans="1:42" x14ac:dyDescent="0.35">
      <c r="B67" t="s">
        <v>70</v>
      </c>
      <c r="Q67" s="134" t="s">
        <v>5</v>
      </c>
      <c r="S67" s="29" t="s">
        <v>104</v>
      </c>
      <c r="T67" t="s">
        <v>93</v>
      </c>
      <c r="U67" t="s">
        <v>94</v>
      </c>
      <c r="V67" s="29" t="s">
        <v>104</v>
      </c>
      <c r="W67" t="s">
        <v>96</v>
      </c>
      <c r="X67" t="s">
        <v>97</v>
      </c>
      <c r="Y67" t="s">
        <v>98</v>
      </c>
      <c r="Z67" t="s">
        <v>99</v>
      </c>
      <c r="AD67" t="s">
        <v>105</v>
      </c>
      <c r="AO67">
        <v>35</v>
      </c>
      <c r="AP67">
        <v>175</v>
      </c>
    </row>
    <row r="68" spans="1:42" x14ac:dyDescent="0.35">
      <c r="A68" t="s">
        <v>52</v>
      </c>
      <c r="B68" t="s">
        <v>1304</v>
      </c>
      <c r="K68">
        <f>IF(大附魔数值!$O$14=B68,A69,0)*B2</f>
        <v>0</v>
      </c>
      <c r="Q68" s="135"/>
      <c r="R68">
        <f t="shared" si="10"/>
        <v>4</v>
      </c>
      <c r="S68" s="26"/>
      <c r="T68" s="26" t="b">
        <v>1</v>
      </c>
      <c r="U68" s="26" t="b">
        <v>1</v>
      </c>
      <c r="V68" s="26" t="b">
        <v>0</v>
      </c>
      <c r="W68" s="26" t="b">
        <v>1</v>
      </c>
      <c r="X68" s="26" t="b">
        <v>1</v>
      </c>
      <c r="Y68" s="26" t="b">
        <v>0</v>
      </c>
      <c r="Z68" s="26" t="b">
        <v>0</v>
      </c>
      <c r="AA68">
        <f>IF(R68&lt;=4,41/1024*T68+31/1024*U68,72/1024)</f>
        <v>7.03125E-2</v>
      </c>
      <c r="AC68">
        <f>IF(R68&lt;=4,(3*W68+2*X68)/100,0.03)</f>
        <v>0.05</v>
      </c>
      <c r="AD68">
        <f>IF(R68&lt;=4,V68*-1+1,0)</f>
        <v>1</v>
      </c>
      <c r="AO68">
        <v>36</v>
      </c>
      <c r="AP68">
        <v>180</v>
      </c>
    </row>
    <row r="69" spans="1:42" x14ac:dyDescent="0.35">
      <c r="A69">
        <f>1627+群侠万变*172</f>
        <v>1799</v>
      </c>
      <c r="B69" t="s">
        <v>1305</v>
      </c>
      <c r="D69">
        <f>IF(大附魔数值!$O$14=B69,A72,0)*B2</f>
        <v>0</v>
      </c>
      <c r="Q69" s="134" t="s">
        <v>9</v>
      </c>
      <c r="T69" t="s">
        <v>93</v>
      </c>
      <c r="U69" t="s">
        <v>94</v>
      </c>
      <c r="AO69">
        <v>37</v>
      </c>
      <c r="AP69">
        <v>185</v>
      </c>
    </row>
    <row r="70" spans="1:42" x14ac:dyDescent="0.35">
      <c r="A70">
        <f>814+群侠万变*85</f>
        <v>899</v>
      </c>
      <c r="B70" t="s">
        <v>1306</v>
      </c>
      <c r="I70">
        <f>IF(大附魔数值!$O$14=B70,A69/属性开关!U25,0)*B2</f>
        <v>0</v>
      </c>
      <c r="Q70" s="135"/>
      <c r="R70">
        <f t="shared" si="10"/>
        <v>2</v>
      </c>
      <c r="S70" s="26"/>
      <c r="T70" s="26" t="b">
        <v>1</v>
      </c>
      <c r="U70" s="26" t="b">
        <v>1</v>
      </c>
      <c r="AA70">
        <f>IF(R70&lt;=4,41/1024*T70+31/1024*U70,72/1024)</f>
        <v>7.03125E-2</v>
      </c>
      <c r="AO70">
        <v>38</v>
      </c>
      <c r="AP70">
        <v>190</v>
      </c>
    </row>
    <row r="71" spans="1:42" x14ac:dyDescent="0.35">
      <c r="B71" s="34" t="s">
        <v>1375</v>
      </c>
      <c r="AO71">
        <v>39</v>
      </c>
      <c r="AP71">
        <v>195</v>
      </c>
    </row>
    <row r="72" spans="1:42" x14ac:dyDescent="0.35">
      <c r="A72">
        <f>733+群侠万变*77</f>
        <v>810</v>
      </c>
      <c r="B72" s="34" t="s">
        <v>1307</v>
      </c>
      <c r="L72">
        <f>IF(大附魔数值!$O$14=B72,A69/属性开关!U24,0)*B2</f>
        <v>0</v>
      </c>
      <c r="AO72">
        <v>40</v>
      </c>
      <c r="AP72">
        <v>200</v>
      </c>
    </row>
    <row r="73" spans="1:42" x14ac:dyDescent="0.35">
      <c r="A73">
        <f>366+39</f>
        <v>405</v>
      </c>
      <c r="B73" t="s">
        <v>1308</v>
      </c>
      <c r="K73">
        <f>IF(大附魔数值!$O$14=B73,A70,0)*B2</f>
        <v>0</v>
      </c>
      <c r="AO73">
        <v>41</v>
      </c>
    </row>
    <row r="74" spans="1:42" x14ac:dyDescent="0.35">
      <c r="B74" t="s">
        <v>1309</v>
      </c>
      <c r="D74">
        <f>IF(大附魔数值!$O$14=B74,A73,0)*B2</f>
        <v>0</v>
      </c>
      <c r="AO74">
        <v>42</v>
      </c>
    </row>
    <row r="75" spans="1:42" x14ac:dyDescent="0.35">
      <c r="B75" t="s">
        <v>1310</v>
      </c>
      <c r="I75">
        <f>IF(大附魔数值!$O$14=B75,A70/属性开关!U25,0)*B2</f>
        <v>0</v>
      </c>
      <c r="AO75">
        <v>43</v>
      </c>
    </row>
    <row r="76" spans="1:42" x14ac:dyDescent="0.35">
      <c r="B76" s="34" t="s">
        <v>1374</v>
      </c>
      <c r="AO76">
        <v>44</v>
      </c>
    </row>
    <row r="77" spans="1:42" x14ac:dyDescent="0.35">
      <c r="A77">
        <f>326+群侠万变*34</f>
        <v>360</v>
      </c>
      <c r="B77" s="34" t="s">
        <v>1311</v>
      </c>
      <c r="L77">
        <f>IF(大附魔数值!$O$14=B77,A70/属性开关!U24,0)*B2</f>
        <v>0</v>
      </c>
      <c r="AO77">
        <v>45</v>
      </c>
    </row>
    <row r="78" spans="1:42" x14ac:dyDescent="0.35">
      <c r="A78">
        <v>405</v>
      </c>
      <c r="B78" s="34" t="s">
        <v>2626</v>
      </c>
      <c r="D78">
        <f>IF(大附魔数值!$O$14=B78,A78,0)*B2</f>
        <v>0</v>
      </c>
      <c r="AO78">
        <v>46</v>
      </c>
    </row>
    <row r="79" spans="1:42" x14ac:dyDescent="0.35">
      <c r="A79">
        <f>723+群侠万变*77</f>
        <v>800</v>
      </c>
      <c r="B79" t="s">
        <v>70</v>
      </c>
      <c r="Q79" s="34" t="s">
        <v>542</v>
      </c>
      <c r="S79">
        <f>52+群侠万变*6</f>
        <v>58</v>
      </c>
      <c r="U79">
        <f>CHOOSE(MATCH(B87,Q79:Q87,0),0,0,0,0,S83,S84,S85,S86,0)*B2+SUM(V80:V83)</f>
        <v>0</v>
      </c>
      <c r="AO79">
        <v>47</v>
      </c>
    </row>
    <row r="80" spans="1:42" x14ac:dyDescent="0.35">
      <c r="A80" t="s">
        <v>55</v>
      </c>
      <c r="B80" s="34" t="s">
        <v>1312</v>
      </c>
      <c r="D80">
        <f>IF(大附魔数值!O17=B80,A81,0)*B2</f>
        <v>0</v>
      </c>
      <c r="Q80" t="s">
        <v>312</v>
      </c>
      <c r="S80">
        <f>104+群侠万变*12</f>
        <v>116</v>
      </c>
      <c r="U80" s="34" t="s">
        <v>1376</v>
      </c>
      <c r="V80">
        <f>A57*$B$2*COUNTIF(配装页面!$W$14:$W$17,U80)</f>
        <v>0</v>
      </c>
      <c r="AO80">
        <v>48</v>
      </c>
    </row>
    <row r="81" spans="1:41" x14ac:dyDescent="0.35">
      <c r="A81">
        <f>489+51*群侠万变</f>
        <v>540</v>
      </c>
      <c r="B81" s="34" t="s">
        <v>1313</v>
      </c>
      <c r="D81">
        <f>IF(大附魔数值!O17=B81,A82,0)*B2</f>
        <v>0</v>
      </c>
      <c r="Q81" t="s">
        <v>313</v>
      </c>
      <c r="S81">
        <f>156+群侠万变*18</f>
        <v>174</v>
      </c>
      <c r="U81" s="34" t="s">
        <v>1377</v>
      </c>
      <c r="V81">
        <f>A58*$B$2*COUNTIF(配装页面!$W$14:$W$17,U81)</f>
        <v>0</v>
      </c>
      <c r="AO81">
        <v>49</v>
      </c>
    </row>
    <row r="82" spans="1:41" x14ac:dyDescent="0.35">
      <c r="A82">
        <f>244+26*群侠万变</f>
        <v>270</v>
      </c>
      <c r="B82" t="s">
        <v>70</v>
      </c>
      <c r="Q82" t="s">
        <v>314</v>
      </c>
      <c r="S82">
        <f>208+群侠万变*24</f>
        <v>232</v>
      </c>
      <c r="U82" s="34" t="s">
        <v>1375</v>
      </c>
      <c r="V82">
        <f>A69*$B$2*COUNTIF(配装页面!$W$14:$W$17,U82)</f>
        <v>0</v>
      </c>
      <c r="AO82">
        <v>50</v>
      </c>
    </row>
    <row r="83" spans="1:41" x14ac:dyDescent="0.35">
      <c r="A83" t="s">
        <v>56</v>
      </c>
      <c r="B83" t="s">
        <v>1314</v>
      </c>
      <c r="F83">
        <f>IF(大附魔数值!$O$18=B83,A84,0)*B2</f>
        <v>0</v>
      </c>
      <c r="Q83" s="34" t="s">
        <v>543</v>
      </c>
      <c r="S83">
        <f>234+群侠万变*25</f>
        <v>259</v>
      </c>
      <c r="U83" s="34" t="s">
        <v>1374</v>
      </c>
      <c r="V83">
        <f>A70*$B$2*COUNTIF(配装页面!$W$14:$W$17,U83)</f>
        <v>0</v>
      </c>
      <c r="AO83">
        <v>51</v>
      </c>
    </row>
    <row r="84" spans="1:41" x14ac:dyDescent="0.35">
      <c r="A84">
        <f>324+群侠万变*34</f>
        <v>358</v>
      </c>
      <c r="B84" t="s">
        <v>1315</v>
      </c>
      <c r="D84">
        <f>IF(大附魔数值!$O$18=B84,A77,0)*B2</f>
        <v>0</v>
      </c>
      <c r="I84">
        <f>IF(大附魔数值!$O$18=B84,A79/属性开关!U25,0)*B2</f>
        <v>0</v>
      </c>
      <c r="L84">
        <f>IF(大附魔数值!$O$18=B84,A79/属性开关!U24,0)*B2</f>
        <v>0</v>
      </c>
      <c r="Q84" t="s">
        <v>509</v>
      </c>
      <c r="R84" s="34"/>
      <c r="S84">
        <f>468+群侠万变*50</f>
        <v>518</v>
      </c>
      <c r="X84">
        <f>MATCH(配装页面!W23,属性开关!X85:X89,0)</f>
        <v>1</v>
      </c>
      <c r="AO84">
        <v>52</v>
      </c>
    </row>
    <row r="85" spans="1:41" x14ac:dyDescent="0.35">
      <c r="B85" t="s">
        <v>70</v>
      </c>
      <c r="Q85" t="s">
        <v>510</v>
      </c>
      <c r="R85" s="34"/>
      <c r="S85">
        <f>702+群侠万变*75</f>
        <v>777</v>
      </c>
      <c r="X85" s="34" t="s">
        <v>309</v>
      </c>
      <c r="AO85">
        <v>53</v>
      </c>
    </row>
    <row r="86" spans="1:41" x14ac:dyDescent="0.35">
      <c r="A86" s="34" t="s">
        <v>302</v>
      </c>
      <c r="B86" t="str">
        <f>配装页面!W20</f>
        <v>无</v>
      </c>
      <c r="C86">
        <f>MATCH(B86,Q88:Q93,0)</f>
        <v>6</v>
      </c>
      <c r="D86">
        <f>IF(C86=3,S90,0)*B2</f>
        <v>0</v>
      </c>
      <c r="I86">
        <f>IF(C86=5,S92/属性开关!U25,0)*B2</f>
        <v>0</v>
      </c>
      <c r="K86">
        <f>IF(C86=4,S91,0)*B2</f>
        <v>0</v>
      </c>
      <c r="L86">
        <f>IF(C86=1,S88/属性开关!U24,0)*B2</f>
        <v>0</v>
      </c>
      <c r="M86">
        <f>IF(C86=2,S89/属性开关!U27,0)*B2</f>
        <v>0</v>
      </c>
      <c r="Q86" t="s">
        <v>511</v>
      </c>
      <c r="R86" s="34"/>
      <c r="S86">
        <f>936+群侠万变*100</f>
        <v>1036</v>
      </c>
      <c r="X86" s="34" t="s">
        <v>599</v>
      </c>
      <c r="AO86">
        <v>54</v>
      </c>
    </row>
    <row r="87" spans="1:41" x14ac:dyDescent="0.35">
      <c r="A87" s="34" t="s">
        <v>303</v>
      </c>
      <c r="B87" t="str">
        <f>配装页面!W21</f>
        <v>无</v>
      </c>
      <c r="C87">
        <f>MATCH(B87,Q79:Q87,0)</f>
        <v>9</v>
      </c>
      <c r="F87">
        <f>CHOOSE(C87,S79,S80,S81,S82,0,0,0,0,0)*B2</f>
        <v>0</v>
      </c>
      <c r="Q87" s="34" t="s">
        <v>309</v>
      </c>
      <c r="X87" s="34" t="s">
        <v>600</v>
      </c>
      <c r="AO87">
        <v>55</v>
      </c>
    </row>
    <row r="88" spans="1:41" x14ac:dyDescent="0.35">
      <c r="A88" t="s">
        <v>106</v>
      </c>
      <c r="B88" t="s">
        <v>107</v>
      </c>
      <c r="C88">
        <f>配装页面!AB19*B2</f>
        <v>0.5</v>
      </c>
      <c r="Q88" s="34" t="s">
        <v>346</v>
      </c>
      <c r="R88" s="34" t="s">
        <v>324</v>
      </c>
      <c r="S88">
        <f>586+群侠万变*62</f>
        <v>648</v>
      </c>
      <c r="X88" s="34" t="s">
        <v>601</v>
      </c>
      <c r="AO88">
        <v>56</v>
      </c>
    </row>
    <row r="89" spans="1:41" x14ac:dyDescent="0.35">
      <c r="B89" t="s">
        <v>108</v>
      </c>
      <c r="Q89" t="s">
        <v>315</v>
      </c>
      <c r="R89" s="34" t="s">
        <v>305</v>
      </c>
      <c r="S89">
        <f>586+群侠万变*62</f>
        <v>648</v>
      </c>
      <c r="X89" s="34" t="s">
        <v>602</v>
      </c>
      <c r="AO89">
        <v>57</v>
      </c>
    </row>
    <row r="90" spans="1:41" x14ac:dyDescent="0.35">
      <c r="B90" t="s">
        <v>70</v>
      </c>
      <c r="Q90" t="s">
        <v>316</v>
      </c>
      <c r="R90" s="34" t="s">
        <v>306</v>
      </c>
      <c r="S90">
        <f>262+群侠万变*28</f>
        <v>290</v>
      </c>
      <c r="AO90">
        <v>58</v>
      </c>
    </row>
    <row r="91" spans="1:41" x14ac:dyDescent="0.35">
      <c r="A91" t="s">
        <v>109</v>
      </c>
      <c r="D91">
        <f>大附魔数值!S11*190</f>
        <v>0</v>
      </c>
      <c r="Q91" t="s">
        <v>317</v>
      </c>
      <c r="R91" s="34" t="s">
        <v>307</v>
      </c>
      <c r="S91">
        <f>586+群侠万变*62</f>
        <v>648</v>
      </c>
      <c r="AO91">
        <v>59</v>
      </c>
    </row>
    <row r="92" spans="1:41" x14ac:dyDescent="0.35">
      <c r="A92" t="s">
        <v>110</v>
      </c>
      <c r="D92">
        <f>MIN(1,大附魔数值!Q16)*395*15/70</f>
        <v>0</v>
      </c>
      <c r="I92" s="22">
        <f>MIN(1,大附魔数值!Q16)*378*15/70/属性开关!U25</f>
        <v>0</v>
      </c>
      <c r="Q92" t="s">
        <v>318</v>
      </c>
      <c r="R92" s="34" t="s">
        <v>308</v>
      </c>
      <c r="S92">
        <f>586+群侠万变*62</f>
        <v>648</v>
      </c>
      <c r="AO92">
        <v>60</v>
      </c>
    </row>
    <row r="93" spans="1:41" x14ac:dyDescent="0.35">
      <c r="A93" t="s">
        <v>111</v>
      </c>
      <c r="D93">
        <f>大附魔数值!S18*630*15/180</f>
        <v>0</v>
      </c>
      <c r="Q93" s="34" t="s">
        <v>309</v>
      </c>
      <c r="AO93">
        <v>61</v>
      </c>
    </row>
    <row r="94" spans="1:41" x14ac:dyDescent="0.35">
      <c r="A94" t="s">
        <v>112</v>
      </c>
      <c r="K94" s="24">
        <f>大附魔数值!Q17*1409*15/180</f>
        <v>0</v>
      </c>
      <c r="AO94">
        <v>62</v>
      </c>
    </row>
    <row r="95" spans="1:41" x14ac:dyDescent="0.35">
      <c r="A95" s="34" t="s">
        <v>536</v>
      </c>
      <c r="V95" s="34" t="s">
        <v>637</v>
      </c>
      <c r="W95">
        <v>1</v>
      </c>
      <c r="AO95">
        <v>63</v>
      </c>
    </row>
    <row r="96" spans="1:41" x14ac:dyDescent="0.35">
      <c r="AC96" s="34"/>
      <c r="AD96" s="34" t="s">
        <v>647</v>
      </c>
      <c r="AE96" t="s">
        <v>648</v>
      </c>
      <c r="AF96" t="s">
        <v>649</v>
      </c>
      <c r="AG96" t="s">
        <v>650</v>
      </c>
      <c r="AH96" t="s">
        <v>651</v>
      </c>
      <c r="AI96" t="s">
        <v>652</v>
      </c>
      <c r="AJ96" t="s">
        <v>653</v>
      </c>
      <c r="AK96" t="s">
        <v>654</v>
      </c>
      <c r="AO96">
        <v>64</v>
      </c>
    </row>
    <row r="97" spans="22:41" x14ac:dyDescent="0.35">
      <c r="AO97">
        <v>65</v>
      </c>
    </row>
    <row r="98" spans="22:41" x14ac:dyDescent="0.35">
      <c r="AO98">
        <v>66</v>
      </c>
    </row>
    <row r="99" spans="22:41" x14ac:dyDescent="0.35">
      <c r="AO99">
        <v>67</v>
      </c>
    </row>
    <row r="100" spans="22:41" x14ac:dyDescent="0.35">
      <c r="AO100">
        <v>68</v>
      </c>
    </row>
    <row r="101" spans="22:41" x14ac:dyDescent="0.35">
      <c r="V101" s="34" t="s">
        <v>1505</v>
      </c>
      <c r="W101">
        <f>3+群侠万变*3</f>
        <v>6</v>
      </c>
      <c r="Y101" s="34" t="s">
        <v>1516</v>
      </c>
      <c r="Z101">
        <f>2+CHOOSE(大附魔数值!F19,COUNTIF(配装页面!G34,"*炎枪重黎*"),COUNTIF(导出数据处理!D22,"*炎枪重黎*"))</f>
        <v>2</v>
      </c>
      <c r="AO101">
        <v>69</v>
      </c>
    </row>
    <row r="102" spans="22:41" x14ac:dyDescent="0.35">
      <c r="W102">
        <f>CHOOSE($S$39+1,"无",0)</f>
        <v>0</v>
      </c>
      <c r="Y102" s="34" t="s">
        <v>1518</v>
      </c>
      <c r="AO102">
        <v>70</v>
      </c>
    </row>
    <row r="103" spans="22:41" x14ac:dyDescent="0.35">
      <c r="W103">
        <f>CHOOSE($S$39+1,"60s",1)</f>
        <v>1</v>
      </c>
      <c r="Y103" s="34" t="s">
        <v>1519</v>
      </c>
      <c r="AO103">
        <v>71</v>
      </c>
    </row>
    <row r="104" spans="22:41" x14ac:dyDescent="0.35">
      <c r="W104">
        <f>CHOOSE($S$39+1,"90s",2)</f>
        <v>2</v>
      </c>
      <c r="Y104" s="34" t="s">
        <v>1520</v>
      </c>
      <c r="AO104">
        <v>72</v>
      </c>
    </row>
    <row r="105" spans="22:41" x14ac:dyDescent="0.35">
      <c r="W105">
        <v>3</v>
      </c>
      <c r="AO105">
        <v>73</v>
      </c>
    </row>
    <row r="106" spans="22:41" x14ac:dyDescent="0.35">
      <c r="W106">
        <v>4</v>
      </c>
      <c r="AO106">
        <v>74</v>
      </c>
    </row>
    <row r="107" spans="22:41" x14ac:dyDescent="0.35">
      <c r="W107">
        <v>5</v>
      </c>
      <c r="AO107">
        <v>75</v>
      </c>
    </row>
    <row r="108" spans="22:41" x14ac:dyDescent="0.35">
      <c r="AO108">
        <v>76</v>
      </c>
    </row>
    <row r="109" spans="22:41" x14ac:dyDescent="0.35">
      <c r="AO109">
        <v>77</v>
      </c>
    </row>
    <row r="110" spans="22:41" x14ac:dyDescent="0.35">
      <c r="AO110">
        <v>78</v>
      </c>
    </row>
    <row r="111" spans="22:41" x14ac:dyDescent="0.35">
      <c r="AO111">
        <v>79</v>
      </c>
    </row>
    <row r="112" spans="22:41" x14ac:dyDescent="0.35">
      <c r="AO112">
        <v>80</v>
      </c>
    </row>
    <row r="113" spans="41:41" x14ac:dyDescent="0.35">
      <c r="AO113">
        <v>81</v>
      </c>
    </row>
    <row r="114" spans="41:41" x14ac:dyDescent="0.35">
      <c r="AO114">
        <v>82</v>
      </c>
    </row>
    <row r="115" spans="41:41" x14ac:dyDescent="0.35">
      <c r="AO115">
        <v>83</v>
      </c>
    </row>
    <row r="116" spans="41:41" x14ac:dyDescent="0.35">
      <c r="AO116">
        <v>84</v>
      </c>
    </row>
    <row r="117" spans="41:41" x14ac:dyDescent="0.35">
      <c r="AO117">
        <v>85</v>
      </c>
    </row>
    <row r="118" spans="41:41" x14ac:dyDescent="0.35">
      <c r="AO118">
        <v>86</v>
      </c>
    </row>
    <row r="119" spans="41:41" x14ac:dyDescent="0.35">
      <c r="AO119">
        <v>87</v>
      </c>
    </row>
    <row r="120" spans="41:41" x14ac:dyDescent="0.35">
      <c r="AO120">
        <v>88</v>
      </c>
    </row>
    <row r="121" spans="41:41" x14ac:dyDescent="0.35">
      <c r="AO121">
        <v>89</v>
      </c>
    </row>
    <row r="122" spans="41:41" x14ac:dyDescent="0.35">
      <c r="AO122">
        <v>90</v>
      </c>
    </row>
    <row r="123" spans="41:41" x14ac:dyDescent="0.35">
      <c r="AO123">
        <v>91</v>
      </c>
    </row>
    <row r="124" spans="41:41" x14ac:dyDescent="0.35">
      <c r="AO124">
        <v>92</v>
      </c>
    </row>
    <row r="125" spans="41:41" x14ac:dyDescent="0.35">
      <c r="AO125">
        <v>93</v>
      </c>
    </row>
    <row r="126" spans="41:41" x14ac:dyDescent="0.35">
      <c r="AO126">
        <v>94</v>
      </c>
    </row>
    <row r="127" spans="41:41" x14ac:dyDescent="0.35">
      <c r="AO127">
        <v>95</v>
      </c>
    </row>
    <row r="128" spans="41:41" x14ac:dyDescent="0.35">
      <c r="AO128">
        <v>96</v>
      </c>
    </row>
    <row r="129" spans="41:41" x14ac:dyDescent="0.35">
      <c r="AO129">
        <v>97</v>
      </c>
    </row>
    <row r="130" spans="41:41" x14ac:dyDescent="0.35">
      <c r="AO130">
        <v>98</v>
      </c>
    </row>
    <row r="131" spans="41:41" x14ac:dyDescent="0.35">
      <c r="AO131">
        <v>99</v>
      </c>
    </row>
    <row r="132" spans="41:41" x14ac:dyDescent="0.35">
      <c r="AO132">
        <v>100</v>
      </c>
    </row>
    <row r="133" spans="41:41" x14ac:dyDescent="0.35">
      <c r="AO133">
        <v>101</v>
      </c>
    </row>
    <row r="134" spans="41:41" x14ac:dyDescent="0.35">
      <c r="AO134">
        <v>102</v>
      </c>
    </row>
    <row r="135" spans="41:41" x14ac:dyDescent="0.35">
      <c r="AO135">
        <v>103</v>
      </c>
    </row>
    <row r="136" spans="41:41" x14ac:dyDescent="0.35">
      <c r="AO136">
        <v>104</v>
      </c>
    </row>
    <row r="137" spans="41:41" x14ac:dyDescent="0.35">
      <c r="AO137">
        <v>105</v>
      </c>
    </row>
    <row r="138" spans="41:41" x14ac:dyDescent="0.35">
      <c r="AO138">
        <v>106</v>
      </c>
    </row>
    <row r="139" spans="41:41" x14ac:dyDescent="0.35">
      <c r="AO139">
        <v>107</v>
      </c>
    </row>
    <row r="140" spans="41:41" x14ac:dyDescent="0.35">
      <c r="AO140">
        <v>108</v>
      </c>
    </row>
    <row r="141" spans="41:41" x14ac:dyDescent="0.35">
      <c r="AO141">
        <v>109</v>
      </c>
    </row>
    <row r="142" spans="41:41" x14ac:dyDescent="0.35">
      <c r="AO142">
        <v>110</v>
      </c>
    </row>
    <row r="143" spans="41:41" x14ac:dyDescent="0.35">
      <c r="AO143">
        <v>111</v>
      </c>
    </row>
    <row r="144" spans="41:41" x14ac:dyDescent="0.35">
      <c r="AO144">
        <v>112</v>
      </c>
    </row>
    <row r="145" spans="41:41" x14ac:dyDescent="0.35">
      <c r="AO145">
        <v>113</v>
      </c>
    </row>
    <row r="146" spans="41:41" x14ac:dyDescent="0.35">
      <c r="AO146">
        <v>114</v>
      </c>
    </row>
    <row r="147" spans="41:41" x14ac:dyDescent="0.35">
      <c r="AO147">
        <v>115</v>
      </c>
    </row>
    <row r="148" spans="41:41" x14ac:dyDescent="0.35">
      <c r="AO148">
        <v>116</v>
      </c>
    </row>
    <row r="149" spans="41:41" x14ac:dyDescent="0.35">
      <c r="AO149">
        <v>117</v>
      </c>
    </row>
    <row r="150" spans="41:41" x14ac:dyDescent="0.35">
      <c r="AO150">
        <v>118</v>
      </c>
    </row>
    <row r="151" spans="41:41" x14ac:dyDescent="0.35">
      <c r="AO151">
        <v>119</v>
      </c>
    </row>
    <row r="152" spans="41:41" x14ac:dyDescent="0.35">
      <c r="AO152">
        <v>120</v>
      </c>
    </row>
    <row r="153" spans="41:41" x14ac:dyDescent="0.35">
      <c r="AO153">
        <v>121</v>
      </c>
    </row>
    <row r="154" spans="41:41" x14ac:dyDescent="0.35">
      <c r="AO154">
        <v>122</v>
      </c>
    </row>
    <row r="155" spans="41:41" x14ac:dyDescent="0.35">
      <c r="AO155">
        <v>123</v>
      </c>
    </row>
    <row r="156" spans="41:41" x14ac:dyDescent="0.35">
      <c r="AO156">
        <v>124</v>
      </c>
    </row>
    <row r="157" spans="41:41" x14ac:dyDescent="0.35">
      <c r="AO157">
        <v>125</v>
      </c>
    </row>
  </sheetData>
  <sheetProtection algorithmName="SHA-512" hashValue="q4SMhZ1wmz2xkP5G24VGE3Xm1moeB+uLvhUKFspYHUwjEuqdLJ4/cSZZyQp9UzNFgC8hqOR5T9YwcNzW4ZlJOg==" saltValue="4xeYhiwzi5UrQ/sL33tMoA==" spinCount="100000" sheet="1" selectLockedCells="1" selectUnlockedCells="1"/>
  <customSheetViews>
    <customSheetView guid="{1FA5F82F-E003-4967-9CFA-E539A86F7F8F}" topLeftCell="M34">
      <selection activeCell="D55" sqref="D55"/>
      <pageMargins left="0.7" right="0.7" top="0.75" bottom="0.75" header="0.3" footer="0.3"/>
      <pageSetup paperSize="9" orientation="portrait"/>
    </customSheetView>
  </customSheetViews>
  <mergeCells count="5">
    <mergeCell ref="Q69:Q70"/>
    <mergeCell ref="Q58:Q60"/>
    <mergeCell ref="Q61:Q62"/>
    <mergeCell ref="Q63:Q65"/>
    <mergeCell ref="Q67:Q68"/>
  </mergeCells>
  <phoneticPr fontId="11" type="noConversion"/>
  <dataValidations count="2">
    <dataValidation allowBlank="1" showInputMessage="1" showErrorMessage="1" error="不可取消勾选" sqref="V62" xr:uid="{00000000-0002-0000-0A00-000000000000}"/>
    <dataValidation type="textLength" showInputMessage="1" showErrorMessage="1" sqref="V64:V66" xr:uid="{00000000-0002-0000-0A00-000001000000}">
      <formula1>4</formula1>
      <formula2>4</formula2>
    </dataValidation>
  </dataValidation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F64"/>
  <sheetViews>
    <sheetView showGridLines="0" topLeftCell="E1" zoomScaleNormal="100" workbookViewId="0">
      <selection activeCell="S15" sqref="S15"/>
    </sheetView>
  </sheetViews>
  <sheetFormatPr defaultColWidth="9" defaultRowHeight="15.6" x14ac:dyDescent="0.35"/>
  <cols>
    <col min="1" max="3" width="8.81640625" hidden="1" customWidth="1"/>
    <col min="6" max="6" width="15.08984375" customWidth="1"/>
    <col min="7" max="7" width="5.54296875" bestFit="1" customWidth="1"/>
    <col min="8" max="8" width="11.6328125" style="1" customWidth="1"/>
    <col min="9" max="9" width="5.54296875" customWidth="1"/>
    <col min="10" max="10" width="8.6328125" customWidth="1"/>
    <col min="11" max="11" width="1.54296875" customWidth="1"/>
    <col min="12" max="12" width="14.81640625" customWidth="1"/>
    <col min="13" max="13" width="1.54296875" customWidth="1"/>
    <col min="14" max="14" width="21.90625" bestFit="1" customWidth="1"/>
    <col min="15" max="19" width="12" customWidth="1"/>
    <col min="20" max="20" width="16" bestFit="1" customWidth="1"/>
    <col min="22" max="22" width="2.54296875" hidden="1" customWidth="1"/>
    <col min="27" max="27" width="21.54296875" bestFit="1" customWidth="1"/>
    <col min="28" max="28" width="21.90625" bestFit="1" customWidth="1"/>
    <col min="29" max="29" width="5.54296875" bestFit="1" customWidth="1"/>
    <col min="30" max="30" width="9.81640625" bestFit="1" customWidth="1"/>
    <col min="31" max="31" width="12.08984375" bestFit="1" customWidth="1"/>
    <col min="32" max="32" width="16.08984375" bestFit="1" customWidth="1"/>
    <col min="33" max="33" width="7.81640625" bestFit="1" customWidth="1"/>
  </cols>
  <sheetData>
    <row r="2" spans="5:20" x14ac:dyDescent="0.35">
      <c r="H2" s="38" t="s">
        <v>239</v>
      </c>
    </row>
    <row r="4" spans="5:20" x14ac:dyDescent="0.35">
      <c r="E4" s="148" t="s">
        <v>113</v>
      </c>
      <c r="F4" s="148"/>
      <c r="H4" s="148" t="s">
        <v>114</v>
      </c>
      <c r="I4" s="148"/>
      <c r="J4" s="148"/>
      <c r="L4" s="7" t="s">
        <v>42</v>
      </c>
      <c r="N4" s="148" t="s">
        <v>115</v>
      </c>
      <c r="O4" s="148"/>
      <c r="P4" s="148"/>
      <c r="Q4" s="148"/>
      <c r="R4" s="148"/>
      <c r="S4" s="148"/>
    </row>
    <row r="5" spans="5:20" x14ac:dyDescent="0.35">
      <c r="E5" s="5" t="s">
        <v>116</v>
      </c>
      <c r="F5" s="9"/>
      <c r="H5" s="7" t="s">
        <v>1</v>
      </c>
      <c r="I5" s="142">
        <f ca="1">装备库!E1103</f>
        <v>24751</v>
      </c>
      <c r="J5" s="143"/>
      <c r="L5" s="10">
        <f ca="1">属性开关!T4</f>
        <v>24787</v>
      </c>
      <c r="M5" s="11"/>
      <c r="N5" s="7" t="s">
        <v>43</v>
      </c>
      <c r="O5" s="3">
        <f>配装页面!Y17</f>
        <v>0</v>
      </c>
      <c r="P5" s="7" t="s">
        <v>48</v>
      </c>
      <c r="Q5" s="3"/>
      <c r="R5" s="34" t="s">
        <v>536</v>
      </c>
      <c r="S5" s="3">
        <f>IF(COUNTIF(配装页面!G34,"*4850*")=1,1,IF(COUNTIF(配装页面!G34,"*6000*")=1,2,IF(CHOOSE(F19,COUNTIF(配装页面!G34,"*10600*"),COUNTIF(导出数据处理!D22,"*10600*"))=1,3,0)))</f>
        <v>0</v>
      </c>
      <c r="T5" s="56"/>
    </row>
    <row r="6" spans="5:20" x14ac:dyDescent="0.35">
      <c r="E6" s="5" t="s">
        <v>12</v>
      </c>
      <c r="F6" s="9"/>
      <c r="H6" s="7" t="s">
        <v>10</v>
      </c>
      <c r="I6" s="142">
        <f ca="1">装备库!E1104</f>
        <v>37226</v>
      </c>
      <c r="J6" s="143"/>
      <c r="L6" s="10">
        <f ca="1">属性开关!T5</f>
        <v>40347</v>
      </c>
      <c r="M6" s="11"/>
      <c r="N6" s="7" t="s">
        <v>44</v>
      </c>
      <c r="O6" s="3">
        <f>配装页面!Y18</f>
        <v>0</v>
      </c>
      <c r="P6" s="12" t="s">
        <v>49</v>
      </c>
      <c r="Q6" s="3" t="e">
        <f>配装页面!#REF!</f>
        <v>#REF!</v>
      </c>
      <c r="R6" s="61" t="s">
        <v>117</v>
      </c>
      <c r="S6" s="19">
        <f>IF(COUNTIF(CHOOSE(F19,配装页面!G15,导出数据处理!C23),"*伤*")=1,P39,0)</f>
        <v>3.8275862068965516</v>
      </c>
    </row>
    <row r="7" spans="5:20" x14ac:dyDescent="0.35">
      <c r="E7" s="5" t="s">
        <v>118</v>
      </c>
      <c r="F7" s="9"/>
      <c r="H7" s="7" t="s">
        <v>12</v>
      </c>
      <c r="I7" s="142">
        <f ca="1">装备库!E1105</f>
        <v>7799</v>
      </c>
      <c r="J7" s="143"/>
      <c r="L7" s="10">
        <f ca="1">属性开关!T6</f>
        <v>8200</v>
      </c>
      <c r="M7" s="1"/>
      <c r="N7" s="7" t="s">
        <v>58</v>
      </c>
      <c r="O7" s="3">
        <f>配装页面!Y19</f>
        <v>0</v>
      </c>
      <c r="P7" s="7" t="s">
        <v>59</v>
      </c>
      <c r="Q7" s="3">
        <f>配装页面!Y21</f>
        <v>0</v>
      </c>
      <c r="R7" s="7" t="s">
        <v>119</v>
      </c>
      <c r="S7" s="19">
        <f>IF(COUNTIF(CHOOSE(F19,配装页面!G20,导出数据处理!C24),"*伤*")=1,T39,0)</f>
        <v>2.8662420382165603</v>
      </c>
    </row>
    <row r="8" spans="5:20" x14ac:dyDescent="0.35">
      <c r="E8" s="5" t="s">
        <v>102</v>
      </c>
      <c r="F8" s="9"/>
      <c r="H8" s="7" t="s">
        <v>14</v>
      </c>
      <c r="I8" s="142">
        <f ca="1">装备库!E1106</f>
        <v>3282</v>
      </c>
      <c r="J8" s="143"/>
      <c r="L8" s="10">
        <f ca="1">属性开关!T7</f>
        <v>3282</v>
      </c>
      <c r="M8" s="1"/>
      <c r="N8" s="7" t="s">
        <v>46</v>
      </c>
      <c r="O8" s="3">
        <f>配装页面!Y15</f>
        <v>1</v>
      </c>
      <c r="P8" s="7" t="s">
        <v>45</v>
      </c>
      <c r="Q8" s="3" t="e">
        <f>配装页面!#REF!</f>
        <v>#REF!</v>
      </c>
      <c r="R8" s="7" t="s">
        <v>120</v>
      </c>
      <c r="S8" s="19">
        <f>IF(COUNTIF(CHOOSE(F19,配装页面!G25,导出数据处理!C25),"*伤*")=1,Q39,0)</f>
        <v>1</v>
      </c>
    </row>
    <row r="9" spans="5:20" x14ac:dyDescent="0.35">
      <c r="E9" s="5" t="s">
        <v>121</v>
      </c>
      <c r="F9" s="9"/>
      <c r="H9" s="7" t="s">
        <v>16</v>
      </c>
      <c r="I9" s="142">
        <f ca="1">装备库!E1107</f>
        <v>5470</v>
      </c>
      <c r="J9" s="143"/>
      <c r="L9" s="10">
        <f ca="1">属性开关!T8</f>
        <v>5470</v>
      </c>
      <c r="M9" s="1"/>
      <c r="N9" s="7" t="s">
        <v>47</v>
      </c>
      <c r="O9" s="3" t="str">
        <f>配装页面!W13</f>
        <v>凌雪阵</v>
      </c>
      <c r="P9" s="7" t="s">
        <v>39</v>
      </c>
      <c r="Q9" s="3">
        <f>配装页面!AB12</f>
        <v>0</v>
      </c>
      <c r="R9" s="7" t="s">
        <v>122</v>
      </c>
      <c r="S9" s="19">
        <f>IF(COUNTIF(CHOOSE(F19,配装页面!O15,导出数据处理!C26),"*伤*")=1,1,0)</f>
        <v>1</v>
      </c>
    </row>
    <row r="10" spans="5:20" x14ac:dyDescent="0.35">
      <c r="E10" s="5" t="s">
        <v>123</v>
      </c>
      <c r="F10" s="9"/>
      <c r="H10" s="7" t="s">
        <v>17</v>
      </c>
      <c r="I10" s="149">
        <f ca="1">装备库!E1108</f>
        <v>0.21473496772552386</v>
      </c>
      <c r="J10" s="150"/>
      <c r="L10" s="13">
        <f ca="1">属性开关!T9</f>
        <v>0.24673185156920729</v>
      </c>
      <c r="M10" s="14"/>
      <c r="N10" s="7" t="s">
        <v>124</v>
      </c>
      <c r="O10" s="3">
        <f>IF(配装页面!W24="戒火",1,IF(配装页面!W24="秋肃",属性开关!W95*61/21,0))*属性开关!B2</f>
        <v>0</v>
      </c>
      <c r="P10" s="7" t="s">
        <v>125</v>
      </c>
      <c r="Q10" s="3">
        <f>配装页面!AB15</f>
        <v>1</v>
      </c>
      <c r="R10" s="7" t="s">
        <v>126</v>
      </c>
      <c r="S10" s="19">
        <f>IF(COUNTIF(CHOOSE(F19,配装页面!O25,导出数据处理!C27),"*伤*")=1,1,0)</f>
        <v>1</v>
      </c>
    </row>
    <row r="11" spans="5:20" x14ac:dyDescent="0.35">
      <c r="E11" s="5" t="s">
        <v>101</v>
      </c>
      <c r="F11" s="9"/>
      <c r="H11" s="7" t="s">
        <v>18</v>
      </c>
      <c r="I11" s="149">
        <f ca="1">装备库!E1109</f>
        <v>1.8463154786243241</v>
      </c>
      <c r="J11" s="150"/>
      <c r="L11" s="13">
        <f ca="1">属性开关!T10</f>
        <v>1.9967061036243241</v>
      </c>
      <c r="M11" s="14"/>
      <c r="N11" s="7" t="s">
        <v>127</v>
      </c>
      <c r="O11" s="3">
        <f>配装页面!AB19</f>
        <v>0.5</v>
      </c>
      <c r="P11" s="7" t="s">
        <v>61</v>
      </c>
      <c r="Q11" s="3">
        <f>配装页面!Y23</f>
        <v>0</v>
      </c>
      <c r="R11" s="7" t="s">
        <v>128</v>
      </c>
      <c r="S11" s="3">
        <f>COUNTIF(CHOOSE(F19,配装页面!G34,导出数据处理!D22),"*止戎*")*510/190+COUNTIF(CHOOSE(F19,配装页面!G34,导出数据处理!D22),"*照故陲*")*670/190+COUNTIF(CHOOSE(F19,配装页面!G34,导出数据处理!D22),"*化山川*")*880/190</f>
        <v>0</v>
      </c>
    </row>
    <row r="12" spans="5:20" x14ac:dyDescent="0.35">
      <c r="E12" s="5" t="s">
        <v>129</v>
      </c>
      <c r="F12" s="9"/>
      <c r="H12" s="148" t="s">
        <v>20</v>
      </c>
      <c r="I12" s="142">
        <f ca="1">装备库!E1110</f>
        <v>28333</v>
      </c>
      <c r="J12" s="143"/>
      <c r="L12" s="10">
        <f ca="1">属性开关!T11</f>
        <v>28467</v>
      </c>
      <c r="M12" s="11"/>
      <c r="N12" s="7" t="s">
        <v>50</v>
      </c>
      <c r="O12" s="3">
        <f>配装页面!Y12</f>
        <v>1</v>
      </c>
      <c r="P12" s="7" t="s">
        <v>57</v>
      </c>
      <c r="Q12" s="3">
        <f>配装页面!Y13</f>
        <v>0</v>
      </c>
      <c r="R12" s="52" t="s">
        <v>1318</v>
      </c>
      <c r="S12" s="3">
        <f>IF(COUNTIF(装备库!D1072:D1077,"*暮祁*")&gt;=2,1,0)</f>
        <v>0</v>
      </c>
    </row>
    <row r="13" spans="5:20" x14ac:dyDescent="0.35">
      <c r="E13" s="5" t="s">
        <v>63</v>
      </c>
      <c r="F13" s="9">
        <f ca="1">IFERROR(加速!$L$27/大附魔数值!$I$22-1,0)</f>
        <v>0</v>
      </c>
      <c r="H13" s="148"/>
      <c r="I13" s="145" t="str">
        <f ca="1">"("&amp;ROUND(I12/153.442,2)&amp;"%)"</f>
        <v>(184.65%)</v>
      </c>
      <c r="J13" s="145"/>
      <c r="L13" s="13">
        <f ca="1">属性开关!T12</f>
        <v>0.36207192597538873</v>
      </c>
      <c r="M13" s="14"/>
      <c r="N13" s="7" t="s">
        <v>51</v>
      </c>
      <c r="O13" s="3" t="str">
        <f>配装页面!W14</f>
        <v>无</v>
      </c>
      <c r="P13" s="7" t="s">
        <v>76</v>
      </c>
      <c r="Q13" s="3">
        <f>CHOOSE(大附魔数值!$F$19,IF(OR(COUNTIF(装备库!D1072:D1077,"*濯心*")&gt;=2,COUNTIF(装备库!D1072:D1077,"*揽江*")&gt;=4,COUNTIF(装备库!D1072:D1077,"*展锋*")&gt;=2,COUNTIF(装备库!D1072:D1077,"*百相*")&gt;=4,COUNTIF(装备库!D1072:D1077,"*择芳*")&gt;=2,COUNTIF(装备库!D1072:D1077,"*承霁*")&gt;=4),1,0),导出数据处理!D19)</f>
        <v>1</v>
      </c>
      <c r="R13" s="52" t="s">
        <v>1319</v>
      </c>
      <c r="S13" s="3">
        <f>IF(COUNTIF(装备库!D1072:D1077,"*暮祁*")&gt;=4,1,0)</f>
        <v>0</v>
      </c>
    </row>
    <row r="14" spans="5:20" x14ac:dyDescent="0.35">
      <c r="H14" s="7" t="s">
        <v>22</v>
      </c>
      <c r="I14" s="146">
        <f>装备库!E1112</f>
        <v>1</v>
      </c>
      <c r="J14" s="147"/>
      <c r="L14" s="13">
        <f>属性开关!T13</f>
        <v>4513</v>
      </c>
      <c r="M14" s="14"/>
      <c r="N14" s="7" t="s">
        <v>52</v>
      </c>
      <c r="O14" s="3" t="str">
        <f>配装页面!W15</f>
        <v>无</v>
      </c>
      <c r="P14" s="7" t="s">
        <v>79</v>
      </c>
      <c r="Q14" s="3">
        <f>CHOOSE(大附魔数值!$F$19,IF(OR(COUNTIF(装备库!D1072:D1077,"*濯心*")&gt;=4,COUNTIF(装备库!D1072:D1077,"*揽江*")&gt;=2,COUNTIF(装备库!D1072:D1077,"*展锋*")&gt;=4,COUNTIF(装备库!D1072:D1077,"*百相*")&gt;=2,COUNTIF(装备库!D1072:D1077,"*择芳*")&gt;=4,COUNTIF(装备库!D1072:D1077,"*承霁*")&gt;=2),1,0),导出数据处理!D20)</f>
        <v>1</v>
      </c>
      <c r="R14" s="52" t="s">
        <v>2619</v>
      </c>
      <c r="S14" s="3">
        <f>IF(COUNTIF(装备库!D1072:D1077,"*雪舞*")&gt;=2,1,0)</f>
        <v>0</v>
      </c>
    </row>
    <row r="15" spans="5:20" x14ac:dyDescent="0.35">
      <c r="E15" s="148" t="s">
        <v>130</v>
      </c>
      <c r="F15" s="148"/>
      <c r="H15" s="7" t="s">
        <v>24</v>
      </c>
      <c r="I15" s="146">
        <f ca="1">装备库!E1113</f>
        <v>0.35489072903372609</v>
      </c>
      <c r="J15" s="147"/>
      <c r="L15" s="13">
        <f ca="1">属性开关!T14</f>
        <v>0.36424314974755717</v>
      </c>
      <c r="M15" s="1"/>
      <c r="N15" s="7" t="s">
        <v>53</v>
      </c>
      <c r="O15" s="3" t="str">
        <f>配装页面!W16</f>
        <v>无</v>
      </c>
      <c r="P15" s="7" t="s">
        <v>131</v>
      </c>
      <c r="Q15" s="3" t="e">
        <f>配装页面!#REF!</f>
        <v>#REF!</v>
      </c>
      <c r="R15" s="52" t="s">
        <v>2620</v>
      </c>
      <c r="S15" s="3">
        <f>IF(COUNTIF(装备库!D1072:D1077,"*雪舞*")&gt;=4,1,0)</f>
        <v>0</v>
      </c>
    </row>
    <row r="16" spans="5:20" x14ac:dyDescent="0.35">
      <c r="H16" s="7" t="s">
        <v>63</v>
      </c>
      <c r="I16" s="142">
        <f ca="1">IF(AND(装备库!E1114&gt;=0,装备库!E1114&lt;43),0,IF(装备库!E1114&lt;1928,43,IF(装备库!E1114&lt;4026,1928,1928)))</f>
        <v>1928</v>
      </c>
      <c r="J16" s="143"/>
      <c r="K16" s="15"/>
      <c r="L16" s="10">
        <f ca="1">属性开关!T15</f>
        <v>4335</v>
      </c>
      <c r="N16" s="7" t="s">
        <v>54</v>
      </c>
      <c r="O16" s="3" t="str">
        <f>配装页面!W17</f>
        <v>无</v>
      </c>
      <c r="P16" s="7" t="s">
        <v>132</v>
      </c>
      <c r="Q16" s="3">
        <f>IF(COUNTIF(配装页面!G34,"*荡千军*")=1,1,0)</f>
        <v>0</v>
      </c>
      <c r="R16" s="52" t="s">
        <v>562</v>
      </c>
      <c r="S16" s="3">
        <f>IF(COUNTIF(装备库!D1072:D1077,"*暖言*")&gt;=2,1,0)</f>
        <v>0</v>
      </c>
    </row>
    <row r="17" spans="5:22" ht="16.5" customHeight="1" x14ac:dyDescent="0.35">
      <c r="E17" s="144"/>
      <c r="F17" s="144"/>
      <c r="H17" s="7" t="s">
        <v>31</v>
      </c>
      <c r="I17" s="142" t="str">
        <f>配装页面!AE12</f>
        <v>124木桩</v>
      </c>
      <c r="J17" s="143"/>
      <c r="K17" s="16"/>
      <c r="N17" s="7" t="s">
        <v>55</v>
      </c>
      <c r="O17" s="3" t="str">
        <f>配装页面!W18</f>
        <v>无</v>
      </c>
      <c r="P17" s="7" t="s">
        <v>133</v>
      </c>
      <c r="Q17" s="3">
        <f>COUNTIF(CHOOSE(F19,配装页面!O27,导出数据处理!D21),"*思乐*")*4806/1409+COUNTIF(CHOOSE(F19,配装页面!O27,导出数据处理!D21),"*风落秋*")*6408/1409+COUNTIF(CHOOSE(F19,配装页面!O27,导出数据处理!D21),"*恸黄沙*")*8330/1409</f>
        <v>0</v>
      </c>
      <c r="R17" s="52" t="s">
        <v>563</v>
      </c>
      <c r="S17" s="3">
        <f>IF(COUNTIF(装备库!D1072:D1077,"*暖言*")&gt;=4,1,0)</f>
        <v>0</v>
      </c>
    </row>
    <row r="18" spans="5:22" ht="16.2" customHeight="1" x14ac:dyDescent="0.35">
      <c r="H18" s="7" t="s">
        <v>134</v>
      </c>
      <c r="I18" s="142">
        <f>配装页面!AE13</f>
        <v>40</v>
      </c>
      <c r="J18" s="143"/>
      <c r="K18" s="16"/>
      <c r="N18" s="7" t="s">
        <v>56</v>
      </c>
      <c r="O18" s="3" t="str">
        <f>配装页面!W19</f>
        <v>无</v>
      </c>
      <c r="P18" s="7" t="s">
        <v>29</v>
      </c>
      <c r="Q18" s="3">
        <f>IF(COUNTIF(CHOOSE(F19,配装页面!G34,导出数据处理!D22),"*大橙武*")=1,1,0)</f>
        <v>0</v>
      </c>
      <c r="R18" s="7" t="s">
        <v>111</v>
      </c>
      <c r="S18" s="3">
        <f>IF(COUNTIF(配装页面!O27,"*零阳子*")&gt;0,820/630,IF(COUNTIF(配装页面!O27,"*断潮澜*"),1,0))</f>
        <v>0</v>
      </c>
      <c r="V18">
        <v>0</v>
      </c>
    </row>
    <row r="19" spans="5:22" x14ac:dyDescent="0.35">
      <c r="E19" s="34" t="s">
        <v>1478</v>
      </c>
      <c r="F19">
        <f>1+COUNTIF(配装页面!$AD$33,"*魔盒*")</f>
        <v>1</v>
      </c>
      <c r="H19" s="7" t="s">
        <v>135</v>
      </c>
      <c r="I19" s="137" t="e">
        <f>#REF!</f>
        <v>#REF!</v>
      </c>
      <c r="J19" s="138"/>
      <c r="K19" s="15"/>
      <c r="N19" s="7" t="s">
        <v>136</v>
      </c>
      <c r="O19" s="3">
        <f>IF(COUNTIF(配装页面!AE12,"*普通*")=1,配装页面!Y16,0)</f>
        <v>0</v>
      </c>
      <c r="P19" s="7" t="s">
        <v>137</v>
      </c>
      <c r="Q19" s="3">
        <f>CHOOSE(F19,IF(COUNTIF(配装页面!G34,"*4980小橙武*")=1,1,0)+IF(COUNTIF(配装页面!G34,"*5300小橙武*")=1,1,0),COUNTIF(导出数据处理!D22,"*小橙武*"))</f>
        <v>0</v>
      </c>
      <c r="R19" s="52" t="s">
        <v>625</v>
      </c>
      <c r="S19" s="3">
        <f>IF(COUNTIF(装备库!D1072:D1077,"*晴辰*")&gt;=2,1,0)</f>
        <v>0</v>
      </c>
      <c r="V19">
        <v>1</v>
      </c>
    </row>
    <row r="20" spans="5:22" x14ac:dyDescent="0.35">
      <c r="H20" s="7" t="s">
        <v>138</v>
      </c>
      <c r="I20" s="137" t="e">
        <f>#REF!/(#REF!+#REF!+#REF!)</f>
        <v>#REF!</v>
      </c>
      <c r="J20" s="138"/>
      <c r="N20" s="139" t="s">
        <v>139</v>
      </c>
      <c r="O20" s="139"/>
      <c r="P20" s="140" t="str">
        <f>配装页面!D32</f>
        <v>渊</v>
      </c>
      <c r="Q20" s="140"/>
      <c r="R20" s="52" t="s">
        <v>626</v>
      </c>
      <c r="S20" s="3">
        <f>IF(COUNTIF(装备库!D1072:D1077,"*晴辰*")&gt;=4,1,0)</f>
        <v>0</v>
      </c>
      <c r="V20">
        <v>2</v>
      </c>
    </row>
    <row r="21" spans="5:22" x14ac:dyDescent="0.35">
      <c r="E21" s="34" t="s">
        <v>2376</v>
      </c>
      <c r="F21">
        <f>225-(31+20)*群侠万变</f>
        <v>174</v>
      </c>
      <c r="H21" s="7" t="s">
        <v>140</v>
      </c>
      <c r="I21" s="137" t="e">
        <f>#REF!</f>
        <v>#REF!</v>
      </c>
      <c r="J21" s="138"/>
      <c r="N21" s="56" t="s">
        <v>556</v>
      </c>
      <c r="O21" s="17">
        <f>COUNTIF(配装页面!O20,"*残卷*")</f>
        <v>0</v>
      </c>
      <c r="P21" s="56" t="s">
        <v>557</v>
      </c>
      <c r="Q21" s="17">
        <f>COUNTIF(配装页面!O20,"*玉简*")/1.25*(1+IF(配装页面!AE13&lt;31,0.25*属性开关!X49,0))</f>
        <v>0</v>
      </c>
      <c r="R21" s="114" t="s">
        <v>721</v>
      </c>
      <c r="S21" s="17">
        <f>COUNTIF(配装页面!AE15,大附魔数值!$R$21)</f>
        <v>0</v>
      </c>
    </row>
    <row r="22" spans="5:22" ht="30" x14ac:dyDescent="0.35">
      <c r="H22" s="7" t="s">
        <v>141</v>
      </c>
      <c r="I22" s="141" t="e">
        <f>(#REF!+#REF!+#REF!)*(1+MIN(1,O10)*31/1024)</f>
        <v>#REF!</v>
      </c>
      <c r="J22" s="141"/>
      <c r="P22" s="17"/>
      <c r="Q22" s="17"/>
      <c r="R22" s="17"/>
      <c r="S22" s="17"/>
      <c r="V22">
        <v>3</v>
      </c>
    </row>
    <row r="23" spans="5:22" x14ac:dyDescent="0.35">
      <c r="L23" s="34"/>
      <c r="V23">
        <v>4</v>
      </c>
    </row>
    <row r="24" spans="5:22" x14ac:dyDescent="0.35">
      <c r="J24" s="18"/>
      <c r="V24">
        <v>5</v>
      </c>
    </row>
    <row r="25" spans="5:22" x14ac:dyDescent="0.35">
      <c r="J25" s="18"/>
      <c r="V25">
        <v>6</v>
      </c>
    </row>
    <row r="31" spans="5:22" x14ac:dyDescent="0.35">
      <c r="S31" s="35"/>
    </row>
    <row r="36" spans="6:32" x14ac:dyDescent="0.35">
      <c r="P36">
        <f>IF(P40=0,1,2)</f>
        <v>2</v>
      </c>
      <c r="Q36">
        <f t="shared" ref="Q36:S36" si="0">IF(Q40=0,1,2)</f>
        <v>2</v>
      </c>
      <c r="R36">
        <f t="shared" si="0"/>
        <v>2</v>
      </c>
      <c r="S36">
        <f t="shared" si="0"/>
        <v>2</v>
      </c>
      <c r="T36">
        <f>IF(T40=0,1,2)</f>
        <v>2</v>
      </c>
    </row>
    <row r="37" spans="6:32" x14ac:dyDescent="0.35">
      <c r="G37" t="s">
        <v>1276</v>
      </c>
      <c r="H37" t="s">
        <v>1277</v>
      </c>
      <c r="I37" t="s">
        <v>1278</v>
      </c>
      <c r="P37" t="str">
        <f>IFERROR(CHOOSE(P40,$Z$47,$Z$48,$Z$49,$Z$50,$Z$51,$Z$52,$Z$53,$Z$54)&amp;"·伤·"&amp;P41,"无")</f>
        <v>天堑奇瑛·伤·帽</v>
      </c>
      <c r="Q37" t="str">
        <f t="shared" ref="Q37:T37" si="1">IFERROR(CHOOSE(Q40,$Z$47,$Z$48,$Z$49,$Z$50,$Z$51,$Z$52,$Z$53,$Z$54)&amp;"·伤·"&amp;Q41,"无")</f>
        <v>天堑奇瑛·伤·腰</v>
      </c>
      <c r="R37" t="str">
        <f t="shared" si="1"/>
        <v>天堑奇瑛·伤·鞋</v>
      </c>
      <c r="S37" t="str">
        <f t="shared" si="1"/>
        <v>天堑奇瑛·伤·腕</v>
      </c>
      <c r="T37" t="str">
        <f t="shared" si="1"/>
        <v>天堑奇瑛·伤·衣</v>
      </c>
    </row>
    <row r="38" spans="6:32" x14ac:dyDescent="0.35">
      <c r="F38" t="s">
        <v>1279</v>
      </c>
      <c r="G38" s="5">
        <v>360</v>
      </c>
      <c r="H38" s="5">
        <v>326</v>
      </c>
      <c r="I38" s="5">
        <v>180</v>
      </c>
      <c r="P38" s="34" t="s">
        <v>309</v>
      </c>
      <c r="Q38" s="34" t="s">
        <v>309</v>
      </c>
      <c r="R38" s="34" t="s">
        <v>309</v>
      </c>
      <c r="S38" s="34" t="s">
        <v>309</v>
      </c>
      <c r="T38" s="34" t="s">
        <v>309</v>
      </c>
    </row>
    <row r="39" spans="6:32" x14ac:dyDescent="0.35">
      <c r="F39" t="s">
        <v>1280</v>
      </c>
      <c r="G39" s="5">
        <v>799</v>
      </c>
      <c r="H39" s="5">
        <v>723</v>
      </c>
      <c r="I39" s="5">
        <v>400</v>
      </c>
      <c r="P39">
        <f>CHOOSE(CHOOSE(F19,P40+1,导出数据处理!D23),0,P47,P48,P49,P50,P51,P52,P53,P54)</f>
        <v>3.8275862068965516</v>
      </c>
      <c r="Q39">
        <f>CHOOSE(CHOOSE(F19,Q40+1,导出数据处理!D25),0,Q47,Q48,Q49,Q50,Q51,Q52,Q53,Q54)</f>
        <v>1</v>
      </c>
      <c r="R39">
        <f>CHOOSE(CHOOSE(F19,R40+1,导出数据处理!D27),0,R47,R48,R49,R50,R51,R52,R53,R54)</f>
        <v>0.98360655737704927</v>
      </c>
      <c r="S39">
        <f>CHOOSE(CHOOSE(F19,S40+1,导出数据处理!D26),0,S47,S48,S49,S50,S51,S52,S53,S54)</f>
        <v>0.49342105263157898</v>
      </c>
      <c r="T39">
        <f>CHOOSE(CHOOSE(F19,T40+1,导出数据处理!D24),0,T47,T48,T49,T50,T51,T52,T53,T54)</f>
        <v>2.8662420382165603</v>
      </c>
    </row>
    <row r="40" spans="6:32" x14ac:dyDescent="0.35">
      <c r="F40" s="34" t="s">
        <v>1337</v>
      </c>
      <c r="G40" s="5">
        <v>179</v>
      </c>
      <c r="H40" s="5">
        <v>162</v>
      </c>
      <c r="I40" s="5">
        <v>90</v>
      </c>
      <c r="P40">
        <f>IF(MATCH(P42,$X$46:$X$54,1)-1=MATCH(P42,$Y$46:$Y$54,1),MATCH(P42,$Y$46:$Y$54,1),0)</f>
        <v>4</v>
      </c>
      <c r="Q40">
        <f t="shared" ref="Q40:T40" si="2">IF(MATCH(Q42,$X$46:$X$54,1)-1=MATCH(Q42,$Y$46:$Y$54,1),MATCH(Q42,$Y$46:$Y$54,1),0)</f>
        <v>4</v>
      </c>
      <c r="R40">
        <f t="shared" si="2"/>
        <v>4</v>
      </c>
      <c r="S40">
        <f>IF(MATCH(S42,$X$46:$X$54,1)-1=MATCH(S42,$Y$46:$Y$54,1),MATCH(S42,$Y$46:$Y$54,1),0)</f>
        <v>4</v>
      </c>
      <c r="T40">
        <f t="shared" si="2"/>
        <v>4</v>
      </c>
    </row>
    <row r="41" spans="6:32" x14ac:dyDescent="0.35">
      <c r="F41" t="s">
        <v>1281</v>
      </c>
      <c r="G41" s="5">
        <v>296</v>
      </c>
      <c r="H41" s="5">
        <v>268</v>
      </c>
      <c r="I41" s="5">
        <v>148</v>
      </c>
      <c r="P41" s="34" t="s">
        <v>294</v>
      </c>
      <c r="Q41" s="34" t="s">
        <v>293</v>
      </c>
      <c r="R41" s="34" t="s">
        <v>295</v>
      </c>
      <c r="S41" s="34" t="s">
        <v>296</v>
      </c>
      <c r="T41" s="34" t="s">
        <v>297</v>
      </c>
    </row>
    <row r="42" spans="6:32" x14ac:dyDescent="0.35">
      <c r="F42" t="s">
        <v>1282</v>
      </c>
      <c r="G42" s="5">
        <v>3997</v>
      </c>
      <c r="H42" s="5">
        <v>3616</v>
      </c>
      <c r="I42" s="5">
        <v>1998</v>
      </c>
      <c r="P42" s="34">
        <f>装备库!C1072</f>
        <v>12300</v>
      </c>
      <c r="Q42">
        <f>装备库!C1074</f>
        <v>12300</v>
      </c>
      <c r="R42">
        <f>装备库!C1077</f>
        <v>12300</v>
      </c>
      <c r="S42">
        <f>装备库!C1075</f>
        <v>12450</v>
      </c>
      <c r="T42">
        <f>装备库!C1073</f>
        <v>12300</v>
      </c>
    </row>
    <row r="43" spans="6:32" x14ac:dyDescent="0.35">
      <c r="F43" t="s">
        <v>1283</v>
      </c>
      <c r="G43" s="5">
        <v>540</v>
      </c>
      <c r="H43" s="5">
        <v>489</v>
      </c>
      <c r="I43" s="5">
        <v>270</v>
      </c>
      <c r="O43" s="34" t="s">
        <v>290</v>
      </c>
      <c r="P43" t="str">
        <f t="shared" ref="P43:T45" si="3">$O43&amp;P$41</f>
        <v>昆吾焰晶(2700)·帽</v>
      </c>
      <c r="Q43" t="str">
        <f t="shared" si="3"/>
        <v>昆吾焰晶(2700)·腰</v>
      </c>
      <c r="R43" t="str">
        <f t="shared" si="3"/>
        <v>昆吾焰晶(2700)·鞋</v>
      </c>
      <c r="S43" t="str">
        <f t="shared" si="3"/>
        <v>昆吾焰晶(2700)·腕</v>
      </c>
      <c r="T43" t="str">
        <f t="shared" si="3"/>
        <v>昆吾焰晶(2700)·衣</v>
      </c>
    </row>
    <row r="44" spans="6:32" x14ac:dyDescent="0.35">
      <c r="F44" t="s">
        <v>1284</v>
      </c>
      <c r="G44">
        <v>240</v>
      </c>
      <c r="H44">
        <v>217</v>
      </c>
      <c r="O44" s="34" t="s">
        <v>291</v>
      </c>
      <c r="P44" t="str">
        <f t="shared" si="3"/>
        <v>昆吾焰珀(2950)·帽</v>
      </c>
      <c r="Q44" t="str">
        <f t="shared" si="3"/>
        <v>昆吾焰珀(2950)·腰</v>
      </c>
      <c r="R44" t="str">
        <f t="shared" si="3"/>
        <v>昆吾焰珀(2950)·鞋</v>
      </c>
      <c r="S44" t="str">
        <f t="shared" si="3"/>
        <v>昆吾焰珀(2950)·腕</v>
      </c>
      <c r="T44" t="str">
        <f t="shared" si="3"/>
        <v>昆吾焰珀(2950)·衣</v>
      </c>
      <c r="AB44" s="1">
        <f>INDEX(AB46:AB54,P40+1,1)*COUNTIF(配装页面!G15,"*伤*")</f>
        <v>1808</v>
      </c>
      <c r="AC44" s="1">
        <f>INDEX(AC46:AC54,T40+1,1)*COUNTIF(配装页面!G20,"*伤*")</f>
        <v>2010</v>
      </c>
      <c r="AD44" s="1">
        <f>INDEX(AD46:AD54,Q40+1,1)*COUNTIF(配装页面!G25,"*伤*")</f>
        <v>1406</v>
      </c>
      <c r="AE44" s="1">
        <f>INDEX(AE46:AE54,S40+1,1)*COUNTIF(配装页面!O15,"*伤*")</f>
        <v>1406</v>
      </c>
      <c r="AF44" s="1">
        <f>INDEX(AF46:AF54,R40+1,1)*COUNTIF(配装页面!O25,"*伤*")</f>
        <v>1406</v>
      </c>
    </row>
    <row r="45" spans="6:32" x14ac:dyDescent="0.35">
      <c r="F45" t="s">
        <v>1285</v>
      </c>
      <c r="G45" s="5">
        <v>18</v>
      </c>
      <c r="H45"/>
      <c r="O45" s="34" t="s">
        <v>292</v>
      </c>
      <c r="P45" t="str">
        <f t="shared" si="3"/>
        <v>昆吾焰珩(3300)·帽</v>
      </c>
      <c r="Q45" t="str">
        <f t="shared" si="3"/>
        <v>昆吾焰珩(3300)·腰</v>
      </c>
      <c r="R45" t="str">
        <f t="shared" si="3"/>
        <v>昆吾焰珩(3300)·鞋</v>
      </c>
      <c r="S45" t="str">
        <f t="shared" si="3"/>
        <v>昆吾焰珩(3300)·腕</v>
      </c>
      <c r="T45" t="str">
        <f t="shared" si="3"/>
        <v>昆吾焰珩(3300)·衣</v>
      </c>
      <c r="X45" s="5"/>
      <c r="Y45" s="5"/>
      <c r="Z45" s="61"/>
      <c r="AB45" s="38" t="s">
        <v>616</v>
      </c>
      <c r="AC45" s="38" t="s">
        <v>297</v>
      </c>
      <c r="AD45" s="38" t="s">
        <v>293</v>
      </c>
      <c r="AE45" s="38" t="s">
        <v>617</v>
      </c>
      <c r="AF45" s="38" t="s">
        <v>295</v>
      </c>
    </row>
    <row r="46" spans="6:32" x14ac:dyDescent="0.35">
      <c r="F46" t="s">
        <v>1286</v>
      </c>
      <c r="G46" s="5">
        <v>24</v>
      </c>
      <c r="H46"/>
      <c r="O46" s="34"/>
      <c r="P46">
        <v>1</v>
      </c>
      <c r="Q46">
        <v>1</v>
      </c>
      <c r="R46">
        <v>1</v>
      </c>
      <c r="S46">
        <v>1</v>
      </c>
      <c r="T46">
        <v>1</v>
      </c>
      <c r="X46" s="57">
        <v>1</v>
      </c>
      <c r="Y46" s="57">
        <v>5000</v>
      </c>
      <c r="Z46" s="54"/>
      <c r="AA46" s="5"/>
      <c r="AB46" s="7">
        <v>0</v>
      </c>
      <c r="AC46" s="7">
        <v>0</v>
      </c>
      <c r="AD46" s="7">
        <v>0</v>
      </c>
      <c r="AE46" s="7">
        <v>0</v>
      </c>
      <c r="AF46" s="7">
        <v>0</v>
      </c>
    </row>
    <row r="47" spans="6:32" x14ac:dyDescent="0.35">
      <c r="H47"/>
      <c r="P47">
        <f>614/261</f>
        <v>2.3524904214559386</v>
      </c>
      <c r="Q47">
        <v>1</v>
      </c>
      <c r="R47">
        <v>1</v>
      </c>
      <c r="S47">
        <f>75/160/0.95</f>
        <v>0.49342105263157898</v>
      </c>
      <c r="T47">
        <f>368/157</f>
        <v>2.3439490445859872</v>
      </c>
      <c r="X47" s="57">
        <v>6500</v>
      </c>
      <c r="Y47" s="57">
        <v>7201</v>
      </c>
      <c r="Z47" s="54" t="s">
        <v>615</v>
      </c>
      <c r="AA47" s="5"/>
      <c r="AB47" s="7">
        <v>1110</v>
      </c>
      <c r="AC47" s="7">
        <v>1234</v>
      </c>
      <c r="AD47" s="7">
        <v>863</v>
      </c>
      <c r="AE47" s="7">
        <v>863</v>
      </c>
      <c r="AF47" s="7">
        <v>863</v>
      </c>
    </row>
    <row r="48" spans="6:32" x14ac:dyDescent="0.35">
      <c r="G48" t="s">
        <v>1276</v>
      </c>
      <c r="H48" t="s">
        <v>1277</v>
      </c>
      <c r="I48" t="s">
        <v>1278</v>
      </c>
      <c r="P48">
        <f>822/261</f>
        <v>3.1494252873563218</v>
      </c>
      <c r="Q48">
        <v>1</v>
      </c>
      <c r="R48">
        <f>60/160/0.38125</f>
        <v>0.98360655737704927</v>
      </c>
      <c r="S48">
        <f t="shared" ref="S48:S50" si="4">75/160/0.95</f>
        <v>0.49342105263157898</v>
      </c>
      <c r="T48">
        <f>371/157</f>
        <v>2.3630573248407645</v>
      </c>
      <c r="X48" s="5">
        <v>9800</v>
      </c>
      <c r="Y48" s="5">
        <v>10301</v>
      </c>
      <c r="Z48" s="54" t="s">
        <v>1323</v>
      </c>
      <c r="AA48" s="5"/>
      <c r="AB48" s="7">
        <v>1488</v>
      </c>
      <c r="AC48" s="7">
        <v>1654</v>
      </c>
      <c r="AD48" s="7">
        <v>1157</v>
      </c>
      <c r="AE48" s="7">
        <v>1157</v>
      </c>
      <c r="AF48" s="7">
        <v>1157</v>
      </c>
    </row>
    <row r="49" spans="6:32" x14ac:dyDescent="0.35">
      <c r="F49" t="s">
        <v>1279</v>
      </c>
      <c r="G49">
        <v>783</v>
      </c>
      <c r="H49">
        <v>644</v>
      </c>
      <c r="I49">
        <v>391</v>
      </c>
      <c r="P49">
        <f>904/261</f>
        <v>3.4636015325670497</v>
      </c>
      <c r="Q49">
        <v>1</v>
      </c>
      <c r="R49">
        <f>60/160/0.38125</f>
        <v>0.98360655737704927</v>
      </c>
      <c r="S49">
        <f t="shared" si="4"/>
        <v>0.49342105263157898</v>
      </c>
      <c r="T49">
        <f>408/157</f>
        <v>2.5987261146496814</v>
      </c>
      <c r="X49" s="5">
        <v>10600</v>
      </c>
      <c r="Y49" s="5">
        <v>11301</v>
      </c>
      <c r="Z49" s="54" t="s">
        <v>1324</v>
      </c>
      <c r="AA49" s="5"/>
      <c r="AB49" s="7">
        <v>1636</v>
      </c>
      <c r="AC49" s="7">
        <v>1819</v>
      </c>
      <c r="AD49" s="7">
        <v>1272</v>
      </c>
      <c r="AE49" s="7">
        <v>1272</v>
      </c>
      <c r="AF49" s="7">
        <v>1272</v>
      </c>
    </row>
    <row r="50" spans="6:32" x14ac:dyDescent="0.35">
      <c r="F50" t="s">
        <v>1280</v>
      </c>
      <c r="G50">
        <v>783</v>
      </c>
      <c r="H50">
        <v>644</v>
      </c>
      <c r="I50">
        <v>391</v>
      </c>
      <c r="P50">
        <f>999/261</f>
        <v>3.8275862068965516</v>
      </c>
      <c r="Q50">
        <v>1</v>
      </c>
      <c r="R50">
        <f>60/160/0.38125</f>
        <v>0.98360655737704927</v>
      </c>
      <c r="S50">
        <f t="shared" si="4"/>
        <v>0.49342105263157898</v>
      </c>
      <c r="T50">
        <f>450/157</f>
        <v>2.8662420382165603</v>
      </c>
      <c r="X50" s="5">
        <v>11500</v>
      </c>
      <c r="Y50" s="5">
        <v>12601</v>
      </c>
      <c r="Z50" s="54" t="s">
        <v>2377</v>
      </c>
      <c r="AA50" s="5"/>
      <c r="AB50" s="7">
        <v>1808</v>
      </c>
      <c r="AC50" s="7">
        <v>2010</v>
      </c>
      <c r="AD50" s="7">
        <v>1406</v>
      </c>
      <c r="AE50" s="7">
        <v>1406</v>
      </c>
      <c r="AF50" s="7">
        <v>1406</v>
      </c>
    </row>
    <row r="51" spans="6:32" x14ac:dyDescent="0.35">
      <c r="F51" s="34" t="s">
        <v>1337</v>
      </c>
      <c r="G51">
        <v>783</v>
      </c>
      <c r="H51">
        <v>644</v>
      </c>
      <c r="I51">
        <v>391</v>
      </c>
      <c r="P51">
        <v>1</v>
      </c>
      <c r="Q51">
        <v>1</v>
      </c>
      <c r="R51">
        <f>0.38125/0.38125</f>
        <v>1</v>
      </c>
      <c r="S51">
        <f>0.95/0.95</f>
        <v>1</v>
      </c>
      <c r="T51">
        <v>1</v>
      </c>
      <c r="X51" s="5">
        <v>99995</v>
      </c>
      <c r="Y51" s="5">
        <v>99999</v>
      </c>
      <c r="Z51" s="54"/>
      <c r="AA51" s="5"/>
      <c r="AB51" s="7"/>
      <c r="AC51" s="7"/>
      <c r="AD51" s="7"/>
      <c r="AE51" s="7"/>
      <c r="AF51" s="7"/>
    </row>
    <row r="52" spans="6:32" x14ac:dyDescent="0.35">
      <c r="F52" t="s">
        <v>1281</v>
      </c>
      <c r="G52">
        <v>783</v>
      </c>
      <c r="H52">
        <v>644</v>
      </c>
      <c r="I52">
        <v>391</v>
      </c>
      <c r="P52">
        <v>1</v>
      </c>
      <c r="Q52">
        <v>1</v>
      </c>
      <c r="R52">
        <v>1</v>
      </c>
      <c r="S52">
        <v>1</v>
      </c>
      <c r="T52">
        <v>1</v>
      </c>
      <c r="X52" s="5">
        <v>99995</v>
      </c>
      <c r="Y52" s="5">
        <v>99999</v>
      </c>
      <c r="Z52" s="54"/>
      <c r="AA52" s="5"/>
      <c r="AB52" s="7"/>
      <c r="AC52" s="7"/>
      <c r="AD52" s="7"/>
      <c r="AE52" s="7"/>
      <c r="AF52" s="7"/>
    </row>
    <row r="53" spans="6:32" x14ac:dyDescent="0.35">
      <c r="F53" t="s">
        <v>1282</v>
      </c>
      <c r="G53">
        <v>783</v>
      </c>
      <c r="H53">
        <v>644</v>
      </c>
      <c r="I53">
        <v>391</v>
      </c>
      <c r="P53">
        <v>1</v>
      </c>
      <c r="Q53">
        <v>1</v>
      </c>
      <c r="R53">
        <v>1</v>
      </c>
      <c r="S53">
        <v>1</v>
      </c>
      <c r="T53">
        <v>1</v>
      </c>
      <c r="X53" s="5">
        <v>99995</v>
      </c>
      <c r="Y53" s="5">
        <v>99999</v>
      </c>
      <c r="Z53" s="54"/>
      <c r="AA53" s="5"/>
      <c r="AB53" s="7"/>
      <c r="AC53" s="7"/>
      <c r="AD53" s="7"/>
      <c r="AE53" s="7"/>
      <c r="AF53" s="7"/>
    </row>
    <row r="54" spans="6:32" x14ac:dyDescent="0.35">
      <c r="F54" t="s">
        <v>1283</v>
      </c>
      <c r="G54">
        <v>783</v>
      </c>
      <c r="H54">
        <v>644</v>
      </c>
      <c r="I54">
        <v>391</v>
      </c>
      <c r="P54">
        <v>1</v>
      </c>
      <c r="Q54">
        <f t="shared" ref="Q54:S54" si="5">Q53</f>
        <v>1</v>
      </c>
      <c r="R54">
        <f t="shared" si="5"/>
        <v>1</v>
      </c>
      <c r="S54">
        <f t="shared" si="5"/>
        <v>1</v>
      </c>
      <c r="T54">
        <v>1</v>
      </c>
      <c r="X54" s="5">
        <v>99995</v>
      </c>
      <c r="Y54" s="5">
        <v>99999</v>
      </c>
      <c r="Z54" s="54"/>
      <c r="AA54" s="5"/>
      <c r="AB54" s="7"/>
      <c r="AC54" s="7"/>
      <c r="AD54" s="7"/>
      <c r="AE54" s="7"/>
      <c r="AF54" s="7"/>
    </row>
    <row r="55" spans="6:32" x14ac:dyDescent="0.35">
      <c r="F55" t="s">
        <v>1284</v>
      </c>
      <c r="G55">
        <v>313</v>
      </c>
      <c r="H55">
        <v>258</v>
      </c>
      <c r="M55" s="54"/>
      <c r="N55" s="52"/>
      <c r="O55" s="52" t="s">
        <v>549</v>
      </c>
      <c r="P55" s="52" t="s">
        <v>550</v>
      </c>
      <c r="Q55" s="52" t="s">
        <v>551</v>
      </c>
      <c r="R55" s="52" t="s">
        <v>552</v>
      </c>
      <c r="S55" s="52" t="s">
        <v>553</v>
      </c>
      <c r="T55" s="54"/>
      <c r="U55" s="54"/>
    </row>
    <row r="56" spans="6:32" x14ac:dyDescent="0.35">
      <c r="F56" t="s">
        <v>1287</v>
      </c>
      <c r="G56">
        <v>15</v>
      </c>
      <c r="H56"/>
      <c r="M56" s="5"/>
      <c r="N56" s="52" t="s">
        <v>480</v>
      </c>
      <c r="O56" s="7"/>
      <c r="P56" s="7">
        <v>10</v>
      </c>
      <c r="Q56" s="7"/>
      <c r="R56" s="7"/>
      <c r="S56" s="7"/>
      <c r="T56" s="59"/>
      <c r="U56" s="5"/>
    </row>
    <row r="57" spans="6:32" x14ac:dyDescent="0.35">
      <c r="F57" t="s">
        <v>1288</v>
      </c>
      <c r="G57">
        <v>21</v>
      </c>
      <c r="H57"/>
      <c r="M57" s="5"/>
      <c r="N57" s="52" t="s">
        <v>479</v>
      </c>
      <c r="O57" s="7"/>
      <c r="P57" s="7">
        <v>51</v>
      </c>
      <c r="Q57" s="7"/>
      <c r="R57" s="7"/>
      <c r="S57" s="7"/>
      <c r="T57" s="59"/>
      <c r="U57" s="5"/>
    </row>
    <row r="58" spans="6:32" x14ac:dyDescent="0.35">
      <c r="F58" t="s">
        <v>1531</v>
      </c>
      <c r="G58">
        <f>484*(1-群侠万变)+0*群侠万变</f>
        <v>0</v>
      </c>
      <c r="H58"/>
      <c r="I58">
        <f>385*(1-群侠万变)+0*群侠万变</f>
        <v>0</v>
      </c>
      <c r="M58" s="5"/>
      <c r="N58" s="52" t="s">
        <v>481</v>
      </c>
      <c r="O58" s="7"/>
      <c r="P58" s="7"/>
      <c r="Q58" s="7"/>
      <c r="R58" s="7"/>
      <c r="S58" s="7">
        <v>298</v>
      </c>
      <c r="T58" s="59"/>
      <c r="U58" s="5"/>
    </row>
    <row r="59" spans="6:32" x14ac:dyDescent="0.35">
      <c r="M59" s="5"/>
      <c r="N59" s="52" t="s">
        <v>482</v>
      </c>
      <c r="O59" s="7">
        <v>496</v>
      </c>
      <c r="P59" s="7"/>
      <c r="Q59" s="7"/>
      <c r="R59" s="7"/>
      <c r="S59" s="7"/>
      <c r="T59" s="59"/>
      <c r="U59" s="5"/>
    </row>
    <row r="60" spans="6:32" x14ac:dyDescent="0.35">
      <c r="M60" s="5"/>
      <c r="N60" s="52" t="s">
        <v>483</v>
      </c>
      <c r="O60" s="7"/>
      <c r="P60" s="7"/>
      <c r="Q60" s="7"/>
      <c r="R60" s="7"/>
      <c r="S60" s="7"/>
      <c r="T60" s="59"/>
      <c r="U60" s="5"/>
    </row>
    <row r="61" spans="6:32" x14ac:dyDescent="0.35">
      <c r="M61" s="5"/>
      <c r="N61" s="52" t="s">
        <v>484</v>
      </c>
      <c r="O61" s="7"/>
      <c r="P61" s="7"/>
      <c r="Q61" s="7"/>
      <c r="R61" s="7"/>
      <c r="S61" s="7"/>
      <c r="T61" s="59"/>
      <c r="U61" s="5"/>
    </row>
    <row r="62" spans="6:32" x14ac:dyDescent="0.35">
      <c r="N62" s="52" t="s">
        <v>485</v>
      </c>
      <c r="O62" s="7"/>
      <c r="P62" s="7"/>
      <c r="Q62" s="7"/>
      <c r="R62" s="7"/>
      <c r="S62" s="7"/>
    </row>
    <row r="63" spans="6:32" x14ac:dyDescent="0.35">
      <c r="N63" s="52" t="s">
        <v>486</v>
      </c>
      <c r="O63" s="7">
        <v>480</v>
      </c>
      <c r="P63" s="7">
        <v>128</v>
      </c>
      <c r="Q63" s="7"/>
      <c r="R63" s="7"/>
      <c r="S63" s="7"/>
    </row>
    <row r="64" spans="6:32" x14ac:dyDescent="0.35">
      <c r="N64" s="52" t="s">
        <v>487</v>
      </c>
      <c r="O64" s="7"/>
      <c r="P64" s="7">
        <v>480</v>
      </c>
      <c r="Q64" s="7">
        <v>320</v>
      </c>
      <c r="R64" s="7">
        <v>160</v>
      </c>
      <c r="S64" s="7"/>
    </row>
  </sheetData>
  <sheetProtection selectLockedCells="1"/>
  <customSheetViews>
    <customSheetView guid="{1FA5F82F-E003-4967-9CFA-E539A86F7F8F}" showGridLines="0" hiddenColumns="1" topLeftCell="D1">
      <selection activeCell="O17" sqref="O17"/>
      <pageMargins left="0.7" right="0.7" top="0.75" bottom="0.75" header="0.3" footer="0.3"/>
      <pageSetup paperSize="9" orientation="portrait"/>
    </customSheetView>
  </customSheetViews>
  <mergeCells count="26">
    <mergeCell ref="E4:F4"/>
    <mergeCell ref="H4:J4"/>
    <mergeCell ref="N4:S4"/>
    <mergeCell ref="I5:J5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E15:F15"/>
    <mergeCell ref="I15:J15"/>
    <mergeCell ref="H12:H13"/>
    <mergeCell ref="I16:J16"/>
    <mergeCell ref="E17:F17"/>
    <mergeCell ref="I17:J17"/>
    <mergeCell ref="I18:J18"/>
    <mergeCell ref="I19:J19"/>
    <mergeCell ref="I20:J20"/>
    <mergeCell ref="N20:O20"/>
    <mergeCell ref="P20:Q20"/>
    <mergeCell ref="I21:J21"/>
    <mergeCell ref="I22:J22"/>
  </mergeCells>
  <phoneticPr fontId="11" type="noConversion"/>
  <conditionalFormatting sqref="F5:F1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{DA766A95-91C8-4E68-ADAF-F8F1A9A769D1}</x14:id>
        </ext>
      </extLst>
    </cfRule>
  </conditionalFormatting>
  <dataValidations count="3">
    <dataValidation type="list" allowBlank="1" showInputMessage="1" showErrorMessage="1" sqref="O5:O17 Q14:Q15" xr:uid="{00000000-0002-0000-0B00-000000000000}">
      <formula1>$V$18:$V$19</formula1>
    </dataValidation>
    <dataValidation type="list" allowBlank="1" showInputMessage="1" showErrorMessage="1" sqref="Q5:Q9 Q11:Q12" xr:uid="{00000000-0002-0000-0B00-000001000000}">
      <formula1>$V$18:$V$24</formula1>
    </dataValidation>
    <dataValidation type="list" allowBlank="1" showInputMessage="1" showErrorMessage="1" sqref="I17" xr:uid="{00000000-0002-0000-0B00-000002000000}">
      <formula1>#REF!</formula1>
    </dataValidation>
  </dataValidations>
  <pageMargins left="0.7" right="0.7" top="0.75" bottom="0.75" header="0.3" footer="0.3"/>
  <pageSetup paperSize="9" orientation="portrait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66A95-91C8-4E68-ADAF-F8F1A9A769D1}">
            <x14:dataBar minLength="0" maxLength="100" border="1" negativeBarBorderColorSameAsPositive="0">
              <x14:cfvo type="autoMin"/>
              <x14:cfvo type="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F5:F13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N1187"/>
  <sheetViews>
    <sheetView workbookViewId="0">
      <pane xSplit="1" ySplit="1" topLeftCell="F623" activePane="bottomRight" state="frozen"/>
      <selection activeCell="Y24" sqref="Y24:Z24"/>
      <selection pane="topRight" activeCell="Y24" sqref="Y24:Z24"/>
      <selection pane="bottomLeft" activeCell="Y24" sqref="Y24:Z24"/>
      <selection pane="bottomRight" activeCell="AR642" sqref="AR642"/>
    </sheetView>
  </sheetViews>
  <sheetFormatPr defaultColWidth="8" defaultRowHeight="15.6" x14ac:dyDescent="0.35"/>
  <cols>
    <col min="1" max="1" width="8" style="5"/>
    <col min="2" max="3" width="8.54296875" style="5" bestFit="1" customWidth="1"/>
    <col min="4" max="4" width="32.453125" style="5" bestFit="1" customWidth="1"/>
    <col min="5" max="11" width="8" style="5" customWidth="1"/>
    <col min="12" max="12" width="8.54296875" style="5" customWidth="1"/>
    <col min="13" max="13" width="8" style="5" customWidth="1"/>
    <col min="14" max="14" width="9.08984375" style="5" customWidth="1"/>
    <col min="15" max="22" width="8" style="5" customWidth="1"/>
    <col min="23" max="23" width="12.1796875" style="5" customWidth="1"/>
    <col min="24" max="24" width="13.453125" style="5" customWidth="1"/>
    <col min="25" max="25" width="8" style="5" customWidth="1"/>
    <col min="26" max="29" width="8" style="5"/>
    <col min="30" max="30" width="8.54296875" style="5" bestFit="1" customWidth="1"/>
    <col min="31" max="33" width="8" style="5"/>
    <col min="34" max="34" width="11.6328125" style="5" bestFit="1" customWidth="1"/>
    <col min="35" max="50" width="8" style="5"/>
    <col min="51" max="51" width="8.54296875" style="5" bestFit="1" customWidth="1"/>
    <col min="52" max="52" width="8" style="5"/>
    <col min="53" max="53" width="8.54296875" style="5" bestFit="1" customWidth="1"/>
    <col min="54" max="57" width="8" style="5"/>
    <col min="58" max="58" width="8.1796875" style="5" bestFit="1" customWidth="1"/>
    <col min="59" max="16384" width="8" style="5"/>
  </cols>
  <sheetData>
    <row r="1" spans="1:48" x14ac:dyDescent="0.35">
      <c r="A1" t="s">
        <v>142</v>
      </c>
      <c r="B1" t="s">
        <v>143</v>
      </c>
      <c r="C1" t="s">
        <v>144</v>
      </c>
      <c r="D1" t="s">
        <v>145</v>
      </c>
      <c r="E1" t="s">
        <v>12</v>
      </c>
      <c r="F1" t="s">
        <v>116</v>
      </c>
      <c r="G1" t="s">
        <v>102</v>
      </c>
      <c r="H1" t="s">
        <v>121</v>
      </c>
      <c r="I1" t="s">
        <v>123</v>
      </c>
      <c r="J1" t="s">
        <v>357</v>
      </c>
      <c r="K1" t="s">
        <v>129</v>
      </c>
      <c r="L1" t="s">
        <v>63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358</v>
      </c>
      <c r="U1" t="s">
        <v>153</v>
      </c>
      <c r="V1" t="s">
        <v>488</v>
      </c>
      <c r="W1" t="s">
        <v>155</v>
      </c>
      <c r="X1" t="s">
        <v>428</v>
      </c>
      <c r="Y1" t="s">
        <v>489</v>
      </c>
      <c r="Z1" t="s">
        <v>490</v>
      </c>
      <c r="AA1" t="s">
        <v>491</v>
      </c>
      <c r="AB1" t="s">
        <v>492</v>
      </c>
      <c r="AC1" t="s">
        <v>493</v>
      </c>
      <c r="AD1" t="s">
        <v>494</v>
      </c>
      <c r="AE1" t="s">
        <v>495</v>
      </c>
      <c r="AF1" t="s">
        <v>496</v>
      </c>
      <c r="AG1" t="s">
        <v>548</v>
      </c>
      <c r="AH1" t="s">
        <v>102</v>
      </c>
      <c r="AI1" t="s">
        <v>121</v>
      </c>
      <c r="AJ1" t="s">
        <v>123</v>
      </c>
      <c r="AK1" t="s">
        <v>357</v>
      </c>
      <c r="AL1" t="s">
        <v>129</v>
      </c>
      <c r="AM1" t="s">
        <v>63</v>
      </c>
      <c r="AN1" t="s">
        <v>453</v>
      </c>
      <c r="AO1" t="s">
        <v>454</v>
      </c>
      <c r="AP1" t="s">
        <v>102</v>
      </c>
      <c r="AQ1" t="s">
        <v>121</v>
      </c>
      <c r="AR1" t="s">
        <v>123</v>
      </c>
      <c r="AS1" s="34" t="s">
        <v>324</v>
      </c>
      <c r="AT1" t="s">
        <v>129</v>
      </c>
      <c r="AU1" t="s">
        <v>63</v>
      </c>
      <c r="AV1" t="s">
        <v>455</v>
      </c>
    </row>
    <row r="2" spans="1:48" x14ac:dyDescent="0.35">
      <c r="A2" t="s">
        <v>156</v>
      </c>
      <c r="B2" t="s">
        <v>756</v>
      </c>
      <c r="C2">
        <v>8000</v>
      </c>
      <c r="D2" t="s">
        <v>757</v>
      </c>
      <c r="E2">
        <v>335</v>
      </c>
      <c r="F2">
        <v>544</v>
      </c>
      <c r="G2">
        <v>0</v>
      </c>
      <c r="H2">
        <v>0</v>
      </c>
      <c r="I2">
        <v>1682</v>
      </c>
      <c r="J2">
        <v>1495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348</v>
      </c>
      <c r="X2">
        <v>6</v>
      </c>
      <c r="Y2" t="s">
        <v>435</v>
      </c>
      <c r="Z2" t="s">
        <v>1532</v>
      </c>
      <c r="AA2" t="s">
        <v>148</v>
      </c>
      <c r="AB2" t="s">
        <v>497</v>
      </c>
      <c r="AC2" t="s">
        <v>497</v>
      </c>
      <c r="AD2">
        <v>1728</v>
      </c>
      <c r="AE2">
        <v>0</v>
      </c>
      <c r="AF2">
        <v>0</v>
      </c>
      <c r="AG2">
        <v>0</v>
      </c>
      <c r="AH2">
        <f t="shared" ref="AH2" si="0">IF(G2&gt;1,1,0)</f>
        <v>0</v>
      </c>
      <c r="AI2">
        <f t="shared" ref="AI2" si="1">IF(H2&gt;1,1,0)</f>
        <v>0</v>
      </c>
      <c r="AJ2">
        <f t="shared" ref="AJ2" si="2">IF(I2&gt;1,1,0)</f>
        <v>1</v>
      </c>
      <c r="AK2">
        <f t="shared" ref="AK2" si="3">IF(J2&gt;1,1,0)</f>
        <v>1</v>
      </c>
      <c r="AL2">
        <f t="shared" ref="AL2" si="4">IF(K2&gt;1,1,0)</f>
        <v>0</v>
      </c>
      <c r="AM2">
        <f t="shared" ref="AM2" si="5">IF(L2&gt;1,1,0)</f>
        <v>0</v>
      </c>
      <c r="AN2">
        <f t="shared" ref="AN2" si="6">MIN(1,($AV$2+IF(AND(AH2&gt;=$AP$3,AI2&gt;=$AQ$3,AJ2&gt;=$AR$3,AK2&gt;=$AS$3,AL2&gt;=$AT$3,AM2&gt;=$AU$3),1,0)))</f>
        <v>1</v>
      </c>
      <c r="AO2">
        <f>SUM(AN$2:$AN2)</f>
        <v>1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>
        <f>IF(SUM(AP3:AU3)=0,1,0)</f>
        <v>1</v>
      </c>
    </row>
    <row r="3" spans="1:48" x14ac:dyDescent="0.35">
      <c r="A3" t="s">
        <v>156</v>
      </c>
      <c r="B3" t="s">
        <v>753</v>
      </c>
      <c r="C3">
        <v>8100</v>
      </c>
      <c r="D3" t="s">
        <v>1533</v>
      </c>
      <c r="E3">
        <v>424</v>
      </c>
      <c r="F3">
        <v>847</v>
      </c>
      <c r="G3">
        <v>2176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161</v>
      </c>
      <c r="X3">
        <v>6</v>
      </c>
      <c r="Y3" t="s">
        <v>437</v>
      </c>
      <c r="Z3" t="s">
        <v>1534</v>
      </c>
      <c r="AA3" t="s">
        <v>497</v>
      </c>
      <c r="AB3" t="s">
        <v>497</v>
      </c>
      <c r="AC3" t="s">
        <v>497</v>
      </c>
      <c r="AD3">
        <v>1750</v>
      </c>
      <c r="AE3">
        <v>0</v>
      </c>
      <c r="AF3">
        <v>0</v>
      </c>
      <c r="AG3">
        <v>0</v>
      </c>
      <c r="AH3">
        <f t="shared" ref="AH3:AH67" si="7">IF(G3&gt;1,1,0)</f>
        <v>1</v>
      </c>
      <c r="AI3">
        <f t="shared" ref="AI3:AI67" si="8">IF(H3&gt;1,1,0)</f>
        <v>0</v>
      </c>
      <c r="AJ3">
        <f t="shared" ref="AJ3:AJ67" si="9">IF(I3&gt;1,1,0)</f>
        <v>0</v>
      </c>
      <c r="AK3">
        <f t="shared" ref="AK3:AK67" si="10">IF(J3&gt;1,1,0)</f>
        <v>0</v>
      </c>
      <c r="AL3">
        <f t="shared" ref="AL3:AL67" si="11">IF(K3&gt;1,1,0)</f>
        <v>0</v>
      </c>
      <c r="AM3">
        <f t="shared" ref="AM3:AM67" si="12">IF(L3&gt;1,1,0)</f>
        <v>0</v>
      </c>
      <c r="AN3">
        <f t="shared" ref="AN3:AN67" si="13">MIN(1,($AV$2+IF(AND(AH3&gt;=$AP$3,AI3&gt;=$AQ$3,AJ3&gt;=$AR$3,AK3&gt;=$AS$3,AL3&gt;=$AT$3,AM3&gt;=$AU$3),1,0)))</f>
        <v>1</v>
      </c>
      <c r="AO3">
        <f>SUM(AN$2:$AN3)</f>
        <v>2</v>
      </c>
      <c r="AP3">
        <f>N(AP2)</f>
        <v>0</v>
      </c>
      <c r="AQ3">
        <f t="shared" ref="AQ3:AU3" si="14">N(AQ2)</f>
        <v>0</v>
      </c>
      <c r="AR3">
        <f t="shared" si="14"/>
        <v>0</v>
      </c>
      <c r="AS3">
        <f t="shared" si="14"/>
        <v>0</v>
      </c>
      <c r="AT3">
        <f t="shared" si="14"/>
        <v>0</v>
      </c>
      <c r="AU3">
        <f t="shared" si="14"/>
        <v>0</v>
      </c>
    </row>
    <row r="4" spans="1:48" x14ac:dyDescent="0.35">
      <c r="A4" t="s">
        <v>156</v>
      </c>
      <c r="B4" t="s">
        <v>754</v>
      </c>
      <c r="C4">
        <v>8100</v>
      </c>
      <c r="D4" t="s">
        <v>1535</v>
      </c>
      <c r="E4">
        <v>339</v>
      </c>
      <c r="F4">
        <v>551</v>
      </c>
      <c r="G4">
        <v>1703</v>
      </c>
      <c r="H4">
        <v>0</v>
      </c>
      <c r="I4">
        <v>0</v>
      </c>
      <c r="J4">
        <v>0</v>
      </c>
      <c r="K4">
        <v>1514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 t="s">
        <v>157</v>
      </c>
      <c r="X4">
        <v>6</v>
      </c>
      <c r="Y4" t="s">
        <v>437</v>
      </c>
      <c r="Z4" t="s">
        <v>1536</v>
      </c>
      <c r="AA4" t="s">
        <v>150</v>
      </c>
      <c r="AB4" t="s">
        <v>497</v>
      </c>
      <c r="AC4" t="s">
        <v>497</v>
      </c>
      <c r="AD4">
        <v>1750</v>
      </c>
      <c r="AE4">
        <v>0</v>
      </c>
      <c r="AF4">
        <v>0</v>
      </c>
      <c r="AG4">
        <v>0</v>
      </c>
      <c r="AH4">
        <f t="shared" si="7"/>
        <v>1</v>
      </c>
      <c r="AI4">
        <f t="shared" si="8"/>
        <v>0</v>
      </c>
      <c r="AJ4">
        <f t="shared" si="9"/>
        <v>0</v>
      </c>
      <c r="AK4">
        <f t="shared" si="10"/>
        <v>0</v>
      </c>
      <c r="AL4">
        <f t="shared" si="11"/>
        <v>1</v>
      </c>
      <c r="AM4">
        <f t="shared" si="12"/>
        <v>0</v>
      </c>
      <c r="AN4">
        <f t="shared" si="13"/>
        <v>1</v>
      </c>
      <c r="AO4">
        <f>SUM(AN$2:$AN4)</f>
        <v>3</v>
      </c>
    </row>
    <row r="5" spans="1:48" x14ac:dyDescent="0.35">
      <c r="A5" t="s">
        <v>156</v>
      </c>
      <c r="B5" t="s">
        <v>755</v>
      </c>
      <c r="C5">
        <v>8150</v>
      </c>
      <c r="D5" t="s">
        <v>1537</v>
      </c>
      <c r="E5">
        <v>341</v>
      </c>
      <c r="F5">
        <v>554</v>
      </c>
      <c r="G5">
        <v>1713</v>
      </c>
      <c r="H5">
        <v>0</v>
      </c>
      <c r="I5">
        <v>0</v>
      </c>
      <c r="J5">
        <v>0</v>
      </c>
      <c r="K5">
        <v>1523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 t="s">
        <v>157</v>
      </c>
      <c r="X5">
        <v>6</v>
      </c>
      <c r="Y5" t="s">
        <v>438</v>
      </c>
      <c r="Z5" t="s">
        <v>1538</v>
      </c>
      <c r="AA5" t="s">
        <v>150</v>
      </c>
      <c r="AB5" t="s">
        <v>497</v>
      </c>
      <c r="AC5" t="s">
        <v>497</v>
      </c>
      <c r="AD5">
        <v>1761</v>
      </c>
      <c r="AE5">
        <v>0</v>
      </c>
      <c r="AF5">
        <v>0</v>
      </c>
      <c r="AG5">
        <v>0</v>
      </c>
      <c r="AH5">
        <f t="shared" si="7"/>
        <v>1</v>
      </c>
      <c r="AI5">
        <f t="shared" si="8"/>
        <v>0</v>
      </c>
      <c r="AJ5">
        <f t="shared" si="9"/>
        <v>0</v>
      </c>
      <c r="AK5">
        <f t="shared" si="10"/>
        <v>0</v>
      </c>
      <c r="AL5">
        <f t="shared" si="11"/>
        <v>1</v>
      </c>
      <c r="AM5">
        <f t="shared" si="12"/>
        <v>0</v>
      </c>
      <c r="AN5">
        <f t="shared" si="13"/>
        <v>1</v>
      </c>
      <c r="AO5">
        <f>SUM(AN$2:$AN5)</f>
        <v>4</v>
      </c>
    </row>
    <row r="6" spans="1:48" x14ac:dyDescent="0.35">
      <c r="A6" t="s">
        <v>156</v>
      </c>
      <c r="B6" t="s">
        <v>758</v>
      </c>
      <c r="C6">
        <v>8600</v>
      </c>
      <c r="D6" t="s">
        <v>1539</v>
      </c>
      <c r="E6">
        <v>450</v>
      </c>
      <c r="F6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2310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 t="s">
        <v>627</v>
      </c>
      <c r="X6">
        <v>6</v>
      </c>
      <c r="Y6" t="s">
        <v>628</v>
      </c>
      <c r="Z6" t="s">
        <v>1540</v>
      </c>
      <c r="AA6" t="s">
        <v>152</v>
      </c>
      <c r="AB6" t="s">
        <v>497</v>
      </c>
      <c r="AC6" t="s">
        <v>497</v>
      </c>
      <c r="AD6">
        <v>1858</v>
      </c>
      <c r="AE6">
        <v>0</v>
      </c>
      <c r="AF6">
        <v>0</v>
      </c>
      <c r="AG6">
        <v>0</v>
      </c>
      <c r="AH6">
        <f t="shared" si="7"/>
        <v>0</v>
      </c>
      <c r="AI6">
        <f t="shared" si="8"/>
        <v>0</v>
      </c>
      <c r="AJ6">
        <f t="shared" si="9"/>
        <v>0</v>
      </c>
      <c r="AK6">
        <f t="shared" si="10"/>
        <v>0</v>
      </c>
      <c r="AL6">
        <f t="shared" si="11"/>
        <v>0</v>
      </c>
      <c r="AM6">
        <f t="shared" si="12"/>
        <v>1</v>
      </c>
      <c r="AN6">
        <f t="shared" si="13"/>
        <v>1</v>
      </c>
      <c r="AO6">
        <f>SUM(AN$2:$AN6)</f>
        <v>5</v>
      </c>
    </row>
    <row r="7" spans="1:48" x14ac:dyDescent="0.35">
      <c r="A7" t="s">
        <v>156</v>
      </c>
      <c r="B7" t="s">
        <v>755</v>
      </c>
      <c r="C7">
        <v>8800</v>
      </c>
      <c r="D7" t="s">
        <v>760</v>
      </c>
      <c r="E7">
        <v>369</v>
      </c>
      <c r="F7">
        <v>598</v>
      </c>
      <c r="G7">
        <v>1850</v>
      </c>
      <c r="H7">
        <v>0</v>
      </c>
      <c r="I7">
        <v>0</v>
      </c>
      <c r="J7">
        <v>0</v>
      </c>
      <c r="K7">
        <v>1644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 t="s">
        <v>157</v>
      </c>
      <c r="X7">
        <v>6</v>
      </c>
      <c r="Y7" t="s">
        <v>438</v>
      </c>
      <c r="Z7" t="s">
        <v>1541</v>
      </c>
      <c r="AA7" t="s">
        <v>150</v>
      </c>
      <c r="AB7" t="s">
        <v>497</v>
      </c>
      <c r="AC7" t="s">
        <v>497</v>
      </c>
      <c r="AD7">
        <v>1901</v>
      </c>
      <c r="AE7">
        <v>0</v>
      </c>
      <c r="AF7">
        <v>0</v>
      </c>
      <c r="AG7">
        <v>0</v>
      </c>
      <c r="AH7">
        <f t="shared" si="7"/>
        <v>1</v>
      </c>
      <c r="AI7">
        <f t="shared" si="8"/>
        <v>0</v>
      </c>
      <c r="AJ7">
        <f t="shared" si="9"/>
        <v>0</v>
      </c>
      <c r="AK7">
        <f t="shared" si="10"/>
        <v>0</v>
      </c>
      <c r="AL7">
        <f t="shared" si="11"/>
        <v>1</v>
      </c>
      <c r="AM7">
        <f t="shared" si="12"/>
        <v>0</v>
      </c>
      <c r="AN7">
        <f t="shared" si="13"/>
        <v>1</v>
      </c>
      <c r="AO7">
        <f>SUM(AN$2:$AN7)</f>
        <v>6</v>
      </c>
    </row>
    <row r="8" spans="1:48" x14ac:dyDescent="0.35">
      <c r="A8" t="s">
        <v>156</v>
      </c>
      <c r="B8" t="s">
        <v>754</v>
      </c>
      <c r="C8">
        <v>8800</v>
      </c>
      <c r="D8" t="s">
        <v>761</v>
      </c>
      <c r="E8">
        <v>369</v>
      </c>
      <c r="F8">
        <v>598</v>
      </c>
      <c r="G8">
        <v>1850</v>
      </c>
      <c r="H8">
        <v>0</v>
      </c>
      <c r="I8">
        <v>0</v>
      </c>
      <c r="J8">
        <v>0</v>
      </c>
      <c r="K8">
        <v>1644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 t="s">
        <v>157</v>
      </c>
      <c r="X8">
        <v>6</v>
      </c>
      <c r="Y8" t="s">
        <v>437</v>
      </c>
      <c r="Z8" t="s">
        <v>1542</v>
      </c>
      <c r="AA8" t="s">
        <v>150</v>
      </c>
      <c r="AB8" t="s">
        <v>497</v>
      </c>
      <c r="AC8" t="s">
        <v>497</v>
      </c>
      <c r="AD8">
        <v>1901</v>
      </c>
      <c r="AE8">
        <v>0</v>
      </c>
      <c r="AF8">
        <v>0</v>
      </c>
      <c r="AG8">
        <v>0</v>
      </c>
      <c r="AH8">
        <f t="shared" si="7"/>
        <v>1</v>
      </c>
      <c r="AI8">
        <f t="shared" si="8"/>
        <v>0</v>
      </c>
      <c r="AJ8">
        <f t="shared" si="9"/>
        <v>0</v>
      </c>
      <c r="AK8">
        <f t="shared" si="10"/>
        <v>0</v>
      </c>
      <c r="AL8">
        <f t="shared" si="11"/>
        <v>1</v>
      </c>
      <c r="AM8">
        <f t="shared" si="12"/>
        <v>0</v>
      </c>
      <c r="AN8">
        <f t="shared" si="13"/>
        <v>1</v>
      </c>
      <c r="AO8">
        <f>SUM(AN$2:$AN8)</f>
        <v>7</v>
      </c>
    </row>
    <row r="9" spans="1:48" x14ac:dyDescent="0.35">
      <c r="A9" t="s">
        <v>156</v>
      </c>
      <c r="B9" t="s">
        <v>759</v>
      </c>
      <c r="C9">
        <v>9100</v>
      </c>
      <c r="D9" t="s">
        <v>1543</v>
      </c>
      <c r="E9">
        <v>381</v>
      </c>
      <c r="F9">
        <v>618</v>
      </c>
      <c r="G9">
        <v>1913</v>
      </c>
      <c r="H9">
        <v>0</v>
      </c>
      <c r="I9">
        <v>0</v>
      </c>
      <c r="J9">
        <v>0</v>
      </c>
      <c r="K9">
        <v>1700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 t="s">
        <v>157</v>
      </c>
      <c r="X9">
        <v>6</v>
      </c>
      <c r="Y9" t="s">
        <v>435</v>
      </c>
      <c r="Z9" t="s">
        <v>1544</v>
      </c>
      <c r="AA9" t="s">
        <v>150</v>
      </c>
      <c r="AB9" t="s">
        <v>497</v>
      </c>
      <c r="AC9" t="s">
        <v>497</v>
      </c>
      <c r="AD9">
        <v>1966</v>
      </c>
      <c r="AE9">
        <v>0</v>
      </c>
      <c r="AF9">
        <v>0</v>
      </c>
      <c r="AG9">
        <v>0</v>
      </c>
      <c r="AH9">
        <f t="shared" si="7"/>
        <v>1</v>
      </c>
      <c r="AI9">
        <f t="shared" si="8"/>
        <v>0</v>
      </c>
      <c r="AJ9">
        <f t="shared" si="9"/>
        <v>0</v>
      </c>
      <c r="AK9">
        <f t="shared" si="10"/>
        <v>0</v>
      </c>
      <c r="AL9">
        <f t="shared" si="11"/>
        <v>1</v>
      </c>
      <c r="AM9">
        <f t="shared" si="12"/>
        <v>0</v>
      </c>
      <c r="AN9">
        <f t="shared" si="13"/>
        <v>1</v>
      </c>
      <c r="AO9">
        <f>SUM(AN$2:$AN9)</f>
        <v>8</v>
      </c>
    </row>
    <row r="10" spans="1:48" x14ac:dyDescent="0.35">
      <c r="A10" t="s">
        <v>156</v>
      </c>
      <c r="B10" t="s">
        <v>762</v>
      </c>
      <c r="C10">
        <v>9100</v>
      </c>
      <c r="D10" t="s">
        <v>763</v>
      </c>
      <c r="E10">
        <v>0</v>
      </c>
      <c r="F10">
        <v>1618</v>
      </c>
      <c r="G10">
        <v>0</v>
      </c>
      <c r="H10">
        <v>0</v>
      </c>
      <c r="I10">
        <v>3667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t="s">
        <v>329</v>
      </c>
      <c r="X10">
        <v>3</v>
      </c>
      <c r="Y10" t="s">
        <v>434</v>
      </c>
      <c r="Z10" t="s">
        <v>1545</v>
      </c>
      <c r="AA10" t="s">
        <v>358</v>
      </c>
      <c r="AB10" t="s">
        <v>497</v>
      </c>
      <c r="AC10" t="s">
        <v>497</v>
      </c>
      <c r="AD10">
        <v>0</v>
      </c>
      <c r="AE10">
        <v>0</v>
      </c>
      <c r="AF10">
        <v>0</v>
      </c>
      <c r="AG10">
        <v>0</v>
      </c>
      <c r="AH10">
        <f t="shared" si="7"/>
        <v>0</v>
      </c>
      <c r="AI10">
        <f t="shared" si="8"/>
        <v>0</v>
      </c>
      <c r="AJ10">
        <f t="shared" si="9"/>
        <v>1</v>
      </c>
      <c r="AK10">
        <f t="shared" si="10"/>
        <v>0</v>
      </c>
      <c r="AL10">
        <f t="shared" si="11"/>
        <v>0</v>
      </c>
      <c r="AM10">
        <f t="shared" si="12"/>
        <v>0</v>
      </c>
      <c r="AN10">
        <f t="shared" si="13"/>
        <v>1</v>
      </c>
      <c r="AO10">
        <f>SUM(AN$2:$AN10)</f>
        <v>9</v>
      </c>
    </row>
    <row r="11" spans="1:48" x14ac:dyDescent="0.35">
      <c r="A11" t="s">
        <v>156</v>
      </c>
      <c r="B11" t="s">
        <v>762</v>
      </c>
      <c r="C11">
        <v>9100</v>
      </c>
      <c r="D11" t="s">
        <v>2578</v>
      </c>
      <c r="E11">
        <v>0</v>
      </c>
      <c r="F11">
        <v>1380</v>
      </c>
      <c r="G11">
        <v>2019</v>
      </c>
      <c r="H11">
        <v>1063</v>
      </c>
      <c r="I11">
        <v>0</v>
      </c>
      <c r="J11">
        <v>1063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 t="s">
        <v>2579</v>
      </c>
      <c r="X11">
        <v>3</v>
      </c>
      <c r="Y11" t="s">
        <v>434</v>
      </c>
      <c r="Z11" t="s">
        <v>1546</v>
      </c>
      <c r="AA11" t="s">
        <v>152</v>
      </c>
      <c r="AB11" t="s">
        <v>497</v>
      </c>
      <c r="AC11" t="s">
        <v>497</v>
      </c>
      <c r="AD11">
        <v>0</v>
      </c>
      <c r="AE11">
        <v>0</v>
      </c>
      <c r="AF11">
        <v>0</v>
      </c>
      <c r="AG11">
        <v>0</v>
      </c>
      <c r="AH11">
        <f t="shared" si="7"/>
        <v>1</v>
      </c>
      <c r="AI11">
        <f t="shared" si="8"/>
        <v>1</v>
      </c>
      <c r="AJ11">
        <f t="shared" si="9"/>
        <v>0</v>
      </c>
      <c r="AK11">
        <f t="shared" si="10"/>
        <v>1</v>
      </c>
      <c r="AL11">
        <f t="shared" si="11"/>
        <v>0</v>
      </c>
      <c r="AM11">
        <f t="shared" si="12"/>
        <v>0</v>
      </c>
      <c r="AN11">
        <f t="shared" si="13"/>
        <v>1</v>
      </c>
      <c r="AO11">
        <f>SUM(AN$2:$AN11)</f>
        <v>10</v>
      </c>
    </row>
    <row r="12" spans="1:48" x14ac:dyDescent="0.35">
      <c r="A12" t="s">
        <v>156</v>
      </c>
      <c r="B12" t="s">
        <v>762</v>
      </c>
      <c r="C12">
        <v>9100</v>
      </c>
      <c r="D12" t="s">
        <v>2580</v>
      </c>
      <c r="E12">
        <v>0</v>
      </c>
      <c r="F12">
        <v>1380</v>
      </c>
      <c r="G12">
        <v>2551</v>
      </c>
      <c r="H12">
        <v>1594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 t="s">
        <v>2581</v>
      </c>
      <c r="X12">
        <v>3</v>
      </c>
      <c r="Y12" t="s">
        <v>434</v>
      </c>
      <c r="Z12" t="s">
        <v>1547</v>
      </c>
      <c r="AA12" t="s">
        <v>152</v>
      </c>
      <c r="AB12" t="s">
        <v>497</v>
      </c>
      <c r="AC12" t="s">
        <v>497</v>
      </c>
      <c r="AD12">
        <v>0</v>
      </c>
      <c r="AE12">
        <v>0</v>
      </c>
      <c r="AF12">
        <v>0</v>
      </c>
      <c r="AG12">
        <v>0</v>
      </c>
      <c r="AH12">
        <f t="shared" si="7"/>
        <v>1</v>
      </c>
      <c r="AI12">
        <f t="shared" si="8"/>
        <v>1</v>
      </c>
      <c r="AJ12">
        <f t="shared" si="9"/>
        <v>0</v>
      </c>
      <c r="AK12">
        <f t="shared" si="10"/>
        <v>0</v>
      </c>
      <c r="AL12">
        <f t="shared" si="11"/>
        <v>0</v>
      </c>
      <c r="AM12">
        <f t="shared" si="12"/>
        <v>0</v>
      </c>
      <c r="AN12">
        <f t="shared" si="13"/>
        <v>1</v>
      </c>
      <c r="AO12">
        <f>SUM(AN$2:$AN12)</f>
        <v>11</v>
      </c>
    </row>
    <row r="13" spans="1:48" x14ac:dyDescent="0.35">
      <c r="A13" t="s">
        <v>156</v>
      </c>
      <c r="B13" t="s">
        <v>762</v>
      </c>
      <c r="C13">
        <v>9400</v>
      </c>
      <c r="D13" t="s">
        <v>771</v>
      </c>
      <c r="E13">
        <v>0</v>
      </c>
      <c r="F13">
        <v>1425</v>
      </c>
      <c r="G13">
        <v>0</v>
      </c>
      <c r="H13">
        <v>0</v>
      </c>
      <c r="I13">
        <v>2305</v>
      </c>
      <c r="J13">
        <v>2086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351</v>
      </c>
      <c r="X13">
        <v>3</v>
      </c>
      <c r="Y13" t="s">
        <v>434</v>
      </c>
      <c r="Z13" t="s">
        <v>1548</v>
      </c>
      <c r="AA13" t="s">
        <v>150</v>
      </c>
      <c r="AB13" t="s">
        <v>497</v>
      </c>
      <c r="AC13" t="s">
        <v>497</v>
      </c>
      <c r="AD13">
        <v>0</v>
      </c>
      <c r="AE13">
        <v>0</v>
      </c>
      <c r="AF13">
        <v>0</v>
      </c>
      <c r="AG13">
        <v>0</v>
      </c>
      <c r="AH13">
        <f t="shared" si="7"/>
        <v>0</v>
      </c>
      <c r="AI13">
        <f t="shared" si="8"/>
        <v>0</v>
      </c>
      <c r="AJ13">
        <f t="shared" si="9"/>
        <v>1</v>
      </c>
      <c r="AK13">
        <f t="shared" si="10"/>
        <v>1</v>
      </c>
      <c r="AL13">
        <f t="shared" si="11"/>
        <v>0</v>
      </c>
      <c r="AM13">
        <f t="shared" si="12"/>
        <v>0</v>
      </c>
      <c r="AN13">
        <f t="shared" si="13"/>
        <v>1</v>
      </c>
      <c r="AO13">
        <f>SUM(AN$2:$AN13)</f>
        <v>12</v>
      </c>
    </row>
    <row r="14" spans="1:48" x14ac:dyDescent="0.35">
      <c r="A14" t="s">
        <v>156</v>
      </c>
      <c r="B14" t="s">
        <v>762</v>
      </c>
      <c r="C14">
        <v>9400</v>
      </c>
      <c r="D14" t="s">
        <v>772</v>
      </c>
      <c r="E14">
        <v>0</v>
      </c>
      <c r="F14">
        <v>1573</v>
      </c>
      <c r="G14">
        <v>1427</v>
      </c>
      <c r="H14">
        <v>0</v>
      </c>
      <c r="I14">
        <v>1427</v>
      </c>
      <c r="J14">
        <v>1208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 t="s">
        <v>419</v>
      </c>
      <c r="X14">
        <v>3</v>
      </c>
      <c r="Y14" t="s">
        <v>434</v>
      </c>
      <c r="Z14" t="s">
        <v>1549</v>
      </c>
      <c r="AA14" t="s">
        <v>151</v>
      </c>
      <c r="AB14" t="s">
        <v>497</v>
      </c>
      <c r="AC14" t="s">
        <v>497</v>
      </c>
      <c r="AD14">
        <v>0</v>
      </c>
      <c r="AE14">
        <v>0</v>
      </c>
      <c r="AF14">
        <v>0</v>
      </c>
      <c r="AG14">
        <v>0</v>
      </c>
      <c r="AH14">
        <f t="shared" si="7"/>
        <v>1</v>
      </c>
      <c r="AI14">
        <f t="shared" si="8"/>
        <v>0</v>
      </c>
      <c r="AJ14">
        <f t="shared" si="9"/>
        <v>1</v>
      </c>
      <c r="AK14">
        <f t="shared" si="10"/>
        <v>1</v>
      </c>
      <c r="AL14">
        <f t="shared" si="11"/>
        <v>0</v>
      </c>
      <c r="AM14">
        <f t="shared" si="12"/>
        <v>0</v>
      </c>
      <c r="AN14">
        <f t="shared" si="13"/>
        <v>1</v>
      </c>
      <c r="AO14">
        <f>SUM(AN$2:$AN14)</f>
        <v>13</v>
      </c>
    </row>
    <row r="15" spans="1:48" x14ac:dyDescent="0.35">
      <c r="A15" t="s">
        <v>156</v>
      </c>
      <c r="B15" t="s">
        <v>762</v>
      </c>
      <c r="C15">
        <v>9400</v>
      </c>
      <c r="D15" t="s">
        <v>773</v>
      </c>
      <c r="E15">
        <v>0</v>
      </c>
      <c r="F15">
        <v>1671</v>
      </c>
      <c r="G15">
        <v>3787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 t="s">
        <v>331</v>
      </c>
      <c r="X15">
        <v>3</v>
      </c>
      <c r="Y15" t="s">
        <v>434</v>
      </c>
      <c r="Z15" t="s">
        <v>1550</v>
      </c>
      <c r="AA15" t="s">
        <v>151</v>
      </c>
      <c r="AB15" t="s">
        <v>497</v>
      </c>
      <c r="AC15" t="s">
        <v>497</v>
      </c>
      <c r="AD15">
        <v>0</v>
      </c>
      <c r="AE15">
        <v>0</v>
      </c>
      <c r="AF15">
        <v>0</v>
      </c>
      <c r="AG15">
        <v>0</v>
      </c>
      <c r="AH15">
        <f t="shared" si="7"/>
        <v>1</v>
      </c>
      <c r="AI15">
        <f t="shared" si="8"/>
        <v>0</v>
      </c>
      <c r="AJ15">
        <f t="shared" si="9"/>
        <v>0</v>
      </c>
      <c r="AK15">
        <f t="shared" si="10"/>
        <v>0</v>
      </c>
      <c r="AL15">
        <f t="shared" si="11"/>
        <v>0</v>
      </c>
      <c r="AM15">
        <f t="shared" si="12"/>
        <v>0</v>
      </c>
      <c r="AN15">
        <f t="shared" si="13"/>
        <v>1</v>
      </c>
      <c r="AO15">
        <f>SUM(AN$2:$AN15)</f>
        <v>14</v>
      </c>
    </row>
    <row r="16" spans="1:48" x14ac:dyDescent="0.35">
      <c r="A16" t="s">
        <v>156</v>
      </c>
      <c r="B16" t="s">
        <v>755</v>
      </c>
      <c r="C16">
        <v>9450</v>
      </c>
      <c r="D16" t="s">
        <v>1551</v>
      </c>
      <c r="E16">
        <v>396</v>
      </c>
      <c r="F16">
        <v>642</v>
      </c>
      <c r="G16">
        <v>1987</v>
      </c>
      <c r="H16">
        <v>0</v>
      </c>
      <c r="I16">
        <v>0</v>
      </c>
      <c r="J16">
        <v>0</v>
      </c>
      <c r="K16">
        <v>1766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157</v>
      </c>
      <c r="X16">
        <v>6</v>
      </c>
      <c r="Y16" t="s">
        <v>438</v>
      </c>
      <c r="Z16" t="s">
        <v>1552</v>
      </c>
      <c r="AA16" t="s">
        <v>150</v>
      </c>
      <c r="AB16" t="s">
        <v>497</v>
      </c>
      <c r="AC16" t="s">
        <v>497</v>
      </c>
      <c r="AD16">
        <v>2042</v>
      </c>
      <c r="AE16">
        <v>0</v>
      </c>
      <c r="AF16">
        <v>0</v>
      </c>
      <c r="AG16">
        <v>0</v>
      </c>
      <c r="AH16">
        <f t="shared" si="7"/>
        <v>1</v>
      </c>
      <c r="AI16">
        <f t="shared" si="8"/>
        <v>0</v>
      </c>
      <c r="AJ16">
        <f t="shared" si="9"/>
        <v>0</v>
      </c>
      <c r="AK16">
        <f t="shared" si="10"/>
        <v>0</v>
      </c>
      <c r="AL16">
        <f t="shared" si="11"/>
        <v>1</v>
      </c>
      <c r="AM16">
        <f t="shared" si="12"/>
        <v>0</v>
      </c>
      <c r="AN16">
        <f t="shared" si="13"/>
        <v>1</v>
      </c>
      <c r="AO16">
        <f>SUM(AN$2:$AN16)</f>
        <v>15</v>
      </c>
    </row>
    <row r="17" spans="1:41" x14ac:dyDescent="0.35">
      <c r="A17" t="s">
        <v>156</v>
      </c>
      <c r="B17" t="s">
        <v>2637</v>
      </c>
      <c r="C17">
        <v>9500</v>
      </c>
      <c r="D17" t="s">
        <v>2638</v>
      </c>
      <c r="E17">
        <v>398</v>
      </c>
      <c r="F17">
        <v>646</v>
      </c>
      <c r="G17">
        <v>0</v>
      </c>
      <c r="H17">
        <v>0</v>
      </c>
      <c r="I17">
        <v>1997</v>
      </c>
      <c r="J17">
        <v>0</v>
      </c>
      <c r="K17">
        <v>1775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159</v>
      </c>
      <c r="X17">
        <v>6</v>
      </c>
      <c r="Y17" t="s">
        <v>438</v>
      </c>
      <c r="Z17" t="s">
        <v>1553</v>
      </c>
      <c r="AA17" t="s">
        <v>149</v>
      </c>
      <c r="AB17" t="s">
        <v>497</v>
      </c>
      <c r="AC17" t="s">
        <v>497</v>
      </c>
      <c r="AD17">
        <v>2053</v>
      </c>
      <c r="AE17">
        <v>0</v>
      </c>
      <c r="AF17">
        <v>0</v>
      </c>
      <c r="AG17">
        <v>0</v>
      </c>
      <c r="AH17">
        <f t="shared" si="7"/>
        <v>0</v>
      </c>
      <c r="AI17">
        <f t="shared" si="8"/>
        <v>0</v>
      </c>
      <c r="AJ17">
        <f t="shared" si="9"/>
        <v>1</v>
      </c>
      <c r="AK17">
        <f t="shared" si="10"/>
        <v>0</v>
      </c>
      <c r="AL17">
        <f t="shared" si="11"/>
        <v>1</v>
      </c>
      <c r="AM17">
        <f t="shared" si="12"/>
        <v>0</v>
      </c>
      <c r="AN17">
        <f t="shared" si="13"/>
        <v>1</v>
      </c>
      <c r="AO17">
        <f>SUM(AN$2:$AN17)</f>
        <v>16</v>
      </c>
    </row>
    <row r="18" spans="1:41" x14ac:dyDescent="0.35">
      <c r="A18" t="s">
        <v>156</v>
      </c>
      <c r="B18" t="s">
        <v>1331</v>
      </c>
      <c r="C18">
        <v>9600</v>
      </c>
      <c r="D18" t="s">
        <v>1332</v>
      </c>
      <c r="E18">
        <v>402</v>
      </c>
      <c r="F18">
        <v>652</v>
      </c>
      <c r="G18">
        <v>0</v>
      </c>
      <c r="H18">
        <v>0</v>
      </c>
      <c r="I18">
        <v>2018</v>
      </c>
      <c r="J18">
        <v>1794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348</v>
      </c>
      <c r="X18">
        <v>6</v>
      </c>
      <c r="Y18" t="s">
        <v>437</v>
      </c>
      <c r="Z18" t="s">
        <v>1554</v>
      </c>
      <c r="AA18" t="s">
        <v>148</v>
      </c>
      <c r="AB18" t="s">
        <v>497</v>
      </c>
      <c r="AC18" t="s">
        <v>497</v>
      </c>
      <c r="AD18">
        <v>2074</v>
      </c>
      <c r="AE18">
        <v>0</v>
      </c>
      <c r="AF18">
        <v>0</v>
      </c>
      <c r="AG18">
        <v>0</v>
      </c>
      <c r="AH18">
        <f t="shared" si="7"/>
        <v>0</v>
      </c>
      <c r="AI18">
        <f t="shared" si="8"/>
        <v>0</v>
      </c>
      <c r="AJ18">
        <f t="shared" si="9"/>
        <v>1</v>
      </c>
      <c r="AK18">
        <f t="shared" si="10"/>
        <v>1</v>
      </c>
      <c r="AL18">
        <f t="shared" si="11"/>
        <v>0</v>
      </c>
      <c r="AM18">
        <f t="shared" si="12"/>
        <v>0</v>
      </c>
      <c r="AN18">
        <f t="shared" si="13"/>
        <v>1</v>
      </c>
      <c r="AO18">
        <f>SUM(AN$2:$AN18)</f>
        <v>17</v>
      </c>
    </row>
    <row r="19" spans="1:41" x14ac:dyDescent="0.35">
      <c r="A19" t="s">
        <v>156</v>
      </c>
      <c r="B19" t="s">
        <v>774</v>
      </c>
      <c r="C19">
        <v>9600</v>
      </c>
      <c r="D19" t="s">
        <v>775</v>
      </c>
      <c r="E19">
        <v>402</v>
      </c>
      <c r="F19">
        <v>652</v>
      </c>
      <c r="G19">
        <v>2018</v>
      </c>
      <c r="H19">
        <v>0</v>
      </c>
      <c r="I19">
        <v>0</v>
      </c>
      <c r="J19">
        <v>1794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350</v>
      </c>
      <c r="X19">
        <v>6</v>
      </c>
      <c r="Y19" t="s">
        <v>1336</v>
      </c>
      <c r="Z19" t="s">
        <v>1555</v>
      </c>
      <c r="AA19" t="s">
        <v>148</v>
      </c>
      <c r="AB19" t="s">
        <v>497</v>
      </c>
      <c r="AC19" t="s">
        <v>497</v>
      </c>
      <c r="AD19">
        <v>2074</v>
      </c>
      <c r="AE19">
        <v>0</v>
      </c>
      <c r="AF19">
        <v>0</v>
      </c>
      <c r="AG19">
        <v>0</v>
      </c>
      <c r="AH19">
        <f t="shared" si="7"/>
        <v>1</v>
      </c>
      <c r="AI19">
        <f t="shared" si="8"/>
        <v>0</v>
      </c>
      <c r="AJ19">
        <f t="shared" si="9"/>
        <v>0</v>
      </c>
      <c r="AK19">
        <f t="shared" si="10"/>
        <v>1</v>
      </c>
      <c r="AL19">
        <f t="shared" si="11"/>
        <v>0</v>
      </c>
      <c r="AM19">
        <f t="shared" si="12"/>
        <v>0</v>
      </c>
      <c r="AN19">
        <f t="shared" si="13"/>
        <v>1</v>
      </c>
      <c r="AO19">
        <f>SUM(AN$2:$AN19)</f>
        <v>18</v>
      </c>
    </row>
    <row r="20" spans="1:41" customFormat="1" x14ac:dyDescent="0.35">
      <c r="A20" t="s">
        <v>156</v>
      </c>
      <c r="B20" t="s">
        <v>762</v>
      </c>
      <c r="C20">
        <v>9700</v>
      </c>
      <c r="D20" t="s">
        <v>776</v>
      </c>
      <c r="E20">
        <v>0</v>
      </c>
      <c r="F20">
        <v>1724</v>
      </c>
      <c r="G20">
        <v>0</v>
      </c>
      <c r="H20">
        <v>0</v>
      </c>
      <c r="I20">
        <v>0</v>
      </c>
      <c r="J20">
        <v>0</v>
      </c>
      <c r="K20">
        <v>3908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 t="s">
        <v>327</v>
      </c>
      <c r="X20">
        <v>3</v>
      </c>
      <c r="Y20" t="s">
        <v>434</v>
      </c>
      <c r="Z20" t="s">
        <v>1556</v>
      </c>
      <c r="AA20" t="s">
        <v>152</v>
      </c>
      <c r="AB20" t="s">
        <v>497</v>
      </c>
      <c r="AC20" t="s">
        <v>497</v>
      </c>
      <c r="AD20">
        <v>0</v>
      </c>
      <c r="AE20">
        <v>0</v>
      </c>
      <c r="AF20">
        <v>0</v>
      </c>
      <c r="AG20">
        <v>0</v>
      </c>
      <c r="AH20">
        <f t="shared" si="7"/>
        <v>0</v>
      </c>
      <c r="AI20">
        <f t="shared" si="8"/>
        <v>0</v>
      </c>
      <c r="AJ20">
        <f t="shared" si="9"/>
        <v>0</v>
      </c>
      <c r="AK20">
        <f t="shared" si="10"/>
        <v>0</v>
      </c>
      <c r="AL20">
        <f t="shared" si="11"/>
        <v>1</v>
      </c>
      <c r="AM20">
        <f t="shared" si="12"/>
        <v>0</v>
      </c>
      <c r="AN20">
        <f t="shared" si="13"/>
        <v>1</v>
      </c>
      <c r="AO20">
        <f>SUM(AN$2:$AN20)</f>
        <v>19</v>
      </c>
    </row>
    <row r="21" spans="1:41" x14ac:dyDescent="0.35">
      <c r="A21" t="s">
        <v>156</v>
      </c>
      <c r="B21" t="s">
        <v>762</v>
      </c>
      <c r="C21">
        <v>9700</v>
      </c>
      <c r="D21" t="s">
        <v>777</v>
      </c>
      <c r="E21">
        <v>0</v>
      </c>
      <c r="F21">
        <v>1471</v>
      </c>
      <c r="G21">
        <v>2266</v>
      </c>
      <c r="H21">
        <v>0</v>
      </c>
      <c r="I21">
        <v>0</v>
      </c>
      <c r="J21">
        <v>2266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 t="s">
        <v>418</v>
      </c>
      <c r="X21">
        <v>3</v>
      </c>
      <c r="Y21" t="s">
        <v>434</v>
      </c>
      <c r="Z21" t="s">
        <v>1557</v>
      </c>
      <c r="AA21" t="s">
        <v>151</v>
      </c>
      <c r="AB21" t="s">
        <v>497</v>
      </c>
      <c r="AC21" t="s">
        <v>497</v>
      </c>
      <c r="AD21">
        <v>0</v>
      </c>
      <c r="AE21">
        <v>0</v>
      </c>
      <c r="AF21">
        <v>0</v>
      </c>
      <c r="AG21">
        <v>0</v>
      </c>
      <c r="AH21">
        <f t="shared" si="7"/>
        <v>1</v>
      </c>
      <c r="AI21">
        <f t="shared" si="8"/>
        <v>0</v>
      </c>
      <c r="AJ21">
        <f t="shared" si="9"/>
        <v>0</v>
      </c>
      <c r="AK21">
        <f t="shared" si="10"/>
        <v>1</v>
      </c>
      <c r="AL21">
        <f t="shared" si="11"/>
        <v>0</v>
      </c>
      <c r="AM21">
        <f t="shared" si="12"/>
        <v>0</v>
      </c>
      <c r="AN21">
        <f t="shared" si="13"/>
        <v>1</v>
      </c>
      <c r="AO21">
        <f>SUM(AN$2:$AN21)</f>
        <v>20</v>
      </c>
    </row>
    <row r="22" spans="1:41" x14ac:dyDescent="0.35">
      <c r="A22" t="s">
        <v>156</v>
      </c>
      <c r="B22" t="s">
        <v>762</v>
      </c>
      <c r="C22">
        <v>9700</v>
      </c>
      <c r="D22" t="s">
        <v>2582</v>
      </c>
      <c r="E22">
        <v>0</v>
      </c>
      <c r="F22">
        <v>1471</v>
      </c>
      <c r="G22">
        <v>1699</v>
      </c>
      <c r="H22">
        <v>1133</v>
      </c>
      <c r="I22">
        <v>1586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t="s">
        <v>2583</v>
      </c>
      <c r="X22">
        <v>3</v>
      </c>
      <c r="Y22" t="s">
        <v>434</v>
      </c>
      <c r="Z22" t="s">
        <v>1558</v>
      </c>
      <c r="AA22" t="s">
        <v>358</v>
      </c>
      <c r="AB22" t="s">
        <v>497</v>
      </c>
      <c r="AC22" t="s">
        <v>497</v>
      </c>
      <c r="AD22">
        <v>0</v>
      </c>
      <c r="AE22">
        <v>0</v>
      </c>
      <c r="AF22">
        <v>0</v>
      </c>
      <c r="AG22">
        <v>0</v>
      </c>
      <c r="AH22">
        <f t="shared" si="7"/>
        <v>1</v>
      </c>
      <c r="AI22">
        <f t="shared" si="8"/>
        <v>1</v>
      </c>
      <c r="AJ22">
        <f t="shared" si="9"/>
        <v>1</v>
      </c>
      <c r="AK22">
        <f t="shared" si="10"/>
        <v>0</v>
      </c>
      <c r="AL22">
        <f t="shared" si="11"/>
        <v>0</v>
      </c>
      <c r="AM22">
        <f t="shared" si="12"/>
        <v>0</v>
      </c>
      <c r="AN22">
        <f t="shared" si="13"/>
        <v>1</v>
      </c>
      <c r="AO22">
        <f>SUM(AN$2:$AN22)</f>
        <v>21</v>
      </c>
    </row>
    <row r="23" spans="1:41" x14ac:dyDescent="0.35">
      <c r="A23" t="s">
        <v>156</v>
      </c>
      <c r="B23" t="s">
        <v>764</v>
      </c>
      <c r="C23">
        <v>10000</v>
      </c>
      <c r="D23" t="s">
        <v>1559</v>
      </c>
      <c r="E23">
        <v>419</v>
      </c>
      <c r="F23">
        <v>680</v>
      </c>
      <c r="G23">
        <v>0</v>
      </c>
      <c r="H23">
        <v>0</v>
      </c>
      <c r="I23">
        <v>0</v>
      </c>
      <c r="J23">
        <v>2102</v>
      </c>
      <c r="K23">
        <v>1869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 t="s">
        <v>347</v>
      </c>
      <c r="X23">
        <v>6</v>
      </c>
      <c r="Y23" t="s">
        <v>435</v>
      </c>
      <c r="Z23" t="s">
        <v>1560</v>
      </c>
      <c r="AA23" t="s">
        <v>153</v>
      </c>
      <c r="AB23" t="s">
        <v>497</v>
      </c>
      <c r="AC23" t="s">
        <v>497</v>
      </c>
      <c r="AD23">
        <v>2161</v>
      </c>
      <c r="AE23">
        <v>0</v>
      </c>
      <c r="AF23">
        <v>0</v>
      </c>
      <c r="AG23">
        <v>0</v>
      </c>
      <c r="AH23">
        <f t="shared" si="7"/>
        <v>0</v>
      </c>
      <c r="AI23">
        <f t="shared" si="8"/>
        <v>0</v>
      </c>
      <c r="AJ23">
        <f t="shared" si="9"/>
        <v>0</v>
      </c>
      <c r="AK23">
        <f t="shared" si="10"/>
        <v>1</v>
      </c>
      <c r="AL23">
        <f t="shared" si="11"/>
        <v>1</v>
      </c>
      <c r="AM23">
        <f t="shared" si="12"/>
        <v>0</v>
      </c>
      <c r="AN23">
        <f t="shared" si="13"/>
        <v>1</v>
      </c>
      <c r="AO23">
        <f>SUM(AN$2:$AN23)</f>
        <v>22</v>
      </c>
    </row>
    <row r="24" spans="1:41" x14ac:dyDescent="0.35">
      <c r="A24" t="s">
        <v>156</v>
      </c>
      <c r="B24" t="s">
        <v>765</v>
      </c>
      <c r="C24">
        <v>10000</v>
      </c>
      <c r="D24" t="s">
        <v>1561</v>
      </c>
      <c r="E24">
        <v>419</v>
      </c>
      <c r="F24">
        <v>680</v>
      </c>
      <c r="G24">
        <v>0</v>
      </c>
      <c r="H24">
        <v>0</v>
      </c>
      <c r="I24">
        <v>2102</v>
      </c>
      <c r="J24">
        <v>1869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348</v>
      </c>
      <c r="X24">
        <v>6</v>
      </c>
      <c r="Y24" t="s">
        <v>435</v>
      </c>
      <c r="Z24" t="s">
        <v>1562</v>
      </c>
      <c r="AA24" t="s">
        <v>148</v>
      </c>
      <c r="AB24" t="s">
        <v>497</v>
      </c>
      <c r="AC24" t="s">
        <v>497</v>
      </c>
      <c r="AD24">
        <v>2161</v>
      </c>
      <c r="AE24">
        <v>0</v>
      </c>
      <c r="AF24">
        <v>0</v>
      </c>
      <c r="AG24">
        <v>0</v>
      </c>
      <c r="AH24">
        <f t="shared" si="7"/>
        <v>0</v>
      </c>
      <c r="AI24">
        <f t="shared" si="8"/>
        <v>0</v>
      </c>
      <c r="AJ24">
        <f t="shared" si="9"/>
        <v>1</v>
      </c>
      <c r="AK24">
        <f t="shared" si="10"/>
        <v>1</v>
      </c>
      <c r="AL24">
        <f t="shared" si="11"/>
        <v>0</v>
      </c>
      <c r="AM24">
        <f t="shared" si="12"/>
        <v>0</v>
      </c>
      <c r="AN24">
        <f t="shared" si="13"/>
        <v>1</v>
      </c>
      <c r="AO24">
        <f>SUM(AN$2:$AN24)</f>
        <v>23</v>
      </c>
    </row>
    <row r="25" spans="1:41" x14ac:dyDescent="0.35">
      <c r="A25" t="s">
        <v>156</v>
      </c>
      <c r="B25" t="s">
        <v>766</v>
      </c>
      <c r="C25">
        <v>10000</v>
      </c>
      <c r="D25" t="s">
        <v>1563</v>
      </c>
      <c r="E25">
        <v>419</v>
      </c>
      <c r="F25">
        <v>680</v>
      </c>
      <c r="G25">
        <v>0</v>
      </c>
      <c r="H25">
        <v>0</v>
      </c>
      <c r="I25">
        <v>2102</v>
      </c>
      <c r="J25">
        <v>1869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348</v>
      </c>
      <c r="X25">
        <v>6</v>
      </c>
      <c r="Y25" t="s">
        <v>435</v>
      </c>
      <c r="Z25" t="s">
        <v>1564</v>
      </c>
      <c r="AA25" t="s">
        <v>148</v>
      </c>
      <c r="AB25" t="s">
        <v>497</v>
      </c>
      <c r="AC25" t="s">
        <v>497</v>
      </c>
      <c r="AD25">
        <v>2161</v>
      </c>
      <c r="AE25">
        <v>0</v>
      </c>
      <c r="AF25">
        <v>0</v>
      </c>
      <c r="AG25">
        <v>0</v>
      </c>
      <c r="AH25">
        <f t="shared" si="7"/>
        <v>0</v>
      </c>
      <c r="AI25">
        <f t="shared" si="8"/>
        <v>0</v>
      </c>
      <c r="AJ25">
        <f t="shared" si="9"/>
        <v>1</v>
      </c>
      <c r="AK25">
        <f t="shared" si="10"/>
        <v>1</v>
      </c>
      <c r="AL25">
        <f t="shared" si="11"/>
        <v>0</v>
      </c>
      <c r="AM25">
        <f t="shared" si="12"/>
        <v>0</v>
      </c>
      <c r="AN25">
        <f t="shared" si="13"/>
        <v>1</v>
      </c>
      <c r="AO25">
        <f>SUM(AN$2:$AN25)</f>
        <v>24</v>
      </c>
    </row>
    <row r="26" spans="1:41" x14ac:dyDescent="0.35">
      <c r="A26" t="s">
        <v>156</v>
      </c>
      <c r="B26" t="s">
        <v>767</v>
      </c>
      <c r="C26">
        <v>10000</v>
      </c>
      <c r="D26" t="s">
        <v>1565</v>
      </c>
      <c r="E26">
        <v>419</v>
      </c>
      <c r="F26">
        <v>680</v>
      </c>
      <c r="G26">
        <v>0</v>
      </c>
      <c r="H26">
        <v>0</v>
      </c>
      <c r="I26">
        <v>0</v>
      </c>
      <c r="J26">
        <v>0</v>
      </c>
      <c r="K26">
        <v>1869</v>
      </c>
      <c r="L26">
        <v>2102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158</v>
      </c>
      <c r="X26">
        <v>6</v>
      </c>
      <c r="Y26" t="s">
        <v>435</v>
      </c>
      <c r="Z26" t="s">
        <v>1566</v>
      </c>
      <c r="AA26" t="s">
        <v>148</v>
      </c>
      <c r="AB26" t="s">
        <v>497</v>
      </c>
      <c r="AC26" t="s">
        <v>497</v>
      </c>
      <c r="AD26">
        <v>2161</v>
      </c>
      <c r="AE26">
        <v>0</v>
      </c>
      <c r="AF26">
        <v>0</v>
      </c>
      <c r="AG26">
        <v>0</v>
      </c>
      <c r="AH26">
        <f t="shared" si="7"/>
        <v>0</v>
      </c>
      <c r="AI26">
        <f t="shared" si="8"/>
        <v>0</v>
      </c>
      <c r="AJ26">
        <f t="shared" si="9"/>
        <v>0</v>
      </c>
      <c r="AK26">
        <f t="shared" si="10"/>
        <v>0</v>
      </c>
      <c r="AL26">
        <f t="shared" si="11"/>
        <v>1</v>
      </c>
      <c r="AM26">
        <f t="shared" si="12"/>
        <v>1</v>
      </c>
      <c r="AN26">
        <f t="shared" si="13"/>
        <v>1</v>
      </c>
      <c r="AO26">
        <f>SUM(AN$2:$AN26)</f>
        <v>25</v>
      </c>
    </row>
    <row r="27" spans="1:41" x14ac:dyDescent="0.35">
      <c r="A27" t="s">
        <v>156</v>
      </c>
      <c r="B27" t="s">
        <v>768</v>
      </c>
      <c r="C27">
        <v>10000</v>
      </c>
      <c r="D27" t="s">
        <v>1567</v>
      </c>
      <c r="E27">
        <v>419</v>
      </c>
      <c r="F27">
        <v>680</v>
      </c>
      <c r="G27">
        <v>0</v>
      </c>
      <c r="H27">
        <v>0</v>
      </c>
      <c r="I27">
        <v>2102</v>
      </c>
      <c r="J27">
        <v>0</v>
      </c>
      <c r="K27">
        <v>1869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159</v>
      </c>
      <c r="X27">
        <v>6</v>
      </c>
      <c r="Y27" t="s">
        <v>435</v>
      </c>
      <c r="Z27" t="s">
        <v>1568</v>
      </c>
      <c r="AA27" t="s">
        <v>149</v>
      </c>
      <c r="AB27" t="s">
        <v>497</v>
      </c>
      <c r="AC27" t="s">
        <v>497</v>
      </c>
      <c r="AD27">
        <v>2161</v>
      </c>
      <c r="AE27">
        <v>0</v>
      </c>
      <c r="AF27">
        <v>0</v>
      </c>
      <c r="AG27">
        <v>0</v>
      </c>
      <c r="AH27">
        <f t="shared" si="7"/>
        <v>0</v>
      </c>
      <c r="AI27">
        <f t="shared" si="8"/>
        <v>0</v>
      </c>
      <c r="AJ27">
        <f t="shared" si="9"/>
        <v>1</v>
      </c>
      <c r="AK27">
        <f t="shared" si="10"/>
        <v>0</v>
      </c>
      <c r="AL27">
        <f t="shared" si="11"/>
        <v>1</v>
      </c>
      <c r="AM27">
        <f t="shared" si="12"/>
        <v>0</v>
      </c>
      <c r="AN27">
        <f t="shared" si="13"/>
        <v>1</v>
      </c>
      <c r="AO27">
        <f>SUM(AN$2:$AN27)</f>
        <v>26</v>
      </c>
    </row>
    <row r="28" spans="1:41" x14ac:dyDescent="0.35">
      <c r="A28" t="s">
        <v>156</v>
      </c>
      <c r="B28" t="s">
        <v>769</v>
      </c>
      <c r="C28">
        <v>10000</v>
      </c>
      <c r="D28" t="s">
        <v>1569</v>
      </c>
      <c r="E28">
        <v>419</v>
      </c>
      <c r="F28">
        <v>680</v>
      </c>
      <c r="G28">
        <v>0</v>
      </c>
      <c r="H28">
        <v>0</v>
      </c>
      <c r="I28">
        <v>2102</v>
      </c>
      <c r="J28">
        <v>0</v>
      </c>
      <c r="K28">
        <v>1869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159</v>
      </c>
      <c r="X28">
        <v>6</v>
      </c>
      <c r="Y28" t="s">
        <v>435</v>
      </c>
      <c r="Z28" t="s">
        <v>1570</v>
      </c>
      <c r="AA28" t="s">
        <v>149</v>
      </c>
      <c r="AB28" t="s">
        <v>497</v>
      </c>
      <c r="AC28" t="s">
        <v>497</v>
      </c>
      <c r="AD28">
        <v>2161</v>
      </c>
      <c r="AE28">
        <v>0</v>
      </c>
      <c r="AF28">
        <v>0</v>
      </c>
      <c r="AG28">
        <v>0</v>
      </c>
      <c r="AH28">
        <f t="shared" si="7"/>
        <v>0</v>
      </c>
      <c r="AI28">
        <f t="shared" si="8"/>
        <v>0</v>
      </c>
      <c r="AJ28">
        <f t="shared" si="9"/>
        <v>1</v>
      </c>
      <c r="AK28">
        <f t="shared" si="10"/>
        <v>0</v>
      </c>
      <c r="AL28">
        <f t="shared" si="11"/>
        <v>1</v>
      </c>
      <c r="AM28">
        <f t="shared" si="12"/>
        <v>0</v>
      </c>
      <c r="AN28">
        <f t="shared" si="13"/>
        <v>1</v>
      </c>
      <c r="AO28">
        <f>SUM(AN$2:$AN28)</f>
        <v>27</v>
      </c>
    </row>
    <row r="29" spans="1:41" x14ac:dyDescent="0.35">
      <c r="A29" t="s">
        <v>156</v>
      </c>
      <c r="B29" t="s">
        <v>770</v>
      </c>
      <c r="C29">
        <v>10000</v>
      </c>
      <c r="D29" t="s">
        <v>1571</v>
      </c>
      <c r="E29">
        <v>419</v>
      </c>
      <c r="F29">
        <v>680</v>
      </c>
      <c r="G29">
        <v>2102</v>
      </c>
      <c r="H29">
        <v>0</v>
      </c>
      <c r="I29">
        <v>0</v>
      </c>
      <c r="J29">
        <v>1869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350</v>
      </c>
      <c r="X29">
        <v>6</v>
      </c>
      <c r="Y29" t="s">
        <v>435</v>
      </c>
      <c r="Z29" t="s">
        <v>1572</v>
      </c>
      <c r="AA29" t="s">
        <v>148</v>
      </c>
      <c r="AB29" t="s">
        <v>497</v>
      </c>
      <c r="AC29" t="s">
        <v>497</v>
      </c>
      <c r="AD29">
        <v>2161</v>
      </c>
      <c r="AE29">
        <v>0</v>
      </c>
      <c r="AF29">
        <v>0</v>
      </c>
      <c r="AG29">
        <v>0</v>
      </c>
      <c r="AH29">
        <f t="shared" si="7"/>
        <v>1</v>
      </c>
      <c r="AI29">
        <f t="shared" si="8"/>
        <v>0</v>
      </c>
      <c r="AJ29">
        <f t="shared" si="9"/>
        <v>0</v>
      </c>
      <c r="AK29">
        <f t="shared" si="10"/>
        <v>1</v>
      </c>
      <c r="AL29">
        <f t="shared" si="11"/>
        <v>0</v>
      </c>
      <c r="AM29">
        <f t="shared" si="12"/>
        <v>0</v>
      </c>
      <c r="AN29">
        <f t="shared" si="13"/>
        <v>1</v>
      </c>
      <c r="AO29">
        <f>SUM(AN$2:$AN29)</f>
        <v>28</v>
      </c>
    </row>
    <row r="30" spans="1:41" x14ac:dyDescent="0.35">
      <c r="A30" t="s">
        <v>156</v>
      </c>
      <c r="B30" t="s">
        <v>1573</v>
      </c>
      <c r="C30">
        <v>10000</v>
      </c>
      <c r="D30" t="s">
        <v>1574</v>
      </c>
      <c r="E30">
        <v>419</v>
      </c>
      <c r="F30">
        <v>680</v>
      </c>
      <c r="G30">
        <v>2102</v>
      </c>
      <c r="H30">
        <v>0</v>
      </c>
      <c r="I30">
        <v>0</v>
      </c>
      <c r="J30">
        <v>0</v>
      </c>
      <c r="K30">
        <v>1869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157</v>
      </c>
      <c r="X30">
        <v>6</v>
      </c>
      <c r="Y30" t="s">
        <v>435</v>
      </c>
      <c r="Z30" t="s">
        <v>1575</v>
      </c>
      <c r="AA30" t="s">
        <v>150</v>
      </c>
      <c r="AB30" t="s">
        <v>497</v>
      </c>
      <c r="AC30" t="s">
        <v>497</v>
      </c>
      <c r="AD30">
        <v>2161</v>
      </c>
      <c r="AE30">
        <v>0</v>
      </c>
      <c r="AF30">
        <v>0</v>
      </c>
      <c r="AG30">
        <v>0</v>
      </c>
      <c r="AH30">
        <f t="shared" si="7"/>
        <v>1</v>
      </c>
      <c r="AI30">
        <f t="shared" si="8"/>
        <v>0</v>
      </c>
      <c r="AJ30">
        <f t="shared" si="9"/>
        <v>0</v>
      </c>
      <c r="AK30">
        <f t="shared" si="10"/>
        <v>0</v>
      </c>
      <c r="AL30">
        <f t="shared" si="11"/>
        <v>1</v>
      </c>
      <c r="AM30">
        <f t="shared" si="12"/>
        <v>0</v>
      </c>
      <c r="AN30">
        <f t="shared" si="13"/>
        <v>1</v>
      </c>
      <c r="AO30">
        <f>SUM(AN$2:$AN30)</f>
        <v>29</v>
      </c>
    </row>
    <row r="31" spans="1:41" x14ac:dyDescent="0.35">
      <c r="A31" t="s">
        <v>156</v>
      </c>
      <c r="B31" t="s">
        <v>778</v>
      </c>
      <c r="C31">
        <v>10000</v>
      </c>
      <c r="D31" t="s">
        <v>779</v>
      </c>
      <c r="E31">
        <v>419</v>
      </c>
      <c r="F31">
        <v>680</v>
      </c>
      <c r="G31">
        <v>2102</v>
      </c>
      <c r="H31">
        <v>0</v>
      </c>
      <c r="I31">
        <v>0</v>
      </c>
      <c r="J31">
        <v>0</v>
      </c>
      <c r="K31">
        <v>1869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157</v>
      </c>
      <c r="X31">
        <v>6</v>
      </c>
      <c r="Y31" t="s">
        <v>439</v>
      </c>
      <c r="Z31" t="s">
        <v>1576</v>
      </c>
      <c r="AA31" t="s">
        <v>150</v>
      </c>
      <c r="AB31" t="s">
        <v>497</v>
      </c>
      <c r="AC31" t="s">
        <v>497</v>
      </c>
      <c r="AD31">
        <v>2161</v>
      </c>
      <c r="AE31">
        <v>0</v>
      </c>
      <c r="AF31">
        <v>0</v>
      </c>
      <c r="AG31">
        <v>0</v>
      </c>
      <c r="AH31">
        <f t="shared" si="7"/>
        <v>1</v>
      </c>
      <c r="AI31">
        <f t="shared" si="8"/>
        <v>0</v>
      </c>
      <c r="AJ31">
        <f t="shared" si="9"/>
        <v>0</v>
      </c>
      <c r="AK31">
        <f t="shared" si="10"/>
        <v>0</v>
      </c>
      <c r="AL31">
        <f t="shared" si="11"/>
        <v>1</v>
      </c>
      <c r="AM31">
        <f t="shared" si="12"/>
        <v>0</v>
      </c>
      <c r="AN31">
        <f t="shared" si="13"/>
        <v>1</v>
      </c>
      <c r="AO31">
        <f>SUM(AN$2:$AN31)</f>
        <v>30</v>
      </c>
    </row>
    <row r="32" spans="1:41" x14ac:dyDescent="0.35">
      <c r="A32" t="s">
        <v>156</v>
      </c>
      <c r="B32" t="s">
        <v>762</v>
      </c>
      <c r="C32">
        <v>10000</v>
      </c>
      <c r="D32" t="s">
        <v>780</v>
      </c>
      <c r="E32">
        <v>0</v>
      </c>
      <c r="F32">
        <v>1778</v>
      </c>
      <c r="G32">
        <v>0</v>
      </c>
      <c r="H32">
        <v>0</v>
      </c>
      <c r="I32">
        <v>4029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t="s">
        <v>329</v>
      </c>
      <c r="X32">
        <v>3</v>
      </c>
      <c r="Y32" t="s">
        <v>434</v>
      </c>
      <c r="Z32" t="s">
        <v>1577</v>
      </c>
      <c r="AA32" t="s">
        <v>358</v>
      </c>
      <c r="AB32" t="s">
        <v>497</v>
      </c>
      <c r="AC32" t="s">
        <v>497</v>
      </c>
      <c r="AD32">
        <v>0</v>
      </c>
      <c r="AE32">
        <v>0</v>
      </c>
      <c r="AF32">
        <v>0</v>
      </c>
      <c r="AG32">
        <v>0</v>
      </c>
      <c r="AH32">
        <f t="shared" si="7"/>
        <v>0</v>
      </c>
      <c r="AI32">
        <f t="shared" si="8"/>
        <v>0</v>
      </c>
      <c r="AJ32">
        <f t="shared" si="9"/>
        <v>1</v>
      </c>
      <c r="AK32">
        <f t="shared" si="10"/>
        <v>0</v>
      </c>
      <c r="AL32">
        <f t="shared" si="11"/>
        <v>0</v>
      </c>
      <c r="AM32">
        <f t="shared" si="12"/>
        <v>0</v>
      </c>
      <c r="AN32">
        <f t="shared" si="13"/>
        <v>1</v>
      </c>
      <c r="AO32">
        <f>SUM(AN$2:$AN32)</f>
        <v>31</v>
      </c>
    </row>
    <row r="33" spans="1:41" x14ac:dyDescent="0.35">
      <c r="A33" t="s">
        <v>156</v>
      </c>
      <c r="B33" t="s">
        <v>762</v>
      </c>
      <c r="C33">
        <v>10000</v>
      </c>
      <c r="D33" t="s">
        <v>2584</v>
      </c>
      <c r="E33">
        <v>0</v>
      </c>
      <c r="F33">
        <v>1516</v>
      </c>
      <c r="G33">
        <v>2219</v>
      </c>
      <c r="H33">
        <v>1168</v>
      </c>
      <c r="I33">
        <v>0</v>
      </c>
      <c r="J33">
        <v>1168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 t="s">
        <v>2579</v>
      </c>
      <c r="X33">
        <v>3</v>
      </c>
      <c r="Y33" t="s">
        <v>434</v>
      </c>
      <c r="Z33" t="s">
        <v>1578</v>
      </c>
      <c r="AA33" t="s">
        <v>152</v>
      </c>
      <c r="AB33" t="s">
        <v>497</v>
      </c>
      <c r="AC33" t="s">
        <v>497</v>
      </c>
      <c r="AD33">
        <v>0</v>
      </c>
      <c r="AE33">
        <v>0</v>
      </c>
      <c r="AF33">
        <v>0</v>
      </c>
      <c r="AG33">
        <v>0</v>
      </c>
      <c r="AH33">
        <f t="shared" si="7"/>
        <v>1</v>
      </c>
      <c r="AI33">
        <f t="shared" si="8"/>
        <v>1</v>
      </c>
      <c r="AJ33">
        <f t="shared" si="9"/>
        <v>0</v>
      </c>
      <c r="AK33">
        <f t="shared" si="10"/>
        <v>1</v>
      </c>
      <c r="AL33">
        <f t="shared" si="11"/>
        <v>0</v>
      </c>
      <c r="AM33">
        <f t="shared" si="12"/>
        <v>0</v>
      </c>
      <c r="AN33">
        <f t="shared" si="13"/>
        <v>1</v>
      </c>
      <c r="AO33">
        <f>SUM(AN$2:$AN33)</f>
        <v>32</v>
      </c>
    </row>
    <row r="34" spans="1:41" x14ac:dyDescent="0.35">
      <c r="A34" t="s">
        <v>156</v>
      </c>
      <c r="B34" t="s">
        <v>762</v>
      </c>
      <c r="C34">
        <v>10000</v>
      </c>
      <c r="D34" t="s">
        <v>2585</v>
      </c>
      <c r="E34">
        <v>0</v>
      </c>
      <c r="F34">
        <v>1516</v>
      </c>
      <c r="G34">
        <v>2803</v>
      </c>
      <c r="H34">
        <v>1752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 t="s">
        <v>2581</v>
      </c>
      <c r="X34">
        <v>3</v>
      </c>
      <c r="Y34" t="s">
        <v>434</v>
      </c>
      <c r="Z34" t="s">
        <v>1579</v>
      </c>
      <c r="AA34" t="s">
        <v>152</v>
      </c>
      <c r="AB34" t="s">
        <v>497</v>
      </c>
      <c r="AC34" t="s">
        <v>497</v>
      </c>
      <c r="AD34">
        <v>0</v>
      </c>
      <c r="AE34">
        <v>0</v>
      </c>
      <c r="AF34">
        <v>0</v>
      </c>
      <c r="AG34">
        <v>0</v>
      </c>
      <c r="AH34">
        <f t="shared" si="7"/>
        <v>1</v>
      </c>
      <c r="AI34">
        <f t="shared" si="8"/>
        <v>1</v>
      </c>
      <c r="AJ34">
        <f t="shared" si="9"/>
        <v>0</v>
      </c>
      <c r="AK34">
        <f t="shared" si="10"/>
        <v>0</v>
      </c>
      <c r="AL34">
        <f t="shared" si="11"/>
        <v>0</v>
      </c>
      <c r="AM34">
        <f t="shared" si="12"/>
        <v>0</v>
      </c>
      <c r="AN34">
        <f t="shared" si="13"/>
        <v>1</v>
      </c>
      <c r="AO34">
        <f>SUM(AN$2:$AN34)</f>
        <v>33</v>
      </c>
    </row>
    <row r="35" spans="1:41" x14ac:dyDescent="0.35">
      <c r="A35" t="s">
        <v>156</v>
      </c>
      <c r="B35" t="s">
        <v>2637</v>
      </c>
      <c r="C35">
        <v>10100</v>
      </c>
      <c r="D35" t="s">
        <v>2639</v>
      </c>
      <c r="E35">
        <v>423</v>
      </c>
      <c r="F35">
        <v>686</v>
      </c>
      <c r="G35">
        <v>0</v>
      </c>
      <c r="H35">
        <v>0</v>
      </c>
      <c r="I35">
        <v>2123</v>
      </c>
      <c r="J35">
        <v>0</v>
      </c>
      <c r="K35">
        <v>1887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159</v>
      </c>
      <c r="X35">
        <v>6</v>
      </c>
      <c r="Y35" t="s">
        <v>438</v>
      </c>
      <c r="Z35" t="s">
        <v>1580</v>
      </c>
      <c r="AA35" t="s">
        <v>149</v>
      </c>
      <c r="AB35" t="s">
        <v>497</v>
      </c>
      <c r="AC35" t="s">
        <v>497</v>
      </c>
      <c r="AD35">
        <v>2182</v>
      </c>
      <c r="AE35">
        <v>0</v>
      </c>
      <c r="AF35">
        <v>0</v>
      </c>
      <c r="AG35">
        <v>0</v>
      </c>
      <c r="AH35">
        <f t="shared" si="7"/>
        <v>0</v>
      </c>
      <c r="AI35">
        <f t="shared" si="8"/>
        <v>0</v>
      </c>
      <c r="AJ35">
        <f t="shared" si="9"/>
        <v>1</v>
      </c>
      <c r="AK35">
        <f t="shared" si="10"/>
        <v>0</v>
      </c>
      <c r="AL35">
        <f t="shared" si="11"/>
        <v>1</v>
      </c>
      <c r="AM35">
        <f t="shared" si="12"/>
        <v>0</v>
      </c>
      <c r="AN35">
        <f t="shared" si="13"/>
        <v>1</v>
      </c>
      <c r="AO35">
        <f>SUM(AN$2:$AN35)</f>
        <v>34</v>
      </c>
    </row>
    <row r="36" spans="1:41" x14ac:dyDescent="0.35">
      <c r="A36" t="s">
        <v>156</v>
      </c>
      <c r="B36" t="s">
        <v>755</v>
      </c>
      <c r="C36">
        <v>10100</v>
      </c>
      <c r="D36" t="s">
        <v>1581</v>
      </c>
      <c r="E36">
        <v>423</v>
      </c>
      <c r="F36">
        <v>686</v>
      </c>
      <c r="G36">
        <v>2123</v>
      </c>
      <c r="H36">
        <v>0</v>
      </c>
      <c r="I36">
        <v>0</v>
      </c>
      <c r="J36">
        <v>0</v>
      </c>
      <c r="K36">
        <v>1887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157</v>
      </c>
      <c r="X36">
        <v>6</v>
      </c>
      <c r="Y36" t="s">
        <v>438</v>
      </c>
      <c r="Z36" t="s">
        <v>1582</v>
      </c>
      <c r="AA36" t="s">
        <v>150</v>
      </c>
      <c r="AB36" t="s">
        <v>497</v>
      </c>
      <c r="AC36" t="s">
        <v>497</v>
      </c>
      <c r="AD36">
        <v>2182</v>
      </c>
      <c r="AE36">
        <v>0</v>
      </c>
      <c r="AF36">
        <v>0</v>
      </c>
      <c r="AG36">
        <v>0</v>
      </c>
      <c r="AH36">
        <f t="shared" si="7"/>
        <v>1</v>
      </c>
      <c r="AI36">
        <f t="shared" si="8"/>
        <v>0</v>
      </c>
      <c r="AJ36">
        <f t="shared" si="9"/>
        <v>0</v>
      </c>
      <c r="AK36">
        <f t="shared" si="10"/>
        <v>0</v>
      </c>
      <c r="AL36">
        <f t="shared" si="11"/>
        <v>1</v>
      </c>
      <c r="AM36">
        <f t="shared" si="12"/>
        <v>0</v>
      </c>
      <c r="AN36">
        <f t="shared" si="13"/>
        <v>1</v>
      </c>
      <c r="AO36">
        <f>SUM(AN$2:$AN36)</f>
        <v>35</v>
      </c>
    </row>
    <row r="37" spans="1:41" x14ac:dyDescent="0.35">
      <c r="A37" t="s">
        <v>156</v>
      </c>
      <c r="B37" t="s">
        <v>781</v>
      </c>
      <c r="C37">
        <v>10150</v>
      </c>
      <c r="D37" t="s">
        <v>782</v>
      </c>
      <c r="E37">
        <v>425</v>
      </c>
      <c r="F37">
        <v>690</v>
      </c>
      <c r="G37">
        <v>0</v>
      </c>
      <c r="H37">
        <v>0</v>
      </c>
      <c r="I37">
        <v>0</v>
      </c>
      <c r="J37">
        <v>1897</v>
      </c>
      <c r="K37">
        <v>0</v>
      </c>
      <c r="L37">
        <v>2134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349</v>
      </c>
      <c r="X37">
        <v>6</v>
      </c>
      <c r="Y37" t="s">
        <v>435</v>
      </c>
      <c r="Z37" t="s">
        <v>1583</v>
      </c>
      <c r="AA37" t="s">
        <v>148</v>
      </c>
      <c r="AB37" t="s">
        <v>497</v>
      </c>
      <c r="AC37" t="s">
        <v>497</v>
      </c>
      <c r="AD37">
        <v>2193</v>
      </c>
      <c r="AE37">
        <v>0</v>
      </c>
      <c r="AF37">
        <v>0</v>
      </c>
      <c r="AG37">
        <v>0</v>
      </c>
      <c r="AH37">
        <f t="shared" si="7"/>
        <v>0</v>
      </c>
      <c r="AI37">
        <f t="shared" si="8"/>
        <v>0</v>
      </c>
      <c r="AJ37">
        <f t="shared" si="9"/>
        <v>0</v>
      </c>
      <c r="AK37">
        <f t="shared" si="10"/>
        <v>1</v>
      </c>
      <c r="AL37">
        <f t="shared" si="11"/>
        <v>0</v>
      </c>
      <c r="AM37">
        <f t="shared" si="12"/>
        <v>1</v>
      </c>
      <c r="AN37">
        <f t="shared" si="13"/>
        <v>1</v>
      </c>
      <c r="AO37">
        <f>SUM(AN$2:$AN37)</f>
        <v>36</v>
      </c>
    </row>
    <row r="38" spans="1:41" x14ac:dyDescent="0.35">
      <c r="A38" t="s">
        <v>156</v>
      </c>
      <c r="B38" t="s">
        <v>783</v>
      </c>
      <c r="C38">
        <v>10150</v>
      </c>
      <c r="D38" t="s">
        <v>784</v>
      </c>
      <c r="E38">
        <v>425</v>
      </c>
      <c r="F38">
        <v>690</v>
      </c>
      <c r="G38">
        <v>2134</v>
      </c>
      <c r="H38">
        <v>0</v>
      </c>
      <c r="I38">
        <v>0</v>
      </c>
      <c r="J38">
        <v>0</v>
      </c>
      <c r="K38">
        <v>1897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157</v>
      </c>
      <c r="X38">
        <v>6</v>
      </c>
      <c r="Y38" t="s">
        <v>435</v>
      </c>
      <c r="Z38" t="s">
        <v>1584</v>
      </c>
      <c r="AA38" t="s">
        <v>150</v>
      </c>
      <c r="AB38" t="s">
        <v>497</v>
      </c>
      <c r="AC38" t="s">
        <v>497</v>
      </c>
      <c r="AD38">
        <v>2193</v>
      </c>
      <c r="AE38">
        <v>0</v>
      </c>
      <c r="AF38">
        <v>0</v>
      </c>
      <c r="AG38">
        <v>0</v>
      </c>
      <c r="AH38">
        <f t="shared" si="7"/>
        <v>1</v>
      </c>
      <c r="AI38">
        <f t="shared" si="8"/>
        <v>0</v>
      </c>
      <c r="AJ38">
        <f t="shared" si="9"/>
        <v>0</v>
      </c>
      <c r="AK38">
        <f t="shared" si="10"/>
        <v>0</v>
      </c>
      <c r="AL38">
        <f t="shared" si="11"/>
        <v>1</v>
      </c>
      <c r="AM38">
        <f t="shared" si="12"/>
        <v>0</v>
      </c>
      <c r="AN38">
        <f t="shared" si="13"/>
        <v>1</v>
      </c>
      <c r="AO38">
        <f>SUM(AN$2:$AN38)</f>
        <v>37</v>
      </c>
    </row>
    <row r="39" spans="1:41" x14ac:dyDescent="0.35">
      <c r="A39" t="s">
        <v>156</v>
      </c>
      <c r="B39" t="s">
        <v>762</v>
      </c>
      <c r="C39">
        <v>10300</v>
      </c>
      <c r="D39" t="s">
        <v>785</v>
      </c>
      <c r="E39">
        <v>0</v>
      </c>
      <c r="F39">
        <v>1562</v>
      </c>
      <c r="G39">
        <v>0</v>
      </c>
      <c r="H39">
        <v>0</v>
      </c>
      <c r="I39">
        <v>2526</v>
      </c>
      <c r="J39">
        <v>2286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351</v>
      </c>
      <c r="X39">
        <v>3</v>
      </c>
      <c r="Y39" t="s">
        <v>434</v>
      </c>
      <c r="Z39" t="s">
        <v>1585</v>
      </c>
      <c r="AA39" t="s">
        <v>150</v>
      </c>
      <c r="AB39" t="s">
        <v>497</v>
      </c>
      <c r="AC39" t="s">
        <v>497</v>
      </c>
      <c r="AD39">
        <v>0</v>
      </c>
      <c r="AE39">
        <v>0</v>
      </c>
      <c r="AF39">
        <v>0</v>
      </c>
      <c r="AG39">
        <v>0</v>
      </c>
      <c r="AH39">
        <f t="shared" si="7"/>
        <v>0</v>
      </c>
      <c r="AI39">
        <f t="shared" si="8"/>
        <v>0</v>
      </c>
      <c r="AJ39">
        <f t="shared" si="9"/>
        <v>1</v>
      </c>
      <c r="AK39">
        <f t="shared" si="10"/>
        <v>1</v>
      </c>
      <c r="AL39">
        <f t="shared" si="11"/>
        <v>0</v>
      </c>
      <c r="AM39">
        <f t="shared" si="12"/>
        <v>0</v>
      </c>
      <c r="AN39">
        <f t="shared" si="13"/>
        <v>1</v>
      </c>
      <c r="AO39">
        <f>SUM(AN$2:$AN39)</f>
        <v>38</v>
      </c>
    </row>
    <row r="40" spans="1:41" x14ac:dyDescent="0.35">
      <c r="A40" t="s">
        <v>156</v>
      </c>
      <c r="B40" t="s">
        <v>762</v>
      </c>
      <c r="C40">
        <v>10300</v>
      </c>
      <c r="D40" t="s">
        <v>786</v>
      </c>
      <c r="E40">
        <v>0</v>
      </c>
      <c r="F40">
        <v>1723</v>
      </c>
      <c r="G40">
        <v>1564</v>
      </c>
      <c r="H40">
        <v>0</v>
      </c>
      <c r="I40">
        <v>1564</v>
      </c>
      <c r="J40">
        <v>1323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 t="s">
        <v>419</v>
      </c>
      <c r="X40">
        <v>3</v>
      </c>
      <c r="Y40" t="s">
        <v>434</v>
      </c>
      <c r="Z40" t="s">
        <v>1586</v>
      </c>
      <c r="AA40" t="s">
        <v>151</v>
      </c>
      <c r="AB40" t="s">
        <v>497</v>
      </c>
      <c r="AC40" t="s">
        <v>497</v>
      </c>
      <c r="AD40">
        <v>0</v>
      </c>
      <c r="AE40">
        <v>0</v>
      </c>
      <c r="AF40">
        <v>0</v>
      </c>
      <c r="AG40">
        <v>0</v>
      </c>
      <c r="AH40">
        <f t="shared" si="7"/>
        <v>1</v>
      </c>
      <c r="AI40">
        <f t="shared" si="8"/>
        <v>0</v>
      </c>
      <c r="AJ40">
        <f t="shared" si="9"/>
        <v>1</v>
      </c>
      <c r="AK40">
        <f t="shared" si="10"/>
        <v>1</v>
      </c>
      <c r="AL40">
        <f t="shared" si="11"/>
        <v>0</v>
      </c>
      <c r="AM40">
        <f t="shared" si="12"/>
        <v>0</v>
      </c>
      <c r="AN40">
        <f t="shared" si="13"/>
        <v>1</v>
      </c>
      <c r="AO40">
        <f>SUM(AN$2:$AN40)</f>
        <v>39</v>
      </c>
    </row>
    <row r="41" spans="1:41" x14ac:dyDescent="0.35">
      <c r="A41" t="s">
        <v>156</v>
      </c>
      <c r="B41" t="s">
        <v>762</v>
      </c>
      <c r="C41">
        <v>10300</v>
      </c>
      <c r="D41" t="s">
        <v>787</v>
      </c>
      <c r="E41">
        <v>0</v>
      </c>
      <c r="F41">
        <v>1831</v>
      </c>
      <c r="G41">
        <v>4150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 t="s">
        <v>331</v>
      </c>
      <c r="X41">
        <v>3</v>
      </c>
      <c r="Y41" t="s">
        <v>434</v>
      </c>
      <c r="Z41" t="s">
        <v>1587</v>
      </c>
      <c r="AA41" t="s">
        <v>151</v>
      </c>
      <c r="AB41" t="s">
        <v>497</v>
      </c>
      <c r="AC41" t="s">
        <v>497</v>
      </c>
      <c r="AD41">
        <v>0</v>
      </c>
      <c r="AE41">
        <v>0</v>
      </c>
      <c r="AF41">
        <v>0</v>
      </c>
      <c r="AG41">
        <v>0</v>
      </c>
      <c r="AH41">
        <f t="shared" si="7"/>
        <v>1</v>
      </c>
      <c r="AI41">
        <f t="shared" si="8"/>
        <v>0</v>
      </c>
      <c r="AJ41">
        <f t="shared" si="9"/>
        <v>0</v>
      </c>
      <c r="AK41">
        <f t="shared" si="10"/>
        <v>0</v>
      </c>
      <c r="AL41">
        <f t="shared" si="11"/>
        <v>0</v>
      </c>
      <c r="AM41">
        <f t="shared" si="12"/>
        <v>0</v>
      </c>
      <c r="AN41">
        <f t="shared" si="13"/>
        <v>1</v>
      </c>
      <c r="AO41">
        <f>SUM(AN$2:$AN41)</f>
        <v>40</v>
      </c>
    </row>
    <row r="42" spans="1:41" x14ac:dyDescent="0.35">
      <c r="A42" t="s">
        <v>156</v>
      </c>
      <c r="B42" t="s">
        <v>2378</v>
      </c>
      <c r="C42">
        <v>10400</v>
      </c>
      <c r="D42" t="s">
        <v>2379</v>
      </c>
      <c r="E42">
        <v>436</v>
      </c>
      <c r="F42">
        <v>707</v>
      </c>
      <c r="G42">
        <v>2186</v>
      </c>
      <c r="H42">
        <v>0</v>
      </c>
      <c r="I42">
        <v>0</v>
      </c>
      <c r="J42">
        <v>1943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350</v>
      </c>
      <c r="X42">
        <v>6</v>
      </c>
      <c r="Y42" t="s">
        <v>1336</v>
      </c>
      <c r="Z42" t="s">
        <v>1588</v>
      </c>
      <c r="AA42" t="s">
        <v>148</v>
      </c>
      <c r="AB42" t="s">
        <v>497</v>
      </c>
      <c r="AC42" t="s">
        <v>497</v>
      </c>
      <c r="AD42">
        <v>2247</v>
      </c>
      <c r="AE42">
        <v>0</v>
      </c>
      <c r="AF42">
        <v>0</v>
      </c>
      <c r="AG42">
        <v>0</v>
      </c>
      <c r="AH42">
        <f t="shared" si="7"/>
        <v>1</v>
      </c>
      <c r="AI42">
        <f t="shared" si="8"/>
        <v>0</v>
      </c>
      <c r="AJ42">
        <f t="shared" si="9"/>
        <v>0</v>
      </c>
      <c r="AK42">
        <f t="shared" si="10"/>
        <v>1</v>
      </c>
      <c r="AL42">
        <f t="shared" si="11"/>
        <v>0</v>
      </c>
      <c r="AM42">
        <f t="shared" si="12"/>
        <v>0</v>
      </c>
      <c r="AN42">
        <f t="shared" si="13"/>
        <v>1</v>
      </c>
      <c r="AO42">
        <f>SUM(AN$2:$AN42)</f>
        <v>41</v>
      </c>
    </row>
    <row r="43" spans="1:41" x14ac:dyDescent="0.35">
      <c r="A43" t="s">
        <v>156</v>
      </c>
      <c r="B43" t="s">
        <v>762</v>
      </c>
      <c r="C43">
        <v>10600</v>
      </c>
      <c r="D43" t="s">
        <v>788</v>
      </c>
      <c r="E43">
        <v>0</v>
      </c>
      <c r="F43">
        <v>1884</v>
      </c>
      <c r="G43">
        <v>0</v>
      </c>
      <c r="H43">
        <v>0</v>
      </c>
      <c r="I43">
        <v>0</v>
      </c>
      <c r="J43">
        <v>0</v>
      </c>
      <c r="K43">
        <v>4271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 t="s">
        <v>327</v>
      </c>
      <c r="X43">
        <v>3</v>
      </c>
      <c r="Y43" t="s">
        <v>434</v>
      </c>
      <c r="Z43" t="s">
        <v>1589</v>
      </c>
      <c r="AA43" t="s">
        <v>152</v>
      </c>
      <c r="AB43" t="s">
        <v>497</v>
      </c>
      <c r="AC43" t="s">
        <v>497</v>
      </c>
      <c r="AD43">
        <v>0</v>
      </c>
      <c r="AE43">
        <v>0</v>
      </c>
      <c r="AF43">
        <v>0</v>
      </c>
      <c r="AG43">
        <v>0</v>
      </c>
      <c r="AH43">
        <f t="shared" si="7"/>
        <v>0</v>
      </c>
      <c r="AI43">
        <f t="shared" si="8"/>
        <v>0</v>
      </c>
      <c r="AJ43">
        <f t="shared" si="9"/>
        <v>0</v>
      </c>
      <c r="AK43">
        <f t="shared" si="10"/>
        <v>0</v>
      </c>
      <c r="AL43">
        <f t="shared" si="11"/>
        <v>1</v>
      </c>
      <c r="AM43">
        <f t="shared" si="12"/>
        <v>0</v>
      </c>
      <c r="AN43">
        <f t="shared" si="13"/>
        <v>1</v>
      </c>
      <c r="AO43">
        <f>SUM(AN$2:$AN43)</f>
        <v>42</v>
      </c>
    </row>
    <row r="44" spans="1:41" x14ac:dyDescent="0.35">
      <c r="A44" t="s">
        <v>156</v>
      </c>
      <c r="B44" t="s">
        <v>762</v>
      </c>
      <c r="C44">
        <v>10600</v>
      </c>
      <c r="D44" t="s">
        <v>789</v>
      </c>
      <c r="E44">
        <v>0</v>
      </c>
      <c r="F44">
        <v>1607</v>
      </c>
      <c r="G44">
        <v>2476</v>
      </c>
      <c r="H44">
        <v>0</v>
      </c>
      <c r="I44">
        <v>0</v>
      </c>
      <c r="J44">
        <v>2476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 t="s">
        <v>418</v>
      </c>
      <c r="X44">
        <v>3</v>
      </c>
      <c r="Y44" t="s">
        <v>434</v>
      </c>
      <c r="Z44" t="s">
        <v>1590</v>
      </c>
      <c r="AA44" t="s">
        <v>151</v>
      </c>
      <c r="AB44" t="s">
        <v>497</v>
      </c>
      <c r="AC44" t="s">
        <v>497</v>
      </c>
      <c r="AD44">
        <v>0</v>
      </c>
      <c r="AE44">
        <v>0</v>
      </c>
      <c r="AF44">
        <v>0</v>
      </c>
      <c r="AG44">
        <v>0</v>
      </c>
      <c r="AH44">
        <f t="shared" si="7"/>
        <v>1</v>
      </c>
      <c r="AI44">
        <f t="shared" si="8"/>
        <v>0</v>
      </c>
      <c r="AJ44">
        <f t="shared" si="9"/>
        <v>0</v>
      </c>
      <c r="AK44">
        <f t="shared" si="10"/>
        <v>1</v>
      </c>
      <c r="AL44">
        <f t="shared" si="11"/>
        <v>0</v>
      </c>
      <c r="AM44">
        <f t="shared" si="12"/>
        <v>0</v>
      </c>
      <c r="AN44">
        <f t="shared" si="13"/>
        <v>1</v>
      </c>
      <c r="AO44">
        <f>SUM(AN$2:$AN44)</f>
        <v>43</v>
      </c>
    </row>
    <row r="45" spans="1:41" x14ac:dyDescent="0.35">
      <c r="A45" t="s">
        <v>156</v>
      </c>
      <c r="B45" t="s">
        <v>762</v>
      </c>
      <c r="C45">
        <v>10600</v>
      </c>
      <c r="D45" t="s">
        <v>2586</v>
      </c>
      <c r="E45">
        <v>0</v>
      </c>
      <c r="F45">
        <v>1607</v>
      </c>
      <c r="G45">
        <v>1857</v>
      </c>
      <c r="H45">
        <v>1238</v>
      </c>
      <c r="I45">
        <v>1733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 t="s">
        <v>2583</v>
      </c>
      <c r="X45">
        <v>3</v>
      </c>
      <c r="Y45" t="s">
        <v>434</v>
      </c>
      <c r="Z45" t="s">
        <v>1591</v>
      </c>
      <c r="AA45" t="s">
        <v>358</v>
      </c>
      <c r="AB45" t="s">
        <v>497</v>
      </c>
      <c r="AC45" t="s">
        <v>497</v>
      </c>
      <c r="AD45">
        <v>0</v>
      </c>
      <c r="AE45">
        <v>0</v>
      </c>
      <c r="AF45">
        <v>0</v>
      </c>
      <c r="AG45">
        <v>0</v>
      </c>
      <c r="AH45">
        <f t="shared" si="7"/>
        <v>1</v>
      </c>
      <c r="AI45">
        <f t="shared" si="8"/>
        <v>1</v>
      </c>
      <c r="AJ45">
        <f t="shared" si="9"/>
        <v>1</v>
      </c>
      <c r="AK45">
        <f t="shared" si="10"/>
        <v>0</v>
      </c>
      <c r="AL45">
        <f t="shared" si="11"/>
        <v>0</v>
      </c>
      <c r="AM45">
        <f t="shared" si="12"/>
        <v>0</v>
      </c>
      <c r="AN45">
        <f t="shared" si="13"/>
        <v>1</v>
      </c>
      <c r="AO45">
        <f>SUM(AN$2:$AN45)</f>
        <v>44</v>
      </c>
    </row>
    <row r="46" spans="1:41" x14ac:dyDescent="0.35">
      <c r="A46" t="s">
        <v>156</v>
      </c>
      <c r="B46" t="s">
        <v>2637</v>
      </c>
      <c r="C46">
        <v>10700</v>
      </c>
      <c r="D46" t="s">
        <v>2640</v>
      </c>
      <c r="E46">
        <v>448</v>
      </c>
      <c r="F46">
        <v>727</v>
      </c>
      <c r="G46">
        <v>0</v>
      </c>
      <c r="H46">
        <v>0</v>
      </c>
      <c r="I46">
        <v>2249</v>
      </c>
      <c r="J46">
        <v>0</v>
      </c>
      <c r="K46">
        <v>1999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159</v>
      </c>
      <c r="X46">
        <v>6</v>
      </c>
      <c r="Y46" t="s">
        <v>438</v>
      </c>
      <c r="Z46" t="s">
        <v>1592</v>
      </c>
      <c r="AA46" t="s">
        <v>149</v>
      </c>
      <c r="AB46" t="s">
        <v>497</v>
      </c>
      <c r="AC46" t="s">
        <v>497</v>
      </c>
      <c r="AD46">
        <v>2312</v>
      </c>
      <c r="AE46">
        <v>0</v>
      </c>
      <c r="AF46">
        <v>0</v>
      </c>
      <c r="AG46">
        <v>0</v>
      </c>
      <c r="AH46">
        <f t="shared" si="7"/>
        <v>0</v>
      </c>
      <c r="AI46">
        <f t="shared" si="8"/>
        <v>0</v>
      </c>
      <c r="AJ46">
        <f t="shared" si="9"/>
        <v>1</v>
      </c>
      <c r="AK46">
        <f t="shared" si="10"/>
        <v>0</v>
      </c>
      <c r="AL46">
        <f t="shared" si="11"/>
        <v>1</v>
      </c>
      <c r="AM46">
        <f t="shared" si="12"/>
        <v>0</v>
      </c>
      <c r="AN46">
        <f t="shared" si="13"/>
        <v>1</v>
      </c>
      <c r="AO46">
        <f>SUM(AN$2:$AN46)</f>
        <v>45</v>
      </c>
    </row>
    <row r="47" spans="1:41" x14ac:dyDescent="0.35">
      <c r="A47" t="s">
        <v>156</v>
      </c>
      <c r="B47" t="s">
        <v>1593</v>
      </c>
      <c r="C47">
        <v>10800</v>
      </c>
      <c r="D47" t="s">
        <v>1594</v>
      </c>
      <c r="E47">
        <v>452</v>
      </c>
      <c r="F47">
        <v>734</v>
      </c>
      <c r="G47">
        <v>0</v>
      </c>
      <c r="H47">
        <v>0</v>
      </c>
      <c r="I47">
        <v>2270</v>
      </c>
      <c r="J47">
        <v>2018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348</v>
      </c>
      <c r="X47">
        <v>6</v>
      </c>
      <c r="Y47" t="s">
        <v>434</v>
      </c>
      <c r="Z47" t="s">
        <v>1595</v>
      </c>
      <c r="AA47" t="s">
        <v>148</v>
      </c>
      <c r="AB47" t="s">
        <v>497</v>
      </c>
      <c r="AC47" t="s">
        <v>497</v>
      </c>
      <c r="AD47">
        <v>2333</v>
      </c>
      <c r="AE47">
        <v>0</v>
      </c>
      <c r="AF47">
        <v>0</v>
      </c>
      <c r="AG47">
        <v>0</v>
      </c>
      <c r="AH47">
        <f t="shared" si="7"/>
        <v>0</v>
      </c>
      <c r="AI47">
        <f t="shared" si="8"/>
        <v>0</v>
      </c>
      <c r="AJ47">
        <f t="shared" si="9"/>
        <v>1</v>
      </c>
      <c r="AK47">
        <f t="shared" si="10"/>
        <v>1</v>
      </c>
      <c r="AL47">
        <f t="shared" si="11"/>
        <v>0</v>
      </c>
      <c r="AM47">
        <f t="shared" si="12"/>
        <v>0</v>
      </c>
      <c r="AN47">
        <f t="shared" si="13"/>
        <v>1</v>
      </c>
      <c r="AO47">
        <f>SUM(AN$2:$AN47)</f>
        <v>46</v>
      </c>
    </row>
    <row r="48" spans="1:41" x14ac:dyDescent="0.35">
      <c r="A48" t="s">
        <v>156</v>
      </c>
      <c r="B48" t="s">
        <v>762</v>
      </c>
      <c r="C48">
        <v>10900</v>
      </c>
      <c r="D48" t="s">
        <v>790</v>
      </c>
      <c r="E48">
        <v>0</v>
      </c>
      <c r="F48">
        <v>1938</v>
      </c>
      <c r="G48">
        <v>0</v>
      </c>
      <c r="H48">
        <v>0</v>
      </c>
      <c r="I48">
        <v>4392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t="s">
        <v>329</v>
      </c>
      <c r="X48">
        <v>3</v>
      </c>
      <c r="Y48" t="s">
        <v>434</v>
      </c>
      <c r="Z48" t="s">
        <v>1596</v>
      </c>
      <c r="AA48" t="s">
        <v>358</v>
      </c>
      <c r="AB48" t="s">
        <v>497</v>
      </c>
      <c r="AC48" t="s">
        <v>497</v>
      </c>
      <c r="AD48">
        <v>0</v>
      </c>
      <c r="AE48">
        <v>0</v>
      </c>
      <c r="AF48">
        <v>0</v>
      </c>
      <c r="AG48">
        <v>0</v>
      </c>
      <c r="AH48">
        <f t="shared" si="7"/>
        <v>0</v>
      </c>
      <c r="AI48">
        <f t="shared" si="8"/>
        <v>0</v>
      </c>
      <c r="AJ48">
        <f t="shared" si="9"/>
        <v>1</v>
      </c>
      <c r="AK48">
        <f t="shared" si="10"/>
        <v>0</v>
      </c>
      <c r="AL48">
        <f t="shared" si="11"/>
        <v>0</v>
      </c>
      <c r="AM48">
        <f t="shared" si="12"/>
        <v>0</v>
      </c>
      <c r="AN48">
        <f t="shared" si="13"/>
        <v>1</v>
      </c>
      <c r="AO48">
        <f>SUM(AN$2:$AN48)</f>
        <v>47</v>
      </c>
    </row>
    <row r="49" spans="1:41" x14ac:dyDescent="0.35">
      <c r="A49" t="s">
        <v>156</v>
      </c>
      <c r="B49" t="s">
        <v>762</v>
      </c>
      <c r="C49">
        <v>10900</v>
      </c>
      <c r="D49" t="s">
        <v>2587</v>
      </c>
      <c r="E49">
        <v>0</v>
      </c>
      <c r="F49">
        <v>1653</v>
      </c>
      <c r="G49">
        <v>2419</v>
      </c>
      <c r="H49">
        <v>1273</v>
      </c>
      <c r="I49">
        <v>0</v>
      </c>
      <c r="J49">
        <v>1273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 t="s">
        <v>2579</v>
      </c>
      <c r="X49">
        <v>3</v>
      </c>
      <c r="Y49" t="s">
        <v>434</v>
      </c>
      <c r="Z49" t="s">
        <v>1597</v>
      </c>
      <c r="AA49" t="s">
        <v>152</v>
      </c>
      <c r="AB49" t="s">
        <v>497</v>
      </c>
      <c r="AC49" t="s">
        <v>497</v>
      </c>
      <c r="AD49">
        <v>0</v>
      </c>
      <c r="AE49">
        <v>0</v>
      </c>
      <c r="AF49">
        <v>0</v>
      </c>
      <c r="AG49">
        <v>0</v>
      </c>
      <c r="AH49">
        <f t="shared" si="7"/>
        <v>1</v>
      </c>
      <c r="AI49">
        <f t="shared" si="8"/>
        <v>1</v>
      </c>
      <c r="AJ49">
        <f t="shared" si="9"/>
        <v>0</v>
      </c>
      <c r="AK49">
        <f t="shared" si="10"/>
        <v>1</v>
      </c>
      <c r="AL49">
        <f t="shared" si="11"/>
        <v>0</v>
      </c>
      <c r="AM49">
        <f t="shared" si="12"/>
        <v>0</v>
      </c>
      <c r="AN49">
        <f t="shared" si="13"/>
        <v>1</v>
      </c>
      <c r="AO49">
        <f>SUM(AN$2:$AN49)</f>
        <v>48</v>
      </c>
    </row>
    <row r="50" spans="1:41" customFormat="1" x14ac:dyDescent="0.35">
      <c r="A50" t="s">
        <v>156</v>
      </c>
      <c r="B50" t="s">
        <v>762</v>
      </c>
      <c r="C50">
        <v>10900</v>
      </c>
      <c r="D50" t="s">
        <v>2588</v>
      </c>
      <c r="E50">
        <v>0</v>
      </c>
      <c r="F50">
        <v>1653</v>
      </c>
      <c r="G50">
        <v>3055</v>
      </c>
      <c r="H50">
        <v>1909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 t="s">
        <v>2581</v>
      </c>
      <c r="X50">
        <v>3</v>
      </c>
      <c r="Y50" t="s">
        <v>434</v>
      </c>
      <c r="Z50" t="s">
        <v>1598</v>
      </c>
      <c r="AA50" t="s">
        <v>152</v>
      </c>
      <c r="AB50" t="s">
        <v>497</v>
      </c>
      <c r="AC50" t="s">
        <v>497</v>
      </c>
      <c r="AD50">
        <v>0</v>
      </c>
      <c r="AE50">
        <v>0</v>
      </c>
      <c r="AF50">
        <v>0</v>
      </c>
      <c r="AG50">
        <v>0</v>
      </c>
      <c r="AH50">
        <f t="shared" ref="AH50" si="15">IF(G50&gt;1,1,0)</f>
        <v>1</v>
      </c>
      <c r="AI50">
        <f t="shared" ref="AI50" si="16">IF(H50&gt;1,1,0)</f>
        <v>1</v>
      </c>
      <c r="AJ50">
        <f t="shared" ref="AJ50" si="17">IF(I50&gt;1,1,0)</f>
        <v>0</v>
      </c>
      <c r="AK50">
        <f t="shared" ref="AK50" si="18">IF(J50&gt;1,1,0)</f>
        <v>0</v>
      </c>
      <c r="AL50">
        <f t="shared" ref="AL50" si="19">IF(K50&gt;1,1,0)</f>
        <v>0</v>
      </c>
      <c r="AM50">
        <f t="shared" ref="AM50" si="20">IF(L50&gt;1,1,0)</f>
        <v>0</v>
      </c>
      <c r="AN50">
        <f t="shared" ref="AN50" si="21">MIN(1,($AV$2+IF(AND(AH50&gt;=$AP$3,AI50&gt;=$AQ$3,AJ50&gt;=$AR$3,AK50&gt;=$AS$3,AL50&gt;=$AT$3,AM50&gt;=$AU$3),1,0)))</f>
        <v>1</v>
      </c>
      <c r="AO50">
        <f>SUM(AN$2:$AN50)</f>
        <v>49</v>
      </c>
    </row>
    <row r="51" spans="1:41" x14ac:dyDescent="0.35">
      <c r="A51" t="s">
        <v>156</v>
      </c>
      <c r="B51" t="s">
        <v>2380</v>
      </c>
      <c r="C51">
        <v>11000</v>
      </c>
      <c r="D51" t="s">
        <v>2381</v>
      </c>
      <c r="E51">
        <v>461</v>
      </c>
      <c r="F51">
        <v>748</v>
      </c>
      <c r="G51">
        <v>2312</v>
      </c>
      <c r="H51">
        <v>0</v>
      </c>
      <c r="I51">
        <v>0</v>
      </c>
      <c r="J51">
        <v>0</v>
      </c>
      <c r="K51">
        <v>2055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157</v>
      </c>
      <c r="X51">
        <v>6</v>
      </c>
      <c r="Y51" t="s">
        <v>439</v>
      </c>
      <c r="Z51" t="s">
        <v>1599</v>
      </c>
      <c r="AA51" t="s">
        <v>150</v>
      </c>
      <c r="AB51" t="s">
        <v>497</v>
      </c>
      <c r="AC51" t="s">
        <v>497</v>
      </c>
      <c r="AD51">
        <v>2377</v>
      </c>
      <c r="AE51">
        <v>0</v>
      </c>
      <c r="AF51">
        <v>0</v>
      </c>
      <c r="AG51">
        <v>0</v>
      </c>
      <c r="AH51">
        <f t="shared" si="7"/>
        <v>1</v>
      </c>
      <c r="AI51">
        <f t="shared" si="8"/>
        <v>0</v>
      </c>
      <c r="AJ51">
        <f t="shared" si="9"/>
        <v>0</v>
      </c>
      <c r="AK51">
        <f t="shared" si="10"/>
        <v>0</v>
      </c>
      <c r="AL51">
        <f t="shared" si="11"/>
        <v>1</v>
      </c>
      <c r="AM51">
        <f t="shared" si="12"/>
        <v>0</v>
      </c>
      <c r="AN51">
        <f t="shared" si="13"/>
        <v>1</v>
      </c>
      <c r="AO51">
        <f>SUM(AN$2:$AN51)</f>
        <v>50</v>
      </c>
    </row>
    <row r="52" spans="1:41" customFormat="1" x14ac:dyDescent="0.35">
      <c r="A52" t="s">
        <v>156</v>
      </c>
      <c r="B52" t="s">
        <v>1616</v>
      </c>
      <c r="C52">
        <v>11150</v>
      </c>
      <c r="D52" t="s">
        <v>2382</v>
      </c>
      <c r="E52">
        <v>467</v>
      </c>
      <c r="F52">
        <v>758</v>
      </c>
      <c r="G52">
        <v>0</v>
      </c>
      <c r="H52">
        <v>0</v>
      </c>
      <c r="I52">
        <v>2344</v>
      </c>
      <c r="J52">
        <v>2083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348</v>
      </c>
      <c r="X52">
        <v>6</v>
      </c>
      <c r="Y52" t="s">
        <v>435</v>
      </c>
      <c r="Z52" t="s">
        <v>1600</v>
      </c>
      <c r="AA52" t="s">
        <v>148</v>
      </c>
      <c r="AB52" t="s">
        <v>497</v>
      </c>
      <c r="AC52" t="s">
        <v>497</v>
      </c>
      <c r="AD52">
        <v>2409</v>
      </c>
      <c r="AE52">
        <v>0</v>
      </c>
      <c r="AF52">
        <v>0</v>
      </c>
      <c r="AG52">
        <v>0</v>
      </c>
      <c r="AH52">
        <f t="shared" si="7"/>
        <v>0</v>
      </c>
      <c r="AI52">
        <f t="shared" si="8"/>
        <v>0</v>
      </c>
      <c r="AJ52">
        <f t="shared" si="9"/>
        <v>1</v>
      </c>
      <c r="AK52">
        <f t="shared" si="10"/>
        <v>1</v>
      </c>
      <c r="AL52">
        <f t="shared" si="11"/>
        <v>0</v>
      </c>
      <c r="AM52">
        <f t="shared" si="12"/>
        <v>0</v>
      </c>
      <c r="AN52">
        <f t="shared" si="13"/>
        <v>1</v>
      </c>
      <c r="AO52">
        <f>SUM(AN$2:$AN52)</f>
        <v>51</v>
      </c>
    </row>
    <row r="53" spans="1:41" customFormat="1" x14ac:dyDescent="0.35">
      <c r="A53" t="s">
        <v>156</v>
      </c>
      <c r="B53" t="s">
        <v>791</v>
      </c>
      <c r="C53">
        <v>11150</v>
      </c>
      <c r="D53" t="s">
        <v>792</v>
      </c>
      <c r="E53">
        <v>467</v>
      </c>
      <c r="F53">
        <v>758</v>
      </c>
      <c r="G53">
        <v>0</v>
      </c>
      <c r="H53">
        <v>0</v>
      </c>
      <c r="I53">
        <v>0</v>
      </c>
      <c r="J53">
        <v>2083</v>
      </c>
      <c r="K53">
        <v>0</v>
      </c>
      <c r="L53">
        <v>2344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349</v>
      </c>
      <c r="X53">
        <v>6</v>
      </c>
      <c r="Y53" t="s">
        <v>435</v>
      </c>
      <c r="Z53" t="s">
        <v>1601</v>
      </c>
      <c r="AA53" t="s">
        <v>148</v>
      </c>
      <c r="AB53" t="s">
        <v>497</v>
      </c>
      <c r="AC53" t="s">
        <v>497</v>
      </c>
      <c r="AD53">
        <v>2409</v>
      </c>
      <c r="AE53">
        <v>0</v>
      </c>
      <c r="AF53">
        <v>0</v>
      </c>
      <c r="AG53">
        <v>0</v>
      </c>
      <c r="AH53">
        <f t="shared" si="7"/>
        <v>0</v>
      </c>
      <c r="AI53">
        <f t="shared" si="8"/>
        <v>0</v>
      </c>
      <c r="AJ53">
        <f t="shared" si="9"/>
        <v>0</v>
      </c>
      <c r="AK53">
        <f t="shared" si="10"/>
        <v>1</v>
      </c>
      <c r="AL53">
        <f t="shared" si="11"/>
        <v>0</v>
      </c>
      <c r="AM53">
        <f t="shared" si="12"/>
        <v>1</v>
      </c>
      <c r="AN53">
        <f t="shared" si="13"/>
        <v>1</v>
      </c>
      <c r="AO53">
        <f>SUM(AN$2:$AN53)</f>
        <v>52</v>
      </c>
    </row>
    <row r="54" spans="1:41" customFormat="1" x14ac:dyDescent="0.35">
      <c r="A54" t="s">
        <v>156</v>
      </c>
      <c r="B54" t="s">
        <v>793</v>
      </c>
      <c r="C54">
        <v>11150</v>
      </c>
      <c r="D54" t="s">
        <v>794</v>
      </c>
      <c r="E54">
        <v>467</v>
      </c>
      <c r="F54">
        <v>758</v>
      </c>
      <c r="G54">
        <v>2344</v>
      </c>
      <c r="H54">
        <v>0</v>
      </c>
      <c r="I54">
        <v>0</v>
      </c>
      <c r="J54">
        <v>2083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350</v>
      </c>
      <c r="X54">
        <v>6</v>
      </c>
      <c r="Y54" t="s">
        <v>436</v>
      </c>
      <c r="Z54" t="s">
        <v>1602</v>
      </c>
      <c r="AA54" t="s">
        <v>148</v>
      </c>
      <c r="AB54" t="s">
        <v>497</v>
      </c>
      <c r="AC54" t="s">
        <v>497</v>
      </c>
      <c r="AD54">
        <v>2409</v>
      </c>
      <c r="AE54">
        <v>0</v>
      </c>
      <c r="AF54">
        <v>0</v>
      </c>
      <c r="AG54">
        <v>0</v>
      </c>
      <c r="AH54">
        <f t="shared" si="7"/>
        <v>1</v>
      </c>
      <c r="AI54">
        <f t="shared" si="8"/>
        <v>0</v>
      </c>
      <c r="AJ54">
        <f t="shared" si="9"/>
        <v>0</v>
      </c>
      <c r="AK54">
        <f t="shared" si="10"/>
        <v>1</v>
      </c>
      <c r="AL54">
        <f t="shared" si="11"/>
        <v>0</v>
      </c>
      <c r="AM54">
        <f t="shared" si="12"/>
        <v>0</v>
      </c>
      <c r="AN54">
        <f t="shared" si="13"/>
        <v>1</v>
      </c>
      <c r="AO54">
        <f>SUM(AN$2:$AN54)</f>
        <v>53</v>
      </c>
    </row>
    <row r="55" spans="1:41" customFormat="1" x14ac:dyDescent="0.35">
      <c r="A55" t="s">
        <v>156</v>
      </c>
      <c r="B55" t="s">
        <v>795</v>
      </c>
      <c r="C55">
        <v>11150</v>
      </c>
      <c r="D55" t="s">
        <v>796</v>
      </c>
      <c r="E55">
        <v>467</v>
      </c>
      <c r="F55">
        <v>758</v>
      </c>
      <c r="G55">
        <v>2344</v>
      </c>
      <c r="H55">
        <v>0</v>
      </c>
      <c r="I55">
        <v>0</v>
      </c>
      <c r="J55">
        <v>0</v>
      </c>
      <c r="K55">
        <v>2083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157</v>
      </c>
      <c r="X55">
        <v>6</v>
      </c>
      <c r="Y55" t="s">
        <v>435</v>
      </c>
      <c r="Z55" t="s">
        <v>1603</v>
      </c>
      <c r="AA55" t="s">
        <v>150</v>
      </c>
      <c r="AB55" t="s">
        <v>497</v>
      </c>
      <c r="AC55" t="s">
        <v>497</v>
      </c>
      <c r="AD55">
        <v>2409</v>
      </c>
      <c r="AE55">
        <v>0</v>
      </c>
      <c r="AF55">
        <v>0</v>
      </c>
      <c r="AG55">
        <v>0</v>
      </c>
      <c r="AH55">
        <f t="shared" si="7"/>
        <v>1</v>
      </c>
      <c r="AI55">
        <f t="shared" si="8"/>
        <v>0</v>
      </c>
      <c r="AJ55">
        <f t="shared" si="9"/>
        <v>0</v>
      </c>
      <c r="AK55">
        <f t="shared" si="10"/>
        <v>0</v>
      </c>
      <c r="AL55">
        <f t="shared" si="11"/>
        <v>1</v>
      </c>
      <c r="AM55">
        <f t="shared" si="12"/>
        <v>0</v>
      </c>
      <c r="AN55">
        <f t="shared" si="13"/>
        <v>1</v>
      </c>
      <c r="AO55">
        <f>SUM(AN$2:$AN55)</f>
        <v>54</v>
      </c>
    </row>
    <row r="56" spans="1:41" customFormat="1" x14ac:dyDescent="0.35">
      <c r="A56" t="s">
        <v>156</v>
      </c>
      <c r="B56" t="s">
        <v>2637</v>
      </c>
      <c r="C56">
        <v>11300</v>
      </c>
      <c r="D56" t="s">
        <v>2641</v>
      </c>
      <c r="E56">
        <v>473</v>
      </c>
      <c r="F56">
        <v>768</v>
      </c>
      <c r="G56">
        <v>0</v>
      </c>
      <c r="H56">
        <v>0</v>
      </c>
      <c r="I56">
        <v>2375</v>
      </c>
      <c r="J56">
        <v>0</v>
      </c>
      <c r="K56">
        <v>2112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159</v>
      </c>
      <c r="X56">
        <v>6</v>
      </c>
      <c r="Y56" t="s">
        <v>438</v>
      </c>
      <c r="Z56" t="s">
        <v>1604</v>
      </c>
      <c r="AA56" t="s">
        <v>149</v>
      </c>
      <c r="AB56" t="s">
        <v>497</v>
      </c>
      <c r="AC56" t="s">
        <v>497</v>
      </c>
      <c r="AD56">
        <v>2441</v>
      </c>
      <c r="AE56">
        <v>0</v>
      </c>
      <c r="AF56">
        <v>0</v>
      </c>
      <c r="AG56">
        <v>0</v>
      </c>
      <c r="AH56">
        <f t="shared" si="7"/>
        <v>0</v>
      </c>
      <c r="AI56">
        <f t="shared" si="8"/>
        <v>0</v>
      </c>
      <c r="AJ56">
        <f t="shared" si="9"/>
        <v>1</v>
      </c>
      <c r="AK56">
        <f t="shared" si="10"/>
        <v>0</v>
      </c>
      <c r="AL56">
        <f t="shared" si="11"/>
        <v>1</v>
      </c>
      <c r="AM56">
        <f t="shared" si="12"/>
        <v>0</v>
      </c>
      <c r="AN56">
        <f t="shared" si="13"/>
        <v>1</v>
      </c>
      <c r="AO56">
        <f>SUM(AN$2:$AN56)</f>
        <v>55</v>
      </c>
    </row>
    <row r="57" spans="1:41" customFormat="1" x14ac:dyDescent="0.35">
      <c r="A57" t="s">
        <v>156</v>
      </c>
      <c r="B57" t="s">
        <v>762</v>
      </c>
      <c r="C57">
        <v>11500</v>
      </c>
      <c r="D57" t="s">
        <v>1605</v>
      </c>
      <c r="E57">
        <v>0</v>
      </c>
      <c r="F57">
        <v>1744</v>
      </c>
      <c r="G57">
        <v>0</v>
      </c>
      <c r="H57">
        <v>0</v>
      </c>
      <c r="I57">
        <v>2820</v>
      </c>
      <c r="J57">
        <v>2686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351</v>
      </c>
      <c r="X57">
        <v>3</v>
      </c>
      <c r="Y57" t="s">
        <v>434</v>
      </c>
      <c r="Z57" t="s">
        <v>1606</v>
      </c>
      <c r="AA57" t="s">
        <v>150</v>
      </c>
      <c r="AB57" t="s">
        <v>497</v>
      </c>
      <c r="AC57" t="s">
        <v>497</v>
      </c>
      <c r="AD57">
        <v>0</v>
      </c>
      <c r="AE57">
        <v>0</v>
      </c>
      <c r="AF57">
        <v>0</v>
      </c>
      <c r="AG57">
        <v>0</v>
      </c>
      <c r="AH57">
        <f t="shared" si="7"/>
        <v>0</v>
      </c>
      <c r="AI57">
        <f t="shared" si="8"/>
        <v>0</v>
      </c>
      <c r="AJ57">
        <f t="shared" si="9"/>
        <v>1</v>
      </c>
      <c r="AK57">
        <f t="shared" si="10"/>
        <v>1</v>
      </c>
      <c r="AL57">
        <f t="shared" si="11"/>
        <v>0</v>
      </c>
      <c r="AM57">
        <f t="shared" si="12"/>
        <v>0</v>
      </c>
      <c r="AN57">
        <f t="shared" si="13"/>
        <v>1</v>
      </c>
      <c r="AO57">
        <f>SUM(AN$2:$AN57)</f>
        <v>56</v>
      </c>
    </row>
    <row r="58" spans="1:41" customFormat="1" x14ac:dyDescent="0.35">
      <c r="A58" t="s">
        <v>156</v>
      </c>
      <c r="B58" t="s">
        <v>762</v>
      </c>
      <c r="C58">
        <v>11500</v>
      </c>
      <c r="D58" t="s">
        <v>1607</v>
      </c>
      <c r="E58">
        <v>0</v>
      </c>
      <c r="F58">
        <v>1924</v>
      </c>
      <c r="G58">
        <v>1746</v>
      </c>
      <c r="H58">
        <v>0</v>
      </c>
      <c r="I58">
        <v>1746</v>
      </c>
      <c r="J58">
        <v>1612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 t="s">
        <v>419</v>
      </c>
      <c r="X58">
        <v>3</v>
      </c>
      <c r="Y58" t="s">
        <v>434</v>
      </c>
      <c r="Z58" t="s">
        <v>1608</v>
      </c>
      <c r="AA58" t="s">
        <v>151</v>
      </c>
      <c r="AB58" t="s">
        <v>497</v>
      </c>
      <c r="AC58" t="s">
        <v>497</v>
      </c>
      <c r="AD58">
        <v>0</v>
      </c>
      <c r="AE58">
        <v>0</v>
      </c>
      <c r="AF58">
        <v>0</v>
      </c>
      <c r="AG58">
        <v>0</v>
      </c>
      <c r="AH58">
        <f t="shared" si="7"/>
        <v>1</v>
      </c>
      <c r="AI58">
        <f t="shared" si="8"/>
        <v>0</v>
      </c>
      <c r="AJ58">
        <f t="shared" si="9"/>
        <v>1</v>
      </c>
      <c r="AK58">
        <f t="shared" si="10"/>
        <v>1</v>
      </c>
      <c r="AL58">
        <f t="shared" si="11"/>
        <v>0</v>
      </c>
      <c r="AM58">
        <f t="shared" si="12"/>
        <v>0</v>
      </c>
      <c r="AN58">
        <f t="shared" si="13"/>
        <v>1</v>
      </c>
      <c r="AO58">
        <f>SUM(AN$2:$AN58)</f>
        <v>57</v>
      </c>
    </row>
    <row r="59" spans="1:41" customFormat="1" x14ac:dyDescent="0.35">
      <c r="A59" t="s">
        <v>156</v>
      </c>
      <c r="B59" t="s">
        <v>762</v>
      </c>
      <c r="C59">
        <v>11500</v>
      </c>
      <c r="D59" t="s">
        <v>1609</v>
      </c>
      <c r="E59">
        <v>0</v>
      </c>
      <c r="F59">
        <v>2044</v>
      </c>
      <c r="G59">
        <v>4768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 t="s">
        <v>331</v>
      </c>
      <c r="X59">
        <v>3</v>
      </c>
      <c r="Y59" t="s">
        <v>434</v>
      </c>
      <c r="Z59" t="s">
        <v>1610</v>
      </c>
      <c r="AA59" t="s">
        <v>151</v>
      </c>
      <c r="AB59" t="s">
        <v>497</v>
      </c>
      <c r="AC59" t="s">
        <v>497</v>
      </c>
      <c r="AD59">
        <v>0</v>
      </c>
      <c r="AE59">
        <v>0</v>
      </c>
      <c r="AF59">
        <v>0</v>
      </c>
      <c r="AG59">
        <v>0</v>
      </c>
      <c r="AH59">
        <f t="shared" si="7"/>
        <v>1</v>
      </c>
      <c r="AI59">
        <f t="shared" si="8"/>
        <v>0</v>
      </c>
      <c r="AJ59">
        <f t="shared" si="9"/>
        <v>0</v>
      </c>
      <c r="AK59">
        <f t="shared" si="10"/>
        <v>0</v>
      </c>
      <c r="AL59">
        <f t="shared" si="11"/>
        <v>0</v>
      </c>
      <c r="AM59">
        <f t="shared" si="12"/>
        <v>0</v>
      </c>
      <c r="AN59">
        <f t="shared" si="13"/>
        <v>1</v>
      </c>
      <c r="AO59">
        <f>SUM(AN$2:$AN59)</f>
        <v>58</v>
      </c>
    </row>
    <row r="60" spans="1:41" customFormat="1" x14ac:dyDescent="0.35">
      <c r="A60" t="s">
        <v>156</v>
      </c>
      <c r="B60" t="s">
        <v>762</v>
      </c>
      <c r="C60">
        <v>12100</v>
      </c>
      <c r="D60" t="s">
        <v>1611</v>
      </c>
      <c r="E60">
        <v>0</v>
      </c>
      <c r="F60">
        <v>2151</v>
      </c>
      <c r="G60">
        <v>0</v>
      </c>
      <c r="H60">
        <v>0</v>
      </c>
      <c r="I60">
        <v>0</v>
      </c>
      <c r="J60">
        <v>0</v>
      </c>
      <c r="K60">
        <v>5017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 t="s">
        <v>327</v>
      </c>
      <c r="X60">
        <v>3</v>
      </c>
      <c r="Y60" t="s">
        <v>434</v>
      </c>
      <c r="Z60" t="s">
        <v>1612</v>
      </c>
      <c r="AA60" t="s">
        <v>152</v>
      </c>
      <c r="AB60" t="s">
        <v>497</v>
      </c>
      <c r="AC60" t="s">
        <v>497</v>
      </c>
      <c r="AD60">
        <v>0</v>
      </c>
      <c r="AE60">
        <v>0</v>
      </c>
      <c r="AF60">
        <v>0</v>
      </c>
      <c r="AG60">
        <v>0</v>
      </c>
      <c r="AH60">
        <f t="shared" si="7"/>
        <v>0</v>
      </c>
      <c r="AI60">
        <f t="shared" si="8"/>
        <v>0</v>
      </c>
      <c r="AJ60">
        <f t="shared" si="9"/>
        <v>0</v>
      </c>
      <c r="AK60">
        <f t="shared" si="10"/>
        <v>0</v>
      </c>
      <c r="AL60">
        <f t="shared" si="11"/>
        <v>1</v>
      </c>
      <c r="AM60">
        <f t="shared" si="12"/>
        <v>0</v>
      </c>
      <c r="AN60">
        <f t="shared" si="13"/>
        <v>1</v>
      </c>
      <c r="AO60">
        <f>SUM(AN$2:$AN60)</f>
        <v>59</v>
      </c>
    </row>
    <row r="61" spans="1:41" x14ac:dyDescent="0.35">
      <c r="A61" t="s">
        <v>156</v>
      </c>
      <c r="B61" t="s">
        <v>762</v>
      </c>
      <c r="C61">
        <v>12100</v>
      </c>
      <c r="D61" t="s">
        <v>1613</v>
      </c>
      <c r="E61">
        <v>0</v>
      </c>
      <c r="F61">
        <v>1835</v>
      </c>
      <c r="G61">
        <v>2826</v>
      </c>
      <c r="H61">
        <v>0</v>
      </c>
      <c r="I61">
        <v>0</v>
      </c>
      <c r="J61">
        <v>2968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 t="s">
        <v>418</v>
      </c>
      <c r="X61">
        <v>3</v>
      </c>
      <c r="Y61" t="s">
        <v>434</v>
      </c>
      <c r="Z61" t="s">
        <v>1614</v>
      </c>
      <c r="AA61" t="s">
        <v>151</v>
      </c>
      <c r="AB61" t="s">
        <v>497</v>
      </c>
      <c r="AC61" t="s">
        <v>497</v>
      </c>
      <c r="AD61">
        <v>0</v>
      </c>
      <c r="AE61">
        <v>0</v>
      </c>
      <c r="AF61">
        <v>0</v>
      </c>
      <c r="AG61">
        <v>0</v>
      </c>
      <c r="AH61">
        <f t="shared" si="7"/>
        <v>1</v>
      </c>
      <c r="AI61">
        <f t="shared" si="8"/>
        <v>0</v>
      </c>
      <c r="AJ61">
        <f t="shared" si="9"/>
        <v>0</v>
      </c>
      <c r="AK61">
        <f t="shared" si="10"/>
        <v>1</v>
      </c>
      <c r="AL61">
        <f t="shared" si="11"/>
        <v>0</v>
      </c>
      <c r="AM61">
        <f t="shared" si="12"/>
        <v>0</v>
      </c>
      <c r="AN61">
        <f t="shared" si="13"/>
        <v>1</v>
      </c>
      <c r="AO61">
        <f>SUM(AN$2:$AN61)</f>
        <v>60</v>
      </c>
    </row>
    <row r="62" spans="1:41" customFormat="1" x14ac:dyDescent="0.35">
      <c r="A62" t="s">
        <v>156</v>
      </c>
      <c r="B62" t="s">
        <v>762</v>
      </c>
      <c r="C62">
        <v>12100</v>
      </c>
      <c r="D62" t="s">
        <v>2589</v>
      </c>
      <c r="E62">
        <v>0</v>
      </c>
      <c r="F62">
        <v>1835</v>
      </c>
      <c r="G62">
        <v>2190</v>
      </c>
      <c r="H62">
        <v>1413</v>
      </c>
      <c r="I62">
        <v>2049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t="s">
        <v>2583</v>
      </c>
      <c r="X62">
        <v>3</v>
      </c>
      <c r="Y62" t="s">
        <v>434</v>
      </c>
      <c r="Z62" t="s">
        <v>1615</v>
      </c>
      <c r="AA62" t="s">
        <v>358</v>
      </c>
      <c r="AB62" t="s">
        <v>497</v>
      </c>
      <c r="AC62" t="s">
        <v>497</v>
      </c>
      <c r="AD62">
        <v>0</v>
      </c>
      <c r="AE62">
        <v>0</v>
      </c>
      <c r="AF62">
        <v>0</v>
      </c>
      <c r="AG62">
        <v>0</v>
      </c>
      <c r="AH62">
        <f t="shared" si="7"/>
        <v>1</v>
      </c>
      <c r="AI62">
        <f t="shared" si="8"/>
        <v>1</v>
      </c>
      <c r="AJ62">
        <f t="shared" si="9"/>
        <v>1</v>
      </c>
      <c r="AK62">
        <f t="shared" si="10"/>
        <v>0</v>
      </c>
      <c r="AL62">
        <f t="shared" si="11"/>
        <v>0</v>
      </c>
      <c r="AM62">
        <f t="shared" si="12"/>
        <v>0</v>
      </c>
      <c r="AN62">
        <f t="shared" si="13"/>
        <v>1</v>
      </c>
      <c r="AO62">
        <f>SUM(AN$2:$AN62)</f>
        <v>61</v>
      </c>
    </row>
    <row r="63" spans="1:41" x14ac:dyDescent="0.35">
      <c r="A63" t="s">
        <v>156</v>
      </c>
      <c r="B63" t="s">
        <v>2642</v>
      </c>
      <c r="C63">
        <v>12450</v>
      </c>
      <c r="D63" t="s">
        <v>2643</v>
      </c>
      <c r="E63">
        <v>522</v>
      </c>
      <c r="F63">
        <v>846</v>
      </c>
      <c r="G63">
        <v>0</v>
      </c>
      <c r="H63">
        <v>0</v>
      </c>
      <c r="I63">
        <v>2617</v>
      </c>
      <c r="J63">
        <v>2326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348</v>
      </c>
      <c r="X63">
        <v>6</v>
      </c>
      <c r="Y63" t="s">
        <v>435</v>
      </c>
      <c r="Z63" t="s">
        <v>1617</v>
      </c>
      <c r="AA63" t="s">
        <v>148</v>
      </c>
      <c r="AB63" t="s">
        <v>497</v>
      </c>
      <c r="AC63" t="s">
        <v>497</v>
      </c>
      <c r="AD63">
        <v>2690</v>
      </c>
      <c r="AE63">
        <v>0</v>
      </c>
      <c r="AF63">
        <v>0</v>
      </c>
      <c r="AG63">
        <v>0</v>
      </c>
      <c r="AH63">
        <f t="shared" si="7"/>
        <v>0</v>
      </c>
      <c r="AI63">
        <f t="shared" si="8"/>
        <v>0</v>
      </c>
      <c r="AJ63">
        <f t="shared" si="9"/>
        <v>1</v>
      </c>
      <c r="AK63">
        <f t="shared" si="10"/>
        <v>1</v>
      </c>
      <c r="AL63">
        <f t="shared" si="11"/>
        <v>0</v>
      </c>
      <c r="AM63">
        <f t="shared" si="12"/>
        <v>0</v>
      </c>
      <c r="AN63">
        <f t="shared" si="13"/>
        <v>1</v>
      </c>
      <c r="AO63">
        <f>SUM(AN$2:$AN63)</f>
        <v>62</v>
      </c>
    </row>
    <row r="64" spans="1:41" x14ac:dyDescent="0.35">
      <c r="A64" t="s">
        <v>156</v>
      </c>
      <c r="B64" t="s">
        <v>2383</v>
      </c>
      <c r="C64">
        <v>12450</v>
      </c>
      <c r="D64" t="s">
        <v>2384</v>
      </c>
      <c r="E64">
        <v>522</v>
      </c>
      <c r="F64">
        <v>846</v>
      </c>
      <c r="G64">
        <v>0</v>
      </c>
      <c r="H64">
        <v>0</v>
      </c>
      <c r="I64">
        <v>0</v>
      </c>
      <c r="J64">
        <v>2326</v>
      </c>
      <c r="K64">
        <v>0</v>
      </c>
      <c r="L64">
        <v>2617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349</v>
      </c>
      <c r="X64">
        <v>6</v>
      </c>
      <c r="Y64" t="s">
        <v>435</v>
      </c>
      <c r="Z64" t="s">
        <v>1618</v>
      </c>
      <c r="AA64" t="s">
        <v>148</v>
      </c>
      <c r="AB64" t="s">
        <v>497</v>
      </c>
      <c r="AC64" t="s">
        <v>497</v>
      </c>
      <c r="AD64">
        <v>2690</v>
      </c>
      <c r="AE64">
        <v>0</v>
      </c>
      <c r="AF64">
        <v>0</v>
      </c>
      <c r="AG64">
        <v>0</v>
      </c>
      <c r="AH64">
        <f t="shared" si="7"/>
        <v>0</v>
      </c>
      <c r="AI64">
        <f t="shared" si="8"/>
        <v>0</v>
      </c>
      <c r="AJ64">
        <f t="shared" si="9"/>
        <v>0</v>
      </c>
      <c r="AK64">
        <f t="shared" si="10"/>
        <v>1</v>
      </c>
      <c r="AL64">
        <f t="shared" si="11"/>
        <v>0</v>
      </c>
      <c r="AM64">
        <f t="shared" si="12"/>
        <v>1</v>
      </c>
      <c r="AN64">
        <f t="shared" si="13"/>
        <v>1</v>
      </c>
      <c r="AO64">
        <f>SUM(AN$2:$AN64)</f>
        <v>63</v>
      </c>
    </row>
    <row r="65" spans="1:41" x14ac:dyDescent="0.35">
      <c r="A65" t="s">
        <v>156</v>
      </c>
      <c r="B65" t="s">
        <v>2385</v>
      </c>
      <c r="C65">
        <v>12450</v>
      </c>
      <c r="D65" t="s">
        <v>2386</v>
      </c>
      <c r="E65">
        <v>522</v>
      </c>
      <c r="F65">
        <v>846</v>
      </c>
      <c r="G65">
        <v>2617</v>
      </c>
      <c r="H65">
        <v>0</v>
      </c>
      <c r="I65">
        <v>0</v>
      </c>
      <c r="J65">
        <v>2326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350</v>
      </c>
      <c r="X65">
        <v>6</v>
      </c>
      <c r="Y65" t="s">
        <v>436</v>
      </c>
      <c r="Z65" t="s">
        <v>1619</v>
      </c>
      <c r="AA65" t="s">
        <v>148</v>
      </c>
      <c r="AB65" t="s">
        <v>497</v>
      </c>
      <c r="AC65" t="s">
        <v>497</v>
      </c>
      <c r="AD65">
        <v>2690</v>
      </c>
      <c r="AE65">
        <v>0</v>
      </c>
      <c r="AF65">
        <v>0</v>
      </c>
      <c r="AG65">
        <v>0</v>
      </c>
      <c r="AH65">
        <f t="shared" si="7"/>
        <v>1</v>
      </c>
      <c r="AI65">
        <f t="shared" si="8"/>
        <v>0</v>
      </c>
      <c r="AJ65">
        <f t="shared" si="9"/>
        <v>0</v>
      </c>
      <c r="AK65">
        <f t="shared" si="10"/>
        <v>1</v>
      </c>
      <c r="AL65">
        <f t="shared" si="11"/>
        <v>0</v>
      </c>
      <c r="AM65">
        <f t="shared" si="12"/>
        <v>0</v>
      </c>
      <c r="AN65">
        <f t="shared" si="13"/>
        <v>1</v>
      </c>
      <c r="AO65">
        <f>SUM(AN$2:$AN65)</f>
        <v>64</v>
      </c>
    </row>
    <row r="66" spans="1:41" x14ac:dyDescent="0.35">
      <c r="A66" t="s">
        <v>156</v>
      </c>
      <c r="B66" t="s">
        <v>2387</v>
      </c>
      <c r="C66">
        <v>12450</v>
      </c>
      <c r="D66" t="s">
        <v>2388</v>
      </c>
      <c r="E66">
        <v>522</v>
      </c>
      <c r="F66">
        <v>846</v>
      </c>
      <c r="G66">
        <v>2617</v>
      </c>
      <c r="H66">
        <v>0</v>
      </c>
      <c r="I66">
        <v>0</v>
      </c>
      <c r="J66">
        <v>0</v>
      </c>
      <c r="K66">
        <v>2326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157</v>
      </c>
      <c r="X66">
        <v>6</v>
      </c>
      <c r="Y66" t="s">
        <v>435</v>
      </c>
      <c r="Z66" t="s">
        <v>1620</v>
      </c>
      <c r="AA66" t="s">
        <v>150</v>
      </c>
      <c r="AB66" t="s">
        <v>497</v>
      </c>
      <c r="AC66" t="s">
        <v>497</v>
      </c>
      <c r="AD66">
        <v>2690</v>
      </c>
      <c r="AE66">
        <v>0</v>
      </c>
      <c r="AF66">
        <v>0</v>
      </c>
      <c r="AG66">
        <v>0</v>
      </c>
      <c r="AH66">
        <f t="shared" si="7"/>
        <v>1</v>
      </c>
      <c r="AI66">
        <f t="shared" si="8"/>
        <v>0</v>
      </c>
      <c r="AJ66">
        <f t="shared" si="9"/>
        <v>0</v>
      </c>
      <c r="AK66">
        <f t="shared" si="10"/>
        <v>0</v>
      </c>
      <c r="AL66">
        <f t="shared" si="11"/>
        <v>1</v>
      </c>
      <c r="AM66">
        <f t="shared" si="12"/>
        <v>0</v>
      </c>
      <c r="AN66">
        <f t="shared" si="13"/>
        <v>1</v>
      </c>
      <c r="AO66">
        <f>SUM(AN$2:$AN66)</f>
        <v>65</v>
      </c>
    </row>
    <row r="67" spans="1:41" x14ac:dyDescent="0.35">
      <c r="A67" t="s">
        <v>189</v>
      </c>
      <c r="B67" t="s">
        <v>799</v>
      </c>
      <c r="C67">
        <v>8000</v>
      </c>
      <c r="D67" t="s">
        <v>800</v>
      </c>
      <c r="E67">
        <v>391</v>
      </c>
      <c r="F67">
        <v>634</v>
      </c>
      <c r="G67">
        <v>0</v>
      </c>
      <c r="H67">
        <v>0</v>
      </c>
      <c r="I67">
        <v>1962</v>
      </c>
      <c r="J67">
        <v>1744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 t="s">
        <v>348</v>
      </c>
      <c r="X67">
        <v>6</v>
      </c>
      <c r="Y67" t="s">
        <v>435</v>
      </c>
      <c r="Z67" t="s">
        <v>1621</v>
      </c>
      <c r="AA67" t="s">
        <v>149</v>
      </c>
      <c r="AB67" t="s">
        <v>152</v>
      </c>
      <c r="AC67" t="s">
        <v>497</v>
      </c>
      <c r="AD67">
        <v>2017</v>
      </c>
      <c r="AE67">
        <v>0</v>
      </c>
      <c r="AF67">
        <v>0</v>
      </c>
      <c r="AG67">
        <v>0</v>
      </c>
      <c r="AH67">
        <f t="shared" si="7"/>
        <v>0</v>
      </c>
      <c r="AI67">
        <f t="shared" si="8"/>
        <v>0</v>
      </c>
      <c r="AJ67">
        <f t="shared" si="9"/>
        <v>1</v>
      </c>
      <c r="AK67">
        <f t="shared" si="10"/>
        <v>1</v>
      </c>
      <c r="AL67">
        <f t="shared" si="11"/>
        <v>0</v>
      </c>
      <c r="AM67">
        <f t="shared" si="12"/>
        <v>0</v>
      </c>
      <c r="AN67">
        <f t="shared" si="13"/>
        <v>1</v>
      </c>
      <c r="AO67">
        <f>SUM(AN$2:$AN67)</f>
        <v>66</v>
      </c>
    </row>
    <row r="68" spans="1:41" x14ac:dyDescent="0.35">
      <c r="A68" t="s">
        <v>189</v>
      </c>
      <c r="B68" t="s">
        <v>797</v>
      </c>
      <c r="C68">
        <v>8100</v>
      </c>
      <c r="D68" t="s">
        <v>1622</v>
      </c>
      <c r="E68">
        <v>396</v>
      </c>
      <c r="F68">
        <v>642</v>
      </c>
      <c r="G68">
        <v>0</v>
      </c>
      <c r="H68">
        <v>0</v>
      </c>
      <c r="I68">
        <v>1987</v>
      </c>
      <c r="J68">
        <v>1766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348</v>
      </c>
      <c r="X68">
        <v>6</v>
      </c>
      <c r="Y68" t="s">
        <v>437</v>
      </c>
      <c r="Z68" t="s">
        <v>1623</v>
      </c>
      <c r="AA68" t="s">
        <v>497</v>
      </c>
      <c r="AB68" t="s">
        <v>497</v>
      </c>
      <c r="AC68" t="s">
        <v>497</v>
      </c>
      <c r="AD68">
        <v>2042</v>
      </c>
      <c r="AE68">
        <v>0</v>
      </c>
      <c r="AF68">
        <v>0</v>
      </c>
      <c r="AG68">
        <v>0</v>
      </c>
      <c r="AH68">
        <f t="shared" ref="AH68:AH132" si="22">IF(G68&gt;1,1,0)</f>
        <v>0</v>
      </c>
      <c r="AI68">
        <f t="shared" ref="AI68:AI132" si="23">IF(H68&gt;1,1,0)</f>
        <v>0</v>
      </c>
      <c r="AJ68">
        <f t="shared" ref="AJ68:AJ132" si="24">IF(I68&gt;1,1,0)</f>
        <v>1</v>
      </c>
      <c r="AK68">
        <f t="shared" ref="AK68:AK132" si="25">IF(J68&gt;1,1,0)</f>
        <v>1</v>
      </c>
      <c r="AL68">
        <f t="shared" ref="AL68:AL132" si="26">IF(K68&gt;1,1,0)</f>
        <v>0</v>
      </c>
      <c r="AM68">
        <f t="shared" ref="AM68:AM132" si="27">IF(L68&gt;1,1,0)</f>
        <v>0</v>
      </c>
      <c r="AN68">
        <f t="shared" ref="AN68:AN132" si="28">MIN(1,($AV$2+IF(AND(AH68&gt;=$AP$3,AI68&gt;=$AQ$3,AJ68&gt;=$AR$3,AK68&gt;=$AS$3,AL68&gt;=$AT$3,AM68&gt;=$AU$3),1,0)))</f>
        <v>1</v>
      </c>
      <c r="AO68">
        <f>SUM(AN$2:$AN68)</f>
        <v>67</v>
      </c>
    </row>
    <row r="69" spans="1:41" x14ac:dyDescent="0.35">
      <c r="A69" t="s">
        <v>189</v>
      </c>
      <c r="B69" t="s">
        <v>1340</v>
      </c>
      <c r="C69">
        <v>8100</v>
      </c>
      <c r="D69" t="s">
        <v>1624</v>
      </c>
      <c r="E69">
        <v>396</v>
      </c>
      <c r="F69">
        <v>642</v>
      </c>
      <c r="G69">
        <v>0</v>
      </c>
      <c r="H69">
        <v>0</v>
      </c>
      <c r="I69">
        <v>1987</v>
      </c>
      <c r="J69">
        <v>1766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 t="s">
        <v>348</v>
      </c>
      <c r="X69">
        <v>6</v>
      </c>
      <c r="Y69" t="s">
        <v>437</v>
      </c>
      <c r="Z69" t="s">
        <v>1625</v>
      </c>
      <c r="AA69" t="s">
        <v>149</v>
      </c>
      <c r="AB69" t="s">
        <v>152</v>
      </c>
      <c r="AC69" t="s">
        <v>497</v>
      </c>
      <c r="AD69">
        <v>2042</v>
      </c>
      <c r="AE69">
        <v>0</v>
      </c>
      <c r="AF69">
        <v>0</v>
      </c>
      <c r="AG69">
        <v>0</v>
      </c>
      <c r="AH69">
        <f t="shared" si="22"/>
        <v>0</v>
      </c>
      <c r="AI69">
        <f t="shared" si="23"/>
        <v>0</v>
      </c>
      <c r="AJ69">
        <f t="shared" si="24"/>
        <v>1</v>
      </c>
      <c r="AK69">
        <f t="shared" si="25"/>
        <v>1</v>
      </c>
      <c r="AL69">
        <f t="shared" si="26"/>
        <v>0</v>
      </c>
      <c r="AM69">
        <f t="shared" si="27"/>
        <v>0</v>
      </c>
      <c r="AN69">
        <f t="shared" si="28"/>
        <v>1</v>
      </c>
      <c r="AO69">
        <f>SUM(AN$2:$AN69)</f>
        <v>68</v>
      </c>
    </row>
    <row r="70" spans="1:41" x14ac:dyDescent="0.35">
      <c r="A70" t="s">
        <v>189</v>
      </c>
      <c r="B70" t="s">
        <v>798</v>
      </c>
      <c r="C70">
        <v>8150</v>
      </c>
      <c r="D70" t="s">
        <v>1626</v>
      </c>
      <c r="E70">
        <v>398</v>
      </c>
      <c r="F70">
        <v>646</v>
      </c>
      <c r="G70">
        <v>1999</v>
      </c>
      <c r="H70">
        <v>0</v>
      </c>
      <c r="I70">
        <v>0</v>
      </c>
      <c r="J70">
        <v>1777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350</v>
      </c>
      <c r="X70">
        <v>6</v>
      </c>
      <c r="Y70" t="s">
        <v>438</v>
      </c>
      <c r="Z70" t="s">
        <v>1627</v>
      </c>
      <c r="AA70" t="s">
        <v>148</v>
      </c>
      <c r="AB70" t="s">
        <v>149</v>
      </c>
      <c r="AC70" t="s">
        <v>497</v>
      </c>
      <c r="AD70">
        <v>2054</v>
      </c>
      <c r="AE70">
        <v>0</v>
      </c>
      <c r="AF70">
        <v>0</v>
      </c>
      <c r="AG70">
        <v>0</v>
      </c>
      <c r="AH70">
        <f t="shared" si="22"/>
        <v>1</v>
      </c>
      <c r="AI70">
        <f t="shared" si="23"/>
        <v>0</v>
      </c>
      <c r="AJ70">
        <f t="shared" si="24"/>
        <v>0</v>
      </c>
      <c r="AK70">
        <f t="shared" si="25"/>
        <v>1</v>
      </c>
      <c r="AL70">
        <f t="shared" si="26"/>
        <v>0</v>
      </c>
      <c r="AM70">
        <f t="shared" si="27"/>
        <v>0</v>
      </c>
      <c r="AN70">
        <f t="shared" si="28"/>
        <v>1</v>
      </c>
      <c r="AO70">
        <f>SUM(AN$2:$AN70)</f>
        <v>69</v>
      </c>
    </row>
    <row r="71" spans="1:41" x14ac:dyDescent="0.35">
      <c r="A71" t="s">
        <v>189</v>
      </c>
      <c r="B71" t="s">
        <v>801</v>
      </c>
      <c r="C71">
        <v>8600</v>
      </c>
      <c r="D71" t="s">
        <v>1628</v>
      </c>
      <c r="E71">
        <v>525</v>
      </c>
      <c r="F71">
        <v>1049</v>
      </c>
      <c r="G71">
        <v>2695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0</v>
      </c>
      <c r="W71" t="s">
        <v>161</v>
      </c>
      <c r="X71">
        <v>6</v>
      </c>
      <c r="Y71" t="s">
        <v>628</v>
      </c>
      <c r="Z71" t="s">
        <v>1629</v>
      </c>
      <c r="AA71" t="s">
        <v>150</v>
      </c>
      <c r="AB71" t="s">
        <v>151</v>
      </c>
      <c r="AC71" t="s">
        <v>497</v>
      </c>
      <c r="AD71">
        <v>2168</v>
      </c>
      <c r="AE71">
        <v>0</v>
      </c>
      <c r="AF71">
        <v>0</v>
      </c>
      <c r="AG71">
        <v>0</v>
      </c>
      <c r="AH71">
        <f t="shared" si="22"/>
        <v>1</v>
      </c>
      <c r="AI71">
        <f t="shared" si="23"/>
        <v>0</v>
      </c>
      <c r="AJ71">
        <f t="shared" si="24"/>
        <v>0</v>
      </c>
      <c r="AK71">
        <f t="shared" si="25"/>
        <v>0</v>
      </c>
      <c r="AL71">
        <f t="shared" si="26"/>
        <v>0</v>
      </c>
      <c r="AM71">
        <f t="shared" si="27"/>
        <v>0</v>
      </c>
      <c r="AN71">
        <f t="shared" si="28"/>
        <v>1</v>
      </c>
      <c r="AO71">
        <f>SUM(AN$2:$AN71)</f>
        <v>70</v>
      </c>
    </row>
    <row r="72" spans="1:41" x14ac:dyDescent="0.35">
      <c r="A72" t="s">
        <v>189</v>
      </c>
      <c r="B72" t="s">
        <v>1340</v>
      </c>
      <c r="C72">
        <v>8800</v>
      </c>
      <c r="D72" t="s">
        <v>1341</v>
      </c>
      <c r="E72">
        <v>430</v>
      </c>
      <c r="F72">
        <v>698</v>
      </c>
      <c r="G72">
        <v>0</v>
      </c>
      <c r="H72">
        <v>0</v>
      </c>
      <c r="I72">
        <v>2158</v>
      </c>
      <c r="J72">
        <v>1918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 t="s">
        <v>348</v>
      </c>
      <c r="X72">
        <v>6</v>
      </c>
      <c r="Y72" t="s">
        <v>437</v>
      </c>
      <c r="Z72" t="s">
        <v>1630</v>
      </c>
      <c r="AA72" t="s">
        <v>149</v>
      </c>
      <c r="AB72" t="s">
        <v>152</v>
      </c>
      <c r="AC72" t="s">
        <v>497</v>
      </c>
      <c r="AD72">
        <v>2218</v>
      </c>
      <c r="AE72">
        <v>0</v>
      </c>
      <c r="AF72">
        <v>0</v>
      </c>
      <c r="AG72">
        <v>0</v>
      </c>
      <c r="AH72">
        <f t="shared" si="22"/>
        <v>0</v>
      </c>
      <c r="AI72">
        <f t="shared" si="23"/>
        <v>0</v>
      </c>
      <c r="AJ72">
        <f t="shared" si="24"/>
        <v>1</v>
      </c>
      <c r="AK72">
        <f t="shared" si="25"/>
        <v>1</v>
      </c>
      <c r="AL72">
        <f t="shared" si="26"/>
        <v>0</v>
      </c>
      <c r="AM72">
        <f t="shared" si="27"/>
        <v>0</v>
      </c>
      <c r="AN72">
        <f t="shared" si="28"/>
        <v>1</v>
      </c>
      <c r="AO72">
        <f>SUM(AN$2:$AN72)</f>
        <v>71</v>
      </c>
    </row>
    <row r="73" spans="1:41" x14ac:dyDescent="0.35">
      <c r="A73" t="s">
        <v>189</v>
      </c>
      <c r="B73" t="s">
        <v>798</v>
      </c>
      <c r="C73">
        <v>8800</v>
      </c>
      <c r="D73" t="s">
        <v>803</v>
      </c>
      <c r="E73">
        <v>430</v>
      </c>
      <c r="F73">
        <v>698</v>
      </c>
      <c r="G73">
        <v>2158</v>
      </c>
      <c r="H73">
        <v>0</v>
      </c>
      <c r="I73">
        <v>0</v>
      </c>
      <c r="J73">
        <v>1918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350</v>
      </c>
      <c r="X73">
        <v>6</v>
      </c>
      <c r="Y73" t="s">
        <v>438</v>
      </c>
      <c r="Z73" t="s">
        <v>1631</v>
      </c>
      <c r="AA73" t="s">
        <v>148</v>
      </c>
      <c r="AB73" t="s">
        <v>149</v>
      </c>
      <c r="AC73" t="s">
        <v>497</v>
      </c>
      <c r="AD73">
        <v>2218</v>
      </c>
      <c r="AE73">
        <v>0</v>
      </c>
      <c r="AF73">
        <v>0</v>
      </c>
      <c r="AG73">
        <v>0</v>
      </c>
      <c r="AH73">
        <f t="shared" si="22"/>
        <v>1</v>
      </c>
      <c r="AI73">
        <f t="shared" si="23"/>
        <v>0</v>
      </c>
      <c r="AJ73">
        <f t="shared" si="24"/>
        <v>0</v>
      </c>
      <c r="AK73">
        <f t="shared" si="25"/>
        <v>1</v>
      </c>
      <c r="AL73">
        <f t="shared" si="26"/>
        <v>0</v>
      </c>
      <c r="AM73">
        <f t="shared" si="27"/>
        <v>0</v>
      </c>
      <c r="AN73">
        <f t="shared" si="28"/>
        <v>1</v>
      </c>
      <c r="AO73">
        <f>SUM(AN$2:$AN73)</f>
        <v>72</v>
      </c>
    </row>
    <row r="74" spans="1:41" x14ac:dyDescent="0.35">
      <c r="A74" t="s">
        <v>189</v>
      </c>
      <c r="B74" t="s">
        <v>802</v>
      </c>
      <c r="C74">
        <v>9100</v>
      </c>
      <c r="D74" t="s">
        <v>1632</v>
      </c>
      <c r="E74">
        <v>445</v>
      </c>
      <c r="F74">
        <v>722</v>
      </c>
      <c r="G74">
        <v>0</v>
      </c>
      <c r="H74">
        <v>0</v>
      </c>
      <c r="I74">
        <v>0</v>
      </c>
      <c r="J74">
        <v>0</v>
      </c>
      <c r="K74">
        <v>1984</v>
      </c>
      <c r="L74">
        <v>2232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 t="s">
        <v>158</v>
      </c>
      <c r="X74">
        <v>6</v>
      </c>
      <c r="Y74" t="s">
        <v>435</v>
      </c>
      <c r="Z74" t="s">
        <v>1633</v>
      </c>
      <c r="AA74" t="s">
        <v>152</v>
      </c>
      <c r="AB74" t="s">
        <v>148</v>
      </c>
      <c r="AC74" t="s">
        <v>497</v>
      </c>
      <c r="AD74">
        <v>2294</v>
      </c>
      <c r="AE74">
        <v>0</v>
      </c>
      <c r="AF74">
        <v>0</v>
      </c>
      <c r="AG74">
        <v>0</v>
      </c>
      <c r="AH74">
        <f t="shared" si="22"/>
        <v>0</v>
      </c>
      <c r="AI74">
        <f t="shared" si="23"/>
        <v>0</v>
      </c>
      <c r="AJ74">
        <f t="shared" si="24"/>
        <v>0</v>
      </c>
      <c r="AK74">
        <f t="shared" si="25"/>
        <v>0</v>
      </c>
      <c r="AL74">
        <f t="shared" si="26"/>
        <v>1</v>
      </c>
      <c r="AM74">
        <f t="shared" si="27"/>
        <v>1</v>
      </c>
      <c r="AN74">
        <f t="shared" si="28"/>
        <v>1</v>
      </c>
      <c r="AO74">
        <f>SUM(AN$2:$AN74)</f>
        <v>73</v>
      </c>
    </row>
    <row r="75" spans="1:41" x14ac:dyDescent="0.35">
      <c r="A75" t="s">
        <v>189</v>
      </c>
      <c r="B75" t="s">
        <v>804</v>
      </c>
      <c r="C75">
        <v>9100</v>
      </c>
      <c r="D75" t="s">
        <v>805</v>
      </c>
      <c r="E75">
        <v>0</v>
      </c>
      <c r="F75">
        <v>1610</v>
      </c>
      <c r="G75">
        <v>2480</v>
      </c>
      <c r="H75">
        <v>0</v>
      </c>
      <c r="I75">
        <v>2480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t="s">
        <v>420</v>
      </c>
      <c r="X75">
        <v>3</v>
      </c>
      <c r="Y75" t="s">
        <v>434</v>
      </c>
      <c r="Z75" t="s">
        <v>1634</v>
      </c>
      <c r="AA75" t="s">
        <v>358</v>
      </c>
      <c r="AB75" t="s">
        <v>149</v>
      </c>
      <c r="AC75" t="s">
        <v>497</v>
      </c>
      <c r="AD75">
        <v>0</v>
      </c>
      <c r="AE75">
        <v>0</v>
      </c>
      <c r="AF75">
        <v>0</v>
      </c>
      <c r="AG75">
        <v>0</v>
      </c>
      <c r="AH75">
        <f t="shared" si="22"/>
        <v>1</v>
      </c>
      <c r="AI75">
        <f t="shared" si="23"/>
        <v>0</v>
      </c>
      <c r="AJ75">
        <f t="shared" si="24"/>
        <v>1</v>
      </c>
      <c r="AK75">
        <f t="shared" si="25"/>
        <v>0</v>
      </c>
      <c r="AL75">
        <f t="shared" si="26"/>
        <v>0</v>
      </c>
      <c r="AM75">
        <f t="shared" si="27"/>
        <v>0</v>
      </c>
      <c r="AN75">
        <f t="shared" si="28"/>
        <v>1</v>
      </c>
      <c r="AO75">
        <f>SUM(AN$2:$AN75)</f>
        <v>74</v>
      </c>
    </row>
    <row r="76" spans="1:41" x14ac:dyDescent="0.35">
      <c r="A76" t="s">
        <v>189</v>
      </c>
      <c r="B76" t="s">
        <v>804</v>
      </c>
      <c r="C76">
        <v>9100</v>
      </c>
      <c r="D76" t="s">
        <v>2590</v>
      </c>
      <c r="E76">
        <v>0</v>
      </c>
      <c r="F76">
        <v>1610</v>
      </c>
      <c r="G76">
        <v>1860</v>
      </c>
      <c r="H76">
        <v>1240</v>
      </c>
      <c r="I76">
        <v>1736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0</v>
      </c>
      <c r="W76" t="s">
        <v>2583</v>
      </c>
      <c r="X76">
        <v>3</v>
      </c>
      <c r="Y76" t="s">
        <v>434</v>
      </c>
      <c r="Z76" t="s">
        <v>1635</v>
      </c>
      <c r="AA76" t="s">
        <v>358</v>
      </c>
      <c r="AB76" t="s">
        <v>152</v>
      </c>
      <c r="AC76" t="s">
        <v>497</v>
      </c>
      <c r="AD76">
        <v>0</v>
      </c>
      <c r="AE76">
        <v>0</v>
      </c>
      <c r="AF76">
        <v>0</v>
      </c>
      <c r="AG76">
        <v>0</v>
      </c>
      <c r="AH76">
        <f t="shared" si="22"/>
        <v>1</v>
      </c>
      <c r="AI76">
        <f t="shared" si="23"/>
        <v>1</v>
      </c>
      <c r="AJ76">
        <f t="shared" si="24"/>
        <v>1</v>
      </c>
      <c r="AK76">
        <f t="shared" si="25"/>
        <v>0</v>
      </c>
      <c r="AL76">
        <f t="shared" si="26"/>
        <v>0</v>
      </c>
      <c r="AM76">
        <f t="shared" si="27"/>
        <v>0</v>
      </c>
      <c r="AN76">
        <f t="shared" si="28"/>
        <v>1</v>
      </c>
      <c r="AO76">
        <f>SUM(AN$2:$AN76)</f>
        <v>75</v>
      </c>
    </row>
    <row r="77" spans="1:41" x14ac:dyDescent="0.35">
      <c r="A77" t="s">
        <v>189</v>
      </c>
      <c r="B77" t="s">
        <v>804</v>
      </c>
      <c r="C77">
        <v>9100</v>
      </c>
      <c r="D77" t="s">
        <v>806</v>
      </c>
      <c r="E77">
        <v>0</v>
      </c>
      <c r="F77">
        <v>1887</v>
      </c>
      <c r="G77">
        <v>4278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t="s">
        <v>331</v>
      </c>
      <c r="X77">
        <v>3</v>
      </c>
      <c r="Y77" t="s">
        <v>434</v>
      </c>
      <c r="Z77" t="s">
        <v>1636</v>
      </c>
      <c r="AA77" t="s">
        <v>151</v>
      </c>
      <c r="AB77" t="s">
        <v>150</v>
      </c>
      <c r="AC77" t="s">
        <v>497</v>
      </c>
      <c r="AD77">
        <v>0</v>
      </c>
      <c r="AE77">
        <v>0</v>
      </c>
      <c r="AF77">
        <v>0</v>
      </c>
      <c r="AG77">
        <v>0</v>
      </c>
      <c r="AH77">
        <f t="shared" si="22"/>
        <v>1</v>
      </c>
      <c r="AI77">
        <f t="shared" si="23"/>
        <v>0</v>
      </c>
      <c r="AJ77">
        <f t="shared" si="24"/>
        <v>0</v>
      </c>
      <c r="AK77">
        <f t="shared" si="25"/>
        <v>0</v>
      </c>
      <c r="AL77">
        <f t="shared" si="26"/>
        <v>0</v>
      </c>
      <c r="AM77">
        <f t="shared" si="27"/>
        <v>0</v>
      </c>
      <c r="AN77">
        <f t="shared" si="28"/>
        <v>1</v>
      </c>
      <c r="AO77">
        <f>SUM(AN$2:$AN77)</f>
        <v>76</v>
      </c>
    </row>
    <row r="78" spans="1:41" x14ac:dyDescent="0.35">
      <c r="A78" t="s">
        <v>189</v>
      </c>
      <c r="B78" t="s">
        <v>804</v>
      </c>
      <c r="C78">
        <v>9400</v>
      </c>
      <c r="D78" t="s">
        <v>814</v>
      </c>
      <c r="E78">
        <v>0</v>
      </c>
      <c r="F78">
        <v>1949</v>
      </c>
      <c r="G78">
        <v>0</v>
      </c>
      <c r="H78">
        <v>0</v>
      </c>
      <c r="I78">
        <v>4419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t="s">
        <v>329</v>
      </c>
      <c r="X78">
        <v>3</v>
      </c>
      <c r="Y78" t="s">
        <v>434</v>
      </c>
      <c r="Z78" t="s">
        <v>1637</v>
      </c>
      <c r="AA78" t="s">
        <v>358</v>
      </c>
      <c r="AB78" t="s">
        <v>149</v>
      </c>
      <c r="AC78" t="s">
        <v>497</v>
      </c>
      <c r="AD78">
        <v>0</v>
      </c>
      <c r="AE78">
        <v>0</v>
      </c>
      <c r="AF78">
        <v>0</v>
      </c>
      <c r="AG78">
        <v>0</v>
      </c>
      <c r="AH78">
        <f t="shared" si="22"/>
        <v>0</v>
      </c>
      <c r="AI78">
        <f t="shared" si="23"/>
        <v>0</v>
      </c>
      <c r="AJ78">
        <f t="shared" si="24"/>
        <v>1</v>
      </c>
      <c r="AK78">
        <f t="shared" si="25"/>
        <v>0</v>
      </c>
      <c r="AL78">
        <f t="shared" si="26"/>
        <v>0</v>
      </c>
      <c r="AM78">
        <f t="shared" si="27"/>
        <v>0</v>
      </c>
      <c r="AN78">
        <f t="shared" si="28"/>
        <v>1</v>
      </c>
      <c r="AO78">
        <f>SUM(AN$2:$AN78)</f>
        <v>77</v>
      </c>
    </row>
    <row r="79" spans="1:41" x14ac:dyDescent="0.35">
      <c r="A79" t="s">
        <v>189</v>
      </c>
      <c r="B79" t="s">
        <v>804</v>
      </c>
      <c r="C79">
        <v>9400</v>
      </c>
      <c r="D79" t="s">
        <v>2591</v>
      </c>
      <c r="E79">
        <v>0</v>
      </c>
      <c r="F79">
        <v>1663</v>
      </c>
      <c r="G79">
        <v>2433</v>
      </c>
      <c r="H79">
        <v>1281</v>
      </c>
      <c r="I79">
        <v>0</v>
      </c>
      <c r="J79">
        <v>1281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 t="s">
        <v>2579</v>
      </c>
      <c r="X79">
        <v>3</v>
      </c>
      <c r="Y79" t="s">
        <v>434</v>
      </c>
      <c r="Z79" t="s">
        <v>1638</v>
      </c>
      <c r="AA79" t="s">
        <v>152</v>
      </c>
      <c r="AB79" t="s">
        <v>149</v>
      </c>
      <c r="AC79" t="s">
        <v>497</v>
      </c>
      <c r="AD79">
        <v>0</v>
      </c>
      <c r="AE79">
        <v>0</v>
      </c>
      <c r="AF79">
        <v>0</v>
      </c>
      <c r="AG79">
        <v>0</v>
      </c>
      <c r="AH79">
        <f t="shared" si="22"/>
        <v>1</v>
      </c>
      <c r="AI79">
        <f t="shared" si="23"/>
        <v>1</v>
      </c>
      <c r="AJ79">
        <f t="shared" si="24"/>
        <v>0</v>
      </c>
      <c r="AK79">
        <f t="shared" si="25"/>
        <v>1</v>
      </c>
      <c r="AL79">
        <f t="shared" si="26"/>
        <v>0</v>
      </c>
      <c r="AM79">
        <f t="shared" si="27"/>
        <v>0</v>
      </c>
      <c r="AN79">
        <f t="shared" si="28"/>
        <v>1</v>
      </c>
      <c r="AO79">
        <f>SUM(AN$2:$AN79)</f>
        <v>78</v>
      </c>
    </row>
    <row r="80" spans="1:41" x14ac:dyDescent="0.35">
      <c r="A80" t="s">
        <v>189</v>
      </c>
      <c r="B80" t="s">
        <v>804</v>
      </c>
      <c r="C80">
        <v>9400</v>
      </c>
      <c r="D80" t="s">
        <v>2592</v>
      </c>
      <c r="E80">
        <v>0</v>
      </c>
      <c r="F80">
        <v>1663</v>
      </c>
      <c r="G80">
        <v>3074</v>
      </c>
      <c r="H80">
        <v>1921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 t="s">
        <v>2581</v>
      </c>
      <c r="X80">
        <v>3</v>
      </c>
      <c r="Y80" t="s">
        <v>434</v>
      </c>
      <c r="Z80" t="s">
        <v>1639</v>
      </c>
      <c r="AA80" t="s">
        <v>152</v>
      </c>
      <c r="AB80" t="s">
        <v>149</v>
      </c>
      <c r="AC80" t="s">
        <v>497</v>
      </c>
      <c r="AD80">
        <v>0</v>
      </c>
      <c r="AE80">
        <v>0</v>
      </c>
      <c r="AF80">
        <v>0</v>
      </c>
      <c r="AG80">
        <v>0</v>
      </c>
      <c r="AH80">
        <f t="shared" si="22"/>
        <v>1</v>
      </c>
      <c r="AI80">
        <f t="shared" si="23"/>
        <v>1</v>
      </c>
      <c r="AJ80">
        <f t="shared" si="24"/>
        <v>0</v>
      </c>
      <c r="AK80">
        <f t="shared" si="25"/>
        <v>0</v>
      </c>
      <c r="AL80">
        <f t="shared" si="26"/>
        <v>0</v>
      </c>
      <c r="AM80">
        <f t="shared" si="27"/>
        <v>0</v>
      </c>
      <c r="AN80">
        <f t="shared" si="28"/>
        <v>1</v>
      </c>
      <c r="AO80">
        <f>SUM(AN$2:$AN80)</f>
        <v>79</v>
      </c>
    </row>
    <row r="81" spans="1:41" x14ac:dyDescent="0.35">
      <c r="A81" t="s">
        <v>189</v>
      </c>
      <c r="B81" t="s">
        <v>798</v>
      </c>
      <c r="C81">
        <v>9450</v>
      </c>
      <c r="D81" t="s">
        <v>1640</v>
      </c>
      <c r="E81">
        <v>462</v>
      </c>
      <c r="F81">
        <v>749</v>
      </c>
      <c r="G81">
        <v>2318</v>
      </c>
      <c r="H81">
        <v>0</v>
      </c>
      <c r="I81">
        <v>0</v>
      </c>
      <c r="J81">
        <v>2060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350</v>
      </c>
      <c r="X81">
        <v>6</v>
      </c>
      <c r="Y81" t="s">
        <v>438</v>
      </c>
      <c r="Z81" t="s">
        <v>1641</v>
      </c>
      <c r="AA81" t="s">
        <v>148</v>
      </c>
      <c r="AB81" t="s">
        <v>149</v>
      </c>
      <c r="AC81" t="s">
        <v>497</v>
      </c>
      <c r="AD81">
        <v>2382</v>
      </c>
      <c r="AE81">
        <v>0</v>
      </c>
      <c r="AF81">
        <v>0</v>
      </c>
      <c r="AG81">
        <v>0</v>
      </c>
      <c r="AH81">
        <f t="shared" si="22"/>
        <v>1</v>
      </c>
      <c r="AI81">
        <f t="shared" si="23"/>
        <v>0</v>
      </c>
      <c r="AJ81">
        <f t="shared" si="24"/>
        <v>0</v>
      </c>
      <c r="AK81">
        <f t="shared" si="25"/>
        <v>1</v>
      </c>
      <c r="AL81">
        <f t="shared" si="26"/>
        <v>0</v>
      </c>
      <c r="AM81">
        <f t="shared" si="27"/>
        <v>0</v>
      </c>
      <c r="AN81">
        <f t="shared" si="28"/>
        <v>1</v>
      </c>
      <c r="AO81">
        <f>SUM(AN$2:$AN81)</f>
        <v>80</v>
      </c>
    </row>
    <row r="82" spans="1:41" x14ac:dyDescent="0.35">
      <c r="A82" t="s">
        <v>189</v>
      </c>
      <c r="B82" t="s">
        <v>1342</v>
      </c>
      <c r="C82">
        <v>9600</v>
      </c>
      <c r="D82" t="s">
        <v>1343</v>
      </c>
      <c r="E82">
        <v>469</v>
      </c>
      <c r="F82">
        <v>761</v>
      </c>
      <c r="G82">
        <v>0</v>
      </c>
      <c r="H82">
        <v>0</v>
      </c>
      <c r="I82">
        <v>2354</v>
      </c>
      <c r="J82">
        <v>2093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 t="s">
        <v>348</v>
      </c>
      <c r="X82">
        <v>6</v>
      </c>
      <c r="Y82" t="s">
        <v>443</v>
      </c>
      <c r="Z82" t="s">
        <v>1642</v>
      </c>
      <c r="AA82" t="s">
        <v>149</v>
      </c>
      <c r="AB82" t="s">
        <v>152</v>
      </c>
      <c r="AC82" t="s">
        <v>497</v>
      </c>
      <c r="AD82">
        <v>2420</v>
      </c>
      <c r="AE82">
        <v>0</v>
      </c>
      <c r="AF82">
        <v>0</v>
      </c>
      <c r="AG82">
        <v>0</v>
      </c>
      <c r="AH82">
        <f t="shared" si="22"/>
        <v>0</v>
      </c>
      <c r="AI82">
        <f t="shared" si="23"/>
        <v>0</v>
      </c>
      <c r="AJ82">
        <f t="shared" si="24"/>
        <v>1</v>
      </c>
      <c r="AK82">
        <f t="shared" si="25"/>
        <v>1</v>
      </c>
      <c r="AL82">
        <f t="shared" si="26"/>
        <v>0</v>
      </c>
      <c r="AM82">
        <f t="shared" si="27"/>
        <v>0</v>
      </c>
      <c r="AN82">
        <f t="shared" si="28"/>
        <v>1</v>
      </c>
      <c r="AO82">
        <f>SUM(AN$2:$AN82)</f>
        <v>81</v>
      </c>
    </row>
    <row r="83" spans="1:41" x14ac:dyDescent="0.35">
      <c r="A83" t="s">
        <v>189</v>
      </c>
      <c r="B83" t="s">
        <v>815</v>
      </c>
      <c r="C83">
        <v>9600</v>
      </c>
      <c r="D83" t="s">
        <v>816</v>
      </c>
      <c r="E83">
        <v>469</v>
      </c>
      <c r="F83">
        <v>761</v>
      </c>
      <c r="G83">
        <v>2354</v>
      </c>
      <c r="H83">
        <v>0</v>
      </c>
      <c r="I83">
        <v>0</v>
      </c>
      <c r="J83">
        <v>0</v>
      </c>
      <c r="K83">
        <v>2093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157</v>
      </c>
      <c r="X83">
        <v>6</v>
      </c>
      <c r="Y83" t="s">
        <v>1336</v>
      </c>
      <c r="Z83" t="s">
        <v>1643</v>
      </c>
      <c r="AA83" t="s">
        <v>150</v>
      </c>
      <c r="AB83" t="s">
        <v>149</v>
      </c>
      <c r="AC83" t="s">
        <v>497</v>
      </c>
      <c r="AD83">
        <v>2420</v>
      </c>
      <c r="AE83">
        <v>0</v>
      </c>
      <c r="AF83">
        <v>0</v>
      </c>
      <c r="AG83">
        <v>0</v>
      </c>
      <c r="AH83">
        <f t="shared" si="22"/>
        <v>1</v>
      </c>
      <c r="AI83">
        <f t="shared" si="23"/>
        <v>0</v>
      </c>
      <c r="AJ83">
        <f t="shared" si="24"/>
        <v>0</v>
      </c>
      <c r="AK83">
        <f t="shared" si="25"/>
        <v>0</v>
      </c>
      <c r="AL83">
        <f t="shared" si="26"/>
        <v>1</v>
      </c>
      <c r="AM83">
        <f t="shared" si="27"/>
        <v>0</v>
      </c>
      <c r="AN83">
        <f t="shared" si="28"/>
        <v>1</v>
      </c>
      <c r="AO83">
        <f>SUM(AN$2:$AN83)</f>
        <v>82</v>
      </c>
    </row>
    <row r="84" spans="1:41" x14ac:dyDescent="0.35">
      <c r="A84" t="s">
        <v>189</v>
      </c>
      <c r="B84" t="s">
        <v>804</v>
      </c>
      <c r="C84">
        <v>9700</v>
      </c>
      <c r="D84" t="s">
        <v>817</v>
      </c>
      <c r="E84">
        <v>0</v>
      </c>
      <c r="F84">
        <v>1716</v>
      </c>
      <c r="G84">
        <v>0</v>
      </c>
      <c r="H84">
        <v>0</v>
      </c>
      <c r="I84">
        <v>2775</v>
      </c>
      <c r="J84">
        <v>2511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 t="s">
        <v>351</v>
      </c>
      <c r="X84">
        <v>3</v>
      </c>
      <c r="Y84" t="s">
        <v>434</v>
      </c>
      <c r="Z84" t="s">
        <v>1644</v>
      </c>
      <c r="AA84" t="s">
        <v>150</v>
      </c>
      <c r="AB84" t="s">
        <v>358</v>
      </c>
      <c r="AC84" t="s">
        <v>497</v>
      </c>
      <c r="AD84">
        <v>0</v>
      </c>
      <c r="AE84">
        <v>0</v>
      </c>
      <c r="AF84">
        <v>0</v>
      </c>
      <c r="AG84">
        <v>0</v>
      </c>
      <c r="AH84">
        <f t="shared" si="22"/>
        <v>0</v>
      </c>
      <c r="AI84">
        <f t="shared" si="23"/>
        <v>0</v>
      </c>
      <c r="AJ84">
        <f t="shared" si="24"/>
        <v>1</v>
      </c>
      <c r="AK84">
        <f t="shared" si="25"/>
        <v>1</v>
      </c>
      <c r="AL84">
        <f t="shared" si="26"/>
        <v>0</v>
      </c>
      <c r="AM84">
        <f t="shared" si="27"/>
        <v>0</v>
      </c>
      <c r="AN84">
        <f t="shared" si="28"/>
        <v>1</v>
      </c>
      <c r="AO84">
        <f>SUM(AN$2:$AN84)</f>
        <v>83</v>
      </c>
    </row>
    <row r="85" spans="1:41" x14ac:dyDescent="0.35">
      <c r="A85" t="s">
        <v>189</v>
      </c>
      <c r="B85" t="s">
        <v>804</v>
      </c>
      <c r="C85">
        <v>9700</v>
      </c>
      <c r="D85" t="s">
        <v>818</v>
      </c>
      <c r="E85">
        <v>0</v>
      </c>
      <c r="F85">
        <v>2012</v>
      </c>
      <c r="G85">
        <v>0</v>
      </c>
      <c r="H85">
        <v>0</v>
      </c>
      <c r="I85">
        <v>0</v>
      </c>
      <c r="J85">
        <v>0</v>
      </c>
      <c r="K85">
        <v>4560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 t="s">
        <v>327</v>
      </c>
      <c r="X85">
        <v>3</v>
      </c>
      <c r="Y85" t="s">
        <v>434</v>
      </c>
      <c r="Z85" t="s">
        <v>1645</v>
      </c>
      <c r="AA85" t="s">
        <v>152</v>
      </c>
      <c r="AB85" t="s">
        <v>153</v>
      </c>
      <c r="AC85" t="s">
        <v>497</v>
      </c>
      <c r="AD85">
        <v>0</v>
      </c>
      <c r="AE85">
        <v>0</v>
      </c>
      <c r="AF85">
        <v>0</v>
      </c>
      <c r="AG85">
        <v>0</v>
      </c>
      <c r="AH85">
        <f t="shared" si="22"/>
        <v>0</v>
      </c>
      <c r="AI85">
        <f t="shared" si="23"/>
        <v>0</v>
      </c>
      <c r="AJ85">
        <f t="shared" si="24"/>
        <v>0</v>
      </c>
      <c r="AK85">
        <f t="shared" si="25"/>
        <v>0</v>
      </c>
      <c r="AL85">
        <f t="shared" si="26"/>
        <v>1</v>
      </c>
      <c r="AM85">
        <f t="shared" si="27"/>
        <v>0</v>
      </c>
      <c r="AN85">
        <f t="shared" si="28"/>
        <v>1</v>
      </c>
      <c r="AO85">
        <f>SUM(AN$2:$AN85)</f>
        <v>84</v>
      </c>
    </row>
    <row r="86" spans="1:41" x14ac:dyDescent="0.35">
      <c r="A86" t="s">
        <v>189</v>
      </c>
      <c r="B86" t="s">
        <v>804</v>
      </c>
      <c r="C86">
        <v>9700</v>
      </c>
      <c r="D86" t="s">
        <v>2593</v>
      </c>
      <c r="E86">
        <v>0</v>
      </c>
      <c r="F86">
        <v>1716</v>
      </c>
      <c r="G86">
        <v>2511</v>
      </c>
      <c r="H86">
        <v>1322</v>
      </c>
      <c r="I86">
        <v>0</v>
      </c>
      <c r="J86">
        <v>0</v>
      </c>
      <c r="K86">
        <v>1322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 t="s">
        <v>2594</v>
      </c>
      <c r="X86">
        <v>3</v>
      </c>
      <c r="Y86" t="s">
        <v>434</v>
      </c>
      <c r="Z86" t="s">
        <v>1646</v>
      </c>
      <c r="AA86" t="s">
        <v>152</v>
      </c>
      <c r="AB86" t="s">
        <v>153</v>
      </c>
      <c r="AC86" t="s">
        <v>497</v>
      </c>
      <c r="AD86">
        <v>0</v>
      </c>
      <c r="AE86">
        <v>0</v>
      </c>
      <c r="AF86">
        <v>0</v>
      </c>
      <c r="AG86">
        <v>0</v>
      </c>
      <c r="AH86">
        <f t="shared" si="22"/>
        <v>1</v>
      </c>
      <c r="AI86">
        <f t="shared" si="23"/>
        <v>1</v>
      </c>
      <c r="AJ86">
        <f t="shared" si="24"/>
        <v>0</v>
      </c>
      <c r="AK86">
        <f t="shared" si="25"/>
        <v>0</v>
      </c>
      <c r="AL86">
        <f t="shared" si="26"/>
        <v>1</v>
      </c>
      <c r="AM86">
        <f t="shared" si="27"/>
        <v>0</v>
      </c>
      <c r="AN86">
        <f t="shared" si="28"/>
        <v>1</v>
      </c>
      <c r="AO86">
        <f>SUM(AN$2:$AN86)</f>
        <v>85</v>
      </c>
    </row>
    <row r="87" spans="1:41" x14ac:dyDescent="0.35">
      <c r="A87" t="s">
        <v>189</v>
      </c>
      <c r="B87" t="s">
        <v>807</v>
      </c>
      <c r="C87">
        <v>10000</v>
      </c>
      <c r="D87" t="s">
        <v>1647</v>
      </c>
      <c r="E87">
        <v>489</v>
      </c>
      <c r="F87">
        <v>793</v>
      </c>
      <c r="G87">
        <v>0</v>
      </c>
      <c r="H87">
        <v>0</v>
      </c>
      <c r="I87">
        <v>0</v>
      </c>
      <c r="J87">
        <v>2453</v>
      </c>
      <c r="K87">
        <v>2180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0</v>
      </c>
      <c r="V87">
        <v>0</v>
      </c>
      <c r="W87" t="s">
        <v>347</v>
      </c>
      <c r="X87">
        <v>6</v>
      </c>
      <c r="Y87" t="s">
        <v>435</v>
      </c>
      <c r="Z87" t="s">
        <v>1648</v>
      </c>
      <c r="AA87" t="s">
        <v>152</v>
      </c>
      <c r="AB87" t="s">
        <v>358</v>
      </c>
      <c r="AC87" t="s">
        <v>497</v>
      </c>
      <c r="AD87">
        <v>2521</v>
      </c>
      <c r="AE87">
        <v>0</v>
      </c>
      <c r="AF87">
        <v>0</v>
      </c>
      <c r="AG87">
        <v>0</v>
      </c>
      <c r="AH87">
        <f t="shared" si="22"/>
        <v>0</v>
      </c>
      <c r="AI87">
        <f t="shared" si="23"/>
        <v>0</v>
      </c>
      <c r="AJ87">
        <f t="shared" si="24"/>
        <v>0</v>
      </c>
      <c r="AK87">
        <f t="shared" si="25"/>
        <v>1</v>
      </c>
      <c r="AL87">
        <f t="shared" si="26"/>
        <v>1</v>
      </c>
      <c r="AM87">
        <f t="shared" si="27"/>
        <v>0</v>
      </c>
      <c r="AN87">
        <f t="shared" si="28"/>
        <v>1</v>
      </c>
      <c r="AO87">
        <f>SUM(AN$2:$AN87)</f>
        <v>86</v>
      </c>
    </row>
    <row r="88" spans="1:41" x14ac:dyDescent="0.35">
      <c r="A88" t="s">
        <v>189</v>
      </c>
      <c r="B88" t="s">
        <v>808</v>
      </c>
      <c r="C88">
        <v>10000</v>
      </c>
      <c r="D88" t="s">
        <v>1649</v>
      </c>
      <c r="E88">
        <v>489</v>
      </c>
      <c r="F88">
        <v>793</v>
      </c>
      <c r="G88">
        <v>0</v>
      </c>
      <c r="H88">
        <v>0</v>
      </c>
      <c r="I88">
        <v>2453</v>
      </c>
      <c r="J88">
        <v>2180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 t="s">
        <v>348</v>
      </c>
      <c r="X88">
        <v>6</v>
      </c>
      <c r="Y88" t="s">
        <v>435</v>
      </c>
      <c r="Z88" t="s">
        <v>1650</v>
      </c>
      <c r="AA88" t="s">
        <v>149</v>
      </c>
      <c r="AB88" t="s">
        <v>152</v>
      </c>
      <c r="AC88" t="s">
        <v>497</v>
      </c>
      <c r="AD88">
        <v>2521</v>
      </c>
      <c r="AE88">
        <v>0</v>
      </c>
      <c r="AF88">
        <v>0</v>
      </c>
      <c r="AG88">
        <v>0</v>
      </c>
      <c r="AH88">
        <f t="shared" ref="AH88" si="29">IF(G88&gt;1,1,0)</f>
        <v>0</v>
      </c>
      <c r="AI88">
        <f t="shared" ref="AI88" si="30">IF(H88&gt;1,1,0)</f>
        <v>0</v>
      </c>
      <c r="AJ88">
        <f t="shared" ref="AJ88" si="31">IF(I88&gt;1,1,0)</f>
        <v>1</v>
      </c>
      <c r="AK88">
        <f t="shared" ref="AK88" si="32">IF(J88&gt;1,1,0)</f>
        <v>1</v>
      </c>
      <c r="AL88">
        <f t="shared" ref="AL88" si="33">IF(K88&gt;1,1,0)</f>
        <v>0</v>
      </c>
      <c r="AM88">
        <f t="shared" ref="AM88" si="34">IF(L88&gt;1,1,0)</f>
        <v>0</v>
      </c>
      <c r="AN88">
        <f t="shared" ref="AN88" si="35">MIN(1,($AV$2+IF(AND(AH88&gt;=$AP$3,AI88&gt;=$AQ$3,AJ88&gt;=$AR$3,AK88&gt;=$AS$3,AL88&gt;=$AT$3,AM88&gt;=$AU$3),1,0)))</f>
        <v>1</v>
      </c>
      <c r="AO88">
        <f>SUM(AN$2:$AN88)</f>
        <v>87</v>
      </c>
    </row>
    <row r="89" spans="1:41" x14ac:dyDescent="0.35">
      <c r="A89" t="s">
        <v>189</v>
      </c>
      <c r="B89" t="s">
        <v>819</v>
      </c>
      <c r="C89">
        <v>10000</v>
      </c>
      <c r="D89" t="s">
        <v>820</v>
      </c>
      <c r="E89">
        <v>489</v>
      </c>
      <c r="F89">
        <v>793</v>
      </c>
      <c r="G89">
        <v>0</v>
      </c>
      <c r="H89">
        <v>0</v>
      </c>
      <c r="I89">
        <v>2453</v>
      </c>
      <c r="J89">
        <v>2180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 t="s">
        <v>348</v>
      </c>
      <c r="X89">
        <v>6</v>
      </c>
      <c r="Y89" t="s">
        <v>443</v>
      </c>
      <c r="Z89" t="s">
        <v>1651</v>
      </c>
      <c r="AA89" t="s">
        <v>149</v>
      </c>
      <c r="AB89" t="s">
        <v>152</v>
      </c>
      <c r="AC89" t="s">
        <v>497</v>
      </c>
      <c r="AD89">
        <v>2521</v>
      </c>
      <c r="AE89">
        <v>0</v>
      </c>
      <c r="AF89">
        <v>0</v>
      </c>
      <c r="AG89">
        <v>0</v>
      </c>
      <c r="AH89">
        <f t="shared" si="22"/>
        <v>0</v>
      </c>
      <c r="AI89">
        <f t="shared" si="23"/>
        <v>0</v>
      </c>
      <c r="AJ89">
        <f t="shared" si="24"/>
        <v>1</v>
      </c>
      <c r="AK89">
        <f t="shared" si="25"/>
        <v>1</v>
      </c>
      <c r="AL89">
        <f t="shared" si="26"/>
        <v>0</v>
      </c>
      <c r="AM89">
        <f t="shared" si="27"/>
        <v>0</v>
      </c>
      <c r="AN89">
        <f t="shared" si="28"/>
        <v>1</v>
      </c>
      <c r="AO89">
        <f>SUM(AN$2:$AN89)</f>
        <v>88</v>
      </c>
    </row>
    <row r="90" spans="1:41" x14ac:dyDescent="0.35">
      <c r="A90" t="s">
        <v>189</v>
      </c>
      <c r="B90" t="s">
        <v>809</v>
      </c>
      <c r="C90">
        <v>10000</v>
      </c>
      <c r="D90" t="s">
        <v>1652</v>
      </c>
      <c r="E90">
        <v>489</v>
      </c>
      <c r="F90">
        <v>793</v>
      </c>
      <c r="G90">
        <v>0</v>
      </c>
      <c r="H90">
        <v>0</v>
      </c>
      <c r="I90">
        <v>0</v>
      </c>
      <c r="J90">
        <v>2180</v>
      </c>
      <c r="K90">
        <v>0</v>
      </c>
      <c r="L90">
        <v>2453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349</v>
      </c>
      <c r="X90">
        <v>6</v>
      </c>
      <c r="Y90" t="s">
        <v>435</v>
      </c>
      <c r="Z90" t="s">
        <v>1653</v>
      </c>
      <c r="AA90" t="s">
        <v>150</v>
      </c>
      <c r="AB90" t="s">
        <v>149</v>
      </c>
      <c r="AC90" t="s">
        <v>497</v>
      </c>
      <c r="AD90">
        <v>2521</v>
      </c>
      <c r="AE90">
        <v>0</v>
      </c>
      <c r="AF90">
        <v>0</v>
      </c>
      <c r="AG90">
        <v>0</v>
      </c>
      <c r="AH90">
        <f t="shared" si="22"/>
        <v>0</v>
      </c>
      <c r="AI90">
        <f t="shared" si="23"/>
        <v>0</v>
      </c>
      <c r="AJ90">
        <f t="shared" si="24"/>
        <v>0</v>
      </c>
      <c r="AK90">
        <f t="shared" si="25"/>
        <v>1</v>
      </c>
      <c r="AL90">
        <f t="shared" si="26"/>
        <v>0</v>
      </c>
      <c r="AM90">
        <f t="shared" si="27"/>
        <v>1</v>
      </c>
      <c r="AN90">
        <f t="shared" si="28"/>
        <v>1</v>
      </c>
      <c r="AO90">
        <f>SUM(AN$2:$AN90)</f>
        <v>89</v>
      </c>
    </row>
    <row r="91" spans="1:41" x14ac:dyDescent="0.35">
      <c r="A91" t="s">
        <v>189</v>
      </c>
      <c r="B91" t="s">
        <v>810</v>
      </c>
      <c r="C91">
        <v>10000</v>
      </c>
      <c r="D91" t="s">
        <v>1654</v>
      </c>
      <c r="E91">
        <v>489</v>
      </c>
      <c r="F91">
        <v>793</v>
      </c>
      <c r="G91">
        <v>0</v>
      </c>
      <c r="H91">
        <v>0</v>
      </c>
      <c r="I91">
        <v>0</v>
      </c>
      <c r="J91">
        <v>0</v>
      </c>
      <c r="K91">
        <v>2180</v>
      </c>
      <c r="L91">
        <v>2453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 t="s">
        <v>158</v>
      </c>
      <c r="X91">
        <v>6</v>
      </c>
      <c r="Y91" t="s">
        <v>435</v>
      </c>
      <c r="Z91" t="s">
        <v>1655</v>
      </c>
      <c r="AA91" t="s">
        <v>152</v>
      </c>
      <c r="AB91" t="s">
        <v>148</v>
      </c>
      <c r="AC91" t="s">
        <v>497</v>
      </c>
      <c r="AD91">
        <v>2521</v>
      </c>
      <c r="AE91">
        <v>0</v>
      </c>
      <c r="AF91">
        <v>0</v>
      </c>
      <c r="AG91">
        <v>0</v>
      </c>
      <c r="AH91">
        <f t="shared" si="22"/>
        <v>0</v>
      </c>
      <c r="AI91">
        <f t="shared" si="23"/>
        <v>0</v>
      </c>
      <c r="AJ91">
        <f t="shared" si="24"/>
        <v>0</v>
      </c>
      <c r="AK91">
        <f t="shared" si="25"/>
        <v>0</v>
      </c>
      <c r="AL91">
        <f t="shared" si="26"/>
        <v>1</v>
      </c>
      <c r="AM91">
        <f t="shared" si="27"/>
        <v>1</v>
      </c>
      <c r="AN91">
        <f t="shared" si="28"/>
        <v>1</v>
      </c>
      <c r="AO91">
        <f>SUM(AN$2:$AN91)</f>
        <v>90</v>
      </c>
    </row>
    <row r="92" spans="1:41" x14ac:dyDescent="0.35">
      <c r="A92" t="s">
        <v>189</v>
      </c>
      <c r="B92" t="s">
        <v>811</v>
      </c>
      <c r="C92">
        <v>10000</v>
      </c>
      <c r="D92" t="s">
        <v>1656</v>
      </c>
      <c r="E92">
        <v>489</v>
      </c>
      <c r="F92">
        <v>793</v>
      </c>
      <c r="G92">
        <v>0</v>
      </c>
      <c r="H92">
        <v>0</v>
      </c>
      <c r="I92">
        <v>2453</v>
      </c>
      <c r="J92">
        <v>0</v>
      </c>
      <c r="K92">
        <v>2180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 t="s">
        <v>159</v>
      </c>
      <c r="X92">
        <v>6</v>
      </c>
      <c r="Y92" t="s">
        <v>435</v>
      </c>
      <c r="Z92" t="s">
        <v>1657</v>
      </c>
      <c r="AA92" t="s">
        <v>153</v>
      </c>
      <c r="AB92" t="s">
        <v>148</v>
      </c>
      <c r="AC92" t="s">
        <v>497</v>
      </c>
      <c r="AD92">
        <v>2521</v>
      </c>
      <c r="AE92">
        <v>0</v>
      </c>
      <c r="AF92">
        <v>0</v>
      </c>
      <c r="AG92">
        <v>0</v>
      </c>
      <c r="AH92">
        <f t="shared" si="22"/>
        <v>0</v>
      </c>
      <c r="AI92">
        <f t="shared" si="23"/>
        <v>0</v>
      </c>
      <c r="AJ92">
        <f t="shared" si="24"/>
        <v>1</v>
      </c>
      <c r="AK92">
        <f t="shared" si="25"/>
        <v>0</v>
      </c>
      <c r="AL92">
        <f t="shared" si="26"/>
        <v>1</v>
      </c>
      <c r="AM92">
        <f t="shared" si="27"/>
        <v>0</v>
      </c>
      <c r="AN92">
        <f t="shared" si="28"/>
        <v>1</v>
      </c>
      <c r="AO92">
        <f>SUM(AN$2:$AN92)</f>
        <v>91</v>
      </c>
    </row>
    <row r="93" spans="1:41" x14ac:dyDescent="0.35">
      <c r="A93" t="s">
        <v>189</v>
      </c>
      <c r="B93" t="s">
        <v>812</v>
      </c>
      <c r="C93">
        <v>10000</v>
      </c>
      <c r="D93" t="s">
        <v>1658</v>
      </c>
      <c r="E93">
        <v>489</v>
      </c>
      <c r="F93">
        <v>793</v>
      </c>
      <c r="G93">
        <v>0</v>
      </c>
      <c r="H93">
        <v>0</v>
      </c>
      <c r="I93">
        <v>2453</v>
      </c>
      <c r="J93">
        <v>0</v>
      </c>
      <c r="K93">
        <v>2180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 t="s">
        <v>159</v>
      </c>
      <c r="X93">
        <v>6</v>
      </c>
      <c r="Y93" t="s">
        <v>435</v>
      </c>
      <c r="Z93" t="s">
        <v>1659</v>
      </c>
      <c r="AA93" t="s">
        <v>153</v>
      </c>
      <c r="AB93" t="s">
        <v>148</v>
      </c>
      <c r="AC93" t="s">
        <v>497</v>
      </c>
      <c r="AD93">
        <v>2521</v>
      </c>
      <c r="AE93">
        <v>0</v>
      </c>
      <c r="AF93">
        <v>0</v>
      </c>
      <c r="AG93">
        <v>0</v>
      </c>
      <c r="AH93">
        <f t="shared" si="22"/>
        <v>0</v>
      </c>
      <c r="AI93">
        <f t="shared" si="23"/>
        <v>0</v>
      </c>
      <c r="AJ93">
        <f t="shared" si="24"/>
        <v>1</v>
      </c>
      <c r="AK93">
        <f t="shared" si="25"/>
        <v>0</v>
      </c>
      <c r="AL93">
        <f t="shared" si="26"/>
        <v>1</v>
      </c>
      <c r="AM93">
        <f t="shared" si="27"/>
        <v>0</v>
      </c>
      <c r="AN93">
        <f t="shared" si="28"/>
        <v>1</v>
      </c>
      <c r="AO93">
        <f>SUM(AN$2:$AN93)</f>
        <v>92</v>
      </c>
    </row>
    <row r="94" spans="1:41" x14ac:dyDescent="0.35">
      <c r="A94" t="s">
        <v>189</v>
      </c>
      <c r="B94" t="s">
        <v>821</v>
      </c>
      <c r="C94">
        <v>10000</v>
      </c>
      <c r="D94" t="s">
        <v>822</v>
      </c>
      <c r="E94">
        <v>489</v>
      </c>
      <c r="F94">
        <v>793</v>
      </c>
      <c r="G94">
        <v>2453</v>
      </c>
      <c r="H94">
        <v>0</v>
      </c>
      <c r="I94">
        <v>0</v>
      </c>
      <c r="J94">
        <v>2180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350</v>
      </c>
      <c r="X94">
        <v>6</v>
      </c>
      <c r="Y94" t="s">
        <v>440</v>
      </c>
      <c r="Z94" t="s">
        <v>1660</v>
      </c>
      <c r="AA94" t="s">
        <v>148</v>
      </c>
      <c r="AB94" t="s">
        <v>149</v>
      </c>
      <c r="AC94" t="s">
        <v>497</v>
      </c>
      <c r="AD94">
        <v>2521</v>
      </c>
      <c r="AE94">
        <v>0</v>
      </c>
      <c r="AF94">
        <v>0</v>
      </c>
      <c r="AG94">
        <v>0</v>
      </c>
      <c r="AH94">
        <f t="shared" si="22"/>
        <v>1</v>
      </c>
      <c r="AI94">
        <f t="shared" si="23"/>
        <v>0</v>
      </c>
      <c r="AJ94">
        <f t="shared" si="24"/>
        <v>0</v>
      </c>
      <c r="AK94">
        <f t="shared" si="25"/>
        <v>1</v>
      </c>
      <c r="AL94">
        <f t="shared" si="26"/>
        <v>0</v>
      </c>
      <c r="AM94">
        <f t="shared" si="27"/>
        <v>0</v>
      </c>
      <c r="AN94">
        <f t="shared" si="28"/>
        <v>1</v>
      </c>
      <c r="AO94">
        <f>SUM(AN$2:$AN94)</f>
        <v>93</v>
      </c>
    </row>
    <row r="95" spans="1:41" x14ac:dyDescent="0.35">
      <c r="A95" t="s">
        <v>189</v>
      </c>
      <c r="B95" t="s">
        <v>1344</v>
      </c>
      <c r="C95">
        <v>10000</v>
      </c>
      <c r="D95" t="s">
        <v>1345</v>
      </c>
      <c r="E95">
        <v>489</v>
      </c>
      <c r="F95">
        <v>793</v>
      </c>
      <c r="G95">
        <v>2453</v>
      </c>
      <c r="H95">
        <v>0</v>
      </c>
      <c r="I95">
        <v>0</v>
      </c>
      <c r="J95">
        <v>2180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350</v>
      </c>
      <c r="X95">
        <v>6</v>
      </c>
      <c r="Y95" t="s">
        <v>439</v>
      </c>
      <c r="Z95" t="s">
        <v>1661</v>
      </c>
      <c r="AA95" t="s">
        <v>148</v>
      </c>
      <c r="AB95" t="s">
        <v>149</v>
      </c>
      <c r="AC95" t="s">
        <v>497</v>
      </c>
      <c r="AD95">
        <v>2521</v>
      </c>
      <c r="AE95">
        <v>0</v>
      </c>
      <c r="AF95">
        <v>0</v>
      </c>
      <c r="AG95">
        <v>0</v>
      </c>
      <c r="AH95">
        <f t="shared" si="22"/>
        <v>1</v>
      </c>
      <c r="AI95">
        <f t="shared" si="23"/>
        <v>0</v>
      </c>
      <c r="AJ95">
        <f t="shared" si="24"/>
        <v>0</v>
      </c>
      <c r="AK95">
        <f t="shared" si="25"/>
        <v>1</v>
      </c>
      <c r="AL95">
        <f t="shared" si="26"/>
        <v>0</v>
      </c>
      <c r="AM95">
        <f t="shared" si="27"/>
        <v>0</v>
      </c>
      <c r="AN95">
        <f t="shared" si="28"/>
        <v>1</v>
      </c>
      <c r="AO95">
        <f>SUM(AN$2:$AN95)</f>
        <v>94</v>
      </c>
    </row>
    <row r="96" spans="1:41" x14ac:dyDescent="0.35">
      <c r="A96" t="s">
        <v>189</v>
      </c>
      <c r="B96" t="s">
        <v>813</v>
      </c>
      <c r="C96">
        <v>10000</v>
      </c>
      <c r="D96" t="s">
        <v>1662</v>
      </c>
      <c r="E96">
        <v>489</v>
      </c>
      <c r="F96">
        <v>793</v>
      </c>
      <c r="G96">
        <v>2453</v>
      </c>
      <c r="H96">
        <v>0</v>
      </c>
      <c r="I96">
        <v>0</v>
      </c>
      <c r="J96">
        <v>0</v>
      </c>
      <c r="K96">
        <v>2180</v>
      </c>
      <c r="L96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157</v>
      </c>
      <c r="X96">
        <v>6</v>
      </c>
      <c r="Y96" t="s">
        <v>435</v>
      </c>
      <c r="Z96" t="s">
        <v>1663</v>
      </c>
      <c r="AA96" t="s">
        <v>150</v>
      </c>
      <c r="AB96" t="s">
        <v>149</v>
      </c>
      <c r="AC96" t="s">
        <v>497</v>
      </c>
      <c r="AD96">
        <v>2521</v>
      </c>
      <c r="AE96">
        <v>0</v>
      </c>
      <c r="AF96">
        <v>0</v>
      </c>
      <c r="AG96">
        <v>0</v>
      </c>
      <c r="AH96">
        <f t="shared" si="22"/>
        <v>1</v>
      </c>
      <c r="AI96">
        <f t="shared" si="23"/>
        <v>0</v>
      </c>
      <c r="AJ96">
        <f t="shared" si="24"/>
        <v>0</v>
      </c>
      <c r="AK96">
        <f t="shared" si="25"/>
        <v>0</v>
      </c>
      <c r="AL96">
        <f t="shared" si="26"/>
        <v>1</v>
      </c>
      <c r="AM96">
        <f t="shared" si="27"/>
        <v>0</v>
      </c>
      <c r="AN96">
        <f t="shared" si="28"/>
        <v>1</v>
      </c>
      <c r="AO96">
        <f>SUM(AN$2:$AN96)</f>
        <v>95</v>
      </c>
    </row>
    <row r="97" spans="1:41" x14ac:dyDescent="0.35">
      <c r="A97" t="s">
        <v>189</v>
      </c>
      <c r="B97" t="s">
        <v>804</v>
      </c>
      <c r="C97">
        <v>10000</v>
      </c>
      <c r="D97" t="s">
        <v>823</v>
      </c>
      <c r="E97">
        <v>0</v>
      </c>
      <c r="F97">
        <v>1769</v>
      </c>
      <c r="G97">
        <v>2725</v>
      </c>
      <c r="H97">
        <v>0</v>
      </c>
      <c r="I97">
        <v>2725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t="s">
        <v>420</v>
      </c>
      <c r="X97">
        <v>3</v>
      </c>
      <c r="Y97" t="s">
        <v>434</v>
      </c>
      <c r="Z97" t="s">
        <v>1664</v>
      </c>
      <c r="AA97" t="s">
        <v>358</v>
      </c>
      <c r="AB97" t="s">
        <v>149</v>
      </c>
      <c r="AC97" t="s">
        <v>497</v>
      </c>
      <c r="AD97">
        <v>0</v>
      </c>
      <c r="AE97">
        <v>0</v>
      </c>
      <c r="AF97">
        <v>0</v>
      </c>
      <c r="AG97">
        <v>0</v>
      </c>
      <c r="AH97">
        <f t="shared" si="22"/>
        <v>1</v>
      </c>
      <c r="AI97">
        <f t="shared" si="23"/>
        <v>0</v>
      </c>
      <c r="AJ97">
        <f t="shared" si="24"/>
        <v>1</v>
      </c>
      <c r="AK97">
        <f t="shared" si="25"/>
        <v>0</v>
      </c>
      <c r="AL97">
        <f t="shared" si="26"/>
        <v>0</v>
      </c>
      <c r="AM97">
        <f t="shared" si="27"/>
        <v>0</v>
      </c>
      <c r="AN97">
        <f t="shared" si="28"/>
        <v>1</v>
      </c>
      <c r="AO97">
        <f>SUM(AN$2:$AN97)</f>
        <v>96</v>
      </c>
    </row>
    <row r="98" spans="1:41" x14ac:dyDescent="0.35">
      <c r="A98" t="s">
        <v>189</v>
      </c>
      <c r="B98" t="s">
        <v>804</v>
      </c>
      <c r="C98">
        <v>10000</v>
      </c>
      <c r="D98" t="s">
        <v>2595</v>
      </c>
      <c r="E98">
        <v>0</v>
      </c>
      <c r="F98">
        <v>1769</v>
      </c>
      <c r="G98">
        <v>2044</v>
      </c>
      <c r="H98">
        <v>1363</v>
      </c>
      <c r="I98">
        <v>1908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0</v>
      </c>
      <c r="W98" t="s">
        <v>2583</v>
      </c>
      <c r="X98">
        <v>3</v>
      </c>
      <c r="Y98" t="s">
        <v>434</v>
      </c>
      <c r="Z98" t="s">
        <v>1665</v>
      </c>
      <c r="AA98" t="s">
        <v>358</v>
      </c>
      <c r="AB98" t="s">
        <v>152</v>
      </c>
      <c r="AC98" t="s">
        <v>497</v>
      </c>
      <c r="AD98">
        <v>0</v>
      </c>
      <c r="AE98">
        <v>0</v>
      </c>
      <c r="AF98">
        <v>0</v>
      </c>
      <c r="AG98">
        <v>0</v>
      </c>
      <c r="AH98">
        <f t="shared" ref="AH98" si="36">IF(G98&gt;1,1,0)</f>
        <v>1</v>
      </c>
      <c r="AI98">
        <f t="shared" ref="AI98" si="37">IF(H98&gt;1,1,0)</f>
        <v>1</v>
      </c>
      <c r="AJ98">
        <f t="shared" ref="AJ98" si="38">IF(I98&gt;1,1,0)</f>
        <v>1</v>
      </c>
      <c r="AK98">
        <f t="shared" ref="AK98" si="39">IF(J98&gt;1,1,0)</f>
        <v>0</v>
      </c>
      <c r="AL98">
        <f t="shared" ref="AL98" si="40">IF(K98&gt;1,1,0)</f>
        <v>0</v>
      </c>
      <c r="AM98">
        <f t="shared" ref="AM98" si="41">IF(L98&gt;1,1,0)</f>
        <v>0</v>
      </c>
      <c r="AN98">
        <f t="shared" ref="AN98" si="42">MIN(1,($AV$2+IF(AND(AH98&gt;=$AP$3,AI98&gt;=$AQ$3,AJ98&gt;=$AR$3,AK98&gt;=$AS$3,AL98&gt;=$AT$3,AM98&gt;=$AU$3),1,0)))</f>
        <v>1</v>
      </c>
      <c r="AO98">
        <f>SUM(AN$2:$AN98)</f>
        <v>97</v>
      </c>
    </row>
    <row r="99" spans="1:41" x14ac:dyDescent="0.35">
      <c r="A99" t="s">
        <v>189</v>
      </c>
      <c r="B99" t="s">
        <v>804</v>
      </c>
      <c r="C99">
        <v>10000</v>
      </c>
      <c r="D99" t="s">
        <v>824</v>
      </c>
      <c r="E99">
        <v>0</v>
      </c>
      <c r="F99">
        <v>2074</v>
      </c>
      <c r="G99">
        <v>4701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 t="s">
        <v>331</v>
      </c>
      <c r="X99">
        <v>3</v>
      </c>
      <c r="Y99" t="s">
        <v>434</v>
      </c>
      <c r="Z99" t="s">
        <v>1666</v>
      </c>
      <c r="AA99" t="s">
        <v>151</v>
      </c>
      <c r="AB99" t="s">
        <v>150</v>
      </c>
      <c r="AC99" t="s">
        <v>497</v>
      </c>
      <c r="AD99">
        <v>0</v>
      </c>
      <c r="AE99">
        <v>0</v>
      </c>
      <c r="AF99">
        <v>0</v>
      </c>
      <c r="AG99">
        <v>0</v>
      </c>
      <c r="AH99">
        <f t="shared" si="22"/>
        <v>1</v>
      </c>
      <c r="AI99">
        <f t="shared" si="23"/>
        <v>0</v>
      </c>
      <c r="AJ99">
        <f t="shared" si="24"/>
        <v>0</v>
      </c>
      <c r="AK99">
        <f t="shared" si="25"/>
        <v>0</v>
      </c>
      <c r="AL99">
        <f t="shared" si="26"/>
        <v>0</v>
      </c>
      <c r="AM99">
        <f t="shared" si="27"/>
        <v>0</v>
      </c>
      <c r="AN99">
        <f t="shared" si="28"/>
        <v>1</v>
      </c>
      <c r="AO99">
        <f>SUM(AN$2:$AN99)</f>
        <v>98</v>
      </c>
    </row>
    <row r="100" spans="1:41" x14ac:dyDescent="0.35">
      <c r="A100" t="s">
        <v>189</v>
      </c>
      <c r="B100" t="s">
        <v>798</v>
      </c>
      <c r="C100">
        <v>10100</v>
      </c>
      <c r="D100" t="s">
        <v>1667</v>
      </c>
      <c r="E100">
        <v>494</v>
      </c>
      <c r="F100">
        <v>801</v>
      </c>
      <c r="G100">
        <v>2477</v>
      </c>
      <c r="H100">
        <v>0</v>
      </c>
      <c r="I100">
        <v>0</v>
      </c>
      <c r="J100">
        <v>2202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350</v>
      </c>
      <c r="X100">
        <v>6</v>
      </c>
      <c r="Y100" t="s">
        <v>438</v>
      </c>
      <c r="Z100" t="s">
        <v>1668</v>
      </c>
      <c r="AA100" t="s">
        <v>148</v>
      </c>
      <c r="AB100" t="s">
        <v>149</v>
      </c>
      <c r="AC100" t="s">
        <v>497</v>
      </c>
      <c r="AD100">
        <v>2546</v>
      </c>
      <c r="AE100">
        <v>0</v>
      </c>
      <c r="AF100">
        <v>0</v>
      </c>
      <c r="AG100">
        <v>0</v>
      </c>
      <c r="AH100">
        <f t="shared" si="22"/>
        <v>1</v>
      </c>
      <c r="AI100">
        <f t="shared" si="23"/>
        <v>0</v>
      </c>
      <c r="AJ100">
        <f t="shared" si="24"/>
        <v>0</v>
      </c>
      <c r="AK100">
        <f t="shared" si="25"/>
        <v>1</v>
      </c>
      <c r="AL100">
        <f t="shared" si="26"/>
        <v>0</v>
      </c>
      <c r="AM100">
        <f t="shared" si="27"/>
        <v>0</v>
      </c>
      <c r="AN100">
        <f t="shared" si="28"/>
        <v>1</v>
      </c>
      <c r="AO100">
        <f>SUM(AN$2:$AN100)</f>
        <v>99</v>
      </c>
    </row>
    <row r="101" spans="1:41" x14ac:dyDescent="0.35">
      <c r="A101" t="s">
        <v>189</v>
      </c>
      <c r="B101" t="s">
        <v>825</v>
      </c>
      <c r="C101">
        <v>10150</v>
      </c>
      <c r="D101" t="s">
        <v>826</v>
      </c>
      <c r="E101">
        <v>496</v>
      </c>
      <c r="F101">
        <v>805</v>
      </c>
      <c r="G101">
        <v>0</v>
      </c>
      <c r="H101">
        <v>0</v>
      </c>
      <c r="I101">
        <v>2489</v>
      </c>
      <c r="J101">
        <v>2213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 t="s">
        <v>348</v>
      </c>
      <c r="X101">
        <v>6</v>
      </c>
      <c r="Y101" t="s">
        <v>441</v>
      </c>
      <c r="Z101" t="s">
        <v>1669</v>
      </c>
      <c r="AA101" t="s">
        <v>149</v>
      </c>
      <c r="AB101" t="s">
        <v>152</v>
      </c>
      <c r="AC101" t="s">
        <v>497</v>
      </c>
      <c r="AD101">
        <v>2558</v>
      </c>
      <c r="AE101">
        <v>0</v>
      </c>
      <c r="AF101">
        <v>0</v>
      </c>
      <c r="AG101">
        <v>0</v>
      </c>
      <c r="AH101">
        <f t="shared" si="22"/>
        <v>0</v>
      </c>
      <c r="AI101">
        <f t="shared" si="23"/>
        <v>0</v>
      </c>
      <c r="AJ101">
        <f t="shared" si="24"/>
        <v>1</v>
      </c>
      <c r="AK101">
        <f t="shared" si="25"/>
        <v>1</v>
      </c>
      <c r="AL101">
        <f t="shared" si="26"/>
        <v>0</v>
      </c>
      <c r="AM101">
        <f t="shared" si="27"/>
        <v>0</v>
      </c>
      <c r="AN101">
        <f t="shared" si="28"/>
        <v>1</v>
      </c>
      <c r="AO101">
        <f>SUM(AN$2:$AN101)</f>
        <v>100</v>
      </c>
    </row>
    <row r="102" spans="1:41" x14ac:dyDescent="0.35">
      <c r="A102" t="s">
        <v>189</v>
      </c>
      <c r="B102" t="s">
        <v>827</v>
      </c>
      <c r="C102">
        <v>10150</v>
      </c>
      <c r="D102" t="s">
        <v>828</v>
      </c>
      <c r="E102">
        <v>496</v>
      </c>
      <c r="F102">
        <v>805</v>
      </c>
      <c r="G102">
        <v>0</v>
      </c>
      <c r="H102">
        <v>0</v>
      </c>
      <c r="I102">
        <v>2489</v>
      </c>
      <c r="J102">
        <v>0</v>
      </c>
      <c r="K102">
        <v>2213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 t="s">
        <v>159</v>
      </c>
      <c r="X102">
        <v>6</v>
      </c>
      <c r="Y102" t="s">
        <v>435</v>
      </c>
      <c r="Z102" t="s">
        <v>1670</v>
      </c>
      <c r="AA102" t="s">
        <v>153</v>
      </c>
      <c r="AB102" t="s">
        <v>148</v>
      </c>
      <c r="AC102" t="s">
        <v>497</v>
      </c>
      <c r="AD102">
        <v>2558</v>
      </c>
      <c r="AE102">
        <v>0</v>
      </c>
      <c r="AF102">
        <v>0</v>
      </c>
      <c r="AG102">
        <v>0</v>
      </c>
      <c r="AH102">
        <f t="shared" si="22"/>
        <v>0</v>
      </c>
      <c r="AI102">
        <f t="shared" si="23"/>
        <v>0</v>
      </c>
      <c r="AJ102">
        <f t="shared" si="24"/>
        <v>1</v>
      </c>
      <c r="AK102">
        <f t="shared" si="25"/>
        <v>0</v>
      </c>
      <c r="AL102">
        <f t="shared" si="26"/>
        <v>1</v>
      </c>
      <c r="AM102">
        <f t="shared" si="27"/>
        <v>0</v>
      </c>
      <c r="AN102">
        <f t="shared" si="28"/>
        <v>1</v>
      </c>
      <c r="AO102">
        <f>SUM(AN$2:$AN102)</f>
        <v>101</v>
      </c>
    </row>
    <row r="103" spans="1:41" x14ac:dyDescent="0.35">
      <c r="A103" t="s">
        <v>189</v>
      </c>
      <c r="B103" t="s">
        <v>829</v>
      </c>
      <c r="C103">
        <v>10150</v>
      </c>
      <c r="D103" t="s">
        <v>830</v>
      </c>
      <c r="E103">
        <v>496</v>
      </c>
      <c r="F103">
        <v>805</v>
      </c>
      <c r="G103">
        <v>2489</v>
      </c>
      <c r="H103">
        <v>0</v>
      </c>
      <c r="I103">
        <v>0</v>
      </c>
      <c r="J103">
        <v>0</v>
      </c>
      <c r="K103">
        <v>2213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157</v>
      </c>
      <c r="X103">
        <v>6</v>
      </c>
      <c r="Y103" t="s">
        <v>435</v>
      </c>
      <c r="Z103" t="s">
        <v>1671</v>
      </c>
      <c r="AA103" t="s">
        <v>150</v>
      </c>
      <c r="AB103" t="s">
        <v>149</v>
      </c>
      <c r="AC103" t="s">
        <v>497</v>
      </c>
      <c r="AD103">
        <v>2558</v>
      </c>
      <c r="AE103">
        <v>0</v>
      </c>
      <c r="AF103">
        <v>0</v>
      </c>
      <c r="AG103">
        <v>0</v>
      </c>
      <c r="AH103">
        <f t="shared" si="22"/>
        <v>1</v>
      </c>
      <c r="AI103">
        <f t="shared" si="23"/>
        <v>0</v>
      </c>
      <c r="AJ103">
        <f t="shared" si="24"/>
        <v>0</v>
      </c>
      <c r="AK103">
        <f t="shared" si="25"/>
        <v>0</v>
      </c>
      <c r="AL103">
        <f t="shared" si="26"/>
        <v>1</v>
      </c>
      <c r="AM103">
        <f t="shared" si="27"/>
        <v>0</v>
      </c>
      <c r="AN103">
        <f t="shared" si="28"/>
        <v>1</v>
      </c>
      <c r="AO103">
        <f>SUM(AN$2:$AN103)</f>
        <v>102</v>
      </c>
    </row>
    <row r="104" spans="1:41" x14ac:dyDescent="0.35">
      <c r="A104" t="s">
        <v>189</v>
      </c>
      <c r="B104" t="s">
        <v>804</v>
      </c>
      <c r="C104">
        <v>10300</v>
      </c>
      <c r="D104" t="s">
        <v>831</v>
      </c>
      <c r="E104">
        <v>0</v>
      </c>
      <c r="F104">
        <v>2136</v>
      </c>
      <c r="G104">
        <v>0</v>
      </c>
      <c r="H104">
        <v>0</v>
      </c>
      <c r="I104">
        <v>4842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t="s">
        <v>329</v>
      </c>
      <c r="X104">
        <v>3</v>
      </c>
      <c r="Y104" t="s">
        <v>434</v>
      </c>
      <c r="Z104" t="s">
        <v>1672</v>
      </c>
      <c r="AA104" t="s">
        <v>358</v>
      </c>
      <c r="AB104" t="s">
        <v>149</v>
      </c>
      <c r="AC104" t="s">
        <v>497</v>
      </c>
      <c r="AD104">
        <v>0</v>
      </c>
      <c r="AE104">
        <v>0</v>
      </c>
      <c r="AF104">
        <v>0</v>
      </c>
      <c r="AG104">
        <v>0</v>
      </c>
      <c r="AH104">
        <f t="shared" si="22"/>
        <v>0</v>
      </c>
      <c r="AI104">
        <f t="shared" si="23"/>
        <v>0</v>
      </c>
      <c r="AJ104">
        <f t="shared" si="24"/>
        <v>1</v>
      </c>
      <c r="AK104">
        <f t="shared" si="25"/>
        <v>0</v>
      </c>
      <c r="AL104">
        <f t="shared" si="26"/>
        <v>0</v>
      </c>
      <c r="AM104">
        <f t="shared" si="27"/>
        <v>0</v>
      </c>
      <c r="AN104">
        <f t="shared" si="28"/>
        <v>1</v>
      </c>
      <c r="AO104">
        <f>SUM(AN$2:$AN104)</f>
        <v>103</v>
      </c>
    </row>
    <row r="105" spans="1:41" customFormat="1" x14ac:dyDescent="0.35">
      <c r="A105" t="s">
        <v>189</v>
      </c>
      <c r="B105" t="s">
        <v>804</v>
      </c>
      <c r="C105">
        <v>10300</v>
      </c>
      <c r="D105" t="s">
        <v>2596</v>
      </c>
      <c r="E105">
        <v>0</v>
      </c>
      <c r="F105">
        <v>1822</v>
      </c>
      <c r="G105">
        <v>2666</v>
      </c>
      <c r="H105">
        <v>1403</v>
      </c>
      <c r="I105">
        <v>0</v>
      </c>
      <c r="J105">
        <v>1403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 t="s">
        <v>2579</v>
      </c>
      <c r="X105">
        <v>3</v>
      </c>
      <c r="Y105" t="s">
        <v>434</v>
      </c>
      <c r="Z105" t="s">
        <v>1673</v>
      </c>
      <c r="AA105" t="s">
        <v>152</v>
      </c>
      <c r="AB105" t="s">
        <v>149</v>
      </c>
      <c r="AC105" t="s">
        <v>497</v>
      </c>
      <c r="AD105">
        <v>0</v>
      </c>
      <c r="AE105">
        <v>0</v>
      </c>
      <c r="AF105">
        <v>0</v>
      </c>
      <c r="AG105">
        <v>0</v>
      </c>
      <c r="AH105">
        <f t="shared" si="22"/>
        <v>1</v>
      </c>
      <c r="AI105">
        <f t="shared" si="23"/>
        <v>1</v>
      </c>
      <c r="AJ105">
        <f t="shared" si="24"/>
        <v>0</v>
      </c>
      <c r="AK105">
        <f t="shared" si="25"/>
        <v>1</v>
      </c>
      <c r="AL105">
        <f t="shared" si="26"/>
        <v>0</v>
      </c>
      <c r="AM105">
        <f t="shared" si="27"/>
        <v>0</v>
      </c>
      <c r="AN105">
        <f t="shared" si="28"/>
        <v>1</v>
      </c>
      <c r="AO105">
        <f>SUM(AN$2:$AN105)</f>
        <v>104</v>
      </c>
    </row>
    <row r="106" spans="1:41" x14ac:dyDescent="0.35">
      <c r="A106" t="s">
        <v>189</v>
      </c>
      <c r="B106" t="s">
        <v>804</v>
      </c>
      <c r="C106">
        <v>10300</v>
      </c>
      <c r="D106" t="s">
        <v>2597</v>
      </c>
      <c r="E106">
        <v>0</v>
      </c>
      <c r="F106">
        <v>1822</v>
      </c>
      <c r="G106">
        <v>3368</v>
      </c>
      <c r="H106">
        <v>2105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 t="s">
        <v>2581</v>
      </c>
      <c r="X106">
        <v>3</v>
      </c>
      <c r="Y106" t="s">
        <v>434</v>
      </c>
      <c r="Z106" t="s">
        <v>1674</v>
      </c>
      <c r="AA106" t="s">
        <v>152</v>
      </c>
      <c r="AB106" t="s">
        <v>149</v>
      </c>
      <c r="AC106" t="s">
        <v>497</v>
      </c>
      <c r="AD106">
        <v>0</v>
      </c>
      <c r="AE106">
        <v>0</v>
      </c>
      <c r="AF106">
        <v>0</v>
      </c>
      <c r="AG106">
        <v>0</v>
      </c>
      <c r="AH106">
        <f t="shared" si="22"/>
        <v>1</v>
      </c>
      <c r="AI106">
        <f t="shared" si="23"/>
        <v>1</v>
      </c>
      <c r="AJ106">
        <f t="shared" si="24"/>
        <v>0</v>
      </c>
      <c r="AK106">
        <f t="shared" si="25"/>
        <v>0</v>
      </c>
      <c r="AL106">
        <f t="shared" si="26"/>
        <v>0</v>
      </c>
      <c r="AM106">
        <f t="shared" si="27"/>
        <v>0</v>
      </c>
      <c r="AN106">
        <f t="shared" si="28"/>
        <v>1</v>
      </c>
      <c r="AO106">
        <f>SUM(AN$2:$AN106)</f>
        <v>105</v>
      </c>
    </row>
    <row r="107" spans="1:41" x14ac:dyDescent="0.35">
      <c r="A107" t="s">
        <v>189</v>
      </c>
      <c r="B107" t="s">
        <v>804</v>
      </c>
      <c r="C107">
        <v>10600</v>
      </c>
      <c r="D107" t="s">
        <v>832</v>
      </c>
      <c r="E107">
        <v>0</v>
      </c>
      <c r="F107">
        <v>1875</v>
      </c>
      <c r="G107">
        <v>0</v>
      </c>
      <c r="H107">
        <v>0</v>
      </c>
      <c r="I107">
        <v>3033</v>
      </c>
      <c r="J107">
        <v>2744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 t="s">
        <v>351</v>
      </c>
      <c r="X107">
        <v>3</v>
      </c>
      <c r="Y107" t="s">
        <v>434</v>
      </c>
      <c r="Z107" t="s">
        <v>1675</v>
      </c>
      <c r="AA107" t="s">
        <v>150</v>
      </c>
      <c r="AB107" t="s">
        <v>358</v>
      </c>
      <c r="AC107" t="s">
        <v>497</v>
      </c>
      <c r="AD107">
        <v>0</v>
      </c>
      <c r="AE107">
        <v>0</v>
      </c>
      <c r="AF107">
        <v>0</v>
      </c>
      <c r="AG107">
        <v>0</v>
      </c>
      <c r="AH107">
        <f t="shared" si="22"/>
        <v>0</v>
      </c>
      <c r="AI107">
        <f t="shared" si="23"/>
        <v>0</v>
      </c>
      <c r="AJ107">
        <f t="shared" si="24"/>
        <v>1</v>
      </c>
      <c r="AK107">
        <f t="shared" si="25"/>
        <v>1</v>
      </c>
      <c r="AL107">
        <f t="shared" si="26"/>
        <v>0</v>
      </c>
      <c r="AM107">
        <f t="shared" si="27"/>
        <v>0</v>
      </c>
      <c r="AN107">
        <f t="shared" si="28"/>
        <v>1</v>
      </c>
      <c r="AO107">
        <f>SUM(AN$2:$AN107)</f>
        <v>106</v>
      </c>
    </row>
    <row r="108" spans="1:41" x14ac:dyDescent="0.35">
      <c r="A108" t="s">
        <v>189</v>
      </c>
      <c r="B108" t="s">
        <v>804</v>
      </c>
      <c r="C108">
        <v>10600</v>
      </c>
      <c r="D108" t="s">
        <v>833</v>
      </c>
      <c r="E108">
        <v>0</v>
      </c>
      <c r="F108">
        <v>2198</v>
      </c>
      <c r="G108">
        <v>0</v>
      </c>
      <c r="H108">
        <v>0</v>
      </c>
      <c r="I108">
        <v>0</v>
      </c>
      <c r="J108">
        <v>0</v>
      </c>
      <c r="K108">
        <v>4983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 t="s">
        <v>327</v>
      </c>
      <c r="X108">
        <v>3</v>
      </c>
      <c r="Y108" t="s">
        <v>434</v>
      </c>
      <c r="Z108" t="s">
        <v>1676</v>
      </c>
      <c r="AA108" t="s">
        <v>152</v>
      </c>
      <c r="AB108" t="s">
        <v>153</v>
      </c>
      <c r="AC108" t="s">
        <v>497</v>
      </c>
      <c r="AD108">
        <v>0</v>
      </c>
      <c r="AE108">
        <v>0</v>
      </c>
      <c r="AF108">
        <v>0</v>
      </c>
      <c r="AG108">
        <v>0</v>
      </c>
      <c r="AH108">
        <f t="shared" si="22"/>
        <v>0</v>
      </c>
      <c r="AI108">
        <f t="shared" si="23"/>
        <v>0</v>
      </c>
      <c r="AJ108">
        <f t="shared" si="24"/>
        <v>0</v>
      </c>
      <c r="AK108">
        <f t="shared" si="25"/>
        <v>0</v>
      </c>
      <c r="AL108">
        <f t="shared" si="26"/>
        <v>1</v>
      </c>
      <c r="AM108">
        <f t="shared" si="27"/>
        <v>0</v>
      </c>
      <c r="AN108">
        <f t="shared" si="28"/>
        <v>1</v>
      </c>
      <c r="AO108">
        <f>SUM(AN$2:$AN108)</f>
        <v>107</v>
      </c>
    </row>
    <row r="109" spans="1:41" x14ac:dyDescent="0.35">
      <c r="A109" t="s">
        <v>189</v>
      </c>
      <c r="B109" t="s">
        <v>804</v>
      </c>
      <c r="C109">
        <v>10600</v>
      </c>
      <c r="D109" t="s">
        <v>2598</v>
      </c>
      <c r="E109">
        <v>0</v>
      </c>
      <c r="F109">
        <v>1875</v>
      </c>
      <c r="G109">
        <v>2744</v>
      </c>
      <c r="H109">
        <v>1444</v>
      </c>
      <c r="I109">
        <v>0</v>
      </c>
      <c r="J109">
        <v>0</v>
      </c>
      <c r="K109">
        <v>1444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 t="s">
        <v>2594</v>
      </c>
      <c r="X109">
        <v>3</v>
      </c>
      <c r="Y109" t="s">
        <v>434</v>
      </c>
      <c r="Z109" t="s">
        <v>1677</v>
      </c>
      <c r="AA109" t="s">
        <v>152</v>
      </c>
      <c r="AB109" t="s">
        <v>153</v>
      </c>
      <c r="AC109" t="s">
        <v>497</v>
      </c>
      <c r="AD109">
        <v>0</v>
      </c>
      <c r="AE109">
        <v>0</v>
      </c>
      <c r="AF109">
        <v>0</v>
      </c>
      <c r="AG109">
        <v>0</v>
      </c>
      <c r="AH109">
        <f t="shared" si="22"/>
        <v>1</v>
      </c>
      <c r="AI109">
        <f t="shared" si="23"/>
        <v>1</v>
      </c>
      <c r="AJ109">
        <f t="shared" si="24"/>
        <v>0</v>
      </c>
      <c r="AK109">
        <f t="shared" si="25"/>
        <v>0</v>
      </c>
      <c r="AL109">
        <f t="shared" si="26"/>
        <v>1</v>
      </c>
      <c r="AM109">
        <f t="shared" si="27"/>
        <v>0</v>
      </c>
      <c r="AN109">
        <f t="shared" si="28"/>
        <v>1</v>
      </c>
      <c r="AO109">
        <f>SUM(AN$2:$AN109)</f>
        <v>108</v>
      </c>
    </row>
    <row r="110" spans="1:41" x14ac:dyDescent="0.35">
      <c r="A110" t="s">
        <v>189</v>
      </c>
      <c r="B110" t="s">
        <v>804</v>
      </c>
      <c r="C110">
        <v>10900</v>
      </c>
      <c r="D110" t="s">
        <v>834</v>
      </c>
      <c r="E110">
        <v>0</v>
      </c>
      <c r="F110">
        <v>1928</v>
      </c>
      <c r="G110">
        <v>2970</v>
      </c>
      <c r="H110">
        <v>0</v>
      </c>
      <c r="I110">
        <v>2970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t="s">
        <v>420</v>
      </c>
      <c r="X110">
        <v>3</v>
      </c>
      <c r="Y110" t="s">
        <v>434</v>
      </c>
      <c r="Z110" t="s">
        <v>1678</v>
      </c>
      <c r="AA110" t="s">
        <v>358</v>
      </c>
      <c r="AB110" t="s">
        <v>149</v>
      </c>
      <c r="AC110" t="s">
        <v>497</v>
      </c>
      <c r="AD110">
        <v>0</v>
      </c>
      <c r="AE110">
        <v>0</v>
      </c>
      <c r="AF110">
        <v>0</v>
      </c>
      <c r="AG110">
        <v>0</v>
      </c>
      <c r="AH110">
        <f t="shared" si="22"/>
        <v>1</v>
      </c>
      <c r="AI110">
        <f t="shared" si="23"/>
        <v>0</v>
      </c>
      <c r="AJ110">
        <f t="shared" si="24"/>
        <v>1</v>
      </c>
      <c r="AK110">
        <f t="shared" si="25"/>
        <v>0</v>
      </c>
      <c r="AL110">
        <f t="shared" si="26"/>
        <v>0</v>
      </c>
      <c r="AM110">
        <f t="shared" si="27"/>
        <v>0</v>
      </c>
      <c r="AN110">
        <f t="shared" si="28"/>
        <v>1</v>
      </c>
      <c r="AO110">
        <f>SUM(AN$2:$AN110)</f>
        <v>109</v>
      </c>
    </row>
    <row r="111" spans="1:41" x14ac:dyDescent="0.35">
      <c r="A111" t="s">
        <v>189</v>
      </c>
      <c r="B111" t="s">
        <v>804</v>
      </c>
      <c r="C111">
        <v>10900</v>
      </c>
      <c r="D111" t="s">
        <v>2599</v>
      </c>
      <c r="E111">
        <v>0</v>
      </c>
      <c r="F111">
        <v>1928</v>
      </c>
      <c r="G111">
        <v>2228</v>
      </c>
      <c r="H111">
        <v>1485</v>
      </c>
      <c r="I111">
        <v>2079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 t="s">
        <v>2583</v>
      </c>
      <c r="X111">
        <v>3</v>
      </c>
      <c r="Y111" t="s">
        <v>434</v>
      </c>
      <c r="Z111" t="s">
        <v>1679</v>
      </c>
      <c r="AA111" t="s">
        <v>358</v>
      </c>
      <c r="AB111" t="s">
        <v>152</v>
      </c>
      <c r="AC111" t="s">
        <v>497</v>
      </c>
      <c r="AD111">
        <v>0</v>
      </c>
      <c r="AE111">
        <v>0</v>
      </c>
      <c r="AF111">
        <v>0</v>
      </c>
      <c r="AG111">
        <v>0</v>
      </c>
      <c r="AH111">
        <f t="shared" si="22"/>
        <v>1</v>
      </c>
      <c r="AI111">
        <f t="shared" si="23"/>
        <v>1</v>
      </c>
      <c r="AJ111">
        <f t="shared" si="24"/>
        <v>1</v>
      </c>
      <c r="AK111">
        <f t="shared" si="25"/>
        <v>0</v>
      </c>
      <c r="AL111">
        <f t="shared" si="26"/>
        <v>0</v>
      </c>
      <c r="AM111">
        <f t="shared" si="27"/>
        <v>0</v>
      </c>
      <c r="AN111">
        <f t="shared" si="28"/>
        <v>1</v>
      </c>
      <c r="AO111">
        <f>SUM(AN$2:$AN111)</f>
        <v>110</v>
      </c>
    </row>
    <row r="112" spans="1:41" x14ac:dyDescent="0.35">
      <c r="A112" t="s">
        <v>189</v>
      </c>
      <c r="B112" t="s">
        <v>804</v>
      </c>
      <c r="C112">
        <v>10900</v>
      </c>
      <c r="D112" t="s">
        <v>835</v>
      </c>
      <c r="E112">
        <v>0</v>
      </c>
      <c r="F112">
        <v>2260</v>
      </c>
      <c r="G112">
        <v>5124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 t="s">
        <v>331</v>
      </c>
      <c r="X112">
        <v>3</v>
      </c>
      <c r="Y112" t="s">
        <v>434</v>
      </c>
      <c r="Z112" t="s">
        <v>1680</v>
      </c>
      <c r="AA112" t="s">
        <v>151</v>
      </c>
      <c r="AB112" t="s">
        <v>150</v>
      </c>
      <c r="AC112" t="s">
        <v>497</v>
      </c>
      <c r="AD112">
        <v>0</v>
      </c>
      <c r="AE112">
        <v>0</v>
      </c>
      <c r="AF112">
        <v>0</v>
      </c>
      <c r="AG112">
        <v>0</v>
      </c>
      <c r="AH112">
        <f t="shared" si="22"/>
        <v>1</v>
      </c>
      <c r="AI112">
        <f t="shared" si="23"/>
        <v>0</v>
      </c>
      <c r="AJ112">
        <f t="shared" si="24"/>
        <v>0</v>
      </c>
      <c r="AK112">
        <f t="shared" si="25"/>
        <v>0</v>
      </c>
      <c r="AL112">
        <f t="shared" si="26"/>
        <v>0</v>
      </c>
      <c r="AM112">
        <f t="shared" si="27"/>
        <v>0</v>
      </c>
      <c r="AN112">
        <f t="shared" si="28"/>
        <v>1</v>
      </c>
      <c r="AO112">
        <f>SUM(AN$2:$AN112)</f>
        <v>111</v>
      </c>
    </row>
    <row r="113" spans="1:41" x14ac:dyDescent="0.35">
      <c r="A113" t="s">
        <v>189</v>
      </c>
      <c r="B113" t="s">
        <v>2389</v>
      </c>
      <c r="C113">
        <v>11000</v>
      </c>
      <c r="D113" t="s">
        <v>2390</v>
      </c>
      <c r="E113">
        <v>538</v>
      </c>
      <c r="F113">
        <v>872</v>
      </c>
      <c r="G113">
        <v>0</v>
      </c>
      <c r="H113">
        <v>0</v>
      </c>
      <c r="I113">
        <v>2698</v>
      </c>
      <c r="J113">
        <v>2398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 t="s">
        <v>348</v>
      </c>
      <c r="X113">
        <v>6</v>
      </c>
      <c r="Y113" t="s">
        <v>443</v>
      </c>
      <c r="Z113" t="s">
        <v>1681</v>
      </c>
      <c r="AA113" t="s">
        <v>149</v>
      </c>
      <c r="AB113" t="s">
        <v>152</v>
      </c>
      <c r="AC113" t="s">
        <v>497</v>
      </c>
      <c r="AD113">
        <v>2773</v>
      </c>
      <c r="AE113">
        <v>0</v>
      </c>
      <c r="AF113">
        <v>0</v>
      </c>
      <c r="AG113">
        <v>0</v>
      </c>
      <c r="AH113">
        <f t="shared" si="22"/>
        <v>0</v>
      </c>
      <c r="AI113">
        <f t="shared" si="23"/>
        <v>0</v>
      </c>
      <c r="AJ113">
        <f t="shared" si="24"/>
        <v>1</v>
      </c>
      <c r="AK113">
        <f t="shared" si="25"/>
        <v>1</v>
      </c>
      <c r="AL113">
        <f t="shared" si="26"/>
        <v>0</v>
      </c>
      <c r="AM113">
        <f t="shared" si="27"/>
        <v>0</v>
      </c>
      <c r="AN113">
        <f t="shared" si="28"/>
        <v>1</v>
      </c>
      <c r="AO113">
        <f>SUM(AN$2:$AN113)</f>
        <v>112</v>
      </c>
    </row>
    <row r="114" spans="1:41" x14ac:dyDescent="0.35">
      <c r="A114" t="s">
        <v>189</v>
      </c>
      <c r="B114" t="s">
        <v>836</v>
      </c>
      <c r="C114">
        <v>11000</v>
      </c>
      <c r="D114" t="s">
        <v>837</v>
      </c>
      <c r="E114">
        <v>538</v>
      </c>
      <c r="F114">
        <v>872</v>
      </c>
      <c r="G114">
        <v>2698</v>
      </c>
      <c r="H114">
        <v>0</v>
      </c>
      <c r="I114">
        <v>0</v>
      </c>
      <c r="J114">
        <v>2398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350</v>
      </c>
      <c r="X114">
        <v>6</v>
      </c>
      <c r="Y114" t="s">
        <v>440</v>
      </c>
      <c r="Z114" t="s">
        <v>1682</v>
      </c>
      <c r="AA114" t="s">
        <v>148</v>
      </c>
      <c r="AB114" t="s">
        <v>149</v>
      </c>
      <c r="AC114" t="s">
        <v>497</v>
      </c>
      <c r="AD114">
        <v>2773</v>
      </c>
      <c r="AE114">
        <v>0</v>
      </c>
      <c r="AF114">
        <v>0</v>
      </c>
      <c r="AG114">
        <v>0</v>
      </c>
      <c r="AH114">
        <f t="shared" si="22"/>
        <v>1</v>
      </c>
      <c r="AI114">
        <f t="shared" si="23"/>
        <v>0</v>
      </c>
      <c r="AJ114">
        <f t="shared" si="24"/>
        <v>0</v>
      </c>
      <c r="AK114">
        <f t="shared" si="25"/>
        <v>1</v>
      </c>
      <c r="AL114">
        <f t="shared" si="26"/>
        <v>0</v>
      </c>
      <c r="AM114">
        <f t="shared" si="27"/>
        <v>0</v>
      </c>
      <c r="AN114">
        <f t="shared" si="28"/>
        <v>1</v>
      </c>
      <c r="AO114">
        <f>SUM(AN$2:$AN114)</f>
        <v>113</v>
      </c>
    </row>
    <row r="115" spans="1:41" x14ac:dyDescent="0.35">
      <c r="A115" t="s">
        <v>189</v>
      </c>
      <c r="B115" t="s">
        <v>2391</v>
      </c>
      <c r="C115">
        <v>11000</v>
      </c>
      <c r="D115" t="s">
        <v>2392</v>
      </c>
      <c r="E115">
        <v>538</v>
      </c>
      <c r="F115">
        <v>872</v>
      </c>
      <c r="G115">
        <v>2698</v>
      </c>
      <c r="H115">
        <v>0</v>
      </c>
      <c r="I115">
        <v>0</v>
      </c>
      <c r="J115">
        <v>2398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350</v>
      </c>
      <c r="X115">
        <v>6</v>
      </c>
      <c r="Y115" t="s">
        <v>439</v>
      </c>
      <c r="Z115" t="s">
        <v>1683</v>
      </c>
      <c r="AA115" t="s">
        <v>148</v>
      </c>
      <c r="AB115" t="s">
        <v>149</v>
      </c>
      <c r="AC115" t="s">
        <v>497</v>
      </c>
      <c r="AD115">
        <v>2773</v>
      </c>
      <c r="AE115">
        <v>0</v>
      </c>
      <c r="AF115">
        <v>0</v>
      </c>
      <c r="AG115">
        <v>0</v>
      </c>
      <c r="AH115">
        <f t="shared" si="22"/>
        <v>1</v>
      </c>
      <c r="AI115">
        <f t="shared" si="23"/>
        <v>0</v>
      </c>
      <c r="AJ115">
        <f t="shared" si="24"/>
        <v>0</v>
      </c>
      <c r="AK115">
        <f t="shared" si="25"/>
        <v>1</v>
      </c>
      <c r="AL115">
        <f t="shared" si="26"/>
        <v>0</v>
      </c>
      <c r="AM115">
        <f t="shared" si="27"/>
        <v>0</v>
      </c>
      <c r="AN115">
        <f t="shared" si="28"/>
        <v>1</v>
      </c>
      <c r="AO115">
        <f>SUM(AN$2:$AN115)</f>
        <v>114</v>
      </c>
    </row>
    <row r="116" spans="1:41" x14ac:dyDescent="0.35">
      <c r="A116" t="s">
        <v>189</v>
      </c>
      <c r="B116" t="s">
        <v>838</v>
      </c>
      <c r="C116">
        <v>11150</v>
      </c>
      <c r="D116" t="s">
        <v>839</v>
      </c>
      <c r="E116">
        <v>545</v>
      </c>
      <c r="F116">
        <v>884</v>
      </c>
      <c r="G116">
        <v>0</v>
      </c>
      <c r="H116">
        <v>0</v>
      </c>
      <c r="I116">
        <v>2735</v>
      </c>
      <c r="J116">
        <v>2431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 t="s">
        <v>348</v>
      </c>
      <c r="X116">
        <v>6</v>
      </c>
      <c r="Y116" t="s">
        <v>441</v>
      </c>
      <c r="Z116" t="s">
        <v>1684</v>
      </c>
      <c r="AA116" t="s">
        <v>149</v>
      </c>
      <c r="AB116" t="s">
        <v>152</v>
      </c>
      <c r="AC116" t="s">
        <v>497</v>
      </c>
      <c r="AD116">
        <v>2811</v>
      </c>
      <c r="AE116">
        <v>0</v>
      </c>
      <c r="AF116">
        <v>0</v>
      </c>
      <c r="AG116">
        <v>0</v>
      </c>
      <c r="AH116">
        <f t="shared" si="22"/>
        <v>0</v>
      </c>
      <c r="AI116">
        <f t="shared" si="23"/>
        <v>0</v>
      </c>
      <c r="AJ116">
        <f t="shared" si="24"/>
        <v>1</v>
      </c>
      <c r="AK116">
        <f t="shared" si="25"/>
        <v>1</v>
      </c>
      <c r="AL116">
        <f t="shared" si="26"/>
        <v>0</v>
      </c>
      <c r="AM116">
        <f t="shared" si="27"/>
        <v>0</v>
      </c>
      <c r="AN116">
        <f t="shared" si="28"/>
        <v>1</v>
      </c>
      <c r="AO116">
        <f>SUM(AN$2:$AN116)</f>
        <v>115</v>
      </c>
    </row>
    <row r="117" spans="1:41" x14ac:dyDescent="0.35">
      <c r="A117" t="s">
        <v>189</v>
      </c>
      <c r="B117" t="s">
        <v>840</v>
      </c>
      <c r="C117">
        <v>11150</v>
      </c>
      <c r="D117" t="s">
        <v>841</v>
      </c>
      <c r="E117">
        <v>545</v>
      </c>
      <c r="F117">
        <v>884</v>
      </c>
      <c r="G117">
        <v>0</v>
      </c>
      <c r="H117">
        <v>0</v>
      </c>
      <c r="I117">
        <v>2735</v>
      </c>
      <c r="J117">
        <v>0</v>
      </c>
      <c r="K117">
        <v>2431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 t="s">
        <v>159</v>
      </c>
      <c r="X117">
        <v>6</v>
      </c>
      <c r="Y117" t="s">
        <v>435</v>
      </c>
      <c r="Z117" t="s">
        <v>1685</v>
      </c>
      <c r="AA117" t="s">
        <v>153</v>
      </c>
      <c r="AB117" t="s">
        <v>148</v>
      </c>
      <c r="AC117" t="s">
        <v>497</v>
      </c>
      <c r="AD117">
        <v>2811</v>
      </c>
      <c r="AE117">
        <v>0</v>
      </c>
      <c r="AF117">
        <v>0</v>
      </c>
      <c r="AG117">
        <v>0</v>
      </c>
      <c r="AH117">
        <f t="shared" si="22"/>
        <v>0</v>
      </c>
      <c r="AI117">
        <f t="shared" si="23"/>
        <v>0</v>
      </c>
      <c r="AJ117">
        <f t="shared" si="24"/>
        <v>1</v>
      </c>
      <c r="AK117">
        <f t="shared" si="25"/>
        <v>0</v>
      </c>
      <c r="AL117">
        <f t="shared" si="26"/>
        <v>1</v>
      </c>
      <c r="AM117">
        <f t="shared" si="27"/>
        <v>0</v>
      </c>
      <c r="AN117">
        <f t="shared" si="28"/>
        <v>1</v>
      </c>
      <c r="AO117">
        <f>SUM(AN$2:$AN117)</f>
        <v>116</v>
      </c>
    </row>
    <row r="118" spans="1:41" x14ac:dyDescent="0.35">
      <c r="A118" t="s">
        <v>189</v>
      </c>
      <c r="B118" t="s">
        <v>842</v>
      </c>
      <c r="C118">
        <v>11150</v>
      </c>
      <c r="D118" t="s">
        <v>843</v>
      </c>
      <c r="E118">
        <v>545</v>
      </c>
      <c r="F118">
        <v>884</v>
      </c>
      <c r="G118">
        <v>2735</v>
      </c>
      <c r="H118">
        <v>0</v>
      </c>
      <c r="I118">
        <v>0</v>
      </c>
      <c r="J118">
        <v>2431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350</v>
      </c>
      <c r="X118">
        <v>6</v>
      </c>
      <c r="Y118" t="s">
        <v>436</v>
      </c>
      <c r="Z118" t="s">
        <v>1686</v>
      </c>
      <c r="AA118" t="s">
        <v>148</v>
      </c>
      <c r="AB118" t="s">
        <v>149</v>
      </c>
      <c r="AC118" t="s">
        <v>497</v>
      </c>
      <c r="AD118">
        <v>2811</v>
      </c>
      <c r="AE118">
        <v>0</v>
      </c>
      <c r="AF118">
        <v>0</v>
      </c>
      <c r="AG118">
        <v>0</v>
      </c>
      <c r="AH118">
        <f t="shared" si="22"/>
        <v>1</v>
      </c>
      <c r="AI118">
        <f t="shared" si="23"/>
        <v>0</v>
      </c>
      <c r="AJ118">
        <f t="shared" si="24"/>
        <v>0</v>
      </c>
      <c r="AK118">
        <f t="shared" si="25"/>
        <v>1</v>
      </c>
      <c r="AL118">
        <f t="shared" si="26"/>
        <v>0</v>
      </c>
      <c r="AM118">
        <f t="shared" si="27"/>
        <v>0</v>
      </c>
      <c r="AN118">
        <f t="shared" si="28"/>
        <v>1</v>
      </c>
      <c r="AO118">
        <f>SUM(AN$2:$AN118)</f>
        <v>117</v>
      </c>
    </row>
    <row r="119" spans="1:41" x14ac:dyDescent="0.35">
      <c r="A119" t="s">
        <v>189</v>
      </c>
      <c r="B119" t="s">
        <v>844</v>
      </c>
      <c r="C119">
        <v>11150</v>
      </c>
      <c r="D119" t="s">
        <v>845</v>
      </c>
      <c r="E119">
        <v>545</v>
      </c>
      <c r="F119">
        <v>884</v>
      </c>
      <c r="G119">
        <v>2735</v>
      </c>
      <c r="H119">
        <v>0</v>
      </c>
      <c r="I119">
        <v>0</v>
      </c>
      <c r="J119">
        <v>0</v>
      </c>
      <c r="K119">
        <v>2431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157</v>
      </c>
      <c r="X119">
        <v>6</v>
      </c>
      <c r="Y119" t="s">
        <v>435</v>
      </c>
      <c r="Z119" t="s">
        <v>1687</v>
      </c>
      <c r="AA119" t="s">
        <v>150</v>
      </c>
      <c r="AB119" t="s">
        <v>149</v>
      </c>
      <c r="AC119" t="s">
        <v>497</v>
      </c>
      <c r="AD119">
        <v>2811</v>
      </c>
      <c r="AE119">
        <v>0</v>
      </c>
      <c r="AF119">
        <v>0</v>
      </c>
      <c r="AG119">
        <v>0</v>
      </c>
      <c r="AH119">
        <f t="shared" si="22"/>
        <v>1</v>
      </c>
      <c r="AI119">
        <f t="shared" si="23"/>
        <v>0</v>
      </c>
      <c r="AJ119">
        <f t="shared" si="24"/>
        <v>0</v>
      </c>
      <c r="AK119">
        <f t="shared" si="25"/>
        <v>0</v>
      </c>
      <c r="AL119">
        <f t="shared" si="26"/>
        <v>1</v>
      </c>
      <c r="AM119">
        <f t="shared" si="27"/>
        <v>0</v>
      </c>
      <c r="AN119">
        <f t="shared" si="28"/>
        <v>1</v>
      </c>
      <c r="AO119">
        <f>SUM(AN$2:$AN119)</f>
        <v>118</v>
      </c>
    </row>
    <row r="120" spans="1:41" x14ac:dyDescent="0.35">
      <c r="A120" t="s">
        <v>189</v>
      </c>
      <c r="B120" t="s">
        <v>846</v>
      </c>
      <c r="C120">
        <v>11150</v>
      </c>
      <c r="D120" t="s">
        <v>847</v>
      </c>
      <c r="E120">
        <v>0</v>
      </c>
      <c r="F120">
        <v>1632</v>
      </c>
      <c r="G120">
        <v>0</v>
      </c>
      <c r="H120">
        <v>0</v>
      </c>
      <c r="I120">
        <v>0</v>
      </c>
      <c r="J120">
        <v>1595</v>
      </c>
      <c r="K120">
        <v>4861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 t="s">
        <v>425</v>
      </c>
      <c r="X120">
        <v>4</v>
      </c>
      <c r="Y120" t="s">
        <v>435</v>
      </c>
      <c r="Z120" t="s">
        <v>1688</v>
      </c>
      <c r="AA120" t="s">
        <v>152</v>
      </c>
      <c r="AB120" t="s">
        <v>153</v>
      </c>
      <c r="AC120" t="s">
        <v>497</v>
      </c>
      <c r="AD120">
        <v>2811</v>
      </c>
      <c r="AE120">
        <v>0</v>
      </c>
      <c r="AF120">
        <v>0</v>
      </c>
      <c r="AG120">
        <v>0</v>
      </c>
      <c r="AH120">
        <f t="shared" si="22"/>
        <v>0</v>
      </c>
      <c r="AI120">
        <f t="shared" si="23"/>
        <v>0</v>
      </c>
      <c r="AJ120">
        <f t="shared" si="24"/>
        <v>0</v>
      </c>
      <c r="AK120">
        <f t="shared" si="25"/>
        <v>1</v>
      </c>
      <c r="AL120">
        <f t="shared" si="26"/>
        <v>1</v>
      </c>
      <c r="AM120">
        <f t="shared" si="27"/>
        <v>0</v>
      </c>
      <c r="AN120">
        <f t="shared" si="28"/>
        <v>1</v>
      </c>
      <c r="AO120">
        <f>SUM(AN$2:$AN120)</f>
        <v>119</v>
      </c>
    </row>
    <row r="121" spans="1:41" x14ac:dyDescent="0.35">
      <c r="A121" t="s">
        <v>189</v>
      </c>
      <c r="B121" t="s">
        <v>848</v>
      </c>
      <c r="C121">
        <v>11150</v>
      </c>
      <c r="D121" t="s">
        <v>849</v>
      </c>
      <c r="E121">
        <v>0</v>
      </c>
      <c r="F121">
        <v>1904</v>
      </c>
      <c r="G121">
        <v>0</v>
      </c>
      <c r="H121">
        <v>0</v>
      </c>
      <c r="I121">
        <v>2886</v>
      </c>
      <c r="J121">
        <v>2886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352</v>
      </c>
      <c r="X121">
        <v>4</v>
      </c>
      <c r="Y121" t="s">
        <v>435</v>
      </c>
      <c r="Z121" t="s">
        <v>1689</v>
      </c>
      <c r="AA121" t="s">
        <v>150</v>
      </c>
      <c r="AB121" t="s">
        <v>149</v>
      </c>
      <c r="AC121" t="s">
        <v>497</v>
      </c>
      <c r="AD121">
        <v>2811</v>
      </c>
      <c r="AE121">
        <v>0</v>
      </c>
      <c r="AF121">
        <v>0</v>
      </c>
      <c r="AG121">
        <v>0</v>
      </c>
      <c r="AH121">
        <f t="shared" si="22"/>
        <v>0</v>
      </c>
      <c r="AI121">
        <f t="shared" si="23"/>
        <v>0</v>
      </c>
      <c r="AJ121">
        <f t="shared" si="24"/>
        <v>1</v>
      </c>
      <c r="AK121">
        <f t="shared" si="25"/>
        <v>1</v>
      </c>
      <c r="AL121">
        <f t="shared" si="26"/>
        <v>0</v>
      </c>
      <c r="AM121">
        <f t="shared" si="27"/>
        <v>0</v>
      </c>
      <c r="AN121">
        <f t="shared" si="28"/>
        <v>1</v>
      </c>
      <c r="AO121">
        <f>SUM(AN$2:$AN121)</f>
        <v>120</v>
      </c>
    </row>
    <row r="122" spans="1:41" x14ac:dyDescent="0.35">
      <c r="A122" t="s">
        <v>189</v>
      </c>
      <c r="B122" t="s">
        <v>850</v>
      </c>
      <c r="C122">
        <v>11150</v>
      </c>
      <c r="D122" t="s">
        <v>851</v>
      </c>
      <c r="E122">
        <v>0</v>
      </c>
      <c r="F122">
        <v>1632</v>
      </c>
      <c r="G122">
        <v>0</v>
      </c>
      <c r="H122">
        <v>0</v>
      </c>
      <c r="I122">
        <v>1671</v>
      </c>
      <c r="J122">
        <v>0</v>
      </c>
      <c r="K122">
        <v>4861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t="s">
        <v>421</v>
      </c>
      <c r="X122">
        <v>4</v>
      </c>
      <c r="Y122" t="s">
        <v>435</v>
      </c>
      <c r="Z122" t="s">
        <v>1690</v>
      </c>
      <c r="AA122" t="s">
        <v>358</v>
      </c>
      <c r="AB122" t="s">
        <v>149</v>
      </c>
      <c r="AC122" t="s">
        <v>497</v>
      </c>
      <c r="AD122">
        <v>2811</v>
      </c>
      <c r="AE122">
        <v>0</v>
      </c>
      <c r="AF122">
        <v>0</v>
      </c>
      <c r="AG122">
        <v>0</v>
      </c>
      <c r="AH122">
        <f t="shared" si="22"/>
        <v>0</v>
      </c>
      <c r="AI122">
        <f t="shared" si="23"/>
        <v>0</v>
      </c>
      <c r="AJ122">
        <f t="shared" si="24"/>
        <v>1</v>
      </c>
      <c r="AK122">
        <f t="shared" si="25"/>
        <v>0</v>
      </c>
      <c r="AL122">
        <f t="shared" si="26"/>
        <v>1</v>
      </c>
      <c r="AM122">
        <f t="shared" si="27"/>
        <v>0</v>
      </c>
      <c r="AN122">
        <f t="shared" si="28"/>
        <v>1</v>
      </c>
      <c r="AO122">
        <f>SUM(AN$2:$AN122)</f>
        <v>121</v>
      </c>
    </row>
    <row r="123" spans="1:41" customFormat="1" x14ac:dyDescent="0.35">
      <c r="A123" t="s">
        <v>189</v>
      </c>
      <c r="B123" t="s">
        <v>852</v>
      </c>
      <c r="C123">
        <v>11150</v>
      </c>
      <c r="D123" t="s">
        <v>853</v>
      </c>
      <c r="E123">
        <v>0</v>
      </c>
      <c r="F123">
        <v>1632</v>
      </c>
      <c r="G123">
        <v>1671</v>
      </c>
      <c r="H123">
        <v>0</v>
      </c>
      <c r="I123">
        <v>0</v>
      </c>
      <c r="J123">
        <v>0</v>
      </c>
      <c r="K123">
        <v>4861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t="s">
        <v>330</v>
      </c>
      <c r="X123">
        <v>4</v>
      </c>
      <c r="Y123" t="s">
        <v>435</v>
      </c>
      <c r="Z123" t="s">
        <v>1691</v>
      </c>
      <c r="AA123" t="s">
        <v>358</v>
      </c>
      <c r="AB123" t="s">
        <v>149</v>
      </c>
      <c r="AC123" t="s">
        <v>497</v>
      </c>
      <c r="AD123">
        <v>2811</v>
      </c>
      <c r="AE123">
        <v>0</v>
      </c>
      <c r="AF123">
        <v>0</v>
      </c>
      <c r="AG123">
        <v>0</v>
      </c>
      <c r="AH123">
        <f t="shared" si="22"/>
        <v>1</v>
      </c>
      <c r="AI123">
        <f t="shared" si="23"/>
        <v>0</v>
      </c>
      <c r="AJ123">
        <f t="shared" si="24"/>
        <v>0</v>
      </c>
      <c r="AK123">
        <f t="shared" si="25"/>
        <v>0</v>
      </c>
      <c r="AL123">
        <f t="shared" si="26"/>
        <v>1</v>
      </c>
      <c r="AM123">
        <f t="shared" si="27"/>
        <v>0</v>
      </c>
      <c r="AN123">
        <f t="shared" si="28"/>
        <v>1</v>
      </c>
      <c r="AO123">
        <f>SUM(AN$2:$AN123)</f>
        <v>122</v>
      </c>
    </row>
    <row r="124" spans="1:41" customFormat="1" x14ac:dyDescent="0.35">
      <c r="A124" t="s">
        <v>189</v>
      </c>
      <c r="B124" t="s">
        <v>854</v>
      </c>
      <c r="C124">
        <v>11300</v>
      </c>
      <c r="D124" t="s">
        <v>855</v>
      </c>
      <c r="E124">
        <v>552</v>
      </c>
      <c r="F124">
        <v>896</v>
      </c>
      <c r="G124">
        <v>0</v>
      </c>
      <c r="H124">
        <v>0</v>
      </c>
      <c r="I124">
        <v>2771</v>
      </c>
      <c r="J124">
        <v>2463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 t="s">
        <v>348</v>
      </c>
      <c r="X124">
        <v>6</v>
      </c>
      <c r="Y124" t="s">
        <v>442</v>
      </c>
      <c r="Z124" t="s">
        <v>1692</v>
      </c>
      <c r="AA124" t="s">
        <v>149</v>
      </c>
      <c r="AB124" t="s">
        <v>152</v>
      </c>
      <c r="AC124" t="s">
        <v>497</v>
      </c>
      <c r="AD124">
        <v>2848</v>
      </c>
      <c r="AE124">
        <v>0</v>
      </c>
      <c r="AF124">
        <v>0</v>
      </c>
      <c r="AG124">
        <v>0</v>
      </c>
      <c r="AH124">
        <f t="shared" si="22"/>
        <v>0</v>
      </c>
      <c r="AI124">
        <f t="shared" si="23"/>
        <v>0</v>
      </c>
      <c r="AJ124">
        <f t="shared" si="24"/>
        <v>1</v>
      </c>
      <c r="AK124">
        <f t="shared" si="25"/>
        <v>1</v>
      </c>
      <c r="AL124">
        <f t="shared" si="26"/>
        <v>0</v>
      </c>
      <c r="AM124">
        <f t="shared" si="27"/>
        <v>0</v>
      </c>
      <c r="AN124">
        <f t="shared" si="28"/>
        <v>1</v>
      </c>
      <c r="AO124">
        <f>SUM(AN$2:$AN124)</f>
        <v>123</v>
      </c>
    </row>
    <row r="125" spans="1:41" customFormat="1" x14ac:dyDescent="0.35">
      <c r="A125" t="s">
        <v>189</v>
      </c>
      <c r="B125" t="s">
        <v>804</v>
      </c>
      <c r="C125">
        <v>11500</v>
      </c>
      <c r="D125" t="s">
        <v>1693</v>
      </c>
      <c r="E125">
        <v>0</v>
      </c>
      <c r="F125">
        <v>2385</v>
      </c>
      <c r="G125">
        <v>0</v>
      </c>
      <c r="H125">
        <v>0</v>
      </c>
      <c r="I125">
        <v>5562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t="s">
        <v>329</v>
      </c>
      <c r="X125">
        <v>3</v>
      </c>
      <c r="Y125" t="s">
        <v>434</v>
      </c>
      <c r="Z125" t="s">
        <v>1694</v>
      </c>
      <c r="AA125" t="s">
        <v>358</v>
      </c>
      <c r="AB125" t="s">
        <v>149</v>
      </c>
      <c r="AC125" t="s">
        <v>497</v>
      </c>
      <c r="AD125">
        <v>0</v>
      </c>
      <c r="AE125">
        <v>0</v>
      </c>
      <c r="AF125">
        <v>0</v>
      </c>
      <c r="AG125">
        <v>0</v>
      </c>
      <c r="AH125">
        <f t="shared" si="22"/>
        <v>0</v>
      </c>
      <c r="AI125">
        <f t="shared" si="23"/>
        <v>0</v>
      </c>
      <c r="AJ125">
        <f t="shared" si="24"/>
        <v>1</v>
      </c>
      <c r="AK125">
        <f t="shared" si="25"/>
        <v>0</v>
      </c>
      <c r="AL125">
        <f t="shared" si="26"/>
        <v>0</v>
      </c>
      <c r="AM125">
        <f t="shared" si="27"/>
        <v>0</v>
      </c>
      <c r="AN125">
        <f t="shared" si="28"/>
        <v>1</v>
      </c>
      <c r="AO125">
        <f>SUM(AN$2:$AN125)</f>
        <v>124</v>
      </c>
    </row>
    <row r="126" spans="1:41" customFormat="1" x14ac:dyDescent="0.35">
      <c r="A126" t="s">
        <v>189</v>
      </c>
      <c r="B126" t="s">
        <v>804</v>
      </c>
      <c r="C126">
        <v>11500</v>
      </c>
      <c r="D126" t="s">
        <v>2600</v>
      </c>
      <c r="E126">
        <v>0</v>
      </c>
      <c r="F126">
        <v>2034</v>
      </c>
      <c r="G126">
        <v>2977</v>
      </c>
      <c r="H126">
        <v>1567</v>
      </c>
      <c r="I126">
        <v>0</v>
      </c>
      <c r="J126">
        <v>1724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 t="s">
        <v>2579</v>
      </c>
      <c r="X126">
        <v>3</v>
      </c>
      <c r="Y126" t="s">
        <v>434</v>
      </c>
      <c r="Z126" t="s">
        <v>1695</v>
      </c>
      <c r="AA126" t="s">
        <v>152</v>
      </c>
      <c r="AB126" t="s">
        <v>149</v>
      </c>
      <c r="AC126" t="s">
        <v>497</v>
      </c>
      <c r="AD126">
        <v>0</v>
      </c>
      <c r="AE126">
        <v>0</v>
      </c>
      <c r="AF126">
        <v>0</v>
      </c>
      <c r="AG126">
        <v>0</v>
      </c>
      <c r="AH126">
        <f t="shared" si="22"/>
        <v>1</v>
      </c>
      <c r="AI126">
        <f t="shared" si="23"/>
        <v>1</v>
      </c>
      <c r="AJ126">
        <f t="shared" si="24"/>
        <v>0</v>
      </c>
      <c r="AK126">
        <f t="shared" si="25"/>
        <v>1</v>
      </c>
      <c r="AL126">
        <f t="shared" si="26"/>
        <v>0</v>
      </c>
      <c r="AM126">
        <f t="shared" si="27"/>
        <v>0</v>
      </c>
      <c r="AN126">
        <f t="shared" si="28"/>
        <v>1</v>
      </c>
      <c r="AO126">
        <f>SUM(AN$2:$AN126)</f>
        <v>125</v>
      </c>
    </row>
    <row r="127" spans="1:41" customFormat="1" x14ac:dyDescent="0.35">
      <c r="A127" t="s">
        <v>189</v>
      </c>
      <c r="B127" t="s">
        <v>804</v>
      </c>
      <c r="C127">
        <v>11500</v>
      </c>
      <c r="D127" t="s">
        <v>2601</v>
      </c>
      <c r="E127">
        <v>0</v>
      </c>
      <c r="F127">
        <v>2034</v>
      </c>
      <c r="G127">
        <v>3917</v>
      </c>
      <c r="H127">
        <v>2350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 t="s">
        <v>2581</v>
      </c>
      <c r="X127">
        <v>3</v>
      </c>
      <c r="Y127" t="s">
        <v>434</v>
      </c>
      <c r="Z127" t="s">
        <v>1696</v>
      </c>
      <c r="AA127" t="s">
        <v>152</v>
      </c>
      <c r="AB127" t="s">
        <v>149</v>
      </c>
      <c r="AC127" t="s">
        <v>497</v>
      </c>
      <c r="AD127">
        <v>0</v>
      </c>
      <c r="AE127">
        <v>0</v>
      </c>
      <c r="AF127">
        <v>0</v>
      </c>
      <c r="AG127">
        <v>0</v>
      </c>
      <c r="AH127">
        <f t="shared" si="22"/>
        <v>1</v>
      </c>
      <c r="AI127">
        <f t="shared" si="23"/>
        <v>1</v>
      </c>
      <c r="AJ127">
        <f t="shared" si="24"/>
        <v>0</v>
      </c>
      <c r="AK127">
        <f t="shared" si="25"/>
        <v>0</v>
      </c>
      <c r="AL127">
        <f t="shared" si="26"/>
        <v>0</v>
      </c>
      <c r="AM127">
        <f t="shared" si="27"/>
        <v>0</v>
      </c>
      <c r="AN127">
        <f t="shared" si="28"/>
        <v>1</v>
      </c>
      <c r="AO127">
        <f>SUM(AN$2:$AN127)</f>
        <v>126</v>
      </c>
    </row>
    <row r="128" spans="1:41" customFormat="1" x14ac:dyDescent="0.35">
      <c r="A128" t="s">
        <v>189</v>
      </c>
      <c r="B128" t="s">
        <v>804</v>
      </c>
      <c r="C128">
        <v>12100</v>
      </c>
      <c r="D128" t="s">
        <v>1697</v>
      </c>
      <c r="E128">
        <v>0</v>
      </c>
      <c r="F128">
        <v>2140</v>
      </c>
      <c r="G128">
        <v>0</v>
      </c>
      <c r="H128">
        <v>0</v>
      </c>
      <c r="I128">
        <v>3462</v>
      </c>
      <c r="J128">
        <v>3297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 t="s">
        <v>351</v>
      </c>
      <c r="X128">
        <v>3</v>
      </c>
      <c r="Y128" t="s">
        <v>434</v>
      </c>
      <c r="Z128" t="s">
        <v>1698</v>
      </c>
      <c r="AA128" t="s">
        <v>150</v>
      </c>
      <c r="AB128" t="s">
        <v>358</v>
      </c>
      <c r="AC128" t="s">
        <v>497</v>
      </c>
      <c r="AD128">
        <v>0</v>
      </c>
      <c r="AE128">
        <v>0</v>
      </c>
      <c r="AF128">
        <v>0</v>
      </c>
      <c r="AG128">
        <v>0</v>
      </c>
      <c r="AH128">
        <f t="shared" si="22"/>
        <v>0</v>
      </c>
      <c r="AI128">
        <f t="shared" si="23"/>
        <v>0</v>
      </c>
      <c r="AJ128">
        <f t="shared" si="24"/>
        <v>1</v>
      </c>
      <c r="AK128">
        <f t="shared" si="25"/>
        <v>1</v>
      </c>
      <c r="AL128">
        <f t="shared" si="26"/>
        <v>0</v>
      </c>
      <c r="AM128">
        <f t="shared" si="27"/>
        <v>0</v>
      </c>
      <c r="AN128">
        <f t="shared" si="28"/>
        <v>1</v>
      </c>
      <c r="AO128">
        <f>SUM(AN$2:$AN128)</f>
        <v>127</v>
      </c>
    </row>
    <row r="129" spans="1:41" customFormat="1" x14ac:dyDescent="0.35">
      <c r="A129" t="s">
        <v>189</v>
      </c>
      <c r="B129" t="s">
        <v>804</v>
      </c>
      <c r="C129">
        <v>12100</v>
      </c>
      <c r="D129" t="s">
        <v>1699</v>
      </c>
      <c r="E129">
        <v>0</v>
      </c>
      <c r="F129">
        <v>2509</v>
      </c>
      <c r="G129">
        <v>0</v>
      </c>
      <c r="H129">
        <v>0</v>
      </c>
      <c r="I129">
        <v>0</v>
      </c>
      <c r="J129">
        <v>0</v>
      </c>
      <c r="K129">
        <v>5853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 t="s">
        <v>327</v>
      </c>
      <c r="X129">
        <v>3</v>
      </c>
      <c r="Y129" t="s">
        <v>434</v>
      </c>
      <c r="Z129" t="s">
        <v>1700</v>
      </c>
      <c r="AA129" t="s">
        <v>152</v>
      </c>
      <c r="AB129" t="s">
        <v>153</v>
      </c>
      <c r="AC129" t="s">
        <v>497</v>
      </c>
      <c r="AD129">
        <v>0</v>
      </c>
      <c r="AE129">
        <v>0</v>
      </c>
      <c r="AF129">
        <v>0</v>
      </c>
      <c r="AG129">
        <v>0</v>
      </c>
      <c r="AH129">
        <f t="shared" si="22"/>
        <v>0</v>
      </c>
      <c r="AI129">
        <f t="shared" si="23"/>
        <v>0</v>
      </c>
      <c r="AJ129">
        <f t="shared" si="24"/>
        <v>0</v>
      </c>
      <c r="AK129">
        <f t="shared" si="25"/>
        <v>0</v>
      </c>
      <c r="AL129">
        <f t="shared" si="26"/>
        <v>1</v>
      </c>
      <c r="AM129">
        <f t="shared" si="27"/>
        <v>0</v>
      </c>
      <c r="AN129">
        <f t="shared" si="28"/>
        <v>1</v>
      </c>
      <c r="AO129">
        <f>SUM(AN$2:$AN129)</f>
        <v>128</v>
      </c>
    </row>
    <row r="130" spans="1:41" customFormat="1" x14ac:dyDescent="0.35">
      <c r="A130" t="s">
        <v>189</v>
      </c>
      <c r="B130" t="s">
        <v>804</v>
      </c>
      <c r="C130">
        <v>12100</v>
      </c>
      <c r="D130" t="s">
        <v>2602</v>
      </c>
      <c r="E130">
        <v>0</v>
      </c>
      <c r="F130">
        <v>2140</v>
      </c>
      <c r="G130">
        <v>3132</v>
      </c>
      <c r="H130">
        <v>1649</v>
      </c>
      <c r="I130">
        <v>0</v>
      </c>
      <c r="J130">
        <v>0</v>
      </c>
      <c r="K130">
        <v>1814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 t="s">
        <v>2594</v>
      </c>
      <c r="X130">
        <v>3</v>
      </c>
      <c r="Y130" t="s">
        <v>434</v>
      </c>
      <c r="Z130" t="s">
        <v>1701</v>
      </c>
      <c r="AA130" t="s">
        <v>152</v>
      </c>
      <c r="AB130" t="s">
        <v>153</v>
      </c>
      <c r="AC130" t="s">
        <v>497</v>
      </c>
      <c r="AD130">
        <v>0</v>
      </c>
      <c r="AE130">
        <v>0</v>
      </c>
      <c r="AF130">
        <v>0</v>
      </c>
      <c r="AG130">
        <v>0</v>
      </c>
      <c r="AH130">
        <f t="shared" si="22"/>
        <v>1</v>
      </c>
      <c r="AI130">
        <f t="shared" si="23"/>
        <v>1</v>
      </c>
      <c r="AJ130">
        <f t="shared" si="24"/>
        <v>0</v>
      </c>
      <c r="AK130">
        <f t="shared" si="25"/>
        <v>0</v>
      </c>
      <c r="AL130">
        <f t="shared" si="26"/>
        <v>1</v>
      </c>
      <c r="AM130">
        <f t="shared" si="27"/>
        <v>0</v>
      </c>
      <c r="AN130">
        <f t="shared" si="28"/>
        <v>1</v>
      </c>
      <c r="AO130">
        <f>SUM(AN$2:$AN130)</f>
        <v>129</v>
      </c>
    </row>
    <row r="131" spans="1:41" customFormat="1" x14ac:dyDescent="0.35">
      <c r="A131" t="s">
        <v>189</v>
      </c>
      <c r="B131" t="s">
        <v>2393</v>
      </c>
      <c r="C131">
        <v>12300</v>
      </c>
      <c r="D131" t="s">
        <v>2394</v>
      </c>
      <c r="E131">
        <v>601</v>
      </c>
      <c r="F131">
        <v>975</v>
      </c>
      <c r="G131">
        <v>3017</v>
      </c>
      <c r="H131">
        <v>0</v>
      </c>
      <c r="I131">
        <v>0</v>
      </c>
      <c r="J131">
        <v>2681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350</v>
      </c>
      <c r="X131">
        <v>6</v>
      </c>
      <c r="Y131" t="s">
        <v>440</v>
      </c>
      <c r="Z131" t="s">
        <v>1702</v>
      </c>
      <c r="AA131" t="s">
        <v>148</v>
      </c>
      <c r="AB131" t="s">
        <v>149</v>
      </c>
      <c r="AC131" t="s">
        <v>497</v>
      </c>
      <c r="AD131">
        <v>3100</v>
      </c>
      <c r="AE131">
        <v>0</v>
      </c>
      <c r="AF131">
        <v>0</v>
      </c>
      <c r="AG131">
        <v>0</v>
      </c>
      <c r="AH131">
        <f t="shared" si="22"/>
        <v>1</v>
      </c>
      <c r="AI131">
        <f t="shared" si="23"/>
        <v>0</v>
      </c>
      <c r="AJ131">
        <f t="shared" si="24"/>
        <v>0</v>
      </c>
      <c r="AK131">
        <f t="shared" si="25"/>
        <v>1</v>
      </c>
      <c r="AL131">
        <f t="shared" si="26"/>
        <v>0</v>
      </c>
      <c r="AM131">
        <f t="shared" si="27"/>
        <v>0</v>
      </c>
      <c r="AN131">
        <f t="shared" si="28"/>
        <v>1</v>
      </c>
      <c r="AO131">
        <f>SUM(AN$2:$AN131)</f>
        <v>130</v>
      </c>
    </row>
    <row r="132" spans="1:41" customFormat="1" x14ac:dyDescent="0.35">
      <c r="A132" t="s">
        <v>189</v>
      </c>
      <c r="B132" t="s">
        <v>2395</v>
      </c>
      <c r="C132">
        <v>12450</v>
      </c>
      <c r="D132" t="s">
        <v>2396</v>
      </c>
      <c r="E132">
        <v>609</v>
      </c>
      <c r="F132">
        <v>987</v>
      </c>
      <c r="G132">
        <v>0</v>
      </c>
      <c r="H132">
        <v>0</v>
      </c>
      <c r="I132">
        <v>3053</v>
      </c>
      <c r="J132">
        <v>2714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 t="s">
        <v>348</v>
      </c>
      <c r="X132">
        <v>6</v>
      </c>
      <c r="Y132" t="s">
        <v>441</v>
      </c>
      <c r="Z132" t="s">
        <v>1703</v>
      </c>
      <c r="AA132" t="s">
        <v>149</v>
      </c>
      <c r="AB132" t="s">
        <v>152</v>
      </c>
      <c r="AC132" t="s">
        <v>497</v>
      </c>
      <c r="AD132">
        <v>3138</v>
      </c>
      <c r="AE132">
        <v>0</v>
      </c>
      <c r="AF132">
        <v>0</v>
      </c>
      <c r="AG132">
        <v>0</v>
      </c>
      <c r="AH132">
        <f t="shared" si="22"/>
        <v>0</v>
      </c>
      <c r="AI132">
        <f t="shared" si="23"/>
        <v>0</v>
      </c>
      <c r="AJ132">
        <f t="shared" si="24"/>
        <v>1</v>
      </c>
      <c r="AK132">
        <f t="shared" si="25"/>
        <v>1</v>
      </c>
      <c r="AL132">
        <f t="shared" si="26"/>
        <v>0</v>
      </c>
      <c r="AM132">
        <f t="shared" si="27"/>
        <v>0</v>
      </c>
      <c r="AN132">
        <f t="shared" si="28"/>
        <v>1</v>
      </c>
      <c r="AO132">
        <f>SUM(AN$2:$AN132)</f>
        <v>131</v>
      </c>
    </row>
    <row r="133" spans="1:41" customFormat="1" x14ac:dyDescent="0.35">
      <c r="A133" t="s">
        <v>189</v>
      </c>
      <c r="B133" t="s">
        <v>2397</v>
      </c>
      <c r="C133">
        <v>12450</v>
      </c>
      <c r="D133" t="s">
        <v>2398</v>
      </c>
      <c r="E133">
        <v>609</v>
      </c>
      <c r="F133">
        <v>987</v>
      </c>
      <c r="G133">
        <v>0</v>
      </c>
      <c r="H133">
        <v>0</v>
      </c>
      <c r="I133">
        <v>3053</v>
      </c>
      <c r="J133">
        <v>0</v>
      </c>
      <c r="K133">
        <v>2714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 t="s">
        <v>159</v>
      </c>
      <c r="X133">
        <v>6</v>
      </c>
      <c r="Y133" t="s">
        <v>435</v>
      </c>
      <c r="Z133" t="s">
        <v>1704</v>
      </c>
      <c r="AA133" t="s">
        <v>153</v>
      </c>
      <c r="AB133" t="s">
        <v>148</v>
      </c>
      <c r="AC133" t="s">
        <v>497</v>
      </c>
      <c r="AD133">
        <v>3138</v>
      </c>
      <c r="AE133">
        <v>0</v>
      </c>
      <c r="AF133">
        <v>0</v>
      </c>
      <c r="AG133">
        <v>0</v>
      </c>
      <c r="AH133">
        <f t="shared" ref="AH133:AH192" si="43">IF(G133&gt;1,1,0)</f>
        <v>0</v>
      </c>
      <c r="AI133">
        <f t="shared" ref="AI133:AI192" si="44">IF(H133&gt;1,1,0)</f>
        <v>0</v>
      </c>
      <c r="AJ133">
        <f t="shared" ref="AJ133:AJ192" si="45">IF(I133&gt;1,1,0)</f>
        <v>1</v>
      </c>
      <c r="AK133">
        <f t="shared" ref="AK133:AK192" si="46">IF(J133&gt;1,1,0)</f>
        <v>0</v>
      </c>
      <c r="AL133">
        <f t="shared" ref="AL133:AL192" si="47">IF(K133&gt;1,1,0)</f>
        <v>1</v>
      </c>
      <c r="AM133">
        <f t="shared" ref="AM133:AM192" si="48">IF(L133&gt;1,1,0)</f>
        <v>0</v>
      </c>
      <c r="AN133">
        <f t="shared" ref="AN133:AN192" si="49">MIN(1,($AV$2+IF(AND(AH133&gt;=$AP$3,AI133&gt;=$AQ$3,AJ133&gt;=$AR$3,AK133&gt;=$AS$3,AL133&gt;=$AT$3,AM133&gt;=$AU$3),1,0)))</f>
        <v>1</v>
      </c>
      <c r="AO133">
        <f>SUM(AN$2:$AN133)</f>
        <v>132</v>
      </c>
    </row>
    <row r="134" spans="1:41" customFormat="1" x14ac:dyDescent="0.35">
      <c r="A134" t="s">
        <v>189</v>
      </c>
      <c r="B134" t="s">
        <v>2399</v>
      </c>
      <c r="C134">
        <v>12450</v>
      </c>
      <c r="D134" t="s">
        <v>2400</v>
      </c>
      <c r="E134">
        <v>609</v>
      </c>
      <c r="F134">
        <v>987</v>
      </c>
      <c r="G134">
        <v>3053</v>
      </c>
      <c r="H134">
        <v>0</v>
      </c>
      <c r="I134">
        <v>0</v>
      </c>
      <c r="J134">
        <v>2714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350</v>
      </c>
      <c r="X134">
        <v>6</v>
      </c>
      <c r="Y134" t="s">
        <v>436</v>
      </c>
      <c r="Z134" t="s">
        <v>1705</v>
      </c>
      <c r="AA134" t="s">
        <v>148</v>
      </c>
      <c r="AB134" t="s">
        <v>149</v>
      </c>
      <c r="AC134" t="s">
        <v>497</v>
      </c>
      <c r="AD134">
        <v>3138</v>
      </c>
      <c r="AE134">
        <v>0</v>
      </c>
      <c r="AF134">
        <v>0</v>
      </c>
      <c r="AG134">
        <v>0</v>
      </c>
      <c r="AH134">
        <f t="shared" si="43"/>
        <v>1</v>
      </c>
      <c r="AI134">
        <f t="shared" si="44"/>
        <v>0</v>
      </c>
      <c r="AJ134">
        <f t="shared" si="45"/>
        <v>0</v>
      </c>
      <c r="AK134">
        <f t="shared" si="46"/>
        <v>1</v>
      </c>
      <c r="AL134">
        <f t="shared" si="47"/>
        <v>0</v>
      </c>
      <c r="AM134">
        <f t="shared" si="48"/>
        <v>0</v>
      </c>
      <c r="AN134">
        <f t="shared" si="49"/>
        <v>1</v>
      </c>
      <c r="AO134">
        <f>SUM(AN$2:$AN134)</f>
        <v>133</v>
      </c>
    </row>
    <row r="135" spans="1:41" customFormat="1" x14ac:dyDescent="0.35">
      <c r="A135" t="s">
        <v>189</v>
      </c>
      <c r="B135" t="s">
        <v>2401</v>
      </c>
      <c r="C135">
        <v>12450</v>
      </c>
      <c r="D135" t="s">
        <v>2402</v>
      </c>
      <c r="E135">
        <v>609</v>
      </c>
      <c r="F135">
        <v>987</v>
      </c>
      <c r="G135">
        <v>3053</v>
      </c>
      <c r="H135">
        <v>0</v>
      </c>
      <c r="I135">
        <v>0</v>
      </c>
      <c r="J135">
        <v>0</v>
      </c>
      <c r="K135">
        <v>2714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157</v>
      </c>
      <c r="X135">
        <v>6</v>
      </c>
      <c r="Y135" t="s">
        <v>435</v>
      </c>
      <c r="Z135" t="s">
        <v>1706</v>
      </c>
      <c r="AA135" t="s">
        <v>150</v>
      </c>
      <c r="AB135" t="s">
        <v>149</v>
      </c>
      <c r="AC135" t="s">
        <v>497</v>
      </c>
      <c r="AD135">
        <v>3138</v>
      </c>
      <c r="AE135">
        <v>0</v>
      </c>
      <c r="AF135">
        <v>0</v>
      </c>
      <c r="AG135">
        <v>0</v>
      </c>
      <c r="AH135">
        <f t="shared" si="43"/>
        <v>1</v>
      </c>
      <c r="AI135">
        <f t="shared" si="44"/>
        <v>0</v>
      </c>
      <c r="AJ135">
        <f t="shared" si="45"/>
        <v>0</v>
      </c>
      <c r="AK135">
        <f t="shared" si="46"/>
        <v>0</v>
      </c>
      <c r="AL135">
        <f t="shared" si="47"/>
        <v>1</v>
      </c>
      <c r="AM135">
        <f t="shared" si="48"/>
        <v>0</v>
      </c>
      <c r="AN135">
        <f t="shared" si="49"/>
        <v>1</v>
      </c>
      <c r="AO135">
        <f>SUM(AN$2:$AN135)</f>
        <v>134</v>
      </c>
    </row>
    <row r="136" spans="1:41" customFormat="1" x14ac:dyDescent="0.35">
      <c r="A136" t="s">
        <v>189</v>
      </c>
      <c r="B136" t="s">
        <v>2403</v>
      </c>
      <c r="C136">
        <v>12450</v>
      </c>
      <c r="D136" t="s">
        <v>2404</v>
      </c>
      <c r="E136">
        <v>0</v>
      </c>
      <c r="F136">
        <v>2126</v>
      </c>
      <c r="G136">
        <v>0</v>
      </c>
      <c r="H136">
        <v>0</v>
      </c>
      <c r="I136">
        <v>3223</v>
      </c>
      <c r="J136">
        <v>3562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352</v>
      </c>
      <c r="X136">
        <v>4</v>
      </c>
      <c r="Y136" t="s">
        <v>435</v>
      </c>
      <c r="Z136" t="s">
        <v>1708</v>
      </c>
      <c r="AA136" t="s">
        <v>150</v>
      </c>
      <c r="AB136" t="s">
        <v>149</v>
      </c>
      <c r="AC136" t="s">
        <v>497</v>
      </c>
      <c r="AD136">
        <v>3138</v>
      </c>
      <c r="AE136">
        <v>0</v>
      </c>
      <c r="AF136">
        <v>0</v>
      </c>
      <c r="AG136">
        <v>0</v>
      </c>
      <c r="AH136">
        <f t="shared" si="43"/>
        <v>0</v>
      </c>
      <c r="AI136">
        <f t="shared" si="44"/>
        <v>0</v>
      </c>
      <c r="AJ136">
        <f t="shared" si="45"/>
        <v>1</v>
      </c>
      <c r="AK136">
        <f t="shared" si="46"/>
        <v>1</v>
      </c>
      <c r="AL136">
        <f t="shared" si="47"/>
        <v>0</v>
      </c>
      <c r="AM136">
        <f t="shared" si="48"/>
        <v>0</v>
      </c>
      <c r="AN136">
        <f t="shared" si="49"/>
        <v>1</v>
      </c>
      <c r="AO136">
        <f>SUM(AN$2:$AN136)</f>
        <v>135</v>
      </c>
    </row>
    <row r="137" spans="1:41" customFormat="1" x14ac:dyDescent="0.35">
      <c r="A137" t="s">
        <v>189</v>
      </c>
      <c r="B137" t="s">
        <v>2405</v>
      </c>
      <c r="C137">
        <v>12450</v>
      </c>
      <c r="D137" t="s">
        <v>2406</v>
      </c>
      <c r="E137">
        <v>0</v>
      </c>
      <c r="F137">
        <v>2582</v>
      </c>
      <c r="G137">
        <v>0</v>
      </c>
      <c r="H137">
        <v>0</v>
      </c>
      <c r="I137">
        <v>0</v>
      </c>
      <c r="J137">
        <v>5683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 t="s">
        <v>2407</v>
      </c>
      <c r="X137">
        <v>4</v>
      </c>
      <c r="Y137" t="s">
        <v>435</v>
      </c>
      <c r="Z137" t="s">
        <v>1707</v>
      </c>
      <c r="AA137" t="s">
        <v>150</v>
      </c>
      <c r="AB137" t="s">
        <v>358</v>
      </c>
      <c r="AC137" t="s">
        <v>497</v>
      </c>
      <c r="AD137">
        <v>3138</v>
      </c>
      <c r="AE137">
        <v>0</v>
      </c>
      <c r="AF137">
        <v>0</v>
      </c>
      <c r="AG137">
        <v>0</v>
      </c>
      <c r="AH137">
        <f t="shared" si="43"/>
        <v>0</v>
      </c>
      <c r="AI137">
        <f t="shared" si="44"/>
        <v>0</v>
      </c>
      <c r="AJ137">
        <f t="shared" si="45"/>
        <v>0</v>
      </c>
      <c r="AK137">
        <f t="shared" si="46"/>
        <v>1</v>
      </c>
      <c r="AL137">
        <f t="shared" si="47"/>
        <v>0</v>
      </c>
      <c r="AM137">
        <f t="shared" si="48"/>
        <v>0</v>
      </c>
      <c r="AN137">
        <f t="shared" si="49"/>
        <v>1</v>
      </c>
      <c r="AO137">
        <f>SUM(AN$2:$AN137)</f>
        <v>136</v>
      </c>
    </row>
    <row r="138" spans="1:41" x14ac:dyDescent="0.35">
      <c r="A138" t="s">
        <v>189</v>
      </c>
      <c r="B138" t="s">
        <v>2408</v>
      </c>
      <c r="C138">
        <v>12450</v>
      </c>
      <c r="D138" t="s">
        <v>2409</v>
      </c>
      <c r="E138">
        <v>0</v>
      </c>
      <c r="F138">
        <v>2126</v>
      </c>
      <c r="G138">
        <v>0</v>
      </c>
      <c r="H138">
        <v>0</v>
      </c>
      <c r="I138">
        <v>3223</v>
      </c>
      <c r="J138">
        <v>0</v>
      </c>
      <c r="K138">
        <v>3562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t="s">
        <v>421</v>
      </c>
      <c r="X138">
        <v>4</v>
      </c>
      <c r="Y138" t="s">
        <v>435</v>
      </c>
      <c r="Z138" t="s">
        <v>1709</v>
      </c>
      <c r="AA138" t="s">
        <v>358</v>
      </c>
      <c r="AB138" t="s">
        <v>149</v>
      </c>
      <c r="AC138" t="s">
        <v>497</v>
      </c>
      <c r="AD138">
        <v>3138</v>
      </c>
      <c r="AE138">
        <v>0</v>
      </c>
      <c r="AF138">
        <v>0</v>
      </c>
      <c r="AG138">
        <v>0</v>
      </c>
      <c r="AH138">
        <f t="shared" si="43"/>
        <v>0</v>
      </c>
      <c r="AI138">
        <f t="shared" si="44"/>
        <v>0</v>
      </c>
      <c r="AJ138">
        <f t="shared" si="45"/>
        <v>1</v>
      </c>
      <c r="AK138">
        <f t="shared" si="46"/>
        <v>0</v>
      </c>
      <c r="AL138">
        <f t="shared" si="47"/>
        <v>1</v>
      </c>
      <c r="AM138">
        <f t="shared" si="48"/>
        <v>0</v>
      </c>
      <c r="AN138">
        <f t="shared" si="49"/>
        <v>1</v>
      </c>
      <c r="AO138">
        <f>SUM(AN$2:$AN138)</f>
        <v>137</v>
      </c>
    </row>
    <row r="139" spans="1:41" x14ac:dyDescent="0.35">
      <c r="A139" t="s">
        <v>189</v>
      </c>
      <c r="B139" t="s">
        <v>2410</v>
      </c>
      <c r="C139">
        <v>12450</v>
      </c>
      <c r="D139" t="s">
        <v>2411</v>
      </c>
      <c r="E139">
        <v>0</v>
      </c>
      <c r="F139">
        <v>1823</v>
      </c>
      <c r="G139">
        <v>2205</v>
      </c>
      <c r="H139">
        <v>0</v>
      </c>
      <c r="I139">
        <v>0</v>
      </c>
      <c r="J139">
        <v>0</v>
      </c>
      <c r="K139">
        <v>5428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t="s">
        <v>330</v>
      </c>
      <c r="X139">
        <v>4</v>
      </c>
      <c r="Y139" t="s">
        <v>435</v>
      </c>
      <c r="Z139" t="s">
        <v>1710</v>
      </c>
      <c r="AA139" t="s">
        <v>358</v>
      </c>
      <c r="AB139" t="s">
        <v>149</v>
      </c>
      <c r="AC139" t="s">
        <v>497</v>
      </c>
      <c r="AD139">
        <v>3138</v>
      </c>
      <c r="AE139">
        <v>0</v>
      </c>
      <c r="AF139">
        <v>0</v>
      </c>
      <c r="AG139">
        <v>0</v>
      </c>
      <c r="AH139">
        <f t="shared" si="43"/>
        <v>1</v>
      </c>
      <c r="AI139">
        <f t="shared" si="44"/>
        <v>0</v>
      </c>
      <c r="AJ139">
        <f t="shared" si="45"/>
        <v>0</v>
      </c>
      <c r="AK139">
        <f t="shared" si="46"/>
        <v>0</v>
      </c>
      <c r="AL139">
        <f t="shared" si="47"/>
        <v>1</v>
      </c>
      <c r="AM139">
        <f t="shared" si="48"/>
        <v>0</v>
      </c>
      <c r="AN139">
        <f t="shared" si="49"/>
        <v>1</v>
      </c>
      <c r="AO139">
        <f>SUM(AN$2:$AN139)</f>
        <v>138</v>
      </c>
    </row>
    <row r="140" spans="1:41" x14ac:dyDescent="0.35">
      <c r="A140" t="s">
        <v>189</v>
      </c>
      <c r="B140" t="s">
        <v>2412</v>
      </c>
      <c r="C140">
        <v>12600</v>
      </c>
      <c r="D140" t="s">
        <v>2413</v>
      </c>
      <c r="E140">
        <v>616</v>
      </c>
      <c r="F140">
        <v>999</v>
      </c>
      <c r="G140">
        <v>0</v>
      </c>
      <c r="H140">
        <v>0</v>
      </c>
      <c r="I140">
        <v>3090</v>
      </c>
      <c r="J140">
        <v>2747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 t="s">
        <v>348</v>
      </c>
      <c r="X140">
        <v>6</v>
      </c>
      <c r="Y140" t="s">
        <v>442</v>
      </c>
      <c r="Z140" t="s">
        <v>1711</v>
      </c>
      <c r="AA140" t="s">
        <v>149</v>
      </c>
      <c r="AB140" t="s">
        <v>152</v>
      </c>
      <c r="AC140" t="s">
        <v>497</v>
      </c>
      <c r="AD140">
        <v>3176</v>
      </c>
      <c r="AE140">
        <v>0</v>
      </c>
      <c r="AF140">
        <v>0</v>
      </c>
      <c r="AG140">
        <v>0</v>
      </c>
      <c r="AH140">
        <f t="shared" si="43"/>
        <v>0</v>
      </c>
      <c r="AI140">
        <f t="shared" si="44"/>
        <v>0</v>
      </c>
      <c r="AJ140">
        <f t="shared" si="45"/>
        <v>1</v>
      </c>
      <c r="AK140">
        <f t="shared" si="46"/>
        <v>1</v>
      </c>
      <c r="AL140">
        <f t="shared" si="47"/>
        <v>0</v>
      </c>
      <c r="AM140">
        <f t="shared" si="48"/>
        <v>0</v>
      </c>
      <c r="AN140">
        <f t="shared" si="49"/>
        <v>1</v>
      </c>
      <c r="AO140">
        <f>SUM(AN$2:$AN140)</f>
        <v>139</v>
      </c>
    </row>
    <row r="141" spans="1:41" x14ac:dyDescent="0.35">
      <c r="A141" t="s">
        <v>160</v>
      </c>
      <c r="B141" t="s">
        <v>1333</v>
      </c>
      <c r="C141">
        <v>7000</v>
      </c>
      <c r="D141" t="s">
        <v>1712</v>
      </c>
      <c r="E141">
        <v>339</v>
      </c>
      <c r="F141">
        <v>466</v>
      </c>
      <c r="G141">
        <v>710</v>
      </c>
      <c r="H141">
        <v>0</v>
      </c>
      <c r="I141">
        <v>710</v>
      </c>
      <c r="J141">
        <v>0</v>
      </c>
      <c r="K141">
        <v>0</v>
      </c>
      <c r="L141">
        <v>473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448</v>
      </c>
      <c r="X141">
        <v>8</v>
      </c>
      <c r="Y141" t="s">
        <v>437</v>
      </c>
      <c r="Z141" t="s">
        <v>1713</v>
      </c>
      <c r="AA141" t="s">
        <v>497</v>
      </c>
      <c r="AB141" t="s">
        <v>497</v>
      </c>
      <c r="AC141" t="s">
        <v>497</v>
      </c>
      <c r="AD141">
        <v>1750</v>
      </c>
      <c r="AE141">
        <v>0</v>
      </c>
      <c r="AF141">
        <v>0</v>
      </c>
      <c r="AG141">
        <v>0</v>
      </c>
      <c r="AH141">
        <f t="shared" si="43"/>
        <v>1</v>
      </c>
      <c r="AI141">
        <f t="shared" si="44"/>
        <v>0</v>
      </c>
      <c r="AJ141">
        <f t="shared" si="45"/>
        <v>1</v>
      </c>
      <c r="AK141">
        <f t="shared" si="46"/>
        <v>0</v>
      </c>
      <c r="AL141">
        <f t="shared" si="47"/>
        <v>0</v>
      </c>
      <c r="AM141">
        <f t="shared" si="48"/>
        <v>1</v>
      </c>
      <c r="AN141">
        <f t="shared" si="49"/>
        <v>1</v>
      </c>
      <c r="AO141">
        <f>SUM(AN$2:$AN141)</f>
        <v>140</v>
      </c>
    </row>
    <row r="142" spans="1:41" x14ac:dyDescent="0.35">
      <c r="A142" t="s">
        <v>160</v>
      </c>
      <c r="B142" t="s">
        <v>1333</v>
      </c>
      <c r="C142">
        <v>7500</v>
      </c>
      <c r="D142" t="s">
        <v>1715</v>
      </c>
      <c r="E142">
        <v>364</v>
      </c>
      <c r="F142">
        <v>499</v>
      </c>
      <c r="G142">
        <v>760</v>
      </c>
      <c r="H142">
        <v>0</v>
      </c>
      <c r="I142">
        <v>760</v>
      </c>
      <c r="J142">
        <v>0</v>
      </c>
      <c r="K142">
        <v>0</v>
      </c>
      <c r="L142">
        <v>507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448</v>
      </c>
      <c r="X142">
        <v>8</v>
      </c>
      <c r="Y142" t="s">
        <v>437</v>
      </c>
      <c r="Z142" t="s">
        <v>1716</v>
      </c>
      <c r="AA142" t="s">
        <v>497</v>
      </c>
      <c r="AB142" t="s">
        <v>497</v>
      </c>
      <c r="AC142" t="s">
        <v>497</v>
      </c>
      <c r="AD142">
        <v>1875</v>
      </c>
      <c r="AE142">
        <v>0</v>
      </c>
      <c r="AF142">
        <v>0</v>
      </c>
      <c r="AG142">
        <v>0</v>
      </c>
      <c r="AH142">
        <f t="shared" si="43"/>
        <v>1</v>
      </c>
      <c r="AI142">
        <f t="shared" si="44"/>
        <v>0</v>
      </c>
      <c r="AJ142">
        <f t="shared" si="45"/>
        <v>1</v>
      </c>
      <c r="AK142">
        <f t="shared" si="46"/>
        <v>0</v>
      </c>
      <c r="AL142">
        <f t="shared" si="47"/>
        <v>0</v>
      </c>
      <c r="AM142">
        <f t="shared" si="48"/>
        <v>1</v>
      </c>
      <c r="AN142">
        <f t="shared" si="49"/>
        <v>1</v>
      </c>
      <c r="AO142">
        <f>SUM(AN$2:$AN142)</f>
        <v>141</v>
      </c>
    </row>
    <row r="143" spans="1:41" x14ac:dyDescent="0.35">
      <c r="A143" t="s">
        <v>160</v>
      </c>
      <c r="B143" t="s">
        <v>2644</v>
      </c>
      <c r="C143">
        <v>7800</v>
      </c>
      <c r="D143" t="s">
        <v>2645</v>
      </c>
      <c r="E143">
        <v>378</v>
      </c>
      <c r="F143">
        <v>519</v>
      </c>
      <c r="G143">
        <v>791</v>
      </c>
      <c r="H143">
        <v>0</v>
      </c>
      <c r="I143">
        <v>791</v>
      </c>
      <c r="J143">
        <v>0</v>
      </c>
      <c r="K143">
        <v>0</v>
      </c>
      <c r="L143">
        <v>527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448</v>
      </c>
      <c r="X143">
        <v>8</v>
      </c>
      <c r="Y143" t="s">
        <v>437</v>
      </c>
      <c r="Z143" t="s">
        <v>1714</v>
      </c>
      <c r="AA143" t="s">
        <v>497</v>
      </c>
      <c r="AB143" t="s">
        <v>497</v>
      </c>
      <c r="AC143" t="s">
        <v>497</v>
      </c>
      <c r="AD143">
        <v>1951</v>
      </c>
      <c r="AE143">
        <v>0</v>
      </c>
      <c r="AF143">
        <v>0</v>
      </c>
      <c r="AG143">
        <v>0</v>
      </c>
      <c r="AH143">
        <f t="shared" si="43"/>
        <v>1</v>
      </c>
      <c r="AI143">
        <f t="shared" si="44"/>
        <v>0</v>
      </c>
      <c r="AJ143">
        <f t="shared" si="45"/>
        <v>1</v>
      </c>
      <c r="AK143">
        <f t="shared" si="46"/>
        <v>0</v>
      </c>
      <c r="AL143">
        <f t="shared" si="47"/>
        <v>0</v>
      </c>
      <c r="AM143">
        <f t="shared" si="48"/>
        <v>1</v>
      </c>
      <c r="AN143">
        <f t="shared" si="49"/>
        <v>1</v>
      </c>
      <c r="AO143">
        <f>SUM(AN$2:$AN143)</f>
        <v>142</v>
      </c>
    </row>
    <row r="144" spans="1:41" x14ac:dyDescent="0.35">
      <c r="A144" t="s">
        <v>160</v>
      </c>
      <c r="B144" t="s">
        <v>860</v>
      </c>
      <c r="C144">
        <v>8000</v>
      </c>
      <c r="D144" t="s">
        <v>861</v>
      </c>
      <c r="E144">
        <v>279</v>
      </c>
      <c r="F144">
        <v>453</v>
      </c>
      <c r="G144">
        <v>1401</v>
      </c>
      <c r="H144">
        <v>0</v>
      </c>
      <c r="I144">
        <v>0</v>
      </c>
      <c r="J144">
        <v>0</v>
      </c>
      <c r="K144">
        <v>1246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157</v>
      </c>
      <c r="X144">
        <v>6</v>
      </c>
      <c r="Y144" t="s">
        <v>435</v>
      </c>
      <c r="Z144" t="s">
        <v>1719</v>
      </c>
      <c r="AA144" t="s">
        <v>497</v>
      </c>
      <c r="AB144" t="s">
        <v>497</v>
      </c>
      <c r="AC144" t="s">
        <v>497</v>
      </c>
      <c r="AD144">
        <v>1440</v>
      </c>
      <c r="AE144">
        <v>0</v>
      </c>
      <c r="AF144">
        <v>0</v>
      </c>
      <c r="AG144">
        <v>0</v>
      </c>
      <c r="AH144">
        <f t="shared" si="43"/>
        <v>1</v>
      </c>
      <c r="AI144">
        <f t="shared" si="44"/>
        <v>0</v>
      </c>
      <c r="AJ144">
        <f t="shared" si="45"/>
        <v>0</v>
      </c>
      <c r="AK144">
        <f t="shared" si="46"/>
        <v>0</v>
      </c>
      <c r="AL144">
        <f t="shared" si="47"/>
        <v>1</v>
      </c>
      <c r="AM144">
        <f t="shared" si="48"/>
        <v>0</v>
      </c>
      <c r="AN144">
        <f t="shared" si="49"/>
        <v>1</v>
      </c>
      <c r="AO144">
        <f>SUM(AN$2:$AN144)</f>
        <v>143</v>
      </c>
    </row>
    <row r="145" spans="1:41" x14ac:dyDescent="0.35">
      <c r="A145" t="s">
        <v>160</v>
      </c>
      <c r="B145" t="s">
        <v>856</v>
      </c>
      <c r="C145">
        <v>8100</v>
      </c>
      <c r="D145" t="s">
        <v>1720</v>
      </c>
      <c r="E145">
        <v>283</v>
      </c>
      <c r="F145">
        <v>459</v>
      </c>
      <c r="G145">
        <v>1419</v>
      </c>
      <c r="H145">
        <v>0</v>
      </c>
      <c r="I145">
        <v>0</v>
      </c>
      <c r="J145">
        <v>1261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350</v>
      </c>
      <c r="X145">
        <v>6</v>
      </c>
      <c r="Y145" t="s">
        <v>437</v>
      </c>
      <c r="Z145" t="s">
        <v>1721</v>
      </c>
      <c r="AA145" t="s">
        <v>497</v>
      </c>
      <c r="AB145" t="s">
        <v>497</v>
      </c>
      <c r="AC145" t="s">
        <v>497</v>
      </c>
      <c r="AD145">
        <v>1458</v>
      </c>
      <c r="AE145">
        <v>0</v>
      </c>
      <c r="AF145">
        <v>0</v>
      </c>
      <c r="AG145">
        <v>0</v>
      </c>
      <c r="AH145">
        <f t="shared" ref="AH145:AM145" si="50">IF(G145&gt;1,1,0)</f>
        <v>1</v>
      </c>
      <c r="AI145">
        <f t="shared" si="50"/>
        <v>0</v>
      </c>
      <c r="AJ145">
        <f t="shared" si="50"/>
        <v>0</v>
      </c>
      <c r="AK145">
        <f t="shared" si="50"/>
        <v>1</v>
      </c>
      <c r="AL145">
        <f t="shared" si="50"/>
        <v>0</v>
      </c>
      <c r="AM145">
        <f t="shared" si="50"/>
        <v>0</v>
      </c>
      <c r="AN145">
        <f>MIN(1,($AV$2+IF(AND(AH145&gt;=$AP$3,AI145&gt;=$AQ$3,AJ145&gt;=$AR$3,AK145&gt;=$AS$3,AL145&gt;=$AT$3,AM145&gt;=$AU$3),1,0)))</f>
        <v>1</v>
      </c>
      <c r="AO145">
        <f>SUM(AN$2:$AN145)</f>
        <v>144</v>
      </c>
    </row>
    <row r="146" spans="1:41" x14ac:dyDescent="0.35">
      <c r="A146" t="s">
        <v>160</v>
      </c>
      <c r="B146" t="s">
        <v>857</v>
      </c>
      <c r="C146">
        <v>8100</v>
      </c>
      <c r="D146" t="s">
        <v>1722</v>
      </c>
      <c r="E146">
        <v>283</v>
      </c>
      <c r="F146">
        <v>459</v>
      </c>
      <c r="G146">
        <v>1419</v>
      </c>
      <c r="H146">
        <v>0</v>
      </c>
      <c r="I146">
        <v>0</v>
      </c>
      <c r="J146">
        <v>0</v>
      </c>
      <c r="K146">
        <v>1261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157</v>
      </c>
      <c r="X146">
        <v>6</v>
      </c>
      <c r="Y146" t="s">
        <v>437</v>
      </c>
      <c r="Z146" t="s">
        <v>1723</v>
      </c>
      <c r="AA146" t="s">
        <v>497</v>
      </c>
      <c r="AB146" t="s">
        <v>497</v>
      </c>
      <c r="AC146" t="s">
        <v>497</v>
      </c>
      <c r="AD146">
        <v>1458</v>
      </c>
      <c r="AE146">
        <v>0</v>
      </c>
      <c r="AF146">
        <v>0</v>
      </c>
      <c r="AG146">
        <v>0</v>
      </c>
      <c r="AH146">
        <f t="shared" si="43"/>
        <v>1</v>
      </c>
      <c r="AI146">
        <f t="shared" si="44"/>
        <v>0</v>
      </c>
      <c r="AJ146">
        <f t="shared" si="45"/>
        <v>0</v>
      </c>
      <c r="AK146">
        <f t="shared" si="46"/>
        <v>0</v>
      </c>
      <c r="AL146">
        <f t="shared" si="47"/>
        <v>1</v>
      </c>
      <c r="AM146">
        <f t="shared" si="48"/>
        <v>0</v>
      </c>
      <c r="AN146">
        <f t="shared" si="49"/>
        <v>1</v>
      </c>
      <c r="AO146">
        <f>SUM(AN$2:$AN146)</f>
        <v>145</v>
      </c>
    </row>
    <row r="147" spans="1:41" x14ac:dyDescent="0.35">
      <c r="A147" t="s">
        <v>160</v>
      </c>
      <c r="B147" t="s">
        <v>858</v>
      </c>
      <c r="C147">
        <v>8150</v>
      </c>
      <c r="D147" t="s">
        <v>1724</v>
      </c>
      <c r="E147">
        <v>285</v>
      </c>
      <c r="F147">
        <v>462</v>
      </c>
      <c r="G147">
        <v>1428</v>
      </c>
      <c r="H147">
        <v>0</v>
      </c>
      <c r="I147">
        <v>0</v>
      </c>
      <c r="J147">
        <v>0</v>
      </c>
      <c r="K147">
        <v>1269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157</v>
      </c>
      <c r="X147">
        <v>6</v>
      </c>
      <c r="Y147" t="s">
        <v>438</v>
      </c>
      <c r="Z147" t="s">
        <v>1725</v>
      </c>
      <c r="AA147" t="s">
        <v>497</v>
      </c>
      <c r="AB147" t="s">
        <v>497</v>
      </c>
      <c r="AC147" t="s">
        <v>497</v>
      </c>
      <c r="AD147">
        <v>1467</v>
      </c>
      <c r="AE147">
        <v>0</v>
      </c>
      <c r="AF147">
        <v>0</v>
      </c>
      <c r="AG147">
        <v>0</v>
      </c>
      <c r="AH147">
        <f t="shared" si="43"/>
        <v>1</v>
      </c>
      <c r="AI147">
        <f t="shared" si="44"/>
        <v>0</v>
      </c>
      <c r="AJ147">
        <f t="shared" si="45"/>
        <v>0</v>
      </c>
      <c r="AK147">
        <f t="shared" si="46"/>
        <v>0</v>
      </c>
      <c r="AL147">
        <f t="shared" si="47"/>
        <v>1</v>
      </c>
      <c r="AM147">
        <f t="shared" si="48"/>
        <v>0</v>
      </c>
      <c r="AN147">
        <f t="shared" si="49"/>
        <v>1</v>
      </c>
      <c r="AO147">
        <f>SUM(AN$2:$AN147)</f>
        <v>146</v>
      </c>
    </row>
    <row r="148" spans="1:41" x14ac:dyDescent="0.35">
      <c r="A148" t="s">
        <v>160</v>
      </c>
      <c r="B148" t="s">
        <v>1333</v>
      </c>
      <c r="C148">
        <v>8300</v>
      </c>
      <c r="D148" t="s">
        <v>1726</v>
      </c>
      <c r="E148">
        <v>402</v>
      </c>
      <c r="F148">
        <v>552</v>
      </c>
      <c r="G148">
        <v>841</v>
      </c>
      <c r="H148">
        <v>0</v>
      </c>
      <c r="I148">
        <v>841</v>
      </c>
      <c r="J148">
        <v>0</v>
      </c>
      <c r="K148">
        <v>0</v>
      </c>
      <c r="L148">
        <v>561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448</v>
      </c>
      <c r="X148">
        <v>8</v>
      </c>
      <c r="Y148" t="s">
        <v>437</v>
      </c>
      <c r="Z148" t="s">
        <v>1727</v>
      </c>
      <c r="AA148" t="s">
        <v>497</v>
      </c>
      <c r="AB148" t="s">
        <v>497</v>
      </c>
      <c r="AC148" t="s">
        <v>497</v>
      </c>
      <c r="AD148">
        <v>2076</v>
      </c>
      <c r="AE148">
        <v>0</v>
      </c>
      <c r="AF148">
        <v>0</v>
      </c>
      <c r="AG148">
        <v>0</v>
      </c>
      <c r="AH148">
        <f t="shared" si="43"/>
        <v>1</v>
      </c>
      <c r="AI148">
        <f t="shared" si="44"/>
        <v>0</v>
      </c>
      <c r="AJ148">
        <f t="shared" si="45"/>
        <v>1</v>
      </c>
      <c r="AK148">
        <f t="shared" si="46"/>
        <v>0</v>
      </c>
      <c r="AL148">
        <f t="shared" si="47"/>
        <v>0</v>
      </c>
      <c r="AM148">
        <f t="shared" si="48"/>
        <v>1</v>
      </c>
      <c r="AN148">
        <f t="shared" si="49"/>
        <v>1</v>
      </c>
      <c r="AO148">
        <f>SUM(AN$2:$AN148)</f>
        <v>147</v>
      </c>
    </row>
    <row r="149" spans="1:41" x14ac:dyDescent="0.35">
      <c r="A149" t="s">
        <v>160</v>
      </c>
      <c r="B149" t="s">
        <v>2644</v>
      </c>
      <c r="C149">
        <v>8400</v>
      </c>
      <c r="D149" t="s">
        <v>2646</v>
      </c>
      <c r="E149">
        <v>407</v>
      </c>
      <c r="F149">
        <v>559</v>
      </c>
      <c r="G149">
        <v>852</v>
      </c>
      <c r="H149">
        <v>0</v>
      </c>
      <c r="I149">
        <v>852</v>
      </c>
      <c r="J149">
        <v>0</v>
      </c>
      <c r="K149">
        <v>0</v>
      </c>
      <c r="L149">
        <v>568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448</v>
      </c>
      <c r="X149">
        <v>8</v>
      </c>
      <c r="Y149" t="s">
        <v>437</v>
      </c>
      <c r="Z149" t="s">
        <v>1717</v>
      </c>
      <c r="AA149" t="s">
        <v>497</v>
      </c>
      <c r="AB149" t="s">
        <v>497</v>
      </c>
      <c r="AC149" t="s">
        <v>497</v>
      </c>
      <c r="AD149">
        <v>2101</v>
      </c>
      <c r="AE149">
        <v>0</v>
      </c>
      <c r="AF149">
        <v>0</v>
      </c>
      <c r="AG149">
        <v>0</v>
      </c>
      <c r="AH149">
        <f t="shared" si="43"/>
        <v>1</v>
      </c>
      <c r="AI149">
        <f t="shared" si="44"/>
        <v>0</v>
      </c>
      <c r="AJ149">
        <f t="shared" si="45"/>
        <v>1</v>
      </c>
      <c r="AK149">
        <f t="shared" si="46"/>
        <v>0</v>
      </c>
      <c r="AL149">
        <f t="shared" si="47"/>
        <v>0</v>
      </c>
      <c r="AM149">
        <f t="shared" si="48"/>
        <v>1</v>
      </c>
      <c r="AN149">
        <f t="shared" si="49"/>
        <v>1</v>
      </c>
      <c r="AO149">
        <f>SUM(AN$2:$AN149)</f>
        <v>148</v>
      </c>
    </row>
    <row r="150" spans="1:41" x14ac:dyDescent="0.35">
      <c r="A150" t="s">
        <v>160</v>
      </c>
      <c r="B150" t="s">
        <v>859</v>
      </c>
      <c r="C150">
        <v>8600</v>
      </c>
      <c r="D150" t="s">
        <v>1728</v>
      </c>
      <c r="E150">
        <v>375</v>
      </c>
      <c r="F150">
        <v>749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1925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627</v>
      </c>
      <c r="X150">
        <v>6</v>
      </c>
      <c r="Y150" t="s">
        <v>628</v>
      </c>
      <c r="Z150" t="s">
        <v>1729</v>
      </c>
      <c r="AA150" t="s">
        <v>497</v>
      </c>
      <c r="AB150" t="s">
        <v>497</v>
      </c>
      <c r="AC150" t="s">
        <v>497</v>
      </c>
      <c r="AD150">
        <v>1548</v>
      </c>
      <c r="AE150">
        <v>0</v>
      </c>
      <c r="AF150">
        <v>0</v>
      </c>
      <c r="AG150">
        <v>0</v>
      </c>
      <c r="AH150">
        <f t="shared" si="43"/>
        <v>0</v>
      </c>
      <c r="AI150">
        <f t="shared" si="44"/>
        <v>0</v>
      </c>
      <c r="AJ150">
        <f t="shared" si="45"/>
        <v>0</v>
      </c>
      <c r="AK150">
        <f t="shared" si="46"/>
        <v>0</v>
      </c>
      <c r="AL150">
        <f t="shared" si="47"/>
        <v>0</v>
      </c>
      <c r="AM150">
        <f t="shared" si="48"/>
        <v>1</v>
      </c>
      <c r="AN150">
        <f t="shared" si="49"/>
        <v>1</v>
      </c>
      <c r="AO150">
        <f>SUM(AN$2:$AN150)</f>
        <v>149</v>
      </c>
    </row>
    <row r="151" spans="1:41" x14ac:dyDescent="0.35">
      <c r="A151" t="s">
        <v>160</v>
      </c>
      <c r="B151" t="s">
        <v>858</v>
      </c>
      <c r="C151">
        <v>8800</v>
      </c>
      <c r="D151" t="s">
        <v>863</v>
      </c>
      <c r="E151">
        <v>307</v>
      </c>
      <c r="F151">
        <v>498</v>
      </c>
      <c r="G151">
        <v>1542</v>
      </c>
      <c r="H151">
        <v>0</v>
      </c>
      <c r="I151">
        <v>0</v>
      </c>
      <c r="J151">
        <v>0</v>
      </c>
      <c r="K151">
        <v>1370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157</v>
      </c>
      <c r="X151">
        <v>6</v>
      </c>
      <c r="Y151" t="s">
        <v>438</v>
      </c>
      <c r="Z151" t="s">
        <v>1730</v>
      </c>
      <c r="AA151" t="s">
        <v>497</v>
      </c>
      <c r="AB151" t="s">
        <v>497</v>
      </c>
      <c r="AC151" t="s">
        <v>497</v>
      </c>
      <c r="AD151">
        <v>1584</v>
      </c>
      <c r="AE151">
        <v>0</v>
      </c>
      <c r="AF151">
        <v>0</v>
      </c>
      <c r="AG151">
        <v>0</v>
      </c>
      <c r="AH151">
        <f t="shared" si="43"/>
        <v>1</v>
      </c>
      <c r="AI151">
        <f t="shared" si="44"/>
        <v>0</v>
      </c>
      <c r="AJ151">
        <f t="shared" si="45"/>
        <v>0</v>
      </c>
      <c r="AK151">
        <f t="shared" si="46"/>
        <v>0</v>
      </c>
      <c r="AL151">
        <f t="shared" si="47"/>
        <v>1</v>
      </c>
      <c r="AM151">
        <f t="shared" si="48"/>
        <v>0</v>
      </c>
      <c r="AN151">
        <f t="shared" si="49"/>
        <v>1</v>
      </c>
      <c r="AO151">
        <f>SUM(AN$2:$AN151)</f>
        <v>150</v>
      </c>
    </row>
    <row r="152" spans="1:41" x14ac:dyDescent="0.35">
      <c r="A152" t="s">
        <v>160</v>
      </c>
      <c r="B152" t="s">
        <v>857</v>
      </c>
      <c r="C152">
        <v>8800</v>
      </c>
      <c r="D152" t="s">
        <v>864</v>
      </c>
      <c r="E152">
        <v>307</v>
      </c>
      <c r="F152">
        <v>498</v>
      </c>
      <c r="G152">
        <v>1542</v>
      </c>
      <c r="H152">
        <v>0</v>
      </c>
      <c r="I152">
        <v>0</v>
      </c>
      <c r="J152">
        <v>0</v>
      </c>
      <c r="K152">
        <v>1370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157</v>
      </c>
      <c r="X152">
        <v>6</v>
      </c>
      <c r="Y152" t="s">
        <v>437</v>
      </c>
      <c r="Z152" t="s">
        <v>1731</v>
      </c>
      <c r="AA152" t="s">
        <v>497</v>
      </c>
      <c r="AB152" t="s">
        <v>497</v>
      </c>
      <c r="AC152" t="s">
        <v>497</v>
      </c>
      <c r="AD152">
        <v>1584</v>
      </c>
      <c r="AE152">
        <v>0</v>
      </c>
      <c r="AF152">
        <v>0</v>
      </c>
      <c r="AG152">
        <v>0</v>
      </c>
      <c r="AH152">
        <f t="shared" si="43"/>
        <v>1</v>
      </c>
      <c r="AI152">
        <f t="shared" si="44"/>
        <v>0</v>
      </c>
      <c r="AJ152">
        <f t="shared" si="45"/>
        <v>0</v>
      </c>
      <c r="AK152">
        <f t="shared" si="46"/>
        <v>0</v>
      </c>
      <c r="AL152">
        <f t="shared" si="47"/>
        <v>1</v>
      </c>
      <c r="AM152">
        <f t="shared" si="48"/>
        <v>0</v>
      </c>
      <c r="AN152">
        <f t="shared" si="49"/>
        <v>1</v>
      </c>
      <c r="AO152">
        <f>SUM(AN$2:$AN152)</f>
        <v>151</v>
      </c>
    </row>
    <row r="153" spans="1:41" x14ac:dyDescent="0.35">
      <c r="A153" t="s">
        <v>160</v>
      </c>
      <c r="B153" t="s">
        <v>862</v>
      </c>
      <c r="C153">
        <v>9100</v>
      </c>
      <c r="D153" t="s">
        <v>1732</v>
      </c>
      <c r="E153">
        <v>318</v>
      </c>
      <c r="F153">
        <v>515</v>
      </c>
      <c r="G153">
        <v>0</v>
      </c>
      <c r="H153">
        <v>0</v>
      </c>
      <c r="I153">
        <v>1594</v>
      </c>
      <c r="J153">
        <v>0</v>
      </c>
      <c r="K153">
        <v>1417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159</v>
      </c>
      <c r="X153">
        <v>6</v>
      </c>
      <c r="Y153" t="s">
        <v>435</v>
      </c>
      <c r="Z153" t="s">
        <v>1733</v>
      </c>
      <c r="AA153" t="s">
        <v>497</v>
      </c>
      <c r="AB153" t="s">
        <v>497</v>
      </c>
      <c r="AC153" t="s">
        <v>497</v>
      </c>
      <c r="AD153">
        <v>1638</v>
      </c>
      <c r="AE153">
        <v>0</v>
      </c>
      <c r="AF153">
        <v>0</v>
      </c>
      <c r="AG153">
        <v>0</v>
      </c>
      <c r="AH153">
        <f t="shared" si="43"/>
        <v>0</v>
      </c>
      <c r="AI153">
        <f t="shared" si="44"/>
        <v>0</v>
      </c>
      <c r="AJ153">
        <f t="shared" si="45"/>
        <v>1</v>
      </c>
      <c r="AK153">
        <f t="shared" si="46"/>
        <v>0</v>
      </c>
      <c r="AL153">
        <f t="shared" si="47"/>
        <v>1</v>
      </c>
      <c r="AM153">
        <f t="shared" si="48"/>
        <v>0</v>
      </c>
      <c r="AN153">
        <f t="shared" si="49"/>
        <v>1</v>
      </c>
      <c r="AO153">
        <f>SUM(AN$2:$AN153)</f>
        <v>152</v>
      </c>
    </row>
    <row r="154" spans="1:41" x14ac:dyDescent="0.35">
      <c r="A154" t="s">
        <v>160</v>
      </c>
      <c r="B154" t="s">
        <v>2644</v>
      </c>
      <c r="C154">
        <v>9300</v>
      </c>
      <c r="D154" t="s">
        <v>2647</v>
      </c>
      <c r="E154">
        <v>451</v>
      </c>
      <c r="F154">
        <v>619</v>
      </c>
      <c r="G154">
        <v>943</v>
      </c>
      <c r="H154">
        <v>0</v>
      </c>
      <c r="I154">
        <v>943</v>
      </c>
      <c r="J154">
        <v>0</v>
      </c>
      <c r="K154">
        <v>0</v>
      </c>
      <c r="L154">
        <v>629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448</v>
      </c>
      <c r="X154">
        <v>8</v>
      </c>
      <c r="Y154" t="s">
        <v>437</v>
      </c>
      <c r="Z154" t="s">
        <v>1718</v>
      </c>
      <c r="AA154" t="s">
        <v>497</v>
      </c>
      <c r="AB154" t="s">
        <v>497</v>
      </c>
      <c r="AC154" t="s">
        <v>497</v>
      </c>
      <c r="AD154">
        <v>2326</v>
      </c>
      <c r="AE154">
        <v>0</v>
      </c>
      <c r="AF154">
        <v>0</v>
      </c>
      <c r="AG154">
        <v>0</v>
      </c>
      <c r="AH154">
        <f t="shared" si="43"/>
        <v>1</v>
      </c>
      <c r="AI154">
        <f t="shared" si="44"/>
        <v>0</v>
      </c>
      <c r="AJ154">
        <f t="shared" si="45"/>
        <v>1</v>
      </c>
      <c r="AK154">
        <f t="shared" si="46"/>
        <v>0</v>
      </c>
      <c r="AL154">
        <f t="shared" si="47"/>
        <v>0</v>
      </c>
      <c r="AM154">
        <f t="shared" si="48"/>
        <v>1</v>
      </c>
      <c r="AN154">
        <f t="shared" si="49"/>
        <v>1</v>
      </c>
      <c r="AO154">
        <f>SUM(AN$2:$AN154)</f>
        <v>153</v>
      </c>
    </row>
    <row r="155" spans="1:41" x14ac:dyDescent="0.35">
      <c r="A155" t="s">
        <v>160</v>
      </c>
      <c r="B155" t="s">
        <v>858</v>
      </c>
      <c r="C155">
        <v>9450</v>
      </c>
      <c r="D155" t="s">
        <v>1734</v>
      </c>
      <c r="E155">
        <v>330</v>
      </c>
      <c r="F155">
        <v>535</v>
      </c>
      <c r="G155">
        <v>1655</v>
      </c>
      <c r="H155">
        <v>0</v>
      </c>
      <c r="I155">
        <v>0</v>
      </c>
      <c r="J155">
        <v>0</v>
      </c>
      <c r="K155">
        <v>1472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157</v>
      </c>
      <c r="X155">
        <v>6</v>
      </c>
      <c r="Y155" t="s">
        <v>438</v>
      </c>
      <c r="Z155" t="s">
        <v>1735</v>
      </c>
      <c r="AA155" t="s">
        <v>497</v>
      </c>
      <c r="AB155" t="s">
        <v>497</v>
      </c>
      <c r="AC155" t="s">
        <v>497</v>
      </c>
      <c r="AD155">
        <v>1701</v>
      </c>
      <c r="AE155">
        <v>0</v>
      </c>
      <c r="AF155">
        <v>0</v>
      </c>
      <c r="AG155">
        <v>0</v>
      </c>
      <c r="AH155">
        <f t="shared" si="43"/>
        <v>1</v>
      </c>
      <c r="AI155">
        <f t="shared" si="44"/>
        <v>0</v>
      </c>
      <c r="AJ155">
        <f t="shared" si="45"/>
        <v>0</v>
      </c>
      <c r="AK155">
        <f t="shared" si="46"/>
        <v>0</v>
      </c>
      <c r="AL155">
        <f t="shared" si="47"/>
        <v>1</v>
      </c>
      <c r="AM155">
        <f t="shared" si="48"/>
        <v>0</v>
      </c>
      <c r="AN155">
        <f t="shared" si="49"/>
        <v>1</v>
      </c>
      <c r="AO155">
        <f>SUM(AN$2:$AN155)</f>
        <v>154</v>
      </c>
    </row>
    <row r="156" spans="1:41" x14ac:dyDescent="0.35">
      <c r="A156" t="s">
        <v>160</v>
      </c>
      <c r="B156" t="s">
        <v>872</v>
      </c>
      <c r="C156">
        <v>9600</v>
      </c>
      <c r="D156" t="s">
        <v>873</v>
      </c>
      <c r="E156">
        <v>335</v>
      </c>
      <c r="F156">
        <v>544</v>
      </c>
      <c r="G156">
        <v>0</v>
      </c>
      <c r="H156">
        <v>0</v>
      </c>
      <c r="I156">
        <v>1682</v>
      </c>
      <c r="J156">
        <v>0</v>
      </c>
      <c r="K156">
        <v>1495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159</v>
      </c>
      <c r="X156">
        <v>6</v>
      </c>
      <c r="Y156" t="s">
        <v>1336</v>
      </c>
      <c r="Z156" t="s">
        <v>1736</v>
      </c>
      <c r="AA156" t="s">
        <v>497</v>
      </c>
      <c r="AB156" t="s">
        <v>497</v>
      </c>
      <c r="AC156" t="s">
        <v>497</v>
      </c>
      <c r="AD156">
        <v>1728</v>
      </c>
      <c r="AE156">
        <v>0</v>
      </c>
      <c r="AF156">
        <v>0</v>
      </c>
      <c r="AG156">
        <v>0</v>
      </c>
      <c r="AH156">
        <f t="shared" si="43"/>
        <v>0</v>
      </c>
      <c r="AI156">
        <f t="shared" si="44"/>
        <v>0</v>
      </c>
      <c r="AJ156">
        <f t="shared" si="45"/>
        <v>1</v>
      </c>
      <c r="AK156">
        <f t="shared" si="46"/>
        <v>0</v>
      </c>
      <c r="AL156">
        <f t="shared" si="47"/>
        <v>1</v>
      </c>
      <c r="AM156">
        <f t="shared" si="48"/>
        <v>0</v>
      </c>
      <c r="AN156">
        <f t="shared" si="49"/>
        <v>1</v>
      </c>
      <c r="AO156">
        <f>SUM(AN$2:$AN156)</f>
        <v>155</v>
      </c>
    </row>
    <row r="157" spans="1:41" x14ac:dyDescent="0.35">
      <c r="A157" t="s">
        <v>160</v>
      </c>
      <c r="B157" t="s">
        <v>1334</v>
      </c>
      <c r="C157">
        <v>9600</v>
      </c>
      <c r="D157" t="s">
        <v>1335</v>
      </c>
      <c r="E157">
        <v>335</v>
      </c>
      <c r="F157">
        <v>544</v>
      </c>
      <c r="G157">
        <v>1682</v>
      </c>
      <c r="H157">
        <v>0</v>
      </c>
      <c r="I157">
        <v>0</v>
      </c>
      <c r="J157">
        <v>0</v>
      </c>
      <c r="K157">
        <v>1495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157</v>
      </c>
      <c r="X157">
        <v>6</v>
      </c>
      <c r="Y157" t="s">
        <v>437</v>
      </c>
      <c r="Z157" t="s">
        <v>1737</v>
      </c>
      <c r="AA157" t="s">
        <v>497</v>
      </c>
      <c r="AB157" t="s">
        <v>497</v>
      </c>
      <c r="AC157" t="s">
        <v>497</v>
      </c>
      <c r="AD157">
        <v>1728</v>
      </c>
      <c r="AE157">
        <v>0</v>
      </c>
      <c r="AF157">
        <v>0</v>
      </c>
      <c r="AG157">
        <v>0</v>
      </c>
      <c r="AH157">
        <f t="shared" si="43"/>
        <v>1</v>
      </c>
      <c r="AI157">
        <f t="shared" si="44"/>
        <v>0</v>
      </c>
      <c r="AJ157">
        <f t="shared" si="45"/>
        <v>0</v>
      </c>
      <c r="AK157">
        <f t="shared" si="46"/>
        <v>0</v>
      </c>
      <c r="AL157">
        <f t="shared" si="47"/>
        <v>1</v>
      </c>
      <c r="AM157">
        <f t="shared" si="48"/>
        <v>0</v>
      </c>
      <c r="AN157">
        <f t="shared" si="49"/>
        <v>1</v>
      </c>
      <c r="AO157">
        <f>SUM(AN$2:$AN157)</f>
        <v>156</v>
      </c>
    </row>
    <row r="158" spans="1:41" x14ac:dyDescent="0.35">
      <c r="A158" t="s">
        <v>160</v>
      </c>
      <c r="B158" t="s">
        <v>865</v>
      </c>
      <c r="C158">
        <v>10000</v>
      </c>
      <c r="D158" t="s">
        <v>1738</v>
      </c>
      <c r="E158">
        <v>349</v>
      </c>
      <c r="F158">
        <v>566</v>
      </c>
      <c r="G158">
        <v>0</v>
      </c>
      <c r="H158">
        <v>0</v>
      </c>
      <c r="I158">
        <v>0</v>
      </c>
      <c r="J158">
        <v>1752</v>
      </c>
      <c r="K158">
        <v>1557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347</v>
      </c>
      <c r="X158">
        <v>6</v>
      </c>
      <c r="Y158" t="s">
        <v>435</v>
      </c>
      <c r="Z158" t="s">
        <v>1739</v>
      </c>
      <c r="AA158" t="s">
        <v>497</v>
      </c>
      <c r="AB158" t="s">
        <v>497</v>
      </c>
      <c r="AC158" t="s">
        <v>497</v>
      </c>
      <c r="AD158">
        <v>1800</v>
      </c>
      <c r="AE158">
        <v>0</v>
      </c>
      <c r="AF158">
        <v>0</v>
      </c>
      <c r="AG158">
        <v>0</v>
      </c>
      <c r="AH158">
        <f t="shared" si="43"/>
        <v>0</v>
      </c>
      <c r="AI158">
        <f t="shared" si="44"/>
        <v>0</v>
      </c>
      <c r="AJ158">
        <f t="shared" si="45"/>
        <v>0</v>
      </c>
      <c r="AK158">
        <f t="shared" si="46"/>
        <v>1</v>
      </c>
      <c r="AL158">
        <f t="shared" si="47"/>
        <v>1</v>
      </c>
      <c r="AM158">
        <f t="shared" si="48"/>
        <v>0</v>
      </c>
      <c r="AN158">
        <f t="shared" si="49"/>
        <v>1</v>
      </c>
      <c r="AO158">
        <f>SUM(AN$2:$AN158)</f>
        <v>157</v>
      </c>
    </row>
    <row r="159" spans="1:41" x14ac:dyDescent="0.35">
      <c r="A159" t="s">
        <v>160</v>
      </c>
      <c r="B159" t="s">
        <v>866</v>
      </c>
      <c r="C159">
        <v>10000</v>
      </c>
      <c r="D159" t="s">
        <v>1740</v>
      </c>
      <c r="E159">
        <v>349</v>
      </c>
      <c r="F159">
        <v>566</v>
      </c>
      <c r="G159">
        <v>0</v>
      </c>
      <c r="H159">
        <v>0</v>
      </c>
      <c r="I159">
        <v>1752</v>
      </c>
      <c r="J159">
        <v>1557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348</v>
      </c>
      <c r="X159">
        <v>6</v>
      </c>
      <c r="Y159" t="s">
        <v>435</v>
      </c>
      <c r="Z159" t="s">
        <v>1741</v>
      </c>
      <c r="AA159" t="s">
        <v>497</v>
      </c>
      <c r="AB159" t="s">
        <v>497</v>
      </c>
      <c r="AC159" t="s">
        <v>497</v>
      </c>
      <c r="AD159">
        <v>1800</v>
      </c>
      <c r="AE159">
        <v>0</v>
      </c>
      <c r="AF159">
        <v>0</v>
      </c>
      <c r="AG159">
        <v>0</v>
      </c>
      <c r="AH159">
        <f t="shared" si="43"/>
        <v>0</v>
      </c>
      <c r="AI159">
        <f t="shared" si="44"/>
        <v>0</v>
      </c>
      <c r="AJ159">
        <f t="shared" si="45"/>
        <v>1</v>
      </c>
      <c r="AK159">
        <f t="shared" si="46"/>
        <v>1</v>
      </c>
      <c r="AL159">
        <f t="shared" si="47"/>
        <v>0</v>
      </c>
      <c r="AM159">
        <f t="shared" si="48"/>
        <v>0</v>
      </c>
      <c r="AN159">
        <f t="shared" si="49"/>
        <v>1</v>
      </c>
      <c r="AO159">
        <f>SUM(AN$2:$AN159)</f>
        <v>158</v>
      </c>
    </row>
    <row r="160" spans="1:41" x14ac:dyDescent="0.35">
      <c r="A160" t="s">
        <v>160</v>
      </c>
      <c r="B160" t="s">
        <v>867</v>
      </c>
      <c r="C160">
        <v>10000</v>
      </c>
      <c r="D160" t="s">
        <v>1742</v>
      </c>
      <c r="E160">
        <v>349</v>
      </c>
      <c r="F160">
        <v>566</v>
      </c>
      <c r="G160">
        <v>0</v>
      </c>
      <c r="H160">
        <v>0</v>
      </c>
      <c r="I160">
        <v>1752</v>
      </c>
      <c r="J160">
        <v>1557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348</v>
      </c>
      <c r="X160">
        <v>6</v>
      </c>
      <c r="Y160" t="s">
        <v>435</v>
      </c>
      <c r="Z160" t="s">
        <v>1743</v>
      </c>
      <c r="AA160" t="s">
        <v>497</v>
      </c>
      <c r="AB160" t="s">
        <v>497</v>
      </c>
      <c r="AC160" t="s">
        <v>497</v>
      </c>
      <c r="AD160">
        <v>1800</v>
      </c>
      <c r="AE160">
        <v>0</v>
      </c>
      <c r="AF160">
        <v>0</v>
      </c>
      <c r="AG160">
        <v>0</v>
      </c>
      <c r="AH160">
        <f t="shared" si="43"/>
        <v>0</v>
      </c>
      <c r="AI160">
        <f t="shared" si="44"/>
        <v>0</v>
      </c>
      <c r="AJ160">
        <f t="shared" si="45"/>
        <v>1</v>
      </c>
      <c r="AK160">
        <f t="shared" si="46"/>
        <v>1</v>
      </c>
      <c r="AL160">
        <f t="shared" si="47"/>
        <v>0</v>
      </c>
      <c r="AM160">
        <f t="shared" si="48"/>
        <v>0</v>
      </c>
      <c r="AN160">
        <f t="shared" si="49"/>
        <v>1</v>
      </c>
      <c r="AO160">
        <f>SUM(AN$2:$AN160)</f>
        <v>159</v>
      </c>
    </row>
    <row r="161" spans="1:41" x14ac:dyDescent="0.35">
      <c r="A161" t="s">
        <v>160</v>
      </c>
      <c r="B161" t="s">
        <v>868</v>
      </c>
      <c r="C161">
        <v>10000</v>
      </c>
      <c r="D161" t="s">
        <v>1744</v>
      </c>
      <c r="E161">
        <v>349</v>
      </c>
      <c r="F161">
        <v>566</v>
      </c>
      <c r="G161">
        <v>0</v>
      </c>
      <c r="H161">
        <v>0</v>
      </c>
      <c r="I161">
        <v>0</v>
      </c>
      <c r="J161">
        <v>1557</v>
      </c>
      <c r="K161">
        <v>0</v>
      </c>
      <c r="L161">
        <v>1752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349</v>
      </c>
      <c r="X161">
        <v>6</v>
      </c>
      <c r="Y161" t="s">
        <v>435</v>
      </c>
      <c r="Z161" t="s">
        <v>1745</v>
      </c>
      <c r="AA161" t="s">
        <v>497</v>
      </c>
      <c r="AB161" t="s">
        <v>497</v>
      </c>
      <c r="AC161" t="s">
        <v>497</v>
      </c>
      <c r="AD161">
        <v>1800</v>
      </c>
      <c r="AE161">
        <v>0</v>
      </c>
      <c r="AF161">
        <v>0</v>
      </c>
      <c r="AG161">
        <v>0</v>
      </c>
      <c r="AH161">
        <f t="shared" si="43"/>
        <v>0</v>
      </c>
      <c r="AI161">
        <f t="shared" si="44"/>
        <v>0</v>
      </c>
      <c r="AJ161">
        <f t="shared" si="45"/>
        <v>0</v>
      </c>
      <c r="AK161">
        <f t="shared" si="46"/>
        <v>1</v>
      </c>
      <c r="AL161">
        <f t="shared" si="47"/>
        <v>0</v>
      </c>
      <c r="AM161">
        <f t="shared" si="48"/>
        <v>1</v>
      </c>
      <c r="AN161">
        <f t="shared" si="49"/>
        <v>1</v>
      </c>
      <c r="AO161">
        <f>SUM(AN$2:$AN161)</f>
        <v>160</v>
      </c>
    </row>
    <row r="162" spans="1:41" x14ac:dyDescent="0.35">
      <c r="A162" t="s">
        <v>160</v>
      </c>
      <c r="B162" t="s">
        <v>869</v>
      </c>
      <c r="C162">
        <v>10000</v>
      </c>
      <c r="D162" t="s">
        <v>1746</v>
      </c>
      <c r="E162">
        <v>349</v>
      </c>
      <c r="F162">
        <v>566</v>
      </c>
      <c r="G162">
        <v>0</v>
      </c>
      <c r="H162">
        <v>0</v>
      </c>
      <c r="I162">
        <v>0</v>
      </c>
      <c r="J162">
        <v>0</v>
      </c>
      <c r="K162">
        <v>1557</v>
      </c>
      <c r="L162">
        <v>1752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158</v>
      </c>
      <c r="X162">
        <v>6</v>
      </c>
      <c r="Y162" t="s">
        <v>435</v>
      </c>
      <c r="Z162" t="s">
        <v>1747</v>
      </c>
      <c r="AA162" t="s">
        <v>497</v>
      </c>
      <c r="AB162" t="s">
        <v>497</v>
      </c>
      <c r="AC162" t="s">
        <v>497</v>
      </c>
      <c r="AD162">
        <v>1800</v>
      </c>
      <c r="AE162">
        <v>0</v>
      </c>
      <c r="AF162">
        <v>0</v>
      </c>
      <c r="AG162">
        <v>0</v>
      </c>
      <c r="AH162">
        <f t="shared" si="43"/>
        <v>0</v>
      </c>
      <c r="AI162">
        <f t="shared" si="44"/>
        <v>0</v>
      </c>
      <c r="AJ162">
        <f t="shared" si="45"/>
        <v>0</v>
      </c>
      <c r="AK162">
        <f t="shared" si="46"/>
        <v>0</v>
      </c>
      <c r="AL162">
        <f t="shared" si="47"/>
        <v>1</v>
      </c>
      <c r="AM162">
        <f t="shared" si="48"/>
        <v>1</v>
      </c>
      <c r="AN162">
        <f t="shared" si="49"/>
        <v>1</v>
      </c>
      <c r="AO162">
        <f>SUM(AN$2:$AN162)</f>
        <v>161</v>
      </c>
    </row>
    <row r="163" spans="1:41" x14ac:dyDescent="0.35">
      <c r="A163" t="s">
        <v>160</v>
      </c>
      <c r="B163" t="s">
        <v>870</v>
      </c>
      <c r="C163">
        <v>10000</v>
      </c>
      <c r="D163" t="s">
        <v>1748</v>
      </c>
      <c r="E163">
        <v>349</v>
      </c>
      <c r="F163">
        <v>566</v>
      </c>
      <c r="G163">
        <v>1752</v>
      </c>
      <c r="H163">
        <v>0</v>
      </c>
      <c r="I163">
        <v>0</v>
      </c>
      <c r="J163">
        <v>1557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350</v>
      </c>
      <c r="X163">
        <v>6</v>
      </c>
      <c r="Y163" t="s">
        <v>435</v>
      </c>
      <c r="Z163" t="s">
        <v>1749</v>
      </c>
      <c r="AA163" t="s">
        <v>497</v>
      </c>
      <c r="AB163" t="s">
        <v>497</v>
      </c>
      <c r="AC163" t="s">
        <v>497</v>
      </c>
      <c r="AD163">
        <v>1800</v>
      </c>
      <c r="AE163">
        <v>0</v>
      </c>
      <c r="AF163">
        <v>0</v>
      </c>
      <c r="AG163">
        <v>0</v>
      </c>
      <c r="AH163">
        <f t="shared" si="43"/>
        <v>1</v>
      </c>
      <c r="AI163">
        <f t="shared" si="44"/>
        <v>0</v>
      </c>
      <c r="AJ163">
        <f t="shared" si="45"/>
        <v>0</v>
      </c>
      <c r="AK163">
        <f t="shared" si="46"/>
        <v>1</v>
      </c>
      <c r="AL163">
        <f t="shared" si="47"/>
        <v>0</v>
      </c>
      <c r="AM163">
        <f t="shared" si="48"/>
        <v>0</v>
      </c>
      <c r="AN163">
        <f t="shared" si="49"/>
        <v>1</v>
      </c>
      <c r="AO163">
        <f>SUM(AN$2:$AN163)</f>
        <v>162</v>
      </c>
    </row>
    <row r="164" spans="1:41" x14ac:dyDescent="0.35">
      <c r="A164" t="s">
        <v>160</v>
      </c>
      <c r="B164" t="s">
        <v>871</v>
      </c>
      <c r="C164">
        <v>10000</v>
      </c>
      <c r="D164" t="s">
        <v>1750</v>
      </c>
      <c r="E164">
        <v>349</v>
      </c>
      <c r="F164">
        <v>566</v>
      </c>
      <c r="G164">
        <v>1752</v>
      </c>
      <c r="H164">
        <v>0</v>
      </c>
      <c r="I164">
        <v>0</v>
      </c>
      <c r="J164">
        <v>1557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350</v>
      </c>
      <c r="X164">
        <v>6</v>
      </c>
      <c r="Y164" t="s">
        <v>435</v>
      </c>
      <c r="Z164" t="s">
        <v>1751</v>
      </c>
      <c r="AA164" t="s">
        <v>497</v>
      </c>
      <c r="AB164" t="s">
        <v>497</v>
      </c>
      <c r="AC164" t="s">
        <v>497</v>
      </c>
      <c r="AD164">
        <v>1800</v>
      </c>
      <c r="AE164">
        <v>0</v>
      </c>
      <c r="AF164">
        <v>0</v>
      </c>
      <c r="AG164">
        <v>0</v>
      </c>
      <c r="AH164">
        <f t="shared" si="43"/>
        <v>1</v>
      </c>
      <c r="AI164">
        <f t="shared" si="44"/>
        <v>0</v>
      </c>
      <c r="AJ164">
        <f t="shared" si="45"/>
        <v>0</v>
      </c>
      <c r="AK164">
        <f t="shared" si="46"/>
        <v>1</v>
      </c>
      <c r="AL164">
        <f t="shared" si="47"/>
        <v>0</v>
      </c>
      <c r="AM164">
        <f t="shared" si="48"/>
        <v>0</v>
      </c>
      <c r="AN164">
        <f t="shared" si="49"/>
        <v>1</v>
      </c>
      <c r="AO164">
        <f>SUM(AN$2:$AN164)</f>
        <v>163</v>
      </c>
    </row>
    <row r="165" spans="1:41" customFormat="1" x14ac:dyDescent="0.35">
      <c r="A165" t="s">
        <v>160</v>
      </c>
      <c r="B165" t="s">
        <v>1489</v>
      </c>
      <c r="C165">
        <v>10000</v>
      </c>
      <c r="D165" t="s">
        <v>1490</v>
      </c>
      <c r="E165">
        <v>349</v>
      </c>
      <c r="F165">
        <v>566</v>
      </c>
      <c r="G165">
        <v>1752</v>
      </c>
      <c r="H165">
        <v>0</v>
      </c>
      <c r="I165">
        <v>0</v>
      </c>
      <c r="J165">
        <v>0</v>
      </c>
      <c r="K165">
        <v>1557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157</v>
      </c>
      <c r="X165">
        <v>6</v>
      </c>
      <c r="Y165" t="s">
        <v>434</v>
      </c>
      <c r="Z165" t="s">
        <v>1752</v>
      </c>
      <c r="AA165" t="s">
        <v>497</v>
      </c>
      <c r="AB165" t="s">
        <v>497</v>
      </c>
      <c r="AC165" t="s">
        <v>497</v>
      </c>
      <c r="AD165">
        <v>1800</v>
      </c>
      <c r="AE165">
        <v>0</v>
      </c>
      <c r="AF165">
        <v>0</v>
      </c>
      <c r="AG165">
        <v>0</v>
      </c>
      <c r="AH165">
        <f t="shared" si="43"/>
        <v>1</v>
      </c>
      <c r="AI165">
        <f t="shared" si="44"/>
        <v>0</v>
      </c>
      <c r="AJ165">
        <f t="shared" si="45"/>
        <v>0</v>
      </c>
      <c r="AK165">
        <f t="shared" si="46"/>
        <v>0</v>
      </c>
      <c r="AL165">
        <f t="shared" si="47"/>
        <v>1</v>
      </c>
      <c r="AM165">
        <f t="shared" si="48"/>
        <v>0</v>
      </c>
      <c r="AN165">
        <f t="shared" si="49"/>
        <v>1</v>
      </c>
      <c r="AO165">
        <f>SUM(AN$2:$AN165)</f>
        <v>164</v>
      </c>
    </row>
    <row r="166" spans="1:41" customFormat="1" x14ac:dyDescent="0.35">
      <c r="A166" t="s">
        <v>160</v>
      </c>
      <c r="B166" t="s">
        <v>858</v>
      </c>
      <c r="C166">
        <v>10100</v>
      </c>
      <c r="D166" t="s">
        <v>1753</v>
      </c>
      <c r="E166">
        <v>353</v>
      </c>
      <c r="F166">
        <v>572</v>
      </c>
      <c r="G166">
        <v>1769</v>
      </c>
      <c r="H166">
        <v>0</v>
      </c>
      <c r="I166">
        <v>0</v>
      </c>
      <c r="J166">
        <v>0</v>
      </c>
      <c r="K166">
        <v>1573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157</v>
      </c>
      <c r="X166">
        <v>6</v>
      </c>
      <c r="Y166" t="s">
        <v>438</v>
      </c>
      <c r="Z166" t="s">
        <v>1754</v>
      </c>
      <c r="AA166" t="s">
        <v>497</v>
      </c>
      <c r="AB166" t="s">
        <v>497</v>
      </c>
      <c r="AC166" t="s">
        <v>497</v>
      </c>
      <c r="AD166">
        <v>1818</v>
      </c>
      <c r="AE166">
        <v>0</v>
      </c>
      <c r="AF166">
        <v>0</v>
      </c>
      <c r="AG166">
        <v>0</v>
      </c>
      <c r="AH166">
        <f t="shared" si="43"/>
        <v>1</v>
      </c>
      <c r="AI166">
        <f t="shared" si="44"/>
        <v>0</v>
      </c>
      <c r="AJ166">
        <f t="shared" si="45"/>
        <v>0</v>
      </c>
      <c r="AK166">
        <f t="shared" si="46"/>
        <v>0</v>
      </c>
      <c r="AL166">
        <f t="shared" si="47"/>
        <v>1</v>
      </c>
      <c r="AM166">
        <f t="shared" si="48"/>
        <v>0</v>
      </c>
      <c r="AN166">
        <f t="shared" si="49"/>
        <v>1</v>
      </c>
      <c r="AO166">
        <f>SUM(AN$2:$AN166)</f>
        <v>165</v>
      </c>
    </row>
    <row r="167" spans="1:41" customFormat="1" x14ac:dyDescent="0.35">
      <c r="A167" t="s">
        <v>160</v>
      </c>
      <c r="B167" t="s">
        <v>874</v>
      </c>
      <c r="C167">
        <v>10150</v>
      </c>
      <c r="D167" t="s">
        <v>875</v>
      </c>
      <c r="E167">
        <v>354</v>
      </c>
      <c r="F167">
        <v>575</v>
      </c>
      <c r="G167">
        <v>0</v>
      </c>
      <c r="H167">
        <v>0</v>
      </c>
      <c r="I167">
        <v>1778</v>
      </c>
      <c r="J167">
        <v>1581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348</v>
      </c>
      <c r="X167">
        <v>6</v>
      </c>
      <c r="Y167" t="s">
        <v>435</v>
      </c>
      <c r="Z167" t="s">
        <v>1755</v>
      </c>
      <c r="AA167" t="s">
        <v>497</v>
      </c>
      <c r="AB167" t="s">
        <v>497</v>
      </c>
      <c r="AC167" t="s">
        <v>497</v>
      </c>
      <c r="AD167">
        <v>1827</v>
      </c>
      <c r="AE167">
        <v>0</v>
      </c>
      <c r="AF167">
        <v>0</v>
      </c>
      <c r="AG167">
        <v>0</v>
      </c>
      <c r="AH167">
        <f t="shared" si="43"/>
        <v>0</v>
      </c>
      <c r="AI167">
        <f t="shared" si="44"/>
        <v>0</v>
      </c>
      <c r="AJ167">
        <f t="shared" si="45"/>
        <v>1</v>
      </c>
      <c r="AK167">
        <f t="shared" si="46"/>
        <v>1</v>
      </c>
      <c r="AL167">
        <f t="shared" si="47"/>
        <v>0</v>
      </c>
      <c r="AM167">
        <f t="shared" si="48"/>
        <v>0</v>
      </c>
      <c r="AN167">
        <f t="shared" si="49"/>
        <v>1</v>
      </c>
      <c r="AO167">
        <f>SUM(AN$2:$AN167)</f>
        <v>166</v>
      </c>
    </row>
    <row r="168" spans="1:41" customFormat="1" x14ac:dyDescent="0.35">
      <c r="A168" t="s">
        <v>160</v>
      </c>
      <c r="B168" t="s">
        <v>876</v>
      </c>
      <c r="C168">
        <v>10150</v>
      </c>
      <c r="D168" t="s">
        <v>877</v>
      </c>
      <c r="E168">
        <v>354</v>
      </c>
      <c r="F168">
        <v>575</v>
      </c>
      <c r="G168">
        <v>0</v>
      </c>
      <c r="H168">
        <v>0</v>
      </c>
      <c r="I168">
        <v>1778</v>
      </c>
      <c r="J168">
        <v>0</v>
      </c>
      <c r="K168">
        <v>1581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159</v>
      </c>
      <c r="X168">
        <v>6</v>
      </c>
      <c r="Y168" t="s">
        <v>441</v>
      </c>
      <c r="Z168" t="s">
        <v>1756</v>
      </c>
      <c r="AA168" t="s">
        <v>497</v>
      </c>
      <c r="AB168" t="s">
        <v>497</v>
      </c>
      <c r="AC168" t="s">
        <v>497</v>
      </c>
      <c r="AD168">
        <v>1827</v>
      </c>
      <c r="AE168">
        <v>0</v>
      </c>
      <c r="AF168">
        <v>0</v>
      </c>
      <c r="AG168">
        <v>0</v>
      </c>
      <c r="AH168">
        <f t="shared" si="43"/>
        <v>0</v>
      </c>
      <c r="AI168">
        <f t="shared" si="44"/>
        <v>0</v>
      </c>
      <c r="AJ168">
        <f t="shared" si="45"/>
        <v>1</v>
      </c>
      <c r="AK168">
        <f t="shared" si="46"/>
        <v>0</v>
      </c>
      <c r="AL168">
        <f t="shared" si="47"/>
        <v>1</v>
      </c>
      <c r="AM168">
        <f t="shared" si="48"/>
        <v>0</v>
      </c>
      <c r="AN168">
        <f t="shared" si="49"/>
        <v>1</v>
      </c>
      <c r="AO168">
        <f>SUM(AN$2:$AN168)</f>
        <v>167</v>
      </c>
    </row>
    <row r="169" spans="1:41" customFormat="1" x14ac:dyDescent="0.35">
      <c r="A169" t="s">
        <v>160</v>
      </c>
      <c r="B169" t="s">
        <v>878</v>
      </c>
      <c r="C169">
        <v>10150</v>
      </c>
      <c r="D169" t="s">
        <v>879</v>
      </c>
      <c r="E169">
        <v>354</v>
      </c>
      <c r="F169">
        <v>575</v>
      </c>
      <c r="G169">
        <v>1778</v>
      </c>
      <c r="H169">
        <v>0</v>
      </c>
      <c r="I169">
        <v>0</v>
      </c>
      <c r="J169">
        <v>0</v>
      </c>
      <c r="K169">
        <v>1581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157</v>
      </c>
      <c r="X169">
        <v>6</v>
      </c>
      <c r="Y169" t="s">
        <v>435</v>
      </c>
      <c r="Z169" t="s">
        <v>1757</v>
      </c>
      <c r="AA169" t="s">
        <v>497</v>
      </c>
      <c r="AB169" t="s">
        <v>497</v>
      </c>
      <c r="AC169" t="s">
        <v>497</v>
      </c>
      <c r="AD169">
        <v>1827</v>
      </c>
      <c r="AE169">
        <v>0</v>
      </c>
      <c r="AF169">
        <v>0</v>
      </c>
      <c r="AG169">
        <v>0</v>
      </c>
      <c r="AH169">
        <f t="shared" si="43"/>
        <v>1</v>
      </c>
      <c r="AI169">
        <f t="shared" si="44"/>
        <v>0</v>
      </c>
      <c r="AJ169">
        <f t="shared" si="45"/>
        <v>0</v>
      </c>
      <c r="AK169">
        <f t="shared" si="46"/>
        <v>0</v>
      </c>
      <c r="AL169">
        <f t="shared" si="47"/>
        <v>1</v>
      </c>
      <c r="AM169">
        <f t="shared" si="48"/>
        <v>0</v>
      </c>
      <c r="AN169">
        <f t="shared" si="49"/>
        <v>1</v>
      </c>
      <c r="AO169">
        <f>SUM(AN$2:$AN169)</f>
        <v>168</v>
      </c>
    </row>
    <row r="170" spans="1:41" customFormat="1" x14ac:dyDescent="0.35">
      <c r="A170" t="s">
        <v>160</v>
      </c>
      <c r="B170" t="s">
        <v>2414</v>
      </c>
      <c r="C170">
        <v>10400</v>
      </c>
      <c r="D170" t="s">
        <v>2415</v>
      </c>
      <c r="E170">
        <v>363</v>
      </c>
      <c r="F170">
        <v>589</v>
      </c>
      <c r="G170">
        <v>0</v>
      </c>
      <c r="H170">
        <v>0</v>
      </c>
      <c r="I170">
        <v>1822</v>
      </c>
      <c r="J170">
        <v>1619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348</v>
      </c>
      <c r="X170">
        <v>6</v>
      </c>
      <c r="Y170" t="s">
        <v>437</v>
      </c>
      <c r="Z170" t="s">
        <v>2416</v>
      </c>
      <c r="AA170" t="s">
        <v>497</v>
      </c>
      <c r="AB170" t="s">
        <v>497</v>
      </c>
      <c r="AC170" t="s">
        <v>497</v>
      </c>
      <c r="AD170">
        <v>1872</v>
      </c>
      <c r="AE170">
        <v>0</v>
      </c>
      <c r="AF170">
        <v>0</v>
      </c>
      <c r="AG170">
        <v>0</v>
      </c>
      <c r="AH170">
        <f t="shared" si="43"/>
        <v>0</v>
      </c>
      <c r="AI170">
        <f t="shared" si="44"/>
        <v>0</v>
      </c>
      <c r="AJ170">
        <f t="shared" si="45"/>
        <v>1</v>
      </c>
      <c r="AK170">
        <f t="shared" si="46"/>
        <v>1</v>
      </c>
      <c r="AL170">
        <f t="shared" si="47"/>
        <v>0</v>
      </c>
      <c r="AM170">
        <f t="shared" si="48"/>
        <v>0</v>
      </c>
      <c r="AN170">
        <f t="shared" si="49"/>
        <v>1</v>
      </c>
      <c r="AO170">
        <f>SUM(AN$2:$AN170)</f>
        <v>169</v>
      </c>
    </row>
    <row r="171" spans="1:41" customFormat="1" x14ac:dyDescent="0.35">
      <c r="A171" t="s">
        <v>160</v>
      </c>
      <c r="B171" t="s">
        <v>2414</v>
      </c>
      <c r="C171">
        <v>10400</v>
      </c>
      <c r="D171" t="s">
        <v>2415</v>
      </c>
      <c r="E171">
        <v>363</v>
      </c>
      <c r="F171">
        <v>589</v>
      </c>
      <c r="G171">
        <v>0</v>
      </c>
      <c r="H171">
        <v>0</v>
      </c>
      <c r="I171">
        <v>1822</v>
      </c>
      <c r="J171">
        <v>1619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348</v>
      </c>
      <c r="X171">
        <v>6</v>
      </c>
      <c r="Y171" t="s">
        <v>437</v>
      </c>
      <c r="Z171" t="s">
        <v>2416</v>
      </c>
      <c r="AA171" t="s">
        <v>497</v>
      </c>
      <c r="AB171" t="s">
        <v>497</v>
      </c>
      <c r="AC171" t="s">
        <v>497</v>
      </c>
      <c r="AD171">
        <v>1872</v>
      </c>
      <c r="AE171">
        <v>0</v>
      </c>
      <c r="AF171">
        <v>0</v>
      </c>
      <c r="AG171">
        <v>0</v>
      </c>
      <c r="AH171">
        <f t="shared" si="43"/>
        <v>0</v>
      </c>
      <c r="AI171">
        <f t="shared" si="44"/>
        <v>0</v>
      </c>
      <c r="AJ171">
        <f t="shared" si="45"/>
        <v>1</v>
      </c>
      <c r="AK171">
        <f t="shared" si="46"/>
        <v>1</v>
      </c>
      <c r="AL171">
        <f t="shared" si="47"/>
        <v>0</v>
      </c>
      <c r="AM171">
        <f t="shared" si="48"/>
        <v>0</v>
      </c>
      <c r="AN171">
        <f t="shared" si="49"/>
        <v>1</v>
      </c>
      <c r="AO171">
        <f>SUM(AN$2:$AN171)</f>
        <v>170</v>
      </c>
    </row>
    <row r="172" spans="1:41" customFormat="1" x14ac:dyDescent="0.35">
      <c r="A172" t="s">
        <v>160</v>
      </c>
      <c r="B172" t="s">
        <v>1758</v>
      </c>
      <c r="C172">
        <v>10800</v>
      </c>
      <c r="D172" t="s">
        <v>1759</v>
      </c>
      <c r="E172">
        <v>377</v>
      </c>
      <c r="F172">
        <v>612</v>
      </c>
      <c r="G172">
        <v>1892</v>
      </c>
      <c r="H172">
        <v>0</v>
      </c>
      <c r="I172">
        <v>0</v>
      </c>
      <c r="J172">
        <v>0</v>
      </c>
      <c r="K172">
        <v>1682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157</v>
      </c>
      <c r="X172">
        <v>6</v>
      </c>
      <c r="Y172" t="s">
        <v>434</v>
      </c>
      <c r="Z172" t="s">
        <v>1760</v>
      </c>
      <c r="AA172" t="s">
        <v>497</v>
      </c>
      <c r="AB172" t="s">
        <v>497</v>
      </c>
      <c r="AC172" t="s">
        <v>497</v>
      </c>
      <c r="AD172">
        <v>1945</v>
      </c>
      <c r="AE172">
        <v>0</v>
      </c>
      <c r="AF172">
        <v>0</v>
      </c>
      <c r="AG172">
        <v>0</v>
      </c>
      <c r="AH172">
        <f t="shared" si="43"/>
        <v>1</v>
      </c>
      <c r="AI172">
        <f t="shared" si="44"/>
        <v>0</v>
      </c>
      <c r="AJ172">
        <f t="shared" si="45"/>
        <v>0</v>
      </c>
      <c r="AK172">
        <f t="shared" si="46"/>
        <v>0</v>
      </c>
      <c r="AL172">
        <f t="shared" si="47"/>
        <v>1</v>
      </c>
      <c r="AM172">
        <f t="shared" si="48"/>
        <v>0</v>
      </c>
      <c r="AN172">
        <f t="shared" si="49"/>
        <v>1</v>
      </c>
      <c r="AO172">
        <f>SUM(AN$2:$AN172)</f>
        <v>171</v>
      </c>
    </row>
    <row r="173" spans="1:41" x14ac:dyDescent="0.35">
      <c r="A173" t="s">
        <v>160</v>
      </c>
      <c r="B173" t="s">
        <v>880</v>
      </c>
      <c r="C173">
        <v>11150</v>
      </c>
      <c r="D173" t="s">
        <v>881</v>
      </c>
      <c r="E173">
        <v>389</v>
      </c>
      <c r="F173">
        <v>632</v>
      </c>
      <c r="G173">
        <v>0</v>
      </c>
      <c r="H173">
        <v>0</v>
      </c>
      <c r="I173">
        <v>1953</v>
      </c>
      <c r="J173">
        <v>1736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348</v>
      </c>
      <c r="X173">
        <v>6</v>
      </c>
      <c r="Y173" t="s">
        <v>435</v>
      </c>
      <c r="Z173" t="s">
        <v>1761</v>
      </c>
      <c r="AA173" t="s">
        <v>497</v>
      </c>
      <c r="AB173" t="s">
        <v>497</v>
      </c>
      <c r="AC173" t="s">
        <v>497</v>
      </c>
      <c r="AD173">
        <v>2008</v>
      </c>
      <c r="AE173">
        <v>0</v>
      </c>
      <c r="AF173">
        <v>0</v>
      </c>
      <c r="AG173">
        <v>0</v>
      </c>
      <c r="AH173">
        <f t="shared" si="43"/>
        <v>0</v>
      </c>
      <c r="AI173">
        <f t="shared" si="44"/>
        <v>0</v>
      </c>
      <c r="AJ173">
        <f t="shared" si="45"/>
        <v>1</v>
      </c>
      <c r="AK173">
        <f t="shared" si="46"/>
        <v>1</v>
      </c>
      <c r="AL173">
        <f t="shared" si="47"/>
        <v>0</v>
      </c>
      <c r="AM173">
        <f t="shared" si="48"/>
        <v>0</v>
      </c>
      <c r="AN173">
        <f t="shared" si="49"/>
        <v>1</v>
      </c>
      <c r="AO173">
        <f>SUM(AN$2:$AN173)</f>
        <v>172</v>
      </c>
    </row>
    <row r="174" spans="1:41" x14ac:dyDescent="0.35">
      <c r="A174" t="s">
        <v>160</v>
      </c>
      <c r="B174" t="s">
        <v>882</v>
      </c>
      <c r="C174">
        <v>11150</v>
      </c>
      <c r="D174" t="s">
        <v>883</v>
      </c>
      <c r="E174">
        <v>389</v>
      </c>
      <c r="F174">
        <v>632</v>
      </c>
      <c r="G174">
        <v>0</v>
      </c>
      <c r="H174">
        <v>0</v>
      </c>
      <c r="I174">
        <v>1953</v>
      </c>
      <c r="J174">
        <v>0</v>
      </c>
      <c r="K174">
        <v>1736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159</v>
      </c>
      <c r="X174">
        <v>6</v>
      </c>
      <c r="Y174" t="s">
        <v>441</v>
      </c>
      <c r="Z174" t="s">
        <v>1762</v>
      </c>
      <c r="AA174" t="s">
        <v>497</v>
      </c>
      <c r="AB174" t="s">
        <v>497</v>
      </c>
      <c r="AC174" t="s">
        <v>497</v>
      </c>
      <c r="AD174">
        <v>2008</v>
      </c>
      <c r="AE174">
        <v>0</v>
      </c>
      <c r="AF174">
        <v>0</v>
      </c>
      <c r="AG174">
        <v>0</v>
      </c>
      <c r="AH174">
        <f t="shared" si="43"/>
        <v>0</v>
      </c>
      <c r="AI174">
        <f t="shared" si="44"/>
        <v>0</v>
      </c>
      <c r="AJ174">
        <f t="shared" si="45"/>
        <v>1</v>
      </c>
      <c r="AK174">
        <f t="shared" si="46"/>
        <v>0</v>
      </c>
      <c r="AL174">
        <f t="shared" si="47"/>
        <v>1</v>
      </c>
      <c r="AM174">
        <f t="shared" si="48"/>
        <v>0</v>
      </c>
      <c r="AN174">
        <f t="shared" si="49"/>
        <v>1</v>
      </c>
      <c r="AO174">
        <f>SUM(AN$2:$AN174)</f>
        <v>173</v>
      </c>
    </row>
    <row r="175" spans="1:41" x14ac:dyDescent="0.35">
      <c r="A175" t="s">
        <v>160</v>
      </c>
      <c r="B175" t="s">
        <v>884</v>
      </c>
      <c r="C175">
        <v>11150</v>
      </c>
      <c r="D175" t="s">
        <v>885</v>
      </c>
      <c r="E175">
        <v>389</v>
      </c>
      <c r="F175">
        <v>632</v>
      </c>
      <c r="G175">
        <v>1953</v>
      </c>
      <c r="H175">
        <v>0</v>
      </c>
      <c r="I175">
        <v>0</v>
      </c>
      <c r="J175">
        <v>1736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350</v>
      </c>
      <c r="X175">
        <v>6</v>
      </c>
      <c r="Y175" t="s">
        <v>436</v>
      </c>
      <c r="Z175" t="s">
        <v>1763</v>
      </c>
      <c r="AA175" t="s">
        <v>497</v>
      </c>
      <c r="AB175" t="s">
        <v>497</v>
      </c>
      <c r="AC175" t="s">
        <v>497</v>
      </c>
      <c r="AD175">
        <v>2008</v>
      </c>
      <c r="AE175">
        <v>0</v>
      </c>
      <c r="AF175">
        <v>0</v>
      </c>
      <c r="AG175">
        <v>0</v>
      </c>
      <c r="AH175">
        <f t="shared" si="43"/>
        <v>1</v>
      </c>
      <c r="AI175">
        <f t="shared" si="44"/>
        <v>0</v>
      </c>
      <c r="AJ175">
        <f t="shared" si="45"/>
        <v>0</v>
      </c>
      <c r="AK175">
        <f t="shared" si="46"/>
        <v>1</v>
      </c>
      <c r="AL175">
        <f t="shared" si="47"/>
        <v>0</v>
      </c>
      <c r="AM175">
        <f t="shared" si="48"/>
        <v>0</v>
      </c>
      <c r="AN175">
        <f t="shared" si="49"/>
        <v>1</v>
      </c>
      <c r="AO175">
        <f>SUM(AN$2:$AN175)</f>
        <v>174</v>
      </c>
    </row>
    <row r="176" spans="1:41" x14ac:dyDescent="0.35">
      <c r="A176" t="s">
        <v>160</v>
      </c>
      <c r="B176" t="s">
        <v>886</v>
      </c>
      <c r="C176">
        <v>11150</v>
      </c>
      <c r="D176" t="s">
        <v>887</v>
      </c>
      <c r="E176">
        <v>389</v>
      </c>
      <c r="F176">
        <v>632</v>
      </c>
      <c r="G176">
        <v>1953</v>
      </c>
      <c r="H176">
        <v>0</v>
      </c>
      <c r="I176">
        <v>0</v>
      </c>
      <c r="J176">
        <v>0</v>
      </c>
      <c r="K176">
        <v>1736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157</v>
      </c>
      <c r="X176">
        <v>6</v>
      </c>
      <c r="Y176" t="s">
        <v>435</v>
      </c>
      <c r="Z176" t="s">
        <v>1764</v>
      </c>
      <c r="AA176" t="s">
        <v>497</v>
      </c>
      <c r="AB176" t="s">
        <v>497</v>
      </c>
      <c r="AC176" t="s">
        <v>497</v>
      </c>
      <c r="AD176">
        <v>2008</v>
      </c>
      <c r="AE176">
        <v>0</v>
      </c>
      <c r="AF176">
        <v>0</v>
      </c>
      <c r="AG176">
        <v>0</v>
      </c>
      <c r="AH176">
        <f t="shared" si="43"/>
        <v>1</v>
      </c>
      <c r="AI176">
        <f t="shared" si="44"/>
        <v>0</v>
      </c>
      <c r="AJ176">
        <f t="shared" si="45"/>
        <v>0</v>
      </c>
      <c r="AK176">
        <f t="shared" si="46"/>
        <v>0</v>
      </c>
      <c r="AL176">
        <f t="shared" si="47"/>
        <v>1</v>
      </c>
      <c r="AM176">
        <f t="shared" si="48"/>
        <v>0</v>
      </c>
      <c r="AN176">
        <f t="shared" si="49"/>
        <v>1</v>
      </c>
      <c r="AO176">
        <f>SUM(AN$2:$AN176)</f>
        <v>175</v>
      </c>
    </row>
    <row r="177" spans="1:41" x14ac:dyDescent="0.35">
      <c r="A177" t="s">
        <v>160</v>
      </c>
      <c r="B177" t="s">
        <v>888</v>
      </c>
      <c r="C177">
        <v>11150</v>
      </c>
      <c r="D177" t="s">
        <v>889</v>
      </c>
      <c r="E177">
        <v>0</v>
      </c>
      <c r="F177">
        <v>1360</v>
      </c>
      <c r="G177">
        <v>0</v>
      </c>
      <c r="H177">
        <v>0</v>
      </c>
      <c r="I177">
        <v>2062</v>
      </c>
      <c r="J177">
        <v>2062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352</v>
      </c>
      <c r="X177">
        <v>4</v>
      </c>
      <c r="Y177" t="s">
        <v>435</v>
      </c>
      <c r="Z177" t="s">
        <v>1765</v>
      </c>
      <c r="AA177" t="s">
        <v>497</v>
      </c>
      <c r="AB177" t="s">
        <v>497</v>
      </c>
      <c r="AC177" t="s">
        <v>497</v>
      </c>
      <c r="AD177">
        <v>2008</v>
      </c>
      <c r="AE177">
        <v>0</v>
      </c>
      <c r="AF177">
        <v>0</v>
      </c>
      <c r="AG177">
        <v>0</v>
      </c>
      <c r="AH177">
        <f t="shared" si="43"/>
        <v>0</v>
      </c>
      <c r="AI177">
        <f t="shared" si="44"/>
        <v>0</v>
      </c>
      <c r="AJ177">
        <f t="shared" si="45"/>
        <v>1</v>
      </c>
      <c r="AK177">
        <f t="shared" si="46"/>
        <v>1</v>
      </c>
      <c r="AL177">
        <f t="shared" si="47"/>
        <v>0</v>
      </c>
      <c r="AM177">
        <f t="shared" si="48"/>
        <v>0</v>
      </c>
      <c r="AN177">
        <f t="shared" si="49"/>
        <v>1</v>
      </c>
      <c r="AO177">
        <f>SUM(AN$2:$AN177)</f>
        <v>176</v>
      </c>
    </row>
    <row r="178" spans="1:41" x14ac:dyDescent="0.35">
      <c r="A178" t="s">
        <v>160</v>
      </c>
      <c r="B178" t="s">
        <v>890</v>
      </c>
      <c r="C178">
        <v>11150</v>
      </c>
      <c r="D178" t="s">
        <v>891</v>
      </c>
      <c r="E178">
        <v>0</v>
      </c>
      <c r="F178">
        <v>1652</v>
      </c>
      <c r="G178">
        <v>0</v>
      </c>
      <c r="H178">
        <v>0</v>
      </c>
      <c r="I178">
        <v>0</v>
      </c>
      <c r="J178">
        <v>0</v>
      </c>
      <c r="K178">
        <v>3418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445</v>
      </c>
      <c r="X178">
        <v>4</v>
      </c>
      <c r="Y178" t="s">
        <v>435</v>
      </c>
      <c r="Z178" t="s">
        <v>1766</v>
      </c>
      <c r="AA178" t="s">
        <v>497</v>
      </c>
      <c r="AB178" t="s">
        <v>497</v>
      </c>
      <c r="AC178" t="s">
        <v>497</v>
      </c>
      <c r="AD178">
        <v>2008</v>
      </c>
      <c r="AE178">
        <v>0</v>
      </c>
      <c r="AF178">
        <v>0</v>
      </c>
      <c r="AG178">
        <v>0</v>
      </c>
      <c r="AH178">
        <f t="shared" si="43"/>
        <v>0</v>
      </c>
      <c r="AI178">
        <f t="shared" si="44"/>
        <v>0</v>
      </c>
      <c r="AJ178">
        <f t="shared" si="45"/>
        <v>0</v>
      </c>
      <c r="AK178">
        <f t="shared" si="46"/>
        <v>0</v>
      </c>
      <c r="AL178">
        <f t="shared" si="47"/>
        <v>1</v>
      </c>
      <c r="AM178">
        <f t="shared" si="48"/>
        <v>0</v>
      </c>
      <c r="AN178">
        <f t="shared" si="49"/>
        <v>1</v>
      </c>
      <c r="AO178">
        <f>SUM(AN$2:$AN178)</f>
        <v>177</v>
      </c>
    </row>
    <row r="179" spans="1:41" x14ac:dyDescent="0.35">
      <c r="A179" t="s">
        <v>160</v>
      </c>
      <c r="B179" t="s">
        <v>892</v>
      </c>
      <c r="C179">
        <v>11150</v>
      </c>
      <c r="D179" t="s">
        <v>893</v>
      </c>
      <c r="E179">
        <v>0</v>
      </c>
      <c r="F179">
        <v>1166</v>
      </c>
      <c r="G179">
        <v>0</v>
      </c>
      <c r="H179">
        <v>0</v>
      </c>
      <c r="I179">
        <v>1194</v>
      </c>
      <c r="J179">
        <v>0</v>
      </c>
      <c r="K179">
        <v>3472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421</v>
      </c>
      <c r="X179">
        <v>4</v>
      </c>
      <c r="Y179" t="s">
        <v>435</v>
      </c>
      <c r="Z179" t="s">
        <v>1767</v>
      </c>
      <c r="AA179" t="s">
        <v>497</v>
      </c>
      <c r="AB179" t="s">
        <v>497</v>
      </c>
      <c r="AC179" t="s">
        <v>497</v>
      </c>
      <c r="AD179">
        <v>2008</v>
      </c>
      <c r="AE179">
        <v>0</v>
      </c>
      <c r="AF179">
        <v>0</v>
      </c>
      <c r="AG179">
        <v>0</v>
      </c>
      <c r="AH179">
        <f t="shared" si="43"/>
        <v>0</v>
      </c>
      <c r="AI179">
        <f t="shared" si="44"/>
        <v>0</v>
      </c>
      <c r="AJ179">
        <f t="shared" si="45"/>
        <v>1</v>
      </c>
      <c r="AK179">
        <f t="shared" si="46"/>
        <v>0</v>
      </c>
      <c r="AL179">
        <f t="shared" si="47"/>
        <v>1</v>
      </c>
      <c r="AM179">
        <f t="shared" si="48"/>
        <v>0</v>
      </c>
      <c r="AN179">
        <f t="shared" si="49"/>
        <v>1</v>
      </c>
      <c r="AO179">
        <f>SUM(AN$2:$AN179)</f>
        <v>178</v>
      </c>
    </row>
    <row r="180" spans="1:41" x14ac:dyDescent="0.35">
      <c r="A180" t="s">
        <v>160</v>
      </c>
      <c r="B180" t="s">
        <v>894</v>
      </c>
      <c r="C180">
        <v>11150</v>
      </c>
      <c r="D180" t="s">
        <v>895</v>
      </c>
      <c r="E180">
        <v>0</v>
      </c>
      <c r="F180">
        <v>1166</v>
      </c>
      <c r="G180">
        <v>1194</v>
      </c>
      <c r="H180">
        <v>0</v>
      </c>
      <c r="I180">
        <v>0</v>
      </c>
      <c r="J180">
        <v>0</v>
      </c>
      <c r="K180">
        <v>3472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330</v>
      </c>
      <c r="X180">
        <v>4</v>
      </c>
      <c r="Y180" t="s">
        <v>435</v>
      </c>
      <c r="Z180" t="s">
        <v>1768</v>
      </c>
      <c r="AA180" t="s">
        <v>497</v>
      </c>
      <c r="AB180" t="s">
        <v>497</v>
      </c>
      <c r="AC180" t="s">
        <v>497</v>
      </c>
      <c r="AD180">
        <v>2008</v>
      </c>
      <c r="AE180">
        <v>0</v>
      </c>
      <c r="AF180">
        <v>0</v>
      </c>
      <c r="AG180">
        <v>0</v>
      </c>
      <c r="AH180">
        <f t="shared" si="43"/>
        <v>1</v>
      </c>
      <c r="AI180">
        <f t="shared" si="44"/>
        <v>0</v>
      </c>
      <c r="AJ180">
        <f t="shared" si="45"/>
        <v>0</v>
      </c>
      <c r="AK180">
        <f t="shared" si="46"/>
        <v>0</v>
      </c>
      <c r="AL180">
        <f t="shared" si="47"/>
        <v>1</v>
      </c>
      <c r="AM180">
        <f t="shared" si="48"/>
        <v>0</v>
      </c>
      <c r="AN180">
        <f t="shared" si="49"/>
        <v>1</v>
      </c>
      <c r="AO180">
        <f>SUM(AN$2:$AN180)</f>
        <v>179</v>
      </c>
    </row>
    <row r="181" spans="1:41" x14ac:dyDescent="0.35">
      <c r="A181" t="s">
        <v>160</v>
      </c>
      <c r="B181" t="s">
        <v>2417</v>
      </c>
      <c r="C181">
        <v>12450</v>
      </c>
      <c r="D181" t="s">
        <v>2418</v>
      </c>
      <c r="E181">
        <v>435</v>
      </c>
      <c r="F181">
        <v>705</v>
      </c>
      <c r="G181">
        <v>0</v>
      </c>
      <c r="H181">
        <v>0</v>
      </c>
      <c r="I181">
        <v>2181</v>
      </c>
      <c r="J181">
        <v>1939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348</v>
      </c>
      <c r="X181">
        <v>6</v>
      </c>
      <c r="Y181" t="s">
        <v>435</v>
      </c>
      <c r="Z181" t="s">
        <v>1769</v>
      </c>
      <c r="AA181" t="s">
        <v>497</v>
      </c>
      <c r="AB181" t="s">
        <v>497</v>
      </c>
      <c r="AC181" t="s">
        <v>497</v>
      </c>
      <c r="AD181">
        <v>2242</v>
      </c>
      <c r="AE181">
        <v>0</v>
      </c>
      <c r="AF181">
        <v>0</v>
      </c>
      <c r="AG181">
        <v>0</v>
      </c>
      <c r="AH181">
        <f t="shared" si="43"/>
        <v>0</v>
      </c>
      <c r="AI181">
        <f t="shared" si="44"/>
        <v>0</v>
      </c>
      <c r="AJ181">
        <f t="shared" si="45"/>
        <v>1</v>
      </c>
      <c r="AK181">
        <f t="shared" si="46"/>
        <v>1</v>
      </c>
      <c r="AL181">
        <f t="shared" si="47"/>
        <v>0</v>
      </c>
      <c r="AM181">
        <f t="shared" si="48"/>
        <v>0</v>
      </c>
      <c r="AN181">
        <f t="shared" si="49"/>
        <v>1</v>
      </c>
      <c r="AO181">
        <f>SUM(AN$2:$AN181)</f>
        <v>180</v>
      </c>
    </row>
    <row r="182" spans="1:41" x14ac:dyDescent="0.35">
      <c r="A182" t="s">
        <v>160</v>
      </c>
      <c r="B182" t="s">
        <v>2419</v>
      </c>
      <c r="C182">
        <v>12450</v>
      </c>
      <c r="D182" t="s">
        <v>2420</v>
      </c>
      <c r="E182">
        <v>435</v>
      </c>
      <c r="F182">
        <v>705</v>
      </c>
      <c r="G182">
        <v>0</v>
      </c>
      <c r="H182">
        <v>0</v>
      </c>
      <c r="I182">
        <v>2181</v>
      </c>
      <c r="J182">
        <v>0</v>
      </c>
      <c r="K182">
        <v>1939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159</v>
      </c>
      <c r="X182">
        <v>6</v>
      </c>
      <c r="Y182" t="s">
        <v>441</v>
      </c>
      <c r="Z182" t="s">
        <v>1770</v>
      </c>
      <c r="AA182" t="s">
        <v>497</v>
      </c>
      <c r="AB182" t="s">
        <v>497</v>
      </c>
      <c r="AC182" t="s">
        <v>497</v>
      </c>
      <c r="AD182">
        <v>2242</v>
      </c>
      <c r="AE182">
        <v>0</v>
      </c>
      <c r="AF182">
        <v>0</v>
      </c>
      <c r="AG182">
        <v>0</v>
      </c>
      <c r="AH182">
        <f t="shared" si="43"/>
        <v>0</v>
      </c>
      <c r="AI182">
        <f t="shared" si="44"/>
        <v>0</v>
      </c>
      <c r="AJ182">
        <f t="shared" si="45"/>
        <v>1</v>
      </c>
      <c r="AK182">
        <f t="shared" si="46"/>
        <v>0</v>
      </c>
      <c r="AL182">
        <f t="shared" si="47"/>
        <v>1</v>
      </c>
      <c r="AM182">
        <f t="shared" si="48"/>
        <v>0</v>
      </c>
      <c r="AN182">
        <f t="shared" si="49"/>
        <v>1</v>
      </c>
      <c r="AO182">
        <f>SUM(AN$2:$AN182)</f>
        <v>181</v>
      </c>
    </row>
    <row r="183" spans="1:41" x14ac:dyDescent="0.35">
      <c r="A183" t="s">
        <v>160</v>
      </c>
      <c r="B183" t="s">
        <v>2421</v>
      </c>
      <c r="C183">
        <v>12450</v>
      </c>
      <c r="D183" t="s">
        <v>2422</v>
      </c>
      <c r="E183">
        <v>435</v>
      </c>
      <c r="F183">
        <v>705</v>
      </c>
      <c r="G183">
        <v>2181</v>
      </c>
      <c r="H183">
        <v>0</v>
      </c>
      <c r="I183">
        <v>0</v>
      </c>
      <c r="J183">
        <v>1939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350</v>
      </c>
      <c r="X183">
        <v>6</v>
      </c>
      <c r="Y183" t="s">
        <v>436</v>
      </c>
      <c r="Z183" t="s">
        <v>1771</v>
      </c>
      <c r="AA183" t="s">
        <v>497</v>
      </c>
      <c r="AB183" t="s">
        <v>497</v>
      </c>
      <c r="AC183" t="s">
        <v>497</v>
      </c>
      <c r="AD183">
        <v>2242</v>
      </c>
      <c r="AE183">
        <v>0</v>
      </c>
      <c r="AF183">
        <v>0</v>
      </c>
      <c r="AG183">
        <v>0</v>
      </c>
      <c r="AH183">
        <f t="shared" si="43"/>
        <v>1</v>
      </c>
      <c r="AI183">
        <f t="shared" si="44"/>
        <v>0</v>
      </c>
      <c r="AJ183">
        <f t="shared" si="45"/>
        <v>0</v>
      </c>
      <c r="AK183">
        <f t="shared" si="46"/>
        <v>1</v>
      </c>
      <c r="AL183">
        <f t="shared" si="47"/>
        <v>0</v>
      </c>
      <c r="AM183">
        <f t="shared" si="48"/>
        <v>0</v>
      </c>
      <c r="AN183">
        <f t="shared" si="49"/>
        <v>1</v>
      </c>
      <c r="AO183">
        <f>SUM(AN$2:$AN183)</f>
        <v>182</v>
      </c>
    </row>
    <row r="184" spans="1:41" x14ac:dyDescent="0.35">
      <c r="A184" t="s">
        <v>160</v>
      </c>
      <c r="B184" t="s">
        <v>2423</v>
      </c>
      <c r="C184">
        <v>12450</v>
      </c>
      <c r="D184" t="s">
        <v>2424</v>
      </c>
      <c r="E184">
        <v>435</v>
      </c>
      <c r="F184">
        <v>705</v>
      </c>
      <c r="G184">
        <v>2181</v>
      </c>
      <c r="H184">
        <v>0</v>
      </c>
      <c r="I184">
        <v>0</v>
      </c>
      <c r="J184">
        <v>0</v>
      </c>
      <c r="K184">
        <v>1939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157</v>
      </c>
      <c r="X184">
        <v>6</v>
      </c>
      <c r="Y184" t="s">
        <v>435</v>
      </c>
      <c r="Z184" t="s">
        <v>1772</v>
      </c>
      <c r="AA184" t="s">
        <v>497</v>
      </c>
      <c r="AB184" t="s">
        <v>497</v>
      </c>
      <c r="AC184" t="s">
        <v>497</v>
      </c>
      <c r="AD184">
        <v>2242</v>
      </c>
      <c r="AE184">
        <v>0</v>
      </c>
      <c r="AF184">
        <v>0</v>
      </c>
      <c r="AG184">
        <v>0</v>
      </c>
      <c r="AH184">
        <f t="shared" si="43"/>
        <v>1</v>
      </c>
      <c r="AI184">
        <f t="shared" si="44"/>
        <v>0</v>
      </c>
      <c r="AJ184">
        <f t="shared" si="45"/>
        <v>0</v>
      </c>
      <c r="AK184">
        <f t="shared" si="46"/>
        <v>0</v>
      </c>
      <c r="AL184">
        <f t="shared" si="47"/>
        <v>1</v>
      </c>
      <c r="AM184">
        <f t="shared" si="48"/>
        <v>0</v>
      </c>
      <c r="AN184">
        <f t="shared" si="49"/>
        <v>1</v>
      </c>
      <c r="AO184">
        <f>SUM(AN$2:$AN184)</f>
        <v>183</v>
      </c>
    </row>
    <row r="185" spans="1:41" x14ac:dyDescent="0.35">
      <c r="A185" t="s">
        <v>160</v>
      </c>
      <c r="B185" t="s">
        <v>2425</v>
      </c>
      <c r="C185">
        <v>12450</v>
      </c>
      <c r="D185" t="s">
        <v>2426</v>
      </c>
      <c r="E185">
        <v>0</v>
      </c>
      <c r="F185">
        <v>1519</v>
      </c>
      <c r="G185">
        <v>0</v>
      </c>
      <c r="H185">
        <v>0</v>
      </c>
      <c r="I185">
        <v>2302</v>
      </c>
      <c r="J185">
        <v>2545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352</v>
      </c>
      <c r="X185">
        <v>4</v>
      </c>
      <c r="Y185" t="s">
        <v>435</v>
      </c>
      <c r="Z185" t="s">
        <v>1773</v>
      </c>
      <c r="AA185" t="s">
        <v>497</v>
      </c>
      <c r="AB185" t="s">
        <v>497</v>
      </c>
      <c r="AC185" t="s">
        <v>497</v>
      </c>
      <c r="AD185">
        <v>2242</v>
      </c>
      <c r="AE185">
        <v>0</v>
      </c>
      <c r="AF185">
        <v>0</v>
      </c>
      <c r="AG185">
        <v>0</v>
      </c>
      <c r="AH185">
        <f t="shared" si="43"/>
        <v>0</v>
      </c>
      <c r="AI185">
        <f t="shared" si="44"/>
        <v>0</v>
      </c>
      <c r="AJ185">
        <f t="shared" si="45"/>
        <v>1</v>
      </c>
      <c r="AK185">
        <f t="shared" si="46"/>
        <v>1</v>
      </c>
      <c r="AL185">
        <f t="shared" si="47"/>
        <v>0</v>
      </c>
      <c r="AM185">
        <f t="shared" si="48"/>
        <v>0</v>
      </c>
      <c r="AN185">
        <f t="shared" si="49"/>
        <v>1</v>
      </c>
      <c r="AO185">
        <f>SUM(AN$2:$AN185)</f>
        <v>184</v>
      </c>
    </row>
    <row r="186" spans="1:41" customFormat="1" x14ac:dyDescent="0.35">
      <c r="A186" t="s">
        <v>160</v>
      </c>
      <c r="B186" t="s">
        <v>2427</v>
      </c>
      <c r="C186">
        <v>12450</v>
      </c>
      <c r="D186" t="s">
        <v>2428</v>
      </c>
      <c r="E186">
        <v>0</v>
      </c>
      <c r="F186">
        <v>1844</v>
      </c>
      <c r="G186">
        <v>0</v>
      </c>
      <c r="H186">
        <v>0</v>
      </c>
      <c r="I186">
        <v>0</v>
      </c>
      <c r="J186">
        <v>0</v>
      </c>
      <c r="K186">
        <v>4059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445</v>
      </c>
      <c r="X186">
        <v>4</v>
      </c>
      <c r="Y186" t="s">
        <v>435</v>
      </c>
      <c r="Z186" t="s">
        <v>1774</v>
      </c>
      <c r="AA186" t="s">
        <v>497</v>
      </c>
      <c r="AB186" t="s">
        <v>497</v>
      </c>
      <c r="AC186" t="s">
        <v>497</v>
      </c>
      <c r="AD186">
        <v>2242</v>
      </c>
      <c r="AE186">
        <v>0</v>
      </c>
      <c r="AF186">
        <v>0</v>
      </c>
      <c r="AG186">
        <v>0</v>
      </c>
      <c r="AH186">
        <f t="shared" si="43"/>
        <v>0</v>
      </c>
      <c r="AI186">
        <f t="shared" si="44"/>
        <v>0</v>
      </c>
      <c r="AJ186">
        <f t="shared" si="45"/>
        <v>0</v>
      </c>
      <c r="AK186">
        <f t="shared" si="46"/>
        <v>0</v>
      </c>
      <c r="AL186">
        <f t="shared" si="47"/>
        <v>1</v>
      </c>
      <c r="AM186">
        <f t="shared" si="48"/>
        <v>0</v>
      </c>
      <c r="AN186">
        <f t="shared" si="49"/>
        <v>1</v>
      </c>
      <c r="AO186">
        <f>SUM(AN$2:$AN186)</f>
        <v>185</v>
      </c>
    </row>
    <row r="187" spans="1:41" x14ac:dyDescent="0.35">
      <c r="A187" t="s">
        <v>160</v>
      </c>
      <c r="B187" t="s">
        <v>2429</v>
      </c>
      <c r="C187">
        <v>12450</v>
      </c>
      <c r="D187" t="s">
        <v>2430</v>
      </c>
      <c r="E187">
        <v>0</v>
      </c>
      <c r="F187">
        <v>1519</v>
      </c>
      <c r="G187">
        <v>0</v>
      </c>
      <c r="H187">
        <v>0</v>
      </c>
      <c r="I187">
        <v>2302</v>
      </c>
      <c r="J187">
        <v>0</v>
      </c>
      <c r="K187">
        <v>2545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421</v>
      </c>
      <c r="X187">
        <v>4</v>
      </c>
      <c r="Y187" t="s">
        <v>435</v>
      </c>
      <c r="Z187" t="s">
        <v>1775</v>
      </c>
      <c r="AA187" t="s">
        <v>497</v>
      </c>
      <c r="AB187" t="s">
        <v>497</v>
      </c>
      <c r="AC187" t="s">
        <v>497</v>
      </c>
      <c r="AD187">
        <v>2242</v>
      </c>
      <c r="AE187">
        <v>0</v>
      </c>
      <c r="AF187">
        <v>0</v>
      </c>
      <c r="AG187">
        <v>0</v>
      </c>
      <c r="AH187">
        <f t="shared" si="43"/>
        <v>0</v>
      </c>
      <c r="AI187">
        <f t="shared" si="44"/>
        <v>0</v>
      </c>
      <c r="AJ187">
        <f t="shared" si="45"/>
        <v>1</v>
      </c>
      <c r="AK187">
        <f t="shared" si="46"/>
        <v>0</v>
      </c>
      <c r="AL187">
        <f t="shared" si="47"/>
        <v>1</v>
      </c>
      <c r="AM187">
        <f t="shared" si="48"/>
        <v>0</v>
      </c>
      <c r="AN187">
        <f t="shared" si="49"/>
        <v>1</v>
      </c>
      <c r="AO187">
        <f>SUM(AN$2:$AN187)</f>
        <v>186</v>
      </c>
    </row>
    <row r="188" spans="1:41" x14ac:dyDescent="0.35">
      <c r="A188" t="s">
        <v>160</v>
      </c>
      <c r="B188" t="s">
        <v>2431</v>
      </c>
      <c r="C188">
        <v>12450</v>
      </c>
      <c r="D188" t="s">
        <v>2432</v>
      </c>
      <c r="E188">
        <v>0</v>
      </c>
      <c r="F188">
        <v>1302</v>
      </c>
      <c r="G188">
        <v>1575</v>
      </c>
      <c r="H188">
        <v>0</v>
      </c>
      <c r="I188">
        <v>0</v>
      </c>
      <c r="J188">
        <v>0</v>
      </c>
      <c r="K188">
        <v>3877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330</v>
      </c>
      <c r="X188">
        <v>4</v>
      </c>
      <c r="Y188" t="s">
        <v>435</v>
      </c>
      <c r="Z188" t="s">
        <v>1776</v>
      </c>
      <c r="AA188" t="s">
        <v>497</v>
      </c>
      <c r="AB188" t="s">
        <v>497</v>
      </c>
      <c r="AC188" t="s">
        <v>497</v>
      </c>
      <c r="AD188">
        <v>2242</v>
      </c>
      <c r="AE188">
        <v>0</v>
      </c>
      <c r="AF188">
        <v>0</v>
      </c>
      <c r="AG188">
        <v>0</v>
      </c>
      <c r="AH188">
        <f t="shared" si="43"/>
        <v>1</v>
      </c>
      <c r="AI188">
        <f t="shared" si="44"/>
        <v>0</v>
      </c>
      <c r="AJ188">
        <f t="shared" si="45"/>
        <v>0</v>
      </c>
      <c r="AK188">
        <f t="shared" si="46"/>
        <v>0</v>
      </c>
      <c r="AL188">
        <f t="shared" si="47"/>
        <v>1</v>
      </c>
      <c r="AM188">
        <f t="shared" si="48"/>
        <v>0</v>
      </c>
      <c r="AN188">
        <f t="shared" si="49"/>
        <v>1</v>
      </c>
      <c r="AO188">
        <f>SUM(AN$2:$AN188)</f>
        <v>187</v>
      </c>
    </row>
    <row r="189" spans="1:41" x14ac:dyDescent="0.35">
      <c r="A189" t="s">
        <v>192</v>
      </c>
      <c r="B189" t="s">
        <v>897</v>
      </c>
      <c r="C189">
        <v>8000</v>
      </c>
      <c r="D189" t="s">
        <v>898</v>
      </c>
      <c r="E189">
        <v>559</v>
      </c>
      <c r="F189">
        <v>906</v>
      </c>
      <c r="G189">
        <v>0</v>
      </c>
      <c r="H189">
        <v>0</v>
      </c>
      <c r="I189">
        <v>0</v>
      </c>
      <c r="J189">
        <v>2803</v>
      </c>
      <c r="K189">
        <v>2491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 t="s">
        <v>347</v>
      </c>
      <c r="X189">
        <v>6</v>
      </c>
      <c r="Y189" t="s">
        <v>435</v>
      </c>
      <c r="Z189" t="s">
        <v>1777</v>
      </c>
      <c r="AA189" t="s">
        <v>152</v>
      </c>
      <c r="AB189" t="s">
        <v>148</v>
      </c>
      <c r="AC189" t="s">
        <v>497</v>
      </c>
      <c r="AD189">
        <v>2881</v>
      </c>
      <c r="AE189">
        <v>0</v>
      </c>
      <c r="AF189">
        <v>0</v>
      </c>
      <c r="AG189">
        <v>0</v>
      </c>
      <c r="AH189">
        <f t="shared" si="43"/>
        <v>0</v>
      </c>
      <c r="AI189">
        <f t="shared" si="44"/>
        <v>0</v>
      </c>
      <c r="AJ189">
        <f t="shared" si="45"/>
        <v>0</v>
      </c>
      <c r="AK189">
        <f t="shared" si="46"/>
        <v>1</v>
      </c>
      <c r="AL189">
        <f t="shared" si="47"/>
        <v>1</v>
      </c>
      <c r="AM189">
        <f t="shared" si="48"/>
        <v>0</v>
      </c>
      <c r="AN189">
        <f t="shared" si="49"/>
        <v>1</v>
      </c>
      <c r="AO189">
        <f>SUM(AN$2:$AN189)</f>
        <v>188</v>
      </c>
    </row>
    <row r="190" spans="1:41" x14ac:dyDescent="0.35">
      <c r="A190" t="s">
        <v>192</v>
      </c>
      <c r="B190" t="s">
        <v>896</v>
      </c>
      <c r="C190">
        <v>8100</v>
      </c>
      <c r="D190" t="s">
        <v>1778</v>
      </c>
      <c r="E190">
        <v>707</v>
      </c>
      <c r="F190">
        <v>1412</v>
      </c>
      <c r="G190">
        <v>0</v>
      </c>
      <c r="H190">
        <v>0</v>
      </c>
      <c r="I190">
        <v>3626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162</v>
      </c>
      <c r="X190">
        <v>6</v>
      </c>
      <c r="Y190" t="s">
        <v>437</v>
      </c>
      <c r="Z190" t="s">
        <v>1779</v>
      </c>
      <c r="AA190" t="s">
        <v>497</v>
      </c>
      <c r="AB190" t="s">
        <v>497</v>
      </c>
      <c r="AC190" t="s">
        <v>497</v>
      </c>
      <c r="AD190">
        <v>2917</v>
      </c>
      <c r="AE190">
        <v>0</v>
      </c>
      <c r="AF190">
        <v>0</v>
      </c>
      <c r="AG190">
        <v>0</v>
      </c>
      <c r="AH190">
        <f t="shared" si="43"/>
        <v>0</v>
      </c>
      <c r="AI190">
        <f t="shared" si="44"/>
        <v>0</v>
      </c>
      <c r="AJ190">
        <f t="shared" si="45"/>
        <v>1</v>
      </c>
      <c r="AK190">
        <f t="shared" si="46"/>
        <v>0</v>
      </c>
      <c r="AL190">
        <f t="shared" si="47"/>
        <v>0</v>
      </c>
      <c r="AM190">
        <f t="shared" si="48"/>
        <v>0</v>
      </c>
      <c r="AN190">
        <f t="shared" si="49"/>
        <v>1</v>
      </c>
      <c r="AO190">
        <f>SUM(AN$2:$AN190)</f>
        <v>189</v>
      </c>
    </row>
    <row r="191" spans="1:41" x14ac:dyDescent="0.35">
      <c r="A191" t="s">
        <v>192</v>
      </c>
      <c r="B191" t="s">
        <v>1346</v>
      </c>
      <c r="C191">
        <v>8100</v>
      </c>
      <c r="D191" t="s">
        <v>1780</v>
      </c>
      <c r="E191">
        <v>566</v>
      </c>
      <c r="F191">
        <v>918</v>
      </c>
      <c r="G191">
        <v>2838</v>
      </c>
      <c r="H191">
        <v>0</v>
      </c>
      <c r="I191">
        <v>0</v>
      </c>
      <c r="J191">
        <v>0</v>
      </c>
      <c r="K191">
        <v>2523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 t="s">
        <v>157</v>
      </c>
      <c r="X191">
        <v>6</v>
      </c>
      <c r="Y191" t="s">
        <v>437</v>
      </c>
      <c r="Z191" t="s">
        <v>1781</v>
      </c>
      <c r="AA191" t="s">
        <v>358</v>
      </c>
      <c r="AB191" t="s">
        <v>150</v>
      </c>
      <c r="AC191" t="s">
        <v>497</v>
      </c>
      <c r="AD191">
        <v>2917</v>
      </c>
      <c r="AE191">
        <v>0</v>
      </c>
      <c r="AF191">
        <v>0</v>
      </c>
      <c r="AG191">
        <v>0</v>
      </c>
      <c r="AH191">
        <f t="shared" si="43"/>
        <v>1</v>
      </c>
      <c r="AI191">
        <f t="shared" si="44"/>
        <v>0</v>
      </c>
      <c r="AJ191">
        <f t="shared" si="45"/>
        <v>0</v>
      </c>
      <c r="AK191">
        <f t="shared" si="46"/>
        <v>0</v>
      </c>
      <c r="AL191">
        <f t="shared" si="47"/>
        <v>1</v>
      </c>
      <c r="AM191">
        <f t="shared" si="48"/>
        <v>0</v>
      </c>
      <c r="AN191">
        <f t="shared" si="49"/>
        <v>1</v>
      </c>
      <c r="AO191">
        <f>SUM(AN$2:$AN191)</f>
        <v>190</v>
      </c>
    </row>
    <row r="192" spans="1:41" x14ac:dyDescent="0.35">
      <c r="A192" t="s">
        <v>192</v>
      </c>
      <c r="B192" t="s">
        <v>899</v>
      </c>
      <c r="C192">
        <v>8600</v>
      </c>
      <c r="D192" t="s">
        <v>1782</v>
      </c>
      <c r="E192">
        <v>751</v>
      </c>
      <c r="F192">
        <v>1499</v>
      </c>
      <c r="G192">
        <v>0</v>
      </c>
      <c r="H192">
        <v>0</v>
      </c>
      <c r="I192">
        <v>3850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 t="s">
        <v>162</v>
      </c>
      <c r="X192">
        <v>6</v>
      </c>
      <c r="Y192" t="s">
        <v>628</v>
      </c>
      <c r="Z192" t="s">
        <v>1783</v>
      </c>
      <c r="AA192" t="s">
        <v>152</v>
      </c>
      <c r="AB192" t="s">
        <v>148</v>
      </c>
      <c r="AC192" t="s">
        <v>497</v>
      </c>
      <c r="AD192">
        <v>3097</v>
      </c>
      <c r="AE192">
        <v>0</v>
      </c>
      <c r="AF192">
        <v>0</v>
      </c>
      <c r="AG192">
        <v>0</v>
      </c>
      <c r="AH192">
        <f t="shared" si="43"/>
        <v>0</v>
      </c>
      <c r="AI192">
        <f t="shared" si="44"/>
        <v>0</v>
      </c>
      <c r="AJ192">
        <f t="shared" si="45"/>
        <v>1</v>
      </c>
      <c r="AK192">
        <f t="shared" si="46"/>
        <v>0</v>
      </c>
      <c r="AL192">
        <f t="shared" si="47"/>
        <v>0</v>
      </c>
      <c r="AM192">
        <f t="shared" si="48"/>
        <v>0</v>
      </c>
      <c r="AN192">
        <f t="shared" si="49"/>
        <v>1</v>
      </c>
      <c r="AO192">
        <f>SUM(AN$2:$AN192)</f>
        <v>191</v>
      </c>
    </row>
    <row r="193" spans="1:41" x14ac:dyDescent="0.35">
      <c r="A193" t="s">
        <v>192</v>
      </c>
      <c r="B193" t="s">
        <v>1346</v>
      </c>
      <c r="C193">
        <v>8800</v>
      </c>
      <c r="D193" t="s">
        <v>1347</v>
      </c>
      <c r="E193">
        <v>614</v>
      </c>
      <c r="F193">
        <v>997</v>
      </c>
      <c r="G193">
        <v>3083</v>
      </c>
      <c r="H193">
        <v>0</v>
      </c>
      <c r="I193">
        <v>0</v>
      </c>
      <c r="J193">
        <v>0</v>
      </c>
      <c r="K193">
        <v>2741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 t="s">
        <v>157</v>
      </c>
      <c r="X193">
        <v>6</v>
      </c>
      <c r="Y193" t="s">
        <v>437</v>
      </c>
      <c r="Z193" t="s">
        <v>1784</v>
      </c>
      <c r="AA193" t="s">
        <v>358</v>
      </c>
      <c r="AB193" t="s">
        <v>150</v>
      </c>
      <c r="AC193" t="s">
        <v>497</v>
      </c>
      <c r="AD193">
        <v>3169</v>
      </c>
      <c r="AE193">
        <v>0</v>
      </c>
      <c r="AF193">
        <v>0</v>
      </c>
      <c r="AG193">
        <v>0</v>
      </c>
      <c r="AH193">
        <f t="shared" ref="AH193:AH255" si="51">IF(G193&gt;1,1,0)</f>
        <v>1</v>
      </c>
      <c r="AI193">
        <f t="shared" ref="AI193:AI255" si="52">IF(H193&gt;1,1,0)</f>
        <v>0</v>
      </c>
      <c r="AJ193">
        <f t="shared" ref="AJ193:AJ255" si="53">IF(I193&gt;1,1,0)</f>
        <v>0</v>
      </c>
      <c r="AK193">
        <f t="shared" ref="AK193:AK255" si="54">IF(J193&gt;1,1,0)</f>
        <v>0</v>
      </c>
      <c r="AL193">
        <f t="shared" ref="AL193:AL255" si="55">IF(K193&gt;1,1,0)</f>
        <v>1</v>
      </c>
      <c r="AM193">
        <f t="shared" ref="AM193:AM255" si="56">IF(L193&gt;1,1,0)</f>
        <v>0</v>
      </c>
      <c r="AN193">
        <f t="shared" ref="AN193:AN255" si="57">MIN(1,($AV$2+IF(AND(AH193&gt;=$AP$3,AI193&gt;=$AQ$3,AJ193&gt;=$AR$3,AK193&gt;=$AS$3,AL193&gt;=$AT$3,AM193&gt;=$AU$3),1,0)))</f>
        <v>1</v>
      </c>
      <c r="AO193">
        <f>SUM(AN$2:$AN193)</f>
        <v>192</v>
      </c>
    </row>
    <row r="194" spans="1:41" x14ac:dyDescent="0.35">
      <c r="A194" t="s">
        <v>192</v>
      </c>
      <c r="B194" t="s">
        <v>900</v>
      </c>
      <c r="C194">
        <v>9100</v>
      </c>
      <c r="D194" t="s">
        <v>1785</v>
      </c>
      <c r="E194">
        <v>635</v>
      </c>
      <c r="F194">
        <v>1031</v>
      </c>
      <c r="G194">
        <v>3188</v>
      </c>
      <c r="H194">
        <v>0</v>
      </c>
      <c r="I194">
        <v>0</v>
      </c>
      <c r="J194">
        <v>2834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0</v>
      </c>
      <c r="W194" t="s">
        <v>350</v>
      </c>
      <c r="X194">
        <v>6</v>
      </c>
      <c r="Y194" t="s">
        <v>435</v>
      </c>
      <c r="Z194" t="s">
        <v>1786</v>
      </c>
      <c r="AA194" t="s">
        <v>152</v>
      </c>
      <c r="AB194" t="s">
        <v>358</v>
      </c>
      <c r="AC194" t="s">
        <v>497</v>
      </c>
      <c r="AD194">
        <v>3277</v>
      </c>
      <c r="AE194">
        <v>0</v>
      </c>
      <c r="AF194">
        <v>0</v>
      </c>
      <c r="AG194">
        <v>0</v>
      </c>
      <c r="AH194">
        <f t="shared" si="51"/>
        <v>1</v>
      </c>
      <c r="AI194">
        <f t="shared" si="52"/>
        <v>0</v>
      </c>
      <c r="AJ194">
        <f t="shared" si="53"/>
        <v>0</v>
      </c>
      <c r="AK194">
        <f t="shared" si="54"/>
        <v>1</v>
      </c>
      <c r="AL194">
        <f t="shared" si="55"/>
        <v>0</v>
      </c>
      <c r="AM194">
        <f t="shared" si="56"/>
        <v>0</v>
      </c>
      <c r="AN194">
        <f t="shared" si="57"/>
        <v>1</v>
      </c>
      <c r="AO194">
        <f>SUM(AN$2:$AN194)</f>
        <v>193</v>
      </c>
    </row>
    <row r="195" spans="1:41" x14ac:dyDescent="0.35">
      <c r="A195" t="s">
        <v>192</v>
      </c>
      <c r="B195" t="s">
        <v>901</v>
      </c>
      <c r="C195">
        <v>9100</v>
      </c>
      <c r="D195" t="s">
        <v>902</v>
      </c>
      <c r="E195">
        <v>0</v>
      </c>
      <c r="F195">
        <v>2300</v>
      </c>
      <c r="G195">
        <v>0</v>
      </c>
      <c r="H195">
        <v>0</v>
      </c>
      <c r="I195">
        <v>0</v>
      </c>
      <c r="J195">
        <v>1948</v>
      </c>
      <c r="K195">
        <v>5137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0</v>
      </c>
      <c r="W195" t="s">
        <v>353</v>
      </c>
      <c r="X195">
        <v>3</v>
      </c>
      <c r="Y195" t="s">
        <v>434</v>
      </c>
      <c r="Z195" t="s">
        <v>1787</v>
      </c>
      <c r="AA195" t="s">
        <v>150</v>
      </c>
      <c r="AB195" t="s">
        <v>153</v>
      </c>
      <c r="AC195" t="s">
        <v>497</v>
      </c>
      <c r="AD195">
        <v>0</v>
      </c>
      <c r="AE195">
        <v>0</v>
      </c>
      <c r="AF195">
        <v>0</v>
      </c>
      <c r="AG195">
        <v>0</v>
      </c>
      <c r="AH195">
        <f t="shared" si="51"/>
        <v>0</v>
      </c>
      <c r="AI195">
        <f t="shared" si="52"/>
        <v>0</v>
      </c>
      <c r="AJ195">
        <f t="shared" si="53"/>
        <v>0</v>
      </c>
      <c r="AK195">
        <f t="shared" si="54"/>
        <v>1</v>
      </c>
      <c r="AL195">
        <f t="shared" si="55"/>
        <v>1</v>
      </c>
      <c r="AM195">
        <f t="shared" si="56"/>
        <v>0</v>
      </c>
      <c r="AN195">
        <f t="shared" si="57"/>
        <v>1</v>
      </c>
      <c r="AO195">
        <f>SUM(AN$2:$AN195)</f>
        <v>194</v>
      </c>
    </row>
    <row r="196" spans="1:41" x14ac:dyDescent="0.35">
      <c r="A196" t="s">
        <v>192</v>
      </c>
      <c r="B196" t="s">
        <v>901</v>
      </c>
      <c r="C196">
        <v>9100</v>
      </c>
      <c r="D196" t="s">
        <v>903</v>
      </c>
      <c r="E196">
        <v>0</v>
      </c>
      <c r="F196">
        <v>2696</v>
      </c>
      <c r="G196">
        <v>0</v>
      </c>
      <c r="H196">
        <v>0</v>
      </c>
      <c r="I196">
        <v>6111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t="s">
        <v>329</v>
      </c>
      <c r="X196">
        <v>3</v>
      </c>
      <c r="Y196" t="s">
        <v>434</v>
      </c>
      <c r="Z196" t="s">
        <v>1788</v>
      </c>
      <c r="AA196" t="s">
        <v>358</v>
      </c>
      <c r="AB196" t="s">
        <v>149</v>
      </c>
      <c r="AC196" t="s">
        <v>497</v>
      </c>
      <c r="AD196">
        <v>0</v>
      </c>
      <c r="AE196">
        <v>0</v>
      </c>
      <c r="AF196">
        <v>0</v>
      </c>
      <c r="AG196">
        <v>0</v>
      </c>
      <c r="AH196">
        <f t="shared" si="51"/>
        <v>0</v>
      </c>
      <c r="AI196">
        <f t="shared" si="52"/>
        <v>0</v>
      </c>
      <c r="AJ196">
        <f t="shared" si="53"/>
        <v>1</v>
      </c>
      <c r="AK196">
        <f t="shared" si="54"/>
        <v>0</v>
      </c>
      <c r="AL196">
        <f t="shared" si="55"/>
        <v>0</v>
      </c>
      <c r="AM196">
        <f t="shared" si="56"/>
        <v>0</v>
      </c>
      <c r="AN196">
        <f t="shared" si="57"/>
        <v>1</v>
      </c>
      <c r="AO196">
        <f>SUM(AN$2:$AN196)</f>
        <v>195</v>
      </c>
    </row>
    <row r="197" spans="1:41" x14ac:dyDescent="0.35">
      <c r="A197" t="s">
        <v>192</v>
      </c>
      <c r="B197" t="s">
        <v>901</v>
      </c>
      <c r="C197">
        <v>9100</v>
      </c>
      <c r="D197" t="s">
        <v>904</v>
      </c>
      <c r="E197">
        <v>0</v>
      </c>
      <c r="F197">
        <v>2300</v>
      </c>
      <c r="G197">
        <v>2834</v>
      </c>
      <c r="H197">
        <v>0</v>
      </c>
      <c r="I197">
        <v>2480</v>
      </c>
      <c r="J197">
        <v>0</v>
      </c>
      <c r="K197">
        <v>1771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 t="s">
        <v>422</v>
      </c>
      <c r="X197">
        <v>3</v>
      </c>
      <c r="Y197" t="s">
        <v>434</v>
      </c>
      <c r="Z197" t="s">
        <v>1789</v>
      </c>
      <c r="AA197" t="s">
        <v>151</v>
      </c>
      <c r="AB197" t="s">
        <v>149</v>
      </c>
      <c r="AC197" t="s">
        <v>497</v>
      </c>
      <c r="AD197">
        <v>0</v>
      </c>
      <c r="AE197">
        <v>0</v>
      </c>
      <c r="AF197">
        <v>0</v>
      </c>
      <c r="AG197">
        <v>0</v>
      </c>
      <c r="AH197">
        <f t="shared" si="51"/>
        <v>1</v>
      </c>
      <c r="AI197">
        <f t="shared" si="52"/>
        <v>0</v>
      </c>
      <c r="AJ197">
        <f t="shared" si="53"/>
        <v>1</v>
      </c>
      <c r="AK197">
        <f t="shared" si="54"/>
        <v>0</v>
      </c>
      <c r="AL197">
        <f t="shared" si="55"/>
        <v>1</v>
      </c>
      <c r="AM197">
        <f t="shared" si="56"/>
        <v>0</v>
      </c>
      <c r="AN197">
        <f t="shared" si="57"/>
        <v>1</v>
      </c>
      <c r="AO197">
        <f>SUM(AN$2:$AN197)</f>
        <v>196</v>
      </c>
    </row>
    <row r="198" spans="1:41" x14ac:dyDescent="0.35">
      <c r="A198" t="s">
        <v>192</v>
      </c>
      <c r="B198" t="s">
        <v>901</v>
      </c>
      <c r="C198">
        <v>9400</v>
      </c>
      <c r="D198" t="s">
        <v>912</v>
      </c>
      <c r="E198">
        <v>0</v>
      </c>
      <c r="F198">
        <v>2375</v>
      </c>
      <c r="G198">
        <v>0</v>
      </c>
      <c r="H198">
        <v>0</v>
      </c>
      <c r="I198">
        <v>3110</v>
      </c>
      <c r="J198">
        <v>2379</v>
      </c>
      <c r="K198">
        <v>1830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 t="s">
        <v>354</v>
      </c>
      <c r="X198">
        <v>3</v>
      </c>
      <c r="Y198" t="s">
        <v>434</v>
      </c>
      <c r="Z198" t="s">
        <v>1790</v>
      </c>
      <c r="AA198" t="s">
        <v>150</v>
      </c>
      <c r="AB198" t="s">
        <v>153</v>
      </c>
      <c r="AC198" t="s">
        <v>497</v>
      </c>
      <c r="AD198">
        <v>0</v>
      </c>
      <c r="AE198">
        <v>0</v>
      </c>
      <c r="AF198">
        <v>0</v>
      </c>
      <c r="AG198">
        <v>0</v>
      </c>
      <c r="AH198">
        <f t="shared" si="51"/>
        <v>0</v>
      </c>
      <c r="AI198">
        <f t="shared" si="52"/>
        <v>0</v>
      </c>
      <c r="AJ198">
        <f t="shared" si="53"/>
        <v>1</v>
      </c>
      <c r="AK198">
        <f t="shared" si="54"/>
        <v>1</v>
      </c>
      <c r="AL198">
        <f t="shared" si="55"/>
        <v>1</v>
      </c>
      <c r="AM198">
        <f t="shared" si="56"/>
        <v>0</v>
      </c>
      <c r="AN198">
        <f t="shared" si="57"/>
        <v>1</v>
      </c>
      <c r="AO198">
        <f>SUM(AN$2:$AN198)</f>
        <v>197</v>
      </c>
    </row>
    <row r="199" spans="1:41" x14ac:dyDescent="0.35">
      <c r="A199" t="s">
        <v>192</v>
      </c>
      <c r="B199" t="s">
        <v>901</v>
      </c>
      <c r="C199">
        <v>9400</v>
      </c>
      <c r="D199" t="s">
        <v>913</v>
      </c>
      <c r="E199">
        <v>0</v>
      </c>
      <c r="F199">
        <v>2785</v>
      </c>
      <c r="G199">
        <v>0</v>
      </c>
      <c r="H199">
        <v>0</v>
      </c>
      <c r="I199">
        <v>0</v>
      </c>
      <c r="J199">
        <v>0</v>
      </c>
      <c r="K199">
        <v>6312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0</v>
      </c>
      <c r="W199" t="s">
        <v>327</v>
      </c>
      <c r="X199">
        <v>3</v>
      </c>
      <c r="Y199" t="s">
        <v>434</v>
      </c>
      <c r="Z199" t="s">
        <v>1791</v>
      </c>
      <c r="AA199" t="s">
        <v>152</v>
      </c>
      <c r="AB199" t="s">
        <v>153</v>
      </c>
      <c r="AC199" t="s">
        <v>497</v>
      </c>
      <c r="AD199">
        <v>0</v>
      </c>
      <c r="AE199">
        <v>0</v>
      </c>
      <c r="AF199">
        <v>0</v>
      </c>
      <c r="AG199">
        <v>0</v>
      </c>
      <c r="AH199">
        <f t="shared" si="51"/>
        <v>0</v>
      </c>
      <c r="AI199">
        <f t="shared" si="52"/>
        <v>0</v>
      </c>
      <c r="AJ199">
        <f t="shared" si="53"/>
        <v>0</v>
      </c>
      <c r="AK199">
        <f t="shared" si="54"/>
        <v>0</v>
      </c>
      <c r="AL199">
        <f t="shared" si="55"/>
        <v>1</v>
      </c>
      <c r="AM199">
        <f t="shared" si="56"/>
        <v>0</v>
      </c>
      <c r="AN199">
        <f t="shared" si="57"/>
        <v>1</v>
      </c>
      <c r="AO199">
        <f>SUM(AN$2:$AN199)</f>
        <v>198</v>
      </c>
    </row>
    <row r="200" spans="1:41" x14ac:dyDescent="0.35">
      <c r="A200" t="s">
        <v>192</v>
      </c>
      <c r="B200" t="s">
        <v>901</v>
      </c>
      <c r="C200">
        <v>9400</v>
      </c>
      <c r="D200" t="s">
        <v>914</v>
      </c>
      <c r="E200">
        <v>0</v>
      </c>
      <c r="F200">
        <v>2375</v>
      </c>
      <c r="G200">
        <v>3659</v>
      </c>
      <c r="H200">
        <v>0</v>
      </c>
      <c r="I200">
        <v>0</v>
      </c>
      <c r="J200">
        <v>0</v>
      </c>
      <c r="K200">
        <v>3659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0</v>
      </c>
      <c r="W200" t="s">
        <v>328</v>
      </c>
      <c r="X200">
        <v>3</v>
      </c>
      <c r="Y200" t="s">
        <v>434</v>
      </c>
      <c r="Z200" t="s">
        <v>1792</v>
      </c>
      <c r="AA200" t="s">
        <v>151</v>
      </c>
      <c r="AB200" t="s">
        <v>153</v>
      </c>
      <c r="AC200" t="s">
        <v>497</v>
      </c>
      <c r="AD200">
        <v>0</v>
      </c>
      <c r="AE200">
        <v>0</v>
      </c>
      <c r="AF200">
        <v>0</v>
      </c>
      <c r="AG200">
        <v>0</v>
      </c>
      <c r="AH200">
        <f t="shared" si="51"/>
        <v>1</v>
      </c>
      <c r="AI200">
        <f t="shared" si="52"/>
        <v>0</v>
      </c>
      <c r="AJ200">
        <f t="shared" si="53"/>
        <v>0</v>
      </c>
      <c r="AK200">
        <f t="shared" si="54"/>
        <v>0</v>
      </c>
      <c r="AL200">
        <f t="shared" si="55"/>
        <v>1</v>
      </c>
      <c r="AM200">
        <f t="shared" si="56"/>
        <v>0</v>
      </c>
      <c r="AN200">
        <f t="shared" si="57"/>
        <v>1</v>
      </c>
      <c r="AO200">
        <f>SUM(AN$2:$AN200)</f>
        <v>199</v>
      </c>
    </row>
    <row r="201" spans="1:41" x14ac:dyDescent="0.35">
      <c r="A201" t="s">
        <v>192</v>
      </c>
      <c r="B201" t="s">
        <v>915</v>
      </c>
      <c r="C201">
        <v>9600</v>
      </c>
      <c r="D201" t="s">
        <v>916</v>
      </c>
      <c r="E201">
        <v>670</v>
      </c>
      <c r="F201">
        <v>1087</v>
      </c>
      <c r="G201">
        <v>3363</v>
      </c>
      <c r="H201">
        <v>0</v>
      </c>
      <c r="I201">
        <v>0</v>
      </c>
      <c r="J201">
        <v>0</v>
      </c>
      <c r="K201">
        <v>2990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 t="s">
        <v>157</v>
      </c>
      <c r="X201">
        <v>6</v>
      </c>
      <c r="Y201" t="s">
        <v>1336</v>
      </c>
      <c r="Z201" t="s">
        <v>1793</v>
      </c>
      <c r="AA201" t="s">
        <v>358</v>
      </c>
      <c r="AB201" t="s">
        <v>150</v>
      </c>
      <c r="AC201" t="s">
        <v>497</v>
      </c>
      <c r="AD201">
        <v>3457</v>
      </c>
      <c r="AE201">
        <v>0</v>
      </c>
      <c r="AF201">
        <v>0</v>
      </c>
      <c r="AG201">
        <v>0</v>
      </c>
      <c r="AH201">
        <f t="shared" si="51"/>
        <v>1</v>
      </c>
      <c r="AI201">
        <f t="shared" si="52"/>
        <v>0</v>
      </c>
      <c r="AJ201">
        <f t="shared" si="53"/>
        <v>0</v>
      </c>
      <c r="AK201">
        <f t="shared" si="54"/>
        <v>0</v>
      </c>
      <c r="AL201">
        <f t="shared" si="55"/>
        <v>1</v>
      </c>
      <c r="AM201">
        <f t="shared" si="56"/>
        <v>0</v>
      </c>
      <c r="AN201">
        <f t="shared" si="57"/>
        <v>1</v>
      </c>
      <c r="AO201">
        <f>SUM(AN$2:$AN201)</f>
        <v>200</v>
      </c>
    </row>
    <row r="202" spans="1:41" x14ac:dyDescent="0.35">
      <c r="A202" t="s">
        <v>192</v>
      </c>
      <c r="B202" t="s">
        <v>901</v>
      </c>
      <c r="C202">
        <v>9700</v>
      </c>
      <c r="D202" t="s">
        <v>917</v>
      </c>
      <c r="E202">
        <v>0</v>
      </c>
      <c r="F202">
        <v>2451</v>
      </c>
      <c r="G202">
        <v>0</v>
      </c>
      <c r="H202">
        <v>0</v>
      </c>
      <c r="I202">
        <v>3776</v>
      </c>
      <c r="J202">
        <v>0</v>
      </c>
      <c r="K202">
        <v>3776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t="s">
        <v>332</v>
      </c>
      <c r="X202">
        <v>3</v>
      </c>
      <c r="Y202" t="s">
        <v>434</v>
      </c>
      <c r="Z202" t="s">
        <v>1794</v>
      </c>
      <c r="AA202" t="s">
        <v>358</v>
      </c>
      <c r="AB202" t="s">
        <v>149</v>
      </c>
      <c r="AC202" t="s">
        <v>497</v>
      </c>
      <c r="AD202">
        <v>0</v>
      </c>
      <c r="AE202">
        <v>0</v>
      </c>
      <c r="AF202">
        <v>0</v>
      </c>
      <c r="AG202">
        <v>0</v>
      </c>
      <c r="AH202">
        <f t="shared" si="51"/>
        <v>0</v>
      </c>
      <c r="AI202">
        <f t="shared" si="52"/>
        <v>0</v>
      </c>
      <c r="AJ202">
        <f t="shared" si="53"/>
        <v>1</v>
      </c>
      <c r="AK202">
        <f t="shared" si="54"/>
        <v>0</v>
      </c>
      <c r="AL202">
        <f t="shared" si="55"/>
        <v>1</v>
      </c>
      <c r="AM202">
        <f t="shared" si="56"/>
        <v>0</v>
      </c>
      <c r="AN202">
        <f t="shared" si="57"/>
        <v>1</v>
      </c>
      <c r="AO202">
        <f>SUM(AN$2:$AN202)</f>
        <v>201</v>
      </c>
    </row>
    <row r="203" spans="1:41" x14ac:dyDescent="0.35">
      <c r="A203" t="s">
        <v>192</v>
      </c>
      <c r="B203" t="s">
        <v>901</v>
      </c>
      <c r="C203">
        <v>9700</v>
      </c>
      <c r="D203" t="s">
        <v>918</v>
      </c>
      <c r="E203">
        <v>0</v>
      </c>
      <c r="F203">
        <v>2705</v>
      </c>
      <c r="G203">
        <v>2454</v>
      </c>
      <c r="H203">
        <v>0</v>
      </c>
      <c r="I203">
        <v>2454</v>
      </c>
      <c r="J203">
        <v>2077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 t="s">
        <v>419</v>
      </c>
      <c r="X203">
        <v>3</v>
      </c>
      <c r="Y203" t="s">
        <v>434</v>
      </c>
      <c r="Z203" t="s">
        <v>1795</v>
      </c>
      <c r="AA203" t="s">
        <v>151</v>
      </c>
      <c r="AB203" t="s">
        <v>152</v>
      </c>
      <c r="AC203" t="s">
        <v>497</v>
      </c>
      <c r="AD203">
        <v>0</v>
      </c>
      <c r="AE203">
        <v>0</v>
      </c>
      <c r="AF203">
        <v>0</v>
      </c>
      <c r="AG203">
        <v>0</v>
      </c>
      <c r="AH203">
        <f t="shared" si="51"/>
        <v>1</v>
      </c>
      <c r="AI203">
        <f t="shared" si="52"/>
        <v>0</v>
      </c>
      <c r="AJ203">
        <f t="shared" si="53"/>
        <v>1</v>
      </c>
      <c r="AK203">
        <f t="shared" si="54"/>
        <v>1</v>
      </c>
      <c r="AL203">
        <f t="shared" si="55"/>
        <v>0</v>
      </c>
      <c r="AM203">
        <f t="shared" si="56"/>
        <v>0</v>
      </c>
      <c r="AN203">
        <f t="shared" si="57"/>
        <v>1</v>
      </c>
      <c r="AO203">
        <f>SUM(AN$2:$AN203)</f>
        <v>202</v>
      </c>
    </row>
    <row r="204" spans="1:41" x14ac:dyDescent="0.35">
      <c r="A204" t="s">
        <v>192</v>
      </c>
      <c r="B204" t="s">
        <v>901</v>
      </c>
      <c r="C204">
        <v>9700</v>
      </c>
      <c r="D204" t="s">
        <v>919</v>
      </c>
      <c r="E204">
        <v>0</v>
      </c>
      <c r="F204">
        <v>2874</v>
      </c>
      <c r="G204">
        <v>6514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t="s">
        <v>331</v>
      </c>
      <c r="X204">
        <v>3</v>
      </c>
      <c r="Y204" t="s">
        <v>434</v>
      </c>
      <c r="Z204" t="s">
        <v>1796</v>
      </c>
      <c r="AA204" t="s">
        <v>151</v>
      </c>
      <c r="AB204" t="s">
        <v>150</v>
      </c>
      <c r="AC204" t="s">
        <v>497</v>
      </c>
      <c r="AD204">
        <v>0</v>
      </c>
      <c r="AE204">
        <v>0</v>
      </c>
      <c r="AF204">
        <v>0</v>
      </c>
      <c r="AG204">
        <v>0</v>
      </c>
      <c r="AH204">
        <f t="shared" si="51"/>
        <v>1</v>
      </c>
      <c r="AI204">
        <f t="shared" si="52"/>
        <v>0</v>
      </c>
      <c r="AJ204">
        <f t="shared" si="53"/>
        <v>0</v>
      </c>
      <c r="AK204">
        <f t="shared" si="54"/>
        <v>0</v>
      </c>
      <c r="AL204">
        <f t="shared" si="55"/>
        <v>0</v>
      </c>
      <c r="AM204">
        <f t="shared" si="56"/>
        <v>0</v>
      </c>
      <c r="AN204">
        <f t="shared" si="57"/>
        <v>1</v>
      </c>
      <c r="AO204">
        <f>SUM(AN$2:$AN204)</f>
        <v>203</v>
      </c>
    </row>
    <row r="205" spans="1:41" x14ac:dyDescent="0.35">
      <c r="A205" t="s">
        <v>192</v>
      </c>
      <c r="B205" t="s">
        <v>905</v>
      </c>
      <c r="C205">
        <v>10000</v>
      </c>
      <c r="D205" t="s">
        <v>1797</v>
      </c>
      <c r="E205">
        <v>698</v>
      </c>
      <c r="F205">
        <v>1133</v>
      </c>
      <c r="G205">
        <v>0</v>
      </c>
      <c r="H205">
        <v>0</v>
      </c>
      <c r="I205">
        <v>3504</v>
      </c>
      <c r="J205">
        <v>3114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 t="s">
        <v>348</v>
      </c>
      <c r="X205">
        <v>6</v>
      </c>
      <c r="Y205" t="s">
        <v>435</v>
      </c>
      <c r="Z205" t="s">
        <v>1798</v>
      </c>
      <c r="AA205" t="s">
        <v>152</v>
      </c>
      <c r="AB205" t="s">
        <v>358</v>
      </c>
      <c r="AC205" t="s">
        <v>497</v>
      </c>
      <c r="AD205">
        <v>3601</v>
      </c>
      <c r="AE205">
        <v>0</v>
      </c>
      <c r="AF205">
        <v>0</v>
      </c>
      <c r="AG205">
        <v>0</v>
      </c>
      <c r="AH205">
        <f t="shared" si="51"/>
        <v>0</v>
      </c>
      <c r="AI205">
        <f t="shared" si="52"/>
        <v>0</v>
      </c>
      <c r="AJ205">
        <f t="shared" si="53"/>
        <v>1</v>
      </c>
      <c r="AK205">
        <f t="shared" si="54"/>
        <v>1</v>
      </c>
      <c r="AL205">
        <f t="shared" si="55"/>
        <v>0</v>
      </c>
      <c r="AM205">
        <f t="shared" si="56"/>
        <v>0</v>
      </c>
      <c r="AN205">
        <f t="shared" si="57"/>
        <v>1</v>
      </c>
      <c r="AO205">
        <f>SUM(AN$2:$AN205)</f>
        <v>204</v>
      </c>
    </row>
    <row r="206" spans="1:41" x14ac:dyDescent="0.35">
      <c r="A206" t="s">
        <v>192</v>
      </c>
      <c r="B206" t="s">
        <v>906</v>
      </c>
      <c r="C206">
        <v>10000</v>
      </c>
      <c r="D206" t="s">
        <v>1799</v>
      </c>
      <c r="E206">
        <v>698</v>
      </c>
      <c r="F206">
        <v>1133</v>
      </c>
      <c r="G206">
        <v>0</v>
      </c>
      <c r="H206">
        <v>0</v>
      </c>
      <c r="I206">
        <v>3504</v>
      </c>
      <c r="J206">
        <v>3114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 t="s">
        <v>348</v>
      </c>
      <c r="X206">
        <v>6</v>
      </c>
      <c r="Y206" t="s">
        <v>435</v>
      </c>
      <c r="Z206" t="s">
        <v>1800</v>
      </c>
      <c r="AA206" t="s">
        <v>152</v>
      </c>
      <c r="AB206" t="s">
        <v>358</v>
      </c>
      <c r="AC206" t="s">
        <v>497</v>
      </c>
      <c r="AD206">
        <v>3601</v>
      </c>
      <c r="AE206">
        <v>0</v>
      </c>
      <c r="AF206">
        <v>0</v>
      </c>
      <c r="AG206">
        <v>0</v>
      </c>
      <c r="AH206">
        <f t="shared" si="51"/>
        <v>0</v>
      </c>
      <c r="AI206">
        <f t="shared" si="52"/>
        <v>0</v>
      </c>
      <c r="AJ206">
        <f t="shared" si="53"/>
        <v>1</v>
      </c>
      <c r="AK206">
        <f t="shared" si="54"/>
        <v>1</v>
      </c>
      <c r="AL206">
        <f t="shared" si="55"/>
        <v>0</v>
      </c>
      <c r="AM206">
        <f t="shared" si="56"/>
        <v>0</v>
      </c>
      <c r="AN206">
        <f t="shared" si="57"/>
        <v>1</v>
      </c>
      <c r="AO206">
        <f>SUM(AN$2:$AN206)</f>
        <v>205</v>
      </c>
    </row>
    <row r="207" spans="1:41" x14ac:dyDescent="0.35">
      <c r="A207" t="s">
        <v>192</v>
      </c>
      <c r="B207" t="s">
        <v>1348</v>
      </c>
      <c r="C207">
        <v>10000</v>
      </c>
      <c r="D207" t="s">
        <v>1349</v>
      </c>
      <c r="E207">
        <v>698</v>
      </c>
      <c r="F207">
        <v>1133</v>
      </c>
      <c r="G207">
        <v>0</v>
      </c>
      <c r="H207">
        <v>0</v>
      </c>
      <c r="I207">
        <v>3504</v>
      </c>
      <c r="J207">
        <v>3114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 t="s">
        <v>348</v>
      </c>
      <c r="X207">
        <v>6</v>
      </c>
      <c r="Y207" t="s">
        <v>439</v>
      </c>
      <c r="Z207" t="s">
        <v>1801</v>
      </c>
      <c r="AA207" t="s">
        <v>152</v>
      </c>
      <c r="AB207" t="s">
        <v>358</v>
      </c>
      <c r="AC207" t="s">
        <v>497</v>
      </c>
      <c r="AD207">
        <v>3601</v>
      </c>
      <c r="AE207">
        <v>0</v>
      </c>
      <c r="AF207">
        <v>0</v>
      </c>
      <c r="AG207">
        <v>0</v>
      </c>
      <c r="AH207">
        <f t="shared" si="51"/>
        <v>0</v>
      </c>
      <c r="AI207">
        <f t="shared" si="52"/>
        <v>0</v>
      </c>
      <c r="AJ207">
        <f t="shared" si="53"/>
        <v>1</v>
      </c>
      <c r="AK207">
        <f t="shared" si="54"/>
        <v>1</v>
      </c>
      <c r="AL207">
        <f t="shared" si="55"/>
        <v>0</v>
      </c>
      <c r="AM207">
        <f t="shared" si="56"/>
        <v>0</v>
      </c>
      <c r="AN207">
        <f t="shared" si="57"/>
        <v>1</v>
      </c>
      <c r="AO207">
        <f>SUM(AN$2:$AN207)</f>
        <v>206</v>
      </c>
    </row>
    <row r="208" spans="1:41" x14ac:dyDescent="0.35">
      <c r="A208" t="s">
        <v>192</v>
      </c>
      <c r="B208" t="s">
        <v>907</v>
      </c>
      <c r="C208">
        <v>10000</v>
      </c>
      <c r="D208" t="s">
        <v>1802</v>
      </c>
      <c r="E208">
        <v>698</v>
      </c>
      <c r="F208">
        <v>1133</v>
      </c>
      <c r="G208">
        <v>0</v>
      </c>
      <c r="H208">
        <v>0</v>
      </c>
      <c r="I208">
        <v>0</v>
      </c>
      <c r="J208">
        <v>3114</v>
      </c>
      <c r="K208">
        <v>0</v>
      </c>
      <c r="L208">
        <v>3504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 t="s">
        <v>349</v>
      </c>
      <c r="X208">
        <v>6</v>
      </c>
      <c r="Y208" t="s">
        <v>435</v>
      </c>
      <c r="Z208" t="s">
        <v>1803</v>
      </c>
      <c r="AA208" t="s">
        <v>358</v>
      </c>
      <c r="AB208" t="s">
        <v>152</v>
      </c>
      <c r="AC208" t="s">
        <v>497</v>
      </c>
      <c r="AD208">
        <v>3601</v>
      </c>
      <c r="AE208">
        <v>0</v>
      </c>
      <c r="AF208">
        <v>0</v>
      </c>
      <c r="AG208">
        <v>0</v>
      </c>
      <c r="AH208">
        <f t="shared" si="51"/>
        <v>0</v>
      </c>
      <c r="AI208">
        <f t="shared" si="52"/>
        <v>0</v>
      </c>
      <c r="AJ208">
        <f t="shared" si="53"/>
        <v>0</v>
      </c>
      <c r="AK208">
        <f t="shared" si="54"/>
        <v>1</v>
      </c>
      <c r="AL208">
        <f t="shared" si="55"/>
        <v>0</v>
      </c>
      <c r="AM208">
        <f t="shared" si="56"/>
        <v>1</v>
      </c>
      <c r="AN208">
        <f t="shared" si="57"/>
        <v>1</v>
      </c>
      <c r="AO208">
        <f>SUM(AN$2:$AN208)</f>
        <v>207</v>
      </c>
    </row>
    <row r="209" spans="1:41" x14ac:dyDescent="0.35">
      <c r="A209" t="s">
        <v>192</v>
      </c>
      <c r="B209" t="s">
        <v>908</v>
      </c>
      <c r="C209">
        <v>10000</v>
      </c>
      <c r="D209" t="s">
        <v>1804</v>
      </c>
      <c r="E209">
        <v>698</v>
      </c>
      <c r="F209">
        <v>1133</v>
      </c>
      <c r="G209">
        <v>0</v>
      </c>
      <c r="H209">
        <v>0</v>
      </c>
      <c r="I209">
        <v>0</v>
      </c>
      <c r="J209">
        <v>3114</v>
      </c>
      <c r="K209">
        <v>0</v>
      </c>
      <c r="L209">
        <v>3504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 t="s">
        <v>349</v>
      </c>
      <c r="X209">
        <v>6</v>
      </c>
      <c r="Y209" t="s">
        <v>435</v>
      </c>
      <c r="Z209" t="s">
        <v>1805</v>
      </c>
      <c r="AA209" t="s">
        <v>358</v>
      </c>
      <c r="AB209" t="s">
        <v>152</v>
      </c>
      <c r="AC209" t="s">
        <v>497</v>
      </c>
      <c r="AD209">
        <v>3601</v>
      </c>
      <c r="AE209">
        <v>0</v>
      </c>
      <c r="AF209">
        <v>0</v>
      </c>
      <c r="AG209">
        <v>0</v>
      </c>
      <c r="AH209">
        <f t="shared" si="51"/>
        <v>0</v>
      </c>
      <c r="AI209">
        <f t="shared" si="52"/>
        <v>0</v>
      </c>
      <c r="AJ209">
        <f t="shared" si="53"/>
        <v>0</v>
      </c>
      <c r="AK209">
        <f t="shared" si="54"/>
        <v>1</v>
      </c>
      <c r="AL209">
        <f t="shared" si="55"/>
        <v>0</v>
      </c>
      <c r="AM209">
        <f t="shared" si="56"/>
        <v>1</v>
      </c>
      <c r="AN209">
        <f t="shared" si="57"/>
        <v>1</v>
      </c>
      <c r="AO209">
        <f>SUM(AN$2:$AN209)</f>
        <v>208</v>
      </c>
    </row>
    <row r="210" spans="1:41" customFormat="1" x14ac:dyDescent="0.35">
      <c r="A210" t="s">
        <v>192</v>
      </c>
      <c r="B210" t="s">
        <v>909</v>
      </c>
      <c r="C210">
        <v>10000</v>
      </c>
      <c r="D210" t="s">
        <v>1806</v>
      </c>
      <c r="E210">
        <v>698</v>
      </c>
      <c r="F210">
        <v>1133</v>
      </c>
      <c r="G210">
        <v>0</v>
      </c>
      <c r="H210">
        <v>0</v>
      </c>
      <c r="I210">
        <v>3504</v>
      </c>
      <c r="J210">
        <v>0</v>
      </c>
      <c r="K210">
        <v>3114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159</v>
      </c>
      <c r="X210">
        <v>6</v>
      </c>
      <c r="Y210" t="s">
        <v>435</v>
      </c>
      <c r="Z210" t="s">
        <v>1807</v>
      </c>
      <c r="AA210" t="s">
        <v>149</v>
      </c>
      <c r="AB210" t="s">
        <v>150</v>
      </c>
      <c r="AC210" t="s">
        <v>497</v>
      </c>
      <c r="AD210">
        <v>3601</v>
      </c>
      <c r="AE210">
        <v>0</v>
      </c>
      <c r="AF210">
        <v>0</v>
      </c>
      <c r="AG210">
        <v>0</v>
      </c>
      <c r="AH210">
        <f t="shared" si="51"/>
        <v>0</v>
      </c>
      <c r="AI210">
        <f t="shared" si="52"/>
        <v>0</v>
      </c>
      <c r="AJ210">
        <f t="shared" si="53"/>
        <v>1</v>
      </c>
      <c r="AK210">
        <f t="shared" si="54"/>
        <v>0</v>
      </c>
      <c r="AL210">
        <f t="shared" si="55"/>
        <v>1</v>
      </c>
      <c r="AM210">
        <f t="shared" si="56"/>
        <v>0</v>
      </c>
      <c r="AN210">
        <f t="shared" si="57"/>
        <v>1</v>
      </c>
      <c r="AO210">
        <f>SUM(AN$2:$AN210)</f>
        <v>209</v>
      </c>
    </row>
    <row r="211" spans="1:41" customFormat="1" x14ac:dyDescent="0.35">
      <c r="A211" t="s">
        <v>192</v>
      </c>
      <c r="B211" t="s">
        <v>910</v>
      </c>
      <c r="C211">
        <v>10000</v>
      </c>
      <c r="D211" t="s">
        <v>1808</v>
      </c>
      <c r="E211">
        <v>698</v>
      </c>
      <c r="F211">
        <v>1133</v>
      </c>
      <c r="G211">
        <v>3504</v>
      </c>
      <c r="H211">
        <v>0</v>
      </c>
      <c r="I211">
        <v>0</v>
      </c>
      <c r="J211">
        <v>3114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0</v>
      </c>
      <c r="W211" t="s">
        <v>350</v>
      </c>
      <c r="X211">
        <v>6</v>
      </c>
      <c r="Y211" t="s">
        <v>435</v>
      </c>
      <c r="Z211" t="s">
        <v>1809</v>
      </c>
      <c r="AA211" t="s">
        <v>152</v>
      </c>
      <c r="AB211" t="s">
        <v>358</v>
      </c>
      <c r="AC211" t="s">
        <v>497</v>
      </c>
      <c r="AD211">
        <v>3601</v>
      </c>
      <c r="AE211">
        <v>0</v>
      </c>
      <c r="AF211">
        <v>0</v>
      </c>
      <c r="AG211">
        <v>0</v>
      </c>
      <c r="AH211">
        <f t="shared" si="51"/>
        <v>1</v>
      </c>
      <c r="AI211">
        <f t="shared" si="52"/>
        <v>0</v>
      </c>
      <c r="AJ211">
        <f t="shared" si="53"/>
        <v>0</v>
      </c>
      <c r="AK211">
        <f t="shared" si="54"/>
        <v>1</v>
      </c>
      <c r="AL211">
        <f t="shared" si="55"/>
        <v>0</v>
      </c>
      <c r="AM211">
        <f t="shared" si="56"/>
        <v>0</v>
      </c>
      <c r="AN211">
        <f t="shared" si="57"/>
        <v>1</v>
      </c>
      <c r="AO211">
        <f>SUM(AN$2:$AN211)</f>
        <v>210</v>
      </c>
    </row>
    <row r="212" spans="1:41" x14ac:dyDescent="0.35">
      <c r="A212" t="s">
        <v>192</v>
      </c>
      <c r="B212" t="s">
        <v>911</v>
      </c>
      <c r="C212">
        <v>10000</v>
      </c>
      <c r="D212" t="s">
        <v>1810</v>
      </c>
      <c r="E212">
        <v>698</v>
      </c>
      <c r="F212">
        <v>1133</v>
      </c>
      <c r="G212">
        <v>3504</v>
      </c>
      <c r="H212">
        <v>0</v>
      </c>
      <c r="I212">
        <v>0</v>
      </c>
      <c r="J212">
        <v>0</v>
      </c>
      <c r="K212">
        <v>3114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 t="s">
        <v>157</v>
      </c>
      <c r="X212">
        <v>6</v>
      </c>
      <c r="Y212" t="s">
        <v>435</v>
      </c>
      <c r="Z212" t="s">
        <v>1811</v>
      </c>
      <c r="AA212" t="s">
        <v>358</v>
      </c>
      <c r="AB212" t="s">
        <v>150</v>
      </c>
      <c r="AC212" t="s">
        <v>497</v>
      </c>
      <c r="AD212">
        <v>3601</v>
      </c>
      <c r="AE212">
        <v>0</v>
      </c>
      <c r="AF212">
        <v>0</v>
      </c>
      <c r="AG212">
        <v>0</v>
      </c>
      <c r="AH212">
        <f t="shared" si="51"/>
        <v>1</v>
      </c>
      <c r="AI212">
        <f t="shared" si="52"/>
        <v>0</v>
      </c>
      <c r="AJ212">
        <f t="shared" si="53"/>
        <v>0</v>
      </c>
      <c r="AK212">
        <f t="shared" si="54"/>
        <v>0</v>
      </c>
      <c r="AL212">
        <f t="shared" si="55"/>
        <v>1</v>
      </c>
      <c r="AM212">
        <f t="shared" si="56"/>
        <v>0</v>
      </c>
      <c r="AN212">
        <f t="shared" si="57"/>
        <v>1</v>
      </c>
      <c r="AO212">
        <f>SUM(AN$2:$AN212)</f>
        <v>211</v>
      </c>
    </row>
    <row r="213" spans="1:41" x14ac:dyDescent="0.35">
      <c r="A213" t="s">
        <v>192</v>
      </c>
      <c r="B213" t="s">
        <v>901</v>
      </c>
      <c r="C213">
        <v>10000</v>
      </c>
      <c r="D213" t="s">
        <v>920</v>
      </c>
      <c r="E213">
        <v>0</v>
      </c>
      <c r="F213">
        <v>2527</v>
      </c>
      <c r="G213">
        <v>0</v>
      </c>
      <c r="H213">
        <v>0</v>
      </c>
      <c r="I213">
        <v>0</v>
      </c>
      <c r="J213">
        <v>2141</v>
      </c>
      <c r="K213">
        <v>5645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1</v>
      </c>
      <c r="V213">
        <v>0</v>
      </c>
      <c r="W213" t="s">
        <v>353</v>
      </c>
      <c r="X213">
        <v>3</v>
      </c>
      <c r="Y213" t="s">
        <v>434</v>
      </c>
      <c r="Z213" t="s">
        <v>1812</v>
      </c>
      <c r="AA213" t="s">
        <v>150</v>
      </c>
      <c r="AB213" t="s">
        <v>153</v>
      </c>
      <c r="AC213" t="s">
        <v>497</v>
      </c>
      <c r="AD213">
        <v>0</v>
      </c>
      <c r="AE213">
        <v>0</v>
      </c>
      <c r="AF213">
        <v>0</v>
      </c>
      <c r="AG213">
        <v>0</v>
      </c>
      <c r="AH213">
        <f t="shared" si="51"/>
        <v>0</v>
      </c>
      <c r="AI213">
        <f t="shared" si="52"/>
        <v>0</v>
      </c>
      <c r="AJ213">
        <f t="shared" si="53"/>
        <v>0</v>
      </c>
      <c r="AK213">
        <f t="shared" si="54"/>
        <v>1</v>
      </c>
      <c r="AL213">
        <f t="shared" si="55"/>
        <v>1</v>
      </c>
      <c r="AM213">
        <f t="shared" si="56"/>
        <v>0</v>
      </c>
      <c r="AN213">
        <f t="shared" si="57"/>
        <v>1</v>
      </c>
      <c r="AO213">
        <f>SUM(AN$2:$AN213)</f>
        <v>212</v>
      </c>
    </row>
    <row r="214" spans="1:41" x14ac:dyDescent="0.35">
      <c r="A214" t="s">
        <v>192</v>
      </c>
      <c r="B214" t="s">
        <v>901</v>
      </c>
      <c r="C214">
        <v>10000</v>
      </c>
      <c r="D214" t="s">
        <v>921</v>
      </c>
      <c r="E214">
        <v>0</v>
      </c>
      <c r="F214">
        <v>2963</v>
      </c>
      <c r="G214">
        <v>0</v>
      </c>
      <c r="H214">
        <v>0</v>
      </c>
      <c r="I214">
        <v>6715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t="s">
        <v>329</v>
      </c>
      <c r="X214">
        <v>3</v>
      </c>
      <c r="Y214" t="s">
        <v>434</v>
      </c>
      <c r="Z214" t="s">
        <v>1813</v>
      </c>
      <c r="AA214" t="s">
        <v>358</v>
      </c>
      <c r="AB214" t="s">
        <v>149</v>
      </c>
      <c r="AC214" t="s">
        <v>497</v>
      </c>
      <c r="AD214">
        <v>0</v>
      </c>
      <c r="AE214">
        <v>0</v>
      </c>
      <c r="AF214">
        <v>0</v>
      </c>
      <c r="AG214">
        <v>0</v>
      </c>
      <c r="AH214">
        <f t="shared" si="51"/>
        <v>0</v>
      </c>
      <c r="AI214">
        <f t="shared" si="52"/>
        <v>0</v>
      </c>
      <c r="AJ214">
        <f t="shared" si="53"/>
        <v>1</v>
      </c>
      <c r="AK214">
        <f t="shared" si="54"/>
        <v>0</v>
      </c>
      <c r="AL214">
        <f t="shared" si="55"/>
        <v>0</v>
      </c>
      <c r="AM214">
        <f t="shared" si="56"/>
        <v>0</v>
      </c>
      <c r="AN214">
        <f t="shared" si="57"/>
        <v>1</v>
      </c>
      <c r="AO214">
        <f>SUM(AN$2:$AN214)</f>
        <v>213</v>
      </c>
    </row>
    <row r="215" spans="1:41" x14ac:dyDescent="0.35">
      <c r="A215" t="s">
        <v>192</v>
      </c>
      <c r="B215" t="s">
        <v>901</v>
      </c>
      <c r="C215">
        <v>10000</v>
      </c>
      <c r="D215" t="s">
        <v>922</v>
      </c>
      <c r="E215">
        <v>0</v>
      </c>
      <c r="F215">
        <v>2527</v>
      </c>
      <c r="G215">
        <v>3114</v>
      </c>
      <c r="H215">
        <v>0</v>
      </c>
      <c r="I215">
        <v>2725</v>
      </c>
      <c r="J215">
        <v>0</v>
      </c>
      <c r="K215">
        <v>1946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 t="s">
        <v>422</v>
      </c>
      <c r="X215">
        <v>3</v>
      </c>
      <c r="Y215" t="s">
        <v>434</v>
      </c>
      <c r="Z215" t="s">
        <v>1814</v>
      </c>
      <c r="AA215" t="s">
        <v>151</v>
      </c>
      <c r="AB215" t="s">
        <v>149</v>
      </c>
      <c r="AC215" t="s">
        <v>497</v>
      </c>
      <c r="AD215">
        <v>0</v>
      </c>
      <c r="AE215">
        <v>0</v>
      </c>
      <c r="AF215">
        <v>0</v>
      </c>
      <c r="AG215">
        <v>0</v>
      </c>
      <c r="AH215">
        <f t="shared" si="51"/>
        <v>1</v>
      </c>
      <c r="AI215">
        <f t="shared" si="52"/>
        <v>0</v>
      </c>
      <c r="AJ215">
        <f t="shared" si="53"/>
        <v>1</v>
      </c>
      <c r="AK215">
        <f t="shared" si="54"/>
        <v>0</v>
      </c>
      <c r="AL215">
        <f t="shared" si="55"/>
        <v>1</v>
      </c>
      <c r="AM215">
        <f t="shared" si="56"/>
        <v>0</v>
      </c>
      <c r="AN215">
        <f t="shared" si="57"/>
        <v>1</v>
      </c>
      <c r="AO215">
        <f>SUM(AN$2:$AN215)</f>
        <v>214</v>
      </c>
    </row>
    <row r="216" spans="1:41" x14ac:dyDescent="0.35">
      <c r="A216" t="s">
        <v>192</v>
      </c>
      <c r="B216" t="s">
        <v>923</v>
      </c>
      <c r="C216">
        <v>10150</v>
      </c>
      <c r="D216" t="s">
        <v>924</v>
      </c>
      <c r="E216">
        <v>709</v>
      </c>
      <c r="F216">
        <v>1150</v>
      </c>
      <c r="G216">
        <v>0</v>
      </c>
      <c r="H216">
        <v>0</v>
      </c>
      <c r="I216">
        <v>3556</v>
      </c>
      <c r="J216">
        <v>3161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 t="s">
        <v>348</v>
      </c>
      <c r="X216">
        <v>6</v>
      </c>
      <c r="Y216" t="s">
        <v>435</v>
      </c>
      <c r="Z216" t="s">
        <v>1815</v>
      </c>
      <c r="AA216" t="s">
        <v>152</v>
      </c>
      <c r="AB216" t="s">
        <v>358</v>
      </c>
      <c r="AC216" t="s">
        <v>497</v>
      </c>
      <c r="AD216">
        <v>3655</v>
      </c>
      <c r="AE216">
        <v>0</v>
      </c>
      <c r="AF216">
        <v>0</v>
      </c>
      <c r="AG216">
        <v>0</v>
      </c>
      <c r="AH216">
        <f t="shared" si="51"/>
        <v>0</v>
      </c>
      <c r="AI216">
        <f t="shared" si="52"/>
        <v>0</v>
      </c>
      <c r="AJ216">
        <f t="shared" si="53"/>
        <v>1</v>
      </c>
      <c r="AK216">
        <f t="shared" si="54"/>
        <v>1</v>
      </c>
      <c r="AL216">
        <f t="shared" si="55"/>
        <v>0</v>
      </c>
      <c r="AM216">
        <f t="shared" si="56"/>
        <v>0</v>
      </c>
      <c r="AN216">
        <f t="shared" si="57"/>
        <v>1</v>
      </c>
      <c r="AO216">
        <f>SUM(AN$2:$AN216)</f>
        <v>215</v>
      </c>
    </row>
    <row r="217" spans="1:41" x14ac:dyDescent="0.35">
      <c r="A217" t="s">
        <v>192</v>
      </c>
      <c r="B217" t="s">
        <v>925</v>
      </c>
      <c r="C217">
        <v>10150</v>
      </c>
      <c r="D217" t="s">
        <v>926</v>
      </c>
      <c r="E217">
        <v>709</v>
      </c>
      <c r="F217">
        <v>1150</v>
      </c>
      <c r="G217">
        <v>0</v>
      </c>
      <c r="H217">
        <v>0</v>
      </c>
      <c r="I217">
        <v>0</v>
      </c>
      <c r="J217">
        <v>0</v>
      </c>
      <c r="K217">
        <v>3161</v>
      </c>
      <c r="L217">
        <v>3556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 t="s">
        <v>158</v>
      </c>
      <c r="X217">
        <v>6</v>
      </c>
      <c r="Y217" t="s">
        <v>435</v>
      </c>
      <c r="Z217" t="s">
        <v>1816</v>
      </c>
      <c r="AA217" t="s">
        <v>358</v>
      </c>
      <c r="AB217" t="s">
        <v>150</v>
      </c>
      <c r="AC217" t="s">
        <v>497</v>
      </c>
      <c r="AD217">
        <v>3655</v>
      </c>
      <c r="AE217">
        <v>0</v>
      </c>
      <c r="AF217">
        <v>0</v>
      </c>
      <c r="AG217">
        <v>0</v>
      </c>
      <c r="AH217">
        <f t="shared" si="51"/>
        <v>0</v>
      </c>
      <c r="AI217">
        <f t="shared" si="52"/>
        <v>0</v>
      </c>
      <c r="AJ217">
        <f t="shared" si="53"/>
        <v>0</v>
      </c>
      <c r="AK217">
        <f t="shared" si="54"/>
        <v>0</v>
      </c>
      <c r="AL217">
        <f t="shared" si="55"/>
        <v>1</v>
      </c>
      <c r="AM217">
        <f t="shared" si="56"/>
        <v>1</v>
      </c>
      <c r="AN217">
        <f t="shared" si="57"/>
        <v>1</v>
      </c>
      <c r="AO217">
        <f>SUM(AN$2:$AN217)</f>
        <v>216</v>
      </c>
    </row>
    <row r="218" spans="1:41" x14ac:dyDescent="0.35">
      <c r="A218" t="s">
        <v>192</v>
      </c>
      <c r="B218" t="s">
        <v>927</v>
      </c>
      <c r="C218">
        <v>10150</v>
      </c>
      <c r="D218" t="s">
        <v>928</v>
      </c>
      <c r="E218">
        <v>709</v>
      </c>
      <c r="F218">
        <v>1150</v>
      </c>
      <c r="G218">
        <v>0</v>
      </c>
      <c r="H218">
        <v>0</v>
      </c>
      <c r="I218">
        <v>3556</v>
      </c>
      <c r="J218">
        <v>0</v>
      </c>
      <c r="K218">
        <v>3161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159</v>
      </c>
      <c r="X218">
        <v>6</v>
      </c>
      <c r="Y218" t="s">
        <v>441</v>
      </c>
      <c r="Z218" t="s">
        <v>1817</v>
      </c>
      <c r="AA218" t="s">
        <v>149</v>
      </c>
      <c r="AB218" t="s">
        <v>150</v>
      </c>
      <c r="AC218" t="s">
        <v>497</v>
      </c>
      <c r="AD218">
        <v>3655</v>
      </c>
      <c r="AE218">
        <v>0</v>
      </c>
      <c r="AF218">
        <v>0</v>
      </c>
      <c r="AG218">
        <v>0</v>
      </c>
      <c r="AH218">
        <f t="shared" si="51"/>
        <v>0</v>
      </c>
      <c r="AI218">
        <f t="shared" si="52"/>
        <v>0</v>
      </c>
      <c r="AJ218">
        <f t="shared" si="53"/>
        <v>1</v>
      </c>
      <c r="AK218">
        <f t="shared" si="54"/>
        <v>0</v>
      </c>
      <c r="AL218">
        <f t="shared" si="55"/>
        <v>1</v>
      </c>
      <c r="AM218">
        <f t="shared" si="56"/>
        <v>0</v>
      </c>
      <c r="AN218">
        <f t="shared" si="57"/>
        <v>1</v>
      </c>
      <c r="AO218">
        <f>SUM(AN$2:$AN218)</f>
        <v>217</v>
      </c>
    </row>
    <row r="219" spans="1:41" x14ac:dyDescent="0.35">
      <c r="A219" t="s">
        <v>192</v>
      </c>
      <c r="B219" t="s">
        <v>901</v>
      </c>
      <c r="C219">
        <v>10300</v>
      </c>
      <c r="D219" t="s">
        <v>929</v>
      </c>
      <c r="E219">
        <v>0</v>
      </c>
      <c r="F219">
        <v>2603</v>
      </c>
      <c r="G219">
        <v>0</v>
      </c>
      <c r="H219">
        <v>0</v>
      </c>
      <c r="I219">
        <v>3408</v>
      </c>
      <c r="J219">
        <v>2606</v>
      </c>
      <c r="K219">
        <v>2005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 t="s">
        <v>354</v>
      </c>
      <c r="X219">
        <v>3</v>
      </c>
      <c r="Y219" t="s">
        <v>434</v>
      </c>
      <c r="Z219" t="s">
        <v>1818</v>
      </c>
      <c r="AA219" t="s">
        <v>150</v>
      </c>
      <c r="AB219" t="s">
        <v>153</v>
      </c>
      <c r="AC219" t="s">
        <v>497</v>
      </c>
      <c r="AD219">
        <v>0</v>
      </c>
      <c r="AE219">
        <v>0</v>
      </c>
      <c r="AF219">
        <v>0</v>
      </c>
      <c r="AG219">
        <v>0</v>
      </c>
      <c r="AH219">
        <f t="shared" si="51"/>
        <v>0</v>
      </c>
      <c r="AI219">
        <f t="shared" si="52"/>
        <v>0</v>
      </c>
      <c r="AJ219">
        <f t="shared" si="53"/>
        <v>1</v>
      </c>
      <c r="AK219">
        <f t="shared" si="54"/>
        <v>1</v>
      </c>
      <c r="AL219">
        <f t="shared" si="55"/>
        <v>1</v>
      </c>
      <c r="AM219">
        <f t="shared" si="56"/>
        <v>0</v>
      </c>
      <c r="AN219">
        <f t="shared" si="57"/>
        <v>1</v>
      </c>
      <c r="AO219">
        <f>SUM(AN$2:$AN219)</f>
        <v>218</v>
      </c>
    </row>
    <row r="220" spans="1:41" x14ac:dyDescent="0.35">
      <c r="A220" t="s">
        <v>192</v>
      </c>
      <c r="B220" t="s">
        <v>901</v>
      </c>
      <c r="C220">
        <v>10300</v>
      </c>
      <c r="D220" t="s">
        <v>930</v>
      </c>
      <c r="E220">
        <v>0</v>
      </c>
      <c r="F220">
        <v>3051</v>
      </c>
      <c r="G220">
        <v>0</v>
      </c>
      <c r="H220">
        <v>0</v>
      </c>
      <c r="I220">
        <v>0</v>
      </c>
      <c r="J220">
        <v>0</v>
      </c>
      <c r="K220">
        <v>6917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 t="s">
        <v>327</v>
      </c>
      <c r="X220">
        <v>3</v>
      </c>
      <c r="Y220" t="s">
        <v>434</v>
      </c>
      <c r="Z220" t="s">
        <v>1819</v>
      </c>
      <c r="AA220" t="s">
        <v>152</v>
      </c>
      <c r="AB220" t="s">
        <v>153</v>
      </c>
      <c r="AC220" t="s">
        <v>497</v>
      </c>
      <c r="AD220">
        <v>0</v>
      </c>
      <c r="AE220">
        <v>0</v>
      </c>
      <c r="AF220">
        <v>0</v>
      </c>
      <c r="AG220">
        <v>0</v>
      </c>
      <c r="AH220">
        <f t="shared" si="51"/>
        <v>0</v>
      </c>
      <c r="AI220">
        <f t="shared" si="52"/>
        <v>0</v>
      </c>
      <c r="AJ220">
        <f t="shared" si="53"/>
        <v>0</v>
      </c>
      <c r="AK220">
        <f t="shared" si="54"/>
        <v>0</v>
      </c>
      <c r="AL220">
        <f t="shared" si="55"/>
        <v>1</v>
      </c>
      <c r="AM220">
        <f t="shared" si="56"/>
        <v>0</v>
      </c>
      <c r="AN220">
        <f t="shared" si="57"/>
        <v>1</v>
      </c>
      <c r="AO220">
        <f>SUM(AN$2:$AN220)</f>
        <v>219</v>
      </c>
    </row>
    <row r="221" spans="1:41" x14ac:dyDescent="0.35">
      <c r="A221" t="s">
        <v>192</v>
      </c>
      <c r="B221" t="s">
        <v>901</v>
      </c>
      <c r="C221">
        <v>10300</v>
      </c>
      <c r="D221" t="s">
        <v>931</v>
      </c>
      <c r="E221">
        <v>0</v>
      </c>
      <c r="F221">
        <v>2603</v>
      </c>
      <c r="G221">
        <v>4010</v>
      </c>
      <c r="H221">
        <v>0</v>
      </c>
      <c r="I221">
        <v>0</v>
      </c>
      <c r="J221">
        <v>0</v>
      </c>
      <c r="K221">
        <v>4010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 t="s">
        <v>328</v>
      </c>
      <c r="X221">
        <v>3</v>
      </c>
      <c r="Y221" t="s">
        <v>434</v>
      </c>
      <c r="Z221" t="s">
        <v>1820</v>
      </c>
      <c r="AA221" t="s">
        <v>151</v>
      </c>
      <c r="AB221" t="s">
        <v>153</v>
      </c>
      <c r="AC221" t="s">
        <v>497</v>
      </c>
      <c r="AD221">
        <v>0</v>
      </c>
      <c r="AE221">
        <v>0</v>
      </c>
      <c r="AF221">
        <v>0</v>
      </c>
      <c r="AG221">
        <v>0</v>
      </c>
      <c r="AH221">
        <f t="shared" si="51"/>
        <v>1</v>
      </c>
      <c r="AI221">
        <f t="shared" si="52"/>
        <v>0</v>
      </c>
      <c r="AJ221">
        <f t="shared" si="53"/>
        <v>0</v>
      </c>
      <c r="AK221">
        <f t="shared" si="54"/>
        <v>0</v>
      </c>
      <c r="AL221">
        <f t="shared" si="55"/>
        <v>1</v>
      </c>
      <c r="AM221">
        <f t="shared" si="56"/>
        <v>0</v>
      </c>
      <c r="AN221">
        <f t="shared" si="57"/>
        <v>1</v>
      </c>
      <c r="AO221">
        <f>SUM(AN$2:$AN221)</f>
        <v>220</v>
      </c>
    </row>
    <row r="222" spans="1:41" x14ac:dyDescent="0.35">
      <c r="A222" t="s">
        <v>192</v>
      </c>
      <c r="B222" t="s">
        <v>2433</v>
      </c>
      <c r="C222">
        <v>10400</v>
      </c>
      <c r="D222" t="s">
        <v>2434</v>
      </c>
      <c r="E222">
        <v>726</v>
      </c>
      <c r="F222">
        <v>1178</v>
      </c>
      <c r="G222">
        <v>0</v>
      </c>
      <c r="H222">
        <v>0</v>
      </c>
      <c r="I222">
        <v>3644</v>
      </c>
      <c r="J222">
        <v>0</v>
      </c>
      <c r="K222">
        <v>3239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159</v>
      </c>
      <c r="X222">
        <v>6</v>
      </c>
      <c r="Y222" t="s">
        <v>437</v>
      </c>
      <c r="Z222" t="s">
        <v>2435</v>
      </c>
      <c r="AA222" t="s">
        <v>149</v>
      </c>
      <c r="AB222" t="s">
        <v>150</v>
      </c>
      <c r="AC222" t="s">
        <v>497</v>
      </c>
      <c r="AD222">
        <v>3745</v>
      </c>
      <c r="AE222">
        <v>0</v>
      </c>
      <c r="AF222">
        <v>0</v>
      </c>
      <c r="AG222">
        <v>0</v>
      </c>
      <c r="AH222">
        <f t="shared" si="51"/>
        <v>0</v>
      </c>
      <c r="AI222">
        <f t="shared" si="52"/>
        <v>0</v>
      </c>
      <c r="AJ222">
        <f t="shared" si="53"/>
        <v>1</v>
      </c>
      <c r="AK222">
        <f t="shared" si="54"/>
        <v>0</v>
      </c>
      <c r="AL222">
        <f t="shared" si="55"/>
        <v>1</v>
      </c>
      <c r="AM222">
        <f t="shared" si="56"/>
        <v>0</v>
      </c>
      <c r="AN222">
        <f t="shared" si="57"/>
        <v>1</v>
      </c>
      <c r="AO222">
        <f>SUM(AN$2:$AN222)</f>
        <v>221</v>
      </c>
    </row>
    <row r="223" spans="1:41" x14ac:dyDescent="0.35">
      <c r="A223" t="s">
        <v>192</v>
      </c>
      <c r="B223" t="s">
        <v>2436</v>
      </c>
      <c r="C223">
        <v>10400</v>
      </c>
      <c r="D223" t="s">
        <v>2437</v>
      </c>
      <c r="E223">
        <v>726</v>
      </c>
      <c r="F223">
        <v>1178</v>
      </c>
      <c r="G223">
        <v>3644</v>
      </c>
      <c r="H223">
        <v>0</v>
      </c>
      <c r="I223">
        <v>0</v>
      </c>
      <c r="J223">
        <v>0</v>
      </c>
      <c r="K223">
        <v>3239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 t="s">
        <v>157</v>
      </c>
      <c r="X223">
        <v>6</v>
      </c>
      <c r="Y223" t="s">
        <v>1336</v>
      </c>
      <c r="Z223" t="s">
        <v>1821</v>
      </c>
      <c r="AA223" t="s">
        <v>358</v>
      </c>
      <c r="AB223" t="s">
        <v>150</v>
      </c>
      <c r="AC223" t="s">
        <v>497</v>
      </c>
      <c r="AD223">
        <v>3745</v>
      </c>
      <c r="AE223">
        <v>0</v>
      </c>
      <c r="AF223">
        <v>0</v>
      </c>
      <c r="AG223">
        <v>0</v>
      </c>
      <c r="AH223">
        <f t="shared" si="51"/>
        <v>1</v>
      </c>
      <c r="AI223">
        <f t="shared" si="52"/>
        <v>0</v>
      </c>
      <c r="AJ223">
        <f t="shared" si="53"/>
        <v>0</v>
      </c>
      <c r="AK223">
        <f t="shared" si="54"/>
        <v>0</v>
      </c>
      <c r="AL223">
        <f t="shared" si="55"/>
        <v>1</v>
      </c>
      <c r="AM223">
        <f t="shared" si="56"/>
        <v>0</v>
      </c>
      <c r="AN223">
        <f t="shared" si="57"/>
        <v>1</v>
      </c>
      <c r="AO223">
        <f>SUM(AN$2:$AN223)</f>
        <v>222</v>
      </c>
    </row>
    <row r="224" spans="1:41" customFormat="1" x14ac:dyDescent="0.35">
      <c r="A224" t="s">
        <v>192</v>
      </c>
      <c r="B224" t="s">
        <v>901</v>
      </c>
      <c r="C224">
        <v>10600</v>
      </c>
      <c r="D224" t="s">
        <v>932</v>
      </c>
      <c r="E224">
        <v>0</v>
      </c>
      <c r="F224">
        <v>2679</v>
      </c>
      <c r="G224">
        <v>0</v>
      </c>
      <c r="H224">
        <v>0</v>
      </c>
      <c r="I224">
        <v>4126</v>
      </c>
      <c r="J224">
        <v>0</v>
      </c>
      <c r="K224">
        <v>4126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t="s">
        <v>332</v>
      </c>
      <c r="X224">
        <v>3</v>
      </c>
      <c r="Y224" t="s">
        <v>434</v>
      </c>
      <c r="Z224" t="s">
        <v>1822</v>
      </c>
      <c r="AA224" t="s">
        <v>358</v>
      </c>
      <c r="AB224" t="s">
        <v>149</v>
      </c>
      <c r="AC224" t="s">
        <v>497</v>
      </c>
      <c r="AD224">
        <v>0</v>
      </c>
      <c r="AE224">
        <v>0</v>
      </c>
      <c r="AF224">
        <v>0</v>
      </c>
      <c r="AG224">
        <v>0</v>
      </c>
      <c r="AH224">
        <f t="shared" si="51"/>
        <v>0</v>
      </c>
      <c r="AI224">
        <f t="shared" si="52"/>
        <v>0</v>
      </c>
      <c r="AJ224">
        <f t="shared" si="53"/>
        <v>1</v>
      </c>
      <c r="AK224">
        <f t="shared" si="54"/>
        <v>0</v>
      </c>
      <c r="AL224">
        <f t="shared" si="55"/>
        <v>1</v>
      </c>
      <c r="AM224">
        <f t="shared" si="56"/>
        <v>0</v>
      </c>
      <c r="AN224">
        <f t="shared" si="57"/>
        <v>1</v>
      </c>
      <c r="AO224">
        <f>SUM(AN$2:$AN224)</f>
        <v>223</v>
      </c>
    </row>
    <row r="225" spans="1:41" customFormat="1" x14ac:dyDescent="0.35">
      <c r="A225" t="s">
        <v>192</v>
      </c>
      <c r="B225" t="s">
        <v>901</v>
      </c>
      <c r="C225">
        <v>10600</v>
      </c>
      <c r="D225" t="s">
        <v>933</v>
      </c>
      <c r="E225">
        <v>0</v>
      </c>
      <c r="F225">
        <v>2956</v>
      </c>
      <c r="G225">
        <v>2682</v>
      </c>
      <c r="H225">
        <v>0</v>
      </c>
      <c r="I225">
        <v>2682</v>
      </c>
      <c r="J225">
        <v>2270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 t="s">
        <v>419</v>
      </c>
      <c r="X225">
        <v>3</v>
      </c>
      <c r="Y225" t="s">
        <v>434</v>
      </c>
      <c r="Z225" t="s">
        <v>1823</v>
      </c>
      <c r="AA225" t="s">
        <v>151</v>
      </c>
      <c r="AB225" t="s">
        <v>152</v>
      </c>
      <c r="AC225" t="s">
        <v>497</v>
      </c>
      <c r="AD225">
        <v>0</v>
      </c>
      <c r="AE225">
        <v>0</v>
      </c>
      <c r="AF225">
        <v>0</v>
      </c>
      <c r="AG225">
        <v>0</v>
      </c>
      <c r="AH225">
        <f t="shared" si="51"/>
        <v>1</v>
      </c>
      <c r="AI225">
        <f t="shared" si="52"/>
        <v>0</v>
      </c>
      <c r="AJ225">
        <f t="shared" si="53"/>
        <v>1</v>
      </c>
      <c r="AK225">
        <f t="shared" si="54"/>
        <v>1</v>
      </c>
      <c r="AL225">
        <f t="shared" si="55"/>
        <v>0</v>
      </c>
      <c r="AM225">
        <f t="shared" si="56"/>
        <v>0</v>
      </c>
      <c r="AN225">
        <f t="shared" si="57"/>
        <v>1</v>
      </c>
      <c r="AO225">
        <f>SUM(AN$2:$AN225)</f>
        <v>224</v>
      </c>
    </row>
    <row r="226" spans="1:41" customFormat="1" x14ac:dyDescent="0.35">
      <c r="A226" t="s">
        <v>192</v>
      </c>
      <c r="B226" t="s">
        <v>901</v>
      </c>
      <c r="C226">
        <v>10600</v>
      </c>
      <c r="D226" t="s">
        <v>934</v>
      </c>
      <c r="E226">
        <v>0</v>
      </c>
      <c r="F226">
        <v>3140</v>
      </c>
      <c r="G226">
        <v>7118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 t="s">
        <v>331</v>
      </c>
      <c r="X226">
        <v>3</v>
      </c>
      <c r="Y226" t="s">
        <v>434</v>
      </c>
      <c r="Z226" t="s">
        <v>1824</v>
      </c>
      <c r="AA226" t="s">
        <v>151</v>
      </c>
      <c r="AB226" t="s">
        <v>150</v>
      </c>
      <c r="AC226" t="s">
        <v>497</v>
      </c>
      <c r="AD226">
        <v>0</v>
      </c>
      <c r="AE226">
        <v>0</v>
      </c>
      <c r="AF226">
        <v>0</v>
      </c>
      <c r="AG226">
        <v>0</v>
      </c>
      <c r="AH226">
        <f t="shared" si="51"/>
        <v>1</v>
      </c>
      <c r="AI226">
        <f t="shared" si="52"/>
        <v>0</v>
      </c>
      <c r="AJ226">
        <f t="shared" si="53"/>
        <v>0</v>
      </c>
      <c r="AK226">
        <f t="shared" si="54"/>
        <v>0</v>
      </c>
      <c r="AL226">
        <f t="shared" si="55"/>
        <v>0</v>
      </c>
      <c r="AM226">
        <f t="shared" si="56"/>
        <v>0</v>
      </c>
      <c r="AN226">
        <f t="shared" si="57"/>
        <v>1</v>
      </c>
      <c r="AO226">
        <f>SUM(AN$2:$AN226)</f>
        <v>225</v>
      </c>
    </row>
    <row r="227" spans="1:41" customFormat="1" x14ac:dyDescent="0.35">
      <c r="A227" t="s">
        <v>192</v>
      </c>
      <c r="B227" t="s">
        <v>901</v>
      </c>
      <c r="C227">
        <v>10900</v>
      </c>
      <c r="D227" t="s">
        <v>935</v>
      </c>
      <c r="E227">
        <v>0</v>
      </c>
      <c r="F227">
        <v>2754</v>
      </c>
      <c r="G227">
        <v>0</v>
      </c>
      <c r="H227">
        <v>0</v>
      </c>
      <c r="I227">
        <v>0</v>
      </c>
      <c r="J227">
        <v>2334</v>
      </c>
      <c r="K227">
        <v>6153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0</v>
      </c>
      <c r="W227" t="s">
        <v>353</v>
      </c>
      <c r="X227">
        <v>3</v>
      </c>
      <c r="Y227" t="s">
        <v>434</v>
      </c>
      <c r="Z227" t="s">
        <v>1825</v>
      </c>
      <c r="AA227" t="s">
        <v>150</v>
      </c>
      <c r="AB227" t="s">
        <v>153</v>
      </c>
      <c r="AC227" t="s">
        <v>497</v>
      </c>
      <c r="AD227">
        <v>0</v>
      </c>
      <c r="AE227">
        <v>0</v>
      </c>
      <c r="AF227">
        <v>0</v>
      </c>
      <c r="AG227">
        <v>0</v>
      </c>
      <c r="AH227">
        <f t="shared" si="51"/>
        <v>0</v>
      </c>
      <c r="AI227">
        <f t="shared" si="52"/>
        <v>0</v>
      </c>
      <c r="AJ227">
        <f t="shared" si="53"/>
        <v>0</v>
      </c>
      <c r="AK227">
        <f t="shared" si="54"/>
        <v>1</v>
      </c>
      <c r="AL227">
        <f t="shared" si="55"/>
        <v>1</v>
      </c>
      <c r="AM227">
        <f t="shared" si="56"/>
        <v>0</v>
      </c>
      <c r="AN227">
        <f t="shared" si="57"/>
        <v>1</v>
      </c>
      <c r="AO227">
        <f>SUM(AN$2:$AN227)</f>
        <v>226</v>
      </c>
    </row>
    <row r="228" spans="1:41" customFormat="1" x14ac:dyDescent="0.35">
      <c r="A228" t="s">
        <v>192</v>
      </c>
      <c r="B228" t="s">
        <v>901</v>
      </c>
      <c r="C228">
        <v>10900</v>
      </c>
      <c r="D228" t="s">
        <v>936</v>
      </c>
      <c r="E228">
        <v>0</v>
      </c>
      <c r="F228">
        <v>3229</v>
      </c>
      <c r="G228">
        <v>0</v>
      </c>
      <c r="H228">
        <v>0</v>
      </c>
      <c r="I228">
        <v>7320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t="s">
        <v>329</v>
      </c>
      <c r="X228">
        <v>3</v>
      </c>
      <c r="Y228" t="s">
        <v>434</v>
      </c>
      <c r="Z228" t="s">
        <v>1826</v>
      </c>
      <c r="AA228" t="s">
        <v>358</v>
      </c>
      <c r="AB228" t="s">
        <v>149</v>
      </c>
      <c r="AC228" t="s">
        <v>497</v>
      </c>
      <c r="AD228">
        <v>0</v>
      </c>
      <c r="AE228">
        <v>0</v>
      </c>
      <c r="AF228">
        <v>0</v>
      </c>
      <c r="AG228">
        <v>0</v>
      </c>
      <c r="AH228">
        <f t="shared" si="51"/>
        <v>0</v>
      </c>
      <c r="AI228">
        <f t="shared" si="52"/>
        <v>0</v>
      </c>
      <c r="AJ228">
        <f t="shared" si="53"/>
        <v>1</v>
      </c>
      <c r="AK228">
        <f t="shared" si="54"/>
        <v>0</v>
      </c>
      <c r="AL228">
        <f t="shared" si="55"/>
        <v>0</v>
      </c>
      <c r="AM228">
        <f t="shared" si="56"/>
        <v>0</v>
      </c>
      <c r="AN228">
        <f t="shared" si="57"/>
        <v>1</v>
      </c>
      <c r="AO228">
        <f>SUM(AN$2:$AN228)</f>
        <v>227</v>
      </c>
    </row>
    <row r="229" spans="1:41" customFormat="1" x14ac:dyDescent="0.35">
      <c r="A229" t="s">
        <v>192</v>
      </c>
      <c r="B229" t="s">
        <v>901</v>
      </c>
      <c r="C229">
        <v>10900</v>
      </c>
      <c r="D229" t="s">
        <v>937</v>
      </c>
      <c r="E229">
        <v>0</v>
      </c>
      <c r="F229">
        <v>2754</v>
      </c>
      <c r="G229">
        <v>3395</v>
      </c>
      <c r="H229">
        <v>0</v>
      </c>
      <c r="I229">
        <v>2970</v>
      </c>
      <c r="J229">
        <v>0</v>
      </c>
      <c r="K229">
        <v>2122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 t="s">
        <v>422</v>
      </c>
      <c r="X229">
        <v>3</v>
      </c>
      <c r="Y229" t="s">
        <v>434</v>
      </c>
      <c r="Z229" t="s">
        <v>1827</v>
      </c>
      <c r="AA229" t="s">
        <v>151</v>
      </c>
      <c r="AB229" t="s">
        <v>149</v>
      </c>
      <c r="AC229" t="s">
        <v>497</v>
      </c>
      <c r="AD229">
        <v>0</v>
      </c>
      <c r="AE229">
        <v>0</v>
      </c>
      <c r="AF229">
        <v>0</v>
      </c>
      <c r="AG229">
        <v>0</v>
      </c>
      <c r="AH229">
        <f t="shared" si="51"/>
        <v>1</v>
      </c>
      <c r="AI229">
        <f t="shared" si="52"/>
        <v>0</v>
      </c>
      <c r="AJ229">
        <f t="shared" si="53"/>
        <v>1</v>
      </c>
      <c r="AK229">
        <f t="shared" si="54"/>
        <v>0</v>
      </c>
      <c r="AL229">
        <f t="shared" si="55"/>
        <v>1</v>
      </c>
      <c r="AM229">
        <f t="shared" si="56"/>
        <v>0</v>
      </c>
      <c r="AN229">
        <f t="shared" si="57"/>
        <v>1</v>
      </c>
      <c r="AO229">
        <f>SUM(AN$2:$AN229)</f>
        <v>228</v>
      </c>
    </row>
    <row r="230" spans="1:41" customFormat="1" x14ac:dyDescent="0.35">
      <c r="A230" t="s">
        <v>192</v>
      </c>
      <c r="B230" t="s">
        <v>2438</v>
      </c>
      <c r="C230">
        <v>11000</v>
      </c>
      <c r="D230" t="s">
        <v>2439</v>
      </c>
      <c r="E230">
        <v>768</v>
      </c>
      <c r="F230">
        <v>1246</v>
      </c>
      <c r="G230">
        <v>0</v>
      </c>
      <c r="H230">
        <v>0</v>
      </c>
      <c r="I230">
        <v>3854</v>
      </c>
      <c r="J230">
        <v>3426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 t="s">
        <v>348</v>
      </c>
      <c r="X230">
        <v>6</v>
      </c>
      <c r="Y230" t="s">
        <v>439</v>
      </c>
      <c r="Z230" t="s">
        <v>1828</v>
      </c>
      <c r="AA230" t="s">
        <v>152</v>
      </c>
      <c r="AB230" t="s">
        <v>358</v>
      </c>
      <c r="AC230" t="s">
        <v>497</v>
      </c>
      <c r="AD230">
        <v>3961</v>
      </c>
      <c r="AE230">
        <v>0</v>
      </c>
      <c r="AF230">
        <v>0</v>
      </c>
      <c r="AG230">
        <v>0</v>
      </c>
      <c r="AH230">
        <f t="shared" si="51"/>
        <v>0</v>
      </c>
      <c r="AI230">
        <f t="shared" si="52"/>
        <v>0</v>
      </c>
      <c r="AJ230">
        <f t="shared" si="53"/>
        <v>1</v>
      </c>
      <c r="AK230">
        <f t="shared" si="54"/>
        <v>1</v>
      </c>
      <c r="AL230">
        <f t="shared" si="55"/>
        <v>0</v>
      </c>
      <c r="AM230">
        <f t="shared" si="56"/>
        <v>0</v>
      </c>
      <c r="AN230">
        <f t="shared" si="57"/>
        <v>1</v>
      </c>
      <c r="AO230">
        <f>SUM(AN$2:$AN230)</f>
        <v>229</v>
      </c>
    </row>
    <row r="231" spans="1:41" customFormat="1" x14ac:dyDescent="0.35">
      <c r="A231" t="s">
        <v>192</v>
      </c>
      <c r="B231" t="s">
        <v>938</v>
      </c>
      <c r="C231">
        <v>11150</v>
      </c>
      <c r="D231" t="s">
        <v>939</v>
      </c>
      <c r="E231">
        <v>779</v>
      </c>
      <c r="F231">
        <v>1263</v>
      </c>
      <c r="G231">
        <v>0</v>
      </c>
      <c r="H231">
        <v>0</v>
      </c>
      <c r="I231">
        <v>3907</v>
      </c>
      <c r="J231">
        <v>3472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0</v>
      </c>
      <c r="W231" t="s">
        <v>348</v>
      </c>
      <c r="X231">
        <v>6</v>
      </c>
      <c r="Y231" t="s">
        <v>435</v>
      </c>
      <c r="Z231" t="s">
        <v>1829</v>
      </c>
      <c r="AA231" t="s">
        <v>152</v>
      </c>
      <c r="AB231" t="s">
        <v>358</v>
      </c>
      <c r="AC231" t="s">
        <v>497</v>
      </c>
      <c r="AD231">
        <v>4015</v>
      </c>
      <c r="AE231">
        <v>0</v>
      </c>
      <c r="AF231">
        <v>0</v>
      </c>
      <c r="AG231">
        <v>0</v>
      </c>
      <c r="AH231">
        <f t="shared" si="51"/>
        <v>0</v>
      </c>
      <c r="AI231">
        <f t="shared" si="52"/>
        <v>0</v>
      </c>
      <c r="AJ231">
        <f t="shared" si="53"/>
        <v>1</v>
      </c>
      <c r="AK231">
        <f t="shared" si="54"/>
        <v>1</v>
      </c>
      <c r="AL231">
        <f t="shared" si="55"/>
        <v>0</v>
      </c>
      <c r="AM231">
        <f t="shared" si="56"/>
        <v>0</v>
      </c>
      <c r="AN231">
        <f t="shared" si="57"/>
        <v>1</v>
      </c>
      <c r="AO231">
        <f>SUM(AN$2:$AN231)</f>
        <v>230</v>
      </c>
    </row>
    <row r="232" spans="1:41" customFormat="1" x14ac:dyDescent="0.35">
      <c r="A232" t="s">
        <v>192</v>
      </c>
      <c r="B232" t="s">
        <v>940</v>
      </c>
      <c r="C232">
        <v>11150</v>
      </c>
      <c r="D232" t="s">
        <v>941</v>
      </c>
      <c r="E232">
        <v>779</v>
      </c>
      <c r="F232">
        <v>1263</v>
      </c>
      <c r="G232">
        <v>0</v>
      </c>
      <c r="H232">
        <v>0</v>
      </c>
      <c r="I232">
        <v>0</v>
      </c>
      <c r="J232">
        <v>0</v>
      </c>
      <c r="K232">
        <v>3472</v>
      </c>
      <c r="L232">
        <v>3907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 t="s">
        <v>158</v>
      </c>
      <c r="X232">
        <v>6</v>
      </c>
      <c r="Y232" t="s">
        <v>435</v>
      </c>
      <c r="Z232" t="s">
        <v>1830</v>
      </c>
      <c r="AA232" t="s">
        <v>358</v>
      </c>
      <c r="AB232" t="s">
        <v>150</v>
      </c>
      <c r="AC232" t="s">
        <v>497</v>
      </c>
      <c r="AD232">
        <v>4015</v>
      </c>
      <c r="AE232">
        <v>0</v>
      </c>
      <c r="AF232">
        <v>0</v>
      </c>
      <c r="AG232">
        <v>0</v>
      </c>
      <c r="AH232">
        <f t="shared" si="51"/>
        <v>0</v>
      </c>
      <c r="AI232">
        <f t="shared" si="52"/>
        <v>0</v>
      </c>
      <c r="AJ232">
        <f t="shared" si="53"/>
        <v>0</v>
      </c>
      <c r="AK232">
        <f t="shared" si="54"/>
        <v>0</v>
      </c>
      <c r="AL232">
        <f t="shared" si="55"/>
        <v>1</v>
      </c>
      <c r="AM232">
        <f t="shared" si="56"/>
        <v>1</v>
      </c>
      <c r="AN232">
        <f t="shared" si="57"/>
        <v>1</v>
      </c>
      <c r="AO232">
        <f>SUM(AN$2:$AN232)</f>
        <v>231</v>
      </c>
    </row>
    <row r="233" spans="1:41" customFormat="1" x14ac:dyDescent="0.35">
      <c r="A233" t="s">
        <v>192</v>
      </c>
      <c r="B233" t="s">
        <v>942</v>
      </c>
      <c r="C233">
        <v>11150</v>
      </c>
      <c r="D233" t="s">
        <v>943</v>
      </c>
      <c r="E233">
        <v>779</v>
      </c>
      <c r="F233">
        <v>1263</v>
      </c>
      <c r="G233">
        <v>0</v>
      </c>
      <c r="H233">
        <v>0</v>
      </c>
      <c r="I233">
        <v>3907</v>
      </c>
      <c r="J233">
        <v>0</v>
      </c>
      <c r="K233">
        <v>3472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159</v>
      </c>
      <c r="X233">
        <v>6</v>
      </c>
      <c r="Y233" t="s">
        <v>441</v>
      </c>
      <c r="Z233" t="s">
        <v>1831</v>
      </c>
      <c r="AA233" t="s">
        <v>149</v>
      </c>
      <c r="AB233" t="s">
        <v>150</v>
      </c>
      <c r="AC233" t="s">
        <v>497</v>
      </c>
      <c r="AD233">
        <v>4015</v>
      </c>
      <c r="AE233">
        <v>0</v>
      </c>
      <c r="AF233">
        <v>0</v>
      </c>
      <c r="AG233">
        <v>0</v>
      </c>
      <c r="AH233">
        <f t="shared" si="51"/>
        <v>0</v>
      </c>
      <c r="AI233">
        <f t="shared" si="52"/>
        <v>0</v>
      </c>
      <c r="AJ233">
        <f t="shared" si="53"/>
        <v>1</v>
      </c>
      <c r="AK233">
        <f t="shared" si="54"/>
        <v>0</v>
      </c>
      <c r="AL233">
        <f t="shared" si="55"/>
        <v>1</v>
      </c>
      <c r="AM233">
        <f t="shared" si="56"/>
        <v>0</v>
      </c>
      <c r="AN233">
        <f t="shared" si="57"/>
        <v>1</v>
      </c>
      <c r="AO233">
        <f>SUM(AN$2:$AN233)</f>
        <v>232</v>
      </c>
    </row>
    <row r="234" spans="1:41" customFormat="1" x14ac:dyDescent="0.35">
      <c r="A234" t="s">
        <v>192</v>
      </c>
      <c r="B234" t="s">
        <v>1491</v>
      </c>
      <c r="C234">
        <v>11150</v>
      </c>
      <c r="D234" t="s">
        <v>1492</v>
      </c>
      <c r="E234">
        <v>779</v>
      </c>
      <c r="F234">
        <v>1263</v>
      </c>
      <c r="G234">
        <v>3907</v>
      </c>
      <c r="H234">
        <v>0</v>
      </c>
      <c r="I234">
        <v>0</v>
      </c>
      <c r="J234">
        <v>3472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 t="s">
        <v>350</v>
      </c>
      <c r="X234">
        <v>6</v>
      </c>
      <c r="Y234" t="s">
        <v>436</v>
      </c>
      <c r="Z234" t="s">
        <v>1832</v>
      </c>
      <c r="AA234" t="s">
        <v>152</v>
      </c>
      <c r="AB234" t="s">
        <v>358</v>
      </c>
      <c r="AC234" t="s">
        <v>497</v>
      </c>
      <c r="AD234">
        <v>4015</v>
      </c>
      <c r="AE234">
        <v>0</v>
      </c>
      <c r="AF234">
        <v>0</v>
      </c>
      <c r="AG234">
        <v>0</v>
      </c>
      <c r="AH234">
        <f t="shared" si="51"/>
        <v>1</v>
      </c>
      <c r="AI234">
        <f t="shared" si="52"/>
        <v>0</v>
      </c>
      <c r="AJ234">
        <f t="shared" si="53"/>
        <v>0</v>
      </c>
      <c r="AK234">
        <f t="shared" si="54"/>
        <v>1</v>
      </c>
      <c r="AL234">
        <f t="shared" si="55"/>
        <v>0</v>
      </c>
      <c r="AM234">
        <f t="shared" si="56"/>
        <v>0</v>
      </c>
      <c r="AN234">
        <f t="shared" si="57"/>
        <v>1</v>
      </c>
      <c r="AO234">
        <f>SUM(AN$2:$AN234)</f>
        <v>233</v>
      </c>
    </row>
    <row r="235" spans="1:41" customFormat="1" x14ac:dyDescent="0.35">
      <c r="A235" t="s">
        <v>192</v>
      </c>
      <c r="B235" t="s">
        <v>944</v>
      </c>
      <c r="C235">
        <v>11150</v>
      </c>
      <c r="D235" t="s">
        <v>945</v>
      </c>
      <c r="E235">
        <v>0</v>
      </c>
      <c r="F235">
        <v>2332</v>
      </c>
      <c r="G235">
        <v>0</v>
      </c>
      <c r="H235">
        <v>0</v>
      </c>
      <c r="I235">
        <v>0</v>
      </c>
      <c r="J235">
        <v>2279</v>
      </c>
      <c r="K235">
        <v>6945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 t="s">
        <v>425</v>
      </c>
      <c r="X235">
        <v>4</v>
      </c>
      <c r="Y235" t="s">
        <v>435</v>
      </c>
      <c r="Z235" t="s">
        <v>1833</v>
      </c>
      <c r="AA235" t="s">
        <v>152</v>
      </c>
      <c r="AB235" t="s">
        <v>153</v>
      </c>
      <c r="AC235" t="s">
        <v>497</v>
      </c>
      <c r="AD235">
        <v>4015</v>
      </c>
      <c r="AE235">
        <v>0</v>
      </c>
      <c r="AF235">
        <v>0</v>
      </c>
      <c r="AG235">
        <v>0</v>
      </c>
      <c r="AH235">
        <f t="shared" si="51"/>
        <v>0</v>
      </c>
      <c r="AI235">
        <f t="shared" si="52"/>
        <v>0</v>
      </c>
      <c r="AJ235">
        <f t="shared" si="53"/>
        <v>0</v>
      </c>
      <c r="AK235">
        <f t="shared" si="54"/>
        <v>1</v>
      </c>
      <c r="AL235">
        <f t="shared" si="55"/>
        <v>1</v>
      </c>
      <c r="AM235">
        <f t="shared" si="56"/>
        <v>0</v>
      </c>
      <c r="AN235">
        <f t="shared" si="57"/>
        <v>1</v>
      </c>
      <c r="AO235">
        <f>SUM(AN$2:$AN235)</f>
        <v>234</v>
      </c>
    </row>
    <row r="236" spans="1:41" customFormat="1" x14ac:dyDescent="0.35">
      <c r="A236" t="s">
        <v>192</v>
      </c>
      <c r="B236" t="s">
        <v>946</v>
      </c>
      <c r="C236">
        <v>11150</v>
      </c>
      <c r="D236" t="s">
        <v>947</v>
      </c>
      <c r="E236">
        <v>0</v>
      </c>
      <c r="F236">
        <v>2720</v>
      </c>
      <c r="G236">
        <v>0</v>
      </c>
      <c r="H236">
        <v>0</v>
      </c>
      <c r="I236">
        <v>4124</v>
      </c>
      <c r="J236">
        <v>4124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352</v>
      </c>
      <c r="X236">
        <v>4</v>
      </c>
      <c r="Y236" t="s">
        <v>435</v>
      </c>
      <c r="Z236" t="s">
        <v>1834</v>
      </c>
      <c r="AA236" t="s">
        <v>150</v>
      </c>
      <c r="AB236" t="s">
        <v>149</v>
      </c>
      <c r="AC236" t="s">
        <v>497</v>
      </c>
      <c r="AD236">
        <v>4015</v>
      </c>
      <c r="AE236">
        <v>0</v>
      </c>
      <c r="AF236">
        <v>0</v>
      </c>
      <c r="AG236">
        <v>0</v>
      </c>
      <c r="AH236">
        <f t="shared" si="51"/>
        <v>0</v>
      </c>
      <c r="AI236">
        <f t="shared" si="52"/>
        <v>0</v>
      </c>
      <c r="AJ236">
        <f t="shared" si="53"/>
        <v>1</v>
      </c>
      <c r="AK236">
        <f t="shared" si="54"/>
        <v>1</v>
      </c>
      <c r="AL236">
        <f t="shared" si="55"/>
        <v>0</v>
      </c>
      <c r="AM236">
        <f t="shared" si="56"/>
        <v>0</v>
      </c>
      <c r="AN236">
        <f t="shared" si="57"/>
        <v>1</v>
      </c>
      <c r="AO236">
        <f>SUM(AN$2:$AN236)</f>
        <v>235</v>
      </c>
    </row>
    <row r="237" spans="1:41" customFormat="1" x14ac:dyDescent="0.35">
      <c r="A237" t="s">
        <v>192</v>
      </c>
      <c r="B237" t="s">
        <v>948</v>
      </c>
      <c r="C237">
        <v>11150</v>
      </c>
      <c r="D237" t="s">
        <v>949</v>
      </c>
      <c r="E237">
        <v>0</v>
      </c>
      <c r="F237">
        <v>2332</v>
      </c>
      <c r="G237">
        <v>0</v>
      </c>
      <c r="H237">
        <v>0</v>
      </c>
      <c r="I237">
        <v>2387</v>
      </c>
      <c r="J237">
        <v>0</v>
      </c>
      <c r="K237">
        <v>6945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t="s">
        <v>421</v>
      </c>
      <c r="X237">
        <v>4</v>
      </c>
      <c r="Y237" t="s">
        <v>435</v>
      </c>
      <c r="Z237" t="s">
        <v>1835</v>
      </c>
      <c r="AA237" t="s">
        <v>358</v>
      </c>
      <c r="AB237" t="s">
        <v>149</v>
      </c>
      <c r="AC237" t="s">
        <v>497</v>
      </c>
      <c r="AD237">
        <v>4015</v>
      </c>
      <c r="AE237">
        <v>0</v>
      </c>
      <c r="AF237">
        <v>0</v>
      </c>
      <c r="AG237">
        <v>0</v>
      </c>
      <c r="AH237">
        <f t="shared" si="51"/>
        <v>0</v>
      </c>
      <c r="AI237">
        <f t="shared" si="52"/>
        <v>0</v>
      </c>
      <c r="AJ237">
        <f t="shared" si="53"/>
        <v>1</v>
      </c>
      <c r="AK237">
        <f t="shared" si="54"/>
        <v>0</v>
      </c>
      <c r="AL237">
        <f t="shared" si="55"/>
        <v>1</v>
      </c>
      <c r="AM237">
        <f t="shared" si="56"/>
        <v>0</v>
      </c>
      <c r="AN237">
        <f t="shared" si="57"/>
        <v>1</v>
      </c>
      <c r="AO237">
        <f>SUM(AN$2:$AN237)</f>
        <v>236</v>
      </c>
    </row>
    <row r="238" spans="1:41" x14ac:dyDescent="0.35">
      <c r="A238" t="s">
        <v>192</v>
      </c>
      <c r="B238" t="s">
        <v>950</v>
      </c>
      <c r="C238">
        <v>11150</v>
      </c>
      <c r="D238" t="s">
        <v>951</v>
      </c>
      <c r="E238">
        <v>0</v>
      </c>
      <c r="F238">
        <v>2332</v>
      </c>
      <c r="G238">
        <v>2387</v>
      </c>
      <c r="H238">
        <v>0</v>
      </c>
      <c r="I238">
        <v>0</v>
      </c>
      <c r="J238">
        <v>0</v>
      </c>
      <c r="K238">
        <v>6945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t="s">
        <v>330</v>
      </c>
      <c r="X238">
        <v>4</v>
      </c>
      <c r="Y238" t="s">
        <v>435</v>
      </c>
      <c r="Z238" t="s">
        <v>1836</v>
      </c>
      <c r="AA238" t="s">
        <v>358</v>
      </c>
      <c r="AB238" t="s">
        <v>149</v>
      </c>
      <c r="AC238" t="s">
        <v>497</v>
      </c>
      <c r="AD238">
        <v>4015</v>
      </c>
      <c r="AE238">
        <v>0</v>
      </c>
      <c r="AF238">
        <v>0</v>
      </c>
      <c r="AG238">
        <v>0</v>
      </c>
      <c r="AH238">
        <f t="shared" si="51"/>
        <v>1</v>
      </c>
      <c r="AI238">
        <f t="shared" si="52"/>
        <v>0</v>
      </c>
      <c r="AJ238">
        <f t="shared" si="53"/>
        <v>0</v>
      </c>
      <c r="AK238">
        <f t="shared" si="54"/>
        <v>0</v>
      </c>
      <c r="AL238">
        <f t="shared" si="55"/>
        <v>1</v>
      </c>
      <c r="AM238">
        <f t="shared" si="56"/>
        <v>0</v>
      </c>
      <c r="AN238">
        <f t="shared" si="57"/>
        <v>1</v>
      </c>
      <c r="AO238">
        <f>SUM(AN$2:$AN238)</f>
        <v>237</v>
      </c>
    </row>
    <row r="239" spans="1:41" x14ac:dyDescent="0.35">
      <c r="A239" t="s">
        <v>192</v>
      </c>
      <c r="B239" t="s">
        <v>952</v>
      </c>
      <c r="C239">
        <v>11300</v>
      </c>
      <c r="D239" t="s">
        <v>953</v>
      </c>
      <c r="E239">
        <v>789</v>
      </c>
      <c r="F239">
        <v>1280</v>
      </c>
      <c r="G239">
        <v>3959</v>
      </c>
      <c r="H239">
        <v>0</v>
      </c>
      <c r="I239">
        <v>0</v>
      </c>
      <c r="J239">
        <v>0</v>
      </c>
      <c r="K239">
        <v>3519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 t="s">
        <v>157</v>
      </c>
      <c r="X239">
        <v>6</v>
      </c>
      <c r="Y239" t="s">
        <v>442</v>
      </c>
      <c r="Z239" t="s">
        <v>1837</v>
      </c>
      <c r="AA239" t="s">
        <v>358</v>
      </c>
      <c r="AB239" t="s">
        <v>150</v>
      </c>
      <c r="AC239" t="s">
        <v>497</v>
      </c>
      <c r="AD239">
        <v>4069</v>
      </c>
      <c r="AE239">
        <v>0</v>
      </c>
      <c r="AF239">
        <v>0</v>
      </c>
      <c r="AG239">
        <v>0</v>
      </c>
      <c r="AH239">
        <f t="shared" si="51"/>
        <v>1</v>
      </c>
      <c r="AI239">
        <f t="shared" si="52"/>
        <v>0</v>
      </c>
      <c r="AJ239">
        <f t="shared" si="53"/>
        <v>0</v>
      </c>
      <c r="AK239">
        <f t="shared" si="54"/>
        <v>0</v>
      </c>
      <c r="AL239">
        <f t="shared" si="55"/>
        <v>1</v>
      </c>
      <c r="AM239">
        <f t="shared" si="56"/>
        <v>0</v>
      </c>
      <c r="AN239">
        <f t="shared" si="57"/>
        <v>1</v>
      </c>
      <c r="AO239">
        <f>SUM(AN$2:$AN239)</f>
        <v>238</v>
      </c>
    </row>
    <row r="240" spans="1:41" x14ac:dyDescent="0.35">
      <c r="A240" t="s">
        <v>192</v>
      </c>
      <c r="B240" t="s">
        <v>901</v>
      </c>
      <c r="C240">
        <v>11500</v>
      </c>
      <c r="D240" t="s">
        <v>1838</v>
      </c>
      <c r="E240">
        <v>0</v>
      </c>
      <c r="F240">
        <v>2906</v>
      </c>
      <c r="G240">
        <v>0</v>
      </c>
      <c r="H240">
        <v>0</v>
      </c>
      <c r="I240">
        <v>3805</v>
      </c>
      <c r="J240">
        <v>3134</v>
      </c>
      <c r="K240">
        <v>2238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 t="s">
        <v>354</v>
      </c>
      <c r="X240">
        <v>3</v>
      </c>
      <c r="Y240" t="s">
        <v>434</v>
      </c>
      <c r="Z240" t="s">
        <v>1839</v>
      </c>
      <c r="AA240" t="s">
        <v>150</v>
      </c>
      <c r="AB240" t="s">
        <v>153</v>
      </c>
      <c r="AC240" t="s">
        <v>497</v>
      </c>
      <c r="AD240">
        <v>0</v>
      </c>
      <c r="AE240">
        <v>0</v>
      </c>
      <c r="AF240">
        <v>0</v>
      </c>
      <c r="AG240">
        <v>0</v>
      </c>
      <c r="AH240">
        <f t="shared" si="51"/>
        <v>0</v>
      </c>
      <c r="AI240">
        <f t="shared" si="52"/>
        <v>0</v>
      </c>
      <c r="AJ240">
        <f t="shared" si="53"/>
        <v>1</v>
      </c>
      <c r="AK240">
        <f t="shared" si="54"/>
        <v>1</v>
      </c>
      <c r="AL240">
        <f t="shared" si="55"/>
        <v>1</v>
      </c>
      <c r="AM240">
        <f t="shared" si="56"/>
        <v>0</v>
      </c>
      <c r="AN240">
        <f t="shared" si="57"/>
        <v>1</v>
      </c>
      <c r="AO240">
        <f>SUM(AN$2:$AN240)</f>
        <v>239</v>
      </c>
    </row>
    <row r="241" spans="1:41" x14ac:dyDescent="0.35">
      <c r="A241" t="s">
        <v>192</v>
      </c>
      <c r="B241" t="s">
        <v>901</v>
      </c>
      <c r="C241">
        <v>11500</v>
      </c>
      <c r="D241" t="s">
        <v>1840</v>
      </c>
      <c r="E241">
        <v>0</v>
      </c>
      <c r="F241">
        <v>3407</v>
      </c>
      <c r="G241">
        <v>0</v>
      </c>
      <c r="H241">
        <v>0</v>
      </c>
      <c r="I241">
        <v>0</v>
      </c>
      <c r="J241">
        <v>0</v>
      </c>
      <c r="K241">
        <v>7946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 t="s">
        <v>327</v>
      </c>
      <c r="X241">
        <v>3</v>
      </c>
      <c r="Y241" t="s">
        <v>434</v>
      </c>
      <c r="Z241" t="s">
        <v>1841</v>
      </c>
      <c r="AA241" t="s">
        <v>152</v>
      </c>
      <c r="AB241" t="s">
        <v>153</v>
      </c>
      <c r="AC241" t="s">
        <v>497</v>
      </c>
      <c r="AD241">
        <v>0</v>
      </c>
      <c r="AE241">
        <v>0</v>
      </c>
      <c r="AF241">
        <v>0</v>
      </c>
      <c r="AG241">
        <v>0</v>
      </c>
      <c r="AH241">
        <f t="shared" si="51"/>
        <v>0</v>
      </c>
      <c r="AI241">
        <f t="shared" si="52"/>
        <v>0</v>
      </c>
      <c r="AJ241">
        <f t="shared" si="53"/>
        <v>0</v>
      </c>
      <c r="AK241">
        <f t="shared" si="54"/>
        <v>0</v>
      </c>
      <c r="AL241">
        <f t="shared" si="55"/>
        <v>1</v>
      </c>
      <c r="AM241">
        <f t="shared" si="56"/>
        <v>0</v>
      </c>
      <c r="AN241">
        <f t="shared" si="57"/>
        <v>1</v>
      </c>
      <c r="AO241">
        <f>SUM(AN$2:$AN241)</f>
        <v>240</v>
      </c>
    </row>
    <row r="242" spans="1:41" customFormat="1" x14ac:dyDescent="0.35">
      <c r="A242" t="s">
        <v>192</v>
      </c>
      <c r="B242" t="s">
        <v>901</v>
      </c>
      <c r="C242">
        <v>11500</v>
      </c>
      <c r="D242" t="s">
        <v>1842</v>
      </c>
      <c r="E242">
        <v>0</v>
      </c>
      <c r="F242">
        <v>2906</v>
      </c>
      <c r="G242">
        <v>4477</v>
      </c>
      <c r="H242">
        <v>0</v>
      </c>
      <c r="I242">
        <v>0</v>
      </c>
      <c r="J242">
        <v>0</v>
      </c>
      <c r="K242">
        <v>4701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0</v>
      </c>
      <c r="W242" t="s">
        <v>328</v>
      </c>
      <c r="X242">
        <v>3</v>
      </c>
      <c r="Y242" t="s">
        <v>434</v>
      </c>
      <c r="Z242" t="s">
        <v>1843</v>
      </c>
      <c r="AA242" t="s">
        <v>151</v>
      </c>
      <c r="AB242" t="s">
        <v>153</v>
      </c>
      <c r="AC242" t="s">
        <v>497</v>
      </c>
      <c r="AD242">
        <v>0</v>
      </c>
      <c r="AE242">
        <v>0</v>
      </c>
      <c r="AF242">
        <v>0</v>
      </c>
      <c r="AG242">
        <v>0</v>
      </c>
      <c r="AH242">
        <f t="shared" si="51"/>
        <v>1</v>
      </c>
      <c r="AI242">
        <f t="shared" si="52"/>
        <v>0</v>
      </c>
      <c r="AJ242">
        <f t="shared" si="53"/>
        <v>0</v>
      </c>
      <c r="AK242">
        <f t="shared" si="54"/>
        <v>0</v>
      </c>
      <c r="AL242">
        <f t="shared" si="55"/>
        <v>1</v>
      </c>
      <c r="AM242">
        <f t="shared" si="56"/>
        <v>0</v>
      </c>
      <c r="AN242">
        <f t="shared" si="57"/>
        <v>1</v>
      </c>
      <c r="AO242">
        <f>SUM(AN$2:$AN242)</f>
        <v>241</v>
      </c>
    </row>
    <row r="243" spans="1:41" x14ac:dyDescent="0.35">
      <c r="A243" t="s">
        <v>192</v>
      </c>
      <c r="B243" t="s">
        <v>901</v>
      </c>
      <c r="C243">
        <v>12100</v>
      </c>
      <c r="D243" t="s">
        <v>1844</v>
      </c>
      <c r="E243">
        <v>0</v>
      </c>
      <c r="F243">
        <v>3058</v>
      </c>
      <c r="G243">
        <v>0</v>
      </c>
      <c r="H243">
        <v>0</v>
      </c>
      <c r="I243">
        <v>4710</v>
      </c>
      <c r="J243">
        <v>0</v>
      </c>
      <c r="K243">
        <v>4946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t="s">
        <v>332</v>
      </c>
      <c r="X243">
        <v>3</v>
      </c>
      <c r="Y243" t="s">
        <v>434</v>
      </c>
      <c r="Z243" t="s">
        <v>1845</v>
      </c>
      <c r="AA243" t="s">
        <v>358</v>
      </c>
      <c r="AB243" t="s">
        <v>149</v>
      </c>
      <c r="AC243" t="s">
        <v>497</v>
      </c>
      <c r="AD243">
        <v>0</v>
      </c>
      <c r="AE243">
        <v>0</v>
      </c>
      <c r="AF243">
        <v>0</v>
      </c>
      <c r="AG243">
        <v>0</v>
      </c>
      <c r="AH243">
        <f t="shared" si="51"/>
        <v>0</v>
      </c>
      <c r="AI243">
        <f t="shared" si="52"/>
        <v>0</v>
      </c>
      <c r="AJ243">
        <f t="shared" si="53"/>
        <v>1</v>
      </c>
      <c r="AK243">
        <f t="shared" si="54"/>
        <v>0</v>
      </c>
      <c r="AL243">
        <f t="shared" si="55"/>
        <v>1</v>
      </c>
      <c r="AM243">
        <f t="shared" si="56"/>
        <v>0</v>
      </c>
      <c r="AN243">
        <f t="shared" si="57"/>
        <v>1</v>
      </c>
      <c r="AO243">
        <f>SUM(AN$2:$AN243)</f>
        <v>242</v>
      </c>
    </row>
    <row r="244" spans="1:41" x14ac:dyDescent="0.35">
      <c r="A244" t="s">
        <v>192</v>
      </c>
      <c r="B244" t="s">
        <v>901</v>
      </c>
      <c r="C244">
        <v>12100</v>
      </c>
      <c r="D244" t="s">
        <v>1846</v>
      </c>
      <c r="E244">
        <v>0</v>
      </c>
      <c r="F244">
        <v>3374</v>
      </c>
      <c r="G244">
        <v>3062</v>
      </c>
      <c r="H244">
        <v>0</v>
      </c>
      <c r="I244">
        <v>3062</v>
      </c>
      <c r="J244">
        <v>2826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 t="s">
        <v>419</v>
      </c>
      <c r="X244">
        <v>3</v>
      </c>
      <c r="Y244" t="s">
        <v>434</v>
      </c>
      <c r="Z244" t="s">
        <v>1847</v>
      </c>
      <c r="AA244" t="s">
        <v>151</v>
      </c>
      <c r="AB244" t="s">
        <v>152</v>
      </c>
      <c r="AC244" t="s">
        <v>497</v>
      </c>
      <c r="AD244">
        <v>0</v>
      </c>
      <c r="AE244">
        <v>0</v>
      </c>
      <c r="AF244">
        <v>0</v>
      </c>
      <c r="AG244">
        <v>0</v>
      </c>
      <c r="AH244">
        <f t="shared" si="51"/>
        <v>1</v>
      </c>
      <c r="AI244">
        <f t="shared" si="52"/>
        <v>0</v>
      </c>
      <c r="AJ244">
        <f t="shared" si="53"/>
        <v>1</v>
      </c>
      <c r="AK244">
        <f t="shared" si="54"/>
        <v>1</v>
      </c>
      <c r="AL244">
        <f t="shared" si="55"/>
        <v>0</v>
      </c>
      <c r="AM244">
        <f t="shared" si="56"/>
        <v>0</v>
      </c>
      <c r="AN244">
        <f t="shared" si="57"/>
        <v>1</v>
      </c>
      <c r="AO244">
        <f>SUM(AN$2:$AN244)</f>
        <v>243</v>
      </c>
    </row>
    <row r="245" spans="1:41" x14ac:dyDescent="0.35">
      <c r="A245" t="s">
        <v>192</v>
      </c>
      <c r="B245" t="s">
        <v>901</v>
      </c>
      <c r="C245">
        <v>12100</v>
      </c>
      <c r="D245" t="s">
        <v>1848</v>
      </c>
      <c r="E245">
        <v>0</v>
      </c>
      <c r="F245">
        <v>3585</v>
      </c>
      <c r="G245">
        <v>8361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 t="s">
        <v>331</v>
      </c>
      <c r="X245">
        <v>3</v>
      </c>
      <c r="Y245" t="s">
        <v>434</v>
      </c>
      <c r="Z245" t="s">
        <v>1849</v>
      </c>
      <c r="AA245" t="s">
        <v>151</v>
      </c>
      <c r="AB245" t="s">
        <v>150</v>
      </c>
      <c r="AC245" t="s">
        <v>497</v>
      </c>
      <c r="AD245">
        <v>0</v>
      </c>
      <c r="AE245">
        <v>0</v>
      </c>
      <c r="AF245">
        <v>0</v>
      </c>
      <c r="AG245">
        <v>0</v>
      </c>
      <c r="AH245">
        <f t="shared" si="51"/>
        <v>1</v>
      </c>
      <c r="AI245">
        <f t="shared" si="52"/>
        <v>0</v>
      </c>
      <c r="AJ245">
        <f t="shared" si="53"/>
        <v>0</v>
      </c>
      <c r="AK245">
        <f t="shared" si="54"/>
        <v>0</v>
      </c>
      <c r="AL245">
        <f t="shared" si="55"/>
        <v>0</v>
      </c>
      <c r="AM245">
        <f t="shared" si="56"/>
        <v>0</v>
      </c>
      <c r="AN245">
        <f t="shared" si="57"/>
        <v>1</v>
      </c>
      <c r="AO245">
        <f>SUM(AN$2:$AN245)</f>
        <v>244</v>
      </c>
    </row>
    <row r="246" spans="1:41" x14ac:dyDescent="0.35">
      <c r="A246" t="s">
        <v>192</v>
      </c>
      <c r="B246" t="s">
        <v>2440</v>
      </c>
      <c r="C246">
        <v>12450</v>
      </c>
      <c r="D246" t="s">
        <v>2441</v>
      </c>
      <c r="E246">
        <v>869</v>
      </c>
      <c r="F246">
        <v>1410</v>
      </c>
      <c r="G246">
        <v>0</v>
      </c>
      <c r="H246">
        <v>0</v>
      </c>
      <c r="I246">
        <v>4362</v>
      </c>
      <c r="J246">
        <v>3877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0</v>
      </c>
      <c r="V246">
        <v>0</v>
      </c>
      <c r="W246" t="s">
        <v>348</v>
      </c>
      <c r="X246">
        <v>6</v>
      </c>
      <c r="Y246" t="s">
        <v>435</v>
      </c>
      <c r="Z246" t="s">
        <v>1850</v>
      </c>
      <c r="AA246" t="s">
        <v>152</v>
      </c>
      <c r="AB246" t="s">
        <v>358</v>
      </c>
      <c r="AC246" t="s">
        <v>497</v>
      </c>
      <c r="AD246">
        <v>4483</v>
      </c>
      <c r="AE246">
        <v>0</v>
      </c>
      <c r="AF246">
        <v>0</v>
      </c>
      <c r="AG246">
        <v>0</v>
      </c>
      <c r="AH246">
        <f t="shared" si="51"/>
        <v>0</v>
      </c>
      <c r="AI246">
        <f t="shared" si="52"/>
        <v>0</v>
      </c>
      <c r="AJ246">
        <f t="shared" si="53"/>
        <v>1</v>
      </c>
      <c r="AK246">
        <f t="shared" si="54"/>
        <v>1</v>
      </c>
      <c r="AL246">
        <f t="shared" si="55"/>
        <v>0</v>
      </c>
      <c r="AM246">
        <f t="shared" si="56"/>
        <v>0</v>
      </c>
      <c r="AN246">
        <f t="shared" si="57"/>
        <v>1</v>
      </c>
      <c r="AO246">
        <f>SUM(AN$2:$AN246)</f>
        <v>245</v>
      </c>
    </row>
    <row r="247" spans="1:41" x14ac:dyDescent="0.35">
      <c r="A247" t="s">
        <v>192</v>
      </c>
      <c r="B247" t="s">
        <v>2442</v>
      </c>
      <c r="C247">
        <v>12450</v>
      </c>
      <c r="D247" t="s">
        <v>2443</v>
      </c>
      <c r="E247">
        <v>869</v>
      </c>
      <c r="F247">
        <v>1410</v>
      </c>
      <c r="G247">
        <v>0</v>
      </c>
      <c r="H247">
        <v>0</v>
      </c>
      <c r="I247">
        <v>0</v>
      </c>
      <c r="J247">
        <v>0</v>
      </c>
      <c r="K247">
        <v>3877</v>
      </c>
      <c r="L247">
        <v>4362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 t="s">
        <v>158</v>
      </c>
      <c r="X247">
        <v>6</v>
      </c>
      <c r="Y247" t="s">
        <v>435</v>
      </c>
      <c r="Z247" t="s">
        <v>1851</v>
      </c>
      <c r="AA247" t="s">
        <v>358</v>
      </c>
      <c r="AB247" t="s">
        <v>150</v>
      </c>
      <c r="AC247" t="s">
        <v>497</v>
      </c>
      <c r="AD247">
        <v>4483</v>
      </c>
      <c r="AE247">
        <v>0</v>
      </c>
      <c r="AF247">
        <v>0</v>
      </c>
      <c r="AG247">
        <v>0</v>
      </c>
      <c r="AH247">
        <f t="shared" si="51"/>
        <v>0</v>
      </c>
      <c r="AI247">
        <f t="shared" si="52"/>
        <v>0</v>
      </c>
      <c r="AJ247">
        <f t="shared" si="53"/>
        <v>0</v>
      </c>
      <c r="AK247">
        <f t="shared" si="54"/>
        <v>0</v>
      </c>
      <c r="AL247">
        <f t="shared" si="55"/>
        <v>1</v>
      </c>
      <c r="AM247">
        <f t="shared" si="56"/>
        <v>1</v>
      </c>
      <c r="AN247">
        <f t="shared" si="57"/>
        <v>1</v>
      </c>
      <c r="AO247">
        <f>SUM(AN$2:$AN247)</f>
        <v>246</v>
      </c>
    </row>
    <row r="248" spans="1:41" customFormat="1" x14ac:dyDescent="0.35">
      <c r="A248" t="s">
        <v>192</v>
      </c>
      <c r="B248" t="s">
        <v>2444</v>
      </c>
      <c r="C248">
        <v>12450</v>
      </c>
      <c r="D248" t="s">
        <v>2445</v>
      </c>
      <c r="E248">
        <v>869</v>
      </c>
      <c r="F248">
        <v>1410</v>
      </c>
      <c r="G248">
        <v>0</v>
      </c>
      <c r="H248">
        <v>0</v>
      </c>
      <c r="I248">
        <v>4362</v>
      </c>
      <c r="J248">
        <v>0</v>
      </c>
      <c r="K248">
        <v>3877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159</v>
      </c>
      <c r="X248">
        <v>6</v>
      </c>
      <c r="Y248" t="s">
        <v>441</v>
      </c>
      <c r="Z248" t="s">
        <v>1852</v>
      </c>
      <c r="AA248" t="s">
        <v>149</v>
      </c>
      <c r="AB248" t="s">
        <v>150</v>
      </c>
      <c r="AC248" t="s">
        <v>497</v>
      </c>
      <c r="AD248">
        <v>4483</v>
      </c>
      <c r="AE248">
        <v>0</v>
      </c>
      <c r="AF248">
        <v>0</v>
      </c>
      <c r="AG248">
        <v>0</v>
      </c>
      <c r="AH248">
        <f t="shared" si="51"/>
        <v>0</v>
      </c>
      <c r="AI248">
        <f t="shared" si="52"/>
        <v>0</v>
      </c>
      <c r="AJ248">
        <f t="shared" si="53"/>
        <v>1</v>
      </c>
      <c r="AK248">
        <f t="shared" si="54"/>
        <v>0</v>
      </c>
      <c r="AL248">
        <f t="shared" si="55"/>
        <v>1</v>
      </c>
      <c r="AM248">
        <f t="shared" si="56"/>
        <v>0</v>
      </c>
      <c r="AN248">
        <f t="shared" si="57"/>
        <v>1</v>
      </c>
      <c r="AO248">
        <f>SUM(AN$2:$AN248)</f>
        <v>247</v>
      </c>
    </row>
    <row r="249" spans="1:41" x14ac:dyDescent="0.35">
      <c r="A249" t="s">
        <v>192</v>
      </c>
      <c r="B249" t="s">
        <v>2446</v>
      </c>
      <c r="C249">
        <v>12450</v>
      </c>
      <c r="D249" t="s">
        <v>2447</v>
      </c>
      <c r="E249">
        <v>869</v>
      </c>
      <c r="F249">
        <v>1410</v>
      </c>
      <c r="G249">
        <v>4362</v>
      </c>
      <c r="H249">
        <v>0</v>
      </c>
      <c r="I249">
        <v>0</v>
      </c>
      <c r="J249">
        <v>3877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0</v>
      </c>
      <c r="W249" t="s">
        <v>350</v>
      </c>
      <c r="X249">
        <v>6</v>
      </c>
      <c r="Y249" t="s">
        <v>436</v>
      </c>
      <c r="Z249" t="s">
        <v>1853</v>
      </c>
      <c r="AA249" t="s">
        <v>152</v>
      </c>
      <c r="AB249" t="s">
        <v>358</v>
      </c>
      <c r="AC249" t="s">
        <v>497</v>
      </c>
      <c r="AD249">
        <v>4483</v>
      </c>
      <c r="AE249">
        <v>0</v>
      </c>
      <c r="AF249">
        <v>0</v>
      </c>
      <c r="AG249">
        <v>0</v>
      </c>
      <c r="AH249">
        <f t="shared" si="51"/>
        <v>1</v>
      </c>
      <c r="AI249">
        <f t="shared" si="52"/>
        <v>0</v>
      </c>
      <c r="AJ249">
        <f t="shared" si="53"/>
        <v>0</v>
      </c>
      <c r="AK249">
        <f t="shared" si="54"/>
        <v>1</v>
      </c>
      <c r="AL249">
        <f t="shared" si="55"/>
        <v>0</v>
      </c>
      <c r="AM249">
        <f t="shared" si="56"/>
        <v>0</v>
      </c>
      <c r="AN249">
        <f t="shared" si="57"/>
        <v>1</v>
      </c>
      <c r="AO249">
        <f>SUM(AN$2:$AN249)</f>
        <v>248</v>
      </c>
    </row>
    <row r="250" spans="1:41" x14ac:dyDescent="0.35">
      <c r="A250" t="s">
        <v>192</v>
      </c>
      <c r="B250" t="s">
        <v>2448</v>
      </c>
      <c r="C250">
        <v>12450</v>
      </c>
      <c r="D250" t="s">
        <v>2449</v>
      </c>
      <c r="E250">
        <v>0</v>
      </c>
      <c r="F250">
        <v>3038</v>
      </c>
      <c r="G250">
        <v>0</v>
      </c>
      <c r="H250">
        <v>0</v>
      </c>
      <c r="I250">
        <v>4604</v>
      </c>
      <c r="J250">
        <v>5089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352</v>
      </c>
      <c r="X250">
        <v>4</v>
      </c>
      <c r="Y250" t="s">
        <v>435</v>
      </c>
      <c r="Z250" t="s">
        <v>1855</v>
      </c>
      <c r="AA250" t="s">
        <v>150</v>
      </c>
      <c r="AB250" t="s">
        <v>149</v>
      </c>
      <c r="AC250" t="s">
        <v>497</v>
      </c>
      <c r="AD250">
        <v>4483</v>
      </c>
      <c r="AE250">
        <v>0</v>
      </c>
      <c r="AF250">
        <v>0</v>
      </c>
      <c r="AG250">
        <v>0</v>
      </c>
      <c r="AH250">
        <f t="shared" si="51"/>
        <v>0</v>
      </c>
      <c r="AI250">
        <f t="shared" si="52"/>
        <v>0</v>
      </c>
      <c r="AJ250">
        <f t="shared" si="53"/>
        <v>1</v>
      </c>
      <c r="AK250">
        <f t="shared" si="54"/>
        <v>1</v>
      </c>
      <c r="AL250">
        <f t="shared" si="55"/>
        <v>0</v>
      </c>
      <c r="AM250">
        <f t="shared" si="56"/>
        <v>0</v>
      </c>
      <c r="AN250">
        <f t="shared" si="57"/>
        <v>1</v>
      </c>
      <c r="AO250">
        <f>SUM(AN$2:$AN250)</f>
        <v>249</v>
      </c>
    </row>
    <row r="251" spans="1:41" x14ac:dyDescent="0.35">
      <c r="A251" t="s">
        <v>192</v>
      </c>
      <c r="B251" t="s">
        <v>2450</v>
      </c>
      <c r="C251">
        <v>12450</v>
      </c>
      <c r="D251" t="s">
        <v>2451</v>
      </c>
      <c r="E251">
        <v>0</v>
      </c>
      <c r="F251">
        <v>3688</v>
      </c>
      <c r="G251">
        <v>0</v>
      </c>
      <c r="H251">
        <v>0</v>
      </c>
      <c r="I251">
        <v>0</v>
      </c>
      <c r="J251">
        <v>8118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0</v>
      </c>
      <c r="V251">
        <v>0</v>
      </c>
      <c r="W251" t="s">
        <v>2407</v>
      </c>
      <c r="X251">
        <v>4</v>
      </c>
      <c r="Y251" t="s">
        <v>435</v>
      </c>
      <c r="Z251" t="s">
        <v>1854</v>
      </c>
      <c r="AA251" t="s">
        <v>150</v>
      </c>
      <c r="AB251" t="s">
        <v>358</v>
      </c>
      <c r="AC251" t="s">
        <v>497</v>
      </c>
      <c r="AD251">
        <v>4483</v>
      </c>
      <c r="AE251">
        <v>0</v>
      </c>
      <c r="AF251">
        <v>0</v>
      </c>
      <c r="AG251">
        <v>0</v>
      </c>
      <c r="AH251">
        <f t="shared" si="51"/>
        <v>0</v>
      </c>
      <c r="AI251">
        <f t="shared" si="52"/>
        <v>0</v>
      </c>
      <c r="AJ251">
        <f t="shared" si="53"/>
        <v>0</v>
      </c>
      <c r="AK251">
        <f t="shared" si="54"/>
        <v>1</v>
      </c>
      <c r="AL251">
        <f t="shared" si="55"/>
        <v>0</v>
      </c>
      <c r="AM251">
        <f t="shared" si="56"/>
        <v>0</v>
      </c>
      <c r="AN251">
        <f t="shared" si="57"/>
        <v>1</v>
      </c>
      <c r="AO251">
        <f>SUM(AN$2:$AN251)</f>
        <v>250</v>
      </c>
    </row>
    <row r="252" spans="1:41" x14ac:dyDescent="0.35">
      <c r="A252" t="s">
        <v>192</v>
      </c>
      <c r="B252" t="s">
        <v>2452</v>
      </c>
      <c r="C252">
        <v>12450</v>
      </c>
      <c r="D252" t="s">
        <v>2453</v>
      </c>
      <c r="E252">
        <v>0</v>
      </c>
      <c r="F252">
        <v>3038</v>
      </c>
      <c r="G252">
        <v>0</v>
      </c>
      <c r="H252">
        <v>0</v>
      </c>
      <c r="I252">
        <v>4604</v>
      </c>
      <c r="J252">
        <v>0</v>
      </c>
      <c r="K252">
        <v>5089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t="s">
        <v>421</v>
      </c>
      <c r="X252">
        <v>4</v>
      </c>
      <c r="Y252" t="s">
        <v>435</v>
      </c>
      <c r="Z252" t="s">
        <v>1856</v>
      </c>
      <c r="AA252" t="s">
        <v>358</v>
      </c>
      <c r="AB252" t="s">
        <v>149</v>
      </c>
      <c r="AC252" t="s">
        <v>497</v>
      </c>
      <c r="AD252">
        <v>4483</v>
      </c>
      <c r="AE252">
        <v>0</v>
      </c>
      <c r="AF252">
        <v>0</v>
      </c>
      <c r="AG252">
        <v>0</v>
      </c>
      <c r="AH252">
        <f t="shared" si="51"/>
        <v>0</v>
      </c>
      <c r="AI252">
        <f t="shared" si="52"/>
        <v>0</v>
      </c>
      <c r="AJ252">
        <f t="shared" si="53"/>
        <v>1</v>
      </c>
      <c r="AK252">
        <f t="shared" si="54"/>
        <v>0</v>
      </c>
      <c r="AL252">
        <f t="shared" si="55"/>
        <v>1</v>
      </c>
      <c r="AM252">
        <f t="shared" si="56"/>
        <v>0</v>
      </c>
      <c r="AN252">
        <f t="shared" si="57"/>
        <v>1</v>
      </c>
      <c r="AO252">
        <f>SUM(AN$2:$AN252)</f>
        <v>251</v>
      </c>
    </row>
    <row r="253" spans="1:41" x14ac:dyDescent="0.35">
      <c r="A253" t="s">
        <v>192</v>
      </c>
      <c r="B253" t="s">
        <v>2454</v>
      </c>
      <c r="C253">
        <v>12450</v>
      </c>
      <c r="D253" t="s">
        <v>2455</v>
      </c>
      <c r="E253">
        <v>0</v>
      </c>
      <c r="F253">
        <v>2604</v>
      </c>
      <c r="G253">
        <v>3150</v>
      </c>
      <c r="H253">
        <v>0</v>
      </c>
      <c r="I253">
        <v>0</v>
      </c>
      <c r="J253">
        <v>0</v>
      </c>
      <c r="K253">
        <v>7755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t="s">
        <v>330</v>
      </c>
      <c r="X253">
        <v>4</v>
      </c>
      <c r="Y253" t="s">
        <v>435</v>
      </c>
      <c r="Z253" t="s">
        <v>1857</v>
      </c>
      <c r="AA253" t="s">
        <v>358</v>
      </c>
      <c r="AB253" t="s">
        <v>149</v>
      </c>
      <c r="AC253" t="s">
        <v>497</v>
      </c>
      <c r="AD253">
        <v>4483</v>
      </c>
      <c r="AE253">
        <v>0</v>
      </c>
      <c r="AF253">
        <v>0</v>
      </c>
      <c r="AG253">
        <v>0</v>
      </c>
      <c r="AH253">
        <f t="shared" si="51"/>
        <v>1</v>
      </c>
      <c r="AI253">
        <f t="shared" si="52"/>
        <v>0</v>
      </c>
      <c r="AJ253">
        <f t="shared" si="53"/>
        <v>0</v>
      </c>
      <c r="AK253">
        <f t="shared" si="54"/>
        <v>0</v>
      </c>
      <c r="AL253">
        <f t="shared" si="55"/>
        <v>1</v>
      </c>
      <c r="AM253">
        <f t="shared" si="56"/>
        <v>0</v>
      </c>
      <c r="AN253">
        <f t="shared" si="57"/>
        <v>1</v>
      </c>
      <c r="AO253">
        <f>SUM(AN$2:$AN253)</f>
        <v>252</v>
      </c>
    </row>
    <row r="254" spans="1:41" x14ac:dyDescent="0.35">
      <c r="A254" t="s">
        <v>192</v>
      </c>
      <c r="B254" t="s">
        <v>2456</v>
      </c>
      <c r="C254">
        <v>12600</v>
      </c>
      <c r="D254" t="s">
        <v>2457</v>
      </c>
      <c r="E254">
        <v>880</v>
      </c>
      <c r="F254">
        <v>1427</v>
      </c>
      <c r="G254">
        <v>4415</v>
      </c>
      <c r="H254">
        <v>0</v>
      </c>
      <c r="I254">
        <v>0</v>
      </c>
      <c r="J254">
        <v>0</v>
      </c>
      <c r="K254">
        <v>3924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 t="s">
        <v>157</v>
      </c>
      <c r="X254">
        <v>6</v>
      </c>
      <c r="Y254" t="s">
        <v>442</v>
      </c>
      <c r="Z254" t="s">
        <v>1858</v>
      </c>
      <c r="AA254" t="s">
        <v>358</v>
      </c>
      <c r="AB254" t="s">
        <v>150</v>
      </c>
      <c r="AC254" t="s">
        <v>497</v>
      </c>
      <c r="AD254">
        <v>4537</v>
      </c>
      <c r="AE254">
        <v>0</v>
      </c>
      <c r="AF254">
        <v>0</v>
      </c>
      <c r="AG254">
        <v>0</v>
      </c>
      <c r="AH254">
        <f t="shared" si="51"/>
        <v>1</v>
      </c>
      <c r="AI254">
        <f t="shared" si="52"/>
        <v>0</v>
      </c>
      <c r="AJ254">
        <f t="shared" si="53"/>
        <v>0</v>
      </c>
      <c r="AK254">
        <f t="shared" si="54"/>
        <v>0</v>
      </c>
      <c r="AL254">
        <f t="shared" si="55"/>
        <v>1</v>
      </c>
      <c r="AM254">
        <f t="shared" si="56"/>
        <v>0</v>
      </c>
      <c r="AN254">
        <f t="shared" si="57"/>
        <v>1</v>
      </c>
      <c r="AO254">
        <f>SUM(AN$2:$AN254)</f>
        <v>253</v>
      </c>
    </row>
    <row r="255" spans="1:41" x14ac:dyDescent="0.35">
      <c r="A255" t="s">
        <v>163</v>
      </c>
      <c r="B255" t="s">
        <v>957</v>
      </c>
      <c r="C255">
        <v>8000</v>
      </c>
      <c r="D255" t="s">
        <v>958</v>
      </c>
      <c r="E255">
        <v>503</v>
      </c>
      <c r="F255">
        <v>816</v>
      </c>
      <c r="G255">
        <v>2523</v>
      </c>
      <c r="H255">
        <v>0</v>
      </c>
      <c r="I255">
        <v>0</v>
      </c>
      <c r="J255">
        <v>2242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 t="s">
        <v>350</v>
      </c>
      <c r="X255">
        <v>6</v>
      </c>
      <c r="Y255" t="s">
        <v>435</v>
      </c>
      <c r="Z255" t="s">
        <v>1859</v>
      </c>
      <c r="AA255" t="s">
        <v>149</v>
      </c>
      <c r="AB255" t="s">
        <v>152</v>
      </c>
      <c r="AC255" t="s">
        <v>497</v>
      </c>
      <c r="AD255">
        <v>2593</v>
      </c>
      <c r="AE255">
        <v>0</v>
      </c>
      <c r="AF255">
        <v>0</v>
      </c>
      <c r="AG255">
        <v>0</v>
      </c>
      <c r="AH255">
        <f t="shared" si="51"/>
        <v>1</v>
      </c>
      <c r="AI255">
        <f t="shared" si="52"/>
        <v>0</v>
      </c>
      <c r="AJ255">
        <f t="shared" si="53"/>
        <v>0</v>
      </c>
      <c r="AK255">
        <f t="shared" si="54"/>
        <v>1</v>
      </c>
      <c r="AL255">
        <f t="shared" si="55"/>
        <v>0</v>
      </c>
      <c r="AM255">
        <f t="shared" si="56"/>
        <v>0</v>
      </c>
      <c r="AN255">
        <f t="shared" si="57"/>
        <v>1</v>
      </c>
      <c r="AO255">
        <f>SUM(AN$2:$AN255)</f>
        <v>254</v>
      </c>
    </row>
    <row r="256" spans="1:41" x14ac:dyDescent="0.35">
      <c r="A256" t="s">
        <v>163</v>
      </c>
      <c r="B256" t="s">
        <v>954</v>
      </c>
      <c r="C256">
        <v>8100</v>
      </c>
      <c r="D256" t="s">
        <v>1860</v>
      </c>
      <c r="E256">
        <v>636</v>
      </c>
      <c r="F256">
        <v>1270</v>
      </c>
      <c r="G256">
        <v>0</v>
      </c>
      <c r="H256">
        <v>0</v>
      </c>
      <c r="I256">
        <v>3264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162</v>
      </c>
      <c r="X256">
        <v>6</v>
      </c>
      <c r="Y256" t="s">
        <v>437</v>
      </c>
      <c r="Z256" t="s">
        <v>1861</v>
      </c>
      <c r="AA256" t="s">
        <v>497</v>
      </c>
      <c r="AB256" t="s">
        <v>497</v>
      </c>
      <c r="AC256" t="s">
        <v>497</v>
      </c>
      <c r="AD256">
        <v>2625</v>
      </c>
      <c r="AE256">
        <v>0</v>
      </c>
      <c r="AF256">
        <v>0</v>
      </c>
      <c r="AG256">
        <v>0</v>
      </c>
      <c r="AH256">
        <f t="shared" ref="AH256:AH318" si="58">IF(G256&gt;1,1,0)</f>
        <v>0</v>
      </c>
      <c r="AI256">
        <f t="shared" ref="AI256:AI318" si="59">IF(H256&gt;1,1,0)</f>
        <v>0</v>
      </c>
      <c r="AJ256">
        <f t="shared" ref="AJ256:AJ318" si="60">IF(I256&gt;1,1,0)</f>
        <v>1</v>
      </c>
      <c r="AK256">
        <f t="shared" ref="AK256:AK318" si="61">IF(J256&gt;1,1,0)</f>
        <v>0</v>
      </c>
      <c r="AL256">
        <f t="shared" ref="AL256:AL318" si="62">IF(K256&gt;1,1,0)</f>
        <v>0</v>
      </c>
      <c r="AM256">
        <f t="shared" ref="AM256:AM318" si="63">IF(L256&gt;1,1,0)</f>
        <v>0</v>
      </c>
      <c r="AN256">
        <f t="shared" ref="AN256:AN318" si="64">MIN(1,($AV$2+IF(AND(AH256&gt;=$AP$3,AI256&gt;=$AQ$3,AJ256&gt;=$AR$3,AK256&gt;=$AS$3,AL256&gt;=$AT$3,AM256&gt;=$AU$3),1,0)))</f>
        <v>1</v>
      </c>
      <c r="AO256">
        <f>SUM(AN$2:$AN256)</f>
        <v>255</v>
      </c>
    </row>
    <row r="257" spans="1:41" x14ac:dyDescent="0.35">
      <c r="A257" t="s">
        <v>163</v>
      </c>
      <c r="B257" t="s">
        <v>1350</v>
      </c>
      <c r="C257">
        <v>8100</v>
      </c>
      <c r="D257" t="s">
        <v>1862</v>
      </c>
      <c r="E257">
        <v>509</v>
      </c>
      <c r="F257">
        <v>826</v>
      </c>
      <c r="G257">
        <v>2554</v>
      </c>
      <c r="H257">
        <v>0</v>
      </c>
      <c r="I257">
        <v>0</v>
      </c>
      <c r="J257">
        <v>2270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 t="s">
        <v>350</v>
      </c>
      <c r="X257">
        <v>6</v>
      </c>
      <c r="Y257" t="s">
        <v>437</v>
      </c>
      <c r="Z257" t="s">
        <v>1863</v>
      </c>
      <c r="AA257" t="s">
        <v>149</v>
      </c>
      <c r="AB257" t="s">
        <v>152</v>
      </c>
      <c r="AC257" t="s">
        <v>497</v>
      </c>
      <c r="AD257">
        <v>2625</v>
      </c>
      <c r="AE257">
        <v>0</v>
      </c>
      <c r="AF257">
        <v>0</v>
      </c>
      <c r="AG257">
        <v>0</v>
      </c>
      <c r="AH257">
        <f t="shared" si="58"/>
        <v>1</v>
      </c>
      <c r="AI257">
        <f t="shared" si="59"/>
        <v>0</v>
      </c>
      <c r="AJ257">
        <f t="shared" si="60"/>
        <v>0</v>
      </c>
      <c r="AK257">
        <f t="shared" si="61"/>
        <v>1</v>
      </c>
      <c r="AL257">
        <f t="shared" si="62"/>
        <v>0</v>
      </c>
      <c r="AM257">
        <f t="shared" si="63"/>
        <v>0</v>
      </c>
      <c r="AN257">
        <f t="shared" si="64"/>
        <v>1</v>
      </c>
      <c r="AO257">
        <f>SUM(AN$2:$AN257)</f>
        <v>256</v>
      </c>
    </row>
    <row r="258" spans="1:41" x14ac:dyDescent="0.35">
      <c r="A258" t="s">
        <v>163</v>
      </c>
      <c r="B258" t="s">
        <v>955</v>
      </c>
      <c r="C258">
        <v>8150</v>
      </c>
      <c r="D258" t="s">
        <v>1864</v>
      </c>
      <c r="E258">
        <v>512</v>
      </c>
      <c r="F258">
        <v>831</v>
      </c>
      <c r="G258">
        <v>0</v>
      </c>
      <c r="H258">
        <v>0</v>
      </c>
      <c r="I258">
        <v>2570</v>
      </c>
      <c r="J258">
        <v>0</v>
      </c>
      <c r="K258">
        <v>2284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 t="s">
        <v>159</v>
      </c>
      <c r="X258">
        <v>6</v>
      </c>
      <c r="Y258" t="s">
        <v>438</v>
      </c>
      <c r="Z258" t="s">
        <v>1865</v>
      </c>
      <c r="AA258" t="s">
        <v>148</v>
      </c>
      <c r="AB258" t="s">
        <v>152</v>
      </c>
      <c r="AC258" t="s">
        <v>497</v>
      </c>
      <c r="AD258">
        <v>2641</v>
      </c>
      <c r="AE258">
        <v>0</v>
      </c>
      <c r="AF258">
        <v>0</v>
      </c>
      <c r="AG258">
        <v>0</v>
      </c>
      <c r="AH258">
        <f t="shared" si="58"/>
        <v>0</v>
      </c>
      <c r="AI258">
        <f t="shared" si="59"/>
        <v>0</v>
      </c>
      <c r="AJ258">
        <f t="shared" si="60"/>
        <v>1</v>
      </c>
      <c r="AK258">
        <f t="shared" si="61"/>
        <v>0</v>
      </c>
      <c r="AL258">
        <f t="shared" si="62"/>
        <v>1</v>
      </c>
      <c r="AM258">
        <f t="shared" si="63"/>
        <v>0</v>
      </c>
      <c r="AN258">
        <f t="shared" si="64"/>
        <v>1</v>
      </c>
      <c r="AO258">
        <f>SUM(AN$2:$AN258)</f>
        <v>257</v>
      </c>
    </row>
    <row r="259" spans="1:41" x14ac:dyDescent="0.35">
      <c r="A259" t="s">
        <v>163</v>
      </c>
      <c r="B259" t="s">
        <v>956</v>
      </c>
      <c r="C259">
        <v>8600</v>
      </c>
      <c r="D259" t="s">
        <v>1866</v>
      </c>
      <c r="E259">
        <v>540</v>
      </c>
      <c r="F259">
        <v>877</v>
      </c>
      <c r="G259">
        <v>0</v>
      </c>
      <c r="H259">
        <v>0</v>
      </c>
      <c r="I259">
        <v>2712</v>
      </c>
      <c r="J259">
        <v>2410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348</v>
      </c>
      <c r="X259">
        <v>6</v>
      </c>
      <c r="Y259" t="s">
        <v>628</v>
      </c>
      <c r="Z259" t="s">
        <v>1867</v>
      </c>
      <c r="AA259" t="s">
        <v>148</v>
      </c>
      <c r="AB259" t="s">
        <v>149</v>
      </c>
      <c r="AC259" t="s">
        <v>497</v>
      </c>
      <c r="AD259">
        <v>2787</v>
      </c>
      <c r="AE259">
        <v>0</v>
      </c>
      <c r="AF259">
        <v>0</v>
      </c>
      <c r="AG259">
        <v>0</v>
      </c>
      <c r="AH259">
        <f t="shared" si="58"/>
        <v>0</v>
      </c>
      <c r="AI259">
        <f t="shared" si="59"/>
        <v>0</v>
      </c>
      <c r="AJ259">
        <f t="shared" si="60"/>
        <v>1</v>
      </c>
      <c r="AK259">
        <f t="shared" si="61"/>
        <v>1</v>
      </c>
      <c r="AL259">
        <f t="shared" si="62"/>
        <v>0</v>
      </c>
      <c r="AM259">
        <f t="shared" si="63"/>
        <v>0</v>
      </c>
      <c r="AN259">
        <f t="shared" si="64"/>
        <v>1</v>
      </c>
      <c r="AO259">
        <f>SUM(AN$2:$AN259)</f>
        <v>258</v>
      </c>
    </row>
    <row r="260" spans="1:41" x14ac:dyDescent="0.35">
      <c r="A260" t="s">
        <v>163</v>
      </c>
      <c r="B260" t="s">
        <v>955</v>
      </c>
      <c r="C260">
        <v>8800</v>
      </c>
      <c r="D260" t="s">
        <v>960</v>
      </c>
      <c r="E260">
        <v>553</v>
      </c>
      <c r="F260">
        <v>897</v>
      </c>
      <c r="G260">
        <v>0</v>
      </c>
      <c r="H260">
        <v>0</v>
      </c>
      <c r="I260">
        <v>2775</v>
      </c>
      <c r="J260">
        <v>0</v>
      </c>
      <c r="K260">
        <v>2467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 t="s">
        <v>159</v>
      </c>
      <c r="X260">
        <v>6</v>
      </c>
      <c r="Y260" t="s">
        <v>438</v>
      </c>
      <c r="Z260" t="s">
        <v>1868</v>
      </c>
      <c r="AA260" t="s">
        <v>148</v>
      </c>
      <c r="AB260" t="s">
        <v>152</v>
      </c>
      <c r="AC260" t="s">
        <v>497</v>
      </c>
      <c r="AD260">
        <v>2852</v>
      </c>
      <c r="AE260">
        <v>0</v>
      </c>
      <c r="AF260">
        <v>0</v>
      </c>
      <c r="AG260">
        <v>0</v>
      </c>
      <c r="AH260">
        <f t="shared" si="58"/>
        <v>0</v>
      </c>
      <c r="AI260">
        <f t="shared" si="59"/>
        <v>0</v>
      </c>
      <c r="AJ260">
        <f t="shared" si="60"/>
        <v>1</v>
      </c>
      <c r="AK260">
        <f t="shared" si="61"/>
        <v>0</v>
      </c>
      <c r="AL260">
        <f t="shared" si="62"/>
        <v>1</v>
      </c>
      <c r="AM260">
        <f t="shared" si="63"/>
        <v>0</v>
      </c>
      <c r="AN260">
        <f t="shared" si="64"/>
        <v>1</v>
      </c>
      <c r="AO260">
        <f>SUM(AN$2:$AN260)</f>
        <v>259</v>
      </c>
    </row>
    <row r="261" spans="1:41" x14ac:dyDescent="0.35">
      <c r="A261" t="s">
        <v>163</v>
      </c>
      <c r="B261" t="s">
        <v>1350</v>
      </c>
      <c r="C261">
        <v>8800</v>
      </c>
      <c r="D261" t="s">
        <v>1351</v>
      </c>
      <c r="E261">
        <v>553</v>
      </c>
      <c r="F261">
        <v>897</v>
      </c>
      <c r="G261">
        <v>2775</v>
      </c>
      <c r="H261">
        <v>0</v>
      </c>
      <c r="I261">
        <v>0</v>
      </c>
      <c r="J261">
        <v>2467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 t="s">
        <v>350</v>
      </c>
      <c r="X261">
        <v>6</v>
      </c>
      <c r="Y261" t="s">
        <v>437</v>
      </c>
      <c r="Z261" t="s">
        <v>1869</v>
      </c>
      <c r="AA261" t="s">
        <v>149</v>
      </c>
      <c r="AB261" t="s">
        <v>152</v>
      </c>
      <c r="AC261" t="s">
        <v>497</v>
      </c>
      <c r="AD261">
        <v>2852</v>
      </c>
      <c r="AE261">
        <v>0</v>
      </c>
      <c r="AF261">
        <v>0</v>
      </c>
      <c r="AG261">
        <v>0</v>
      </c>
      <c r="AH261">
        <f t="shared" si="58"/>
        <v>1</v>
      </c>
      <c r="AI261">
        <f t="shared" si="59"/>
        <v>0</v>
      </c>
      <c r="AJ261">
        <f t="shared" si="60"/>
        <v>0</v>
      </c>
      <c r="AK261">
        <f t="shared" si="61"/>
        <v>1</v>
      </c>
      <c r="AL261">
        <f t="shared" si="62"/>
        <v>0</v>
      </c>
      <c r="AM261">
        <f t="shared" si="63"/>
        <v>0</v>
      </c>
      <c r="AN261">
        <f t="shared" si="64"/>
        <v>1</v>
      </c>
      <c r="AO261">
        <f>SUM(AN$2:$AN261)</f>
        <v>260</v>
      </c>
    </row>
    <row r="262" spans="1:41" x14ac:dyDescent="0.35">
      <c r="A262" t="s">
        <v>163</v>
      </c>
      <c r="B262" t="s">
        <v>959</v>
      </c>
      <c r="C262">
        <v>9100</v>
      </c>
      <c r="D262" t="s">
        <v>1870</v>
      </c>
      <c r="E262">
        <v>572</v>
      </c>
      <c r="F262">
        <v>928</v>
      </c>
      <c r="G262">
        <v>0</v>
      </c>
      <c r="H262">
        <v>0</v>
      </c>
      <c r="I262">
        <v>0</v>
      </c>
      <c r="J262">
        <v>2551</v>
      </c>
      <c r="K262">
        <v>0</v>
      </c>
      <c r="L262">
        <v>2869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 t="s">
        <v>349</v>
      </c>
      <c r="X262">
        <v>6</v>
      </c>
      <c r="Y262" t="s">
        <v>435</v>
      </c>
      <c r="Z262" t="s">
        <v>1871</v>
      </c>
      <c r="AA262" t="s">
        <v>152</v>
      </c>
      <c r="AB262" t="s">
        <v>148</v>
      </c>
      <c r="AC262" t="s">
        <v>497</v>
      </c>
      <c r="AD262">
        <v>2949</v>
      </c>
      <c r="AE262">
        <v>0</v>
      </c>
      <c r="AF262">
        <v>0</v>
      </c>
      <c r="AG262">
        <v>0</v>
      </c>
      <c r="AH262">
        <f t="shared" si="58"/>
        <v>0</v>
      </c>
      <c r="AI262">
        <f t="shared" si="59"/>
        <v>0</v>
      </c>
      <c r="AJ262">
        <f t="shared" si="60"/>
        <v>0</v>
      </c>
      <c r="AK262">
        <f t="shared" si="61"/>
        <v>1</v>
      </c>
      <c r="AL262">
        <f t="shared" si="62"/>
        <v>0</v>
      </c>
      <c r="AM262">
        <f t="shared" si="63"/>
        <v>1</v>
      </c>
      <c r="AN262">
        <f t="shared" si="64"/>
        <v>1</v>
      </c>
      <c r="AO262">
        <f>SUM(AN$2:$AN262)</f>
        <v>261</v>
      </c>
    </row>
    <row r="263" spans="1:41" x14ac:dyDescent="0.35">
      <c r="A263" t="s">
        <v>163</v>
      </c>
      <c r="B263" t="s">
        <v>961</v>
      </c>
      <c r="C263">
        <v>9100</v>
      </c>
      <c r="D263" t="s">
        <v>962</v>
      </c>
      <c r="E263">
        <v>0</v>
      </c>
      <c r="F263">
        <v>2426</v>
      </c>
      <c r="G263">
        <v>0</v>
      </c>
      <c r="H263">
        <v>0</v>
      </c>
      <c r="I263">
        <v>0</v>
      </c>
      <c r="J263">
        <v>0</v>
      </c>
      <c r="K263">
        <v>5500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0</v>
      </c>
      <c r="W263" t="s">
        <v>327</v>
      </c>
      <c r="X263">
        <v>3</v>
      </c>
      <c r="Y263" t="s">
        <v>434</v>
      </c>
      <c r="Z263" t="s">
        <v>1872</v>
      </c>
      <c r="AA263" t="s">
        <v>152</v>
      </c>
      <c r="AB263" t="s">
        <v>153</v>
      </c>
      <c r="AC263" t="s">
        <v>497</v>
      </c>
      <c r="AD263">
        <v>0</v>
      </c>
      <c r="AE263">
        <v>0</v>
      </c>
      <c r="AF263">
        <v>0</v>
      </c>
      <c r="AG263">
        <v>0</v>
      </c>
      <c r="AH263">
        <f t="shared" si="58"/>
        <v>0</v>
      </c>
      <c r="AI263">
        <f t="shared" si="59"/>
        <v>0</v>
      </c>
      <c r="AJ263">
        <f t="shared" si="60"/>
        <v>0</v>
      </c>
      <c r="AK263">
        <f t="shared" si="61"/>
        <v>0</v>
      </c>
      <c r="AL263">
        <f t="shared" si="62"/>
        <v>1</v>
      </c>
      <c r="AM263">
        <f t="shared" si="63"/>
        <v>0</v>
      </c>
      <c r="AN263">
        <f t="shared" si="64"/>
        <v>1</v>
      </c>
      <c r="AO263">
        <f>SUM(AN$2:$AN263)</f>
        <v>262</v>
      </c>
    </row>
    <row r="264" spans="1:41" x14ac:dyDescent="0.35">
      <c r="A264" t="s">
        <v>163</v>
      </c>
      <c r="B264" t="s">
        <v>961</v>
      </c>
      <c r="C264">
        <v>9100</v>
      </c>
      <c r="D264" t="s">
        <v>963</v>
      </c>
      <c r="E264">
        <v>0</v>
      </c>
      <c r="F264">
        <v>2284</v>
      </c>
      <c r="G264">
        <v>2072</v>
      </c>
      <c r="H264">
        <v>0</v>
      </c>
      <c r="I264">
        <v>2072</v>
      </c>
      <c r="J264">
        <v>1754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0</v>
      </c>
      <c r="W264" t="s">
        <v>419</v>
      </c>
      <c r="X264">
        <v>3</v>
      </c>
      <c r="Y264" t="s">
        <v>434</v>
      </c>
      <c r="Z264" t="s">
        <v>1873</v>
      </c>
      <c r="AA264" t="s">
        <v>151</v>
      </c>
      <c r="AB264" t="s">
        <v>152</v>
      </c>
      <c r="AC264" t="s">
        <v>497</v>
      </c>
      <c r="AD264">
        <v>0</v>
      </c>
      <c r="AE264">
        <v>0</v>
      </c>
      <c r="AF264">
        <v>0</v>
      </c>
      <c r="AG264">
        <v>0</v>
      </c>
      <c r="AH264">
        <f t="shared" si="58"/>
        <v>1</v>
      </c>
      <c r="AI264">
        <f t="shared" si="59"/>
        <v>0</v>
      </c>
      <c r="AJ264">
        <f t="shared" si="60"/>
        <v>1</v>
      </c>
      <c r="AK264">
        <f t="shared" si="61"/>
        <v>1</v>
      </c>
      <c r="AL264">
        <f t="shared" si="62"/>
        <v>0</v>
      </c>
      <c r="AM264">
        <f t="shared" si="63"/>
        <v>0</v>
      </c>
      <c r="AN264">
        <f t="shared" si="64"/>
        <v>1</v>
      </c>
      <c r="AO264">
        <f>SUM(AN$2:$AN264)</f>
        <v>263</v>
      </c>
    </row>
    <row r="265" spans="1:41" x14ac:dyDescent="0.35">
      <c r="A265" t="s">
        <v>163</v>
      </c>
      <c r="B265" t="s">
        <v>961</v>
      </c>
      <c r="C265">
        <v>9100</v>
      </c>
      <c r="D265" t="s">
        <v>964</v>
      </c>
      <c r="E265">
        <v>0</v>
      </c>
      <c r="F265">
        <v>2070</v>
      </c>
      <c r="G265">
        <v>3188</v>
      </c>
      <c r="H265">
        <v>0</v>
      </c>
      <c r="I265">
        <v>0</v>
      </c>
      <c r="J265">
        <v>0</v>
      </c>
      <c r="K265">
        <v>3188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 t="s">
        <v>328</v>
      </c>
      <c r="X265">
        <v>3</v>
      </c>
      <c r="Y265" t="s">
        <v>434</v>
      </c>
      <c r="Z265" t="s">
        <v>1874</v>
      </c>
      <c r="AA265" t="s">
        <v>151</v>
      </c>
      <c r="AB265" t="s">
        <v>153</v>
      </c>
      <c r="AC265" t="s">
        <v>497</v>
      </c>
      <c r="AD265">
        <v>0</v>
      </c>
      <c r="AE265">
        <v>0</v>
      </c>
      <c r="AF265">
        <v>0</v>
      </c>
      <c r="AG265">
        <v>0</v>
      </c>
      <c r="AH265">
        <f t="shared" si="58"/>
        <v>1</v>
      </c>
      <c r="AI265">
        <f t="shared" si="59"/>
        <v>0</v>
      </c>
      <c r="AJ265">
        <f t="shared" si="60"/>
        <v>0</v>
      </c>
      <c r="AK265">
        <f t="shared" si="61"/>
        <v>0</v>
      </c>
      <c r="AL265">
        <f t="shared" si="62"/>
        <v>1</v>
      </c>
      <c r="AM265">
        <f t="shared" si="63"/>
        <v>0</v>
      </c>
      <c r="AN265">
        <f t="shared" si="64"/>
        <v>1</v>
      </c>
      <c r="AO265">
        <f>SUM(AN$2:$AN265)</f>
        <v>264</v>
      </c>
    </row>
    <row r="266" spans="1:41" x14ac:dyDescent="0.35">
      <c r="A266" t="s">
        <v>163</v>
      </c>
      <c r="B266" t="s">
        <v>961</v>
      </c>
      <c r="C266">
        <v>9400</v>
      </c>
      <c r="D266" t="s">
        <v>972</v>
      </c>
      <c r="E266">
        <v>0</v>
      </c>
      <c r="F266">
        <v>2138</v>
      </c>
      <c r="G266">
        <v>3293</v>
      </c>
      <c r="H266">
        <v>0</v>
      </c>
      <c r="I266">
        <v>0</v>
      </c>
      <c r="J266">
        <v>3293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 t="s">
        <v>418</v>
      </c>
      <c r="X266">
        <v>3</v>
      </c>
      <c r="Y266" t="s">
        <v>434</v>
      </c>
      <c r="Z266" t="s">
        <v>1875</v>
      </c>
      <c r="AA266" t="s">
        <v>151</v>
      </c>
      <c r="AB266" t="s">
        <v>358</v>
      </c>
      <c r="AC266" t="s">
        <v>497</v>
      </c>
      <c r="AD266">
        <v>0</v>
      </c>
      <c r="AE266">
        <v>0</v>
      </c>
      <c r="AF266">
        <v>0</v>
      </c>
      <c r="AG266">
        <v>0</v>
      </c>
      <c r="AH266">
        <f t="shared" si="58"/>
        <v>1</v>
      </c>
      <c r="AI266">
        <f t="shared" si="59"/>
        <v>0</v>
      </c>
      <c r="AJ266">
        <f t="shared" si="60"/>
        <v>0</v>
      </c>
      <c r="AK266">
        <f t="shared" si="61"/>
        <v>1</v>
      </c>
      <c r="AL266">
        <f t="shared" si="62"/>
        <v>0</v>
      </c>
      <c r="AM266">
        <f t="shared" si="63"/>
        <v>0</v>
      </c>
      <c r="AN266">
        <f t="shared" si="64"/>
        <v>1</v>
      </c>
      <c r="AO266">
        <f>SUM(AN$2:$AN266)</f>
        <v>265</v>
      </c>
    </row>
    <row r="267" spans="1:41" x14ac:dyDescent="0.35">
      <c r="A267" t="s">
        <v>163</v>
      </c>
      <c r="B267" t="s">
        <v>961</v>
      </c>
      <c r="C267">
        <v>9400</v>
      </c>
      <c r="D267" t="s">
        <v>973</v>
      </c>
      <c r="E267">
        <v>0</v>
      </c>
      <c r="F267">
        <v>2138</v>
      </c>
      <c r="G267">
        <v>2635</v>
      </c>
      <c r="H267">
        <v>0</v>
      </c>
      <c r="I267">
        <v>2305</v>
      </c>
      <c r="J267">
        <v>0</v>
      </c>
      <c r="K267">
        <v>1647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 t="s">
        <v>422</v>
      </c>
      <c r="X267">
        <v>3</v>
      </c>
      <c r="Y267" t="s">
        <v>434</v>
      </c>
      <c r="Z267" t="s">
        <v>1876</v>
      </c>
      <c r="AA267" t="s">
        <v>151</v>
      </c>
      <c r="AB267" t="s">
        <v>149</v>
      </c>
      <c r="AC267" t="s">
        <v>497</v>
      </c>
      <c r="AD267">
        <v>0</v>
      </c>
      <c r="AE267">
        <v>0</v>
      </c>
      <c r="AF267">
        <v>0</v>
      </c>
      <c r="AG267">
        <v>0</v>
      </c>
      <c r="AH267">
        <f t="shared" si="58"/>
        <v>1</v>
      </c>
      <c r="AI267">
        <f t="shared" si="59"/>
        <v>0</v>
      </c>
      <c r="AJ267">
        <f t="shared" si="60"/>
        <v>1</v>
      </c>
      <c r="AK267">
        <f t="shared" si="61"/>
        <v>0</v>
      </c>
      <c r="AL267">
        <f t="shared" si="62"/>
        <v>1</v>
      </c>
      <c r="AM267">
        <f t="shared" si="63"/>
        <v>0</v>
      </c>
      <c r="AN267">
        <f t="shared" si="64"/>
        <v>1</v>
      </c>
      <c r="AO267">
        <f>SUM(AN$2:$AN267)</f>
        <v>266</v>
      </c>
    </row>
    <row r="268" spans="1:41" x14ac:dyDescent="0.35">
      <c r="A268" t="s">
        <v>163</v>
      </c>
      <c r="B268" t="s">
        <v>961</v>
      </c>
      <c r="C268">
        <v>9400</v>
      </c>
      <c r="D268" t="s">
        <v>974</v>
      </c>
      <c r="E268">
        <v>0</v>
      </c>
      <c r="F268">
        <v>2506</v>
      </c>
      <c r="G268">
        <v>5681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 t="s">
        <v>331</v>
      </c>
      <c r="X268">
        <v>3</v>
      </c>
      <c r="Y268" t="s">
        <v>434</v>
      </c>
      <c r="Z268" t="s">
        <v>1877</v>
      </c>
      <c r="AA268" t="s">
        <v>151</v>
      </c>
      <c r="AB268" t="s">
        <v>150</v>
      </c>
      <c r="AC268" t="s">
        <v>497</v>
      </c>
      <c r="AD268">
        <v>0</v>
      </c>
      <c r="AE268">
        <v>0</v>
      </c>
      <c r="AF268">
        <v>0</v>
      </c>
      <c r="AG268">
        <v>0</v>
      </c>
      <c r="AH268">
        <f t="shared" si="58"/>
        <v>1</v>
      </c>
      <c r="AI268">
        <f t="shared" si="59"/>
        <v>0</v>
      </c>
      <c r="AJ268">
        <f t="shared" si="60"/>
        <v>0</v>
      </c>
      <c r="AK268">
        <f t="shared" si="61"/>
        <v>0</v>
      </c>
      <c r="AL268">
        <f t="shared" si="62"/>
        <v>0</v>
      </c>
      <c r="AM268">
        <f t="shared" si="63"/>
        <v>0</v>
      </c>
      <c r="AN268">
        <f t="shared" si="64"/>
        <v>1</v>
      </c>
      <c r="AO268">
        <f>SUM(AN$2:$AN268)</f>
        <v>267</v>
      </c>
    </row>
    <row r="269" spans="1:41" x14ac:dyDescent="0.35">
      <c r="A269" t="s">
        <v>163</v>
      </c>
      <c r="B269" t="s">
        <v>955</v>
      </c>
      <c r="C269">
        <v>9450</v>
      </c>
      <c r="D269" t="s">
        <v>1878</v>
      </c>
      <c r="E269">
        <v>594</v>
      </c>
      <c r="F269">
        <v>963</v>
      </c>
      <c r="G269">
        <v>0</v>
      </c>
      <c r="H269">
        <v>0</v>
      </c>
      <c r="I269">
        <v>2980</v>
      </c>
      <c r="J269">
        <v>0</v>
      </c>
      <c r="K269">
        <v>2649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 t="s">
        <v>159</v>
      </c>
      <c r="X269">
        <v>6</v>
      </c>
      <c r="Y269" t="s">
        <v>438</v>
      </c>
      <c r="Z269" t="s">
        <v>1879</v>
      </c>
      <c r="AA269" t="s">
        <v>148</v>
      </c>
      <c r="AB269" t="s">
        <v>152</v>
      </c>
      <c r="AC269" t="s">
        <v>497</v>
      </c>
      <c r="AD269">
        <v>3063</v>
      </c>
      <c r="AE269">
        <v>0</v>
      </c>
      <c r="AF269">
        <v>0</v>
      </c>
      <c r="AG269">
        <v>0</v>
      </c>
      <c r="AH269">
        <f t="shared" si="58"/>
        <v>0</v>
      </c>
      <c r="AI269">
        <f t="shared" si="59"/>
        <v>0</v>
      </c>
      <c r="AJ269">
        <f t="shared" si="60"/>
        <v>1</v>
      </c>
      <c r="AK269">
        <f t="shared" si="61"/>
        <v>0</v>
      </c>
      <c r="AL269">
        <f t="shared" si="62"/>
        <v>1</v>
      </c>
      <c r="AM269">
        <f t="shared" si="63"/>
        <v>0</v>
      </c>
      <c r="AN269">
        <f t="shared" si="64"/>
        <v>1</v>
      </c>
      <c r="AO269">
        <f>SUM(AN$2:$AN269)</f>
        <v>268</v>
      </c>
    </row>
    <row r="270" spans="1:41" x14ac:dyDescent="0.35">
      <c r="A270" t="s">
        <v>163</v>
      </c>
      <c r="B270" t="s">
        <v>975</v>
      </c>
      <c r="C270">
        <v>9600</v>
      </c>
      <c r="D270" t="s">
        <v>976</v>
      </c>
      <c r="E270">
        <v>603</v>
      </c>
      <c r="F270">
        <v>979</v>
      </c>
      <c r="G270">
        <v>0</v>
      </c>
      <c r="H270">
        <v>0</v>
      </c>
      <c r="I270">
        <v>3027</v>
      </c>
      <c r="J270">
        <v>2691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348</v>
      </c>
      <c r="X270">
        <v>6</v>
      </c>
      <c r="Y270" t="s">
        <v>1336</v>
      </c>
      <c r="Z270" t="s">
        <v>1880</v>
      </c>
      <c r="AA270" t="s">
        <v>148</v>
      </c>
      <c r="AB270" t="s">
        <v>149</v>
      </c>
      <c r="AC270" t="s">
        <v>497</v>
      </c>
      <c r="AD270">
        <v>3111</v>
      </c>
      <c r="AE270">
        <v>0</v>
      </c>
      <c r="AF270">
        <v>0</v>
      </c>
      <c r="AG270">
        <v>0</v>
      </c>
      <c r="AH270">
        <f t="shared" si="58"/>
        <v>0</v>
      </c>
      <c r="AI270">
        <f t="shared" si="59"/>
        <v>0</v>
      </c>
      <c r="AJ270">
        <f t="shared" si="60"/>
        <v>1</v>
      </c>
      <c r="AK270">
        <f t="shared" si="61"/>
        <v>1</v>
      </c>
      <c r="AL270">
        <f t="shared" si="62"/>
        <v>0</v>
      </c>
      <c r="AM270">
        <f t="shared" si="63"/>
        <v>0</v>
      </c>
      <c r="AN270">
        <f t="shared" si="64"/>
        <v>1</v>
      </c>
      <c r="AO270">
        <f>SUM(AN$2:$AN270)</f>
        <v>269</v>
      </c>
    </row>
    <row r="271" spans="1:41" x14ac:dyDescent="0.35">
      <c r="A271" t="s">
        <v>163</v>
      </c>
      <c r="B271" t="s">
        <v>1352</v>
      </c>
      <c r="C271">
        <v>9600</v>
      </c>
      <c r="D271" t="s">
        <v>1353</v>
      </c>
      <c r="E271">
        <v>603</v>
      </c>
      <c r="F271">
        <v>979</v>
      </c>
      <c r="G271">
        <v>3027</v>
      </c>
      <c r="H271">
        <v>0</v>
      </c>
      <c r="I271">
        <v>0</v>
      </c>
      <c r="J271">
        <v>0</v>
      </c>
      <c r="K271">
        <v>2691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 t="s">
        <v>157</v>
      </c>
      <c r="X271">
        <v>6</v>
      </c>
      <c r="Y271" t="s">
        <v>443</v>
      </c>
      <c r="Z271" t="s">
        <v>1881</v>
      </c>
      <c r="AA271" t="s">
        <v>152</v>
      </c>
      <c r="AB271" t="s">
        <v>153</v>
      </c>
      <c r="AC271" t="s">
        <v>497</v>
      </c>
      <c r="AD271">
        <v>3111</v>
      </c>
      <c r="AE271">
        <v>0</v>
      </c>
      <c r="AF271">
        <v>0</v>
      </c>
      <c r="AG271">
        <v>0</v>
      </c>
      <c r="AH271">
        <f t="shared" si="58"/>
        <v>1</v>
      </c>
      <c r="AI271">
        <f t="shared" si="59"/>
        <v>0</v>
      </c>
      <c r="AJ271">
        <f t="shared" si="60"/>
        <v>0</v>
      </c>
      <c r="AK271">
        <f t="shared" si="61"/>
        <v>0</v>
      </c>
      <c r="AL271">
        <f t="shared" si="62"/>
        <v>1</v>
      </c>
      <c r="AM271">
        <f t="shared" si="63"/>
        <v>0</v>
      </c>
      <c r="AN271">
        <f t="shared" si="64"/>
        <v>1</v>
      </c>
      <c r="AO271">
        <f>SUM(AN$2:$AN271)</f>
        <v>270</v>
      </c>
    </row>
    <row r="272" spans="1:41" x14ac:dyDescent="0.35">
      <c r="A272" t="s">
        <v>163</v>
      </c>
      <c r="B272" t="s">
        <v>961</v>
      </c>
      <c r="C272">
        <v>9700</v>
      </c>
      <c r="D272" t="s">
        <v>977</v>
      </c>
      <c r="E272">
        <v>0</v>
      </c>
      <c r="F272">
        <v>2586</v>
      </c>
      <c r="G272">
        <v>0</v>
      </c>
      <c r="H272">
        <v>0</v>
      </c>
      <c r="I272">
        <v>5862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t="s">
        <v>329</v>
      </c>
      <c r="X272">
        <v>3</v>
      </c>
      <c r="Y272" t="s">
        <v>434</v>
      </c>
      <c r="Z272" t="s">
        <v>1882</v>
      </c>
      <c r="AA272" t="s">
        <v>358</v>
      </c>
      <c r="AB272" t="s">
        <v>149</v>
      </c>
      <c r="AC272" t="s">
        <v>497</v>
      </c>
      <c r="AD272">
        <v>0</v>
      </c>
      <c r="AE272">
        <v>0</v>
      </c>
      <c r="AF272">
        <v>0</v>
      </c>
      <c r="AG272">
        <v>0</v>
      </c>
      <c r="AH272">
        <f t="shared" si="58"/>
        <v>0</v>
      </c>
      <c r="AI272">
        <f t="shared" si="59"/>
        <v>0</v>
      </c>
      <c r="AJ272">
        <f t="shared" si="60"/>
        <v>1</v>
      </c>
      <c r="AK272">
        <f t="shared" si="61"/>
        <v>0</v>
      </c>
      <c r="AL272">
        <f t="shared" si="62"/>
        <v>0</v>
      </c>
      <c r="AM272">
        <f t="shared" si="63"/>
        <v>0</v>
      </c>
      <c r="AN272">
        <f t="shared" si="64"/>
        <v>1</v>
      </c>
      <c r="AO272">
        <f>SUM(AN$2:$AN272)</f>
        <v>271</v>
      </c>
    </row>
    <row r="273" spans="1:41" x14ac:dyDescent="0.35">
      <c r="A273" t="s">
        <v>163</v>
      </c>
      <c r="B273" t="s">
        <v>961</v>
      </c>
      <c r="C273">
        <v>9700</v>
      </c>
      <c r="D273" t="s">
        <v>978</v>
      </c>
      <c r="E273">
        <v>0</v>
      </c>
      <c r="F273">
        <v>2206</v>
      </c>
      <c r="G273">
        <v>3229</v>
      </c>
      <c r="H273">
        <v>0</v>
      </c>
      <c r="I273">
        <v>0</v>
      </c>
      <c r="J273">
        <v>1699</v>
      </c>
      <c r="K273">
        <v>1869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0</v>
      </c>
      <c r="W273" t="s">
        <v>423</v>
      </c>
      <c r="X273">
        <v>3</v>
      </c>
      <c r="Y273" t="s">
        <v>434</v>
      </c>
      <c r="Z273" t="s">
        <v>1883</v>
      </c>
      <c r="AA273" t="s">
        <v>152</v>
      </c>
      <c r="AB273" t="s">
        <v>153</v>
      </c>
      <c r="AC273" t="s">
        <v>497</v>
      </c>
      <c r="AD273">
        <v>0</v>
      </c>
      <c r="AE273">
        <v>0</v>
      </c>
      <c r="AF273">
        <v>0</v>
      </c>
      <c r="AG273">
        <v>0</v>
      </c>
      <c r="AH273">
        <f t="shared" si="58"/>
        <v>1</v>
      </c>
      <c r="AI273">
        <f t="shared" si="59"/>
        <v>0</v>
      </c>
      <c r="AJ273">
        <f t="shared" si="60"/>
        <v>0</v>
      </c>
      <c r="AK273">
        <f t="shared" si="61"/>
        <v>1</v>
      </c>
      <c r="AL273">
        <f t="shared" si="62"/>
        <v>1</v>
      </c>
      <c r="AM273">
        <f t="shared" si="63"/>
        <v>0</v>
      </c>
      <c r="AN273">
        <f t="shared" si="64"/>
        <v>1</v>
      </c>
      <c r="AO273">
        <f>SUM(AN$2:$AN273)</f>
        <v>272</v>
      </c>
    </row>
    <row r="274" spans="1:41" x14ac:dyDescent="0.35">
      <c r="A274" t="s">
        <v>163</v>
      </c>
      <c r="B274" t="s">
        <v>961</v>
      </c>
      <c r="C274">
        <v>9700</v>
      </c>
      <c r="D274" t="s">
        <v>2603</v>
      </c>
      <c r="E274">
        <v>0</v>
      </c>
      <c r="F274">
        <v>2206</v>
      </c>
      <c r="G274">
        <v>4078</v>
      </c>
      <c r="H274">
        <v>2549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 t="s">
        <v>2581</v>
      </c>
      <c r="X274">
        <v>3</v>
      </c>
      <c r="Y274" t="s">
        <v>434</v>
      </c>
      <c r="Z274" t="s">
        <v>1884</v>
      </c>
      <c r="AA274" t="s">
        <v>152</v>
      </c>
      <c r="AB274" t="s">
        <v>149</v>
      </c>
      <c r="AC274" t="s">
        <v>497</v>
      </c>
      <c r="AD274">
        <v>0</v>
      </c>
      <c r="AE274">
        <v>0</v>
      </c>
      <c r="AF274">
        <v>0</v>
      </c>
      <c r="AG274">
        <v>0</v>
      </c>
      <c r="AH274">
        <f t="shared" si="58"/>
        <v>1</v>
      </c>
      <c r="AI274">
        <f t="shared" si="59"/>
        <v>1</v>
      </c>
      <c r="AJ274">
        <f t="shared" si="60"/>
        <v>0</v>
      </c>
      <c r="AK274">
        <f t="shared" si="61"/>
        <v>0</v>
      </c>
      <c r="AL274">
        <f t="shared" si="62"/>
        <v>0</v>
      </c>
      <c r="AM274">
        <f t="shared" si="63"/>
        <v>0</v>
      </c>
      <c r="AN274">
        <f t="shared" si="64"/>
        <v>1</v>
      </c>
      <c r="AO274">
        <f>SUM(AN$2:$AN274)</f>
        <v>273</v>
      </c>
    </row>
    <row r="275" spans="1:41" x14ac:dyDescent="0.35">
      <c r="A275" t="s">
        <v>163</v>
      </c>
      <c r="B275" t="s">
        <v>965</v>
      </c>
      <c r="C275">
        <v>10000</v>
      </c>
      <c r="D275" t="s">
        <v>1885</v>
      </c>
      <c r="E275">
        <v>628</v>
      </c>
      <c r="F275">
        <v>1019</v>
      </c>
      <c r="G275">
        <v>0</v>
      </c>
      <c r="H275">
        <v>0</v>
      </c>
      <c r="I275">
        <v>3153</v>
      </c>
      <c r="J275">
        <v>2803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348</v>
      </c>
      <c r="X275">
        <v>6</v>
      </c>
      <c r="Y275" t="s">
        <v>435</v>
      </c>
      <c r="Z275" t="s">
        <v>1886</v>
      </c>
      <c r="AA275" t="s">
        <v>148</v>
      </c>
      <c r="AB275" t="s">
        <v>149</v>
      </c>
      <c r="AC275" t="s">
        <v>497</v>
      </c>
      <c r="AD275">
        <v>3241</v>
      </c>
      <c r="AE275">
        <v>0</v>
      </c>
      <c r="AF275">
        <v>0</v>
      </c>
      <c r="AG275">
        <v>0</v>
      </c>
      <c r="AH275">
        <f t="shared" si="58"/>
        <v>0</v>
      </c>
      <c r="AI275">
        <f t="shared" si="59"/>
        <v>0</v>
      </c>
      <c r="AJ275">
        <f t="shared" si="60"/>
        <v>1</v>
      </c>
      <c r="AK275">
        <f t="shared" si="61"/>
        <v>1</v>
      </c>
      <c r="AL275">
        <f t="shared" si="62"/>
        <v>0</v>
      </c>
      <c r="AM275">
        <f t="shared" si="63"/>
        <v>0</v>
      </c>
      <c r="AN275">
        <f t="shared" si="64"/>
        <v>1</v>
      </c>
      <c r="AO275">
        <f>SUM(AN$2:$AN275)</f>
        <v>274</v>
      </c>
    </row>
    <row r="276" spans="1:41" x14ac:dyDescent="0.35">
      <c r="A276" t="s">
        <v>163</v>
      </c>
      <c r="B276" t="s">
        <v>979</v>
      </c>
      <c r="C276">
        <v>10000</v>
      </c>
      <c r="D276" t="s">
        <v>980</v>
      </c>
      <c r="E276">
        <v>628</v>
      </c>
      <c r="F276">
        <v>1019</v>
      </c>
      <c r="G276">
        <v>0</v>
      </c>
      <c r="H276">
        <v>0</v>
      </c>
      <c r="I276">
        <v>3153</v>
      </c>
      <c r="J276">
        <v>2803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348</v>
      </c>
      <c r="X276">
        <v>6</v>
      </c>
      <c r="Y276" t="s">
        <v>440</v>
      </c>
      <c r="Z276" t="s">
        <v>1887</v>
      </c>
      <c r="AA276" t="s">
        <v>148</v>
      </c>
      <c r="AB276" t="s">
        <v>149</v>
      </c>
      <c r="AC276" t="s">
        <v>497</v>
      </c>
      <c r="AD276">
        <v>3241</v>
      </c>
      <c r="AE276">
        <v>0</v>
      </c>
      <c r="AF276">
        <v>0</v>
      </c>
      <c r="AG276">
        <v>0</v>
      </c>
      <c r="AH276">
        <f t="shared" si="58"/>
        <v>0</v>
      </c>
      <c r="AI276">
        <f t="shared" si="59"/>
        <v>0</v>
      </c>
      <c r="AJ276">
        <f t="shared" si="60"/>
        <v>1</v>
      </c>
      <c r="AK276">
        <f t="shared" si="61"/>
        <v>1</v>
      </c>
      <c r="AL276">
        <f t="shared" si="62"/>
        <v>0</v>
      </c>
      <c r="AM276">
        <f t="shared" si="63"/>
        <v>0</v>
      </c>
      <c r="AN276">
        <f t="shared" si="64"/>
        <v>1</v>
      </c>
      <c r="AO276">
        <f>SUM(AN$2:$AN276)</f>
        <v>275</v>
      </c>
    </row>
    <row r="277" spans="1:41" x14ac:dyDescent="0.35">
      <c r="A277" t="s">
        <v>163</v>
      </c>
      <c r="B277" t="s">
        <v>966</v>
      </c>
      <c r="C277">
        <v>10000</v>
      </c>
      <c r="D277" t="s">
        <v>1888</v>
      </c>
      <c r="E277">
        <v>628</v>
      </c>
      <c r="F277">
        <v>1019</v>
      </c>
      <c r="G277">
        <v>0</v>
      </c>
      <c r="H277">
        <v>0</v>
      </c>
      <c r="I277">
        <v>0</v>
      </c>
      <c r="J277">
        <v>2803</v>
      </c>
      <c r="K277">
        <v>0</v>
      </c>
      <c r="L277">
        <v>3153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 t="s">
        <v>349</v>
      </c>
      <c r="X277">
        <v>6</v>
      </c>
      <c r="Y277" t="s">
        <v>435</v>
      </c>
      <c r="Z277" t="s">
        <v>1889</v>
      </c>
      <c r="AA277" t="s">
        <v>152</v>
      </c>
      <c r="AB277" t="s">
        <v>148</v>
      </c>
      <c r="AC277" t="s">
        <v>497</v>
      </c>
      <c r="AD277">
        <v>3241</v>
      </c>
      <c r="AE277">
        <v>0</v>
      </c>
      <c r="AF277">
        <v>0</v>
      </c>
      <c r="AG277">
        <v>0</v>
      </c>
      <c r="AH277">
        <f t="shared" si="58"/>
        <v>0</v>
      </c>
      <c r="AI277">
        <f t="shared" si="59"/>
        <v>0</v>
      </c>
      <c r="AJ277">
        <f t="shared" si="60"/>
        <v>0</v>
      </c>
      <c r="AK277">
        <f t="shared" si="61"/>
        <v>1</v>
      </c>
      <c r="AL277">
        <f t="shared" si="62"/>
        <v>0</v>
      </c>
      <c r="AM277">
        <f t="shared" si="63"/>
        <v>1</v>
      </c>
      <c r="AN277">
        <f t="shared" si="64"/>
        <v>1</v>
      </c>
      <c r="AO277">
        <f>SUM(AN$2:$AN277)</f>
        <v>276</v>
      </c>
    </row>
    <row r="278" spans="1:41" s="6" customFormat="1" x14ac:dyDescent="0.35">
      <c r="A278" t="s">
        <v>163</v>
      </c>
      <c r="B278" t="s">
        <v>967</v>
      </c>
      <c r="C278">
        <v>10000</v>
      </c>
      <c r="D278" t="s">
        <v>1890</v>
      </c>
      <c r="E278">
        <v>628</v>
      </c>
      <c r="F278">
        <v>1019</v>
      </c>
      <c r="G278">
        <v>0</v>
      </c>
      <c r="H278">
        <v>0</v>
      </c>
      <c r="I278">
        <v>0</v>
      </c>
      <c r="J278">
        <v>0</v>
      </c>
      <c r="K278">
        <v>2803</v>
      </c>
      <c r="L278">
        <v>3153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 t="s">
        <v>158</v>
      </c>
      <c r="X278">
        <v>6</v>
      </c>
      <c r="Y278" t="s">
        <v>435</v>
      </c>
      <c r="Z278" t="s">
        <v>1891</v>
      </c>
      <c r="AA278" t="s">
        <v>153</v>
      </c>
      <c r="AB278" t="s">
        <v>149</v>
      </c>
      <c r="AC278" t="s">
        <v>497</v>
      </c>
      <c r="AD278">
        <v>3241</v>
      </c>
      <c r="AE278">
        <v>0</v>
      </c>
      <c r="AF278">
        <v>0</v>
      </c>
      <c r="AG278">
        <v>0</v>
      </c>
      <c r="AH278">
        <f t="shared" si="58"/>
        <v>0</v>
      </c>
      <c r="AI278">
        <f t="shared" si="59"/>
        <v>0</v>
      </c>
      <c r="AJ278">
        <f t="shared" si="60"/>
        <v>0</v>
      </c>
      <c r="AK278">
        <f t="shared" si="61"/>
        <v>0</v>
      </c>
      <c r="AL278">
        <f t="shared" si="62"/>
        <v>1</v>
      </c>
      <c r="AM278">
        <f t="shared" si="63"/>
        <v>1</v>
      </c>
      <c r="AN278">
        <f t="shared" si="64"/>
        <v>1</v>
      </c>
      <c r="AO278">
        <f>SUM(AN$2:$AN278)</f>
        <v>277</v>
      </c>
    </row>
    <row r="279" spans="1:41" x14ac:dyDescent="0.35">
      <c r="A279" t="s">
        <v>163</v>
      </c>
      <c r="B279" t="s">
        <v>968</v>
      </c>
      <c r="C279">
        <v>10000</v>
      </c>
      <c r="D279" t="s">
        <v>1892</v>
      </c>
      <c r="E279">
        <v>628</v>
      </c>
      <c r="F279">
        <v>1019</v>
      </c>
      <c r="G279">
        <v>0</v>
      </c>
      <c r="H279">
        <v>0</v>
      </c>
      <c r="I279">
        <v>3153</v>
      </c>
      <c r="J279">
        <v>0</v>
      </c>
      <c r="K279">
        <v>2803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 t="s">
        <v>159</v>
      </c>
      <c r="X279">
        <v>6</v>
      </c>
      <c r="Y279" t="s">
        <v>435</v>
      </c>
      <c r="Z279" t="s">
        <v>1893</v>
      </c>
      <c r="AA279" t="s">
        <v>148</v>
      </c>
      <c r="AB279" t="s">
        <v>152</v>
      </c>
      <c r="AC279" t="s">
        <v>497</v>
      </c>
      <c r="AD279">
        <v>3241</v>
      </c>
      <c r="AE279">
        <v>0</v>
      </c>
      <c r="AF279">
        <v>0</v>
      </c>
      <c r="AG279">
        <v>0</v>
      </c>
      <c r="AH279">
        <f t="shared" si="58"/>
        <v>0</v>
      </c>
      <c r="AI279">
        <f t="shared" si="59"/>
        <v>0</v>
      </c>
      <c r="AJ279">
        <f t="shared" si="60"/>
        <v>1</v>
      </c>
      <c r="AK279">
        <f t="shared" si="61"/>
        <v>0</v>
      </c>
      <c r="AL279">
        <f t="shared" si="62"/>
        <v>1</v>
      </c>
      <c r="AM279">
        <f t="shared" si="63"/>
        <v>0</v>
      </c>
      <c r="AN279">
        <f t="shared" si="64"/>
        <v>1</v>
      </c>
      <c r="AO279">
        <f>SUM(AN$2:$AN279)</f>
        <v>278</v>
      </c>
    </row>
    <row r="280" spans="1:41" x14ac:dyDescent="0.35">
      <c r="A280" t="s">
        <v>163</v>
      </c>
      <c r="B280" t="s">
        <v>1894</v>
      </c>
      <c r="C280">
        <v>10000</v>
      </c>
      <c r="D280" t="s">
        <v>1895</v>
      </c>
      <c r="E280">
        <v>628</v>
      </c>
      <c r="F280">
        <v>1019</v>
      </c>
      <c r="G280">
        <v>0</v>
      </c>
      <c r="H280">
        <v>0</v>
      </c>
      <c r="I280">
        <v>3153</v>
      </c>
      <c r="J280">
        <v>0</v>
      </c>
      <c r="K280">
        <v>2803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 t="s">
        <v>159</v>
      </c>
      <c r="X280">
        <v>6</v>
      </c>
      <c r="Y280" t="s">
        <v>434</v>
      </c>
      <c r="Z280" t="s">
        <v>1896</v>
      </c>
      <c r="AA280" t="s">
        <v>148</v>
      </c>
      <c r="AB280" t="s">
        <v>152</v>
      </c>
      <c r="AC280" t="s">
        <v>497</v>
      </c>
      <c r="AD280">
        <v>3241</v>
      </c>
      <c r="AE280">
        <v>0</v>
      </c>
      <c r="AF280">
        <v>0</v>
      </c>
      <c r="AG280">
        <v>0</v>
      </c>
      <c r="AH280">
        <f t="shared" si="58"/>
        <v>0</v>
      </c>
      <c r="AI280">
        <f t="shared" si="59"/>
        <v>0</v>
      </c>
      <c r="AJ280">
        <f t="shared" si="60"/>
        <v>1</v>
      </c>
      <c r="AK280">
        <f t="shared" si="61"/>
        <v>0</v>
      </c>
      <c r="AL280">
        <f t="shared" si="62"/>
        <v>1</v>
      </c>
      <c r="AM280">
        <f t="shared" si="63"/>
        <v>0</v>
      </c>
      <c r="AN280">
        <f t="shared" si="64"/>
        <v>1</v>
      </c>
      <c r="AO280">
        <f>SUM(AN$2:$AN280)</f>
        <v>279</v>
      </c>
    </row>
    <row r="281" spans="1:41" x14ac:dyDescent="0.35">
      <c r="A281" t="s">
        <v>163</v>
      </c>
      <c r="B281" t="s">
        <v>969</v>
      </c>
      <c r="C281">
        <v>10000</v>
      </c>
      <c r="D281" t="s">
        <v>1897</v>
      </c>
      <c r="E281">
        <v>628</v>
      </c>
      <c r="F281">
        <v>1019</v>
      </c>
      <c r="G281">
        <v>3153</v>
      </c>
      <c r="H281">
        <v>0</v>
      </c>
      <c r="I281">
        <v>0</v>
      </c>
      <c r="J281">
        <v>2803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 t="s">
        <v>350</v>
      </c>
      <c r="X281">
        <v>6</v>
      </c>
      <c r="Y281" t="s">
        <v>435</v>
      </c>
      <c r="Z281" t="s">
        <v>1898</v>
      </c>
      <c r="AA281" t="s">
        <v>149</v>
      </c>
      <c r="AB281" t="s">
        <v>152</v>
      </c>
      <c r="AC281" t="s">
        <v>497</v>
      </c>
      <c r="AD281">
        <v>3241</v>
      </c>
      <c r="AE281">
        <v>0</v>
      </c>
      <c r="AF281">
        <v>0</v>
      </c>
      <c r="AG281">
        <v>0</v>
      </c>
      <c r="AH281">
        <f t="shared" si="58"/>
        <v>1</v>
      </c>
      <c r="AI281">
        <f t="shared" si="59"/>
        <v>0</v>
      </c>
      <c r="AJ281">
        <f t="shared" si="60"/>
        <v>0</v>
      </c>
      <c r="AK281">
        <f t="shared" si="61"/>
        <v>1</v>
      </c>
      <c r="AL281">
        <f t="shared" si="62"/>
        <v>0</v>
      </c>
      <c r="AM281">
        <f t="shared" si="63"/>
        <v>0</v>
      </c>
      <c r="AN281">
        <f t="shared" si="64"/>
        <v>1</v>
      </c>
      <c r="AO281">
        <f>SUM(AN$2:$AN281)</f>
        <v>280</v>
      </c>
    </row>
    <row r="282" spans="1:41" x14ac:dyDescent="0.35">
      <c r="A282" t="s">
        <v>163</v>
      </c>
      <c r="B282" t="s">
        <v>970</v>
      </c>
      <c r="C282">
        <v>10000</v>
      </c>
      <c r="D282" t="s">
        <v>1899</v>
      </c>
      <c r="E282">
        <v>628</v>
      </c>
      <c r="F282">
        <v>1019</v>
      </c>
      <c r="G282">
        <v>3153</v>
      </c>
      <c r="H282">
        <v>0</v>
      </c>
      <c r="I282">
        <v>0</v>
      </c>
      <c r="J282">
        <v>2803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 t="s">
        <v>350</v>
      </c>
      <c r="X282">
        <v>6</v>
      </c>
      <c r="Y282" t="s">
        <v>435</v>
      </c>
      <c r="Z282" t="s">
        <v>1900</v>
      </c>
      <c r="AA282" t="s">
        <v>149</v>
      </c>
      <c r="AB282" t="s">
        <v>152</v>
      </c>
      <c r="AC282" t="s">
        <v>497</v>
      </c>
      <c r="AD282">
        <v>3241</v>
      </c>
      <c r="AE282">
        <v>0</v>
      </c>
      <c r="AF282">
        <v>0</v>
      </c>
      <c r="AG282">
        <v>0</v>
      </c>
      <c r="AH282">
        <f t="shared" si="58"/>
        <v>1</v>
      </c>
      <c r="AI282">
        <f t="shared" si="59"/>
        <v>0</v>
      </c>
      <c r="AJ282">
        <f t="shared" si="60"/>
        <v>0</v>
      </c>
      <c r="AK282">
        <f t="shared" si="61"/>
        <v>1</v>
      </c>
      <c r="AL282">
        <f t="shared" si="62"/>
        <v>0</v>
      </c>
      <c r="AM282">
        <f t="shared" si="63"/>
        <v>0</v>
      </c>
      <c r="AN282">
        <f t="shared" si="64"/>
        <v>1</v>
      </c>
      <c r="AO282">
        <f>SUM(AN$2:$AN282)</f>
        <v>281</v>
      </c>
    </row>
    <row r="283" spans="1:41" x14ac:dyDescent="0.35">
      <c r="A283" t="s">
        <v>163</v>
      </c>
      <c r="B283" t="s">
        <v>971</v>
      </c>
      <c r="C283">
        <v>10000</v>
      </c>
      <c r="D283" t="s">
        <v>1901</v>
      </c>
      <c r="E283">
        <v>628</v>
      </c>
      <c r="F283">
        <v>1019</v>
      </c>
      <c r="G283">
        <v>3153</v>
      </c>
      <c r="H283">
        <v>0</v>
      </c>
      <c r="I283">
        <v>0</v>
      </c>
      <c r="J283">
        <v>0</v>
      </c>
      <c r="K283">
        <v>2803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 t="s">
        <v>157</v>
      </c>
      <c r="X283">
        <v>6</v>
      </c>
      <c r="Y283" t="s">
        <v>435</v>
      </c>
      <c r="Z283" t="s">
        <v>1902</v>
      </c>
      <c r="AA283" t="s">
        <v>152</v>
      </c>
      <c r="AB283" t="s">
        <v>153</v>
      </c>
      <c r="AC283" t="s">
        <v>497</v>
      </c>
      <c r="AD283">
        <v>3241</v>
      </c>
      <c r="AE283">
        <v>0</v>
      </c>
      <c r="AF283">
        <v>0</v>
      </c>
      <c r="AG283">
        <v>0</v>
      </c>
      <c r="AH283">
        <f t="shared" si="58"/>
        <v>1</v>
      </c>
      <c r="AI283">
        <f t="shared" si="59"/>
        <v>0</v>
      </c>
      <c r="AJ283">
        <f t="shared" si="60"/>
        <v>0</v>
      </c>
      <c r="AK283">
        <f t="shared" si="61"/>
        <v>0</v>
      </c>
      <c r="AL283">
        <f t="shared" si="62"/>
        <v>1</v>
      </c>
      <c r="AM283">
        <f t="shared" si="63"/>
        <v>0</v>
      </c>
      <c r="AN283">
        <f t="shared" si="64"/>
        <v>1</v>
      </c>
      <c r="AO283">
        <f>SUM(AN$2:$AN283)</f>
        <v>282</v>
      </c>
    </row>
    <row r="284" spans="1:41" x14ac:dyDescent="0.35">
      <c r="A284" t="s">
        <v>163</v>
      </c>
      <c r="B284" t="s">
        <v>981</v>
      </c>
      <c r="C284">
        <v>10000</v>
      </c>
      <c r="D284" t="s">
        <v>982</v>
      </c>
      <c r="E284">
        <v>628</v>
      </c>
      <c r="F284">
        <v>1019</v>
      </c>
      <c r="G284">
        <v>3153</v>
      </c>
      <c r="H284">
        <v>0</v>
      </c>
      <c r="I284">
        <v>0</v>
      </c>
      <c r="J284">
        <v>0</v>
      </c>
      <c r="K284">
        <v>2803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 t="s">
        <v>157</v>
      </c>
      <c r="X284">
        <v>6</v>
      </c>
      <c r="Y284" t="s">
        <v>443</v>
      </c>
      <c r="Z284" t="s">
        <v>1903</v>
      </c>
      <c r="AA284" t="s">
        <v>152</v>
      </c>
      <c r="AB284" t="s">
        <v>153</v>
      </c>
      <c r="AC284" t="s">
        <v>497</v>
      </c>
      <c r="AD284">
        <v>3241</v>
      </c>
      <c r="AE284">
        <v>0</v>
      </c>
      <c r="AF284">
        <v>0</v>
      </c>
      <c r="AG284">
        <v>0</v>
      </c>
      <c r="AH284">
        <f t="shared" si="58"/>
        <v>1</v>
      </c>
      <c r="AI284">
        <f t="shared" si="59"/>
        <v>0</v>
      </c>
      <c r="AJ284">
        <f t="shared" si="60"/>
        <v>0</v>
      </c>
      <c r="AK284">
        <f t="shared" si="61"/>
        <v>0</v>
      </c>
      <c r="AL284">
        <f t="shared" si="62"/>
        <v>1</v>
      </c>
      <c r="AM284">
        <f t="shared" si="63"/>
        <v>0</v>
      </c>
      <c r="AN284">
        <f t="shared" si="64"/>
        <v>1</v>
      </c>
      <c r="AO284">
        <f>SUM(AN$2:$AN284)</f>
        <v>283</v>
      </c>
    </row>
    <row r="285" spans="1:41" x14ac:dyDescent="0.35">
      <c r="A285" t="s">
        <v>163</v>
      </c>
      <c r="B285" t="s">
        <v>1354</v>
      </c>
      <c r="C285">
        <v>10000</v>
      </c>
      <c r="D285" t="s">
        <v>1355</v>
      </c>
      <c r="E285">
        <v>628</v>
      </c>
      <c r="F285">
        <v>1019</v>
      </c>
      <c r="G285">
        <v>3153</v>
      </c>
      <c r="H285">
        <v>0</v>
      </c>
      <c r="I285">
        <v>0</v>
      </c>
      <c r="J285">
        <v>0</v>
      </c>
      <c r="K285">
        <v>2803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 t="s">
        <v>157</v>
      </c>
      <c r="X285">
        <v>6</v>
      </c>
      <c r="Y285" t="s">
        <v>439</v>
      </c>
      <c r="Z285" t="s">
        <v>1904</v>
      </c>
      <c r="AA285" t="s">
        <v>152</v>
      </c>
      <c r="AB285" t="s">
        <v>153</v>
      </c>
      <c r="AC285" t="s">
        <v>497</v>
      </c>
      <c r="AD285">
        <v>3241</v>
      </c>
      <c r="AE285">
        <v>0</v>
      </c>
      <c r="AF285">
        <v>0</v>
      </c>
      <c r="AG285">
        <v>0</v>
      </c>
      <c r="AH285">
        <f t="shared" si="58"/>
        <v>1</v>
      </c>
      <c r="AI285">
        <f t="shared" si="59"/>
        <v>0</v>
      </c>
      <c r="AJ285">
        <f t="shared" si="60"/>
        <v>0</v>
      </c>
      <c r="AK285">
        <f t="shared" si="61"/>
        <v>0</v>
      </c>
      <c r="AL285">
        <f t="shared" si="62"/>
        <v>1</v>
      </c>
      <c r="AM285">
        <f t="shared" si="63"/>
        <v>0</v>
      </c>
      <c r="AN285">
        <f t="shared" si="64"/>
        <v>1</v>
      </c>
      <c r="AO285">
        <f>SUM(AN$2:$AN285)</f>
        <v>284</v>
      </c>
    </row>
    <row r="286" spans="1:41" x14ac:dyDescent="0.35">
      <c r="A286" t="s">
        <v>163</v>
      </c>
      <c r="B286" t="s">
        <v>961</v>
      </c>
      <c r="C286">
        <v>10000</v>
      </c>
      <c r="D286" t="s">
        <v>983</v>
      </c>
      <c r="E286">
        <v>0</v>
      </c>
      <c r="F286">
        <v>2666</v>
      </c>
      <c r="G286">
        <v>0</v>
      </c>
      <c r="H286">
        <v>0</v>
      </c>
      <c r="I286">
        <v>0</v>
      </c>
      <c r="J286">
        <v>0</v>
      </c>
      <c r="K286">
        <v>6044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 t="s">
        <v>327</v>
      </c>
      <c r="X286">
        <v>3</v>
      </c>
      <c r="Y286" t="s">
        <v>434</v>
      </c>
      <c r="Z286" t="s">
        <v>1905</v>
      </c>
      <c r="AA286" t="s">
        <v>152</v>
      </c>
      <c r="AB286" t="s">
        <v>153</v>
      </c>
      <c r="AC286" t="s">
        <v>497</v>
      </c>
      <c r="AD286">
        <v>0</v>
      </c>
      <c r="AE286">
        <v>0</v>
      </c>
      <c r="AF286">
        <v>0</v>
      </c>
      <c r="AG286">
        <v>0</v>
      </c>
      <c r="AH286">
        <f t="shared" si="58"/>
        <v>0</v>
      </c>
      <c r="AI286">
        <f t="shared" si="59"/>
        <v>0</v>
      </c>
      <c r="AJ286">
        <f t="shared" si="60"/>
        <v>0</v>
      </c>
      <c r="AK286">
        <f t="shared" si="61"/>
        <v>0</v>
      </c>
      <c r="AL286">
        <f t="shared" si="62"/>
        <v>1</v>
      </c>
      <c r="AM286">
        <f t="shared" si="63"/>
        <v>0</v>
      </c>
      <c r="AN286">
        <f t="shared" si="64"/>
        <v>1</v>
      </c>
      <c r="AO286">
        <f>SUM(AN$2:$AN286)</f>
        <v>285</v>
      </c>
    </row>
    <row r="287" spans="1:41" x14ac:dyDescent="0.35">
      <c r="A287" t="s">
        <v>163</v>
      </c>
      <c r="B287" t="s">
        <v>961</v>
      </c>
      <c r="C287">
        <v>10000</v>
      </c>
      <c r="D287" t="s">
        <v>984</v>
      </c>
      <c r="E287">
        <v>0</v>
      </c>
      <c r="F287">
        <v>2510</v>
      </c>
      <c r="G287">
        <v>2277</v>
      </c>
      <c r="H287">
        <v>0</v>
      </c>
      <c r="I287">
        <v>2277</v>
      </c>
      <c r="J287">
        <v>1927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0</v>
      </c>
      <c r="W287" t="s">
        <v>419</v>
      </c>
      <c r="X287">
        <v>3</v>
      </c>
      <c r="Y287" t="s">
        <v>434</v>
      </c>
      <c r="Z287" t="s">
        <v>1906</v>
      </c>
      <c r="AA287" t="s">
        <v>151</v>
      </c>
      <c r="AB287" t="s">
        <v>152</v>
      </c>
      <c r="AC287" t="s">
        <v>497</v>
      </c>
      <c r="AD287">
        <v>0</v>
      </c>
      <c r="AE287">
        <v>0</v>
      </c>
      <c r="AF287">
        <v>0</v>
      </c>
      <c r="AG287">
        <v>0</v>
      </c>
      <c r="AH287">
        <f t="shared" si="58"/>
        <v>1</v>
      </c>
      <c r="AI287">
        <f t="shared" si="59"/>
        <v>0</v>
      </c>
      <c r="AJ287">
        <f t="shared" si="60"/>
        <v>1</v>
      </c>
      <c r="AK287">
        <f t="shared" si="61"/>
        <v>1</v>
      </c>
      <c r="AL287">
        <f t="shared" si="62"/>
        <v>0</v>
      </c>
      <c r="AM287">
        <f t="shared" si="63"/>
        <v>0</v>
      </c>
      <c r="AN287">
        <f t="shared" si="64"/>
        <v>1</v>
      </c>
      <c r="AO287">
        <f>SUM(AN$2:$AN287)</f>
        <v>286</v>
      </c>
    </row>
    <row r="288" spans="1:41" x14ac:dyDescent="0.35">
      <c r="A288" t="s">
        <v>163</v>
      </c>
      <c r="B288" t="s">
        <v>961</v>
      </c>
      <c r="C288">
        <v>10000</v>
      </c>
      <c r="D288" t="s">
        <v>985</v>
      </c>
      <c r="E288">
        <v>0</v>
      </c>
      <c r="F288">
        <v>2274</v>
      </c>
      <c r="G288">
        <v>3504</v>
      </c>
      <c r="H288">
        <v>0</v>
      </c>
      <c r="I288">
        <v>0</v>
      </c>
      <c r="J288">
        <v>0</v>
      </c>
      <c r="K288">
        <v>3504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  <c r="V288">
        <v>0</v>
      </c>
      <c r="W288" t="s">
        <v>328</v>
      </c>
      <c r="X288">
        <v>3</v>
      </c>
      <c r="Y288" t="s">
        <v>434</v>
      </c>
      <c r="Z288" t="s">
        <v>1907</v>
      </c>
      <c r="AA288" t="s">
        <v>151</v>
      </c>
      <c r="AB288" t="s">
        <v>153</v>
      </c>
      <c r="AC288" t="s">
        <v>497</v>
      </c>
      <c r="AD288">
        <v>0</v>
      </c>
      <c r="AE288">
        <v>0</v>
      </c>
      <c r="AF288">
        <v>0</v>
      </c>
      <c r="AG288">
        <v>0</v>
      </c>
      <c r="AH288">
        <f t="shared" si="58"/>
        <v>1</v>
      </c>
      <c r="AI288">
        <f t="shared" si="59"/>
        <v>0</v>
      </c>
      <c r="AJ288">
        <f t="shared" si="60"/>
        <v>0</v>
      </c>
      <c r="AK288">
        <f t="shared" si="61"/>
        <v>0</v>
      </c>
      <c r="AL288">
        <f t="shared" si="62"/>
        <v>1</v>
      </c>
      <c r="AM288">
        <f t="shared" si="63"/>
        <v>0</v>
      </c>
      <c r="AN288">
        <f t="shared" si="64"/>
        <v>1</v>
      </c>
      <c r="AO288">
        <f>SUM(AN$2:$AN288)</f>
        <v>287</v>
      </c>
    </row>
    <row r="289" spans="1:41" x14ac:dyDescent="0.35">
      <c r="A289" t="s">
        <v>163</v>
      </c>
      <c r="B289" t="s">
        <v>955</v>
      </c>
      <c r="C289">
        <v>10100</v>
      </c>
      <c r="D289" t="s">
        <v>1908</v>
      </c>
      <c r="E289">
        <v>635</v>
      </c>
      <c r="F289">
        <v>1030</v>
      </c>
      <c r="G289">
        <v>0</v>
      </c>
      <c r="H289">
        <v>0</v>
      </c>
      <c r="I289">
        <v>3185</v>
      </c>
      <c r="J289">
        <v>0</v>
      </c>
      <c r="K289">
        <v>2831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 t="s">
        <v>159</v>
      </c>
      <c r="X289">
        <v>6</v>
      </c>
      <c r="Y289" t="s">
        <v>438</v>
      </c>
      <c r="Z289" t="s">
        <v>1909</v>
      </c>
      <c r="AA289" t="s">
        <v>148</v>
      </c>
      <c r="AB289" t="s">
        <v>152</v>
      </c>
      <c r="AC289" t="s">
        <v>497</v>
      </c>
      <c r="AD289">
        <v>3273</v>
      </c>
      <c r="AE289">
        <v>0</v>
      </c>
      <c r="AF289">
        <v>0</v>
      </c>
      <c r="AG289">
        <v>0</v>
      </c>
      <c r="AH289">
        <f t="shared" si="58"/>
        <v>0</v>
      </c>
      <c r="AI289">
        <f t="shared" si="59"/>
        <v>0</v>
      </c>
      <c r="AJ289">
        <f t="shared" si="60"/>
        <v>1</v>
      </c>
      <c r="AK289">
        <f t="shared" si="61"/>
        <v>0</v>
      </c>
      <c r="AL289">
        <f t="shared" si="62"/>
        <v>1</v>
      </c>
      <c r="AM289">
        <f t="shared" si="63"/>
        <v>0</v>
      </c>
      <c r="AN289">
        <f t="shared" si="64"/>
        <v>1</v>
      </c>
      <c r="AO289">
        <f>SUM(AN$2:$AN289)</f>
        <v>288</v>
      </c>
    </row>
    <row r="290" spans="1:41" x14ac:dyDescent="0.35">
      <c r="A290" t="s">
        <v>163</v>
      </c>
      <c r="B290" t="s">
        <v>986</v>
      </c>
      <c r="C290">
        <v>10150</v>
      </c>
      <c r="D290" t="s">
        <v>987</v>
      </c>
      <c r="E290">
        <v>638</v>
      </c>
      <c r="F290">
        <v>1035</v>
      </c>
      <c r="G290">
        <v>0</v>
      </c>
      <c r="H290">
        <v>0</v>
      </c>
      <c r="I290">
        <v>0</v>
      </c>
      <c r="J290">
        <v>2845</v>
      </c>
      <c r="K290">
        <v>0</v>
      </c>
      <c r="L290">
        <v>3201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 t="s">
        <v>349</v>
      </c>
      <c r="X290">
        <v>6</v>
      </c>
      <c r="Y290" t="s">
        <v>435</v>
      </c>
      <c r="Z290" t="s">
        <v>1910</v>
      </c>
      <c r="AA290" t="s">
        <v>152</v>
      </c>
      <c r="AB290" t="s">
        <v>148</v>
      </c>
      <c r="AC290" t="s">
        <v>497</v>
      </c>
      <c r="AD290">
        <v>3289</v>
      </c>
      <c r="AE290">
        <v>0</v>
      </c>
      <c r="AF290">
        <v>0</v>
      </c>
      <c r="AG290">
        <v>0</v>
      </c>
      <c r="AH290">
        <f t="shared" si="58"/>
        <v>0</v>
      </c>
      <c r="AI290">
        <f t="shared" si="59"/>
        <v>0</v>
      </c>
      <c r="AJ290">
        <f t="shared" si="60"/>
        <v>0</v>
      </c>
      <c r="AK290">
        <f t="shared" si="61"/>
        <v>1</v>
      </c>
      <c r="AL290">
        <f t="shared" si="62"/>
        <v>0</v>
      </c>
      <c r="AM290">
        <f t="shared" si="63"/>
        <v>1</v>
      </c>
      <c r="AN290">
        <f t="shared" si="64"/>
        <v>1</v>
      </c>
      <c r="AO290">
        <f>SUM(AN$2:$AN290)</f>
        <v>289</v>
      </c>
    </row>
    <row r="291" spans="1:41" x14ac:dyDescent="0.35">
      <c r="A291" t="s">
        <v>163</v>
      </c>
      <c r="B291" t="s">
        <v>988</v>
      </c>
      <c r="C291">
        <v>10150</v>
      </c>
      <c r="D291" t="s">
        <v>989</v>
      </c>
      <c r="E291">
        <v>638</v>
      </c>
      <c r="F291">
        <v>1035</v>
      </c>
      <c r="G291">
        <v>3201</v>
      </c>
      <c r="H291">
        <v>0</v>
      </c>
      <c r="I291">
        <v>0</v>
      </c>
      <c r="J291">
        <v>2845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 t="s">
        <v>350</v>
      </c>
      <c r="X291">
        <v>6</v>
      </c>
      <c r="Y291" t="s">
        <v>441</v>
      </c>
      <c r="Z291" t="s">
        <v>1911</v>
      </c>
      <c r="AA291" t="s">
        <v>149</v>
      </c>
      <c r="AB291" t="s">
        <v>152</v>
      </c>
      <c r="AC291" t="s">
        <v>497</v>
      </c>
      <c r="AD291">
        <v>3289</v>
      </c>
      <c r="AE291">
        <v>0</v>
      </c>
      <c r="AF291">
        <v>0</v>
      </c>
      <c r="AG291">
        <v>0</v>
      </c>
      <c r="AH291">
        <f t="shared" si="58"/>
        <v>1</v>
      </c>
      <c r="AI291">
        <f t="shared" si="59"/>
        <v>0</v>
      </c>
      <c r="AJ291">
        <f t="shared" si="60"/>
        <v>0</v>
      </c>
      <c r="AK291">
        <f t="shared" si="61"/>
        <v>1</v>
      </c>
      <c r="AL291">
        <f t="shared" si="62"/>
        <v>0</v>
      </c>
      <c r="AM291">
        <f t="shared" si="63"/>
        <v>0</v>
      </c>
      <c r="AN291">
        <f t="shared" si="64"/>
        <v>1</v>
      </c>
      <c r="AO291">
        <f>SUM(AN$2:$AN291)</f>
        <v>290</v>
      </c>
    </row>
    <row r="292" spans="1:41" x14ac:dyDescent="0.35">
      <c r="A292" t="s">
        <v>163</v>
      </c>
      <c r="B292" t="s">
        <v>990</v>
      </c>
      <c r="C292">
        <v>10150</v>
      </c>
      <c r="D292" t="s">
        <v>991</v>
      </c>
      <c r="E292">
        <v>638</v>
      </c>
      <c r="F292">
        <v>1035</v>
      </c>
      <c r="G292">
        <v>3201</v>
      </c>
      <c r="H292">
        <v>0</v>
      </c>
      <c r="I292">
        <v>0</v>
      </c>
      <c r="J292">
        <v>0</v>
      </c>
      <c r="K292">
        <v>2845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0</v>
      </c>
      <c r="W292" t="s">
        <v>157</v>
      </c>
      <c r="X292">
        <v>6</v>
      </c>
      <c r="Y292" t="s">
        <v>435</v>
      </c>
      <c r="Z292" t="s">
        <v>1912</v>
      </c>
      <c r="AA292" t="s">
        <v>152</v>
      </c>
      <c r="AB292" t="s">
        <v>153</v>
      </c>
      <c r="AC292" t="s">
        <v>497</v>
      </c>
      <c r="AD292">
        <v>3289</v>
      </c>
      <c r="AE292">
        <v>0</v>
      </c>
      <c r="AF292">
        <v>0</v>
      </c>
      <c r="AG292">
        <v>0</v>
      </c>
      <c r="AH292">
        <f t="shared" si="58"/>
        <v>1</v>
      </c>
      <c r="AI292">
        <f t="shared" si="59"/>
        <v>0</v>
      </c>
      <c r="AJ292">
        <f t="shared" si="60"/>
        <v>0</v>
      </c>
      <c r="AK292">
        <f t="shared" si="61"/>
        <v>0</v>
      </c>
      <c r="AL292">
        <f t="shared" si="62"/>
        <v>1</v>
      </c>
      <c r="AM292">
        <f t="shared" si="63"/>
        <v>0</v>
      </c>
      <c r="AN292">
        <f t="shared" si="64"/>
        <v>1</v>
      </c>
      <c r="AO292">
        <f>SUM(AN$2:$AN292)</f>
        <v>291</v>
      </c>
    </row>
    <row r="293" spans="1:41" x14ac:dyDescent="0.35">
      <c r="A293" t="s">
        <v>163</v>
      </c>
      <c r="B293" t="s">
        <v>961</v>
      </c>
      <c r="C293">
        <v>10300</v>
      </c>
      <c r="D293" t="s">
        <v>992</v>
      </c>
      <c r="E293">
        <v>0</v>
      </c>
      <c r="F293">
        <v>2342</v>
      </c>
      <c r="G293">
        <v>3609</v>
      </c>
      <c r="H293">
        <v>0</v>
      </c>
      <c r="I293">
        <v>0</v>
      </c>
      <c r="J293">
        <v>3609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0</v>
      </c>
      <c r="W293" t="s">
        <v>418</v>
      </c>
      <c r="X293">
        <v>3</v>
      </c>
      <c r="Y293" t="s">
        <v>434</v>
      </c>
      <c r="Z293" t="s">
        <v>1913</v>
      </c>
      <c r="AA293" t="s">
        <v>151</v>
      </c>
      <c r="AB293" t="s">
        <v>358</v>
      </c>
      <c r="AC293" t="s">
        <v>497</v>
      </c>
      <c r="AD293">
        <v>0</v>
      </c>
      <c r="AE293">
        <v>0</v>
      </c>
      <c r="AF293">
        <v>0</v>
      </c>
      <c r="AG293">
        <v>0</v>
      </c>
      <c r="AH293">
        <f t="shared" si="58"/>
        <v>1</v>
      </c>
      <c r="AI293">
        <f t="shared" si="59"/>
        <v>0</v>
      </c>
      <c r="AJ293">
        <f t="shared" si="60"/>
        <v>0</v>
      </c>
      <c r="AK293">
        <f t="shared" si="61"/>
        <v>1</v>
      </c>
      <c r="AL293">
        <f t="shared" si="62"/>
        <v>0</v>
      </c>
      <c r="AM293">
        <f t="shared" si="63"/>
        <v>0</v>
      </c>
      <c r="AN293">
        <f t="shared" si="64"/>
        <v>1</v>
      </c>
      <c r="AO293">
        <f>SUM(AN$2:$AN293)</f>
        <v>292</v>
      </c>
    </row>
    <row r="294" spans="1:41" x14ac:dyDescent="0.35">
      <c r="A294" t="s">
        <v>163</v>
      </c>
      <c r="B294" t="s">
        <v>961</v>
      </c>
      <c r="C294">
        <v>10300</v>
      </c>
      <c r="D294" t="s">
        <v>993</v>
      </c>
      <c r="E294">
        <v>0</v>
      </c>
      <c r="F294">
        <v>2342</v>
      </c>
      <c r="G294">
        <v>2887</v>
      </c>
      <c r="H294">
        <v>0</v>
      </c>
      <c r="I294">
        <v>2526</v>
      </c>
      <c r="J294">
        <v>0</v>
      </c>
      <c r="K294">
        <v>1804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 t="s">
        <v>422</v>
      </c>
      <c r="X294">
        <v>3</v>
      </c>
      <c r="Y294" t="s">
        <v>434</v>
      </c>
      <c r="Z294" t="s">
        <v>1914</v>
      </c>
      <c r="AA294" t="s">
        <v>151</v>
      </c>
      <c r="AB294" t="s">
        <v>149</v>
      </c>
      <c r="AC294" t="s">
        <v>497</v>
      </c>
      <c r="AD294">
        <v>0</v>
      </c>
      <c r="AE294">
        <v>0</v>
      </c>
      <c r="AF294">
        <v>0</v>
      </c>
      <c r="AG294">
        <v>0</v>
      </c>
      <c r="AH294">
        <f t="shared" si="58"/>
        <v>1</v>
      </c>
      <c r="AI294">
        <f t="shared" si="59"/>
        <v>0</v>
      </c>
      <c r="AJ294">
        <f t="shared" si="60"/>
        <v>1</v>
      </c>
      <c r="AK294">
        <f t="shared" si="61"/>
        <v>0</v>
      </c>
      <c r="AL294">
        <f t="shared" si="62"/>
        <v>1</v>
      </c>
      <c r="AM294">
        <f t="shared" si="63"/>
        <v>0</v>
      </c>
      <c r="AN294">
        <f t="shared" si="64"/>
        <v>1</v>
      </c>
      <c r="AO294">
        <f>SUM(AN$2:$AN294)</f>
        <v>293</v>
      </c>
    </row>
    <row r="295" spans="1:41" x14ac:dyDescent="0.35">
      <c r="A295" t="s">
        <v>163</v>
      </c>
      <c r="B295" t="s">
        <v>961</v>
      </c>
      <c r="C295">
        <v>10300</v>
      </c>
      <c r="D295" t="s">
        <v>994</v>
      </c>
      <c r="E295">
        <v>0</v>
      </c>
      <c r="F295">
        <v>2746</v>
      </c>
      <c r="G295">
        <v>6225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0</v>
      </c>
      <c r="W295" t="s">
        <v>331</v>
      </c>
      <c r="X295">
        <v>3</v>
      </c>
      <c r="Y295" t="s">
        <v>434</v>
      </c>
      <c r="Z295" t="s">
        <v>1915</v>
      </c>
      <c r="AA295" t="s">
        <v>151</v>
      </c>
      <c r="AB295" t="s">
        <v>150</v>
      </c>
      <c r="AC295" t="s">
        <v>497</v>
      </c>
      <c r="AD295">
        <v>0</v>
      </c>
      <c r="AE295">
        <v>0</v>
      </c>
      <c r="AF295">
        <v>0</v>
      </c>
      <c r="AG295">
        <v>0</v>
      </c>
      <c r="AH295">
        <f t="shared" si="58"/>
        <v>1</v>
      </c>
      <c r="AI295">
        <f t="shared" si="59"/>
        <v>0</v>
      </c>
      <c r="AJ295">
        <f t="shared" si="60"/>
        <v>0</v>
      </c>
      <c r="AK295">
        <f t="shared" si="61"/>
        <v>0</v>
      </c>
      <c r="AL295">
        <f t="shared" si="62"/>
        <v>0</v>
      </c>
      <c r="AM295">
        <f t="shared" si="63"/>
        <v>0</v>
      </c>
      <c r="AN295">
        <f t="shared" si="64"/>
        <v>1</v>
      </c>
      <c r="AO295">
        <f>SUM(AN$2:$AN295)</f>
        <v>294</v>
      </c>
    </row>
    <row r="296" spans="1:41" customFormat="1" x14ac:dyDescent="0.35">
      <c r="A296" t="s">
        <v>163</v>
      </c>
      <c r="B296" t="s">
        <v>2458</v>
      </c>
      <c r="C296">
        <v>10400</v>
      </c>
      <c r="D296" t="s">
        <v>2459</v>
      </c>
      <c r="E296">
        <v>654</v>
      </c>
      <c r="F296">
        <v>1060</v>
      </c>
      <c r="G296">
        <v>0</v>
      </c>
      <c r="H296">
        <v>0</v>
      </c>
      <c r="I296">
        <v>3279</v>
      </c>
      <c r="J296">
        <v>2915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348</v>
      </c>
      <c r="X296">
        <v>6</v>
      </c>
      <c r="Y296" t="s">
        <v>1336</v>
      </c>
      <c r="Z296" t="s">
        <v>1916</v>
      </c>
      <c r="AA296" t="s">
        <v>148</v>
      </c>
      <c r="AB296" t="s">
        <v>149</v>
      </c>
      <c r="AC296" t="s">
        <v>497</v>
      </c>
      <c r="AD296">
        <v>3370</v>
      </c>
      <c r="AE296">
        <v>0</v>
      </c>
      <c r="AF296">
        <v>0</v>
      </c>
      <c r="AG296">
        <v>0</v>
      </c>
      <c r="AH296">
        <f t="shared" si="58"/>
        <v>0</v>
      </c>
      <c r="AI296">
        <f t="shared" si="59"/>
        <v>0</v>
      </c>
      <c r="AJ296">
        <f t="shared" si="60"/>
        <v>1</v>
      </c>
      <c r="AK296">
        <f t="shared" si="61"/>
        <v>1</v>
      </c>
      <c r="AL296">
        <f t="shared" si="62"/>
        <v>0</v>
      </c>
      <c r="AM296">
        <f t="shared" si="63"/>
        <v>0</v>
      </c>
      <c r="AN296">
        <f t="shared" si="64"/>
        <v>1</v>
      </c>
      <c r="AO296">
        <f>SUM(AN$2:$AN296)</f>
        <v>295</v>
      </c>
    </row>
    <row r="297" spans="1:41" customFormat="1" x14ac:dyDescent="0.35">
      <c r="A297" t="s">
        <v>163</v>
      </c>
      <c r="B297" t="s">
        <v>961</v>
      </c>
      <c r="C297">
        <v>10600</v>
      </c>
      <c r="D297" t="s">
        <v>995</v>
      </c>
      <c r="E297">
        <v>0</v>
      </c>
      <c r="F297">
        <v>2826</v>
      </c>
      <c r="G297">
        <v>0</v>
      </c>
      <c r="H297">
        <v>0</v>
      </c>
      <c r="I297">
        <v>6406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t="s">
        <v>329</v>
      </c>
      <c r="X297">
        <v>3</v>
      </c>
      <c r="Y297" t="s">
        <v>434</v>
      </c>
      <c r="Z297" t="s">
        <v>1917</v>
      </c>
      <c r="AA297" t="s">
        <v>358</v>
      </c>
      <c r="AB297" t="s">
        <v>149</v>
      </c>
      <c r="AC297" t="s">
        <v>497</v>
      </c>
      <c r="AD297">
        <v>0</v>
      </c>
      <c r="AE297">
        <v>0</v>
      </c>
      <c r="AF297">
        <v>0</v>
      </c>
      <c r="AG297">
        <v>0</v>
      </c>
      <c r="AH297">
        <f t="shared" si="58"/>
        <v>0</v>
      </c>
      <c r="AI297">
        <f t="shared" si="59"/>
        <v>0</v>
      </c>
      <c r="AJ297">
        <f t="shared" si="60"/>
        <v>1</v>
      </c>
      <c r="AK297">
        <f t="shared" si="61"/>
        <v>0</v>
      </c>
      <c r="AL297">
        <f t="shared" si="62"/>
        <v>0</v>
      </c>
      <c r="AM297">
        <f t="shared" si="63"/>
        <v>0</v>
      </c>
      <c r="AN297">
        <f t="shared" si="64"/>
        <v>1</v>
      </c>
      <c r="AO297">
        <f>SUM(AN$2:$AN297)</f>
        <v>296</v>
      </c>
    </row>
    <row r="298" spans="1:41" customFormat="1" x14ac:dyDescent="0.35">
      <c r="A298" t="s">
        <v>163</v>
      </c>
      <c r="B298" t="s">
        <v>961</v>
      </c>
      <c r="C298">
        <v>10600</v>
      </c>
      <c r="D298" t="s">
        <v>996</v>
      </c>
      <c r="E298">
        <v>0</v>
      </c>
      <c r="F298">
        <v>2411</v>
      </c>
      <c r="G298">
        <v>3528</v>
      </c>
      <c r="H298">
        <v>0</v>
      </c>
      <c r="I298">
        <v>0</v>
      </c>
      <c r="J298">
        <v>1857</v>
      </c>
      <c r="K298">
        <v>2043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0</v>
      </c>
      <c r="W298" t="s">
        <v>423</v>
      </c>
      <c r="X298">
        <v>3</v>
      </c>
      <c r="Y298" t="s">
        <v>434</v>
      </c>
      <c r="Z298" t="s">
        <v>1918</v>
      </c>
      <c r="AA298" t="s">
        <v>152</v>
      </c>
      <c r="AB298" t="s">
        <v>153</v>
      </c>
      <c r="AC298" t="s">
        <v>497</v>
      </c>
      <c r="AD298">
        <v>0</v>
      </c>
      <c r="AE298">
        <v>0</v>
      </c>
      <c r="AF298">
        <v>0</v>
      </c>
      <c r="AG298">
        <v>0</v>
      </c>
      <c r="AH298">
        <f t="shared" si="58"/>
        <v>1</v>
      </c>
      <c r="AI298">
        <f t="shared" si="59"/>
        <v>0</v>
      </c>
      <c r="AJ298">
        <f t="shared" si="60"/>
        <v>0</v>
      </c>
      <c r="AK298">
        <f t="shared" si="61"/>
        <v>1</v>
      </c>
      <c r="AL298">
        <f t="shared" si="62"/>
        <v>1</v>
      </c>
      <c r="AM298">
        <f t="shared" si="63"/>
        <v>0</v>
      </c>
      <c r="AN298">
        <f t="shared" si="64"/>
        <v>1</v>
      </c>
      <c r="AO298">
        <f>SUM(AN$2:$AN298)</f>
        <v>297</v>
      </c>
    </row>
    <row r="299" spans="1:41" customFormat="1" x14ac:dyDescent="0.35">
      <c r="A299" t="s">
        <v>163</v>
      </c>
      <c r="B299" t="s">
        <v>961</v>
      </c>
      <c r="C299">
        <v>10600</v>
      </c>
      <c r="D299" t="s">
        <v>2604</v>
      </c>
      <c r="E299">
        <v>0</v>
      </c>
      <c r="F299">
        <v>2411</v>
      </c>
      <c r="G299">
        <v>4457</v>
      </c>
      <c r="H299">
        <v>2785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 t="s">
        <v>2581</v>
      </c>
      <c r="X299">
        <v>3</v>
      </c>
      <c r="Y299" t="s">
        <v>434</v>
      </c>
      <c r="Z299" t="s">
        <v>1919</v>
      </c>
      <c r="AA299" t="s">
        <v>152</v>
      </c>
      <c r="AB299" t="s">
        <v>149</v>
      </c>
      <c r="AC299" t="s">
        <v>497</v>
      </c>
      <c r="AD299">
        <v>0</v>
      </c>
      <c r="AE299">
        <v>0</v>
      </c>
      <c r="AF299">
        <v>0</v>
      </c>
      <c r="AG299">
        <v>0</v>
      </c>
      <c r="AH299">
        <f t="shared" si="58"/>
        <v>1</v>
      </c>
      <c r="AI299">
        <f t="shared" si="59"/>
        <v>1</v>
      </c>
      <c r="AJ299">
        <f t="shared" si="60"/>
        <v>0</v>
      </c>
      <c r="AK299">
        <f t="shared" si="61"/>
        <v>0</v>
      </c>
      <c r="AL299">
        <f t="shared" si="62"/>
        <v>0</v>
      </c>
      <c r="AM299">
        <f t="shared" si="63"/>
        <v>0</v>
      </c>
      <c r="AN299">
        <f t="shared" si="64"/>
        <v>1</v>
      </c>
      <c r="AO299">
        <f>SUM(AN$2:$AN299)</f>
        <v>298</v>
      </c>
    </row>
    <row r="300" spans="1:41" customFormat="1" x14ac:dyDescent="0.35">
      <c r="A300" t="s">
        <v>163</v>
      </c>
      <c r="B300" t="s">
        <v>961</v>
      </c>
      <c r="C300">
        <v>10900</v>
      </c>
      <c r="D300" t="s">
        <v>997</v>
      </c>
      <c r="E300">
        <v>0</v>
      </c>
      <c r="F300">
        <v>2906</v>
      </c>
      <c r="G300">
        <v>0</v>
      </c>
      <c r="H300">
        <v>0</v>
      </c>
      <c r="I300">
        <v>0</v>
      </c>
      <c r="J300">
        <v>0</v>
      </c>
      <c r="K300">
        <v>6588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 t="s">
        <v>327</v>
      </c>
      <c r="X300">
        <v>3</v>
      </c>
      <c r="Y300" t="s">
        <v>434</v>
      </c>
      <c r="Z300" t="s">
        <v>1920</v>
      </c>
      <c r="AA300" t="s">
        <v>152</v>
      </c>
      <c r="AB300" t="s">
        <v>153</v>
      </c>
      <c r="AC300" t="s">
        <v>497</v>
      </c>
      <c r="AD300">
        <v>0</v>
      </c>
      <c r="AE300">
        <v>0</v>
      </c>
      <c r="AF300">
        <v>0</v>
      </c>
      <c r="AG300">
        <v>0</v>
      </c>
      <c r="AH300">
        <f t="shared" si="58"/>
        <v>0</v>
      </c>
      <c r="AI300">
        <f t="shared" si="59"/>
        <v>0</v>
      </c>
      <c r="AJ300">
        <f t="shared" si="60"/>
        <v>0</v>
      </c>
      <c r="AK300">
        <f t="shared" si="61"/>
        <v>0</v>
      </c>
      <c r="AL300">
        <f t="shared" si="62"/>
        <v>1</v>
      </c>
      <c r="AM300">
        <f t="shared" si="63"/>
        <v>0</v>
      </c>
      <c r="AN300">
        <f t="shared" si="64"/>
        <v>1</v>
      </c>
      <c r="AO300">
        <f>SUM(AN$2:$AN300)</f>
        <v>299</v>
      </c>
    </row>
    <row r="301" spans="1:41" customFormat="1" x14ac:dyDescent="0.35">
      <c r="A301" t="s">
        <v>163</v>
      </c>
      <c r="B301" t="s">
        <v>961</v>
      </c>
      <c r="C301">
        <v>10900</v>
      </c>
      <c r="D301" t="s">
        <v>998</v>
      </c>
      <c r="E301">
        <v>0</v>
      </c>
      <c r="F301">
        <v>2735</v>
      </c>
      <c r="G301">
        <v>2482</v>
      </c>
      <c r="H301">
        <v>0</v>
      </c>
      <c r="I301">
        <v>2482</v>
      </c>
      <c r="J301">
        <v>2100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0</v>
      </c>
      <c r="W301" t="s">
        <v>419</v>
      </c>
      <c r="X301">
        <v>3</v>
      </c>
      <c r="Y301" t="s">
        <v>434</v>
      </c>
      <c r="Z301" t="s">
        <v>1921</v>
      </c>
      <c r="AA301" t="s">
        <v>151</v>
      </c>
      <c r="AB301" t="s">
        <v>152</v>
      </c>
      <c r="AC301" t="s">
        <v>497</v>
      </c>
      <c r="AD301">
        <v>0</v>
      </c>
      <c r="AE301">
        <v>0</v>
      </c>
      <c r="AF301">
        <v>0</v>
      </c>
      <c r="AG301">
        <v>0</v>
      </c>
      <c r="AH301">
        <f t="shared" si="58"/>
        <v>1</v>
      </c>
      <c r="AI301">
        <f t="shared" si="59"/>
        <v>0</v>
      </c>
      <c r="AJ301">
        <f t="shared" si="60"/>
        <v>1</v>
      </c>
      <c r="AK301">
        <f t="shared" si="61"/>
        <v>1</v>
      </c>
      <c r="AL301">
        <f t="shared" si="62"/>
        <v>0</v>
      </c>
      <c r="AM301">
        <f t="shared" si="63"/>
        <v>0</v>
      </c>
      <c r="AN301">
        <f t="shared" si="64"/>
        <v>1</v>
      </c>
      <c r="AO301">
        <f>SUM(AN$2:$AN301)</f>
        <v>300</v>
      </c>
    </row>
    <row r="302" spans="1:41" customFormat="1" x14ac:dyDescent="0.35">
      <c r="A302" t="s">
        <v>163</v>
      </c>
      <c r="B302" t="s">
        <v>961</v>
      </c>
      <c r="C302">
        <v>10900</v>
      </c>
      <c r="D302" t="s">
        <v>999</v>
      </c>
      <c r="E302">
        <v>0</v>
      </c>
      <c r="F302">
        <v>2479</v>
      </c>
      <c r="G302">
        <v>3819</v>
      </c>
      <c r="H302">
        <v>0</v>
      </c>
      <c r="I302">
        <v>0</v>
      </c>
      <c r="J302">
        <v>0</v>
      </c>
      <c r="K302">
        <v>3819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 t="s">
        <v>328</v>
      </c>
      <c r="X302">
        <v>3</v>
      </c>
      <c r="Y302" t="s">
        <v>434</v>
      </c>
      <c r="Z302" t="s">
        <v>1922</v>
      </c>
      <c r="AA302" t="s">
        <v>151</v>
      </c>
      <c r="AB302" t="s">
        <v>153</v>
      </c>
      <c r="AC302" t="s">
        <v>497</v>
      </c>
      <c r="AD302">
        <v>0</v>
      </c>
      <c r="AE302">
        <v>0</v>
      </c>
      <c r="AF302">
        <v>0</v>
      </c>
      <c r="AG302">
        <v>0</v>
      </c>
      <c r="AH302">
        <f t="shared" si="58"/>
        <v>1</v>
      </c>
      <c r="AI302">
        <f t="shared" si="59"/>
        <v>0</v>
      </c>
      <c r="AJ302">
        <f t="shared" si="60"/>
        <v>0</v>
      </c>
      <c r="AK302">
        <f t="shared" si="61"/>
        <v>0</v>
      </c>
      <c r="AL302">
        <f t="shared" si="62"/>
        <v>1</v>
      </c>
      <c r="AM302">
        <f t="shared" si="63"/>
        <v>0</v>
      </c>
      <c r="AN302">
        <f t="shared" si="64"/>
        <v>1</v>
      </c>
      <c r="AO302">
        <f>SUM(AN$2:$AN302)</f>
        <v>301</v>
      </c>
    </row>
    <row r="303" spans="1:41" customFormat="1" x14ac:dyDescent="0.35">
      <c r="A303" t="s">
        <v>163</v>
      </c>
      <c r="B303" t="s">
        <v>1000</v>
      </c>
      <c r="C303">
        <v>11000</v>
      </c>
      <c r="D303" t="s">
        <v>1001</v>
      </c>
      <c r="E303">
        <v>691</v>
      </c>
      <c r="F303">
        <v>1121</v>
      </c>
      <c r="G303">
        <v>0</v>
      </c>
      <c r="H303">
        <v>0</v>
      </c>
      <c r="I303">
        <v>3469</v>
      </c>
      <c r="J303">
        <v>3083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348</v>
      </c>
      <c r="X303">
        <v>6</v>
      </c>
      <c r="Y303" t="s">
        <v>440</v>
      </c>
      <c r="Z303" t="s">
        <v>1923</v>
      </c>
      <c r="AA303" t="s">
        <v>148</v>
      </c>
      <c r="AB303" t="s">
        <v>149</v>
      </c>
      <c r="AC303" t="s">
        <v>497</v>
      </c>
      <c r="AD303">
        <v>3565</v>
      </c>
      <c r="AE303">
        <v>0</v>
      </c>
      <c r="AF303">
        <v>0</v>
      </c>
      <c r="AG303">
        <v>0</v>
      </c>
      <c r="AH303">
        <f t="shared" si="58"/>
        <v>0</v>
      </c>
      <c r="AI303">
        <f t="shared" si="59"/>
        <v>0</v>
      </c>
      <c r="AJ303">
        <f t="shared" si="60"/>
        <v>1</v>
      </c>
      <c r="AK303">
        <f t="shared" si="61"/>
        <v>1</v>
      </c>
      <c r="AL303">
        <f t="shared" si="62"/>
        <v>0</v>
      </c>
      <c r="AM303">
        <f t="shared" si="63"/>
        <v>0</v>
      </c>
      <c r="AN303">
        <f t="shared" si="64"/>
        <v>1</v>
      </c>
      <c r="AO303">
        <f>SUM(AN$2:$AN303)</f>
        <v>302</v>
      </c>
    </row>
    <row r="304" spans="1:41" customFormat="1" x14ac:dyDescent="0.35">
      <c r="A304" t="s">
        <v>163</v>
      </c>
      <c r="B304" t="s">
        <v>2460</v>
      </c>
      <c r="C304">
        <v>11000</v>
      </c>
      <c r="D304" t="s">
        <v>2461</v>
      </c>
      <c r="E304">
        <v>691</v>
      </c>
      <c r="F304">
        <v>1121</v>
      </c>
      <c r="G304">
        <v>3469</v>
      </c>
      <c r="H304">
        <v>0</v>
      </c>
      <c r="I304">
        <v>0</v>
      </c>
      <c r="J304">
        <v>0</v>
      </c>
      <c r="K304">
        <v>3083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 t="s">
        <v>157</v>
      </c>
      <c r="X304">
        <v>6</v>
      </c>
      <c r="Y304" t="s">
        <v>443</v>
      </c>
      <c r="Z304" t="s">
        <v>1924</v>
      </c>
      <c r="AA304" t="s">
        <v>152</v>
      </c>
      <c r="AB304" t="s">
        <v>153</v>
      </c>
      <c r="AC304" t="s">
        <v>497</v>
      </c>
      <c r="AD304">
        <v>3565</v>
      </c>
      <c r="AE304">
        <v>0</v>
      </c>
      <c r="AF304">
        <v>0</v>
      </c>
      <c r="AG304">
        <v>0</v>
      </c>
      <c r="AH304">
        <f t="shared" si="58"/>
        <v>1</v>
      </c>
      <c r="AI304">
        <f t="shared" si="59"/>
        <v>0</v>
      </c>
      <c r="AJ304">
        <f t="shared" si="60"/>
        <v>0</v>
      </c>
      <c r="AK304">
        <f t="shared" si="61"/>
        <v>0</v>
      </c>
      <c r="AL304">
        <f t="shared" si="62"/>
        <v>1</v>
      </c>
      <c r="AM304">
        <f t="shared" si="63"/>
        <v>0</v>
      </c>
      <c r="AN304">
        <f t="shared" si="64"/>
        <v>1</v>
      </c>
      <c r="AO304">
        <f>SUM(AN$2:$AN304)</f>
        <v>303</v>
      </c>
    </row>
    <row r="305" spans="1:41" customFormat="1" x14ac:dyDescent="0.35">
      <c r="A305" t="s">
        <v>163</v>
      </c>
      <c r="B305" t="s">
        <v>2462</v>
      </c>
      <c r="C305">
        <v>11000</v>
      </c>
      <c r="D305" t="s">
        <v>2463</v>
      </c>
      <c r="E305">
        <v>691</v>
      </c>
      <c r="F305">
        <v>1121</v>
      </c>
      <c r="G305">
        <v>3469</v>
      </c>
      <c r="H305">
        <v>0</v>
      </c>
      <c r="I305">
        <v>0</v>
      </c>
      <c r="J305">
        <v>0</v>
      </c>
      <c r="K305">
        <v>3083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 t="s">
        <v>157</v>
      </c>
      <c r="X305">
        <v>6</v>
      </c>
      <c r="Y305" t="s">
        <v>439</v>
      </c>
      <c r="Z305" t="s">
        <v>1925</v>
      </c>
      <c r="AA305" t="s">
        <v>152</v>
      </c>
      <c r="AB305" t="s">
        <v>153</v>
      </c>
      <c r="AC305" t="s">
        <v>497</v>
      </c>
      <c r="AD305">
        <v>3565</v>
      </c>
      <c r="AE305">
        <v>0</v>
      </c>
      <c r="AF305">
        <v>0</v>
      </c>
      <c r="AG305">
        <v>0</v>
      </c>
      <c r="AH305">
        <f t="shared" si="58"/>
        <v>1</v>
      </c>
      <c r="AI305">
        <f t="shared" si="59"/>
        <v>0</v>
      </c>
      <c r="AJ305">
        <f t="shared" si="60"/>
        <v>0</v>
      </c>
      <c r="AK305">
        <f t="shared" si="61"/>
        <v>0</v>
      </c>
      <c r="AL305">
        <f t="shared" si="62"/>
        <v>1</v>
      </c>
      <c r="AM305">
        <f t="shared" si="63"/>
        <v>0</v>
      </c>
      <c r="AN305">
        <f t="shared" si="64"/>
        <v>1</v>
      </c>
      <c r="AO305">
        <f>SUM(AN$2:$AN305)</f>
        <v>304</v>
      </c>
    </row>
    <row r="306" spans="1:41" customFormat="1" x14ac:dyDescent="0.35">
      <c r="A306" t="s">
        <v>163</v>
      </c>
      <c r="B306" t="s">
        <v>1002</v>
      </c>
      <c r="C306">
        <v>11150</v>
      </c>
      <c r="D306" t="s">
        <v>1003</v>
      </c>
      <c r="E306">
        <v>701</v>
      </c>
      <c r="F306">
        <v>1137</v>
      </c>
      <c r="G306">
        <v>0</v>
      </c>
      <c r="H306">
        <v>0</v>
      </c>
      <c r="I306">
        <v>0</v>
      </c>
      <c r="J306">
        <v>3125</v>
      </c>
      <c r="K306">
        <v>0</v>
      </c>
      <c r="L306">
        <v>3516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 t="s">
        <v>349</v>
      </c>
      <c r="X306">
        <v>6</v>
      </c>
      <c r="Y306" t="s">
        <v>435</v>
      </c>
      <c r="Z306" t="s">
        <v>1926</v>
      </c>
      <c r="AA306" t="s">
        <v>152</v>
      </c>
      <c r="AB306" t="s">
        <v>148</v>
      </c>
      <c r="AC306" t="s">
        <v>497</v>
      </c>
      <c r="AD306">
        <v>3614</v>
      </c>
      <c r="AE306">
        <v>0</v>
      </c>
      <c r="AF306">
        <v>0</v>
      </c>
      <c r="AG306">
        <v>0</v>
      </c>
      <c r="AH306">
        <f t="shared" si="58"/>
        <v>0</v>
      </c>
      <c r="AI306">
        <f t="shared" si="59"/>
        <v>0</v>
      </c>
      <c r="AJ306">
        <f t="shared" si="60"/>
        <v>0</v>
      </c>
      <c r="AK306">
        <f t="shared" si="61"/>
        <v>1</v>
      </c>
      <c r="AL306">
        <f t="shared" si="62"/>
        <v>0</v>
      </c>
      <c r="AM306">
        <f t="shared" si="63"/>
        <v>1</v>
      </c>
      <c r="AN306">
        <f t="shared" si="64"/>
        <v>1</v>
      </c>
      <c r="AO306">
        <f>SUM(AN$2:$AN306)</f>
        <v>305</v>
      </c>
    </row>
    <row r="307" spans="1:41" customFormat="1" x14ac:dyDescent="0.35">
      <c r="A307" t="s">
        <v>163</v>
      </c>
      <c r="B307" t="s">
        <v>1004</v>
      </c>
      <c r="C307">
        <v>11150</v>
      </c>
      <c r="D307" t="s">
        <v>1005</v>
      </c>
      <c r="E307">
        <v>701</v>
      </c>
      <c r="F307">
        <v>1137</v>
      </c>
      <c r="G307">
        <v>3516</v>
      </c>
      <c r="H307">
        <v>0</v>
      </c>
      <c r="I307">
        <v>0</v>
      </c>
      <c r="J307">
        <v>3125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 t="s">
        <v>350</v>
      </c>
      <c r="X307">
        <v>6</v>
      </c>
      <c r="Y307" t="s">
        <v>436</v>
      </c>
      <c r="Z307" t="s">
        <v>1927</v>
      </c>
      <c r="AA307" t="s">
        <v>149</v>
      </c>
      <c r="AB307" t="s">
        <v>152</v>
      </c>
      <c r="AC307" t="s">
        <v>497</v>
      </c>
      <c r="AD307">
        <v>3614</v>
      </c>
      <c r="AE307">
        <v>0</v>
      </c>
      <c r="AF307">
        <v>0</v>
      </c>
      <c r="AG307">
        <v>0</v>
      </c>
      <c r="AH307">
        <f t="shared" si="58"/>
        <v>1</v>
      </c>
      <c r="AI307">
        <f t="shared" si="59"/>
        <v>0</v>
      </c>
      <c r="AJ307">
        <f t="shared" si="60"/>
        <v>0</v>
      </c>
      <c r="AK307">
        <f t="shared" si="61"/>
        <v>1</v>
      </c>
      <c r="AL307">
        <f t="shared" si="62"/>
        <v>0</v>
      </c>
      <c r="AM307">
        <f t="shared" si="63"/>
        <v>0</v>
      </c>
      <c r="AN307">
        <f t="shared" si="64"/>
        <v>1</v>
      </c>
      <c r="AO307">
        <f>SUM(AN$2:$AN307)</f>
        <v>306</v>
      </c>
    </row>
    <row r="308" spans="1:41" customFormat="1" x14ac:dyDescent="0.35">
      <c r="A308" t="s">
        <v>163</v>
      </c>
      <c r="B308" t="s">
        <v>1006</v>
      </c>
      <c r="C308">
        <v>11150</v>
      </c>
      <c r="D308" t="s">
        <v>1007</v>
      </c>
      <c r="E308">
        <v>701</v>
      </c>
      <c r="F308">
        <v>1137</v>
      </c>
      <c r="G308">
        <v>3516</v>
      </c>
      <c r="H308">
        <v>0</v>
      </c>
      <c r="I308">
        <v>0</v>
      </c>
      <c r="J308">
        <v>3125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 t="s">
        <v>350</v>
      </c>
      <c r="X308">
        <v>6</v>
      </c>
      <c r="Y308" t="s">
        <v>441</v>
      </c>
      <c r="Z308" t="s">
        <v>1928</v>
      </c>
      <c r="AA308" t="s">
        <v>149</v>
      </c>
      <c r="AB308" t="s">
        <v>152</v>
      </c>
      <c r="AC308" t="s">
        <v>497</v>
      </c>
      <c r="AD308">
        <v>3614</v>
      </c>
      <c r="AE308">
        <v>0</v>
      </c>
      <c r="AF308">
        <v>0</v>
      </c>
      <c r="AG308">
        <v>0</v>
      </c>
      <c r="AH308">
        <f t="shared" si="58"/>
        <v>1</v>
      </c>
      <c r="AI308">
        <f t="shared" si="59"/>
        <v>0</v>
      </c>
      <c r="AJ308">
        <f t="shared" si="60"/>
        <v>0</v>
      </c>
      <c r="AK308">
        <f t="shared" si="61"/>
        <v>1</v>
      </c>
      <c r="AL308">
        <f t="shared" si="62"/>
        <v>0</v>
      </c>
      <c r="AM308">
        <f t="shared" si="63"/>
        <v>0</v>
      </c>
      <c r="AN308">
        <f t="shared" si="64"/>
        <v>1</v>
      </c>
      <c r="AO308">
        <f>SUM(AN$2:$AN308)</f>
        <v>307</v>
      </c>
    </row>
    <row r="309" spans="1:41" customFormat="1" x14ac:dyDescent="0.35">
      <c r="A309" t="s">
        <v>163</v>
      </c>
      <c r="B309" t="s">
        <v>1008</v>
      </c>
      <c r="C309">
        <v>11150</v>
      </c>
      <c r="D309" t="s">
        <v>1009</v>
      </c>
      <c r="E309">
        <v>701</v>
      </c>
      <c r="F309">
        <v>1137</v>
      </c>
      <c r="G309">
        <v>3516</v>
      </c>
      <c r="H309">
        <v>0</v>
      </c>
      <c r="I309">
        <v>0</v>
      </c>
      <c r="J309">
        <v>0</v>
      </c>
      <c r="K309">
        <v>3125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 t="s">
        <v>157</v>
      </c>
      <c r="X309">
        <v>6</v>
      </c>
      <c r="Y309" t="s">
        <v>435</v>
      </c>
      <c r="Z309" t="s">
        <v>1929</v>
      </c>
      <c r="AA309" t="s">
        <v>152</v>
      </c>
      <c r="AB309" t="s">
        <v>153</v>
      </c>
      <c r="AC309" t="s">
        <v>497</v>
      </c>
      <c r="AD309">
        <v>3614</v>
      </c>
      <c r="AE309">
        <v>0</v>
      </c>
      <c r="AF309">
        <v>0</v>
      </c>
      <c r="AG309">
        <v>0</v>
      </c>
      <c r="AH309">
        <f t="shared" si="58"/>
        <v>1</v>
      </c>
      <c r="AI309">
        <f t="shared" si="59"/>
        <v>0</v>
      </c>
      <c r="AJ309">
        <f t="shared" si="60"/>
        <v>0</v>
      </c>
      <c r="AK309">
        <f t="shared" si="61"/>
        <v>0</v>
      </c>
      <c r="AL309">
        <f t="shared" si="62"/>
        <v>1</v>
      </c>
      <c r="AM309">
        <f t="shared" si="63"/>
        <v>0</v>
      </c>
      <c r="AN309">
        <f t="shared" si="64"/>
        <v>1</v>
      </c>
      <c r="AO309">
        <f>SUM(AN$2:$AN309)</f>
        <v>308</v>
      </c>
    </row>
    <row r="310" spans="1:41" x14ac:dyDescent="0.35">
      <c r="A310" t="s">
        <v>163</v>
      </c>
      <c r="B310" t="s">
        <v>1010</v>
      </c>
      <c r="C310">
        <v>11300</v>
      </c>
      <c r="D310" t="s">
        <v>1011</v>
      </c>
      <c r="E310">
        <v>710</v>
      </c>
      <c r="F310">
        <v>1152</v>
      </c>
      <c r="G310">
        <v>3563</v>
      </c>
      <c r="H310">
        <v>0</v>
      </c>
      <c r="I310">
        <v>0</v>
      </c>
      <c r="J310">
        <v>3167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 t="s">
        <v>350</v>
      </c>
      <c r="X310">
        <v>6</v>
      </c>
      <c r="Y310" t="s">
        <v>442</v>
      </c>
      <c r="Z310" t="s">
        <v>1930</v>
      </c>
      <c r="AA310" t="s">
        <v>149</v>
      </c>
      <c r="AB310" t="s">
        <v>152</v>
      </c>
      <c r="AC310" t="s">
        <v>497</v>
      </c>
      <c r="AD310">
        <v>3662</v>
      </c>
      <c r="AE310">
        <v>0</v>
      </c>
      <c r="AF310">
        <v>0</v>
      </c>
      <c r="AG310">
        <v>0</v>
      </c>
      <c r="AH310">
        <f t="shared" si="58"/>
        <v>1</v>
      </c>
      <c r="AI310">
        <f t="shared" si="59"/>
        <v>0</v>
      </c>
      <c r="AJ310">
        <f t="shared" si="60"/>
        <v>0</v>
      </c>
      <c r="AK310">
        <f t="shared" si="61"/>
        <v>1</v>
      </c>
      <c r="AL310">
        <f t="shared" si="62"/>
        <v>0</v>
      </c>
      <c r="AM310">
        <f t="shared" si="63"/>
        <v>0</v>
      </c>
      <c r="AN310">
        <f t="shared" si="64"/>
        <v>1</v>
      </c>
      <c r="AO310">
        <f>SUM(AN$2:$AN310)</f>
        <v>309</v>
      </c>
    </row>
    <row r="311" spans="1:41" x14ac:dyDescent="0.35">
      <c r="A311" t="s">
        <v>163</v>
      </c>
      <c r="B311" t="s">
        <v>961</v>
      </c>
      <c r="C311">
        <v>11500</v>
      </c>
      <c r="D311" t="s">
        <v>1931</v>
      </c>
      <c r="E311">
        <v>0</v>
      </c>
      <c r="F311">
        <v>2615</v>
      </c>
      <c r="G311">
        <v>4029</v>
      </c>
      <c r="H311">
        <v>0</v>
      </c>
      <c r="I311">
        <v>0</v>
      </c>
      <c r="J311">
        <v>4231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 t="s">
        <v>418</v>
      </c>
      <c r="X311">
        <v>3</v>
      </c>
      <c r="Y311" t="s">
        <v>434</v>
      </c>
      <c r="Z311" t="s">
        <v>1932</v>
      </c>
      <c r="AA311" t="s">
        <v>151</v>
      </c>
      <c r="AB311" t="s">
        <v>358</v>
      </c>
      <c r="AC311" t="s">
        <v>497</v>
      </c>
      <c r="AD311">
        <v>0</v>
      </c>
      <c r="AE311">
        <v>0</v>
      </c>
      <c r="AF311">
        <v>0</v>
      </c>
      <c r="AG311">
        <v>0</v>
      </c>
      <c r="AH311">
        <f t="shared" si="58"/>
        <v>1</v>
      </c>
      <c r="AI311">
        <f t="shared" si="59"/>
        <v>0</v>
      </c>
      <c r="AJ311">
        <f t="shared" si="60"/>
        <v>0</v>
      </c>
      <c r="AK311">
        <f t="shared" si="61"/>
        <v>1</v>
      </c>
      <c r="AL311">
        <f t="shared" si="62"/>
        <v>0</v>
      </c>
      <c r="AM311">
        <f t="shared" si="63"/>
        <v>0</v>
      </c>
      <c r="AN311">
        <f t="shared" si="64"/>
        <v>1</v>
      </c>
      <c r="AO311">
        <f>SUM(AN$2:$AN311)</f>
        <v>310</v>
      </c>
    </row>
    <row r="312" spans="1:41" x14ac:dyDescent="0.35">
      <c r="A312" t="s">
        <v>163</v>
      </c>
      <c r="B312" t="s">
        <v>961</v>
      </c>
      <c r="C312">
        <v>11500</v>
      </c>
      <c r="D312" t="s">
        <v>1933</v>
      </c>
      <c r="E312">
        <v>0</v>
      </c>
      <c r="F312">
        <v>2615</v>
      </c>
      <c r="G312">
        <v>3223</v>
      </c>
      <c r="H312">
        <v>0</v>
      </c>
      <c r="I312">
        <v>2820</v>
      </c>
      <c r="J312">
        <v>0</v>
      </c>
      <c r="K312">
        <v>2216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 t="s">
        <v>422</v>
      </c>
      <c r="X312">
        <v>3</v>
      </c>
      <c r="Y312" t="s">
        <v>434</v>
      </c>
      <c r="Z312" t="s">
        <v>1934</v>
      </c>
      <c r="AA312" t="s">
        <v>151</v>
      </c>
      <c r="AB312" t="s">
        <v>149</v>
      </c>
      <c r="AC312" t="s">
        <v>497</v>
      </c>
      <c r="AD312">
        <v>0</v>
      </c>
      <c r="AE312">
        <v>0</v>
      </c>
      <c r="AF312">
        <v>0</v>
      </c>
      <c r="AG312">
        <v>0</v>
      </c>
      <c r="AH312">
        <f t="shared" si="58"/>
        <v>1</v>
      </c>
      <c r="AI312">
        <f t="shared" si="59"/>
        <v>0</v>
      </c>
      <c r="AJ312">
        <f t="shared" si="60"/>
        <v>1</v>
      </c>
      <c r="AK312">
        <f t="shared" si="61"/>
        <v>0</v>
      </c>
      <c r="AL312">
        <f t="shared" si="62"/>
        <v>1</v>
      </c>
      <c r="AM312">
        <f t="shared" si="63"/>
        <v>0</v>
      </c>
      <c r="AN312">
        <f t="shared" si="64"/>
        <v>1</v>
      </c>
      <c r="AO312">
        <f>SUM(AN$2:$AN312)</f>
        <v>311</v>
      </c>
    </row>
    <row r="313" spans="1:41" x14ac:dyDescent="0.35">
      <c r="A313" t="s">
        <v>163</v>
      </c>
      <c r="B313" t="s">
        <v>961</v>
      </c>
      <c r="C313">
        <v>11500</v>
      </c>
      <c r="D313" t="s">
        <v>1935</v>
      </c>
      <c r="E313">
        <v>0</v>
      </c>
      <c r="F313">
        <v>3066</v>
      </c>
      <c r="G313">
        <v>7152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 t="s">
        <v>331</v>
      </c>
      <c r="X313">
        <v>3</v>
      </c>
      <c r="Y313" t="s">
        <v>434</v>
      </c>
      <c r="Z313" t="s">
        <v>1936</v>
      </c>
      <c r="AA313" t="s">
        <v>151</v>
      </c>
      <c r="AB313" t="s">
        <v>150</v>
      </c>
      <c r="AC313" t="s">
        <v>497</v>
      </c>
      <c r="AD313">
        <v>0</v>
      </c>
      <c r="AE313">
        <v>0</v>
      </c>
      <c r="AF313">
        <v>0</v>
      </c>
      <c r="AG313">
        <v>0</v>
      </c>
      <c r="AH313">
        <f t="shared" si="58"/>
        <v>1</v>
      </c>
      <c r="AI313">
        <f t="shared" si="59"/>
        <v>0</v>
      </c>
      <c r="AJ313">
        <f t="shared" si="60"/>
        <v>0</v>
      </c>
      <c r="AK313">
        <f t="shared" si="61"/>
        <v>0</v>
      </c>
      <c r="AL313">
        <f t="shared" si="62"/>
        <v>0</v>
      </c>
      <c r="AM313">
        <f t="shared" si="63"/>
        <v>0</v>
      </c>
      <c r="AN313">
        <f t="shared" si="64"/>
        <v>1</v>
      </c>
      <c r="AO313">
        <f>SUM(AN$2:$AN313)</f>
        <v>312</v>
      </c>
    </row>
    <row r="314" spans="1:41" x14ac:dyDescent="0.35">
      <c r="A314" t="s">
        <v>163</v>
      </c>
      <c r="B314" t="s">
        <v>961</v>
      </c>
      <c r="C314">
        <v>12100</v>
      </c>
      <c r="D314" t="s">
        <v>1937</v>
      </c>
      <c r="E314">
        <v>0</v>
      </c>
      <c r="F314">
        <v>3226</v>
      </c>
      <c r="G314">
        <v>0</v>
      </c>
      <c r="H314">
        <v>0</v>
      </c>
      <c r="I314">
        <v>7525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t="s">
        <v>329</v>
      </c>
      <c r="X314">
        <v>3</v>
      </c>
      <c r="Y314" t="s">
        <v>434</v>
      </c>
      <c r="Z314" t="s">
        <v>1938</v>
      </c>
      <c r="AA314" t="s">
        <v>358</v>
      </c>
      <c r="AB314" t="s">
        <v>149</v>
      </c>
      <c r="AC314" t="s">
        <v>497</v>
      </c>
      <c r="AD314">
        <v>0</v>
      </c>
      <c r="AE314">
        <v>0</v>
      </c>
      <c r="AF314">
        <v>0</v>
      </c>
      <c r="AG314">
        <v>0</v>
      </c>
      <c r="AH314">
        <f t="shared" si="58"/>
        <v>0</v>
      </c>
      <c r="AI314">
        <f t="shared" si="59"/>
        <v>0</v>
      </c>
      <c r="AJ314">
        <f t="shared" si="60"/>
        <v>1</v>
      </c>
      <c r="AK314">
        <f t="shared" si="61"/>
        <v>0</v>
      </c>
      <c r="AL314">
        <f t="shared" si="62"/>
        <v>0</v>
      </c>
      <c r="AM314">
        <f t="shared" si="63"/>
        <v>0</v>
      </c>
      <c r="AN314">
        <f t="shared" si="64"/>
        <v>1</v>
      </c>
      <c r="AO314">
        <f>SUM(AN$2:$AN314)</f>
        <v>313</v>
      </c>
    </row>
    <row r="315" spans="1:41" x14ac:dyDescent="0.35">
      <c r="A315" t="s">
        <v>163</v>
      </c>
      <c r="B315" t="s">
        <v>961</v>
      </c>
      <c r="C315">
        <v>12100</v>
      </c>
      <c r="D315" t="s">
        <v>1939</v>
      </c>
      <c r="E315">
        <v>0</v>
      </c>
      <c r="F315">
        <v>2752</v>
      </c>
      <c r="G315">
        <v>4027</v>
      </c>
      <c r="H315">
        <v>0</v>
      </c>
      <c r="I315">
        <v>0</v>
      </c>
      <c r="J315">
        <v>2332</v>
      </c>
      <c r="K315">
        <v>2332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 t="s">
        <v>423</v>
      </c>
      <c r="X315">
        <v>3</v>
      </c>
      <c r="Y315" t="s">
        <v>434</v>
      </c>
      <c r="Z315" t="s">
        <v>1940</v>
      </c>
      <c r="AA315" t="s">
        <v>152</v>
      </c>
      <c r="AB315" t="s">
        <v>153</v>
      </c>
      <c r="AC315" t="s">
        <v>497</v>
      </c>
      <c r="AD315">
        <v>0</v>
      </c>
      <c r="AE315">
        <v>0</v>
      </c>
      <c r="AF315">
        <v>0</v>
      </c>
      <c r="AG315">
        <v>0</v>
      </c>
      <c r="AH315">
        <f t="shared" si="58"/>
        <v>1</v>
      </c>
      <c r="AI315">
        <f t="shared" si="59"/>
        <v>0</v>
      </c>
      <c r="AJ315">
        <f t="shared" si="60"/>
        <v>0</v>
      </c>
      <c r="AK315">
        <f t="shared" si="61"/>
        <v>1</v>
      </c>
      <c r="AL315">
        <f t="shared" si="62"/>
        <v>1</v>
      </c>
      <c r="AM315">
        <f t="shared" si="63"/>
        <v>0</v>
      </c>
      <c r="AN315">
        <f t="shared" si="64"/>
        <v>1</v>
      </c>
      <c r="AO315">
        <f>SUM(AN$2:$AN315)</f>
        <v>314</v>
      </c>
    </row>
    <row r="316" spans="1:41" x14ac:dyDescent="0.35">
      <c r="A316" t="s">
        <v>163</v>
      </c>
      <c r="B316" t="s">
        <v>961</v>
      </c>
      <c r="C316">
        <v>12100</v>
      </c>
      <c r="D316" t="s">
        <v>2605</v>
      </c>
      <c r="E316">
        <v>0</v>
      </c>
      <c r="F316">
        <v>2752</v>
      </c>
      <c r="G316">
        <v>5299</v>
      </c>
      <c r="H316">
        <v>3180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 t="s">
        <v>2581</v>
      </c>
      <c r="X316">
        <v>3</v>
      </c>
      <c r="Y316" t="s">
        <v>434</v>
      </c>
      <c r="Z316" t="s">
        <v>1941</v>
      </c>
      <c r="AA316" t="s">
        <v>152</v>
      </c>
      <c r="AB316" t="s">
        <v>149</v>
      </c>
      <c r="AC316" t="s">
        <v>497</v>
      </c>
      <c r="AD316">
        <v>0</v>
      </c>
      <c r="AE316">
        <v>0</v>
      </c>
      <c r="AF316">
        <v>0</v>
      </c>
      <c r="AG316">
        <v>0</v>
      </c>
      <c r="AH316">
        <f t="shared" si="58"/>
        <v>1</v>
      </c>
      <c r="AI316">
        <f t="shared" si="59"/>
        <v>1</v>
      </c>
      <c r="AJ316">
        <f t="shared" si="60"/>
        <v>0</v>
      </c>
      <c r="AK316">
        <f t="shared" si="61"/>
        <v>0</v>
      </c>
      <c r="AL316">
        <f t="shared" si="62"/>
        <v>0</v>
      </c>
      <c r="AM316">
        <f t="shared" si="63"/>
        <v>0</v>
      </c>
      <c r="AN316">
        <f t="shared" si="64"/>
        <v>1</v>
      </c>
      <c r="AO316">
        <f>SUM(AN$2:$AN316)</f>
        <v>315</v>
      </c>
    </row>
    <row r="317" spans="1:41" x14ac:dyDescent="0.35">
      <c r="A317" t="s">
        <v>163</v>
      </c>
      <c r="B317" t="s">
        <v>2464</v>
      </c>
      <c r="C317">
        <v>12300</v>
      </c>
      <c r="D317" t="s">
        <v>2465</v>
      </c>
      <c r="E317">
        <v>773</v>
      </c>
      <c r="F317">
        <v>1254</v>
      </c>
      <c r="G317">
        <v>0</v>
      </c>
      <c r="H317">
        <v>0</v>
      </c>
      <c r="I317">
        <v>3879</v>
      </c>
      <c r="J317">
        <v>3448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348</v>
      </c>
      <c r="X317">
        <v>6</v>
      </c>
      <c r="Y317" t="s">
        <v>440</v>
      </c>
      <c r="Z317" t="s">
        <v>1942</v>
      </c>
      <c r="AA317" t="s">
        <v>148</v>
      </c>
      <c r="AB317" t="s">
        <v>149</v>
      </c>
      <c r="AC317" t="s">
        <v>497</v>
      </c>
      <c r="AD317">
        <v>3986</v>
      </c>
      <c r="AE317">
        <v>0</v>
      </c>
      <c r="AF317">
        <v>0</v>
      </c>
      <c r="AG317">
        <v>0</v>
      </c>
      <c r="AH317">
        <f t="shared" si="58"/>
        <v>0</v>
      </c>
      <c r="AI317">
        <f t="shared" si="59"/>
        <v>0</v>
      </c>
      <c r="AJ317">
        <f t="shared" si="60"/>
        <v>1</v>
      </c>
      <c r="AK317">
        <f t="shared" si="61"/>
        <v>1</v>
      </c>
      <c r="AL317">
        <f t="shared" si="62"/>
        <v>0</v>
      </c>
      <c r="AM317">
        <f t="shared" si="63"/>
        <v>0</v>
      </c>
      <c r="AN317">
        <f t="shared" si="64"/>
        <v>1</v>
      </c>
      <c r="AO317">
        <f>SUM(AN$2:$AN317)</f>
        <v>316</v>
      </c>
    </row>
    <row r="318" spans="1:41" x14ac:dyDescent="0.35">
      <c r="A318" t="s">
        <v>163</v>
      </c>
      <c r="B318" t="s">
        <v>2466</v>
      </c>
      <c r="C318">
        <v>12450</v>
      </c>
      <c r="D318" t="s">
        <v>2467</v>
      </c>
      <c r="E318">
        <v>782</v>
      </c>
      <c r="F318">
        <v>1269</v>
      </c>
      <c r="G318">
        <v>0</v>
      </c>
      <c r="H318">
        <v>0</v>
      </c>
      <c r="I318">
        <v>0</v>
      </c>
      <c r="J318">
        <v>3490</v>
      </c>
      <c r="K318">
        <v>0</v>
      </c>
      <c r="L318">
        <v>3926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 t="s">
        <v>349</v>
      </c>
      <c r="X318">
        <v>6</v>
      </c>
      <c r="Y318" t="s">
        <v>435</v>
      </c>
      <c r="Z318" t="s">
        <v>1943</v>
      </c>
      <c r="AA318" t="s">
        <v>152</v>
      </c>
      <c r="AB318" t="s">
        <v>148</v>
      </c>
      <c r="AC318" t="s">
        <v>497</v>
      </c>
      <c r="AD318">
        <v>4035</v>
      </c>
      <c r="AE318">
        <v>0</v>
      </c>
      <c r="AF318">
        <v>0</v>
      </c>
      <c r="AG318">
        <v>0</v>
      </c>
      <c r="AH318">
        <f t="shared" si="58"/>
        <v>0</v>
      </c>
      <c r="AI318">
        <f t="shared" si="59"/>
        <v>0</v>
      </c>
      <c r="AJ318">
        <f t="shared" si="60"/>
        <v>0</v>
      </c>
      <c r="AK318">
        <f t="shared" si="61"/>
        <v>1</v>
      </c>
      <c r="AL318">
        <f t="shared" si="62"/>
        <v>0</v>
      </c>
      <c r="AM318">
        <f t="shared" si="63"/>
        <v>1</v>
      </c>
      <c r="AN318">
        <f t="shared" si="64"/>
        <v>1</v>
      </c>
      <c r="AO318">
        <f>SUM(AN$2:$AN318)</f>
        <v>317</v>
      </c>
    </row>
    <row r="319" spans="1:41" x14ac:dyDescent="0.35">
      <c r="A319" t="s">
        <v>163</v>
      </c>
      <c r="B319" t="s">
        <v>2468</v>
      </c>
      <c r="C319">
        <v>12450</v>
      </c>
      <c r="D319" t="s">
        <v>2469</v>
      </c>
      <c r="E319">
        <v>782</v>
      </c>
      <c r="F319">
        <v>1269</v>
      </c>
      <c r="G319">
        <v>3926</v>
      </c>
      <c r="H319">
        <v>0</v>
      </c>
      <c r="I319">
        <v>0</v>
      </c>
      <c r="J319">
        <v>3490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 t="s">
        <v>350</v>
      </c>
      <c r="X319">
        <v>6</v>
      </c>
      <c r="Y319" t="s">
        <v>441</v>
      </c>
      <c r="Z319" t="s">
        <v>1944</v>
      </c>
      <c r="AA319" t="s">
        <v>149</v>
      </c>
      <c r="AB319" t="s">
        <v>152</v>
      </c>
      <c r="AC319" t="s">
        <v>497</v>
      </c>
      <c r="AD319">
        <v>4035</v>
      </c>
      <c r="AE319">
        <v>0</v>
      </c>
      <c r="AF319">
        <v>0</v>
      </c>
      <c r="AG319">
        <v>0</v>
      </c>
      <c r="AH319">
        <f t="shared" ref="AH319:AH382" si="65">IF(G319&gt;1,1,0)</f>
        <v>1</v>
      </c>
      <c r="AI319">
        <f t="shared" ref="AI319:AI382" si="66">IF(H319&gt;1,1,0)</f>
        <v>0</v>
      </c>
      <c r="AJ319">
        <f t="shared" ref="AJ319:AJ382" si="67">IF(I319&gt;1,1,0)</f>
        <v>0</v>
      </c>
      <c r="AK319">
        <f t="shared" ref="AK319:AK382" si="68">IF(J319&gt;1,1,0)</f>
        <v>1</v>
      </c>
      <c r="AL319">
        <f t="shared" ref="AL319:AL382" si="69">IF(K319&gt;1,1,0)</f>
        <v>0</v>
      </c>
      <c r="AM319">
        <f t="shared" ref="AM319:AM382" si="70">IF(L319&gt;1,1,0)</f>
        <v>0</v>
      </c>
      <c r="AN319">
        <f t="shared" ref="AN319:AN382" si="71">MIN(1,($AV$2+IF(AND(AH319&gt;=$AP$3,AI319&gt;=$AQ$3,AJ319&gt;=$AR$3,AK319&gt;=$AS$3,AL319&gt;=$AT$3,AM319&gt;=$AU$3),1,0)))</f>
        <v>1</v>
      </c>
      <c r="AO319">
        <f>SUM(AN$2:$AN319)</f>
        <v>318</v>
      </c>
    </row>
    <row r="320" spans="1:41" x14ac:dyDescent="0.35">
      <c r="A320" t="s">
        <v>163</v>
      </c>
      <c r="B320" t="s">
        <v>2470</v>
      </c>
      <c r="C320">
        <v>12450</v>
      </c>
      <c r="D320" t="s">
        <v>2471</v>
      </c>
      <c r="E320">
        <v>782</v>
      </c>
      <c r="F320">
        <v>1269</v>
      </c>
      <c r="G320">
        <v>3926</v>
      </c>
      <c r="H320">
        <v>0</v>
      </c>
      <c r="I320">
        <v>0</v>
      </c>
      <c r="J320">
        <v>3490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 t="s">
        <v>350</v>
      </c>
      <c r="X320">
        <v>6</v>
      </c>
      <c r="Y320" t="s">
        <v>436</v>
      </c>
      <c r="Z320" t="s">
        <v>1945</v>
      </c>
      <c r="AA320" t="s">
        <v>149</v>
      </c>
      <c r="AB320" t="s">
        <v>152</v>
      </c>
      <c r="AC320" t="s">
        <v>497</v>
      </c>
      <c r="AD320">
        <v>4035</v>
      </c>
      <c r="AE320">
        <v>0</v>
      </c>
      <c r="AF320">
        <v>0</v>
      </c>
      <c r="AG320">
        <v>0</v>
      </c>
      <c r="AH320">
        <f t="shared" si="65"/>
        <v>1</v>
      </c>
      <c r="AI320">
        <f t="shared" si="66"/>
        <v>0</v>
      </c>
      <c r="AJ320">
        <f t="shared" si="67"/>
        <v>0</v>
      </c>
      <c r="AK320">
        <f t="shared" si="68"/>
        <v>1</v>
      </c>
      <c r="AL320">
        <f t="shared" si="69"/>
        <v>0</v>
      </c>
      <c r="AM320">
        <f t="shared" si="70"/>
        <v>0</v>
      </c>
      <c r="AN320">
        <f t="shared" si="71"/>
        <v>1</v>
      </c>
      <c r="AO320">
        <f>SUM(AN$2:$AN320)</f>
        <v>319</v>
      </c>
    </row>
    <row r="321" spans="1:41" x14ac:dyDescent="0.35">
      <c r="A321" t="s">
        <v>163</v>
      </c>
      <c r="B321" t="s">
        <v>2472</v>
      </c>
      <c r="C321">
        <v>12450</v>
      </c>
      <c r="D321" t="s">
        <v>2473</v>
      </c>
      <c r="E321">
        <v>782</v>
      </c>
      <c r="F321">
        <v>1269</v>
      </c>
      <c r="G321">
        <v>3926</v>
      </c>
      <c r="H321">
        <v>0</v>
      </c>
      <c r="I321">
        <v>0</v>
      </c>
      <c r="J321">
        <v>0</v>
      </c>
      <c r="K321">
        <v>3490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 t="s">
        <v>157</v>
      </c>
      <c r="X321">
        <v>6</v>
      </c>
      <c r="Y321" t="s">
        <v>435</v>
      </c>
      <c r="Z321" t="s">
        <v>1946</v>
      </c>
      <c r="AA321" t="s">
        <v>152</v>
      </c>
      <c r="AB321" t="s">
        <v>153</v>
      </c>
      <c r="AC321" t="s">
        <v>497</v>
      </c>
      <c r="AD321">
        <v>4035</v>
      </c>
      <c r="AE321">
        <v>0</v>
      </c>
      <c r="AF321">
        <v>0</v>
      </c>
      <c r="AG321">
        <v>0</v>
      </c>
      <c r="AH321">
        <f t="shared" si="65"/>
        <v>1</v>
      </c>
      <c r="AI321">
        <f t="shared" si="66"/>
        <v>0</v>
      </c>
      <c r="AJ321">
        <f t="shared" si="67"/>
        <v>0</v>
      </c>
      <c r="AK321">
        <f t="shared" si="68"/>
        <v>0</v>
      </c>
      <c r="AL321">
        <f t="shared" si="69"/>
        <v>1</v>
      </c>
      <c r="AM321">
        <f t="shared" si="70"/>
        <v>0</v>
      </c>
      <c r="AN321">
        <f t="shared" si="71"/>
        <v>1</v>
      </c>
      <c r="AO321">
        <f>SUM(AN$2:$AN321)</f>
        <v>320</v>
      </c>
    </row>
    <row r="322" spans="1:41" x14ac:dyDescent="0.35">
      <c r="A322" t="s">
        <v>163</v>
      </c>
      <c r="B322" t="s">
        <v>2474</v>
      </c>
      <c r="C322">
        <v>12600</v>
      </c>
      <c r="D322" t="s">
        <v>2475</v>
      </c>
      <c r="E322">
        <v>792</v>
      </c>
      <c r="F322">
        <v>1285</v>
      </c>
      <c r="G322">
        <v>3973</v>
      </c>
      <c r="H322">
        <v>0</v>
      </c>
      <c r="I322">
        <v>0</v>
      </c>
      <c r="J322">
        <v>3532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 t="s">
        <v>350</v>
      </c>
      <c r="X322">
        <v>6</v>
      </c>
      <c r="Y322" t="s">
        <v>442</v>
      </c>
      <c r="Z322" t="s">
        <v>1947</v>
      </c>
      <c r="AA322" t="s">
        <v>149</v>
      </c>
      <c r="AB322" t="s">
        <v>152</v>
      </c>
      <c r="AC322" t="s">
        <v>497</v>
      </c>
      <c r="AD322">
        <v>4083</v>
      </c>
      <c r="AE322">
        <v>0</v>
      </c>
      <c r="AF322">
        <v>0</v>
      </c>
      <c r="AG322">
        <v>0</v>
      </c>
      <c r="AH322">
        <f t="shared" si="65"/>
        <v>1</v>
      </c>
      <c r="AI322">
        <f t="shared" si="66"/>
        <v>0</v>
      </c>
      <c r="AJ322">
        <f t="shared" si="67"/>
        <v>0</v>
      </c>
      <c r="AK322">
        <f t="shared" si="68"/>
        <v>1</v>
      </c>
      <c r="AL322">
        <f t="shared" si="69"/>
        <v>0</v>
      </c>
      <c r="AM322">
        <f t="shared" si="70"/>
        <v>0</v>
      </c>
      <c r="AN322">
        <f t="shared" si="71"/>
        <v>1</v>
      </c>
      <c r="AO322">
        <f>SUM(AN$2:$AN322)</f>
        <v>321</v>
      </c>
    </row>
    <row r="323" spans="1:41" x14ac:dyDescent="0.35">
      <c r="A323" t="s">
        <v>359</v>
      </c>
      <c r="B323" t="s">
        <v>1014</v>
      </c>
      <c r="C323">
        <v>8000</v>
      </c>
      <c r="D323" t="s">
        <v>1015</v>
      </c>
      <c r="E323">
        <v>559</v>
      </c>
      <c r="F323">
        <v>906</v>
      </c>
      <c r="G323">
        <v>0</v>
      </c>
      <c r="H323">
        <v>0</v>
      </c>
      <c r="I323">
        <v>0</v>
      </c>
      <c r="J323">
        <v>2491</v>
      </c>
      <c r="K323">
        <v>0</v>
      </c>
      <c r="L323">
        <v>2803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349</v>
      </c>
      <c r="X323">
        <v>6</v>
      </c>
      <c r="Y323" t="s">
        <v>435</v>
      </c>
      <c r="Z323" t="s">
        <v>1948</v>
      </c>
      <c r="AA323" t="s">
        <v>148</v>
      </c>
      <c r="AB323" t="s">
        <v>150</v>
      </c>
      <c r="AC323" t="s">
        <v>497</v>
      </c>
      <c r="AD323">
        <v>2881</v>
      </c>
      <c r="AE323">
        <v>0</v>
      </c>
      <c r="AF323">
        <v>0</v>
      </c>
      <c r="AG323">
        <v>0</v>
      </c>
      <c r="AH323">
        <f t="shared" si="65"/>
        <v>0</v>
      </c>
      <c r="AI323">
        <f t="shared" si="66"/>
        <v>0</v>
      </c>
      <c r="AJ323">
        <f t="shared" si="67"/>
        <v>0</v>
      </c>
      <c r="AK323">
        <f t="shared" si="68"/>
        <v>1</v>
      </c>
      <c r="AL323">
        <f t="shared" si="69"/>
        <v>0</v>
      </c>
      <c r="AM323">
        <f t="shared" si="70"/>
        <v>1</v>
      </c>
      <c r="AN323">
        <f t="shared" si="71"/>
        <v>1</v>
      </c>
      <c r="AO323">
        <f>SUM(AN$2:$AN323)</f>
        <v>322</v>
      </c>
    </row>
    <row r="324" spans="1:41" x14ac:dyDescent="0.35">
      <c r="A324" t="s">
        <v>359</v>
      </c>
      <c r="B324" t="s">
        <v>1012</v>
      </c>
      <c r="C324">
        <v>8100</v>
      </c>
      <c r="D324" t="s">
        <v>1949</v>
      </c>
      <c r="E324">
        <v>566</v>
      </c>
      <c r="F324">
        <v>918</v>
      </c>
      <c r="G324">
        <v>0</v>
      </c>
      <c r="H324">
        <v>0</v>
      </c>
      <c r="I324">
        <v>2838</v>
      </c>
      <c r="J324">
        <v>2523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348</v>
      </c>
      <c r="X324">
        <v>6</v>
      </c>
      <c r="Y324" t="s">
        <v>437</v>
      </c>
      <c r="Z324" t="s">
        <v>1950</v>
      </c>
      <c r="AA324" t="s">
        <v>497</v>
      </c>
      <c r="AB324" t="s">
        <v>497</v>
      </c>
      <c r="AC324" t="s">
        <v>497</v>
      </c>
      <c r="AD324">
        <v>2917</v>
      </c>
      <c r="AE324">
        <v>0</v>
      </c>
      <c r="AF324">
        <v>0</v>
      </c>
      <c r="AG324">
        <v>0</v>
      </c>
      <c r="AH324">
        <f t="shared" si="65"/>
        <v>0</v>
      </c>
      <c r="AI324">
        <f t="shared" si="66"/>
        <v>0</v>
      </c>
      <c r="AJ324">
        <f t="shared" si="67"/>
        <v>1</v>
      </c>
      <c r="AK324">
        <f t="shared" si="68"/>
        <v>1</v>
      </c>
      <c r="AL324">
        <f t="shared" si="69"/>
        <v>0</v>
      </c>
      <c r="AM324">
        <f t="shared" si="70"/>
        <v>0</v>
      </c>
      <c r="AN324">
        <f t="shared" si="71"/>
        <v>1</v>
      </c>
      <c r="AO324">
        <f>SUM(AN$2:$AN324)</f>
        <v>323</v>
      </c>
    </row>
    <row r="325" spans="1:41" x14ac:dyDescent="0.35">
      <c r="A325" t="s">
        <v>359</v>
      </c>
      <c r="B325" t="s">
        <v>1356</v>
      </c>
      <c r="C325">
        <v>8100</v>
      </c>
      <c r="D325" t="s">
        <v>1951</v>
      </c>
      <c r="E325">
        <v>566</v>
      </c>
      <c r="F325">
        <v>918</v>
      </c>
      <c r="G325">
        <v>2838</v>
      </c>
      <c r="H325">
        <v>0</v>
      </c>
      <c r="I325">
        <v>0</v>
      </c>
      <c r="J325">
        <v>2523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350</v>
      </c>
      <c r="X325">
        <v>6</v>
      </c>
      <c r="Y325" t="s">
        <v>437</v>
      </c>
      <c r="Z325" t="s">
        <v>1952</v>
      </c>
      <c r="AA325" t="s">
        <v>149</v>
      </c>
      <c r="AB325" t="s">
        <v>150</v>
      </c>
      <c r="AC325" t="s">
        <v>497</v>
      </c>
      <c r="AD325">
        <v>2917</v>
      </c>
      <c r="AE325">
        <v>0</v>
      </c>
      <c r="AF325">
        <v>0</v>
      </c>
      <c r="AG325">
        <v>0</v>
      </c>
      <c r="AH325">
        <f t="shared" si="65"/>
        <v>1</v>
      </c>
      <c r="AI325">
        <f t="shared" si="66"/>
        <v>0</v>
      </c>
      <c r="AJ325">
        <f t="shared" si="67"/>
        <v>0</v>
      </c>
      <c r="AK325">
        <f t="shared" si="68"/>
        <v>1</v>
      </c>
      <c r="AL325">
        <f t="shared" si="69"/>
        <v>0</v>
      </c>
      <c r="AM325">
        <f t="shared" si="70"/>
        <v>0</v>
      </c>
      <c r="AN325">
        <f t="shared" si="71"/>
        <v>1</v>
      </c>
      <c r="AO325">
        <f>SUM(AN$2:$AN325)</f>
        <v>324</v>
      </c>
    </row>
    <row r="326" spans="1:41" x14ac:dyDescent="0.35">
      <c r="A326" t="s">
        <v>359</v>
      </c>
      <c r="B326" t="s">
        <v>1013</v>
      </c>
      <c r="C326">
        <v>8600</v>
      </c>
      <c r="D326" t="s">
        <v>1953</v>
      </c>
      <c r="E326">
        <v>601</v>
      </c>
      <c r="F326">
        <v>974</v>
      </c>
      <c r="G326">
        <v>0</v>
      </c>
      <c r="H326">
        <v>0</v>
      </c>
      <c r="I326">
        <v>3013</v>
      </c>
      <c r="J326">
        <v>2678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348</v>
      </c>
      <c r="X326">
        <v>6</v>
      </c>
      <c r="Y326" t="s">
        <v>628</v>
      </c>
      <c r="Z326" t="s">
        <v>1954</v>
      </c>
      <c r="AA326" t="s">
        <v>148</v>
      </c>
      <c r="AB326" t="s">
        <v>150</v>
      </c>
      <c r="AC326" t="s">
        <v>497</v>
      </c>
      <c r="AD326">
        <v>3097</v>
      </c>
      <c r="AE326">
        <v>0</v>
      </c>
      <c r="AF326">
        <v>0</v>
      </c>
      <c r="AG326">
        <v>0</v>
      </c>
      <c r="AH326">
        <f t="shared" si="65"/>
        <v>0</v>
      </c>
      <c r="AI326">
        <f t="shared" si="66"/>
        <v>0</v>
      </c>
      <c r="AJ326">
        <f t="shared" si="67"/>
        <v>1</v>
      </c>
      <c r="AK326">
        <f t="shared" si="68"/>
        <v>1</v>
      </c>
      <c r="AL326">
        <f t="shared" si="69"/>
        <v>0</v>
      </c>
      <c r="AM326">
        <f t="shared" si="70"/>
        <v>0</v>
      </c>
      <c r="AN326">
        <f t="shared" si="71"/>
        <v>1</v>
      </c>
      <c r="AO326">
        <f>SUM(AN$2:$AN326)</f>
        <v>325</v>
      </c>
    </row>
    <row r="327" spans="1:41" x14ac:dyDescent="0.35">
      <c r="A327" t="s">
        <v>359</v>
      </c>
      <c r="B327" t="s">
        <v>1356</v>
      </c>
      <c r="C327">
        <v>8800</v>
      </c>
      <c r="D327" t="s">
        <v>1357</v>
      </c>
      <c r="E327">
        <v>614</v>
      </c>
      <c r="F327">
        <v>997</v>
      </c>
      <c r="G327">
        <v>3083</v>
      </c>
      <c r="H327">
        <v>0</v>
      </c>
      <c r="I327">
        <v>0</v>
      </c>
      <c r="J327">
        <v>2741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350</v>
      </c>
      <c r="X327">
        <v>6</v>
      </c>
      <c r="Y327" t="s">
        <v>437</v>
      </c>
      <c r="Z327" t="s">
        <v>1955</v>
      </c>
      <c r="AA327" t="s">
        <v>149</v>
      </c>
      <c r="AB327" t="s">
        <v>150</v>
      </c>
      <c r="AC327" t="s">
        <v>497</v>
      </c>
      <c r="AD327">
        <v>3169</v>
      </c>
      <c r="AE327">
        <v>0</v>
      </c>
      <c r="AF327">
        <v>0</v>
      </c>
      <c r="AG327">
        <v>0</v>
      </c>
      <c r="AH327">
        <f t="shared" si="65"/>
        <v>1</v>
      </c>
      <c r="AI327">
        <f t="shared" si="66"/>
        <v>0</v>
      </c>
      <c r="AJ327">
        <f t="shared" si="67"/>
        <v>0</v>
      </c>
      <c r="AK327">
        <f t="shared" si="68"/>
        <v>1</v>
      </c>
      <c r="AL327">
        <f t="shared" si="69"/>
        <v>0</v>
      </c>
      <c r="AM327">
        <f t="shared" si="70"/>
        <v>0</v>
      </c>
      <c r="AN327">
        <f t="shared" si="71"/>
        <v>1</v>
      </c>
      <c r="AO327">
        <f>SUM(AN$2:$AN327)</f>
        <v>326</v>
      </c>
    </row>
    <row r="328" spans="1:41" customFormat="1" x14ac:dyDescent="0.35">
      <c r="A328" t="s">
        <v>359</v>
      </c>
      <c r="B328" t="s">
        <v>1016</v>
      </c>
      <c r="C328">
        <v>9100</v>
      </c>
      <c r="D328" t="s">
        <v>1956</v>
      </c>
      <c r="E328">
        <v>635</v>
      </c>
      <c r="F328">
        <v>1031</v>
      </c>
      <c r="G328">
        <v>3188</v>
      </c>
      <c r="H328">
        <v>0</v>
      </c>
      <c r="I328">
        <v>0</v>
      </c>
      <c r="J328">
        <v>2834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350</v>
      </c>
      <c r="X328">
        <v>6</v>
      </c>
      <c r="Y328" t="s">
        <v>435</v>
      </c>
      <c r="Z328" t="s">
        <v>1957</v>
      </c>
      <c r="AA328" t="s">
        <v>149</v>
      </c>
      <c r="AB328" t="s">
        <v>150</v>
      </c>
      <c r="AC328" t="s">
        <v>497</v>
      </c>
      <c r="AD328">
        <v>3277</v>
      </c>
      <c r="AE328">
        <v>0</v>
      </c>
      <c r="AF328">
        <v>0</v>
      </c>
      <c r="AG328">
        <v>0</v>
      </c>
      <c r="AH328">
        <f t="shared" si="65"/>
        <v>1</v>
      </c>
      <c r="AI328">
        <f t="shared" si="66"/>
        <v>0</v>
      </c>
      <c r="AJ328">
        <f t="shared" si="67"/>
        <v>0</v>
      </c>
      <c r="AK328">
        <f t="shared" si="68"/>
        <v>1</v>
      </c>
      <c r="AL328">
        <f t="shared" si="69"/>
        <v>0</v>
      </c>
      <c r="AM328">
        <f t="shared" si="70"/>
        <v>0</v>
      </c>
      <c r="AN328">
        <f t="shared" si="71"/>
        <v>1</v>
      </c>
      <c r="AO328">
        <f>SUM(AN$2:$AN328)</f>
        <v>327</v>
      </c>
    </row>
    <row r="329" spans="1:41" x14ac:dyDescent="0.35">
      <c r="A329" t="s">
        <v>359</v>
      </c>
      <c r="B329" t="s">
        <v>1024</v>
      </c>
      <c r="C329">
        <v>9600</v>
      </c>
      <c r="D329" t="s">
        <v>1025</v>
      </c>
      <c r="E329">
        <v>670</v>
      </c>
      <c r="F329">
        <v>1087</v>
      </c>
      <c r="G329">
        <v>0</v>
      </c>
      <c r="H329">
        <v>0</v>
      </c>
      <c r="I329">
        <v>0</v>
      </c>
      <c r="J329">
        <v>3363</v>
      </c>
      <c r="K329">
        <v>2990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 t="s">
        <v>347</v>
      </c>
      <c r="X329">
        <v>6</v>
      </c>
      <c r="Y329" t="s">
        <v>1336</v>
      </c>
      <c r="Z329" t="s">
        <v>1958</v>
      </c>
      <c r="AA329" t="s">
        <v>358</v>
      </c>
      <c r="AB329" t="s">
        <v>150</v>
      </c>
      <c r="AC329" t="s">
        <v>497</v>
      </c>
      <c r="AD329">
        <v>3457</v>
      </c>
      <c r="AE329">
        <v>0</v>
      </c>
      <c r="AF329">
        <v>0</v>
      </c>
      <c r="AG329">
        <v>0</v>
      </c>
      <c r="AH329">
        <f t="shared" si="65"/>
        <v>0</v>
      </c>
      <c r="AI329">
        <f t="shared" si="66"/>
        <v>0</v>
      </c>
      <c r="AJ329">
        <f t="shared" si="67"/>
        <v>0</v>
      </c>
      <c r="AK329">
        <f t="shared" si="68"/>
        <v>1</v>
      </c>
      <c r="AL329">
        <f t="shared" si="69"/>
        <v>1</v>
      </c>
      <c r="AM329">
        <f t="shared" si="70"/>
        <v>0</v>
      </c>
      <c r="AN329">
        <f t="shared" si="71"/>
        <v>1</v>
      </c>
      <c r="AO329">
        <f>SUM(AN$2:$AN329)</f>
        <v>328</v>
      </c>
    </row>
    <row r="330" spans="1:41" x14ac:dyDescent="0.35">
      <c r="A330" t="s">
        <v>359</v>
      </c>
      <c r="B330" t="s">
        <v>1358</v>
      </c>
      <c r="C330">
        <v>9600</v>
      </c>
      <c r="D330" t="s">
        <v>1359</v>
      </c>
      <c r="E330">
        <v>670</v>
      </c>
      <c r="F330">
        <v>1087</v>
      </c>
      <c r="G330">
        <v>0</v>
      </c>
      <c r="H330">
        <v>0</v>
      </c>
      <c r="I330">
        <v>0</v>
      </c>
      <c r="J330">
        <v>2990</v>
      </c>
      <c r="K330">
        <v>0</v>
      </c>
      <c r="L330">
        <v>3363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349</v>
      </c>
      <c r="X330">
        <v>6</v>
      </c>
      <c r="Y330" t="s">
        <v>443</v>
      </c>
      <c r="Z330" t="s">
        <v>1959</v>
      </c>
      <c r="AA330" t="s">
        <v>148</v>
      </c>
      <c r="AB330" t="s">
        <v>150</v>
      </c>
      <c r="AC330" t="s">
        <v>497</v>
      </c>
      <c r="AD330">
        <v>3457</v>
      </c>
      <c r="AE330">
        <v>0</v>
      </c>
      <c r="AF330">
        <v>0</v>
      </c>
      <c r="AG330">
        <v>0</v>
      </c>
      <c r="AH330">
        <f t="shared" si="65"/>
        <v>0</v>
      </c>
      <c r="AI330">
        <f t="shared" si="66"/>
        <v>0</v>
      </c>
      <c r="AJ330">
        <f t="shared" si="67"/>
        <v>0</v>
      </c>
      <c r="AK330">
        <f t="shared" si="68"/>
        <v>1</v>
      </c>
      <c r="AL330">
        <f t="shared" si="69"/>
        <v>0</v>
      </c>
      <c r="AM330">
        <f t="shared" si="70"/>
        <v>1</v>
      </c>
      <c r="AN330">
        <f t="shared" si="71"/>
        <v>1</v>
      </c>
      <c r="AO330">
        <f>SUM(AN$2:$AN330)</f>
        <v>329</v>
      </c>
    </row>
    <row r="331" spans="1:41" x14ac:dyDescent="0.35">
      <c r="A331" t="s">
        <v>359</v>
      </c>
      <c r="B331" t="s">
        <v>1017</v>
      </c>
      <c r="C331">
        <v>10000</v>
      </c>
      <c r="D331" t="s">
        <v>1960</v>
      </c>
      <c r="E331">
        <v>698</v>
      </c>
      <c r="F331">
        <v>1133</v>
      </c>
      <c r="G331">
        <v>0</v>
      </c>
      <c r="H331">
        <v>0</v>
      </c>
      <c r="I331">
        <v>3504</v>
      </c>
      <c r="J331">
        <v>3114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348</v>
      </c>
      <c r="X331">
        <v>6</v>
      </c>
      <c r="Y331" t="s">
        <v>435</v>
      </c>
      <c r="Z331" t="s">
        <v>1961</v>
      </c>
      <c r="AA331" t="s">
        <v>148</v>
      </c>
      <c r="AB331" t="s">
        <v>150</v>
      </c>
      <c r="AC331" t="s">
        <v>497</v>
      </c>
      <c r="AD331">
        <v>3601</v>
      </c>
      <c r="AE331">
        <v>0</v>
      </c>
      <c r="AF331">
        <v>0</v>
      </c>
      <c r="AG331">
        <v>0</v>
      </c>
      <c r="AH331">
        <f t="shared" si="65"/>
        <v>0</v>
      </c>
      <c r="AI331">
        <f t="shared" si="66"/>
        <v>0</v>
      </c>
      <c r="AJ331">
        <f t="shared" si="67"/>
        <v>1</v>
      </c>
      <c r="AK331">
        <f t="shared" si="68"/>
        <v>1</v>
      </c>
      <c r="AL331">
        <f t="shared" si="69"/>
        <v>0</v>
      </c>
      <c r="AM331">
        <f t="shared" si="70"/>
        <v>0</v>
      </c>
      <c r="AN331">
        <f t="shared" si="71"/>
        <v>1</v>
      </c>
      <c r="AO331">
        <f>SUM(AN$2:$AN331)</f>
        <v>330</v>
      </c>
    </row>
    <row r="332" spans="1:41" x14ac:dyDescent="0.35">
      <c r="A332" t="s">
        <v>359</v>
      </c>
      <c r="B332" t="s">
        <v>1360</v>
      </c>
      <c r="C332">
        <v>10000</v>
      </c>
      <c r="D332" t="s">
        <v>1361</v>
      </c>
      <c r="E332">
        <v>698</v>
      </c>
      <c r="F332">
        <v>1133</v>
      </c>
      <c r="G332">
        <v>0</v>
      </c>
      <c r="H332">
        <v>0</v>
      </c>
      <c r="I332">
        <v>3504</v>
      </c>
      <c r="J332">
        <v>3114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348</v>
      </c>
      <c r="X332">
        <v>6</v>
      </c>
      <c r="Y332" t="s">
        <v>439</v>
      </c>
      <c r="Z332" t="s">
        <v>1962</v>
      </c>
      <c r="AA332" t="s">
        <v>148</v>
      </c>
      <c r="AB332" t="s">
        <v>150</v>
      </c>
      <c r="AC332" t="s">
        <v>497</v>
      </c>
      <c r="AD332">
        <v>3601</v>
      </c>
      <c r="AE332">
        <v>0</v>
      </c>
      <c r="AF332">
        <v>0</v>
      </c>
      <c r="AG332">
        <v>0</v>
      </c>
      <c r="AH332">
        <f t="shared" si="65"/>
        <v>0</v>
      </c>
      <c r="AI332">
        <f t="shared" si="66"/>
        <v>0</v>
      </c>
      <c r="AJ332">
        <f t="shared" si="67"/>
        <v>1</v>
      </c>
      <c r="AK332">
        <f t="shared" si="68"/>
        <v>1</v>
      </c>
      <c r="AL332">
        <f t="shared" si="69"/>
        <v>0</v>
      </c>
      <c r="AM332">
        <f t="shared" si="70"/>
        <v>0</v>
      </c>
      <c r="AN332">
        <f t="shared" si="71"/>
        <v>1</v>
      </c>
      <c r="AO332">
        <f>SUM(AN$2:$AN332)</f>
        <v>331</v>
      </c>
    </row>
    <row r="333" spans="1:41" x14ac:dyDescent="0.35">
      <c r="A333" t="s">
        <v>359</v>
      </c>
      <c r="B333" t="s">
        <v>1026</v>
      </c>
      <c r="C333">
        <v>10000</v>
      </c>
      <c r="D333" t="s">
        <v>1027</v>
      </c>
      <c r="E333">
        <v>698</v>
      </c>
      <c r="F333">
        <v>1133</v>
      </c>
      <c r="G333">
        <v>0</v>
      </c>
      <c r="H333">
        <v>0</v>
      </c>
      <c r="I333">
        <v>0</v>
      </c>
      <c r="J333">
        <v>3114</v>
      </c>
      <c r="K333">
        <v>0</v>
      </c>
      <c r="L333">
        <v>3504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349</v>
      </c>
      <c r="X333">
        <v>6</v>
      </c>
      <c r="Y333" t="s">
        <v>443</v>
      </c>
      <c r="Z333" t="s">
        <v>1963</v>
      </c>
      <c r="AA333" t="s">
        <v>148</v>
      </c>
      <c r="AB333" t="s">
        <v>150</v>
      </c>
      <c r="AC333" t="s">
        <v>497</v>
      </c>
      <c r="AD333">
        <v>3601</v>
      </c>
      <c r="AE333">
        <v>0</v>
      </c>
      <c r="AF333">
        <v>0</v>
      </c>
      <c r="AG333">
        <v>0</v>
      </c>
      <c r="AH333">
        <f t="shared" si="65"/>
        <v>0</v>
      </c>
      <c r="AI333">
        <f t="shared" si="66"/>
        <v>0</v>
      </c>
      <c r="AJ333">
        <f t="shared" si="67"/>
        <v>0</v>
      </c>
      <c r="AK333">
        <f t="shared" si="68"/>
        <v>1</v>
      </c>
      <c r="AL333">
        <f t="shared" si="69"/>
        <v>0</v>
      </c>
      <c r="AM333">
        <f t="shared" si="70"/>
        <v>1</v>
      </c>
      <c r="AN333">
        <f t="shared" si="71"/>
        <v>1</v>
      </c>
      <c r="AO333">
        <f>SUM(AN$2:$AN333)</f>
        <v>332</v>
      </c>
    </row>
    <row r="334" spans="1:41" x14ac:dyDescent="0.35">
      <c r="A334" t="s">
        <v>359</v>
      </c>
      <c r="B334" t="s">
        <v>1018</v>
      </c>
      <c r="C334">
        <v>10000</v>
      </c>
      <c r="D334" t="s">
        <v>1964</v>
      </c>
      <c r="E334">
        <v>698</v>
      </c>
      <c r="F334">
        <v>1133</v>
      </c>
      <c r="G334">
        <v>0</v>
      </c>
      <c r="H334">
        <v>0</v>
      </c>
      <c r="I334">
        <v>0</v>
      </c>
      <c r="J334">
        <v>0</v>
      </c>
      <c r="K334">
        <v>3114</v>
      </c>
      <c r="L334">
        <v>3504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1</v>
      </c>
      <c r="U334">
        <v>0</v>
      </c>
      <c r="V334">
        <v>0</v>
      </c>
      <c r="W334" t="s">
        <v>158</v>
      </c>
      <c r="X334">
        <v>6</v>
      </c>
      <c r="Y334" t="s">
        <v>435</v>
      </c>
      <c r="Z334" t="s">
        <v>1965</v>
      </c>
      <c r="AA334" t="s">
        <v>150</v>
      </c>
      <c r="AB334" t="s">
        <v>358</v>
      </c>
      <c r="AC334" t="s">
        <v>497</v>
      </c>
      <c r="AD334">
        <v>3601</v>
      </c>
      <c r="AE334">
        <v>0</v>
      </c>
      <c r="AF334">
        <v>0</v>
      </c>
      <c r="AG334">
        <v>0</v>
      </c>
      <c r="AH334">
        <f t="shared" si="65"/>
        <v>0</v>
      </c>
      <c r="AI334">
        <f t="shared" si="66"/>
        <v>0</v>
      </c>
      <c r="AJ334">
        <f t="shared" si="67"/>
        <v>0</v>
      </c>
      <c r="AK334">
        <f t="shared" si="68"/>
        <v>0</v>
      </c>
      <c r="AL334">
        <f t="shared" si="69"/>
        <v>1</v>
      </c>
      <c r="AM334">
        <f t="shared" si="70"/>
        <v>1</v>
      </c>
      <c r="AN334">
        <f t="shared" si="71"/>
        <v>1</v>
      </c>
      <c r="AO334">
        <f>SUM(AN$2:$AN334)</f>
        <v>333</v>
      </c>
    </row>
    <row r="335" spans="1:41" x14ac:dyDescent="0.35">
      <c r="A335" t="s">
        <v>359</v>
      </c>
      <c r="B335" t="s">
        <v>1019</v>
      </c>
      <c r="C335">
        <v>10000</v>
      </c>
      <c r="D335" t="s">
        <v>1966</v>
      </c>
      <c r="E335">
        <v>698</v>
      </c>
      <c r="F335">
        <v>1133</v>
      </c>
      <c r="G335">
        <v>0</v>
      </c>
      <c r="H335">
        <v>0</v>
      </c>
      <c r="I335">
        <v>3504</v>
      </c>
      <c r="J335">
        <v>0</v>
      </c>
      <c r="K335">
        <v>3114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159</v>
      </c>
      <c r="X335">
        <v>6</v>
      </c>
      <c r="Y335" t="s">
        <v>435</v>
      </c>
      <c r="Z335" t="s">
        <v>1967</v>
      </c>
      <c r="AA335" t="s">
        <v>148</v>
      </c>
      <c r="AB335" t="s">
        <v>150</v>
      </c>
      <c r="AC335" t="s">
        <v>497</v>
      </c>
      <c r="AD335">
        <v>3601</v>
      </c>
      <c r="AE335">
        <v>0</v>
      </c>
      <c r="AF335">
        <v>0</v>
      </c>
      <c r="AG335">
        <v>0</v>
      </c>
      <c r="AH335">
        <f t="shared" si="65"/>
        <v>0</v>
      </c>
      <c r="AI335">
        <f t="shared" si="66"/>
        <v>0</v>
      </c>
      <c r="AJ335">
        <f t="shared" si="67"/>
        <v>1</v>
      </c>
      <c r="AK335">
        <f t="shared" si="68"/>
        <v>0</v>
      </c>
      <c r="AL335">
        <f t="shared" si="69"/>
        <v>1</v>
      </c>
      <c r="AM335">
        <f t="shared" si="70"/>
        <v>0</v>
      </c>
      <c r="AN335">
        <f t="shared" si="71"/>
        <v>1</v>
      </c>
      <c r="AO335">
        <f>SUM(AN$2:$AN335)</f>
        <v>334</v>
      </c>
    </row>
    <row r="336" spans="1:41" x14ac:dyDescent="0.35">
      <c r="A336" t="s">
        <v>359</v>
      </c>
      <c r="B336" t="s">
        <v>1020</v>
      </c>
      <c r="C336">
        <v>10000</v>
      </c>
      <c r="D336" t="s">
        <v>1968</v>
      </c>
      <c r="E336">
        <v>698</v>
      </c>
      <c r="F336">
        <v>1133</v>
      </c>
      <c r="G336">
        <v>0</v>
      </c>
      <c r="H336">
        <v>0</v>
      </c>
      <c r="I336">
        <v>3504</v>
      </c>
      <c r="J336">
        <v>0</v>
      </c>
      <c r="K336">
        <v>3114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159</v>
      </c>
      <c r="X336">
        <v>6</v>
      </c>
      <c r="Y336" t="s">
        <v>435</v>
      </c>
      <c r="Z336" t="s">
        <v>1969</v>
      </c>
      <c r="AA336" t="s">
        <v>148</v>
      </c>
      <c r="AB336" t="s">
        <v>150</v>
      </c>
      <c r="AC336" t="s">
        <v>497</v>
      </c>
      <c r="AD336">
        <v>3601</v>
      </c>
      <c r="AE336">
        <v>0</v>
      </c>
      <c r="AF336">
        <v>0</v>
      </c>
      <c r="AG336">
        <v>0</v>
      </c>
      <c r="AH336">
        <f t="shared" si="65"/>
        <v>0</v>
      </c>
      <c r="AI336">
        <f t="shared" si="66"/>
        <v>0</v>
      </c>
      <c r="AJ336">
        <f t="shared" si="67"/>
        <v>1</v>
      </c>
      <c r="AK336">
        <f t="shared" si="68"/>
        <v>0</v>
      </c>
      <c r="AL336">
        <f t="shared" si="69"/>
        <v>1</v>
      </c>
      <c r="AM336">
        <f t="shared" si="70"/>
        <v>0</v>
      </c>
      <c r="AN336">
        <f t="shared" si="71"/>
        <v>1</v>
      </c>
      <c r="AO336">
        <f>SUM(AN$2:$AN336)</f>
        <v>335</v>
      </c>
    </row>
    <row r="337" spans="1:41" x14ac:dyDescent="0.35">
      <c r="A337" t="s">
        <v>359</v>
      </c>
      <c r="B337" t="s">
        <v>1493</v>
      </c>
      <c r="C337">
        <v>10000</v>
      </c>
      <c r="D337" t="s">
        <v>1494</v>
      </c>
      <c r="E337">
        <v>698</v>
      </c>
      <c r="F337">
        <v>1133</v>
      </c>
      <c r="G337">
        <v>0</v>
      </c>
      <c r="H337">
        <v>0</v>
      </c>
      <c r="I337">
        <v>3504</v>
      </c>
      <c r="J337">
        <v>0</v>
      </c>
      <c r="K337">
        <v>3114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159</v>
      </c>
      <c r="X337">
        <v>6</v>
      </c>
      <c r="Y337" t="s">
        <v>434</v>
      </c>
      <c r="Z337" t="s">
        <v>1970</v>
      </c>
      <c r="AA337" t="s">
        <v>148</v>
      </c>
      <c r="AB337" t="s">
        <v>150</v>
      </c>
      <c r="AC337" t="s">
        <v>497</v>
      </c>
      <c r="AD337">
        <v>3601</v>
      </c>
      <c r="AE337">
        <v>0</v>
      </c>
      <c r="AF337">
        <v>0</v>
      </c>
      <c r="AG337">
        <v>0</v>
      </c>
      <c r="AH337">
        <f t="shared" si="65"/>
        <v>0</v>
      </c>
      <c r="AI337">
        <f t="shared" si="66"/>
        <v>0</v>
      </c>
      <c r="AJ337">
        <f t="shared" si="67"/>
        <v>1</v>
      </c>
      <c r="AK337">
        <f t="shared" si="68"/>
        <v>0</v>
      </c>
      <c r="AL337">
        <f t="shared" si="69"/>
        <v>1</v>
      </c>
      <c r="AM337">
        <f t="shared" si="70"/>
        <v>0</v>
      </c>
      <c r="AN337">
        <f t="shared" si="71"/>
        <v>1</v>
      </c>
      <c r="AO337">
        <f>SUM(AN$2:$AN337)</f>
        <v>336</v>
      </c>
    </row>
    <row r="338" spans="1:41" x14ac:dyDescent="0.35">
      <c r="A338" t="s">
        <v>359</v>
      </c>
      <c r="B338" t="s">
        <v>1021</v>
      </c>
      <c r="C338">
        <v>10000</v>
      </c>
      <c r="D338" t="s">
        <v>1971</v>
      </c>
      <c r="E338">
        <v>698</v>
      </c>
      <c r="F338">
        <v>1133</v>
      </c>
      <c r="G338">
        <v>3504</v>
      </c>
      <c r="H338">
        <v>0</v>
      </c>
      <c r="I338">
        <v>0</v>
      </c>
      <c r="J338">
        <v>3114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350</v>
      </c>
      <c r="X338">
        <v>6</v>
      </c>
      <c r="Y338" t="s">
        <v>435</v>
      </c>
      <c r="Z338" t="s">
        <v>1972</v>
      </c>
      <c r="AA338" t="s">
        <v>149</v>
      </c>
      <c r="AB338" t="s">
        <v>150</v>
      </c>
      <c r="AC338" t="s">
        <v>497</v>
      </c>
      <c r="AD338">
        <v>3601</v>
      </c>
      <c r="AE338">
        <v>0</v>
      </c>
      <c r="AF338">
        <v>0</v>
      </c>
      <c r="AG338">
        <v>0</v>
      </c>
      <c r="AH338">
        <f t="shared" si="65"/>
        <v>1</v>
      </c>
      <c r="AI338">
        <f t="shared" si="66"/>
        <v>0</v>
      </c>
      <c r="AJ338">
        <f t="shared" si="67"/>
        <v>0</v>
      </c>
      <c r="AK338">
        <f t="shared" si="68"/>
        <v>1</v>
      </c>
      <c r="AL338">
        <f t="shared" si="69"/>
        <v>0</v>
      </c>
      <c r="AM338">
        <f t="shared" si="70"/>
        <v>0</v>
      </c>
      <c r="AN338">
        <f t="shared" si="71"/>
        <v>1</v>
      </c>
      <c r="AO338">
        <f>SUM(AN$2:$AN338)</f>
        <v>337</v>
      </c>
    </row>
    <row r="339" spans="1:41" x14ac:dyDescent="0.35">
      <c r="A339" t="s">
        <v>359</v>
      </c>
      <c r="B339" t="s">
        <v>1022</v>
      </c>
      <c r="C339">
        <v>10000</v>
      </c>
      <c r="D339" t="s">
        <v>1973</v>
      </c>
      <c r="E339">
        <v>698</v>
      </c>
      <c r="F339">
        <v>1133</v>
      </c>
      <c r="G339">
        <v>3504</v>
      </c>
      <c r="H339">
        <v>0</v>
      </c>
      <c r="I339">
        <v>0</v>
      </c>
      <c r="J339">
        <v>3114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350</v>
      </c>
      <c r="X339">
        <v>6</v>
      </c>
      <c r="Y339" t="s">
        <v>435</v>
      </c>
      <c r="Z339" t="s">
        <v>1974</v>
      </c>
      <c r="AA339" t="s">
        <v>149</v>
      </c>
      <c r="AB339" t="s">
        <v>150</v>
      </c>
      <c r="AC339" t="s">
        <v>497</v>
      </c>
      <c r="AD339">
        <v>3601</v>
      </c>
      <c r="AE339">
        <v>0</v>
      </c>
      <c r="AF339">
        <v>0</v>
      </c>
      <c r="AG339">
        <v>0</v>
      </c>
      <c r="AH339">
        <f t="shared" si="65"/>
        <v>1</v>
      </c>
      <c r="AI339">
        <f t="shared" si="66"/>
        <v>0</v>
      </c>
      <c r="AJ339">
        <f t="shared" si="67"/>
        <v>0</v>
      </c>
      <c r="AK339">
        <f t="shared" si="68"/>
        <v>1</v>
      </c>
      <c r="AL339">
        <f t="shared" si="69"/>
        <v>0</v>
      </c>
      <c r="AM339">
        <f t="shared" si="70"/>
        <v>0</v>
      </c>
      <c r="AN339">
        <f t="shared" si="71"/>
        <v>1</v>
      </c>
      <c r="AO339">
        <f>SUM(AN$2:$AN339)</f>
        <v>338</v>
      </c>
    </row>
    <row r="340" spans="1:41" x14ac:dyDescent="0.35">
      <c r="A340" t="s">
        <v>359</v>
      </c>
      <c r="B340" t="s">
        <v>1023</v>
      </c>
      <c r="C340">
        <v>10000</v>
      </c>
      <c r="D340" t="s">
        <v>1975</v>
      </c>
      <c r="E340">
        <v>698</v>
      </c>
      <c r="F340">
        <v>1133</v>
      </c>
      <c r="G340">
        <v>3504</v>
      </c>
      <c r="H340">
        <v>0</v>
      </c>
      <c r="I340">
        <v>0</v>
      </c>
      <c r="J340">
        <v>0</v>
      </c>
      <c r="K340">
        <v>3114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 t="s">
        <v>157</v>
      </c>
      <c r="X340">
        <v>6</v>
      </c>
      <c r="Y340" t="s">
        <v>435</v>
      </c>
      <c r="Z340" t="s">
        <v>1976</v>
      </c>
      <c r="AA340" t="s">
        <v>150</v>
      </c>
      <c r="AB340" t="s">
        <v>151</v>
      </c>
      <c r="AC340" t="s">
        <v>497</v>
      </c>
      <c r="AD340">
        <v>3601</v>
      </c>
      <c r="AE340">
        <v>0</v>
      </c>
      <c r="AF340">
        <v>0</v>
      </c>
      <c r="AG340">
        <v>0</v>
      </c>
      <c r="AH340">
        <f t="shared" si="65"/>
        <v>1</v>
      </c>
      <c r="AI340">
        <f t="shared" si="66"/>
        <v>0</v>
      </c>
      <c r="AJ340">
        <f t="shared" si="67"/>
        <v>0</v>
      </c>
      <c r="AK340">
        <f t="shared" si="68"/>
        <v>0</v>
      </c>
      <c r="AL340">
        <f t="shared" si="69"/>
        <v>1</v>
      </c>
      <c r="AM340">
        <f t="shared" si="70"/>
        <v>0</v>
      </c>
      <c r="AN340">
        <f t="shared" si="71"/>
        <v>1</v>
      </c>
      <c r="AO340">
        <f>SUM(AN$2:$AN340)</f>
        <v>339</v>
      </c>
    </row>
    <row r="341" spans="1:41" x14ac:dyDescent="0.35">
      <c r="A341" t="s">
        <v>359</v>
      </c>
      <c r="B341" t="s">
        <v>1028</v>
      </c>
      <c r="C341">
        <v>10000</v>
      </c>
      <c r="D341" t="s">
        <v>1029</v>
      </c>
      <c r="E341">
        <v>698</v>
      </c>
      <c r="F341">
        <v>1133</v>
      </c>
      <c r="G341">
        <v>3504</v>
      </c>
      <c r="H341">
        <v>0</v>
      </c>
      <c r="I341">
        <v>0</v>
      </c>
      <c r="J341">
        <v>0</v>
      </c>
      <c r="K341">
        <v>3114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 t="s">
        <v>157</v>
      </c>
      <c r="X341">
        <v>6</v>
      </c>
      <c r="Y341" t="s">
        <v>440</v>
      </c>
      <c r="Z341" t="s">
        <v>1977</v>
      </c>
      <c r="AA341" t="s">
        <v>150</v>
      </c>
      <c r="AB341" t="s">
        <v>151</v>
      </c>
      <c r="AC341" t="s">
        <v>497</v>
      </c>
      <c r="AD341">
        <v>3601</v>
      </c>
      <c r="AE341">
        <v>0</v>
      </c>
      <c r="AF341">
        <v>0</v>
      </c>
      <c r="AG341">
        <v>0</v>
      </c>
      <c r="AH341">
        <f t="shared" si="65"/>
        <v>1</v>
      </c>
      <c r="AI341">
        <f t="shared" si="66"/>
        <v>0</v>
      </c>
      <c r="AJ341">
        <f t="shared" si="67"/>
        <v>0</v>
      </c>
      <c r="AK341">
        <f t="shared" si="68"/>
        <v>0</v>
      </c>
      <c r="AL341">
        <f t="shared" si="69"/>
        <v>1</v>
      </c>
      <c r="AM341">
        <f t="shared" si="70"/>
        <v>0</v>
      </c>
      <c r="AN341">
        <f t="shared" si="71"/>
        <v>1</v>
      </c>
      <c r="AO341">
        <f>SUM(AN$2:$AN341)</f>
        <v>340</v>
      </c>
    </row>
    <row r="342" spans="1:41" x14ac:dyDescent="0.35">
      <c r="A342" t="s">
        <v>359</v>
      </c>
      <c r="B342" t="s">
        <v>1030</v>
      </c>
      <c r="C342">
        <v>10150</v>
      </c>
      <c r="D342" t="s">
        <v>1031</v>
      </c>
      <c r="E342">
        <v>709</v>
      </c>
      <c r="F342">
        <v>1150</v>
      </c>
      <c r="G342">
        <v>0</v>
      </c>
      <c r="H342">
        <v>0</v>
      </c>
      <c r="I342">
        <v>3556</v>
      </c>
      <c r="J342">
        <v>3161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348</v>
      </c>
      <c r="X342">
        <v>6</v>
      </c>
      <c r="Y342" t="s">
        <v>435</v>
      </c>
      <c r="Z342" t="s">
        <v>1978</v>
      </c>
      <c r="AA342" t="s">
        <v>148</v>
      </c>
      <c r="AB342" t="s">
        <v>150</v>
      </c>
      <c r="AC342" t="s">
        <v>497</v>
      </c>
      <c r="AD342">
        <v>3655</v>
      </c>
      <c r="AE342">
        <v>0</v>
      </c>
      <c r="AF342">
        <v>0</v>
      </c>
      <c r="AG342">
        <v>0</v>
      </c>
      <c r="AH342">
        <f t="shared" si="65"/>
        <v>0</v>
      </c>
      <c r="AI342">
        <f t="shared" si="66"/>
        <v>0</v>
      </c>
      <c r="AJ342">
        <f t="shared" si="67"/>
        <v>1</v>
      </c>
      <c r="AK342">
        <f t="shared" si="68"/>
        <v>1</v>
      </c>
      <c r="AL342">
        <f t="shared" si="69"/>
        <v>0</v>
      </c>
      <c r="AM342">
        <f t="shared" si="70"/>
        <v>0</v>
      </c>
      <c r="AN342">
        <f t="shared" si="71"/>
        <v>1</v>
      </c>
      <c r="AO342">
        <f>SUM(AN$2:$AN342)</f>
        <v>341</v>
      </c>
    </row>
    <row r="343" spans="1:41" x14ac:dyDescent="0.35">
      <c r="A343" t="s">
        <v>359</v>
      </c>
      <c r="B343" t="s">
        <v>1032</v>
      </c>
      <c r="C343">
        <v>10150</v>
      </c>
      <c r="D343" t="s">
        <v>1033</v>
      </c>
      <c r="E343">
        <v>709</v>
      </c>
      <c r="F343">
        <v>1150</v>
      </c>
      <c r="G343">
        <v>3556</v>
      </c>
      <c r="H343">
        <v>0</v>
      </c>
      <c r="I343">
        <v>0</v>
      </c>
      <c r="J343">
        <v>3161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350</v>
      </c>
      <c r="X343">
        <v>6</v>
      </c>
      <c r="Y343" t="s">
        <v>435</v>
      </c>
      <c r="Z343" t="s">
        <v>1979</v>
      </c>
      <c r="AA343" t="s">
        <v>149</v>
      </c>
      <c r="AB343" t="s">
        <v>150</v>
      </c>
      <c r="AC343" t="s">
        <v>497</v>
      </c>
      <c r="AD343">
        <v>3655</v>
      </c>
      <c r="AE343">
        <v>0</v>
      </c>
      <c r="AF343">
        <v>0</v>
      </c>
      <c r="AG343">
        <v>0</v>
      </c>
      <c r="AH343">
        <f t="shared" si="65"/>
        <v>1</v>
      </c>
      <c r="AI343">
        <f t="shared" si="66"/>
        <v>0</v>
      </c>
      <c r="AJ343">
        <f t="shared" si="67"/>
        <v>0</v>
      </c>
      <c r="AK343">
        <f t="shared" si="68"/>
        <v>1</v>
      </c>
      <c r="AL343">
        <f t="shared" si="69"/>
        <v>0</v>
      </c>
      <c r="AM343">
        <f t="shared" si="70"/>
        <v>0</v>
      </c>
      <c r="AN343">
        <f t="shared" si="71"/>
        <v>1</v>
      </c>
      <c r="AO343">
        <f>SUM(AN$2:$AN343)</f>
        <v>342</v>
      </c>
    </row>
    <row r="344" spans="1:41" customFormat="1" x14ac:dyDescent="0.35">
      <c r="A344" t="s">
        <v>359</v>
      </c>
      <c r="B344" t="s">
        <v>2476</v>
      </c>
      <c r="C344">
        <v>10400</v>
      </c>
      <c r="D344" t="s">
        <v>2477</v>
      </c>
      <c r="E344">
        <v>726</v>
      </c>
      <c r="F344">
        <v>1178</v>
      </c>
      <c r="G344">
        <v>0</v>
      </c>
      <c r="H344">
        <v>0</v>
      </c>
      <c r="I344">
        <v>0</v>
      </c>
      <c r="J344">
        <v>3644</v>
      </c>
      <c r="K344">
        <v>3239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0</v>
      </c>
      <c r="W344" t="s">
        <v>347</v>
      </c>
      <c r="X344">
        <v>6</v>
      </c>
      <c r="Y344" t="s">
        <v>1336</v>
      </c>
      <c r="Z344" t="s">
        <v>1980</v>
      </c>
      <c r="AA344" t="s">
        <v>358</v>
      </c>
      <c r="AB344" t="s">
        <v>150</v>
      </c>
      <c r="AC344" t="s">
        <v>497</v>
      </c>
      <c r="AD344">
        <v>3745</v>
      </c>
      <c r="AE344">
        <v>0</v>
      </c>
      <c r="AF344">
        <v>0</v>
      </c>
      <c r="AG344">
        <v>0</v>
      </c>
      <c r="AH344">
        <f t="shared" si="65"/>
        <v>0</v>
      </c>
      <c r="AI344">
        <f t="shared" si="66"/>
        <v>0</v>
      </c>
      <c r="AJ344">
        <f t="shared" si="67"/>
        <v>0</v>
      </c>
      <c r="AK344">
        <f t="shared" si="68"/>
        <v>1</v>
      </c>
      <c r="AL344">
        <f t="shared" si="69"/>
        <v>1</v>
      </c>
      <c r="AM344">
        <f t="shared" si="70"/>
        <v>0</v>
      </c>
      <c r="AN344">
        <f t="shared" si="71"/>
        <v>1</v>
      </c>
      <c r="AO344">
        <f>SUM(AN$2:$AN344)</f>
        <v>343</v>
      </c>
    </row>
    <row r="345" spans="1:41" customFormat="1" x14ac:dyDescent="0.35">
      <c r="A345" t="s">
        <v>359</v>
      </c>
      <c r="B345" t="s">
        <v>2478</v>
      </c>
      <c r="C345">
        <v>11000</v>
      </c>
      <c r="D345" t="s">
        <v>2479</v>
      </c>
      <c r="E345">
        <v>768</v>
      </c>
      <c r="F345">
        <v>1246</v>
      </c>
      <c r="G345">
        <v>0</v>
      </c>
      <c r="H345">
        <v>0</v>
      </c>
      <c r="I345">
        <v>3854</v>
      </c>
      <c r="J345">
        <v>3426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348</v>
      </c>
      <c r="X345">
        <v>6</v>
      </c>
      <c r="Y345" t="s">
        <v>439</v>
      </c>
      <c r="Z345" t="s">
        <v>1981</v>
      </c>
      <c r="AA345" t="s">
        <v>148</v>
      </c>
      <c r="AB345" t="s">
        <v>150</v>
      </c>
      <c r="AC345" t="s">
        <v>497</v>
      </c>
      <c r="AD345">
        <v>3961</v>
      </c>
      <c r="AE345">
        <v>0</v>
      </c>
      <c r="AF345">
        <v>0</v>
      </c>
      <c r="AG345">
        <v>0</v>
      </c>
      <c r="AH345">
        <f t="shared" si="65"/>
        <v>0</v>
      </c>
      <c r="AI345">
        <f t="shared" si="66"/>
        <v>0</v>
      </c>
      <c r="AJ345">
        <f t="shared" si="67"/>
        <v>1</v>
      </c>
      <c r="AK345">
        <f t="shared" si="68"/>
        <v>1</v>
      </c>
      <c r="AL345">
        <f t="shared" si="69"/>
        <v>0</v>
      </c>
      <c r="AM345">
        <f t="shared" si="70"/>
        <v>0</v>
      </c>
      <c r="AN345">
        <f t="shared" si="71"/>
        <v>1</v>
      </c>
      <c r="AO345">
        <f>SUM(AN$2:$AN345)</f>
        <v>344</v>
      </c>
    </row>
    <row r="346" spans="1:41" customFormat="1" x14ac:dyDescent="0.35">
      <c r="A346" t="s">
        <v>359</v>
      </c>
      <c r="B346" t="s">
        <v>2480</v>
      </c>
      <c r="C346">
        <v>11000</v>
      </c>
      <c r="D346" t="s">
        <v>2481</v>
      </c>
      <c r="E346">
        <v>768</v>
      </c>
      <c r="F346">
        <v>1246</v>
      </c>
      <c r="G346">
        <v>0</v>
      </c>
      <c r="H346">
        <v>0</v>
      </c>
      <c r="I346">
        <v>0</v>
      </c>
      <c r="J346">
        <v>3426</v>
      </c>
      <c r="K346">
        <v>0</v>
      </c>
      <c r="L346">
        <v>3854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349</v>
      </c>
      <c r="X346">
        <v>6</v>
      </c>
      <c r="Y346" t="s">
        <v>443</v>
      </c>
      <c r="Z346" t="s">
        <v>1982</v>
      </c>
      <c r="AA346" t="s">
        <v>148</v>
      </c>
      <c r="AB346" t="s">
        <v>150</v>
      </c>
      <c r="AC346" t="s">
        <v>497</v>
      </c>
      <c r="AD346">
        <v>3961</v>
      </c>
      <c r="AE346">
        <v>0</v>
      </c>
      <c r="AF346">
        <v>0</v>
      </c>
      <c r="AG346">
        <v>0</v>
      </c>
      <c r="AH346">
        <f t="shared" si="65"/>
        <v>0</v>
      </c>
      <c r="AI346">
        <f t="shared" si="66"/>
        <v>0</v>
      </c>
      <c r="AJ346">
        <f t="shared" si="67"/>
        <v>0</v>
      </c>
      <c r="AK346">
        <f t="shared" si="68"/>
        <v>1</v>
      </c>
      <c r="AL346">
        <f t="shared" si="69"/>
        <v>0</v>
      </c>
      <c r="AM346">
        <f t="shared" si="70"/>
        <v>1</v>
      </c>
      <c r="AN346">
        <f t="shared" si="71"/>
        <v>1</v>
      </c>
      <c r="AO346">
        <f>SUM(AN$2:$AN346)</f>
        <v>345</v>
      </c>
    </row>
    <row r="347" spans="1:41" customFormat="1" x14ac:dyDescent="0.35">
      <c r="A347" t="s">
        <v>359</v>
      </c>
      <c r="B347" t="s">
        <v>1034</v>
      </c>
      <c r="C347">
        <v>11000</v>
      </c>
      <c r="D347" t="s">
        <v>1035</v>
      </c>
      <c r="E347">
        <v>768</v>
      </c>
      <c r="F347">
        <v>1246</v>
      </c>
      <c r="G347">
        <v>3854</v>
      </c>
      <c r="H347">
        <v>0</v>
      </c>
      <c r="I347">
        <v>0</v>
      </c>
      <c r="J347">
        <v>0</v>
      </c>
      <c r="K347">
        <v>3426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 t="s">
        <v>157</v>
      </c>
      <c r="X347">
        <v>6</v>
      </c>
      <c r="Y347" t="s">
        <v>440</v>
      </c>
      <c r="Z347" t="s">
        <v>1983</v>
      </c>
      <c r="AA347" t="s">
        <v>150</v>
      </c>
      <c r="AB347" t="s">
        <v>151</v>
      </c>
      <c r="AC347" t="s">
        <v>497</v>
      </c>
      <c r="AD347">
        <v>3961</v>
      </c>
      <c r="AE347">
        <v>0</v>
      </c>
      <c r="AF347">
        <v>0</v>
      </c>
      <c r="AG347">
        <v>0</v>
      </c>
      <c r="AH347">
        <f t="shared" si="65"/>
        <v>1</v>
      </c>
      <c r="AI347">
        <f t="shared" si="66"/>
        <v>0</v>
      </c>
      <c r="AJ347">
        <f t="shared" si="67"/>
        <v>0</v>
      </c>
      <c r="AK347">
        <f t="shared" si="68"/>
        <v>0</v>
      </c>
      <c r="AL347">
        <f t="shared" si="69"/>
        <v>1</v>
      </c>
      <c r="AM347">
        <f t="shared" si="70"/>
        <v>0</v>
      </c>
      <c r="AN347">
        <f t="shared" si="71"/>
        <v>1</v>
      </c>
      <c r="AO347">
        <f>SUM(AN$2:$AN347)</f>
        <v>346</v>
      </c>
    </row>
    <row r="348" spans="1:41" customFormat="1" x14ac:dyDescent="0.35">
      <c r="A348" t="s">
        <v>359</v>
      </c>
      <c r="B348" t="s">
        <v>1036</v>
      </c>
      <c r="C348">
        <v>11150</v>
      </c>
      <c r="D348" t="s">
        <v>1037</v>
      </c>
      <c r="E348">
        <v>779</v>
      </c>
      <c r="F348">
        <v>1263</v>
      </c>
      <c r="G348">
        <v>0</v>
      </c>
      <c r="H348">
        <v>0</v>
      </c>
      <c r="I348">
        <v>3907</v>
      </c>
      <c r="J348">
        <v>3472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348</v>
      </c>
      <c r="X348">
        <v>6</v>
      </c>
      <c r="Y348" t="s">
        <v>435</v>
      </c>
      <c r="Z348" t="s">
        <v>1984</v>
      </c>
      <c r="AA348" t="s">
        <v>148</v>
      </c>
      <c r="AB348" t="s">
        <v>150</v>
      </c>
      <c r="AC348" t="s">
        <v>497</v>
      </c>
      <c r="AD348">
        <v>4015</v>
      </c>
      <c r="AE348">
        <v>0</v>
      </c>
      <c r="AF348">
        <v>0</v>
      </c>
      <c r="AG348">
        <v>0</v>
      </c>
      <c r="AH348">
        <f t="shared" si="65"/>
        <v>0</v>
      </c>
      <c r="AI348">
        <f t="shared" si="66"/>
        <v>0</v>
      </c>
      <c r="AJ348">
        <f t="shared" si="67"/>
        <v>1</v>
      </c>
      <c r="AK348">
        <f t="shared" si="68"/>
        <v>1</v>
      </c>
      <c r="AL348">
        <f t="shared" si="69"/>
        <v>0</v>
      </c>
      <c r="AM348">
        <f t="shared" si="70"/>
        <v>0</v>
      </c>
      <c r="AN348">
        <f t="shared" si="71"/>
        <v>1</v>
      </c>
      <c r="AO348">
        <f>SUM(AN$2:$AN348)</f>
        <v>347</v>
      </c>
    </row>
    <row r="349" spans="1:41" x14ac:dyDescent="0.35">
      <c r="A349" t="s">
        <v>359</v>
      </c>
      <c r="B349" t="s">
        <v>1038</v>
      </c>
      <c r="C349">
        <v>11150</v>
      </c>
      <c r="D349" t="s">
        <v>1039</v>
      </c>
      <c r="E349">
        <v>779</v>
      </c>
      <c r="F349">
        <v>1263</v>
      </c>
      <c r="G349">
        <v>3907</v>
      </c>
      <c r="H349">
        <v>0</v>
      </c>
      <c r="I349">
        <v>0</v>
      </c>
      <c r="J349">
        <v>3472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350</v>
      </c>
      <c r="X349">
        <v>6</v>
      </c>
      <c r="Y349" t="s">
        <v>435</v>
      </c>
      <c r="Z349" t="s">
        <v>1985</v>
      </c>
      <c r="AA349" t="s">
        <v>149</v>
      </c>
      <c r="AB349" t="s">
        <v>150</v>
      </c>
      <c r="AC349" t="s">
        <v>497</v>
      </c>
      <c r="AD349">
        <v>4015</v>
      </c>
      <c r="AE349">
        <v>0</v>
      </c>
      <c r="AF349">
        <v>0</v>
      </c>
      <c r="AG349">
        <v>0</v>
      </c>
      <c r="AH349">
        <f t="shared" si="65"/>
        <v>1</v>
      </c>
      <c r="AI349">
        <f t="shared" si="66"/>
        <v>0</v>
      </c>
      <c r="AJ349">
        <f t="shared" si="67"/>
        <v>0</v>
      </c>
      <c r="AK349">
        <f t="shared" si="68"/>
        <v>1</v>
      </c>
      <c r="AL349">
        <f t="shared" si="69"/>
        <v>0</v>
      </c>
      <c r="AM349">
        <f t="shared" si="70"/>
        <v>0</v>
      </c>
      <c r="AN349">
        <f t="shared" si="71"/>
        <v>1</v>
      </c>
      <c r="AO349">
        <f>SUM(AN$2:$AN349)</f>
        <v>348</v>
      </c>
    </row>
    <row r="350" spans="1:41" x14ac:dyDescent="0.35">
      <c r="A350" t="s">
        <v>359</v>
      </c>
      <c r="B350" t="s">
        <v>1495</v>
      </c>
      <c r="C350">
        <v>11150</v>
      </c>
      <c r="D350" t="s">
        <v>1496</v>
      </c>
      <c r="E350">
        <v>779</v>
      </c>
      <c r="F350">
        <v>1263</v>
      </c>
      <c r="G350">
        <v>3907</v>
      </c>
      <c r="H350">
        <v>0</v>
      </c>
      <c r="I350">
        <v>0</v>
      </c>
      <c r="J350">
        <v>0</v>
      </c>
      <c r="K350">
        <v>3472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 t="s">
        <v>157</v>
      </c>
      <c r="X350">
        <v>6</v>
      </c>
      <c r="Y350" t="s">
        <v>436</v>
      </c>
      <c r="Z350" t="s">
        <v>1986</v>
      </c>
      <c r="AA350" t="s">
        <v>150</v>
      </c>
      <c r="AB350" t="s">
        <v>151</v>
      </c>
      <c r="AC350" t="s">
        <v>497</v>
      </c>
      <c r="AD350">
        <v>4015</v>
      </c>
      <c r="AE350">
        <v>0</v>
      </c>
      <c r="AF350">
        <v>0</v>
      </c>
      <c r="AG350">
        <v>0</v>
      </c>
      <c r="AH350">
        <f t="shared" si="65"/>
        <v>1</v>
      </c>
      <c r="AI350">
        <f t="shared" si="66"/>
        <v>0</v>
      </c>
      <c r="AJ350">
        <f t="shared" si="67"/>
        <v>0</v>
      </c>
      <c r="AK350">
        <f t="shared" si="68"/>
        <v>0</v>
      </c>
      <c r="AL350">
        <f t="shared" si="69"/>
        <v>1</v>
      </c>
      <c r="AM350">
        <f t="shared" si="70"/>
        <v>0</v>
      </c>
      <c r="AN350">
        <f t="shared" si="71"/>
        <v>1</v>
      </c>
      <c r="AO350">
        <f>SUM(AN$2:$AN350)</f>
        <v>349</v>
      </c>
    </row>
    <row r="351" spans="1:41" x14ac:dyDescent="0.35">
      <c r="A351" t="s">
        <v>359</v>
      </c>
      <c r="B351" t="s">
        <v>1040</v>
      </c>
      <c r="C351">
        <v>11300</v>
      </c>
      <c r="D351" t="s">
        <v>1041</v>
      </c>
      <c r="E351">
        <v>789</v>
      </c>
      <c r="F351">
        <v>1280</v>
      </c>
      <c r="G351">
        <v>0</v>
      </c>
      <c r="H351">
        <v>0</v>
      </c>
      <c r="I351">
        <v>3959</v>
      </c>
      <c r="J351">
        <v>0</v>
      </c>
      <c r="K351">
        <v>3519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159</v>
      </c>
      <c r="X351">
        <v>6</v>
      </c>
      <c r="Y351" t="s">
        <v>442</v>
      </c>
      <c r="Z351" t="s">
        <v>1987</v>
      </c>
      <c r="AA351" t="s">
        <v>148</v>
      </c>
      <c r="AB351" t="s">
        <v>150</v>
      </c>
      <c r="AC351" t="s">
        <v>497</v>
      </c>
      <c r="AD351">
        <v>4069</v>
      </c>
      <c r="AE351">
        <v>0</v>
      </c>
      <c r="AF351">
        <v>0</v>
      </c>
      <c r="AG351">
        <v>0</v>
      </c>
      <c r="AH351">
        <f t="shared" si="65"/>
        <v>0</v>
      </c>
      <c r="AI351">
        <f t="shared" si="66"/>
        <v>0</v>
      </c>
      <c r="AJ351">
        <f t="shared" si="67"/>
        <v>1</v>
      </c>
      <c r="AK351">
        <f t="shared" si="68"/>
        <v>0</v>
      </c>
      <c r="AL351">
        <f t="shared" si="69"/>
        <v>1</v>
      </c>
      <c r="AM351">
        <f t="shared" si="70"/>
        <v>0</v>
      </c>
      <c r="AN351">
        <f t="shared" si="71"/>
        <v>1</v>
      </c>
      <c r="AO351">
        <f>SUM(AN$2:$AN351)</f>
        <v>350</v>
      </c>
    </row>
    <row r="352" spans="1:41" x14ac:dyDescent="0.35">
      <c r="A352" t="s">
        <v>359</v>
      </c>
      <c r="B352" t="s">
        <v>2482</v>
      </c>
      <c r="C352">
        <v>12300</v>
      </c>
      <c r="D352" t="s">
        <v>2483</v>
      </c>
      <c r="E352">
        <v>859</v>
      </c>
      <c r="F352">
        <v>1393</v>
      </c>
      <c r="G352">
        <v>4309</v>
      </c>
      <c r="H352">
        <v>0</v>
      </c>
      <c r="I352">
        <v>0</v>
      </c>
      <c r="J352">
        <v>0</v>
      </c>
      <c r="K352">
        <v>3831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 t="s">
        <v>157</v>
      </c>
      <c r="X352">
        <v>6</v>
      </c>
      <c r="Y352" t="s">
        <v>440</v>
      </c>
      <c r="Z352" t="s">
        <v>1988</v>
      </c>
      <c r="AA352" t="s">
        <v>150</v>
      </c>
      <c r="AB352" t="s">
        <v>151</v>
      </c>
      <c r="AC352" t="s">
        <v>497</v>
      </c>
      <c r="AD352">
        <v>4429</v>
      </c>
      <c r="AE352">
        <v>0</v>
      </c>
      <c r="AF352">
        <v>0</v>
      </c>
      <c r="AG352">
        <v>0</v>
      </c>
      <c r="AH352">
        <f t="shared" si="65"/>
        <v>1</v>
      </c>
      <c r="AI352">
        <f t="shared" si="66"/>
        <v>0</v>
      </c>
      <c r="AJ352">
        <f t="shared" si="67"/>
        <v>0</v>
      </c>
      <c r="AK352">
        <f t="shared" si="68"/>
        <v>0</v>
      </c>
      <c r="AL352">
        <f t="shared" si="69"/>
        <v>1</v>
      </c>
      <c r="AM352">
        <f t="shared" si="70"/>
        <v>0</v>
      </c>
      <c r="AN352">
        <f t="shared" si="71"/>
        <v>1</v>
      </c>
      <c r="AO352">
        <f>SUM(AN$2:$AN352)</f>
        <v>351</v>
      </c>
    </row>
    <row r="353" spans="1:41" x14ac:dyDescent="0.35">
      <c r="A353" t="s">
        <v>359</v>
      </c>
      <c r="B353" t="s">
        <v>2484</v>
      </c>
      <c r="C353">
        <v>12450</v>
      </c>
      <c r="D353" t="s">
        <v>2485</v>
      </c>
      <c r="E353">
        <v>869</v>
      </c>
      <c r="F353">
        <v>1410</v>
      </c>
      <c r="G353">
        <v>0</v>
      </c>
      <c r="H353">
        <v>0</v>
      </c>
      <c r="I353">
        <v>4362</v>
      </c>
      <c r="J353">
        <v>3877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348</v>
      </c>
      <c r="X353">
        <v>6</v>
      </c>
      <c r="Y353" t="s">
        <v>435</v>
      </c>
      <c r="Z353" t="s">
        <v>1989</v>
      </c>
      <c r="AA353" t="s">
        <v>148</v>
      </c>
      <c r="AB353" t="s">
        <v>150</v>
      </c>
      <c r="AC353" t="s">
        <v>497</v>
      </c>
      <c r="AD353">
        <v>4483</v>
      </c>
      <c r="AE353">
        <v>0</v>
      </c>
      <c r="AF353">
        <v>0</v>
      </c>
      <c r="AG353">
        <v>0</v>
      </c>
      <c r="AH353">
        <f t="shared" si="65"/>
        <v>0</v>
      </c>
      <c r="AI353">
        <f t="shared" si="66"/>
        <v>0</v>
      </c>
      <c r="AJ353">
        <f t="shared" si="67"/>
        <v>1</v>
      </c>
      <c r="AK353">
        <f t="shared" si="68"/>
        <v>1</v>
      </c>
      <c r="AL353">
        <f t="shared" si="69"/>
        <v>0</v>
      </c>
      <c r="AM353">
        <f t="shared" si="70"/>
        <v>0</v>
      </c>
      <c r="AN353">
        <f t="shared" si="71"/>
        <v>1</v>
      </c>
      <c r="AO353">
        <f>SUM(AN$2:$AN353)</f>
        <v>352</v>
      </c>
    </row>
    <row r="354" spans="1:41" x14ac:dyDescent="0.35">
      <c r="A354" t="s">
        <v>359</v>
      </c>
      <c r="B354" t="s">
        <v>2486</v>
      </c>
      <c r="C354">
        <v>12450</v>
      </c>
      <c r="D354" t="s">
        <v>2487</v>
      </c>
      <c r="E354">
        <v>869</v>
      </c>
      <c r="F354">
        <v>1410</v>
      </c>
      <c r="G354">
        <v>4362</v>
      </c>
      <c r="H354">
        <v>0</v>
      </c>
      <c r="I354">
        <v>0</v>
      </c>
      <c r="J354">
        <v>3877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350</v>
      </c>
      <c r="X354">
        <v>6</v>
      </c>
      <c r="Y354" t="s">
        <v>435</v>
      </c>
      <c r="Z354" t="s">
        <v>1990</v>
      </c>
      <c r="AA354" t="s">
        <v>149</v>
      </c>
      <c r="AB354" t="s">
        <v>150</v>
      </c>
      <c r="AC354" t="s">
        <v>497</v>
      </c>
      <c r="AD354">
        <v>4483</v>
      </c>
      <c r="AE354">
        <v>0</v>
      </c>
      <c r="AF354">
        <v>0</v>
      </c>
      <c r="AG354">
        <v>0</v>
      </c>
      <c r="AH354">
        <f t="shared" si="65"/>
        <v>1</v>
      </c>
      <c r="AI354">
        <f t="shared" si="66"/>
        <v>0</v>
      </c>
      <c r="AJ354">
        <f t="shared" si="67"/>
        <v>0</v>
      </c>
      <c r="AK354">
        <f t="shared" si="68"/>
        <v>1</v>
      </c>
      <c r="AL354">
        <f t="shared" si="69"/>
        <v>0</v>
      </c>
      <c r="AM354">
        <f t="shared" si="70"/>
        <v>0</v>
      </c>
      <c r="AN354">
        <f t="shared" si="71"/>
        <v>1</v>
      </c>
      <c r="AO354">
        <f>SUM(AN$2:$AN354)</f>
        <v>353</v>
      </c>
    </row>
    <row r="355" spans="1:41" x14ac:dyDescent="0.35">
      <c r="A355" t="s">
        <v>359</v>
      </c>
      <c r="B355" t="s">
        <v>2488</v>
      </c>
      <c r="C355">
        <v>12450</v>
      </c>
      <c r="D355" t="s">
        <v>2489</v>
      </c>
      <c r="E355">
        <v>869</v>
      </c>
      <c r="F355">
        <v>1410</v>
      </c>
      <c r="G355">
        <v>4362</v>
      </c>
      <c r="H355">
        <v>0</v>
      </c>
      <c r="I355">
        <v>0</v>
      </c>
      <c r="J355">
        <v>0</v>
      </c>
      <c r="K355">
        <v>3877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t="s">
        <v>157</v>
      </c>
      <c r="X355">
        <v>6</v>
      </c>
      <c r="Y355" t="s">
        <v>436</v>
      </c>
      <c r="Z355" t="s">
        <v>1991</v>
      </c>
      <c r="AA355" t="s">
        <v>150</v>
      </c>
      <c r="AB355" t="s">
        <v>151</v>
      </c>
      <c r="AC355" t="s">
        <v>497</v>
      </c>
      <c r="AD355">
        <v>4483</v>
      </c>
      <c r="AE355">
        <v>0</v>
      </c>
      <c r="AF355">
        <v>0</v>
      </c>
      <c r="AG355">
        <v>0</v>
      </c>
      <c r="AH355">
        <f t="shared" si="65"/>
        <v>1</v>
      </c>
      <c r="AI355">
        <f t="shared" si="66"/>
        <v>0</v>
      </c>
      <c r="AJ355">
        <f t="shared" si="67"/>
        <v>0</v>
      </c>
      <c r="AK355">
        <f t="shared" si="68"/>
        <v>0</v>
      </c>
      <c r="AL355">
        <f t="shared" si="69"/>
        <v>1</v>
      </c>
      <c r="AM355">
        <f t="shared" si="70"/>
        <v>0</v>
      </c>
      <c r="AN355">
        <f t="shared" si="71"/>
        <v>1</v>
      </c>
      <c r="AO355">
        <f>SUM(AN$2:$AN355)</f>
        <v>354</v>
      </c>
    </row>
    <row r="356" spans="1:41" x14ac:dyDescent="0.35">
      <c r="A356" t="s">
        <v>359</v>
      </c>
      <c r="B356" t="s">
        <v>2490</v>
      </c>
      <c r="C356">
        <v>12600</v>
      </c>
      <c r="D356" t="s">
        <v>2491</v>
      </c>
      <c r="E356">
        <v>880</v>
      </c>
      <c r="F356">
        <v>1427</v>
      </c>
      <c r="G356">
        <v>0</v>
      </c>
      <c r="H356">
        <v>0</v>
      </c>
      <c r="I356">
        <v>4415</v>
      </c>
      <c r="J356">
        <v>0</v>
      </c>
      <c r="K356">
        <v>3924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159</v>
      </c>
      <c r="X356">
        <v>6</v>
      </c>
      <c r="Y356" t="s">
        <v>442</v>
      </c>
      <c r="Z356" t="s">
        <v>1992</v>
      </c>
      <c r="AA356" t="s">
        <v>148</v>
      </c>
      <c r="AB356" t="s">
        <v>150</v>
      </c>
      <c r="AC356" t="s">
        <v>497</v>
      </c>
      <c r="AD356">
        <v>4537</v>
      </c>
      <c r="AE356">
        <v>0</v>
      </c>
      <c r="AF356">
        <v>0</v>
      </c>
      <c r="AG356">
        <v>0</v>
      </c>
      <c r="AH356">
        <f t="shared" si="65"/>
        <v>0</v>
      </c>
      <c r="AI356">
        <f t="shared" si="66"/>
        <v>0</v>
      </c>
      <c r="AJ356">
        <f t="shared" si="67"/>
        <v>1</v>
      </c>
      <c r="AK356">
        <f t="shared" si="68"/>
        <v>0</v>
      </c>
      <c r="AL356">
        <f t="shared" si="69"/>
        <v>1</v>
      </c>
      <c r="AM356">
        <f t="shared" si="70"/>
        <v>0</v>
      </c>
      <c r="AN356">
        <f t="shared" si="71"/>
        <v>1</v>
      </c>
      <c r="AO356">
        <f>SUM(AN$2:$AN356)</f>
        <v>355</v>
      </c>
    </row>
    <row r="357" spans="1:41" x14ac:dyDescent="0.35">
      <c r="A357" t="s">
        <v>169</v>
      </c>
      <c r="B357" t="s">
        <v>1046</v>
      </c>
      <c r="C357">
        <v>8000</v>
      </c>
      <c r="D357" t="s">
        <v>1047</v>
      </c>
      <c r="E357">
        <v>279</v>
      </c>
      <c r="F357">
        <v>453</v>
      </c>
      <c r="G357">
        <v>1401</v>
      </c>
      <c r="H357">
        <v>0</v>
      </c>
      <c r="I357">
        <v>0</v>
      </c>
      <c r="J357">
        <v>0</v>
      </c>
      <c r="K357">
        <v>1246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 t="s">
        <v>157</v>
      </c>
      <c r="X357">
        <v>6</v>
      </c>
      <c r="Y357" t="s">
        <v>435</v>
      </c>
      <c r="Z357" t="s">
        <v>1993</v>
      </c>
      <c r="AA357" t="s">
        <v>152</v>
      </c>
      <c r="AB357" t="s">
        <v>152</v>
      </c>
      <c r="AC357" t="s">
        <v>497</v>
      </c>
      <c r="AD357">
        <v>1440</v>
      </c>
      <c r="AE357">
        <v>0</v>
      </c>
      <c r="AF357">
        <v>0</v>
      </c>
      <c r="AG357">
        <v>0</v>
      </c>
      <c r="AH357">
        <f t="shared" si="65"/>
        <v>1</v>
      </c>
      <c r="AI357">
        <f t="shared" si="66"/>
        <v>0</v>
      </c>
      <c r="AJ357">
        <f t="shared" si="67"/>
        <v>0</v>
      </c>
      <c r="AK357">
        <f t="shared" si="68"/>
        <v>0</v>
      </c>
      <c r="AL357">
        <f t="shared" si="69"/>
        <v>1</v>
      </c>
      <c r="AM357">
        <f t="shared" si="70"/>
        <v>0</v>
      </c>
      <c r="AN357">
        <f t="shared" si="71"/>
        <v>1</v>
      </c>
      <c r="AO357">
        <f>SUM(AN$2:$AN357)</f>
        <v>356</v>
      </c>
    </row>
    <row r="358" spans="1:41" x14ac:dyDescent="0.35">
      <c r="A358" t="s">
        <v>169</v>
      </c>
      <c r="B358" t="s">
        <v>1042</v>
      </c>
      <c r="C358">
        <v>8100</v>
      </c>
      <c r="D358" t="s">
        <v>1994</v>
      </c>
      <c r="E358">
        <v>354</v>
      </c>
      <c r="F358">
        <v>706</v>
      </c>
      <c r="G358">
        <v>1813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161</v>
      </c>
      <c r="X358">
        <v>6</v>
      </c>
      <c r="Y358" t="s">
        <v>437</v>
      </c>
      <c r="Z358" t="s">
        <v>1995</v>
      </c>
      <c r="AA358" t="s">
        <v>497</v>
      </c>
      <c r="AB358" t="s">
        <v>497</v>
      </c>
      <c r="AC358" t="s">
        <v>497</v>
      </c>
      <c r="AD358">
        <v>1458</v>
      </c>
      <c r="AE358">
        <v>0</v>
      </c>
      <c r="AF358">
        <v>0</v>
      </c>
      <c r="AG358">
        <v>0</v>
      </c>
      <c r="AH358">
        <f t="shared" si="65"/>
        <v>1</v>
      </c>
      <c r="AI358">
        <f t="shared" si="66"/>
        <v>0</v>
      </c>
      <c r="AJ358">
        <f t="shared" si="67"/>
        <v>0</v>
      </c>
      <c r="AK358">
        <f t="shared" si="68"/>
        <v>0</v>
      </c>
      <c r="AL358">
        <f t="shared" si="69"/>
        <v>0</v>
      </c>
      <c r="AM358">
        <f t="shared" si="70"/>
        <v>0</v>
      </c>
      <c r="AN358">
        <f t="shared" si="71"/>
        <v>1</v>
      </c>
      <c r="AO358">
        <f>SUM(AN$2:$AN358)</f>
        <v>357</v>
      </c>
    </row>
    <row r="359" spans="1:41" x14ac:dyDescent="0.35">
      <c r="A359" t="s">
        <v>169</v>
      </c>
      <c r="B359" t="s">
        <v>1043</v>
      </c>
      <c r="C359">
        <v>8100</v>
      </c>
      <c r="D359" t="s">
        <v>1996</v>
      </c>
      <c r="E359">
        <v>283</v>
      </c>
      <c r="F359">
        <v>459</v>
      </c>
      <c r="G359">
        <v>1419</v>
      </c>
      <c r="H359">
        <v>0</v>
      </c>
      <c r="I359">
        <v>0</v>
      </c>
      <c r="J359">
        <v>0</v>
      </c>
      <c r="K359">
        <v>1261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 t="s">
        <v>157</v>
      </c>
      <c r="X359">
        <v>6</v>
      </c>
      <c r="Y359" t="s">
        <v>437</v>
      </c>
      <c r="Z359" t="s">
        <v>1997</v>
      </c>
      <c r="AA359" t="s">
        <v>152</v>
      </c>
      <c r="AB359" t="s">
        <v>152</v>
      </c>
      <c r="AC359" t="s">
        <v>497</v>
      </c>
      <c r="AD359">
        <v>1458</v>
      </c>
      <c r="AE359">
        <v>0</v>
      </c>
      <c r="AF359">
        <v>0</v>
      </c>
      <c r="AG359">
        <v>0</v>
      </c>
      <c r="AH359">
        <f t="shared" si="65"/>
        <v>1</v>
      </c>
      <c r="AI359">
        <f t="shared" si="66"/>
        <v>0</v>
      </c>
      <c r="AJ359">
        <f t="shared" si="67"/>
        <v>0</v>
      </c>
      <c r="AK359">
        <f t="shared" si="68"/>
        <v>0</v>
      </c>
      <c r="AL359">
        <f t="shared" si="69"/>
        <v>1</v>
      </c>
      <c r="AM359">
        <f t="shared" si="70"/>
        <v>0</v>
      </c>
      <c r="AN359">
        <f t="shared" si="71"/>
        <v>1</v>
      </c>
      <c r="AO359">
        <f>SUM(AN$2:$AN359)</f>
        <v>358</v>
      </c>
    </row>
    <row r="360" spans="1:41" customFormat="1" x14ac:dyDescent="0.35">
      <c r="A360" t="s">
        <v>169</v>
      </c>
      <c r="B360" t="s">
        <v>1044</v>
      </c>
      <c r="C360">
        <v>8150</v>
      </c>
      <c r="D360" t="s">
        <v>1998</v>
      </c>
      <c r="E360">
        <v>285</v>
      </c>
      <c r="F360">
        <v>462</v>
      </c>
      <c r="G360">
        <v>0</v>
      </c>
      <c r="H360">
        <v>0</v>
      </c>
      <c r="I360">
        <v>1428</v>
      </c>
      <c r="J360">
        <v>1269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348</v>
      </c>
      <c r="X360">
        <v>6</v>
      </c>
      <c r="Y360" t="s">
        <v>438</v>
      </c>
      <c r="Z360" t="s">
        <v>1999</v>
      </c>
      <c r="AA360" t="s">
        <v>149</v>
      </c>
      <c r="AB360" t="s">
        <v>149</v>
      </c>
      <c r="AC360" t="s">
        <v>497</v>
      </c>
      <c r="AD360">
        <v>1467</v>
      </c>
      <c r="AE360">
        <v>0</v>
      </c>
      <c r="AF360">
        <v>0</v>
      </c>
      <c r="AG360">
        <v>0</v>
      </c>
      <c r="AH360">
        <f t="shared" si="65"/>
        <v>0</v>
      </c>
      <c r="AI360">
        <f t="shared" si="66"/>
        <v>0</v>
      </c>
      <c r="AJ360">
        <f t="shared" si="67"/>
        <v>1</v>
      </c>
      <c r="AK360">
        <f t="shared" si="68"/>
        <v>1</v>
      </c>
      <c r="AL360">
        <f t="shared" si="69"/>
        <v>0</v>
      </c>
      <c r="AM360">
        <f t="shared" si="70"/>
        <v>0</v>
      </c>
      <c r="AN360">
        <f t="shared" si="71"/>
        <v>1</v>
      </c>
      <c r="AO360">
        <f>SUM(AN$2:$AN360)</f>
        <v>359</v>
      </c>
    </row>
    <row r="361" spans="1:41" x14ac:dyDescent="0.35">
      <c r="A361" t="s">
        <v>169</v>
      </c>
      <c r="B361" t="s">
        <v>1045</v>
      </c>
      <c r="C361">
        <v>8600</v>
      </c>
      <c r="D361" t="s">
        <v>2000</v>
      </c>
      <c r="E361">
        <v>300</v>
      </c>
      <c r="F361">
        <v>487</v>
      </c>
      <c r="G361">
        <v>0</v>
      </c>
      <c r="H361">
        <v>0</v>
      </c>
      <c r="I361">
        <v>0</v>
      </c>
      <c r="J361">
        <v>1339</v>
      </c>
      <c r="K361">
        <v>0</v>
      </c>
      <c r="L361">
        <v>1507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349</v>
      </c>
      <c r="X361">
        <v>6</v>
      </c>
      <c r="Y361" t="s">
        <v>628</v>
      </c>
      <c r="Z361" t="s">
        <v>2001</v>
      </c>
      <c r="AA361" t="s">
        <v>149</v>
      </c>
      <c r="AB361" t="s">
        <v>149</v>
      </c>
      <c r="AC361" t="s">
        <v>497</v>
      </c>
      <c r="AD361">
        <v>1548</v>
      </c>
      <c r="AE361">
        <v>0</v>
      </c>
      <c r="AF361">
        <v>0</v>
      </c>
      <c r="AG361">
        <v>0</v>
      </c>
      <c r="AH361">
        <f t="shared" si="65"/>
        <v>0</v>
      </c>
      <c r="AI361">
        <f t="shared" si="66"/>
        <v>0</v>
      </c>
      <c r="AJ361">
        <f t="shared" si="67"/>
        <v>0</v>
      </c>
      <c r="AK361">
        <f t="shared" si="68"/>
        <v>1</v>
      </c>
      <c r="AL361">
        <f t="shared" si="69"/>
        <v>0</v>
      </c>
      <c r="AM361">
        <f t="shared" si="70"/>
        <v>1</v>
      </c>
      <c r="AN361">
        <f t="shared" si="71"/>
        <v>1</v>
      </c>
      <c r="AO361">
        <f>SUM(AN$2:$AN361)</f>
        <v>360</v>
      </c>
    </row>
    <row r="362" spans="1:41" x14ac:dyDescent="0.35">
      <c r="A362" t="s">
        <v>169</v>
      </c>
      <c r="B362" t="s">
        <v>1044</v>
      </c>
      <c r="C362">
        <v>8800</v>
      </c>
      <c r="D362" t="s">
        <v>1049</v>
      </c>
      <c r="E362">
        <v>307</v>
      </c>
      <c r="F362">
        <v>498</v>
      </c>
      <c r="G362">
        <v>0</v>
      </c>
      <c r="H362">
        <v>0</v>
      </c>
      <c r="I362">
        <v>1542</v>
      </c>
      <c r="J362">
        <v>1370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348</v>
      </c>
      <c r="X362">
        <v>6</v>
      </c>
      <c r="Y362" t="s">
        <v>438</v>
      </c>
      <c r="Z362" t="s">
        <v>2002</v>
      </c>
      <c r="AA362" t="s">
        <v>149</v>
      </c>
      <c r="AB362" t="s">
        <v>149</v>
      </c>
      <c r="AC362" t="s">
        <v>497</v>
      </c>
      <c r="AD362">
        <v>1584</v>
      </c>
      <c r="AE362">
        <v>0</v>
      </c>
      <c r="AF362">
        <v>0</v>
      </c>
      <c r="AG362">
        <v>0</v>
      </c>
      <c r="AH362">
        <f t="shared" si="65"/>
        <v>0</v>
      </c>
      <c r="AI362">
        <f t="shared" si="66"/>
        <v>0</v>
      </c>
      <c r="AJ362">
        <f t="shared" si="67"/>
        <v>1</v>
      </c>
      <c r="AK362">
        <f t="shared" si="68"/>
        <v>1</v>
      </c>
      <c r="AL362">
        <f t="shared" si="69"/>
        <v>0</v>
      </c>
      <c r="AM362">
        <f t="shared" si="70"/>
        <v>0</v>
      </c>
      <c r="AN362">
        <f t="shared" si="71"/>
        <v>1</v>
      </c>
      <c r="AO362">
        <f>SUM(AN$2:$AN362)</f>
        <v>361</v>
      </c>
    </row>
    <row r="363" spans="1:41" x14ac:dyDescent="0.35">
      <c r="A363" t="s">
        <v>169</v>
      </c>
      <c r="B363" t="s">
        <v>1043</v>
      </c>
      <c r="C363">
        <v>8800</v>
      </c>
      <c r="D363" t="s">
        <v>1050</v>
      </c>
      <c r="E363">
        <v>307</v>
      </c>
      <c r="F363">
        <v>498</v>
      </c>
      <c r="G363">
        <v>1542</v>
      </c>
      <c r="H363">
        <v>0</v>
      </c>
      <c r="I363">
        <v>0</v>
      </c>
      <c r="J363">
        <v>0</v>
      </c>
      <c r="K363">
        <v>1370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 t="s">
        <v>157</v>
      </c>
      <c r="X363">
        <v>6</v>
      </c>
      <c r="Y363" t="s">
        <v>437</v>
      </c>
      <c r="Z363" t="s">
        <v>2003</v>
      </c>
      <c r="AA363" t="s">
        <v>152</v>
      </c>
      <c r="AB363" t="s">
        <v>152</v>
      </c>
      <c r="AC363" t="s">
        <v>497</v>
      </c>
      <c r="AD363">
        <v>1584</v>
      </c>
      <c r="AE363">
        <v>0</v>
      </c>
      <c r="AF363">
        <v>0</v>
      </c>
      <c r="AG363">
        <v>0</v>
      </c>
      <c r="AH363">
        <f t="shared" si="65"/>
        <v>1</v>
      </c>
      <c r="AI363">
        <f t="shared" si="66"/>
        <v>0</v>
      </c>
      <c r="AJ363">
        <f t="shared" si="67"/>
        <v>0</v>
      </c>
      <c r="AK363">
        <f t="shared" si="68"/>
        <v>0</v>
      </c>
      <c r="AL363">
        <f t="shared" si="69"/>
        <v>1</v>
      </c>
      <c r="AM363">
        <f t="shared" si="70"/>
        <v>0</v>
      </c>
      <c r="AN363">
        <f t="shared" si="71"/>
        <v>1</v>
      </c>
      <c r="AO363">
        <f>SUM(AN$2:$AN363)</f>
        <v>362</v>
      </c>
    </row>
    <row r="364" spans="1:41" x14ac:dyDescent="0.35">
      <c r="A364" t="s">
        <v>169</v>
      </c>
      <c r="B364" t="s">
        <v>1048</v>
      </c>
      <c r="C364">
        <v>9100</v>
      </c>
      <c r="D364" t="s">
        <v>2004</v>
      </c>
      <c r="E364">
        <v>318</v>
      </c>
      <c r="F364">
        <v>515</v>
      </c>
      <c r="G364">
        <v>0</v>
      </c>
      <c r="H364">
        <v>0</v>
      </c>
      <c r="I364">
        <v>0</v>
      </c>
      <c r="J364">
        <v>1594</v>
      </c>
      <c r="K364">
        <v>1417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347</v>
      </c>
      <c r="X364">
        <v>6</v>
      </c>
      <c r="Y364" t="s">
        <v>435</v>
      </c>
      <c r="Z364" t="s">
        <v>2005</v>
      </c>
      <c r="AA364" t="s">
        <v>149</v>
      </c>
      <c r="AB364" t="s">
        <v>149</v>
      </c>
      <c r="AC364" t="s">
        <v>497</v>
      </c>
      <c r="AD364">
        <v>1638</v>
      </c>
      <c r="AE364">
        <v>0</v>
      </c>
      <c r="AF364">
        <v>0</v>
      </c>
      <c r="AG364">
        <v>0</v>
      </c>
      <c r="AH364">
        <f t="shared" si="65"/>
        <v>0</v>
      </c>
      <c r="AI364">
        <f t="shared" si="66"/>
        <v>0</v>
      </c>
      <c r="AJ364">
        <f t="shared" si="67"/>
        <v>0</v>
      </c>
      <c r="AK364">
        <f t="shared" si="68"/>
        <v>1</v>
      </c>
      <c r="AL364">
        <f t="shared" si="69"/>
        <v>1</v>
      </c>
      <c r="AM364">
        <f t="shared" si="70"/>
        <v>0</v>
      </c>
      <c r="AN364">
        <f t="shared" si="71"/>
        <v>1</v>
      </c>
      <c r="AO364">
        <f>SUM(AN$2:$AN364)</f>
        <v>363</v>
      </c>
    </row>
    <row r="365" spans="1:41" x14ac:dyDescent="0.35">
      <c r="A365" t="s">
        <v>169</v>
      </c>
      <c r="B365" t="s">
        <v>1051</v>
      </c>
      <c r="C365">
        <v>9100</v>
      </c>
      <c r="D365" t="s">
        <v>1052</v>
      </c>
      <c r="E365">
        <v>0</v>
      </c>
      <c r="F365">
        <v>1150</v>
      </c>
      <c r="G365">
        <v>0</v>
      </c>
      <c r="H365">
        <v>0</v>
      </c>
      <c r="I365">
        <v>1506</v>
      </c>
      <c r="J365">
        <v>1151</v>
      </c>
      <c r="K365">
        <v>886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354</v>
      </c>
      <c r="X365">
        <v>3</v>
      </c>
      <c r="Y365" t="s">
        <v>434</v>
      </c>
      <c r="Z365" t="s">
        <v>2006</v>
      </c>
      <c r="AA365" t="s">
        <v>150</v>
      </c>
      <c r="AB365" t="s">
        <v>150</v>
      </c>
      <c r="AC365" t="s">
        <v>497</v>
      </c>
      <c r="AD365">
        <v>0</v>
      </c>
      <c r="AE365">
        <v>0</v>
      </c>
      <c r="AF365">
        <v>0</v>
      </c>
      <c r="AG365">
        <v>0</v>
      </c>
      <c r="AH365">
        <f t="shared" si="65"/>
        <v>0</v>
      </c>
      <c r="AI365">
        <f t="shared" si="66"/>
        <v>0</v>
      </c>
      <c r="AJ365">
        <f t="shared" si="67"/>
        <v>1</v>
      </c>
      <c r="AK365">
        <f t="shared" si="68"/>
        <v>1</v>
      </c>
      <c r="AL365">
        <f t="shared" si="69"/>
        <v>1</v>
      </c>
      <c r="AM365">
        <f t="shared" si="70"/>
        <v>0</v>
      </c>
      <c r="AN365">
        <f t="shared" si="71"/>
        <v>1</v>
      </c>
      <c r="AO365">
        <f>SUM(AN$2:$AN365)</f>
        <v>364</v>
      </c>
    </row>
    <row r="366" spans="1:41" x14ac:dyDescent="0.35">
      <c r="A366" t="s">
        <v>169</v>
      </c>
      <c r="B366" t="s">
        <v>1051</v>
      </c>
      <c r="C366">
        <v>9100</v>
      </c>
      <c r="D366" t="s">
        <v>1053</v>
      </c>
      <c r="E366">
        <v>0</v>
      </c>
      <c r="F366">
        <v>1348</v>
      </c>
      <c r="G366">
        <v>0</v>
      </c>
      <c r="H366">
        <v>0</v>
      </c>
      <c r="I366">
        <v>3055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t="s">
        <v>329</v>
      </c>
      <c r="X366">
        <v>3</v>
      </c>
      <c r="Y366" t="s">
        <v>434</v>
      </c>
      <c r="Z366" t="s">
        <v>2007</v>
      </c>
      <c r="AA366" t="s">
        <v>358</v>
      </c>
      <c r="AB366" t="s">
        <v>358</v>
      </c>
      <c r="AC366" t="s">
        <v>497</v>
      </c>
      <c r="AD366">
        <v>0</v>
      </c>
      <c r="AE366">
        <v>0</v>
      </c>
      <c r="AF366">
        <v>0</v>
      </c>
      <c r="AG366">
        <v>0</v>
      </c>
      <c r="AH366">
        <f t="shared" si="65"/>
        <v>0</v>
      </c>
      <c r="AI366">
        <f t="shared" si="66"/>
        <v>0</v>
      </c>
      <c r="AJ366">
        <f t="shared" si="67"/>
        <v>1</v>
      </c>
      <c r="AK366">
        <f t="shared" si="68"/>
        <v>0</v>
      </c>
      <c r="AL366">
        <f t="shared" si="69"/>
        <v>0</v>
      </c>
      <c r="AM366">
        <f t="shared" si="70"/>
        <v>0</v>
      </c>
      <c r="AN366">
        <f t="shared" si="71"/>
        <v>1</v>
      </c>
      <c r="AO366">
        <f>SUM(AN$2:$AN366)</f>
        <v>365</v>
      </c>
    </row>
    <row r="367" spans="1:41" x14ac:dyDescent="0.35">
      <c r="A367" t="s">
        <v>169</v>
      </c>
      <c r="B367" t="s">
        <v>1051</v>
      </c>
      <c r="C367">
        <v>9100</v>
      </c>
      <c r="D367" t="s">
        <v>1054</v>
      </c>
      <c r="E367">
        <v>0</v>
      </c>
      <c r="F367">
        <v>1150</v>
      </c>
      <c r="G367">
        <v>1771</v>
      </c>
      <c r="H367">
        <v>0</v>
      </c>
      <c r="I367">
        <v>0</v>
      </c>
      <c r="J367">
        <v>1771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 t="s">
        <v>418</v>
      </c>
      <c r="X367">
        <v>3</v>
      </c>
      <c r="Y367" t="s">
        <v>434</v>
      </c>
      <c r="Z367" t="s">
        <v>2008</v>
      </c>
      <c r="AA367" t="s">
        <v>151</v>
      </c>
      <c r="AB367" t="s">
        <v>151</v>
      </c>
      <c r="AC367" t="s">
        <v>497</v>
      </c>
      <c r="AD367">
        <v>0</v>
      </c>
      <c r="AE367">
        <v>0</v>
      </c>
      <c r="AF367">
        <v>0</v>
      </c>
      <c r="AG367">
        <v>0</v>
      </c>
      <c r="AH367">
        <f t="shared" si="65"/>
        <v>1</v>
      </c>
      <c r="AI367">
        <f t="shared" si="66"/>
        <v>0</v>
      </c>
      <c r="AJ367">
        <f t="shared" si="67"/>
        <v>0</v>
      </c>
      <c r="AK367">
        <f t="shared" si="68"/>
        <v>1</v>
      </c>
      <c r="AL367">
        <f t="shared" si="69"/>
        <v>0</v>
      </c>
      <c r="AM367">
        <f t="shared" si="70"/>
        <v>0</v>
      </c>
      <c r="AN367">
        <f t="shared" si="71"/>
        <v>1</v>
      </c>
      <c r="AO367">
        <f>SUM(AN$2:$AN367)</f>
        <v>366</v>
      </c>
    </row>
    <row r="368" spans="1:41" x14ac:dyDescent="0.35">
      <c r="A368" t="s">
        <v>169</v>
      </c>
      <c r="B368" t="s">
        <v>1051</v>
      </c>
      <c r="C368">
        <v>9400</v>
      </c>
      <c r="D368" t="s">
        <v>1062</v>
      </c>
      <c r="E368">
        <v>0</v>
      </c>
      <c r="F368">
        <v>1392</v>
      </c>
      <c r="G368">
        <v>0</v>
      </c>
      <c r="H368">
        <v>0</v>
      </c>
      <c r="I368">
        <v>0</v>
      </c>
      <c r="J368">
        <v>0</v>
      </c>
      <c r="K368">
        <v>3156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 t="s">
        <v>327</v>
      </c>
      <c r="X368">
        <v>3</v>
      </c>
      <c r="Y368" t="s">
        <v>434</v>
      </c>
      <c r="Z368" t="s">
        <v>2010</v>
      </c>
      <c r="AA368" t="s">
        <v>152</v>
      </c>
      <c r="AB368" t="s">
        <v>152</v>
      </c>
      <c r="AC368" t="s">
        <v>497</v>
      </c>
      <c r="AD368">
        <v>0</v>
      </c>
      <c r="AE368">
        <v>0</v>
      </c>
      <c r="AF368">
        <v>0</v>
      </c>
      <c r="AG368">
        <v>0</v>
      </c>
      <c r="AH368">
        <f t="shared" si="65"/>
        <v>0</v>
      </c>
      <c r="AI368">
        <f t="shared" si="66"/>
        <v>0</v>
      </c>
      <c r="AJ368">
        <f t="shared" si="67"/>
        <v>0</v>
      </c>
      <c r="AK368">
        <f t="shared" si="68"/>
        <v>0</v>
      </c>
      <c r="AL368">
        <f t="shared" si="69"/>
        <v>1</v>
      </c>
      <c r="AM368">
        <f t="shared" si="70"/>
        <v>0</v>
      </c>
      <c r="AN368">
        <f t="shared" si="71"/>
        <v>1</v>
      </c>
      <c r="AO368">
        <f>SUM(AN$2:$AN368)</f>
        <v>367</v>
      </c>
    </row>
    <row r="369" spans="1:41" x14ac:dyDescent="0.35">
      <c r="A369" t="s">
        <v>169</v>
      </c>
      <c r="B369" t="s">
        <v>1051</v>
      </c>
      <c r="C369">
        <v>9400</v>
      </c>
      <c r="D369" t="s">
        <v>1063</v>
      </c>
      <c r="E369">
        <v>0</v>
      </c>
      <c r="F369">
        <v>1188</v>
      </c>
      <c r="G369">
        <v>0</v>
      </c>
      <c r="H369">
        <v>0</v>
      </c>
      <c r="I369">
        <v>1830</v>
      </c>
      <c r="J369">
        <v>0</v>
      </c>
      <c r="K369">
        <v>1830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t="s">
        <v>332</v>
      </c>
      <c r="X369">
        <v>3</v>
      </c>
      <c r="Y369" t="s">
        <v>434</v>
      </c>
      <c r="Z369" t="s">
        <v>2011</v>
      </c>
      <c r="AA369" t="s">
        <v>358</v>
      </c>
      <c r="AB369" t="s">
        <v>358</v>
      </c>
      <c r="AC369" t="s">
        <v>497</v>
      </c>
      <c r="AD369">
        <v>0</v>
      </c>
      <c r="AE369">
        <v>0</v>
      </c>
      <c r="AF369">
        <v>0</v>
      </c>
      <c r="AG369">
        <v>0</v>
      </c>
      <c r="AH369">
        <f t="shared" si="65"/>
        <v>0</v>
      </c>
      <c r="AI369">
        <f t="shared" si="66"/>
        <v>0</v>
      </c>
      <c r="AJ369">
        <f t="shared" si="67"/>
        <v>1</v>
      </c>
      <c r="AK369">
        <f t="shared" si="68"/>
        <v>0</v>
      </c>
      <c r="AL369">
        <f t="shared" si="69"/>
        <v>1</v>
      </c>
      <c r="AM369">
        <f t="shared" si="70"/>
        <v>0</v>
      </c>
      <c r="AN369">
        <f t="shared" si="71"/>
        <v>1</v>
      </c>
      <c r="AO369">
        <f>SUM(AN$2:$AN369)</f>
        <v>368</v>
      </c>
    </row>
    <row r="370" spans="1:41" x14ac:dyDescent="0.35">
      <c r="A370" t="s">
        <v>169</v>
      </c>
      <c r="B370" t="s">
        <v>1051</v>
      </c>
      <c r="C370">
        <v>9400</v>
      </c>
      <c r="D370" t="s">
        <v>1064</v>
      </c>
      <c r="E370">
        <v>0</v>
      </c>
      <c r="F370">
        <v>1188</v>
      </c>
      <c r="G370">
        <v>1738</v>
      </c>
      <c r="H370">
        <v>0</v>
      </c>
      <c r="I370">
        <v>0</v>
      </c>
      <c r="J370">
        <v>915</v>
      </c>
      <c r="K370">
        <v>1006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 t="s">
        <v>423</v>
      </c>
      <c r="X370">
        <v>3</v>
      </c>
      <c r="Y370" t="s">
        <v>434</v>
      </c>
      <c r="Z370" t="s">
        <v>2012</v>
      </c>
      <c r="AA370" t="s">
        <v>152</v>
      </c>
      <c r="AB370" t="s">
        <v>152</v>
      </c>
      <c r="AC370" t="s">
        <v>497</v>
      </c>
      <c r="AD370">
        <v>0</v>
      </c>
      <c r="AE370">
        <v>0</v>
      </c>
      <c r="AF370">
        <v>0</v>
      </c>
      <c r="AG370">
        <v>0</v>
      </c>
      <c r="AH370">
        <f t="shared" si="65"/>
        <v>1</v>
      </c>
      <c r="AI370">
        <f t="shared" si="66"/>
        <v>0</v>
      </c>
      <c r="AJ370">
        <f t="shared" si="67"/>
        <v>0</v>
      </c>
      <c r="AK370">
        <f t="shared" si="68"/>
        <v>1</v>
      </c>
      <c r="AL370">
        <f t="shared" si="69"/>
        <v>1</v>
      </c>
      <c r="AM370">
        <f t="shared" si="70"/>
        <v>0</v>
      </c>
      <c r="AN370">
        <f t="shared" si="71"/>
        <v>1</v>
      </c>
      <c r="AO370">
        <f>SUM(AN$2:$AN370)</f>
        <v>369</v>
      </c>
    </row>
    <row r="371" spans="1:41" x14ac:dyDescent="0.35">
      <c r="A371" t="s">
        <v>169</v>
      </c>
      <c r="B371" t="s">
        <v>1044</v>
      </c>
      <c r="C371">
        <v>9450</v>
      </c>
      <c r="D371" t="s">
        <v>2013</v>
      </c>
      <c r="E371">
        <v>330</v>
      </c>
      <c r="F371">
        <v>535</v>
      </c>
      <c r="G371">
        <v>0</v>
      </c>
      <c r="H371">
        <v>0</v>
      </c>
      <c r="I371">
        <v>1655</v>
      </c>
      <c r="J371">
        <v>1472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348</v>
      </c>
      <c r="X371">
        <v>6</v>
      </c>
      <c r="Y371" t="s">
        <v>438</v>
      </c>
      <c r="Z371" t="s">
        <v>2014</v>
      </c>
      <c r="AA371" t="s">
        <v>149</v>
      </c>
      <c r="AB371" t="s">
        <v>149</v>
      </c>
      <c r="AC371" t="s">
        <v>497</v>
      </c>
      <c r="AD371">
        <v>1701</v>
      </c>
      <c r="AE371">
        <v>0</v>
      </c>
      <c r="AF371">
        <v>0</v>
      </c>
      <c r="AG371">
        <v>0</v>
      </c>
      <c r="AH371">
        <f t="shared" si="65"/>
        <v>0</v>
      </c>
      <c r="AI371">
        <f t="shared" si="66"/>
        <v>0</v>
      </c>
      <c r="AJ371">
        <f t="shared" si="67"/>
        <v>1</v>
      </c>
      <c r="AK371">
        <f t="shared" si="68"/>
        <v>1</v>
      </c>
      <c r="AL371">
        <f t="shared" si="69"/>
        <v>0</v>
      </c>
      <c r="AM371">
        <f t="shared" si="70"/>
        <v>0</v>
      </c>
      <c r="AN371">
        <f t="shared" si="71"/>
        <v>1</v>
      </c>
      <c r="AO371">
        <f>SUM(AN$2:$AN371)</f>
        <v>370</v>
      </c>
    </row>
    <row r="372" spans="1:41" x14ac:dyDescent="0.35">
      <c r="A372" t="s">
        <v>169</v>
      </c>
      <c r="B372" t="s">
        <v>1065</v>
      </c>
      <c r="C372">
        <v>9500</v>
      </c>
      <c r="D372" t="s">
        <v>1066</v>
      </c>
      <c r="E372">
        <v>332</v>
      </c>
      <c r="F372">
        <v>538</v>
      </c>
      <c r="G372">
        <v>0</v>
      </c>
      <c r="H372">
        <v>0</v>
      </c>
      <c r="I372">
        <v>1664</v>
      </c>
      <c r="J372">
        <v>1479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348</v>
      </c>
      <c r="X372">
        <v>6</v>
      </c>
      <c r="Y372" t="s">
        <v>438</v>
      </c>
      <c r="Z372" t="s">
        <v>2015</v>
      </c>
      <c r="AA372" t="s">
        <v>149</v>
      </c>
      <c r="AB372" t="s">
        <v>149</v>
      </c>
      <c r="AC372" t="s">
        <v>497</v>
      </c>
      <c r="AD372">
        <v>1710</v>
      </c>
      <c r="AE372">
        <v>0</v>
      </c>
      <c r="AF372">
        <v>0</v>
      </c>
      <c r="AG372">
        <v>0</v>
      </c>
      <c r="AH372">
        <f t="shared" si="65"/>
        <v>0</v>
      </c>
      <c r="AI372">
        <f t="shared" si="66"/>
        <v>0</v>
      </c>
      <c r="AJ372">
        <f t="shared" si="67"/>
        <v>1</v>
      </c>
      <c r="AK372">
        <f t="shared" si="68"/>
        <v>1</v>
      </c>
      <c r="AL372">
        <f t="shared" si="69"/>
        <v>0</v>
      </c>
      <c r="AM372">
        <f t="shared" si="70"/>
        <v>0</v>
      </c>
      <c r="AN372">
        <f t="shared" si="71"/>
        <v>1</v>
      </c>
      <c r="AO372">
        <f>SUM(AN$2:$AN372)</f>
        <v>371</v>
      </c>
    </row>
    <row r="373" spans="1:41" x14ac:dyDescent="0.35">
      <c r="A373" t="s">
        <v>169</v>
      </c>
      <c r="B373" t="s">
        <v>1067</v>
      </c>
      <c r="C373">
        <v>9600</v>
      </c>
      <c r="D373" t="s">
        <v>1068</v>
      </c>
      <c r="E373">
        <v>335</v>
      </c>
      <c r="F373">
        <v>544</v>
      </c>
      <c r="G373">
        <v>0</v>
      </c>
      <c r="H373">
        <v>0</v>
      </c>
      <c r="I373">
        <v>1682</v>
      </c>
      <c r="J373">
        <v>0</v>
      </c>
      <c r="K373">
        <v>1495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 t="s">
        <v>159</v>
      </c>
      <c r="X373">
        <v>6</v>
      </c>
      <c r="Y373" t="s">
        <v>1336</v>
      </c>
      <c r="Z373" t="s">
        <v>2016</v>
      </c>
      <c r="AA373" t="s">
        <v>153</v>
      </c>
      <c r="AB373" t="s">
        <v>153</v>
      </c>
      <c r="AC373" t="s">
        <v>497</v>
      </c>
      <c r="AD373">
        <v>1728</v>
      </c>
      <c r="AE373">
        <v>0</v>
      </c>
      <c r="AF373">
        <v>0</v>
      </c>
      <c r="AG373">
        <v>0</v>
      </c>
      <c r="AH373">
        <f t="shared" si="65"/>
        <v>0</v>
      </c>
      <c r="AI373">
        <f t="shared" si="66"/>
        <v>0</v>
      </c>
      <c r="AJ373">
        <f t="shared" si="67"/>
        <v>1</v>
      </c>
      <c r="AK373">
        <f t="shared" si="68"/>
        <v>0</v>
      </c>
      <c r="AL373">
        <f t="shared" si="69"/>
        <v>1</v>
      </c>
      <c r="AM373">
        <f t="shared" si="70"/>
        <v>0</v>
      </c>
      <c r="AN373">
        <f t="shared" si="71"/>
        <v>1</v>
      </c>
      <c r="AO373">
        <f>SUM(AN$2:$AN373)</f>
        <v>372</v>
      </c>
    </row>
    <row r="374" spans="1:41" x14ac:dyDescent="0.35">
      <c r="A374" t="s">
        <v>169</v>
      </c>
      <c r="B374" t="s">
        <v>1051</v>
      </c>
      <c r="C374">
        <v>9700</v>
      </c>
      <c r="D374" t="s">
        <v>1069</v>
      </c>
      <c r="E374">
        <v>0</v>
      </c>
      <c r="F374">
        <v>1226</v>
      </c>
      <c r="G374">
        <v>0</v>
      </c>
      <c r="H374">
        <v>0</v>
      </c>
      <c r="I374">
        <v>0</v>
      </c>
      <c r="J374">
        <v>1038</v>
      </c>
      <c r="K374">
        <v>2738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353</v>
      </c>
      <c r="X374">
        <v>3</v>
      </c>
      <c r="Y374" t="s">
        <v>434</v>
      </c>
      <c r="Z374" t="s">
        <v>2017</v>
      </c>
      <c r="AA374" t="s">
        <v>150</v>
      </c>
      <c r="AB374" t="s">
        <v>150</v>
      </c>
      <c r="AC374" t="s">
        <v>497</v>
      </c>
      <c r="AD374">
        <v>0</v>
      </c>
      <c r="AE374">
        <v>0</v>
      </c>
      <c r="AF374">
        <v>0</v>
      </c>
      <c r="AG374">
        <v>0</v>
      </c>
      <c r="AH374">
        <f t="shared" si="65"/>
        <v>0</v>
      </c>
      <c r="AI374">
        <f t="shared" si="66"/>
        <v>0</v>
      </c>
      <c r="AJ374">
        <f t="shared" si="67"/>
        <v>0</v>
      </c>
      <c r="AK374">
        <f t="shared" si="68"/>
        <v>1</v>
      </c>
      <c r="AL374">
        <f t="shared" si="69"/>
        <v>1</v>
      </c>
      <c r="AM374">
        <f t="shared" si="70"/>
        <v>0</v>
      </c>
      <c r="AN374">
        <f t="shared" si="71"/>
        <v>1</v>
      </c>
      <c r="AO374">
        <f>SUM(AN$2:$AN374)</f>
        <v>373</v>
      </c>
    </row>
    <row r="375" spans="1:41" x14ac:dyDescent="0.35">
      <c r="A375" t="s">
        <v>169</v>
      </c>
      <c r="B375" t="s">
        <v>1051</v>
      </c>
      <c r="C375">
        <v>9700</v>
      </c>
      <c r="D375" t="s">
        <v>2606</v>
      </c>
      <c r="E375">
        <v>0</v>
      </c>
      <c r="F375">
        <v>1226</v>
      </c>
      <c r="G375">
        <v>1794</v>
      </c>
      <c r="H375">
        <v>944</v>
      </c>
      <c r="I375">
        <v>0</v>
      </c>
      <c r="J375">
        <v>944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 t="s">
        <v>2579</v>
      </c>
      <c r="X375">
        <v>3</v>
      </c>
      <c r="Y375" t="s">
        <v>434</v>
      </c>
      <c r="Z375" t="s">
        <v>2018</v>
      </c>
      <c r="AA375" t="s">
        <v>152</v>
      </c>
      <c r="AB375" t="s">
        <v>152</v>
      </c>
      <c r="AC375" t="s">
        <v>497</v>
      </c>
      <c r="AD375">
        <v>0</v>
      </c>
      <c r="AE375">
        <v>0</v>
      </c>
      <c r="AF375">
        <v>0</v>
      </c>
      <c r="AG375">
        <v>0</v>
      </c>
      <c r="AH375">
        <f t="shared" si="65"/>
        <v>1</v>
      </c>
      <c r="AI375">
        <f t="shared" si="66"/>
        <v>1</v>
      </c>
      <c r="AJ375">
        <f t="shared" si="67"/>
        <v>0</v>
      </c>
      <c r="AK375">
        <f t="shared" si="68"/>
        <v>1</v>
      </c>
      <c r="AL375">
        <f t="shared" si="69"/>
        <v>0</v>
      </c>
      <c r="AM375">
        <f t="shared" si="70"/>
        <v>0</v>
      </c>
      <c r="AN375">
        <f t="shared" si="71"/>
        <v>1</v>
      </c>
      <c r="AO375">
        <f>SUM(AN$2:$AN375)</f>
        <v>374</v>
      </c>
    </row>
    <row r="376" spans="1:41" x14ac:dyDescent="0.35">
      <c r="A376" t="s">
        <v>169</v>
      </c>
      <c r="B376" t="s">
        <v>1051</v>
      </c>
      <c r="C376">
        <v>9700</v>
      </c>
      <c r="D376" t="s">
        <v>1070</v>
      </c>
      <c r="E376">
        <v>0</v>
      </c>
      <c r="F376">
        <v>1437</v>
      </c>
      <c r="G376">
        <v>3257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 t="s">
        <v>331</v>
      </c>
      <c r="X376">
        <v>3</v>
      </c>
      <c r="Y376" t="s">
        <v>434</v>
      </c>
      <c r="Z376" t="s">
        <v>2019</v>
      </c>
      <c r="AA376" t="s">
        <v>151</v>
      </c>
      <c r="AB376" t="s">
        <v>151</v>
      </c>
      <c r="AC376" t="s">
        <v>497</v>
      </c>
      <c r="AD376">
        <v>0</v>
      </c>
      <c r="AE376">
        <v>0</v>
      </c>
      <c r="AF376">
        <v>0</v>
      </c>
      <c r="AG376">
        <v>0</v>
      </c>
      <c r="AH376">
        <f t="shared" si="65"/>
        <v>1</v>
      </c>
      <c r="AI376">
        <f t="shared" si="66"/>
        <v>0</v>
      </c>
      <c r="AJ376">
        <f t="shared" si="67"/>
        <v>0</v>
      </c>
      <c r="AK376">
        <f t="shared" si="68"/>
        <v>0</v>
      </c>
      <c r="AL376">
        <f t="shared" si="69"/>
        <v>0</v>
      </c>
      <c r="AM376">
        <f t="shared" si="70"/>
        <v>0</v>
      </c>
      <c r="AN376">
        <f t="shared" si="71"/>
        <v>1</v>
      </c>
      <c r="AO376">
        <f>SUM(AN$2:$AN376)</f>
        <v>375</v>
      </c>
    </row>
    <row r="377" spans="1:41" x14ac:dyDescent="0.35">
      <c r="A377" t="s">
        <v>169</v>
      </c>
      <c r="B377" t="s">
        <v>1055</v>
      </c>
      <c r="C377">
        <v>10000</v>
      </c>
      <c r="D377" t="s">
        <v>2020</v>
      </c>
      <c r="E377">
        <v>349</v>
      </c>
      <c r="F377">
        <v>566</v>
      </c>
      <c r="G377">
        <v>0</v>
      </c>
      <c r="H377">
        <v>0</v>
      </c>
      <c r="I377">
        <v>0</v>
      </c>
      <c r="J377">
        <v>1752</v>
      </c>
      <c r="K377">
        <v>1557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347</v>
      </c>
      <c r="X377">
        <v>6</v>
      </c>
      <c r="Y377" t="s">
        <v>435</v>
      </c>
      <c r="Z377" t="s">
        <v>2021</v>
      </c>
      <c r="AA377" t="s">
        <v>149</v>
      </c>
      <c r="AB377" t="s">
        <v>149</v>
      </c>
      <c r="AC377" t="s">
        <v>497</v>
      </c>
      <c r="AD377">
        <v>1800</v>
      </c>
      <c r="AE377">
        <v>0</v>
      </c>
      <c r="AF377">
        <v>0</v>
      </c>
      <c r="AG377">
        <v>0</v>
      </c>
      <c r="AH377">
        <f t="shared" si="65"/>
        <v>0</v>
      </c>
      <c r="AI377">
        <f t="shared" si="66"/>
        <v>0</v>
      </c>
      <c r="AJ377">
        <f t="shared" si="67"/>
        <v>0</v>
      </c>
      <c r="AK377">
        <f t="shared" si="68"/>
        <v>1</v>
      </c>
      <c r="AL377">
        <f t="shared" si="69"/>
        <v>1</v>
      </c>
      <c r="AM377">
        <f t="shared" si="70"/>
        <v>0</v>
      </c>
      <c r="AN377">
        <f t="shared" si="71"/>
        <v>1</v>
      </c>
      <c r="AO377">
        <f>SUM(AN$2:$AN377)</f>
        <v>376</v>
      </c>
    </row>
    <row r="378" spans="1:41" x14ac:dyDescent="0.35">
      <c r="A378" t="s">
        <v>169</v>
      </c>
      <c r="B378" t="s">
        <v>1056</v>
      </c>
      <c r="C378">
        <v>10000</v>
      </c>
      <c r="D378" t="s">
        <v>2022</v>
      </c>
      <c r="E378">
        <v>349</v>
      </c>
      <c r="F378">
        <v>566</v>
      </c>
      <c r="G378">
        <v>0</v>
      </c>
      <c r="H378">
        <v>0</v>
      </c>
      <c r="I378">
        <v>1752</v>
      </c>
      <c r="J378">
        <v>1557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348</v>
      </c>
      <c r="X378">
        <v>6</v>
      </c>
      <c r="Y378" t="s">
        <v>435</v>
      </c>
      <c r="Z378" t="s">
        <v>2023</v>
      </c>
      <c r="AA378" t="s">
        <v>149</v>
      </c>
      <c r="AB378" t="s">
        <v>149</v>
      </c>
      <c r="AC378" t="s">
        <v>497</v>
      </c>
      <c r="AD378">
        <v>1800</v>
      </c>
      <c r="AE378">
        <v>0</v>
      </c>
      <c r="AF378">
        <v>0</v>
      </c>
      <c r="AG378">
        <v>0</v>
      </c>
      <c r="AH378">
        <f t="shared" si="65"/>
        <v>0</v>
      </c>
      <c r="AI378">
        <f t="shared" si="66"/>
        <v>0</v>
      </c>
      <c r="AJ378">
        <f t="shared" si="67"/>
        <v>1</v>
      </c>
      <c r="AK378">
        <f t="shared" si="68"/>
        <v>1</v>
      </c>
      <c r="AL378">
        <f t="shared" si="69"/>
        <v>0</v>
      </c>
      <c r="AM378">
        <f t="shared" si="70"/>
        <v>0</v>
      </c>
      <c r="AN378">
        <f t="shared" si="71"/>
        <v>1</v>
      </c>
      <c r="AO378">
        <f>SUM(AN$2:$AN378)</f>
        <v>377</v>
      </c>
    </row>
    <row r="379" spans="1:41" customFormat="1" x14ac:dyDescent="0.35">
      <c r="A379" t="s">
        <v>169</v>
      </c>
      <c r="B379" t="s">
        <v>1057</v>
      </c>
      <c r="C379">
        <v>10000</v>
      </c>
      <c r="D379" t="s">
        <v>2024</v>
      </c>
      <c r="E379">
        <v>349</v>
      </c>
      <c r="F379">
        <v>566</v>
      </c>
      <c r="G379">
        <v>0</v>
      </c>
      <c r="H379">
        <v>0</v>
      </c>
      <c r="I379">
        <v>0</v>
      </c>
      <c r="J379">
        <v>0</v>
      </c>
      <c r="K379">
        <v>1557</v>
      </c>
      <c r="L379">
        <v>1752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 t="s">
        <v>158</v>
      </c>
      <c r="X379">
        <v>6</v>
      </c>
      <c r="Y379" t="s">
        <v>435</v>
      </c>
      <c r="Z379" t="s">
        <v>2025</v>
      </c>
      <c r="AA379" t="s">
        <v>153</v>
      </c>
      <c r="AB379" t="s">
        <v>153</v>
      </c>
      <c r="AC379" t="s">
        <v>497</v>
      </c>
      <c r="AD379">
        <v>1800</v>
      </c>
      <c r="AE379">
        <v>0</v>
      </c>
      <c r="AF379">
        <v>0</v>
      </c>
      <c r="AG379">
        <v>0</v>
      </c>
      <c r="AH379">
        <f t="shared" si="65"/>
        <v>0</v>
      </c>
      <c r="AI379">
        <f t="shared" si="66"/>
        <v>0</v>
      </c>
      <c r="AJ379">
        <f t="shared" si="67"/>
        <v>0</v>
      </c>
      <c r="AK379">
        <f t="shared" si="68"/>
        <v>0</v>
      </c>
      <c r="AL379">
        <f t="shared" si="69"/>
        <v>1</v>
      </c>
      <c r="AM379">
        <f t="shared" si="70"/>
        <v>1</v>
      </c>
      <c r="AN379">
        <f t="shared" si="71"/>
        <v>1</v>
      </c>
      <c r="AO379">
        <f>SUM(AN$2:$AN379)</f>
        <v>378</v>
      </c>
    </row>
    <row r="380" spans="1:41" customFormat="1" x14ac:dyDescent="0.35">
      <c r="A380" t="s">
        <v>169</v>
      </c>
      <c r="B380" t="s">
        <v>1058</v>
      </c>
      <c r="C380">
        <v>10000</v>
      </c>
      <c r="D380" t="s">
        <v>2026</v>
      </c>
      <c r="E380">
        <v>349</v>
      </c>
      <c r="F380">
        <v>566</v>
      </c>
      <c r="G380">
        <v>0</v>
      </c>
      <c r="H380">
        <v>0</v>
      </c>
      <c r="I380">
        <v>1752</v>
      </c>
      <c r="J380">
        <v>0</v>
      </c>
      <c r="K380">
        <v>1557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 t="s">
        <v>159</v>
      </c>
      <c r="X380">
        <v>6</v>
      </c>
      <c r="Y380" t="s">
        <v>435</v>
      </c>
      <c r="Z380" t="s">
        <v>2027</v>
      </c>
      <c r="AA380" t="s">
        <v>153</v>
      </c>
      <c r="AB380" t="s">
        <v>153</v>
      </c>
      <c r="AC380" t="s">
        <v>497</v>
      </c>
      <c r="AD380">
        <v>1800</v>
      </c>
      <c r="AE380">
        <v>0</v>
      </c>
      <c r="AF380">
        <v>0</v>
      </c>
      <c r="AG380">
        <v>0</v>
      </c>
      <c r="AH380">
        <f t="shared" si="65"/>
        <v>0</v>
      </c>
      <c r="AI380">
        <f t="shared" si="66"/>
        <v>0</v>
      </c>
      <c r="AJ380">
        <f t="shared" si="67"/>
        <v>1</v>
      </c>
      <c r="AK380">
        <f t="shared" si="68"/>
        <v>0</v>
      </c>
      <c r="AL380">
        <f t="shared" si="69"/>
        <v>1</v>
      </c>
      <c r="AM380">
        <f t="shared" si="70"/>
        <v>0</v>
      </c>
      <c r="AN380">
        <f t="shared" si="71"/>
        <v>1</v>
      </c>
      <c r="AO380">
        <f>SUM(AN$2:$AN380)</f>
        <v>379</v>
      </c>
    </row>
    <row r="381" spans="1:41" customFormat="1" x14ac:dyDescent="0.35">
      <c r="A381" t="s">
        <v>169</v>
      </c>
      <c r="B381" t="s">
        <v>1289</v>
      </c>
      <c r="C381">
        <v>10000</v>
      </c>
      <c r="D381" t="s">
        <v>2648</v>
      </c>
      <c r="E381">
        <v>349</v>
      </c>
      <c r="F381">
        <v>566</v>
      </c>
      <c r="G381">
        <v>0</v>
      </c>
      <c r="H381">
        <v>0</v>
      </c>
      <c r="I381">
        <v>1752</v>
      </c>
      <c r="J381">
        <v>0</v>
      </c>
      <c r="K381">
        <v>1557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 t="s">
        <v>159</v>
      </c>
      <c r="X381">
        <v>6</v>
      </c>
      <c r="Y381" t="s">
        <v>437</v>
      </c>
      <c r="Z381" t="s">
        <v>2009</v>
      </c>
      <c r="AA381" t="s">
        <v>153</v>
      </c>
      <c r="AB381" t="s">
        <v>153</v>
      </c>
      <c r="AC381" t="s">
        <v>497</v>
      </c>
      <c r="AD381">
        <v>1800</v>
      </c>
      <c r="AE381">
        <v>0</v>
      </c>
      <c r="AF381">
        <v>0</v>
      </c>
      <c r="AG381">
        <v>0</v>
      </c>
      <c r="AH381">
        <f t="shared" si="65"/>
        <v>0</v>
      </c>
      <c r="AI381">
        <f t="shared" si="66"/>
        <v>0</v>
      </c>
      <c r="AJ381">
        <f t="shared" si="67"/>
        <v>1</v>
      </c>
      <c r="AK381">
        <f t="shared" si="68"/>
        <v>0</v>
      </c>
      <c r="AL381">
        <f t="shared" si="69"/>
        <v>1</v>
      </c>
      <c r="AM381">
        <f t="shared" si="70"/>
        <v>0</v>
      </c>
      <c r="AN381">
        <f t="shared" si="71"/>
        <v>1</v>
      </c>
      <c r="AO381">
        <f>SUM(AN$2:$AN381)</f>
        <v>380</v>
      </c>
    </row>
    <row r="382" spans="1:41" customFormat="1" x14ac:dyDescent="0.35">
      <c r="A382" t="s">
        <v>169</v>
      </c>
      <c r="B382" t="s">
        <v>1059</v>
      </c>
      <c r="C382">
        <v>10000</v>
      </c>
      <c r="D382" t="s">
        <v>2028</v>
      </c>
      <c r="E382">
        <v>349</v>
      </c>
      <c r="F382">
        <v>566</v>
      </c>
      <c r="G382">
        <v>1752</v>
      </c>
      <c r="H382">
        <v>0</v>
      </c>
      <c r="I382">
        <v>0</v>
      </c>
      <c r="J382">
        <v>1557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 t="s">
        <v>350</v>
      </c>
      <c r="X382">
        <v>6</v>
      </c>
      <c r="Y382" t="s">
        <v>435</v>
      </c>
      <c r="Z382" t="s">
        <v>2029</v>
      </c>
      <c r="AA382" t="s">
        <v>152</v>
      </c>
      <c r="AB382" t="s">
        <v>152</v>
      </c>
      <c r="AC382" t="s">
        <v>497</v>
      </c>
      <c r="AD382">
        <v>1800</v>
      </c>
      <c r="AE382">
        <v>0</v>
      </c>
      <c r="AF382">
        <v>0</v>
      </c>
      <c r="AG382">
        <v>0</v>
      </c>
      <c r="AH382">
        <f t="shared" si="65"/>
        <v>1</v>
      </c>
      <c r="AI382">
        <f t="shared" si="66"/>
        <v>0</v>
      </c>
      <c r="AJ382">
        <f t="shared" si="67"/>
        <v>0</v>
      </c>
      <c r="AK382">
        <f t="shared" si="68"/>
        <v>1</v>
      </c>
      <c r="AL382">
        <f t="shared" si="69"/>
        <v>0</v>
      </c>
      <c r="AM382">
        <f t="shared" si="70"/>
        <v>0</v>
      </c>
      <c r="AN382">
        <f t="shared" si="71"/>
        <v>1</v>
      </c>
      <c r="AO382">
        <f>SUM(AN$2:$AN382)</f>
        <v>381</v>
      </c>
    </row>
    <row r="383" spans="1:41" x14ac:dyDescent="0.35">
      <c r="A383" t="s">
        <v>169</v>
      </c>
      <c r="B383" t="s">
        <v>1060</v>
      </c>
      <c r="C383">
        <v>10000</v>
      </c>
      <c r="D383" t="s">
        <v>2030</v>
      </c>
      <c r="E383">
        <v>349</v>
      </c>
      <c r="F383">
        <v>566</v>
      </c>
      <c r="G383">
        <v>1752</v>
      </c>
      <c r="H383">
        <v>0</v>
      </c>
      <c r="I383">
        <v>0</v>
      </c>
      <c r="J383">
        <v>1557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 t="s">
        <v>350</v>
      </c>
      <c r="X383">
        <v>6</v>
      </c>
      <c r="Y383" t="s">
        <v>435</v>
      </c>
      <c r="Z383" t="s">
        <v>2031</v>
      </c>
      <c r="AA383" t="s">
        <v>152</v>
      </c>
      <c r="AB383" t="s">
        <v>152</v>
      </c>
      <c r="AC383" t="s">
        <v>497</v>
      </c>
      <c r="AD383">
        <v>1800</v>
      </c>
      <c r="AE383">
        <v>0</v>
      </c>
      <c r="AF383">
        <v>0</v>
      </c>
      <c r="AG383">
        <v>0</v>
      </c>
      <c r="AH383">
        <f t="shared" ref="AH383:AH412" si="72">IF(G383&gt;1,1,0)</f>
        <v>1</v>
      </c>
      <c r="AI383">
        <f t="shared" ref="AI383:AI412" si="73">IF(H383&gt;1,1,0)</f>
        <v>0</v>
      </c>
      <c r="AJ383">
        <f t="shared" ref="AJ383:AJ412" si="74">IF(I383&gt;1,1,0)</f>
        <v>0</v>
      </c>
      <c r="AK383">
        <f t="shared" ref="AK383:AK412" si="75">IF(J383&gt;1,1,0)</f>
        <v>1</v>
      </c>
      <c r="AL383">
        <f t="shared" ref="AL383:AL412" si="76">IF(K383&gt;1,1,0)</f>
        <v>0</v>
      </c>
      <c r="AM383">
        <f t="shared" ref="AM383:AM412" si="77">IF(L383&gt;1,1,0)</f>
        <v>0</v>
      </c>
      <c r="AN383">
        <f t="shared" ref="AN383:AN412" si="78">MIN(1,($AV$2+IF(AND(AH383&gt;=$AP$3,AI383&gt;=$AQ$3,AJ383&gt;=$AR$3,AK383&gt;=$AS$3,AL383&gt;=$AT$3,AM383&gt;=$AU$3),1,0)))</f>
        <v>1</v>
      </c>
      <c r="AO383">
        <f>SUM(AN$2:$AN383)</f>
        <v>382</v>
      </c>
    </row>
    <row r="384" spans="1:41" x14ac:dyDescent="0.35">
      <c r="A384" t="s">
        <v>169</v>
      </c>
      <c r="B384" t="s">
        <v>1061</v>
      </c>
      <c r="C384">
        <v>10000</v>
      </c>
      <c r="D384" t="s">
        <v>2032</v>
      </c>
      <c r="E384">
        <v>349</v>
      </c>
      <c r="F384">
        <v>566</v>
      </c>
      <c r="G384">
        <v>1752</v>
      </c>
      <c r="H384">
        <v>0</v>
      </c>
      <c r="I384">
        <v>0</v>
      </c>
      <c r="J384">
        <v>0</v>
      </c>
      <c r="K384">
        <v>1557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 t="s">
        <v>157</v>
      </c>
      <c r="X384">
        <v>6</v>
      </c>
      <c r="Y384" t="s">
        <v>435</v>
      </c>
      <c r="Z384" t="s">
        <v>2033</v>
      </c>
      <c r="AA384" t="s">
        <v>152</v>
      </c>
      <c r="AB384" t="s">
        <v>152</v>
      </c>
      <c r="AC384" t="s">
        <v>497</v>
      </c>
      <c r="AD384">
        <v>1800</v>
      </c>
      <c r="AE384">
        <v>0</v>
      </c>
      <c r="AF384">
        <v>0</v>
      </c>
      <c r="AG384">
        <v>0</v>
      </c>
      <c r="AH384">
        <f t="shared" si="72"/>
        <v>1</v>
      </c>
      <c r="AI384">
        <f t="shared" si="73"/>
        <v>0</v>
      </c>
      <c r="AJ384">
        <f t="shared" si="74"/>
        <v>0</v>
      </c>
      <c r="AK384">
        <f t="shared" si="75"/>
        <v>0</v>
      </c>
      <c r="AL384">
        <f t="shared" si="76"/>
        <v>1</v>
      </c>
      <c r="AM384">
        <f t="shared" si="77"/>
        <v>0</v>
      </c>
      <c r="AN384">
        <f t="shared" si="78"/>
        <v>1</v>
      </c>
      <c r="AO384">
        <f>SUM(AN$2:$AN384)</f>
        <v>383</v>
      </c>
    </row>
    <row r="385" spans="1:41" x14ac:dyDescent="0.35">
      <c r="A385" t="s">
        <v>169</v>
      </c>
      <c r="B385" t="s">
        <v>1051</v>
      </c>
      <c r="C385">
        <v>10000</v>
      </c>
      <c r="D385" t="s">
        <v>1071</v>
      </c>
      <c r="E385">
        <v>0</v>
      </c>
      <c r="F385">
        <v>1263</v>
      </c>
      <c r="G385">
        <v>0</v>
      </c>
      <c r="H385">
        <v>0</v>
      </c>
      <c r="I385">
        <v>1654</v>
      </c>
      <c r="J385">
        <v>1265</v>
      </c>
      <c r="K385">
        <v>973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354</v>
      </c>
      <c r="X385">
        <v>3</v>
      </c>
      <c r="Y385" t="s">
        <v>434</v>
      </c>
      <c r="Z385" t="s">
        <v>2034</v>
      </c>
      <c r="AA385" t="s">
        <v>150</v>
      </c>
      <c r="AB385" t="s">
        <v>150</v>
      </c>
      <c r="AC385" t="s">
        <v>497</v>
      </c>
      <c r="AD385">
        <v>0</v>
      </c>
      <c r="AE385">
        <v>0</v>
      </c>
      <c r="AF385">
        <v>0</v>
      </c>
      <c r="AG385">
        <v>0</v>
      </c>
      <c r="AH385">
        <f t="shared" si="72"/>
        <v>0</v>
      </c>
      <c r="AI385">
        <f t="shared" si="73"/>
        <v>0</v>
      </c>
      <c r="AJ385">
        <f t="shared" si="74"/>
        <v>1</v>
      </c>
      <c r="AK385">
        <f t="shared" si="75"/>
        <v>1</v>
      </c>
      <c r="AL385">
        <f t="shared" si="76"/>
        <v>1</v>
      </c>
      <c r="AM385">
        <f t="shared" si="77"/>
        <v>0</v>
      </c>
      <c r="AN385">
        <f t="shared" si="78"/>
        <v>1</v>
      </c>
      <c r="AO385">
        <f>SUM(AN$2:$AN385)</f>
        <v>384</v>
      </c>
    </row>
    <row r="386" spans="1:41" x14ac:dyDescent="0.35">
      <c r="A386" t="s">
        <v>169</v>
      </c>
      <c r="B386" t="s">
        <v>1051</v>
      </c>
      <c r="C386">
        <v>10000</v>
      </c>
      <c r="D386" t="s">
        <v>1072</v>
      </c>
      <c r="E386">
        <v>0</v>
      </c>
      <c r="F386">
        <v>1481</v>
      </c>
      <c r="G386">
        <v>0</v>
      </c>
      <c r="H386">
        <v>0</v>
      </c>
      <c r="I386">
        <v>3358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t="s">
        <v>329</v>
      </c>
      <c r="X386">
        <v>3</v>
      </c>
      <c r="Y386" t="s">
        <v>434</v>
      </c>
      <c r="Z386" t="s">
        <v>2035</v>
      </c>
      <c r="AA386" t="s">
        <v>358</v>
      </c>
      <c r="AB386" t="s">
        <v>358</v>
      </c>
      <c r="AC386" t="s">
        <v>497</v>
      </c>
      <c r="AD386">
        <v>0</v>
      </c>
      <c r="AE386">
        <v>0</v>
      </c>
      <c r="AF386">
        <v>0</v>
      </c>
      <c r="AG386">
        <v>0</v>
      </c>
      <c r="AH386">
        <f t="shared" si="72"/>
        <v>0</v>
      </c>
      <c r="AI386">
        <f t="shared" si="73"/>
        <v>0</v>
      </c>
      <c r="AJ386">
        <f t="shared" si="74"/>
        <v>1</v>
      </c>
      <c r="AK386">
        <f t="shared" si="75"/>
        <v>0</v>
      </c>
      <c r="AL386">
        <f t="shared" si="76"/>
        <v>0</v>
      </c>
      <c r="AM386">
        <f t="shared" si="77"/>
        <v>0</v>
      </c>
      <c r="AN386">
        <f t="shared" si="78"/>
        <v>1</v>
      </c>
      <c r="AO386">
        <f>SUM(AN$2:$AN386)</f>
        <v>385</v>
      </c>
    </row>
    <row r="387" spans="1:41" x14ac:dyDescent="0.35">
      <c r="A387" t="s">
        <v>169</v>
      </c>
      <c r="B387" t="s">
        <v>1051</v>
      </c>
      <c r="C387">
        <v>10000</v>
      </c>
      <c r="D387" t="s">
        <v>1073</v>
      </c>
      <c r="E387">
        <v>0</v>
      </c>
      <c r="F387">
        <v>1263</v>
      </c>
      <c r="G387">
        <v>1946</v>
      </c>
      <c r="H387">
        <v>0</v>
      </c>
      <c r="I387">
        <v>0</v>
      </c>
      <c r="J387">
        <v>1946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 t="s">
        <v>418</v>
      </c>
      <c r="X387">
        <v>3</v>
      </c>
      <c r="Y387" t="s">
        <v>434</v>
      </c>
      <c r="Z387" t="s">
        <v>2036</v>
      </c>
      <c r="AA387" t="s">
        <v>151</v>
      </c>
      <c r="AB387" t="s">
        <v>151</v>
      </c>
      <c r="AC387" t="s">
        <v>497</v>
      </c>
      <c r="AD387">
        <v>0</v>
      </c>
      <c r="AE387">
        <v>0</v>
      </c>
      <c r="AF387">
        <v>0</v>
      </c>
      <c r="AG387">
        <v>0</v>
      </c>
      <c r="AH387">
        <f t="shared" si="72"/>
        <v>1</v>
      </c>
      <c r="AI387">
        <f t="shared" si="73"/>
        <v>0</v>
      </c>
      <c r="AJ387">
        <f t="shared" si="74"/>
        <v>0</v>
      </c>
      <c r="AK387">
        <f t="shared" si="75"/>
        <v>1</v>
      </c>
      <c r="AL387">
        <f t="shared" si="76"/>
        <v>0</v>
      </c>
      <c r="AM387">
        <f t="shared" si="77"/>
        <v>0</v>
      </c>
      <c r="AN387">
        <f t="shared" si="78"/>
        <v>1</v>
      </c>
      <c r="AO387">
        <f>SUM(AN$2:$AN387)</f>
        <v>386</v>
      </c>
    </row>
    <row r="388" spans="1:41" x14ac:dyDescent="0.35">
      <c r="A388" t="s">
        <v>169</v>
      </c>
      <c r="B388" t="s">
        <v>1044</v>
      </c>
      <c r="C388">
        <v>10100</v>
      </c>
      <c r="D388" t="s">
        <v>2037</v>
      </c>
      <c r="E388">
        <v>353</v>
      </c>
      <c r="F388">
        <v>572</v>
      </c>
      <c r="G388">
        <v>0</v>
      </c>
      <c r="H388">
        <v>0</v>
      </c>
      <c r="I388">
        <v>1769</v>
      </c>
      <c r="J388">
        <v>1573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348</v>
      </c>
      <c r="X388">
        <v>6</v>
      </c>
      <c r="Y388" t="s">
        <v>438</v>
      </c>
      <c r="Z388" t="s">
        <v>2038</v>
      </c>
      <c r="AA388" t="s">
        <v>149</v>
      </c>
      <c r="AB388" t="s">
        <v>149</v>
      </c>
      <c r="AC388" t="s">
        <v>497</v>
      </c>
      <c r="AD388">
        <v>1818</v>
      </c>
      <c r="AE388">
        <v>0</v>
      </c>
      <c r="AF388">
        <v>0</v>
      </c>
      <c r="AG388">
        <v>0</v>
      </c>
      <c r="AH388">
        <f t="shared" si="72"/>
        <v>0</v>
      </c>
      <c r="AI388">
        <f t="shared" si="73"/>
        <v>0</v>
      </c>
      <c r="AJ388">
        <f t="shared" si="74"/>
        <v>1</v>
      </c>
      <c r="AK388">
        <f t="shared" si="75"/>
        <v>1</v>
      </c>
      <c r="AL388">
        <f t="shared" si="76"/>
        <v>0</v>
      </c>
      <c r="AM388">
        <f t="shared" si="77"/>
        <v>0</v>
      </c>
      <c r="AN388">
        <f t="shared" si="78"/>
        <v>1</v>
      </c>
      <c r="AO388">
        <f>SUM(AN$2:$AN388)</f>
        <v>387</v>
      </c>
    </row>
    <row r="389" spans="1:41" x14ac:dyDescent="0.35">
      <c r="A389" t="s">
        <v>169</v>
      </c>
      <c r="B389" t="s">
        <v>1065</v>
      </c>
      <c r="C389">
        <v>10100</v>
      </c>
      <c r="D389" t="s">
        <v>1074</v>
      </c>
      <c r="E389">
        <v>353</v>
      </c>
      <c r="F389">
        <v>572</v>
      </c>
      <c r="G389">
        <v>0</v>
      </c>
      <c r="H389">
        <v>0</v>
      </c>
      <c r="I389">
        <v>1769</v>
      </c>
      <c r="J389">
        <v>1573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348</v>
      </c>
      <c r="X389">
        <v>6</v>
      </c>
      <c r="Y389" t="s">
        <v>438</v>
      </c>
      <c r="Z389" t="s">
        <v>2039</v>
      </c>
      <c r="AA389" t="s">
        <v>149</v>
      </c>
      <c r="AB389" t="s">
        <v>149</v>
      </c>
      <c r="AC389" t="s">
        <v>497</v>
      </c>
      <c r="AD389">
        <v>1818</v>
      </c>
      <c r="AE389">
        <v>0</v>
      </c>
      <c r="AF389">
        <v>0</v>
      </c>
      <c r="AG389">
        <v>0</v>
      </c>
      <c r="AH389">
        <f t="shared" si="72"/>
        <v>0</v>
      </c>
      <c r="AI389">
        <f t="shared" si="73"/>
        <v>0</v>
      </c>
      <c r="AJ389">
        <f t="shared" si="74"/>
        <v>1</v>
      </c>
      <c r="AK389">
        <f t="shared" si="75"/>
        <v>1</v>
      </c>
      <c r="AL389">
        <f t="shared" si="76"/>
        <v>0</v>
      </c>
      <c r="AM389">
        <f t="shared" si="77"/>
        <v>0</v>
      </c>
      <c r="AN389">
        <f t="shared" si="78"/>
        <v>1</v>
      </c>
      <c r="AO389">
        <f>SUM(AN$2:$AN389)</f>
        <v>388</v>
      </c>
    </row>
    <row r="390" spans="1:41" x14ac:dyDescent="0.35">
      <c r="A390" t="s">
        <v>169</v>
      </c>
      <c r="B390" t="s">
        <v>1075</v>
      </c>
      <c r="C390">
        <v>10150</v>
      </c>
      <c r="D390" t="s">
        <v>1076</v>
      </c>
      <c r="E390">
        <v>354</v>
      </c>
      <c r="F390">
        <v>575</v>
      </c>
      <c r="G390">
        <v>0</v>
      </c>
      <c r="H390">
        <v>0</v>
      </c>
      <c r="I390">
        <v>1778</v>
      </c>
      <c r="J390">
        <v>0</v>
      </c>
      <c r="K390">
        <v>1581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 t="s">
        <v>159</v>
      </c>
      <c r="X390">
        <v>6</v>
      </c>
      <c r="Y390" t="s">
        <v>435</v>
      </c>
      <c r="Z390" t="s">
        <v>2040</v>
      </c>
      <c r="AA390" t="s">
        <v>153</v>
      </c>
      <c r="AB390" t="s">
        <v>153</v>
      </c>
      <c r="AC390" t="s">
        <v>497</v>
      </c>
      <c r="AD390">
        <v>1827</v>
      </c>
      <c r="AE390">
        <v>0</v>
      </c>
      <c r="AF390">
        <v>0</v>
      </c>
      <c r="AG390">
        <v>0</v>
      </c>
      <c r="AH390">
        <f t="shared" si="72"/>
        <v>0</v>
      </c>
      <c r="AI390">
        <f t="shared" si="73"/>
        <v>0</v>
      </c>
      <c r="AJ390">
        <f t="shared" si="74"/>
        <v>1</v>
      </c>
      <c r="AK390">
        <f t="shared" si="75"/>
        <v>0</v>
      </c>
      <c r="AL390">
        <f t="shared" si="76"/>
        <v>1</v>
      </c>
      <c r="AM390">
        <f t="shared" si="77"/>
        <v>0</v>
      </c>
      <c r="AN390">
        <f t="shared" si="78"/>
        <v>1</v>
      </c>
      <c r="AO390">
        <f>SUM(AN$2:$AN390)</f>
        <v>389</v>
      </c>
    </row>
    <row r="391" spans="1:41" x14ac:dyDescent="0.35">
      <c r="A391" t="s">
        <v>169</v>
      </c>
      <c r="B391" t="s">
        <v>1077</v>
      </c>
      <c r="C391">
        <v>10150</v>
      </c>
      <c r="D391" t="s">
        <v>1078</v>
      </c>
      <c r="E391">
        <v>354</v>
      </c>
      <c r="F391">
        <v>575</v>
      </c>
      <c r="G391">
        <v>1778</v>
      </c>
      <c r="H391">
        <v>0</v>
      </c>
      <c r="I391">
        <v>0</v>
      </c>
      <c r="J391">
        <v>0</v>
      </c>
      <c r="K391">
        <v>1581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 t="s">
        <v>157</v>
      </c>
      <c r="X391">
        <v>6</v>
      </c>
      <c r="Y391" t="s">
        <v>435</v>
      </c>
      <c r="Z391" t="s">
        <v>2041</v>
      </c>
      <c r="AA391" t="s">
        <v>152</v>
      </c>
      <c r="AB391" t="s">
        <v>152</v>
      </c>
      <c r="AC391" t="s">
        <v>497</v>
      </c>
      <c r="AD391">
        <v>1827</v>
      </c>
      <c r="AE391">
        <v>0</v>
      </c>
      <c r="AF391">
        <v>0</v>
      </c>
      <c r="AG391">
        <v>0</v>
      </c>
      <c r="AH391">
        <f t="shared" si="72"/>
        <v>1</v>
      </c>
      <c r="AI391">
        <f t="shared" si="73"/>
        <v>0</v>
      </c>
      <c r="AJ391">
        <f t="shared" si="74"/>
        <v>0</v>
      </c>
      <c r="AK391">
        <f t="shared" si="75"/>
        <v>0</v>
      </c>
      <c r="AL391">
        <f t="shared" si="76"/>
        <v>1</v>
      </c>
      <c r="AM391">
        <f t="shared" si="77"/>
        <v>0</v>
      </c>
      <c r="AN391">
        <f t="shared" si="78"/>
        <v>1</v>
      </c>
      <c r="AO391">
        <f>SUM(AN$2:$AN391)</f>
        <v>390</v>
      </c>
    </row>
    <row r="392" spans="1:41" x14ac:dyDescent="0.35">
      <c r="A392" t="s">
        <v>169</v>
      </c>
      <c r="B392" t="s">
        <v>1051</v>
      </c>
      <c r="C392">
        <v>10300</v>
      </c>
      <c r="D392" t="s">
        <v>1079</v>
      </c>
      <c r="E392">
        <v>0</v>
      </c>
      <c r="F392">
        <v>1526</v>
      </c>
      <c r="G392">
        <v>0</v>
      </c>
      <c r="H392">
        <v>0</v>
      </c>
      <c r="I392">
        <v>0</v>
      </c>
      <c r="J392">
        <v>0</v>
      </c>
      <c r="K392">
        <v>3458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 t="s">
        <v>327</v>
      </c>
      <c r="X392">
        <v>3</v>
      </c>
      <c r="Y392" t="s">
        <v>434</v>
      </c>
      <c r="Z392" t="s">
        <v>2042</v>
      </c>
      <c r="AA392" t="s">
        <v>152</v>
      </c>
      <c r="AB392" t="s">
        <v>152</v>
      </c>
      <c r="AC392" t="s">
        <v>497</v>
      </c>
      <c r="AD392">
        <v>0</v>
      </c>
      <c r="AE392">
        <v>0</v>
      </c>
      <c r="AF392">
        <v>0</v>
      </c>
      <c r="AG392">
        <v>0</v>
      </c>
      <c r="AH392">
        <f t="shared" si="72"/>
        <v>0</v>
      </c>
      <c r="AI392">
        <f t="shared" si="73"/>
        <v>0</v>
      </c>
      <c r="AJ392">
        <f t="shared" si="74"/>
        <v>0</v>
      </c>
      <c r="AK392">
        <f t="shared" si="75"/>
        <v>0</v>
      </c>
      <c r="AL392">
        <f t="shared" si="76"/>
        <v>1</v>
      </c>
      <c r="AM392">
        <f t="shared" si="77"/>
        <v>0</v>
      </c>
      <c r="AN392">
        <f t="shared" si="78"/>
        <v>1</v>
      </c>
      <c r="AO392">
        <f>SUM(AN$2:$AN392)</f>
        <v>391</v>
      </c>
    </row>
    <row r="393" spans="1:41" x14ac:dyDescent="0.35">
      <c r="A393" t="s">
        <v>169</v>
      </c>
      <c r="B393" t="s">
        <v>1051</v>
      </c>
      <c r="C393">
        <v>10300</v>
      </c>
      <c r="D393" t="s">
        <v>1080</v>
      </c>
      <c r="E393">
        <v>0</v>
      </c>
      <c r="F393">
        <v>1301</v>
      </c>
      <c r="G393">
        <v>0</v>
      </c>
      <c r="H393">
        <v>0</v>
      </c>
      <c r="I393">
        <v>2005</v>
      </c>
      <c r="J393">
        <v>0</v>
      </c>
      <c r="K393">
        <v>2005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t="s">
        <v>332</v>
      </c>
      <c r="X393">
        <v>3</v>
      </c>
      <c r="Y393" t="s">
        <v>434</v>
      </c>
      <c r="Z393" t="s">
        <v>2043</v>
      </c>
      <c r="AA393" t="s">
        <v>358</v>
      </c>
      <c r="AB393" t="s">
        <v>358</v>
      </c>
      <c r="AC393" t="s">
        <v>497</v>
      </c>
      <c r="AD393">
        <v>0</v>
      </c>
      <c r="AE393">
        <v>0</v>
      </c>
      <c r="AF393">
        <v>0</v>
      </c>
      <c r="AG393">
        <v>0</v>
      </c>
      <c r="AH393">
        <f t="shared" si="72"/>
        <v>0</v>
      </c>
      <c r="AI393">
        <f t="shared" si="73"/>
        <v>0</v>
      </c>
      <c r="AJ393">
        <f t="shared" si="74"/>
        <v>1</v>
      </c>
      <c r="AK393">
        <f t="shared" si="75"/>
        <v>0</v>
      </c>
      <c r="AL393">
        <f t="shared" si="76"/>
        <v>1</v>
      </c>
      <c r="AM393">
        <f t="shared" si="77"/>
        <v>0</v>
      </c>
      <c r="AN393">
        <f t="shared" si="78"/>
        <v>1</v>
      </c>
      <c r="AO393">
        <f>SUM(AN$2:$AN393)</f>
        <v>392</v>
      </c>
    </row>
    <row r="394" spans="1:41" x14ac:dyDescent="0.35">
      <c r="A394" t="s">
        <v>169</v>
      </c>
      <c r="B394" t="s">
        <v>1051</v>
      </c>
      <c r="C394">
        <v>10300</v>
      </c>
      <c r="D394" t="s">
        <v>1081</v>
      </c>
      <c r="E394">
        <v>0</v>
      </c>
      <c r="F394">
        <v>1301</v>
      </c>
      <c r="G394">
        <v>1905</v>
      </c>
      <c r="H394">
        <v>0</v>
      </c>
      <c r="I394">
        <v>0</v>
      </c>
      <c r="J394">
        <v>1002</v>
      </c>
      <c r="K394">
        <v>1103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 t="s">
        <v>423</v>
      </c>
      <c r="X394">
        <v>3</v>
      </c>
      <c r="Y394" t="s">
        <v>434</v>
      </c>
      <c r="Z394" t="s">
        <v>2044</v>
      </c>
      <c r="AA394" t="s">
        <v>152</v>
      </c>
      <c r="AB394" t="s">
        <v>152</v>
      </c>
      <c r="AC394" t="s">
        <v>497</v>
      </c>
      <c r="AD394">
        <v>0</v>
      </c>
      <c r="AE394">
        <v>0</v>
      </c>
      <c r="AF394">
        <v>0</v>
      </c>
      <c r="AG394">
        <v>0</v>
      </c>
      <c r="AH394">
        <f t="shared" si="72"/>
        <v>1</v>
      </c>
      <c r="AI394">
        <f t="shared" si="73"/>
        <v>0</v>
      </c>
      <c r="AJ394">
        <f t="shared" si="74"/>
        <v>0</v>
      </c>
      <c r="AK394">
        <f t="shared" si="75"/>
        <v>1</v>
      </c>
      <c r="AL394">
        <f t="shared" si="76"/>
        <v>1</v>
      </c>
      <c r="AM394">
        <f t="shared" si="77"/>
        <v>0</v>
      </c>
      <c r="AN394">
        <f t="shared" si="78"/>
        <v>1</v>
      </c>
      <c r="AO394">
        <f>SUM(AN$2:$AN394)</f>
        <v>393</v>
      </c>
    </row>
    <row r="395" spans="1:41" x14ac:dyDescent="0.35">
      <c r="A395" t="s">
        <v>169</v>
      </c>
      <c r="B395" t="s">
        <v>2492</v>
      </c>
      <c r="C395">
        <v>10350</v>
      </c>
      <c r="D395" t="s">
        <v>2493</v>
      </c>
      <c r="E395">
        <v>361</v>
      </c>
      <c r="F395">
        <v>586</v>
      </c>
      <c r="G395">
        <v>0</v>
      </c>
      <c r="H395">
        <v>0</v>
      </c>
      <c r="I395">
        <v>1813</v>
      </c>
      <c r="J395">
        <v>1612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348</v>
      </c>
      <c r="X395">
        <v>6</v>
      </c>
      <c r="Y395" t="s">
        <v>438</v>
      </c>
      <c r="Z395" t="s">
        <v>2045</v>
      </c>
      <c r="AA395" t="s">
        <v>149</v>
      </c>
      <c r="AB395" t="s">
        <v>149</v>
      </c>
      <c r="AC395" t="s">
        <v>497</v>
      </c>
      <c r="AD395">
        <v>1863</v>
      </c>
      <c r="AE395">
        <v>0</v>
      </c>
      <c r="AF395">
        <v>0</v>
      </c>
      <c r="AG395">
        <v>0</v>
      </c>
      <c r="AH395">
        <f t="shared" si="72"/>
        <v>0</v>
      </c>
      <c r="AI395">
        <f t="shared" si="73"/>
        <v>0</v>
      </c>
      <c r="AJ395">
        <f t="shared" si="74"/>
        <v>1</v>
      </c>
      <c r="AK395">
        <f t="shared" si="75"/>
        <v>1</v>
      </c>
      <c r="AL395">
        <f t="shared" si="76"/>
        <v>0</v>
      </c>
      <c r="AM395">
        <f t="shared" si="77"/>
        <v>0</v>
      </c>
      <c r="AN395">
        <f t="shared" si="78"/>
        <v>1</v>
      </c>
      <c r="AO395">
        <f>SUM(AN$2:$AN395)</f>
        <v>394</v>
      </c>
    </row>
    <row r="396" spans="1:41" x14ac:dyDescent="0.35">
      <c r="A396" t="s">
        <v>169</v>
      </c>
      <c r="B396" t="s">
        <v>2494</v>
      </c>
      <c r="C396">
        <v>10400</v>
      </c>
      <c r="D396" t="s">
        <v>2495</v>
      </c>
      <c r="E396">
        <v>363</v>
      </c>
      <c r="F396">
        <v>589</v>
      </c>
      <c r="G396">
        <v>0</v>
      </c>
      <c r="H396">
        <v>0</v>
      </c>
      <c r="I396">
        <v>1822</v>
      </c>
      <c r="J396">
        <v>0</v>
      </c>
      <c r="K396">
        <v>1619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 t="s">
        <v>159</v>
      </c>
      <c r="X396">
        <v>6</v>
      </c>
      <c r="Y396" t="s">
        <v>1336</v>
      </c>
      <c r="Z396" t="s">
        <v>2046</v>
      </c>
      <c r="AA396" t="s">
        <v>153</v>
      </c>
      <c r="AB396" t="s">
        <v>153</v>
      </c>
      <c r="AC396" t="s">
        <v>497</v>
      </c>
      <c r="AD396">
        <v>1872</v>
      </c>
      <c r="AE396">
        <v>0</v>
      </c>
      <c r="AF396">
        <v>0</v>
      </c>
      <c r="AG396">
        <v>0</v>
      </c>
      <c r="AH396">
        <f t="shared" si="72"/>
        <v>0</v>
      </c>
      <c r="AI396">
        <f t="shared" si="73"/>
        <v>0</v>
      </c>
      <c r="AJ396">
        <f t="shared" si="74"/>
        <v>1</v>
      </c>
      <c r="AK396">
        <f t="shared" si="75"/>
        <v>0</v>
      </c>
      <c r="AL396">
        <f t="shared" si="76"/>
        <v>1</v>
      </c>
      <c r="AM396">
        <f t="shared" si="77"/>
        <v>0</v>
      </c>
      <c r="AN396">
        <f t="shared" si="78"/>
        <v>1</v>
      </c>
      <c r="AO396">
        <f>SUM(AN$2:$AN396)</f>
        <v>395</v>
      </c>
    </row>
    <row r="397" spans="1:41" x14ac:dyDescent="0.35">
      <c r="A397" t="s">
        <v>169</v>
      </c>
      <c r="B397" t="s">
        <v>1051</v>
      </c>
      <c r="C397">
        <v>10600</v>
      </c>
      <c r="D397" t="s">
        <v>1082</v>
      </c>
      <c r="E397">
        <v>0</v>
      </c>
      <c r="F397">
        <v>1339</v>
      </c>
      <c r="G397">
        <v>0</v>
      </c>
      <c r="H397">
        <v>0</v>
      </c>
      <c r="I397">
        <v>0</v>
      </c>
      <c r="J397">
        <v>1135</v>
      </c>
      <c r="K397">
        <v>2992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353</v>
      </c>
      <c r="X397">
        <v>3</v>
      </c>
      <c r="Y397" t="s">
        <v>434</v>
      </c>
      <c r="Z397" t="s">
        <v>2047</v>
      </c>
      <c r="AA397" t="s">
        <v>150</v>
      </c>
      <c r="AB397" t="s">
        <v>150</v>
      </c>
      <c r="AC397" t="s">
        <v>497</v>
      </c>
      <c r="AD397">
        <v>0</v>
      </c>
      <c r="AE397">
        <v>0</v>
      </c>
      <c r="AF397">
        <v>0</v>
      </c>
      <c r="AG397">
        <v>0</v>
      </c>
      <c r="AH397">
        <f t="shared" si="72"/>
        <v>0</v>
      </c>
      <c r="AI397">
        <f t="shared" si="73"/>
        <v>0</v>
      </c>
      <c r="AJ397">
        <f t="shared" si="74"/>
        <v>0</v>
      </c>
      <c r="AK397">
        <f t="shared" si="75"/>
        <v>1</v>
      </c>
      <c r="AL397">
        <f t="shared" si="76"/>
        <v>1</v>
      </c>
      <c r="AM397">
        <f t="shared" si="77"/>
        <v>0</v>
      </c>
      <c r="AN397">
        <f t="shared" si="78"/>
        <v>1</v>
      </c>
      <c r="AO397">
        <f>SUM(AN$2:$AN397)</f>
        <v>396</v>
      </c>
    </row>
    <row r="398" spans="1:41" x14ac:dyDescent="0.35">
      <c r="A398" t="s">
        <v>169</v>
      </c>
      <c r="B398" t="s">
        <v>1051</v>
      </c>
      <c r="C398">
        <v>10600</v>
      </c>
      <c r="D398" t="s">
        <v>2607</v>
      </c>
      <c r="E398">
        <v>0</v>
      </c>
      <c r="F398">
        <v>1339</v>
      </c>
      <c r="G398">
        <v>1960</v>
      </c>
      <c r="H398">
        <v>1032</v>
      </c>
      <c r="I398">
        <v>0</v>
      </c>
      <c r="J398">
        <v>1032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 t="s">
        <v>2579</v>
      </c>
      <c r="X398">
        <v>3</v>
      </c>
      <c r="Y398" t="s">
        <v>434</v>
      </c>
      <c r="Z398" t="s">
        <v>2048</v>
      </c>
      <c r="AA398" t="s">
        <v>152</v>
      </c>
      <c r="AB398" t="s">
        <v>152</v>
      </c>
      <c r="AC398" t="s">
        <v>497</v>
      </c>
      <c r="AD398">
        <v>0</v>
      </c>
      <c r="AE398">
        <v>0</v>
      </c>
      <c r="AF398">
        <v>0</v>
      </c>
      <c r="AG398">
        <v>0</v>
      </c>
      <c r="AH398">
        <f t="shared" si="72"/>
        <v>1</v>
      </c>
      <c r="AI398">
        <f t="shared" si="73"/>
        <v>1</v>
      </c>
      <c r="AJ398">
        <f t="shared" si="74"/>
        <v>0</v>
      </c>
      <c r="AK398">
        <f t="shared" si="75"/>
        <v>1</v>
      </c>
      <c r="AL398">
        <f t="shared" si="76"/>
        <v>0</v>
      </c>
      <c r="AM398">
        <f t="shared" si="77"/>
        <v>0</v>
      </c>
      <c r="AN398">
        <f t="shared" si="78"/>
        <v>1</v>
      </c>
      <c r="AO398">
        <f>SUM(AN$2:$AN398)</f>
        <v>397</v>
      </c>
    </row>
    <row r="399" spans="1:41" x14ac:dyDescent="0.35">
      <c r="A399" t="s">
        <v>169</v>
      </c>
      <c r="B399" t="s">
        <v>1051</v>
      </c>
      <c r="C399">
        <v>10600</v>
      </c>
      <c r="D399" t="s">
        <v>1083</v>
      </c>
      <c r="E399">
        <v>0</v>
      </c>
      <c r="F399">
        <v>1570</v>
      </c>
      <c r="G399">
        <v>3559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 t="s">
        <v>331</v>
      </c>
      <c r="X399">
        <v>3</v>
      </c>
      <c r="Y399" t="s">
        <v>434</v>
      </c>
      <c r="Z399" t="s">
        <v>2049</v>
      </c>
      <c r="AA399" t="s">
        <v>151</v>
      </c>
      <c r="AB399" t="s">
        <v>151</v>
      </c>
      <c r="AC399" t="s">
        <v>497</v>
      </c>
      <c r="AD399">
        <v>0</v>
      </c>
      <c r="AE399">
        <v>0</v>
      </c>
      <c r="AF399">
        <v>0</v>
      </c>
      <c r="AG399">
        <v>0</v>
      </c>
      <c r="AH399">
        <f t="shared" si="72"/>
        <v>1</v>
      </c>
      <c r="AI399">
        <f t="shared" si="73"/>
        <v>0</v>
      </c>
      <c r="AJ399">
        <f t="shared" si="74"/>
        <v>0</v>
      </c>
      <c r="AK399">
        <f t="shared" si="75"/>
        <v>0</v>
      </c>
      <c r="AL399">
        <f t="shared" si="76"/>
        <v>0</v>
      </c>
      <c r="AM399">
        <f t="shared" si="77"/>
        <v>0</v>
      </c>
      <c r="AN399">
        <f t="shared" si="78"/>
        <v>1</v>
      </c>
      <c r="AO399">
        <f>SUM(AN$2:$AN399)</f>
        <v>398</v>
      </c>
    </row>
    <row r="400" spans="1:41" customFormat="1" x14ac:dyDescent="0.35">
      <c r="A400" t="s">
        <v>169</v>
      </c>
      <c r="B400" t="s">
        <v>1065</v>
      </c>
      <c r="C400">
        <v>10700</v>
      </c>
      <c r="D400" t="s">
        <v>1084</v>
      </c>
      <c r="E400">
        <v>374</v>
      </c>
      <c r="F400">
        <v>606</v>
      </c>
      <c r="G400">
        <v>0</v>
      </c>
      <c r="H400">
        <v>0</v>
      </c>
      <c r="I400">
        <v>1874</v>
      </c>
      <c r="J400">
        <v>1666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348</v>
      </c>
      <c r="X400">
        <v>6</v>
      </c>
      <c r="Y400" t="s">
        <v>438</v>
      </c>
      <c r="Z400" t="s">
        <v>2050</v>
      </c>
      <c r="AA400" t="s">
        <v>149</v>
      </c>
      <c r="AB400" t="s">
        <v>149</v>
      </c>
      <c r="AC400" t="s">
        <v>497</v>
      </c>
      <c r="AD400">
        <v>1927</v>
      </c>
      <c r="AE400">
        <v>0</v>
      </c>
      <c r="AF400">
        <v>0</v>
      </c>
      <c r="AG400">
        <v>0</v>
      </c>
      <c r="AH400">
        <f t="shared" si="72"/>
        <v>0</v>
      </c>
      <c r="AI400">
        <f t="shared" si="73"/>
        <v>0</v>
      </c>
      <c r="AJ400">
        <f t="shared" si="74"/>
        <v>1</v>
      </c>
      <c r="AK400">
        <f t="shared" si="75"/>
        <v>1</v>
      </c>
      <c r="AL400">
        <f t="shared" si="76"/>
        <v>0</v>
      </c>
      <c r="AM400">
        <f t="shared" si="77"/>
        <v>0</v>
      </c>
      <c r="AN400">
        <f t="shared" si="78"/>
        <v>1</v>
      </c>
      <c r="AO400">
        <f>SUM(AN$2:$AN400)</f>
        <v>399</v>
      </c>
    </row>
    <row r="401" spans="1:41" x14ac:dyDescent="0.35">
      <c r="A401" t="s">
        <v>169</v>
      </c>
      <c r="B401" t="s">
        <v>1051</v>
      </c>
      <c r="C401">
        <v>10900</v>
      </c>
      <c r="D401" t="s">
        <v>1085</v>
      </c>
      <c r="E401">
        <v>0</v>
      </c>
      <c r="F401">
        <v>1377</v>
      </c>
      <c r="G401">
        <v>0</v>
      </c>
      <c r="H401">
        <v>0</v>
      </c>
      <c r="I401">
        <v>1803</v>
      </c>
      <c r="J401">
        <v>1379</v>
      </c>
      <c r="K401">
        <v>1061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354</v>
      </c>
      <c r="X401">
        <v>3</v>
      </c>
      <c r="Y401" t="s">
        <v>434</v>
      </c>
      <c r="Z401" t="s">
        <v>2051</v>
      </c>
      <c r="AA401" t="s">
        <v>150</v>
      </c>
      <c r="AB401" t="s">
        <v>150</v>
      </c>
      <c r="AC401" t="s">
        <v>497</v>
      </c>
      <c r="AD401">
        <v>0</v>
      </c>
      <c r="AE401">
        <v>0</v>
      </c>
      <c r="AF401">
        <v>0</v>
      </c>
      <c r="AG401">
        <v>0</v>
      </c>
      <c r="AH401">
        <f t="shared" si="72"/>
        <v>0</v>
      </c>
      <c r="AI401">
        <f t="shared" si="73"/>
        <v>0</v>
      </c>
      <c r="AJ401">
        <f t="shared" si="74"/>
        <v>1</v>
      </c>
      <c r="AK401">
        <f t="shared" si="75"/>
        <v>1</v>
      </c>
      <c r="AL401">
        <f t="shared" si="76"/>
        <v>1</v>
      </c>
      <c r="AM401">
        <f t="shared" si="77"/>
        <v>0</v>
      </c>
      <c r="AN401">
        <f t="shared" si="78"/>
        <v>1</v>
      </c>
      <c r="AO401">
        <f>SUM(AN$2:$AN401)</f>
        <v>400</v>
      </c>
    </row>
    <row r="402" spans="1:41" x14ac:dyDescent="0.35">
      <c r="A402" t="s">
        <v>169</v>
      </c>
      <c r="B402" t="s">
        <v>1051</v>
      </c>
      <c r="C402">
        <v>10900</v>
      </c>
      <c r="D402" t="s">
        <v>1086</v>
      </c>
      <c r="E402">
        <v>0</v>
      </c>
      <c r="F402">
        <v>1615</v>
      </c>
      <c r="G402">
        <v>0</v>
      </c>
      <c r="H402">
        <v>0</v>
      </c>
      <c r="I402">
        <v>3660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t="s">
        <v>329</v>
      </c>
      <c r="X402">
        <v>3</v>
      </c>
      <c r="Y402" t="s">
        <v>434</v>
      </c>
      <c r="Z402" t="s">
        <v>2052</v>
      </c>
      <c r="AA402" t="s">
        <v>358</v>
      </c>
      <c r="AB402" t="s">
        <v>358</v>
      </c>
      <c r="AC402" t="s">
        <v>497</v>
      </c>
      <c r="AD402">
        <v>0</v>
      </c>
      <c r="AE402">
        <v>0</v>
      </c>
      <c r="AF402">
        <v>0</v>
      </c>
      <c r="AG402">
        <v>0</v>
      </c>
      <c r="AH402">
        <f t="shared" si="72"/>
        <v>0</v>
      </c>
      <c r="AI402">
        <f t="shared" si="73"/>
        <v>0</v>
      </c>
      <c r="AJ402">
        <f t="shared" si="74"/>
        <v>1</v>
      </c>
      <c r="AK402">
        <f t="shared" si="75"/>
        <v>0</v>
      </c>
      <c r="AL402">
        <f t="shared" si="76"/>
        <v>0</v>
      </c>
      <c r="AM402">
        <f t="shared" si="77"/>
        <v>0</v>
      </c>
      <c r="AN402">
        <f t="shared" si="78"/>
        <v>1</v>
      </c>
      <c r="AO402">
        <f>SUM(AN$2:$AN402)</f>
        <v>401</v>
      </c>
    </row>
    <row r="403" spans="1:41" x14ac:dyDescent="0.35">
      <c r="A403" t="s">
        <v>169</v>
      </c>
      <c r="B403" t="s">
        <v>1051</v>
      </c>
      <c r="C403">
        <v>10900</v>
      </c>
      <c r="D403" t="s">
        <v>1087</v>
      </c>
      <c r="E403">
        <v>0</v>
      </c>
      <c r="F403">
        <v>1377</v>
      </c>
      <c r="G403">
        <v>2122</v>
      </c>
      <c r="H403">
        <v>0</v>
      </c>
      <c r="I403">
        <v>0</v>
      </c>
      <c r="J403">
        <v>2122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 t="s">
        <v>418</v>
      </c>
      <c r="X403">
        <v>3</v>
      </c>
      <c r="Y403" t="s">
        <v>434</v>
      </c>
      <c r="Z403" t="s">
        <v>2053</v>
      </c>
      <c r="AA403" t="s">
        <v>151</v>
      </c>
      <c r="AB403" t="s">
        <v>151</v>
      </c>
      <c r="AC403" t="s">
        <v>497</v>
      </c>
      <c r="AD403">
        <v>0</v>
      </c>
      <c r="AE403">
        <v>0</v>
      </c>
      <c r="AF403">
        <v>0</v>
      </c>
      <c r="AG403">
        <v>0</v>
      </c>
      <c r="AH403">
        <f t="shared" si="72"/>
        <v>1</v>
      </c>
      <c r="AI403">
        <f t="shared" si="73"/>
        <v>0</v>
      </c>
      <c r="AJ403">
        <f t="shared" si="74"/>
        <v>0</v>
      </c>
      <c r="AK403">
        <f t="shared" si="75"/>
        <v>1</v>
      </c>
      <c r="AL403">
        <f t="shared" si="76"/>
        <v>0</v>
      </c>
      <c r="AM403">
        <f t="shared" si="77"/>
        <v>0</v>
      </c>
      <c r="AN403">
        <f t="shared" si="78"/>
        <v>1</v>
      </c>
      <c r="AO403">
        <f>SUM(AN$2:$AN403)</f>
        <v>402</v>
      </c>
    </row>
    <row r="404" spans="1:41" x14ac:dyDescent="0.35">
      <c r="A404" t="s">
        <v>169</v>
      </c>
      <c r="B404" t="s">
        <v>2492</v>
      </c>
      <c r="C404">
        <v>11100</v>
      </c>
      <c r="D404" t="s">
        <v>2496</v>
      </c>
      <c r="E404">
        <v>388</v>
      </c>
      <c r="F404">
        <v>629</v>
      </c>
      <c r="G404">
        <v>0</v>
      </c>
      <c r="H404">
        <v>0</v>
      </c>
      <c r="I404">
        <v>1945</v>
      </c>
      <c r="J404">
        <v>1728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348</v>
      </c>
      <c r="X404">
        <v>6</v>
      </c>
      <c r="Y404" t="s">
        <v>438</v>
      </c>
      <c r="Z404" t="s">
        <v>2054</v>
      </c>
      <c r="AA404" t="s">
        <v>149</v>
      </c>
      <c r="AB404" t="s">
        <v>149</v>
      </c>
      <c r="AC404" t="s">
        <v>497</v>
      </c>
      <c r="AD404">
        <v>1999</v>
      </c>
      <c r="AE404">
        <v>0</v>
      </c>
      <c r="AF404">
        <v>0</v>
      </c>
      <c r="AG404">
        <v>0</v>
      </c>
      <c r="AH404">
        <f t="shared" si="72"/>
        <v>0</v>
      </c>
      <c r="AI404">
        <f t="shared" si="73"/>
        <v>0</v>
      </c>
      <c r="AJ404">
        <f t="shared" si="74"/>
        <v>1</v>
      </c>
      <c r="AK404">
        <f t="shared" si="75"/>
        <v>1</v>
      </c>
      <c r="AL404">
        <f t="shared" si="76"/>
        <v>0</v>
      </c>
      <c r="AM404">
        <f t="shared" si="77"/>
        <v>0</v>
      </c>
      <c r="AN404">
        <f t="shared" si="78"/>
        <v>1</v>
      </c>
      <c r="AO404">
        <f>SUM(AN$2:$AN404)</f>
        <v>403</v>
      </c>
    </row>
    <row r="405" spans="1:41" x14ac:dyDescent="0.35">
      <c r="A405" t="s">
        <v>169</v>
      </c>
      <c r="B405" t="s">
        <v>1088</v>
      </c>
      <c r="C405">
        <v>11150</v>
      </c>
      <c r="D405" t="s">
        <v>1089</v>
      </c>
      <c r="E405">
        <v>389</v>
      </c>
      <c r="F405">
        <v>632</v>
      </c>
      <c r="G405">
        <v>0</v>
      </c>
      <c r="H405">
        <v>0</v>
      </c>
      <c r="I405">
        <v>1953</v>
      </c>
      <c r="J405">
        <v>0</v>
      </c>
      <c r="K405">
        <v>1736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 t="s">
        <v>159</v>
      </c>
      <c r="X405">
        <v>6</v>
      </c>
      <c r="Y405" t="s">
        <v>435</v>
      </c>
      <c r="Z405" t="s">
        <v>2055</v>
      </c>
      <c r="AA405" t="s">
        <v>153</v>
      </c>
      <c r="AB405" t="s">
        <v>153</v>
      </c>
      <c r="AC405" t="s">
        <v>497</v>
      </c>
      <c r="AD405">
        <v>2008</v>
      </c>
      <c r="AE405">
        <v>0</v>
      </c>
      <c r="AF405">
        <v>0</v>
      </c>
      <c r="AG405">
        <v>0</v>
      </c>
      <c r="AH405">
        <f t="shared" si="72"/>
        <v>0</v>
      </c>
      <c r="AI405">
        <f t="shared" si="73"/>
        <v>0</v>
      </c>
      <c r="AJ405">
        <f t="shared" si="74"/>
        <v>1</v>
      </c>
      <c r="AK405">
        <f t="shared" si="75"/>
        <v>0</v>
      </c>
      <c r="AL405">
        <f t="shared" si="76"/>
        <v>1</v>
      </c>
      <c r="AM405">
        <f t="shared" si="77"/>
        <v>0</v>
      </c>
      <c r="AN405">
        <f t="shared" si="78"/>
        <v>1</v>
      </c>
      <c r="AO405">
        <f>SUM(AN$2:$AN405)</f>
        <v>404</v>
      </c>
    </row>
    <row r="406" spans="1:41" x14ac:dyDescent="0.35">
      <c r="A406" t="s">
        <v>169</v>
      </c>
      <c r="B406" t="s">
        <v>1090</v>
      </c>
      <c r="C406">
        <v>11150</v>
      </c>
      <c r="D406" t="s">
        <v>1091</v>
      </c>
      <c r="E406">
        <v>389</v>
      </c>
      <c r="F406">
        <v>632</v>
      </c>
      <c r="G406">
        <v>1953</v>
      </c>
      <c r="H406">
        <v>0</v>
      </c>
      <c r="I406">
        <v>0</v>
      </c>
      <c r="J406">
        <v>1736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 t="s">
        <v>350</v>
      </c>
      <c r="X406">
        <v>6</v>
      </c>
      <c r="Y406" t="s">
        <v>436</v>
      </c>
      <c r="Z406" t="s">
        <v>2056</v>
      </c>
      <c r="AA406" t="s">
        <v>152</v>
      </c>
      <c r="AB406" t="s">
        <v>152</v>
      </c>
      <c r="AC406" t="s">
        <v>497</v>
      </c>
      <c r="AD406">
        <v>2008</v>
      </c>
      <c r="AE406">
        <v>0</v>
      </c>
      <c r="AF406">
        <v>0</v>
      </c>
      <c r="AG406">
        <v>0</v>
      </c>
      <c r="AH406">
        <f t="shared" si="72"/>
        <v>1</v>
      </c>
      <c r="AI406">
        <f t="shared" si="73"/>
        <v>0</v>
      </c>
      <c r="AJ406">
        <f t="shared" si="74"/>
        <v>0</v>
      </c>
      <c r="AK406">
        <f t="shared" si="75"/>
        <v>1</v>
      </c>
      <c r="AL406">
        <f t="shared" si="76"/>
        <v>0</v>
      </c>
      <c r="AM406">
        <f t="shared" si="77"/>
        <v>0</v>
      </c>
      <c r="AN406">
        <f t="shared" si="78"/>
        <v>1</v>
      </c>
      <c r="AO406">
        <f>SUM(AN$2:$AN406)</f>
        <v>405</v>
      </c>
    </row>
    <row r="407" spans="1:41" x14ac:dyDescent="0.35">
      <c r="A407" t="s">
        <v>169</v>
      </c>
      <c r="B407" t="s">
        <v>1092</v>
      </c>
      <c r="C407">
        <v>11150</v>
      </c>
      <c r="D407" t="s">
        <v>1093</v>
      </c>
      <c r="E407">
        <v>389</v>
      </c>
      <c r="F407">
        <v>632</v>
      </c>
      <c r="G407">
        <v>1953</v>
      </c>
      <c r="H407">
        <v>0</v>
      </c>
      <c r="I407">
        <v>0</v>
      </c>
      <c r="J407">
        <v>0</v>
      </c>
      <c r="K407">
        <v>1736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 t="s">
        <v>157</v>
      </c>
      <c r="X407">
        <v>6</v>
      </c>
      <c r="Y407" t="s">
        <v>435</v>
      </c>
      <c r="Z407" t="s">
        <v>2057</v>
      </c>
      <c r="AA407" t="s">
        <v>152</v>
      </c>
      <c r="AB407" t="s">
        <v>152</v>
      </c>
      <c r="AC407" t="s">
        <v>497</v>
      </c>
      <c r="AD407">
        <v>2008</v>
      </c>
      <c r="AE407">
        <v>0</v>
      </c>
      <c r="AF407">
        <v>0</v>
      </c>
      <c r="AG407">
        <v>0</v>
      </c>
      <c r="AH407">
        <f t="shared" si="72"/>
        <v>1</v>
      </c>
      <c r="AI407">
        <f t="shared" si="73"/>
        <v>0</v>
      </c>
      <c r="AJ407">
        <f t="shared" si="74"/>
        <v>0</v>
      </c>
      <c r="AK407">
        <f t="shared" si="75"/>
        <v>0</v>
      </c>
      <c r="AL407">
        <f t="shared" si="76"/>
        <v>1</v>
      </c>
      <c r="AM407">
        <f t="shared" si="77"/>
        <v>0</v>
      </c>
      <c r="AN407">
        <f t="shared" si="78"/>
        <v>1</v>
      </c>
      <c r="AO407">
        <f>SUM(AN$2:$AN407)</f>
        <v>406</v>
      </c>
    </row>
    <row r="408" spans="1:41" x14ac:dyDescent="0.35">
      <c r="A408" t="s">
        <v>169</v>
      </c>
      <c r="B408" t="s">
        <v>1065</v>
      </c>
      <c r="C408">
        <v>11300</v>
      </c>
      <c r="D408" t="s">
        <v>1094</v>
      </c>
      <c r="E408">
        <v>395</v>
      </c>
      <c r="F408">
        <v>640</v>
      </c>
      <c r="G408">
        <v>0</v>
      </c>
      <c r="H408">
        <v>0</v>
      </c>
      <c r="I408">
        <v>1980</v>
      </c>
      <c r="J408">
        <v>1760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348</v>
      </c>
      <c r="X408">
        <v>6</v>
      </c>
      <c r="Y408" t="s">
        <v>438</v>
      </c>
      <c r="Z408" t="s">
        <v>2058</v>
      </c>
      <c r="AA408" t="s">
        <v>149</v>
      </c>
      <c r="AB408" t="s">
        <v>149</v>
      </c>
      <c r="AC408" t="s">
        <v>497</v>
      </c>
      <c r="AD408">
        <v>2035</v>
      </c>
      <c r="AE408">
        <v>0</v>
      </c>
      <c r="AF408">
        <v>0</v>
      </c>
      <c r="AG408">
        <v>0</v>
      </c>
      <c r="AH408">
        <f t="shared" si="72"/>
        <v>0</v>
      </c>
      <c r="AI408">
        <f t="shared" si="73"/>
        <v>0</v>
      </c>
      <c r="AJ408">
        <f t="shared" si="74"/>
        <v>1</v>
      </c>
      <c r="AK408">
        <f t="shared" si="75"/>
        <v>1</v>
      </c>
      <c r="AL408">
        <f t="shared" si="76"/>
        <v>0</v>
      </c>
      <c r="AM408">
        <f t="shared" si="77"/>
        <v>0</v>
      </c>
      <c r="AN408">
        <f t="shared" si="78"/>
        <v>1</v>
      </c>
      <c r="AO408">
        <f>SUM(AN$2:$AN408)</f>
        <v>407</v>
      </c>
    </row>
    <row r="409" spans="1:41" x14ac:dyDescent="0.35">
      <c r="A409" t="s">
        <v>169</v>
      </c>
      <c r="B409" t="s">
        <v>1051</v>
      </c>
      <c r="C409">
        <v>11500</v>
      </c>
      <c r="D409" t="s">
        <v>2059</v>
      </c>
      <c r="E409">
        <v>0</v>
      </c>
      <c r="F409">
        <v>1704</v>
      </c>
      <c r="G409">
        <v>0</v>
      </c>
      <c r="H409">
        <v>0</v>
      </c>
      <c r="I409">
        <v>0</v>
      </c>
      <c r="J409">
        <v>0</v>
      </c>
      <c r="K409">
        <v>3973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 t="s">
        <v>327</v>
      </c>
      <c r="X409">
        <v>3</v>
      </c>
      <c r="Y409" t="s">
        <v>434</v>
      </c>
      <c r="Z409" t="s">
        <v>2060</v>
      </c>
      <c r="AA409" t="s">
        <v>152</v>
      </c>
      <c r="AB409" t="s">
        <v>152</v>
      </c>
      <c r="AC409" t="s">
        <v>497</v>
      </c>
      <c r="AD409">
        <v>0</v>
      </c>
      <c r="AE409">
        <v>0</v>
      </c>
      <c r="AF409">
        <v>0</v>
      </c>
      <c r="AG409">
        <v>0</v>
      </c>
      <c r="AH409">
        <f t="shared" si="72"/>
        <v>0</v>
      </c>
      <c r="AI409">
        <f t="shared" si="73"/>
        <v>0</v>
      </c>
      <c r="AJ409">
        <f t="shared" si="74"/>
        <v>0</v>
      </c>
      <c r="AK409">
        <f t="shared" si="75"/>
        <v>0</v>
      </c>
      <c r="AL409">
        <f t="shared" si="76"/>
        <v>1</v>
      </c>
      <c r="AM409">
        <f t="shared" si="77"/>
        <v>0</v>
      </c>
      <c r="AN409">
        <f t="shared" si="78"/>
        <v>1</v>
      </c>
      <c r="AO409">
        <f>SUM(AN$2:$AN409)</f>
        <v>408</v>
      </c>
    </row>
    <row r="410" spans="1:41" x14ac:dyDescent="0.35">
      <c r="A410" t="s">
        <v>169</v>
      </c>
      <c r="B410" t="s">
        <v>1051</v>
      </c>
      <c r="C410">
        <v>11500</v>
      </c>
      <c r="D410" t="s">
        <v>2061</v>
      </c>
      <c r="E410">
        <v>0</v>
      </c>
      <c r="F410">
        <v>1453</v>
      </c>
      <c r="G410">
        <v>0</v>
      </c>
      <c r="H410">
        <v>0</v>
      </c>
      <c r="I410">
        <v>2238</v>
      </c>
      <c r="J410">
        <v>0</v>
      </c>
      <c r="K410">
        <v>2350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t="s">
        <v>332</v>
      </c>
      <c r="X410">
        <v>3</v>
      </c>
      <c r="Y410" t="s">
        <v>434</v>
      </c>
      <c r="Z410" t="s">
        <v>2062</v>
      </c>
      <c r="AA410" t="s">
        <v>358</v>
      </c>
      <c r="AB410" t="s">
        <v>358</v>
      </c>
      <c r="AC410" t="s">
        <v>497</v>
      </c>
      <c r="AD410">
        <v>0</v>
      </c>
      <c r="AE410">
        <v>0</v>
      </c>
      <c r="AF410">
        <v>0</v>
      </c>
      <c r="AG410">
        <v>0</v>
      </c>
      <c r="AH410">
        <f t="shared" si="72"/>
        <v>0</v>
      </c>
      <c r="AI410">
        <f t="shared" si="73"/>
        <v>0</v>
      </c>
      <c r="AJ410">
        <f t="shared" si="74"/>
        <v>1</v>
      </c>
      <c r="AK410">
        <f t="shared" si="75"/>
        <v>0</v>
      </c>
      <c r="AL410">
        <f t="shared" si="76"/>
        <v>1</v>
      </c>
      <c r="AM410">
        <f t="shared" si="77"/>
        <v>0</v>
      </c>
      <c r="AN410">
        <f t="shared" si="78"/>
        <v>1</v>
      </c>
      <c r="AO410">
        <f>SUM(AN$2:$AN410)</f>
        <v>409</v>
      </c>
    </row>
    <row r="411" spans="1:41" x14ac:dyDescent="0.35">
      <c r="A411" t="s">
        <v>169</v>
      </c>
      <c r="B411" t="s">
        <v>1051</v>
      </c>
      <c r="C411">
        <v>11500</v>
      </c>
      <c r="D411" t="s">
        <v>2063</v>
      </c>
      <c r="E411">
        <v>0</v>
      </c>
      <c r="F411">
        <v>1453</v>
      </c>
      <c r="G411">
        <v>2127</v>
      </c>
      <c r="H411">
        <v>0</v>
      </c>
      <c r="I411">
        <v>0</v>
      </c>
      <c r="J411">
        <v>1231</v>
      </c>
      <c r="K411">
        <v>1231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 t="s">
        <v>423</v>
      </c>
      <c r="X411">
        <v>3</v>
      </c>
      <c r="Y411" t="s">
        <v>434</v>
      </c>
      <c r="Z411" t="s">
        <v>2064</v>
      </c>
      <c r="AA411" t="s">
        <v>152</v>
      </c>
      <c r="AB411" t="s">
        <v>152</v>
      </c>
      <c r="AC411" t="s">
        <v>497</v>
      </c>
      <c r="AD411">
        <v>0</v>
      </c>
      <c r="AE411">
        <v>0</v>
      </c>
      <c r="AF411">
        <v>0</v>
      </c>
      <c r="AG411">
        <v>0</v>
      </c>
      <c r="AH411">
        <f t="shared" si="72"/>
        <v>1</v>
      </c>
      <c r="AI411">
        <f t="shared" si="73"/>
        <v>0</v>
      </c>
      <c r="AJ411">
        <f t="shared" si="74"/>
        <v>0</v>
      </c>
      <c r="AK411">
        <f t="shared" si="75"/>
        <v>1</v>
      </c>
      <c r="AL411">
        <f t="shared" si="76"/>
        <v>1</v>
      </c>
      <c r="AM411">
        <f t="shared" si="77"/>
        <v>0</v>
      </c>
      <c r="AN411">
        <f t="shared" si="78"/>
        <v>1</v>
      </c>
      <c r="AO411">
        <f>SUM(AN$2:$AN411)</f>
        <v>410</v>
      </c>
    </row>
    <row r="412" spans="1:41" x14ac:dyDescent="0.35">
      <c r="A412" t="s">
        <v>169</v>
      </c>
      <c r="B412" t="s">
        <v>2492</v>
      </c>
      <c r="C412">
        <v>11850</v>
      </c>
      <c r="D412" t="s">
        <v>2497</v>
      </c>
      <c r="E412">
        <v>414</v>
      </c>
      <c r="F412">
        <v>671</v>
      </c>
      <c r="G412">
        <v>0</v>
      </c>
      <c r="H412">
        <v>0</v>
      </c>
      <c r="I412">
        <v>2076</v>
      </c>
      <c r="J412">
        <v>1845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348</v>
      </c>
      <c r="X412">
        <v>6</v>
      </c>
      <c r="Y412" t="s">
        <v>438</v>
      </c>
      <c r="Z412" t="s">
        <v>2065</v>
      </c>
      <c r="AA412" t="s">
        <v>149</v>
      </c>
      <c r="AB412" t="s">
        <v>149</v>
      </c>
      <c r="AC412" t="s">
        <v>497</v>
      </c>
      <c r="AD412">
        <v>2134</v>
      </c>
      <c r="AE412">
        <v>0</v>
      </c>
      <c r="AF412">
        <v>0</v>
      </c>
      <c r="AG412">
        <v>0</v>
      </c>
      <c r="AH412">
        <f t="shared" si="72"/>
        <v>0</v>
      </c>
      <c r="AI412">
        <f t="shared" si="73"/>
        <v>0</v>
      </c>
      <c r="AJ412">
        <f t="shared" si="74"/>
        <v>1</v>
      </c>
      <c r="AK412">
        <f t="shared" si="75"/>
        <v>1</v>
      </c>
      <c r="AL412">
        <f t="shared" si="76"/>
        <v>0</v>
      </c>
      <c r="AM412">
        <f t="shared" si="77"/>
        <v>0</v>
      </c>
      <c r="AN412">
        <f t="shared" si="78"/>
        <v>1</v>
      </c>
      <c r="AO412">
        <f>SUM(AN$2:$AN412)</f>
        <v>411</v>
      </c>
    </row>
    <row r="413" spans="1:41" x14ac:dyDescent="0.35">
      <c r="A413" t="s">
        <v>169</v>
      </c>
      <c r="B413" t="s">
        <v>1051</v>
      </c>
      <c r="C413">
        <v>12100</v>
      </c>
      <c r="D413" t="s">
        <v>2066</v>
      </c>
      <c r="E413">
        <v>0</v>
      </c>
      <c r="F413">
        <v>1529</v>
      </c>
      <c r="G413">
        <v>0</v>
      </c>
      <c r="H413">
        <v>0</v>
      </c>
      <c r="I413">
        <v>0</v>
      </c>
      <c r="J413">
        <v>2414</v>
      </c>
      <c r="K413">
        <v>2414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353</v>
      </c>
      <c r="X413">
        <v>3</v>
      </c>
      <c r="Y413" t="s">
        <v>434</v>
      </c>
      <c r="Z413" t="s">
        <v>2067</v>
      </c>
      <c r="AA413" t="s">
        <v>150</v>
      </c>
      <c r="AB413" t="s">
        <v>150</v>
      </c>
      <c r="AC413" t="s">
        <v>497</v>
      </c>
      <c r="AD413">
        <v>0</v>
      </c>
      <c r="AE413">
        <v>0</v>
      </c>
      <c r="AF413">
        <v>0</v>
      </c>
      <c r="AG413">
        <v>0</v>
      </c>
      <c r="AH413">
        <f t="shared" ref="AH413:AH420" si="79">IF(G413&gt;1,1,0)</f>
        <v>0</v>
      </c>
      <c r="AI413">
        <f t="shared" ref="AI413:AI420" si="80">IF(H413&gt;1,1,0)</f>
        <v>0</v>
      </c>
      <c r="AJ413">
        <f t="shared" ref="AJ413:AJ420" si="81">IF(I413&gt;1,1,0)</f>
        <v>0</v>
      </c>
      <c r="AK413">
        <f t="shared" ref="AK413:AK420" si="82">IF(J413&gt;1,1,0)</f>
        <v>1</v>
      </c>
      <c r="AL413">
        <f t="shared" ref="AL413:AL420" si="83">IF(K413&gt;1,1,0)</f>
        <v>1</v>
      </c>
      <c r="AM413">
        <f t="shared" ref="AM413:AM420" si="84">IF(L413&gt;1,1,0)</f>
        <v>0</v>
      </c>
      <c r="AN413">
        <f t="shared" ref="AN413:AN420" si="85">MIN(1,($AV$2+IF(AND(AH413&gt;=$AP$3,AI413&gt;=$AQ$3,AJ413&gt;=$AR$3,AK413&gt;=$AS$3,AL413&gt;=$AT$3,AM413&gt;=$AU$3),1,0)))</f>
        <v>1</v>
      </c>
      <c r="AO413">
        <f>SUM(AN$2:$AN413)</f>
        <v>412</v>
      </c>
    </row>
    <row r="414" spans="1:41" x14ac:dyDescent="0.35">
      <c r="A414" t="s">
        <v>169</v>
      </c>
      <c r="B414" t="s">
        <v>1051</v>
      </c>
      <c r="C414">
        <v>12100</v>
      </c>
      <c r="D414" t="s">
        <v>2608</v>
      </c>
      <c r="E414">
        <v>0</v>
      </c>
      <c r="F414">
        <v>1529</v>
      </c>
      <c r="G414">
        <v>2237</v>
      </c>
      <c r="H414">
        <v>1178</v>
      </c>
      <c r="I414">
        <v>0</v>
      </c>
      <c r="J414">
        <v>1295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 t="s">
        <v>2579</v>
      </c>
      <c r="X414">
        <v>3</v>
      </c>
      <c r="Y414" t="s">
        <v>434</v>
      </c>
      <c r="Z414" t="s">
        <v>2068</v>
      </c>
      <c r="AA414" t="s">
        <v>152</v>
      </c>
      <c r="AB414" t="s">
        <v>152</v>
      </c>
      <c r="AC414" t="s">
        <v>497</v>
      </c>
      <c r="AD414">
        <v>0</v>
      </c>
      <c r="AE414">
        <v>0</v>
      </c>
      <c r="AF414">
        <v>0</v>
      </c>
      <c r="AG414">
        <v>0</v>
      </c>
      <c r="AH414">
        <f t="shared" si="79"/>
        <v>1</v>
      </c>
      <c r="AI414">
        <f t="shared" si="80"/>
        <v>1</v>
      </c>
      <c r="AJ414">
        <f t="shared" si="81"/>
        <v>0</v>
      </c>
      <c r="AK414">
        <f t="shared" si="82"/>
        <v>1</v>
      </c>
      <c r="AL414">
        <f t="shared" si="83"/>
        <v>0</v>
      </c>
      <c r="AM414">
        <f t="shared" si="84"/>
        <v>0</v>
      </c>
      <c r="AN414">
        <f t="shared" si="85"/>
        <v>1</v>
      </c>
      <c r="AO414">
        <f>SUM(AN$2:$AN414)</f>
        <v>413</v>
      </c>
    </row>
    <row r="415" spans="1:41" x14ac:dyDescent="0.35">
      <c r="A415" t="s">
        <v>169</v>
      </c>
      <c r="B415" t="s">
        <v>1051</v>
      </c>
      <c r="C415">
        <v>12100</v>
      </c>
      <c r="D415" t="s">
        <v>2069</v>
      </c>
      <c r="E415">
        <v>0</v>
      </c>
      <c r="F415">
        <v>1792</v>
      </c>
      <c r="G415">
        <v>4181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 t="s">
        <v>331</v>
      </c>
      <c r="X415">
        <v>3</v>
      </c>
      <c r="Y415" t="s">
        <v>434</v>
      </c>
      <c r="Z415" t="s">
        <v>2070</v>
      </c>
      <c r="AA415" t="s">
        <v>151</v>
      </c>
      <c r="AB415" t="s">
        <v>151</v>
      </c>
      <c r="AC415" t="s">
        <v>497</v>
      </c>
      <c r="AD415">
        <v>0</v>
      </c>
      <c r="AE415">
        <v>0</v>
      </c>
      <c r="AF415">
        <v>0</v>
      </c>
      <c r="AG415">
        <v>0</v>
      </c>
      <c r="AH415">
        <f t="shared" si="79"/>
        <v>1</v>
      </c>
      <c r="AI415">
        <f t="shared" si="80"/>
        <v>0</v>
      </c>
      <c r="AJ415">
        <f t="shared" si="81"/>
        <v>0</v>
      </c>
      <c r="AK415">
        <f t="shared" si="82"/>
        <v>0</v>
      </c>
      <c r="AL415">
        <f t="shared" si="83"/>
        <v>0</v>
      </c>
      <c r="AM415">
        <f t="shared" si="84"/>
        <v>0</v>
      </c>
      <c r="AN415">
        <f t="shared" si="85"/>
        <v>1</v>
      </c>
      <c r="AO415">
        <f>SUM(AN$2:$AN415)</f>
        <v>414</v>
      </c>
    </row>
    <row r="416" spans="1:41" x14ac:dyDescent="0.35">
      <c r="A416" t="s">
        <v>169</v>
      </c>
      <c r="B416" t="s">
        <v>2498</v>
      </c>
      <c r="C416">
        <v>12450</v>
      </c>
      <c r="D416" t="s">
        <v>2499</v>
      </c>
      <c r="E416">
        <v>435</v>
      </c>
      <c r="F416">
        <v>705</v>
      </c>
      <c r="G416">
        <v>0</v>
      </c>
      <c r="H416">
        <v>0</v>
      </c>
      <c r="I416">
        <v>2181</v>
      </c>
      <c r="J416">
        <v>0</v>
      </c>
      <c r="K416">
        <v>1939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 t="s">
        <v>159</v>
      </c>
      <c r="X416">
        <v>6</v>
      </c>
      <c r="Y416" t="s">
        <v>435</v>
      </c>
      <c r="Z416" t="s">
        <v>2071</v>
      </c>
      <c r="AA416" t="s">
        <v>153</v>
      </c>
      <c r="AB416" t="s">
        <v>153</v>
      </c>
      <c r="AC416" t="s">
        <v>497</v>
      </c>
      <c r="AD416">
        <v>2242</v>
      </c>
      <c r="AE416">
        <v>0</v>
      </c>
      <c r="AF416">
        <v>0</v>
      </c>
      <c r="AG416">
        <v>0</v>
      </c>
      <c r="AH416">
        <f t="shared" si="79"/>
        <v>0</v>
      </c>
      <c r="AI416">
        <f t="shared" si="80"/>
        <v>0</v>
      </c>
      <c r="AJ416">
        <f t="shared" si="81"/>
        <v>1</v>
      </c>
      <c r="AK416">
        <f t="shared" si="82"/>
        <v>0</v>
      </c>
      <c r="AL416">
        <f t="shared" si="83"/>
        <v>1</v>
      </c>
      <c r="AM416">
        <f t="shared" si="84"/>
        <v>0</v>
      </c>
      <c r="AN416">
        <f t="shared" si="85"/>
        <v>1</v>
      </c>
      <c r="AO416">
        <f>SUM(AN$2:$AN416)</f>
        <v>415</v>
      </c>
    </row>
    <row r="417" spans="1:41" x14ac:dyDescent="0.35">
      <c r="A417" t="s">
        <v>169</v>
      </c>
      <c r="B417" t="s">
        <v>2500</v>
      </c>
      <c r="C417">
        <v>12450</v>
      </c>
      <c r="D417" t="s">
        <v>2501</v>
      </c>
      <c r="E417">
        <v>435</v>
      </c>
      <c r="F417">
        <v>705</v>
      </c>
      <c r="G417">
        <v>2181</v>
      </c>
      <c r="H417">
        <v>0</v>
      </c>
      <c r="I417">
        <v>0</v>
      </c>
      <c r="J417">
        <v>1939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 t="s">
        <v>350</v>
      </c>
      <c r="X417">
        <v>6</v>
      </c>
      <c r="Y417" t="s">
        <v>436</v>
      </c>
      <c r="Z417" t="s">
        <v>2072</v>
      </c>
      <c r="AA417" t="s">
        <v>152</v>
      </c>
      <c r="AB417" t="s">
        <v>152</v>
      </c>
      <c r="AC417" t="s">
        <v>497</v>
      </c>
      <c r="AD417">
        <v>2242</v>
      </c>
      <c r="AE417">
        <v>0</v>
      </c>
      <c r="AF417">
        <v>0</v>
      </c>
      <c r="AG417">
        <v>0</v>
      </c>
      <c r="AH417">
        <f t="shared" si="79"/>
        <v>1</v>
      </c>
      <c r="AI417">
        <f t="shared" si="80"/>
        <v>0</v>
      </c>
      <c r="AJ417">
        <f t="shared" si="81"/>
        <v>0</v>
      </c>
      <c r="AK417">
        <f t="shared" si="82"/>
        <v>1</v>
      </c>
      <c r="AL417">
        <f t="shared" si="83"/>
        <v>0</v>
      </c>
      <c r="AM417">
        <f t="shared" si="84"/>
        <v>0</v>
      </c>
      <c r="AN417">
        <f t="shared" si="85"/>
        <v>1</v>
      </c>
      <c r="AO417">
        <f>SUM(AN$2:$AN417)</f>
        <v>416</v>
      </c>
    </row>
    <row r="418" spans="1:41" x14ac:dyDescent="0.35">
      <c r="A418" t="s">
        <v>169</v>
      </c>
      <c r="B418" t="s">
        <v>2502</v>
      </c>
      <c r="C418">
        <v>12450</v>
      </c>
      <c r="D418" t="s">
        <v>2503</v>
      </c>
      <c r="E418">
        <v>435</v>
      </c>
      <c r="F418">
        <v>705</v>
      </c>
      <c r="G418">
        <v>2181</v>
      </c>
      <c r="H418">
        <v>0</v>
      </c>
      <c r="I418">
        <v>0</v>
      </c>
      <c r="J418">
        <v>0</v>
      </c>
      <c r="K418">
        <v>1939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 t="s">
        <v>157</v>
      </c>
      <c r="X418">
        <v>6</v>
      </c>
      <c r="Y418" t="s">
        <v>435</v>
      </c>
      <c r="Z418" t="s">
        <v>2073</v>
      </c>
      <c r="AA418" t="s">
        <v>152</v>
      </c>
      <c r="AB418" t="s">
        <v>152</v>
      </c>
      <c r="AC418" t="s">
        <v>497</v>
      </c>
      <c r="AD418">
        <v>2242</v>
      </c>
      <c r="AE418">
        <v>0</v>
      </c>
      <c r="AF418">
        <v>0</v>
      </c>
      <c r="AG418">
        <v>0</v>
      </c>
      <c r="AH418">
        <f t="shared" si="79"/>
        <v>1</v>
      </c>
      <c r="AI418">
        <f t="shared" si="80"/>
        <v>0</v>
      </c>
      <c r="AJ418">
        <f t="shared" si="81"/>
        <v>0</v>
      </c>
      <c r="AK418">
        <f t="shared" si="82"/>
        <v>0</v>
      </c>
      <c r="AL418">
        <f t="shared" si="83"/>
        <v>1</v>
      </c>
      <c r="AM418">
        <f t="shared" si="84"/>
        <v>0</v>
      </c>
      <c r="AN418">
        <f t="shared" si="85"/>
        <v>1</v>
      </c>
      <c r="AO418">
        <f>SUM(AN$2:$AN418)</f>
        <v>417</v>
      </c>
    </row>
    <row r="419" spans="1:41" x14ac:dyDescent="0.35">
      <c r="A419" t="s">
        <v>169</v>
      </c>
      <c r="B419" t="s">
        <v>2492</v>
      </c>
      <c r="C419">
        <v>12600</v>
      </c>
      <c r="D419" t="s">
        <v>2504</v>
      </c>
      <c r="E419">
        <v>440</v>
      </c>
      <c r="F419">
        <v>714</v>
      </c>
      <c r="G419">
        <v>0</v>
      </c>
      <c r="H419">
        <v>0</v>
      </c>
      <c r="I419">
        <v>2207</v>
      </c>
      <c r="J419">
        <v>1962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348</v>
      </c>
      <c r="X419">
        <v>6</v>
      </c>
      <c r="Y419" t="s">
        <v>438</v>
      </c>
      <c r="Z419" t="s">
        <v>2074</v>
      </c>
      <c r="AA419" t="s">
        <v>149</v>
      </c>
      <c r="AB419" t="s">
        <v>149</v>
      </c>
      <c r="AC419" t="s">
        <v>497</v>
      </c>
      <c r="AD419">
        <v>2269</v>
      </c>
      <c r="AE419">
        <v>0</v>
      </c>
      <c r="AF419">
        <v>0</v>
      </c>
      <c r="AG419">
        <v>0</v>
      </c>
      <c r="AH419">
        <f t="shared" si="79"/>
        <v>0</v>
      </c>
      <c r="AI419">
        <f t="shared" si="80"/>
        <v>0</v>
      </c>
      <c r="AJ419">
        <f t="shared" si="81"/>
        <v>1</v>
      </c>
      <c r="AK419">
        <f t="shared" si="82"/>
        <v>1</v>
      </c>
      <c r="AL419">
        <f t="shared" si="83"/>
        <v>0</v>
      </c>
      <c r="AM419">
        <f t="shared" si="84"/>
        <v>0</v>
      </c>
      <c r="AN419">
        <f t="shared" si="85"/>
        <v>1</v>
      </c>
      <c r="AO419">
        <f>SUM(AN$2:$AN419)</f>
        <v>418</v>
      </c>
    </row>
    <row r="420" spans="1:41" x14ac:dyDescent="0.35">
      <c r="A420" t="s">
        <v>166</v>
      </c>
      <c r="B420" t="s">
        <v>1098</v>
      </c>
      <c r="C420">
        <v>8000</v>
      </c>
      <c r="D420" t="s">
        <v>1099</v>
      </c>
      <c r="E420">
        <v>391</v>
      </c>
      <c r="F420">
        <v>634</v>
      </c>
      <c r="G420">
        <v>1962</v>
      </c>
      <c r="H420">
        <v>0</v>
      </c>
      <c r="I420">
        <v>0</v>
      </c>
      <c r="J420">
        <v>0</v>
      </c>
      <c r="K420">
        <v>1744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 t="s">
        <v>157</v>
      </c>
      <c r="X420">
        <v>6</v>
      </c>
      <c r="Y420" t="s">
        <v>435</v>
      </c>
      <c r="Z420" t="s">
        <v>2075</v>
      </c>
      <c r="AA420" t="s">
        <v>148</v>
      </c>
      <c r="AB420" t="s">
        <v>153</v>
      </c>
      <c r="AC420" t="s">
        <v>497</v>
      </c>
      <c r="AD420">
        <v>2017</v>
      </c>
      <c r="AE420">
        <v>0</v>
      </c>
      <c r="AF420">
        <v>0</v>
      </c>
      <c r="AG420">
        <v>0</v>
      </c>
      <c r="AH420">
        <f t="shared" si="79"/>
        <v>1</v>
      </c>
      <c r="AI420">
        <f t="shared" si="80"/>
        <v>0</v>
      </c>
      <c r="AJ420">
        <f t="shared" si="81"/>
        <v>0</v>
      </c>
      <c r="AK420">
        <f t="shared" si="82"/>
        <v>0</v>
      </c>
      <c r="AL420">
        <f t="shared" si="83"/>
        <v>1</v>
      </c>
      <c r="AM420">
        <f t="shared" si="84"/>
        <v>0</v>
      </c>
      <c r="AN420">
        <f t="shared" si="85"/>
        <v>1</v>
      </c>
      <c r="AO420">
        <f>SUM(AN$2:$AN420)</f>
        <v>419</v>
      </c>
    </row>
    <row r="421" spans="1:41" x14ac:dyDescent="0.35">
      <c r="A421" t="s">
        <v>166</v>
      </c>
      <c r="B421" t="s">
        <v>1095</v>
      </c>
      <c r="C421">
        <v>8100</v>
      </c>
      <c r="D421" t="s">
        <v>2076</v>
      </c>
      <c r="E421">
        <v>495</v>
      </c>
      <c r="F421">
        <v>988</v>
      </c>
      <c r="G421">
        <v>0</v>
      </c>
      <c r="H421">
        <v>0</v>
      </c>
      <c r="I421">
        <v>2538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162</v>
      </c>
      <c r="X421">
        <v>6</v>
      </c>
      <c r="Y421" t="s">
        <v>437</v>
      </c>
      <c r="Z421" t="s">
        <v>2077</v>
      </c>
      <c r="AA421" t="s">
        <v>497</v>
      </c>
      <c r="AB421" t="s">
        <v>497</v>
      </c>
      <c r="AC421" t="s">
        <v>497</v>
      </c>
      <c r="AD421">
        <v>2042</v>
      </c>
      <c r="AE421">
        <v>0</v>
      </c>
      <c r="AF421">
        <v>0</v>
      </c>
      <c r="AG421">
        <v>0</v>
      </c>
      <c r="AH421">
        <f t="shared" ref="AH421:AH483" si="86">IF(G421&gt;1,1,0)</f>
        <v>0</v>
      </c>
      <c r="AI421">
        <f t="shared" ref="AI421:AI483" si="87">IF(H421&gt;1,1,0)</f>
        <v>0</v>
      </c>
      <c r="AJ421">
        <f t="shared" ref="AJ421:AJ483" si="88">IF(I421&gt;1,1,0)</f>
        <v>1</v>
      </c>
      <c r="AK421">
        <f t="shared" ref="AK421:AK483" si="89">IF(J421&gt;1,1,0)</f>
        <v>0</v>
      </c>
      <c r="AL421">
        <f t="shared" ref="AL421:AL483" si="90">IF(K421&gt;1,1,0)</f>
        <v>0</v>
      </c>
      <c r="AM421">
        <f t="shared" ref="AM421:AM483" si="91">IF(L421&gt;1,1,0)</f>
        <v>0</v>
      </c>
      <c r="AN421">
        <f t="shared" ref="AN421:AN483" si="92">MIN(1,($AV$2+IF(AND(AH421&gt;=$AP$3,AI421&gt;=$AQ$3,AJ421&gt;=$AR$3,AK421&gt;=$AS$3,AL421&gt;=$AT$3,AM421&gt;=$AU$3),1,0)))</f>
        <v>1</v>
      </c>
      <c r="AO421">
        <f>SUM(AN$2:$AN421)</f>
        <v>420</v>
      </c>
    </row>
    <row r="422" spans="1:41" x14ac:dyDescent="0.35">
      <c r="A422" t="s">
        <v>166</v>
      </c>
      <c r="B422" t="s">
        <v>1362</v>
      </c>
      <c r="C422">
        <v>8100</v>
      </c>
      <c r="D422" t="s">
        <v>2078</v>
      </c>
      <c r="E422">
        <v>396</v>
      </c>
      <c r="F422">
        <v>642</v>
      </c>
      <c r="G422">
        <v>1987</v>
      </c>
      <c r="H422">
        <v>0</v>
      </c>
      <c r="I422">
        <v>0</v>
      </c>
      <c r="J422">
        <v>0</v>
      </c>
      <c r="K422">
        <v>1766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 t="s">
        <v>157</v>
      </c>
      <c r="X422">
        <v>6</v>
      </c>
      <c r="Y422" t="s">
        <v>437</v>
      </c>
      <c r="Z422" t="s">
        <v>2079</v>
      </c>
      <c r="AA422" t="s">
        <v>148</v>
      </c>
      <c r="AB422" t="s">
        <v>153</v>
      </c>
      <c r="AC422" t="s">
        <v>497</v>
      </c>
      <c r="AD422">
        <v>2042</v>
      </c>
      <c r="AE422">
        <v>0</v>
      </c>
      <c r="AF422">
        <v>0</v>
      </c>
      <c r="AG422">
        <v>0</v>
      </c>
      <c r="AH422">
        <f t="shared" si="86"/>
        <v>1</v>
      </c>
      <c r="AI422">
        <f t="shared" si="87"/>
        <v>0</v>
      </c>
      <c r="AJ422">
        <f t="shared" si="88"/>
        <v>0</v>
      </c>
      <c r="AK422">
        <f t="shared" si="89"/>
        <v>0</v>
      </c>
      <c r="AL422">
        <f t="shared" si="90"/>
        <v>1</v>
      </c>
      <c r="AM422">
        <f t="shared" si="91"/>
        <v>0</v>
      </c>
      <c r="AN422">
        <f t="shared" si="92"/>
        <v>1</v>
      </c>
      <c r="AO422">
        <f>SUM(AN$2:$AN422)</f>
        <v>421</v>
      </c>
    </row>
    <row r="423" spans="1:41" x14ac:dyDescent="0.35">
      <c r="A423" t="s">
        <v>166</v>
      </c>
      <c r="B423" t="s">
        <v>1096</v>
      </c>
      <c r="C423">
        <v>8150</v>
      </c>
      <c r="D423" t="s">
        <v>2080</v>
      </c>
      <c r="E423">
        <v>398</v>
      </c>
      <c r="F423">
        <v>646</v>
      </c>
      <c r="G423">
        <v>1999</v>
      </c>
      <c r="H423">
        <v>0</v>
      </c>
      <c r="I423">
        <v>0</v>
      </c>
      <c r="J423">
        <v>1777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 t="s">
        <v>350</v>
      </c>
      <c r="X423">
        <v>6</v>
      </c>
      <c r="Y423" t="s">
        <v>438</v>
      </c>
      <c r="Z423" t="s">
        <v>2081</v>
      </c>
      <c r="AA423" t="s">
        <v>358</v>
      </c>
      <c r="AB423" t="s">
        <v>150</v>
      </c>
      <c r="AC423" t="s">
        <v>497</v>
      </c>
      <c r="AD423">
        <v>2054</v>
      </c>
      <c r="AE423">
        <v>0</v>
      </c>
      <c r="AF423">
        <v>0</v>
      </c>
      <c r="AG423">
        <v>0</v>
      </c>
      <c r="AH423">
        <f t="shared" si="86"/>
        <v>1</v>
      </c>
      <c r="AI423">
        <f t="shared" si="87"/>
        <v>0</v>
      </c>
      <c r="AJ423">
        <f t="shared" si="88"/>
        <v>0</v>
      </c>
      <c r="AK423">
        <f t="shared" si="89"/>
        <v>1</v>
      </c>
      <c r="AL423">
        <f t="shared" si="90"/>
        <v>0</v>
      </c>
      <c r="AM423">
        <f t="shared" si="91"/>
        <v>0</v>
      </c>
      <c r="AN423">
        <f t="shared" si="92"/>
        <v>1</v>
      </c>
      <c r="AO423">
        <f>SUM(AN$2:$AN423)</f>
        <v>422</v>
      </c>
    </row>
    <row r="424" spans="1:41" x14ac:dyDescent="0.35">
      <c r="A424" t="s">
        <v>166</v>
      </c>
      <c r="B424" t="s">
        <v>1097</v>
      </c>
      <c r="C424">
        <v>8600</v>
      </c>
      <c r="D424" t="s">
        <v>2082</v>
      </c>
      <c r="E424">
        <v>525</v>
      </c>
      <c r="F424">
        <v>1049</v>
      </c>
      <c r="G424">
        <v>0</v>
      </c>
      <c r="H424">
        <v>0</v>
      </c>
      <c r="I424">
        <v>2695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162</v>
      </c>
      <c r="X424">
        <v>6</v>
      </c>
      <c r="Y424" t="s">
        <v>628</v>
      </c>
      <c r="Z424" t="s">
        <v>2083</v>
      </c>
      <c r="AA424" t="s">
        <v>150</v>
      </c>
      <c r="AB424" t="s">
        <v>149</v>
      </c>
      <c r="AC424" t="s">
        <v>497</v>
      </c>
      <c r="AD424">
        <v>2168</v>
      </c>
      <c r="AE424">
        <v>0</v>
      </c>
      <c r="AF424">
        <v>0</v>
      </c>
      <c r="AG424">
        <v>0</v>
      </c>
      <c r="AH424">
        <f t="shared" si="86"/>
        <v>0</v>
      </c>
      <c r="AI424">
        <f t="shared" si="87"/>
        <v>0</v>
      </c>
      <c r="AJ424">
        <f t="shared" si="88"/>
        <v>1</v>
      </c>
      <c r="AK424">
        <f t="shared" si="89"/>
        <v>0</v>
      </c>
      <c r="AL424">
        <f t="shared" si="90"/>
        <v>0</v>
      </c>
      <c r="AM424">
        <f t="shared" si="91"/>
        <v>0</v>
      </c>
      <c r="AN424">
        <f t="shared" si="92"/>
        <v>1</v>
      </c>
      <c r="AO424">
        <f>SUM(AN$2:$AN424)</f>
        <v>423</v>
      </c>
    </row>
    <row r="425" spans="1:41" x14ac:dyDescent="0.35">
      <c r="A425" t="s">
        <v>166</v>
      </c>
      <c r="B425" t="s">
        <v>1096</v>
      </c>
      <c r="C425">
        <v>8800</v>
      </c>
      <c r="D425" t="s">
        <v>1101</v>
      </c>
      <c r="E425">
        <v>430</v>
      </c>
      <c r="F425">
        <v>698</v>
      </c>
      <c r="G425">
        <v>2158</v>
      </c>
      <c r="H425">
        <v>0</v>
      </c>
      <c r="I425">
        <v>0</v>
      </c>
      <c r="J425">
        <v>1918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 t="s">
        <v>350</v>
      </c>
      <c r="X425">
        <v>6</v>
      </c>
      <c r="Y425" t="s">
        <v>438</v>
      </c>
      <c r="Z425" t="s">
        <v>2084</v>
      </c>
      <c r="AA425" t="s">
        <v>358</v>
      </c>
      <c r="AB425" t="s">
        <v>150</v>
      </c>
      <c r="AC425" t="s">
        <v>497</v>
      </c>
      <c r="AD425">
        <v>2218</v>
      </c>
      <c r="AE425">
        <v>0</v>
      </c>
      <c r="AF425">
        <v>0</v>
      </c>
      <c r="AG425">
        <v>0</v>
      </c>
      <c r="AH425">
        <f t="shared" si="86"/>
        <v>1</v>
      </c>
      <c r="AI425">
        <f t="shared" si="87"/>
        <v>0</v>
      </c>
      <c r="AJ425">
        <f t="shared" si="88"/>
        <v>0</v>
      </c>
      <c r="AK425">
        <f t="shared" si="89"/>
        <v>1</v>
      </c>
      <c r="AL425">
        <f t="shared" si="90"/>
        <v>0</v>
      </c>
      <c r="AM425">
        <f t="shared" si="91"/>
        <v>0</v>
      </c>
      <c r="AN425">
        <f t="shared" si="92"/>
        <v>1</v>
      </c>
      <c r="AO425">
        <f>SUM(AN$2:$AN425)</f>
        <v>424</v>
      </c>
    </row>
    <row r="426" spans="1:41" x14ac:dyDescent="0.35">
      <c r="A426" t="s">
        <v>166</v>
      </c>
      <c r="B426" t="s">
        <v>1362</v>
      </c>
      <c r="C426">
        <v>8800</v>
      </c>
      <c r="D426" t="s">
        <v>1363</v>
      </c>
      <c r="E426">
        <v>430</v>
      </c>
      <c r="F426">
        <v>698</v>
      </c>
      <c r="G426">
        <v>2158</v>
      </c>
      <c r="H426">
        <v>0</v>
      </c>
      <c r="I426">
        <v>0</v>
      </c>
      <c r="J426">
        <v>0</v>
      </c>
      <c r="K426">
        <v>1918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 t="s">
        <v>157</v>
      </c>
      <c r="X426">
        <v>6</v>
      </c>
      <c r="Y426" t="s">
        <v>437</v>
      </c>
      <c r="Z426" t="s">
        <v>2085</v>
      </c>
      <c r="AA426" t="s">
        <v>148</v>
      </c>
      <c r="AB426" t="s">
        <v>153</v>
      </c>
      <c r="AC426" t="s">
        <v>497</v>
      </c>
      <c r="AD426">
        <v>2218</v>
      </c>
      <c r="AE426">
        <v>0</v>
      </c>
      <c r="AF426">
        <v>0</v>
      </c>
      <c r="AG426">
        <v>0</v>
      </c>
      <c r="AH426">
        <f t="shared" si="86"/>
        <v>1</v>
      </c>
      <c r="AI426">
        <f t="shared" si="87"/>
        <v>0</v>
      </c>
      <c r="AJ426">
        <f t="shared" si="88"/>
        <v>0</v>
      </c>
      <c r="AK426">
        <f t="shared" si="89"/>
        <v>0</v>
      </c>
      <c r="AL426">
        <f t="shared" si="90"/>
        <v>1</v>
      </c>
      <c r="AM426">
        <f t="shared" si="91"/>
        <v>0</v>
      </c>
      <c r="AN426">
        <f t="shared" si="92"/>
        <v>1</v>
      </c>
      <c r="AO426">
        <f>SUM(AN$2:$AN426)</f>
        <v>425</v>
      </c>
    </row>
    <row r="427" spans="1:41" x14ac:dyDescent="0.35">
      <c r="A427" t="s">
        <v>166</v>
      </c>
      <c r="B427" t="s">
        <v>1100</v>
      </c>
      <c r="C427">
        <v>9100</v>
      </c>
      <c r="D427" t="s">
        <v>2086</v>
      </c>
      <c r="E427">
        <v>445</v>
      </c>
      <c r="F427">
        <v>722</v>
      </c>
      <c r="G427">
        <v>0</v>
      </c>
      <c r="H427">
        <v>0</v>
      </c>
      <c r="I427">
        <v>0</v>
      </c>
      <c r="J427">
        <v>2232</v>
      </c>
      <c r="K427">
        <v>1984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347</v>
      </c>
      <c r="X427">
        <v>6</v>
      </c>
      <c r="Y427" t="s">
        <v>435</v>
      </c>
      <c r="Z427" t="s">
        <v>2087</v>
      </c>
      <c r="AA427" t="s">
        <v>148</v>
      </c>
      <c r="AB427" t="s">
        <v>149</v>
      </c>
      <c r="AC427" t="s">
        <v>497</v>
      </c>
      <c r="AD427">
        <v>2294</v>
      </c>
      <c r="AE427">
        <v>0</v>
      </c>
      <c r="AF427">
        <v>0</v>
      </c>
      <c r="AG427">
        <v>0</v>
      </c>
      <c r="AH427">
        <f t="shared" si="86"/>
        <v>0</v>
      </c>
      <c r="AI427">
        <f t="shared" si="87"/>
        <v>0</v>
      </c>
      <c r="AJ427">
        <f t="shared" si="88"/>
        <v>0</v>
      </c>
      <c r="AK427">
        <f t="shared" si="89"/>
        <v>1</v>
      </c>
      <c r="AL427">
        <f t="shared" si="90"/>
        <v>1</v>
      </c>
      <c r="AM427">
        <f t="shared" si="91"/>
        <v>0</v>
      </c>
      <c r="AN427">
        <f t="shared" si="92"/>
        <v>1</v>
      </c>
      <c r="AO427">
        <f>SUM(AN$2:$AN427)</f>
        <v>426</v>
      </c>
    </row>
    <row r="428" spans="1:41" x14ac:dyDescent="0.35">
      <c r="A428" t="s">
        <v>166</v>
      </c>
      <c r="B428" t="s">
        <v>1102</v>
      </c>
      <c r="C428">
        <v>9100</v>
      </c>
      <c r="D428" t="s">
        <v>1103</v>
      </c>
      <c r="E428">
        <v>0</v>
      </c>
      <c r="F428">
        <v>1887</v>
      </c>
      <c r="G428">
        <v>0</v>
      </c>
      <c r="H428">
        <v>0</v>
      </c>
      <c r="I428">
        <v>0</v>
      </c>
      <c r="J428">
        <v>0</v>
      </c>
      <c r="K428">
        <v>4278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 t="s">
        <v>327</v>
      </c>
      <c r="X428">
        <v>3</v>
      </c>
      <c r="Y428" t="s">
        <v>434</v>
      </c>
      <c r="Z428" t="s">
        <v>2088</v>
      </c>
      <c r="AA428" t="s">
        <v>152</v>
      </c>
      <c r="AB428" t="s">
        <v>153</v>
      </c>
      <c r="AC428" t="s">
        <v>497</v>
      </c>
      <c r="AD428">
        <v>0</v>
      </c>
      <c r="AE428">
        <v>0</v>
      </c>
      <c r="AF428">
        <v>0</v>
      </c>
      <c r="AG428">
        <v>0</v>
      </c>
      <c r="AH428">
        <f t="shared" si="86"/>
        <v>0</v>
      </c>
      <c r="AI428">
        <f t="shared" si="87"/>
        <v>0</v>
      </c>
      <c r="AJ428">
        <f t="shared" si="88"/>
        <v>0</v>
      </c>
      <c r="AK428">
        <f t="shared" si="89"/>
        <v>0</v>
      </c>
      <c r="AL428">
        <f t="shared" si="90"/>
        <v>1</v>
      </c>
      <c r="AM428">
        <f t="shared" si="91"/>
        <v>0</v>
      </c>
      <c r="AN428">
        <f t="shared" si="92"/>
        <v>1</v>
      </c>
      <c r="AO428">
        <f>SUM(AN$2:$AN428)</f>
        <v>427</v>
      </c>
    </row>
    <row r="429" spans="1:41" x14ac:dyDescent="0.35">
      <c r="A429" t="s">
        <v>166</v>
      </c>
      <c r="B429" t="s">
        <v>1102</v>
      </c>
      <c r="C429">
        <v>9100</v>
      </c>
      <c r="D429" t="s">
        <v>1104</v>
      </c>
      <c r="E429">
        <v>0</v>
      </c>
      <c r="F429">
        <v>1610</v>
      </c>
      <c r="G429">
        <v>0</v>
      </c>
      <c r="H429">
        <v>0</v>
      </c>
      <c r="I429">
        <v>2480</v>
      </c>
      <c r="J429">
        <v>0</v>
      </c>
      <c r="K429">
        <v>2480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t="s">
        <v>332</v>
      </c>
      <c r="X429">
        <v>3</v>
      </c>
      <c r="Y429" t="s">
        <v>434</v>
      </c>
      <c r="Z429" t="s">
        <v>2089</v>
      </c>
      <c r="AA429" t="s">
        <v>358</v>
      </c>
      <c r="AB429" t="s">
        <v>149</v>
      </c>
      <c r="AC429" t="s">
        <v>497</v>
      </c>
      <c r="AD429">
        <v>0</v>
      </c>
      <c r="AE429">
        <v>0</v>
      </c>
      <c r="AF429">
        <v>0</v>
      </c>
      <c r="AG429">
        <v>0</v>
      </c>
      <c r="AH429">
        <f t="shared" si="86"/>
        <v>0</v>
      </c>
      <c r="AI429">
        <f t="shared" si="87"/>
        <v>0</v>
      </c>
      <c r="AJ429">
        <f t="shared" si="88"/>
        <v>1</v>
      </c>
      <c r="AK429">
        <f t="shared" si="89"/>
        <v>0</v>
      </c>
      <c r="AL429">
        <f t="shared" si="90"/>
        <v>1</v>
      </c>
      <c r="AM429">
        <f t="shared" si="91"/>
        <v>0</v>
      </c>
      <c r="AN429">
        <f t="shared" si="92"/>
        <v>1</v>
      </c>
      <c r="AO429">
        <f>SUM(AN$2:$AN429)</f>
        <v>428</v>
      </c>
    </row>
    <row r="430" spans="1:41" x14ac:dyDescent="0.35">
      <c r="A430" t="s">
        <v>166</v>
      </c>
      <c r="B430" t="s">
        <v>1102</v>
      </c>
      <c r="C430">
        <v>9100</v>
      </c>
      <c r="D430" t="s">
        <v>1105</v>
      </c>
      <c r="E430">
        <v>0</v>
      </c>
      <c r="F430">
        <v>1610</v>
      </c>
      <c r="G430">
        <v>2356</v>
      </c>
      <c r="H430">
        <v>0</v>
      </c>
      <c r="I430">
        <v>0</v>
      </c>
      <c r="J430">
        <v>1240</v>
      </c>
      <c r="K430">
        <v>1364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 t="s">
        <v>423</v>
      </c>
      <c r="X430">
        <v>3</v>
      </c>
      <c r="Y430" t="s">
        <v>434</v>
      </c>
      <c r="Z430" t="s">
        <v>2090</v>
      </c>
      <c r="AA430" t="s">
        <v>152</v>
      </c>
      <c r="AB430" t="s">
        <v>153</v>
      </c>
      <c r="AC430" t="s">
        <v>497</v>
      </c>
      <c r="AD430">
        <v>0</v>
      </c>
      <c r="AE430">
        <v>0</v>
      </c>
      <c r="AF430">
        <v>0</v>
      </c>
      <c r="AG430">
        <v>0</v>
      </c>
      <c r="AH430">
        <f t="shared" si="86"/>
        <v>1</v>
      </c>
      <c r="AI430">
        <f t="shared" si="87"/>
        <v>0</v>
      </c>
      <c r="AJ430">
        <f t="shared" si="88"/>
        <v>0</v>
      </c>
      <c r="AK430">
        <f t="shared" si="89"/>
        <v>1</v>
      </c>
      <c r="AL430">
        <f t="shared" si="90"/>
        <v>1</v>
      </c>
      <c r="AM430">
        <f t="shared" si="91"/>
        <v>0</v>
      </c>
      <c r="AN430">
        <f t="shared" si="92"/>
        <v>1</v>
      </c>
      <c r="AO430">
        <f>SUM(AN$2:$AN430)</f>
        <v>429</v>
      </c>
    </row>
    <row r="431" spans="1:41" customFormat="1" x14ac:dyDescent="0.35">
      <c r="A431" t="s">
        <v>166</v>
      </c>
      <c r="B431" t="s">
        <v>1102</v>
      </c>
      <c r="C431">
        <v>9400</v>
      </c>
      <c r="D431" t="s">
        <v>1113</v>
      </c>
      <c r="E431">
        <v>0</v>
      </c>
      <c r="F431">
        <v>1663</v>
      </c>
      <c r="G431">
        <v>0</v>
      </c>
      <c r="H431">
        <v>0</v>
      </c>
      <c r="I431">
        <v>0</v>
      </c>
      <c r="J431">
        <v>1409</v>
      </c>
      <c r="K431">
        <v>3714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 t="s">
        <v>353</v>
      </c>
      <c r="X431">
        <v>3</v>
      </c>
      <c r="Y431" t="s">
        <v>434</v>
      </c>
      <c r="Z431" t="s">
        <v>2091</v>
      </c>
      <c r="AA431" t="s">
        <v>150</v>
      </c>
      <c r="AB431" t="s">
        <v>153</v>
      </c>
      <c r="AC431" t="s">
        <v>497</v>
      </c>
      <c r="AD431">
        <v>0</v>
      </c>
      <c r="AE431">
        <v>0</v>
      </c>
      <c r="AF431">
        <v>0</v>
      </c>
      <c r="AG431">
        <v>0</v>
      </c>
      <c r="AH431">
        <f t="shared" si="86"/>
        <v>0</v>
      </c>
      <c r="AI431">
        <f t="shared" si="87"/>
        <v>0</v>
      </c>
      <c r="AJ431">
        <f t="shared" si="88"/>
        <v>0</v>
      </c>
      <c r="AK431">
        <f t="shared" si="89"/>
        <v>1</v>
      </c>
      <c r="AL431">
        <f t="shared" si="90"/>
        <v>1</v>
      </c>
      <c r="AM431">
        <f t="shared" si="91"/>
        <v>0</v>
      </c>
      <c r="AN431">
        <f t="shared" si="92"/>
        <v>1</v>
      </c>
      <c r="AO431">
        <f>SUM(AN$2:$AN431)</f>
        <v>430</v>
      </c>
    </row>
    <row r="432" spans="1:41" customFormat="1" x14ac:dyDescent="0.35">
      <c r="A432" t="s">
        <v>166</v>
      </c>
      <c r="B432" t="s">
        <v>1102</v>
      </c>
      <c r="C432">
        <v>9400</v>
      </c>
      <c r="D432" t="s">
        <v>1114</v>
      </c>
      <c r="E432">
        <v>0</v>
      </c>
      <c r="F432">
        <v>1949</v>
      </c>
      <c r="G432">
        <v>0</v>
      </c>
      <c r="H432">
        <v>0</v>
      </c>
      <c r="I432">
        <v>4419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t="s">
        <v>329</v>
      </c>
      <c r="X432">
        <v>3</v>
      </c>
      <c r="Y432" t="s">
        <v>434</v>
      </c>
      <c r="Z432" t="s">
        <v>2092</v>
      </c>
      <c r="AA432" t="s">
        <v>358</v>
      </c>
      <c r="AB432" t="s">
        <v>149</v>
      </c>
      <c r="AC432" t="s">
        <v>497</v>
      </c>
      <c r="AD432">
        <v>0</v>
      </c>
      <c r="AE432">
        <v>0</v>
      </c>
      <c r="AF432">
        <v>0</v>
      </c>
      <c r="AG432">
        <v>0</v>
      </c>
      <c r="AH432">
        <f t="shared" si="86"/>
        <v>0</v>
      </c>
      <c r="AI432">
        <f t="shared" si="87"/>
        <v>0</v>
      </c>
      <c r="AJ432">
        <f t="shared" si="88"/>
        <v>1</v>
      </c>
      <c r="AK432">
        <f t="shared" si="89"/>
        <v>0</v>
      </c>
      <c r="AL432">
        <f t="shared" si="90"/>
        <v>0</v>
      </c>
      <c r="AM432">
        <f t="shared" si="91"/>
        <v>0</v>
      </c>
      <c r="AN432">
        <f t="shared" si="92"/>
        <v>1</v>
      </c>
      <c r="AO432">
        <f>SUM(AN$2:$AN432)</f>
        <v>431</v>
      </c>
    </row>
    <row r="433" spans="1:41" customFormat="1" x14ac:dyDescent="0.35">
      <c r="A433" t="s">
        <v>166</v>
      </c>
      <c r="B433" t="s">
        <v>1102</v>
      </c>
      <c r="C433">
        <v>9400</v>
      </c>
      <c r="D433" t="s">
        <v>2609</v>
      </c>
      <c r="E433">
        <v>0</v>
      </c>
      <c r="F433">
        <v>1663</v>
      </c>
      <c r="G433">
        <v>2433</v>
      </c>
      <c r="H433">
        <v>1281</v>
      </c>
      <c r="I433">
        <v>0</v>
      </c>
      <c r="J433">
        <v>0</v>
      </c>
      <c r="K433">
        <v>1281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 t="s">
        <v>2594</v>
      </c>
      <c r="X433">
        <v>3</v>
      </c>
      <c r="Y433" t="s">
        <v>434</v>
      </c>
      <c r="Z433" t="s">
        <v>2093</v>
      </c>
      <c r="AA433" t="s">
        <v>152</v>
      </c>
      <c r="AB433" t="s">
        <v>153</v>
      </c>
      <c r="AC433" t="s">
        <v>497</v>
      </c>
      <c r="AD433">
        <v>0</v>
      </c>
      <c r="AE433">
        <v>0</v>
      </c>
      <c r="AF433">
        <v>0</v>
      </c>
      <c r="AG433">
        <v>0</v>
      </c>
      <c r="AH433">
        <f t="shared" si="86"/>
        <v>1</v>
      </c>
      <c r="AI433">
        <f t="shared" si="87"/>
        <v>1</v>
      </c>
      <c r="AJ433">
        <f t="shared" si="88"/>
        <v>0</v>
      </c>
      <c r="AK433">
        <f t="shared" si="89"/>
        <v>0</v>
      </c>
      <c r="AL433">
        <f t="shared" si="90"/>
        <v>1</v>
      </c>
      <c r="AM433">
        <f t="shared" si="91"/>
        <v>0</v>
      </c>
      <c r="AN433">
        <f t="shared" si="92"/>
        <v>1</v>
      </c>
      <c r="AO433">
        <f>SUM(AN$2:$AN433)</f>
        <v>432</v>
      </c>
    </row>
    <row r="434" spans="1:41" customFormat="1" x14ac:dyDescent="0.35">
      <c r="A434" t="s">
        <v>166</v>
      </c>
      <c r="B434" t="s">
        <v>1096</v>
      </c>
      <c r="C434">
        <v>9450</v>
      </c>
      <c r="D434" t="s">
        <v>2094</v>
      </c>
      <c r="E434">
        <v>462</v>
      </c>
      <c r="F434">
        <v>749</v>
      </c>
      <c r="G434">
        <v>2318</v>
      </c>
      <c r="H434">
        <v>0</v>
      </c>
      <c r="I434">
        <v>0</v>
      </c>
      <c r="J434">
        <v>2060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1</v>
      </c>
      <c r="U434">
        <v>0</v>
      </c>
      <c r="V434">
        <v>0</v>
      </c>
      <c r="W434" t="s">
        <v>350</v>
      </c>
      <c r="X434">
        <v>6</v>
      </c>
      <c r="Y434" t="s">
        <v>438</v>
      </c>
      <c r="Z434" t="s">
        <v>2095</v>
      </c>
      <c r="AA434" t="s">
        <v>358</v>
      </c>
      <c r="AB434" t="s">
        <v>150</v>
      </c>
      <c r="AC434" t="s">
        <v>497</v>
      </c>
      <c r="AD434">
        <v>2382</v>
      </c>
      <c r="AE434">
        <v>0</v>
      </c>
      <c r="AF434">
        <v>0</v>
      </c>
      <c r="AG434">
        <v>0</v>
      </c>
      <c r="AH434">
        <f t="shared" si="86"/>
        <v>1</v>
      </c>
      <c r="AI434">
        <f t="shared" si="87"/>
        <v>0</v>
      </c>
      <c r="AJ434">
        <f t="shared" si="88"/>
        <v>0</v>
      </c>
      <c r="AK434">
        <f t="shared" si="89"/>
        <v>1</v>
      </c>
      <c r="AL434">
        <f t="shared" si="90"/>
        <v>0</v>
      </c>
      <c r="AM434">
        <f t="shared" si="91"/>
        <v>0</v>
      </c>
      <c r="AN434">
        <f t="shared" si="92"/>
        <v>1</v>
      </c>
      <c r="AO434">
        <f>SUM(AN$2:$AN434)</f>
        <v>433</v>
      </c>
    </row>
    <row r="435" spans="1:41" customFormat="1" x14ac:dyDescent="0.35">
      <c r="A435" t="s">
        <v>166</v>
      </c>
      <c r="B435" t="s">
        <v>1115</v>
      </c>
      <c r="C435">
        <v>9600</v>
      </c>
      <c r="D435" t="s">
        <v>1116</v>
      </c>
      <c r="E435">
        <v>469</v>
      </c>
      <c r="F435">
        <v>761</v>
      </c>
      <c r="G435">
        <v>0</v>
      </c>
      <c r="H435">
        <v>0</v>
      </c>
      <c r="I435">
        <v>2354</v>
      </c>
      <c r="J435">
        <v>0</v>
      </c>
      <c r="K435">
        <v>2093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 t="s">
        <v>159</v>
      </c>
      <c r="X435">
        <v>6</v>
      </c>
      <c r="Y435" t="s">
        <v>1336</v>
      </c>
      <c r="Z435" t="s">
        <v>2096</v>
      </c>
      <c r="AA435" t="s">
        <v>149</v>
      </c>
      <c r="AB435" t="s">
        <v>152</v>
      </c>
      <c r="AC435" t="s">
        <v>497</v>
      </c>
      <c r="AD435">
        <v>2420</v>
      </c>
      <c r="AE435">
        <v>0</v>
      </c>
      <c r="AF435">
        <v>0</v>
      </c>
      <c r="AG435">
        <v>0</v>
      </c>
      <c r="AH435">
        <f t="shared" si="86"/>
        <v>0</v>
      </c>
      <c r="AI435">
        <f t="shared" si="87"/>
        <v>0</v>
      </c>
      <c r="AJ435">
        <f t="shared" si="88"/>
        <v>1</v>
      </c>
      <c r="AK435">
        <f t="shared" si="89"/>
        <v>0</v>
      </c>
      <c r="AL435">
        <f t="shared" si="90"/>
        <v>1</v>
      </c>
      <c r="AM435">
        <f t="shared" si="91"/>
        <v>0</v>
      </c>
      <c r="AN435">
        <f t="shared" si="92"/>
        <v>1</v>
      </c>
      <c r="AO435">
        <f>SUM(AN$2:$AN435)</f>
        <v>434</v>
      </c>
    </row>
    <row r="436" spans="1:41" customFormat="1" x14ac:dyDescent="0.35">
      <c r="A436" t="s">
        <v>166</v>
      </c>
      <c r="B436" t="s">
        <v>1364</v>
      </c>
      <c r="C436">
        <v>9600</v>
      </c>
      <c r="D436" t="s">
        <v>1365</v>
      </c>
      <c r="E436">
        <v>469</v>
      </c>
      <c r="F436">
        <v>761</v>
      </c>
      <c r="G436">
        <v>2354</v>
      </c>
      <c r="H436">
        <v>0</v>
      </c>
      <c r="I436">
        <v>0</v>
      </c>
      <c r="J436">
        <v>0</v>
      </c>
      <c r="K436">
        <v>2093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 t="s">
        <v>157</v>
      </c>
      <c r="X436">
        <v>6</v>
      </c>
      <c r="Y436" t="s">
        <v>443</v>
      </c>
      <c r="Z436" t="s">
        <v>2097</v>
      </c>
      <c r="AA436" t="s">
        <v>148</v>
      </c>
      <c r="AB436" t="s">
        <v>153</v>
      </c>
      <c r="AC436" t="s">
        <v>497</v>
      </c>
      <c r="AD436">
        <v>2420</v>
      </c>
      <c r="AE436">
        <v>0</v>
      </c>
      <c r="AF436">
        <v>0</v>
      </c>
      <c r="AG436">
        <v>0</v>
      </c>
      <c r="AH436">
        <f t="shared" si="86"/>
        <v>1</v>
      </c>
      <c r="AI436">
        <f t="shared" si="87"/>
        <v>0</v>
      </c>
      <c r="AJ436">
        <f t="shared" si="88"/>
        <v>0</v>
      </c>
      <c r="AK436">
        <f t="shared" si="89"/>
        <v>0</v>
      </c>
      <c r="AL436">
        <f t="shared" si="90"/>
        <v>1</v>
      </c>
      <c r="AM436">
        <f t="shared" si="91"/>
        <v>0</v>
      </c>
      <c r="AN436">
        <f t="shared" si="92"/>
        <v>1</v>
      </c>
      <c r="AO436">
        <f>SUM(AN$2:$AN436)</f>
        <v>435</v>
      </c>
    </row>
    <row r="437" spans="1:41" customFormat="1" x14ac:dyDescent="0.35">
      <c r="A437" t="s">
        <v>166</v>
      </c>
      <c r="B437" t="s">
        <v>1102</v>
      </c>
      <c r="C437">
        <v>9700</v>
      </c>
      <c r="D437" t="s">
        <v>1117</v>
      </c>
      <c r="E437">
        <v>0</v>
      </c>
      <c r="F437">
        <v>1716</v>
      </c>
      <c r="G437">
        <v>0</v>
      </c>
      <c r="H437">
        <v>0</v>
      </c>
      <c r="I437">
        <v>2247</v>
      </c>
      <c r="J437">
        <v>1718</v>
      </c>
      <c r="K437">
        <v>1322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 t="s">
        <v>354</v>
      </c>
      <c r="X437">
        <v>3</v>
      </c>
      <c r="Y437" t="s">
        <v>434</v>
      </c>
      <c r="Z437" t="s">
        <v>2098</v>
      </c>
      <c r="AA437" t="s">
        <v>150</v>
      </c>
      <c r="AB437" t="s">
        <v>153</v>
      </c>
      <c r="AC437" t="s">
        <v>497</v>
      </c>
      <c r="AD437">
        <v>0</v>
      </c>
      <c r="AE437">
        <v>0</v>
      </c>
      <c r="AF437">
        <v>0</v>
      </c>
      <c r="AG437">
        <v>0</v>
      </c>
      <c r="AH437">
        <f t="shared" si="86"/>
        <v>0</v>
      </c>
      <c r="AI437">
        <f t="shared" si="87"/>
        <v>0</v>
      </c>
      <c r="AJ437">
        <f t="shared" si="88"/>
        <v>1</v>
      </c>
      <c r="AK437">
        <f t="shared" si="89"/>
        <v>1</v>
      </c>
      <c r="AL437">
        <f t="shared" si="90"/>
        <v>1</v>
      </c>
      <c r="AM437">
        <f t="shared" si="91"/>
        <v>0</v>
      </c>
      <c r="AN437">
        <f t="shared" si="92"/>
        <v>1</v>
      </c>
      <c r="AO437">
        <f>SUM(AN$2:$AN437)</f>
        <v>436</v>
      </c>
    </row>
    <row r="438" spans="1:41" customFormat="1" x14ac:dyDescent="0.35">
      <c r="A438" t="s">
        <v>166</v>
      </c>
      <c r="B438" t="s">
        <v>1102</v>
      </c>
      <c r="C438">
        <v>9700</v>
      </c>
      <c r="D438" t="s">
        <v>1118</v>
      </c>
      <c r="E438">
        <v>0</v>
      </c>
      <c r="F438">
        <v>1716</v>
      </c>
      <c r="G438">
        <v>2643</v>
      </c>
      <c r="H438">
        <v>0</v>
      </c>
      <c r="I438">
        <v>2643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 t="s">
        <v>420</v>
      </c>
      <c r="X438">
        <v>3</v>
      </c>
      <c r="Y438" t="s">
        <v>434</v>
      </c>
      <c r="Z438" t="s">
        <v>2099</v>
      </c>
      <c r="AA438" t="s">
        <v>358</v>
      </c>
      <c r="AB438" t="s">
        <v>149</v>
      </c>
      <c r="AC438" t="s">
        <v>497</v>
      </c>
      <c r="AD438">
        <v>0</v>
      </c>
      <c r="AE438">
        <v>0</v>
      </c>
      <c r="AF438">
        <v>0</v>
      </c>
      <c r="AG438">
        <v>0</v>
      </c>
      <c r="AH438">
        <f t="shared" si="86"/>
        <v>1</v>
      </c>
      <c r="AI438">
        <f t="shared" si="87"/>
        <v>0</v>
      </c>
      <c r="AJ438">
        <f t="shared" si="88"/>
        <v>1</v>
      </c>
      <c r="AK438">
        <f t="shared" si="89"/>
        <v>0</v>
      </c>
      <c r="AL438">
        <f t="shared" si="90"/>
        <v>0</v>
      </c>
      <c r="AM438">
        <f t="shared" si="91"/>
        <v>0</v>
      </c>
      <c r="AN438">
        <f t="shared" si="92"/>
        <v>1</v>
      </c>
      <c r="AO438">
        <f>SUM(AN$2:$AN438)</f>
        <v>437</v>
      </c>
    </row>
    <row r="439" spans="1:41" x14ac:dyDescent="0.35">
      <c r="A439" t="s">
        <v>166</v>
      </c>
      <c r="B439" t="s">
        <v>1102</v>
      </c>
      <c r="C439">
        <v>9700</v>
      </c>
      <c r="D439" t="s">
        <v>1119</v>
      </c>
      <c r="E439">
        <v>0</v>
      </c>
      <c r="F439">
        <v>2012</v>
      </c>
      <c r="G439">
        <v>4560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t="s">
        <v>331</v>
      </c>
      <c r="X439">
        <v>3</v>
      </c>
      <c r="Y439" t="s">
        <v>434</v>
      </c>
      <c r="Z439" t="s">
        <v>2100</v>
      </c>
      <c r="AA439" t="s">
        <v>151</v>
      </c>
      <c r="AB439" t="s">
        <v>150</v>
      </c>
      <c r="AC439" t="s">
        <v>497</v>
      </c>
      <c r="AD439">
        <v>0</v>
      </c>
      <c r="AE439">
        <v>0</v>
      </c>
      <c r="AF439">
        <v>0</v>
      </c>
      <c r="AG439">
        <v>0</v>
      </c>
      <c r="AH439">
        <f t="shared" si="86"/>
        <v>1</v>
      </c>
      <c r="AI439">
        <f t="shared" si="87"/>
        <v>0</v>
      </c>
      <c r="AJ439">
        <f t="shared" si="88"/>
        <v>0</v>
      </c>
      <c r="AK439">
        <f t="shared" si="89"/>
        <v>0</v>
      </c>
      <c r="AL439">
        <f t="shared" si="90"/>
        <v>0</v>
      </c>
      <c r="AM439">
        <f t="shared" si="91"/>
        <v>0</v>
      </c>
      <c r="AN439">
        <f t="shared" si="92"/>
        <v>1</v>
      </c>
      <c r="AO439">
        <f>SUM(AN$2:$AN439)</f>
        <v>438</v>
      </c>
    </row>
    <row r="440" spans="1:41" x14ac:dyDescent="0.35">
      <c r="A440" t="s">
        <v>166</v>
      </c>
      <c r="B440" t="s">
        <v>1106</v>
      </c>
      <c r="C440">
        <v>10000</v>
      </c>
      <c r="D440" t="s">
        <v>2101</v>
      </c>
      <c r="E440">
        <v>489</v>
      </c>
      <c r="F440">
        <v>793</v>
      </c>
      <c r="G440">
        <v>0</v>
      </c>
      <c r="H440">
        <v>0</v>
      </c>
      <c r="I440">
        <v>2453</v>
      </c>
      <c r="J440">
        <v>2180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 t="s">
        <v>348</v>
      </c>
      <c r="X440">
        <v>6</v>
      </c>
      <c r="Y440" t="s">
        <v>435</v>
      </c>
      <c r="Z440" t="s">
        <v>2102</v>
      </c>
      <c r="AA440" t="s">
        <v>358</v>
      </c>
      <c r="AB440" t="s">
        <v>150</v>
      </c>
      <c r="AC440" t="s">
        <v>497</v>
      </c>
      <c r="AD440">
        <v>2521</v>
      </c>
      <c r="AE440">
        <v>0</v>
      </c>
      <c r="AF440">
        <v>0</v>
      </c>
      <c r="AG440">
        <v>0</v>
      </c>
      <c r="AH440">
        <f t="shared" si="86"/>
        <v>0</v>
      </c>
      <c r="AI440">
        <f t="shared" si="87"/>
        <v>0</v>
      </c>
      <c r="AJ440">
        <f t="shared" si="88"/>
        <v>1</v>
      </c>
      <c r="AK440">
        <f t="shared" si="89"/>
        <v>1</v>
      </c>
      <c r="AL440">
        <f t="shared" si="90"/>
        <v>0</v>
      </c>
      <c r="AM440">
        <f t="shared" si="91"/>
        <v>0</v>
      </c>
      <c r="AN440">
        <f t="shared" si="92"/>
        <v>1</v>
      </c>
      <c r="AO440">
        <f>SUM(AN$2:$AN440)</f>
        <v>439</v>
      </c>
    </row>
    <row r="441" spans="1:41" x14ac:dyDescent="0.35">
      <c r="A441" t="s">
        <v>166</v>
      </c>
      <c r="B441" t="s">
        <v>1107</v>
      </c>
      <c r="C441">
        <v>10000</v>
      </c>
      <c r="D441" t="s">
        <v>2103</v>
      </c>
      <c r="E441">
        <v>489</v>
      </c>
      <c r="F441">
        <v>793</v>
      </c>
      <c r="G441">
        <v>0</v>
      </c>
      <c r="H441">
        <v>0</v>
      </c>
      <c r="I441">
        <v>2453</v>
      </c>
      <c r="J441">
        <v>2180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 t="s">
        <v>348</v>
      </c>
      <c r="X441">
        <v>6</v>
      </c>
      <c r="Y441" t="s">
        <v>435</v>
      </c>
      <c r="Z441" t="s">
        <v>2104</v>
      </c>
      <c r="AA441" t="s">
        <v>358</v>
      </c>
      <c r="AB441" t="s">
        <v>150</v>
      </c>
      <c r="AC441" t="s">
        <v>497</v>
      </c>
      <c r="AD441">
        <v>2521</v>
      </c>
      <c r="AE441">
        <v>0</v>
      </c>
      <c r="AF441">
        <v>0</v>
      </c>
      <c r="AG441">
        <v>0</v>
      </c>
      <c r="AH441">
        <f t="shared" si="86"/>
        <v>0</v>
      </c>
      <c r="AI441">
        <f t="shared" si="87"/>
        <v>0</v>
      </c>
      <c r="AJ441">
        <f t="shared" si="88"/>
        <v>1</v>
      </c>
      <c r="AK441">
        <f t="shared" si="89"/>
        <v>1</v>
      </c>
      <c r="AL441">
        <f t="shared" si="90"/>
        <v>0</v>
      </c>
      <c r="AM441">
        <f t="shared" si="91"/>
        <v>0</v>
      </c>
      <c r="AN441">
        <f t="shared" si="92"/>
        <v>1</v>
      </c>
      <c r="AO441">
        <f>SUM(AN$2:$AN441)</f>
        <v>440</v>
      </c>
    </row>
    <row r="442" spans="1:41" x14ac:dyDescent="0.35">
      <c r="A442" t="s">
        <v>166</v>
      </c>
      <c r="B442" t="s">
        <v>1108</v>
      </c>
      <c r="C442">
        <v>10000</v>
      </c>
      <c r="D442" t="s">
        <v>2105</v>
      </c>
      <c r="E442">
        <v>489</v>
      </c>
      <c r="F442">
        <v>793</v>
      </c>
      <c r="G442">
        <v>0</v>
      </c>
      <c r="H442">
        <v>0</v>
      </c>
      <c r="I442">
        <v>0</v>
      </c>
      <c r="J442">
        <v>2180</v>
      </c>
      <c r="K442">
        <v>0</v>
      </c>
      <c r="L442">
        <v>2453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349</v>
      </c>
      <c r="X442">
        <v>6</v>
      </c>
      <c r="Y442" t="s">
        <v>435</v>
      </c>
      <c r="Z442" t="s">
        <v>2106</v>
      </c>
      <c r="AA442" t="s">
        <v>149</v>
      </c>
      <c r="AB442" t="s">
        <v>148</v>
      </c>
      <c r="AC442" t="s">
        <v>497</v>
      </c>
      <c r="AD442">
        <v>2521</v>
      </c>
      <c r="AE442">
        <v>0</v>
      </c>
      <c r="AF442">
        <v>0</v>
      </c>
      <c r="AG442">
        <v>0</v>
      </c>
      <c r="AH442">
        <f t="shared" si="86"/>
        <v>0</v>
      </c>
      <c r="AI442">
        <f t="shared" si="87"/>
        <v>0</v>
      </c>
      <c r="AJ442">
        <f t="shared" si="88"/>
        <v>0</v>
      </c>
      <c r="AK442">
        <f t="shared" si="89"/>
        <v>1</v>
      </c>
      <c r="AL442">
        <f t="shared" si="90"/>
        <v>0</v>
      </c>
      <c r="AM442">
        <f t="shared" si="91"/>
        <v>1</v>
      </c>
      <c r="AN442">
        <f t="shared" si="92"/>
        <v>1</v>
      </c>
      <c r="AO442">
        <f>SUM(AN$2:$AN442)</f>
        <v>441</v>
      </c>
    </row>
    <row r="443" spans="1:41" x14ac:dyDescent="0.35">
      <c r="A443" t="s">
        <v>166</v>
      </c>
      <c r="B443" t="s">
        <v>1109</v>
      </c>
      <c r="C443">
        <v>10000</v>
      </c>
      <c r="D443" t="s">
        <v>2107</v>
      </c>
      <c r="E443">
        <v>489</v>
      </c>
      <c r="F443">
        <v>793</v>
      </c>
      <c r="G443">
        <v>0</v>
      </c>
      <c r="H443">
        <v>0</v>
      </c>
      <c r="I443">
        <v>0</v>
      </c>
      <c r="J443">
        <v>0</v>
      </c>
      <c r="K443">
        <v>2180</v>
      </c>
      <c r="L443">
        <v>2453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 t="s">
        <v>158</v>
      </c>
      <c r="X443">
        <v>6</v>
      </c>
      <c r="Y443" t="s">
        <v>435</v>
      </c>
      <c r="Z443" t="s">
        <v>2108</v>
      </c>
      <c r="AA443" t="s">
        <v>152</v>
      </c>
      <c r="AB443" t="s">
        <v>153</v>
      </c>
      <c r="AC443" t="s">
        <v>497</v>
      </c>
      <c r="AD443">
        <v>2521</v>
      </c>
      <c r="AE443">
        <v>0</v>
      </c>
      <c r="AF443">
        <v>0</v>
      </c>
      <c r="AG443">
        <v>0</v>
      </c>
      <c r="AH443">
        <f t="shared" si="86"/>
        <v>0</v>
      </c>
      <c r="AI443">
        <f t="shared" si="87"/>
        <v>0</v>
      </c>
      <c r="AJ443">
        <f t="shared" si="88"/>
        <v>0</v>
      </c>
      <c r="AK443">
        <f t="shared" si="89"/>
        <v>0</v>
      </c>
      <c r="AL443">
        <f t="shared" si="90"/>
        <v>1</v>
      </c>
      <c r="AM443">
        <f t="shared" si="91"/>
        <v>1</v>
      </c>
      <c r="AN443">
        <f t="shared" si="92"/>
        <v>1</v>
      </c>
      <c r="AO443">
        <f>SUM(AN$2:$AN443)</f>
        <v>442</v>
      </c>
    </row>
    <row r="444" spans="1:41" x14ac:dyDescent="0.35">
      <c r="A444" t="s">
        <v>166</v>
      </c>
      <c r="B444" t="s">
        <v>1110</v>
      </c>
      <c r="C444">
        <v>10000</v>
      </c>
      <c r="D444" t="s">
        <v>2109</v>
      </c>
      <c r="E444">
        <v>489</v>
      </c>
      <c r="F444">
        <v>793</v>
      </c>
      <c r="G444">
        <v>0</v>
      </c>
      <c r="H444">
        <v>0</v>
      </c>
      <c r="I444">
        <v>0</v>
      </c>
      <c r="J444">
        <v>0</v>
      </c>
      <c r="K444">
        <v>2180</v>
      </c>
      <c r="L444">
        <v>2453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 t="s">
        <v>158</v>
      </c>
      <c r="X444">
        <v>6</v>
      </c>
      <c r="Y444" t="s">
        <v>435</v>
      </c>
      <c r="Z444" t="s">
        <v>2110</v>
      </c>
      <c r="AA444" t="s">
        <v>152</v>
      </c>
      <c r="AB444" t="s">
        <v>153</v>
      </c>
      <c r="AC444" t="s">
        <v>497</v>
      </c>
      <c r="AD444">
        <v>2521</v>
      </c>
      <c r="AE444">
        <v>0</v>
      </c>
      <c r="AF444">
        <v>0</v>
      </c>
      <c r="AG444">
        <v>0</v>
      </c>
      <c r="AH444">
        <f t="shared" si="86"/>
        <v>0</v>
      </c>
      <c r="AI444">
        <f t="shared" si="87"/>
        <v>0</v>
      </c>
      <c r="AJ444">
        <f t="shared" si="88"/>
        <v>0</v>
      </c>
      <c r="AK444">
        <f t="shared" si="89"/>
        <v>0</v>
      </c>
      <c r="AL444">
        <f t="shared" si="90"/>
        <v>1</v>
      </c>
      <c r="AM444">
        <f t="shared" si="91"/>
        <v>1</v>
      </c>
      <c r="AN444">
        <f t="shared" si="92"/>
        <v>1</v>
      </c>
      <c r="AO444">
        <f>SUM(AN$2:$AN444)</f>
        <v>443</v>
      </c>
    </row>
    <row r="445" spans="1:41" x14ac:dyDescent="0.35">
      <c r="A445" t="s">
        <v>166</v>
      </c>
      <c r="B445" t="s">
        <v>1120</v>
      </c>
      <c r="C445">
        <v>10000</v>
      </c>
      <c r="D445" t="s">
        <v>1121</v>
      </c>
      <c r="E445">
        <v>489</v>
      </c>
      <c r="F445">
        <v>793</v>
      </c>
      <c r="G445">
        <v>0</v>
      </c>
      <c r="H445">
        <v>0</v>
      </c>
      <c r="I445">
        <v>2453</v>
      </c>
      <c r="J445">
        <v>0</v>
      </c>
      <c r="K445">
        <v>2180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 t="s">
        <v>159</v>
      </c>
      <c r="X445">
        <v>6</v>
      </c>
      <c r="Y445" t="s">
        <v>440</v>
      </c>
      <c r="Z445" t="s">
        <v>2111</v>
      </c>
      <c r="AA445" t="s">
        <v>149</v>
      </c>
      <c r="AB445" t="s">
        <v>152</v>
      </c>
      <c r="AC445" t="s">
        <v>497</v>
      </c>
      <c r="AD445">
        <v>2521</v>
      </c>
      <c r="AE445">
        <v>0</v>
      </c>
      <c r="AF445">
        <v>0</v>
      </c>
      <c r="AG445">
        <v>0</v>
      </c>
      <c r="AH445">
        <f t="shared" si="86"/>
        <v>0</v>
      </c>
      <c r="AI445">
        <f t="shared" si="87"/>
        <v>0</v>
      </c>
      <c r="AJ445">
        <f t="shared" si="88"/>
        <v>1</v>
      </c>
      <c r="AK445">
        <f t="shared" si="89"/>
        <v>0</v>
      </c>
      <c r="AL445">
        <f t="shared" si="90"/>
        <v>1</v>
      </c>
      <c r="AM445">
        <f t="shared" si="91"/>
        <v>0</v>
      </c>
      <c r="AN445">
        <f t="shared" si="92"/>
        <v>1</v>
      </c>
      <c r="AO445">
        <f>SUM(AN$2:$AN445)</f>
        <v>444</v>
      </c>
    </row>
    <row r="446" spans="1:41" x14ac:dyDescent="0.35">
      <c r="A446" t="s">
        <v>166</v>
      </c>
      <c r="B446" t="s">
        <v>1111</v>
      </c>
      <c r="C446">
        <v>10000</v>
      </c>
      <c r="D446" t="s">
        <v>2112</v>
      </c>
      <c r="E446">
        <v>489</v>
      </c>
      <c r="F446">
        <v>793</v>
      </c>
      <c r="G446">
        <v>2453</v>
      </c>
      <c r="H446">
        <v>0</v>
      </c>
      <c r="I446">
        <v>0</v>
      </c>
      <c r="J446">
        <v>2180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 t="s">
        <v>350</v>
      </c>
      <c r="X446">
        <v>6</v>
      </c>
      <c r="Y446" t="s">
        <v>435</v>
      </c>
      <c r="Z446" t="s">
        <v>2113</v>
      </c>
      <c r="AA446" t="s">
        <v>358</v>
      </c>
      <c r="AB446" t="s">
        <v>150</v>
      </c>
      <c r="AC446" t="s">
        <v>497</v>
      </c>
      <c r="AD446">
        <v>2521</v>
      </c>
      <c r="AE446">
        <v>0</v>
      </c>
      <c r="AF446">
        <v>0</v>
      </c>
      <c r="AG446">
        <v>0</v>
      </c>
      <c r="AH446">
        <f t="shared" si="86"/>
        <v>1</v>
      </c>
      <c r="AI446">
        <f t="shared" si="87"/>
        <v>0</v>
      </c>
      <c r="AJ446">
        <f t="shared" si="88"/>
        <v>0</v>
      </c>
      <c r="AK446">
        <f t="shared" si="89"/>
        <v>1</v>
      </c>
      <c r="AL446">
        <f t="shared" si="90"/>
        <v>0</v>
      </c>
      <c r="AM446">
        <f t="shared" si="91"/>
        <v>0</v>
      </c>
      <c r="AN446">
        <f t="shared" si="92"/>
        <v>1</v>
      </c>
      <c r="AO446">
        <f>SUM(AN$2:$AN446)</f>
        <v>445</v>
      </c>
    </row>
    <row r="447" spans="1:41" x14ac:dyDescent="0.35">
      <c r="A447" t="s">
        <v>166</v>
      </c>
      <c r="B447" t="s">
        <v>1112</v>
      </c>
      <c r="C447">
        <v>10000</v>
      </c>
      <c r="D447" t="s">
        <v>2114</v>
      </c>
      <c r="E447">
        <v>489</v>
      </c>
      <c r="F447">
        <v>793</v>
      </c>
      <c r="G447">
        <v>2453</v>
      </c>
      <c r="H447">
        <v>0</v>
      </c>
      <c r="I447">
        <v>0</v>
      </c>
      <c r="J447">
        <v>0</v>
      </c>
      <c r="K447">
        <v>2180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 t="s">
        <v>157</v>
      </c>
      <c r="X447">
        <v>6</v>
      </c>
      <c r="Y447" t="s">
        <v>435</v>
      </c>
      <c r="Z447" t="s">
        <v>2115</v>
      </c>
      <c r="AA447" t="s">
        <v>148</v>
      </c>
      <c r="AB447" t="s">
        <v>153</v>
      </c>
      <c r="AC447" t="s">
        <v>497</v>
      </c>
      <c r="AD447">
        <v>2521</v>
      </c>
      <c r="AE447">
        <v>0</v>
      </c>
      <c r="AF447">
        <v>0</v>
      </c>
      <c r="AG447">
        <v>0</v>
      </c>
      <c r="AH447">
        <f t="shared" si="86"/>
        <v>1</v>
      </c>
      <c r="AI447">
        <f t="shared" si="87"/>
        <v>0</v>
      </c>
      <c r="AJ447">
        <f t="shared" si="88"/>
        <v>0</v>
      </c>
      <c r="AK447">
        <f t="shared" si="89"/>
        <v>0</v>
      </c>
      <c r="AL447">
        <f t="shared" si="90"/>
        <v>1</v>
      </c>
      <c r="AM447">
        <f t="shared" si="91"/>
        <v>0</v>
      </c>
      <c r="AN447">
        <f t="shared" si="92"/>
        <v>1</v>
      </c>
      <c r="AO447">
        <f>SUM(AN$2:$AN447)</f>
        <v>446</v>
      </c>
    </row>
    <row r="448" spans="1:41" x14ac:dyDescent="0.35">
      <c r="A448" t="s">
        <v>166</v>
      </c>
      <c r="B448" t="s">
        <v>1122</v>
      </c>
      <c r="C448">
        <v>10000</v>
      </c>
      <c r="D448" t="s">
        <v>1123</v>
      </c>
      <c r="E448">
        <v>489</v>
      </c>
      <c r="F448">
        <v>793</v>
      </c>
      <c r="G448">
        <v>2453</v>
      </c>
      <c r="H448">
        <v>0</v>
      </c>
      <c r="I448">
        <v>0</v>
      </c>
      <c r="J448">
        <v>0</v>
      </c>
      <c r="K448">
        <v>2180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 t="s">
        <v>157</v>
      </c>
      <c r="X448">
        <v>6</v>
      </c>
      <c r="Y448" t="s">
        <v>443</v>
      </c>
      <c r="Z448" t="s">
        <v>2116</v>
      </c>
      <c r="AA448" t="s">
        <v>148</v>
      </c>
      <c r="AB448" t="s">
        <v>153</v>
      </c>
      <c r="AC448" t="s">
        <v>497</v>
      </c>
      <c r="AD448">
        <v>2521</v>
      </c>
      <c r="AE448">
        <v>0</v>
      </c>
      <c r="AF448">
        <v>0</v>
      </c>
      <c r="AG448">
        <v>0</v>
      </c>
      <c r="AH448">
        <f t="shared" si="86"/>
        <v>1</v>
      </c>
      <c r="AI448">
        <f t="shared" si="87"/>
        <v>0</v>
      </c>
      <c r="AJ448">
        <f t="shared" si="88"/>
        <v>0</v>
      </c>
      <c r="AK448">
        <f t="shared" si="89"/>
        <v>0</v>
      </c>
      <c r="AL448">
        <f t="shared" si="90"/>
        <v>1</v>
      </c>
      <c r="AM448">
        <f t="shared" si="91"/>
        <v>0</v>
      </c>
      <c r="AN448">
        <f t="shared" si="92"/>
        <v>1</v>
      </c>
      <c r="AO448">
        <f>SUM(AN$2:$AN448)</f>
        <v>447</v>
      </c>
    </row>
    <row r="449" spans="1:41" x14ac:dyDescent="0.35">
      <c r="A449" t="s">
        <v>166</v>
      </c>
      <c r="B449" t="s">
        <v>1366</v>
      </c>
      <c r="C449">
        <v>10000</v>
      </c>
      <c r="D449" t="s">
        <v>1367</v>
      </c>
      <c r="E449">
        <v>489</v>
      </c>
      <c r="F449">
        <v>793</v>
      </c>
      <c r="G449">
        <v>2453</v>
      </c>
      <c r="H449">
        <v>0</v>
      </c>
      <c r="I449">
        <v>0</v>
      </c>
      <c r="J449">
        <v>0</v>
      </c>
      <c r="K449">
        <v>2180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 t="s">
        <v>157</v>
      </c>
      <c r="X449">
        <v>6</v>
      </c>
      <c r="Y449" t="s">
        <v>439</v>
      </c>
      <c r="Z449" t="s">
        <v>2117</v>
      </c>
      <c r="AA449" t="s">
        <v>148</v>
      </c>
      <c r="AB449" t="s">
        <v>153</v>
      </c>
      <c r="AC449" t="s">
        <v>497</v>
      </c>
      <c r="AD449">
        <v>2521</v>
      </c>
      <c r="AE449">
        <v>0</v>
      </c>
      <c r="AF449">
        <v>0</v>
      </c>
      <c r="AG449">
        <v>0</v>
      </c>
      <c r="AH449">
        <f t="shared" si="86"/>
        <v>1</v>
      </c>
      <c r="AI449">
        <f t="shared" si="87"/>
        <v>0</v>
      </c>
      <c r="AJ449">
        <f t="shared" si="88"/>
        <v>0</v>
      </c>
      <c r="AK449">
        <f t="shared" si="89"/>
        <v>0</v>
      </c>
      <c r="AL449">
        <f t="shared" si="90"/>
        <v>1</v>
      </c>
      <c r="AM449">
        <f t="shared" si="91"/>
        <v>0</v>
      </c>
      <c r="AN449">
        <f t="shared" si="92"/>
        <v>1</v>
      </c>
      <c r="AO449">
        <f>SUM(AN$2:$AN449)</f>
        <v>448</v>
      </c>
    </row>
    <row r="450" spans="1:41" x14ac:dyDescent="0.35">
      <c r="A450" t="s">
        <v>166</v>
      </c>
      <c r="B450" t="s">
        <v>1102</v>
      </c>
      <c r="C450">
        <v>10000</v>
      </c>
      <c r="D450" t="s">
        <v>1124</v>
      </c>
      <c r="E450">
        <v>0</v>
      </c>
      <c r="F450">
        <v>2074</v>
      </c>
      <c r="G450">
        <v>0</v>
      </c>
      <c r="H450">
        <v>0</v>
      </c>
      <c r="I450">
        <v>0</v>
      </c>
      <c r="J450">
        <v>0</v>
      </c>
      <c r="K450">
        <v>4701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1</v>
      </c>
      <c r="V450">
        <v>0</v>
      </c>
      <c r="W450" t="s">
        <v>327</v>
      </c>
      <c r="X450">
        <v>3</v>
      </c>
      <c r="Y450" t="s">
        <v>434</v>
      </c>
      <c r="Z450" t="s">
        <v>2118</v>
      </c>
      <c r="AA450" t="s">
        <v>152</v>
      </c>
      <c r="AB450" t="s">
        <v>153</v>
      </c>
      <c r="AC450" t="s">
        <v>497</v>
      </c>
      <c r="AD450">
        <v>0</v>
      </c>
      <c r="AE450">
        <v>0</v>
      </c>
      <c r="AF450">
        <v>0</v>
      </c>
      <c r="AG450">
        <v>0</v>
      </c>
      <c r="AH450">
        <f t="shared" si="86"/>
        <v>0</v>
      </c>
      <c r="AI450">
        <f t="shared" si="87"/>
        <v>0</v>
      </c>
      <c r="AJ450">
        <f t="shared" si="88"/>
        <v>0</v>
      </c>
      <c r="AK450">
        <f t="shared" si="89"/>
        <v>0</v>
      </c>
      <c r="AL450">
        <f t="shared" si="90"/>
        <v>1</v>
      </c>
      <c r="AM450">
        <f t="shared" si="91"/>
        <v>0</v>
      </c>
      <c r="AN450">
        <f t="shared" si="92"/>
        <v>1</v>
      </c>
      <c r="AO450">
        <f>SUM(AN$2:$AN450)</f>
        <v>449</v>
      </c>
    </row>
    <row r="451" spans="1:41" x14ac:dyDescent="0.35">
      <c r="A451" t="s">
        <v>166</v>
      </c>
      <c r="B451" t="s">
        <v>1102</v>
      </c>
      <c r="C451">
        <v>10000</v>
      </c>
      <c r="D451" t="s">
        <v>1125</v>
      </c>
      <c r="E451">
        <v>0</v>
      </c>
      <c r="F451">
        <v>1769</v>
      </c>
      <c r="G451">
        <v>0</v>
      </c>
      <c r="H451">
        <v>0</v>
      </c>
      <c r="I451">
        <v>2725</v>
      </c>
      <c r="J451">
        <v>0</v>
      </c>
      <c r="K451">
        <v>2725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t="s">
        <v>332</v>
      </c>
      <c r="X451">
        <v>3</v>
      </c>
      <c r="Y451" t="s">
        <v>434</v>
      </c>
      <c r="Z451" t="s">
        <v>2119</v>
      </c>
      <c r="AA451" t="s">
        <v>358</v>
      </c>
      <c r="AB451" t="s">
        <v>149</v>
      </c>
      <c r="AC451" t="s">
        <v>497</v>
      </c>
      <c r="AD451">
        <v>0</v>
      </c>
      <c r="AE451">
        <v>0</v>
      </c>
      <c r="AF451">
        <v>0</v>
      </c>
      <c r="AG451">
        <v>0</v>
      </c>
      <c r="AH451">
        <f t="shared" si="86"/>
        <v>0</v>
      </c>
      <c r="AI451">
        <f t="shared" si="87"/>
        <v>0</v>
      </c>
      <c r="AJ451">
        <f t="shared" si="88"/>
        <v>1</v>
      </c>
      <c r="AK451">
        <f t="shared" si="89"/>
        <v>0</v>
      </c>
      <c r="AL451">
        <f t="shared" si="90"/>
        <v>1</v>
      </c>
      <c r="AM451">
        <f t="shared" si="91"/>
        <v>0</v>
      </c>
      <c r="AN451">
        <f t="shared" si="92"/>
        <v>1</v>
      </c>
      <c r="AO451">
        <f>SUM(AN$2:$AN451)</f>
        <v>450</v>
      </c>
    </row>
    <row r="452" spans="1:41" x14ac:dyDescent="0.35">
      <c r="A452" t="s">
        <v>166</v>
      </c>
      <c r="B452" t="s">
        <v>1102</v>
      </c>
      <c r="C452">
        <v>10000</v>
      </c>
      <c r="D452" t="s">
        <v>1126</v>
      </c>
      <c r="E452">
        <v>0</v>
      </c>
      <c r="F452">
        <v>1769</v>
      </c>
      <c r="G452">
        <v>2589</v>
      </c>
      <c r="H452">
        <v>0</v>
      </c>
      <c r="I452">
        <v>0</v>
      </c>
      <c r="J452">
        <v>1363</v>
      </c>
      <c r="K452">
        <v>1499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 t="s">
        <v>423</v>
      </c>
      <c r="X452">
        <v>3</v>
      </c>
      <c r="Y452" t="s">
        <v>434</v>
      </c>
      <c r="Z452" t="s">
        <v>2120</v>
      </c>
      <c r="AA452" t="s">
        <v>152</v>
      </c>
      <c r="AB452" t="s">
        <v>153</v>
      </c>
      <c r="AC452" t="s">
        <v>497</v>
      </c>
      <c r="AD452">
        <v>0</v>
      </c>
      <c r="AE452">
        <v>0</v>
      </c>
      <c r="AF452">
        <v>0</v>
      </c>
      <c r="AG452">
        <v>0</v>
      </c>
      <c r="AH452">
        <f t="shared" si="86"/>
        <v>1</v>
      </c>
      <c r="AI452">
        <f t="shared" si="87"/>
        <v>0</v>
      </c>
      <c r="AJ452">
        <f t="shared" si="88"/>
        <v>0</v>
      </c>
      <c r="AK452">
        <f t="shared" si="89"/>
        <v>1</v>
      </c>
      <c r="AL452">
        <f t="shared" si="90"/>
        <v>1</v>
      </c>
      <c r="AM452">
        <f t="shared" si="91"/>
        <v>0</v>
      </c>
      <c r="AN452">
        <f t="shared" si="92"/>
        <v>1</v>
      </c>
      <c r="AO452">
        <f>SUM(AN$2:$AN452)</f>
        <v>451</v>
      </c>
    </row>
    <row r="453" spans="1:41" x14ac:dyDescent="0.35">
      <c r="A453" t="s">
        <v>166</v>
      </c>
      <c r="B453" t="s">
        <v>1096</v>
      </c>
      <c r="C453">
        <v>10100</v>
      </c>
      <c r="D453" t="s">
        <v>2121</v>
      </c>
      <c r="E453">
        <v>494</v>
      </c>
      <c r="F453">
        <v>801</v>
      </c>
      <c r="G453">
        <v>2477</v>
      </c>
      <c r="H453">
        <v>0</v>
      </c>
      <c r="I453">
        <v>0</v>
      </c>
      <c r="J453">
        <v>2202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 t="s">
        <v>350</v>
      </c>
      <c r="X453">
        <v>6</v>
      </c>
      <c r="Y453" t="s">
        <v>438</v>
      </c>
      <c r="Z453" t="s">
        <v>2122</v>
      </c>
      <c r="AA453" t="s">
        <v>358</v>
      </c>
      <c r="AB453" t="s">
        <v>150</v>
      </c>
      <c r="AC453" t="s">
        <v>497</v>
      </c>
      <c r="AD453">
        <v>2546</v>
      </c>
      <c r="AE453">
        <v>0</v>
      </c>
      <c r="AF453">
        <v>0</v>
      </c>
      <c r="AG453">
        <v>0</v>
      </c>
      <c r="AH453">
        <f t="shared" si="86"/>
        <v>1</v>
      </c>
      <c r="AI453">
        <f t="shared" si="87"/>
        <v>0</v>
      </c>
      <c r="AJ453">
        <f t="shared" si="88"/>
        <v>0</v>
      </c>
      <c r="AK453">
        <f t="shared" si="89"/>
        <v>1</v>
      </c>
      <c r="AL453">
        <f t="shared" si="90"/>
        <v>0</v>
      </c>
      <c r="AM453">
        <f t="shared" si="91"/>
        <v>0</v>
      </c>
      <c r="AN453">
        <f t="shared" si="92"/>
        <v>1</v>
      </c>
      <c r="AO453">
        <f>SUM(AN$2:$AN453)</f>
        <v>452</v>
      </c>
    </row>
    <row r="454" spans="1:41" x14ac:dyDescent="0.35">
      <c r="A454" t="s">
        <v>166</v>
      </c>
      <c r="B454" t="s">
        <v>1127</v>
      </c>
      <c r="C454">
        <v>10150</v>
      </c>
      <c r="D454" t="s">
        <v>1128</v>
      </c>
      <c r="E454">
        <v>496</v>
      </c>
      <c r="F454">
        <v>805</v>
      </c>
      <c r="G454">
        <v>0</v>
      </c>
      <c r="H454">
        <v>0</v>
      </c>
      <c r="I454">
        <v>0</v>
      </c>
      <c r="J454">
        <v>2213</v>
      </c>
      <c r="K454">
        <v>0</v>
      </c>
      <c r="L454">
        <v>2489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349</v>
      </c>
      <c r="X454">
        <v>6</v>
      </c>
      <c r="Y454" t="s">
        <v>435</v>
      </c>
      <c r="Z454" t="s">
        <v>2123</v>
      </c>
      <c r="AA454" t="s">
        <v>149</v>
      </c>
      <c r="AB454" t="s">
        <v>148</v>
      </c>
      <c r="AC454" t="s">
        <v>497</v>
      </c>
      <c r="AD454">
        <v>2558</v>
      </c>
      <c r="AE454">
        <v>0</v>
      </c>
      <c r="AF454">
        <v>0</v>
      </c>
      <c r="AG454">
        <v>0</v>
      </c>
      <c r="AH454">
        <f t="shared" si="86"/>
        <v>0</v>
      </c>
      <c r="AI454">
        <f t="shared" si="87"/>
        <v>0</v>
      </c>
      <c r="AJ454">
        <f t="shared" si="88"/>
        <v>0</v>
      </c>
      <c r="AK454">
        <f t="shared" si="89"/>
        <v>1</v>
      </c>
      <c r="AL454">
        <f t="shared" si="90"/>
        <v>0</v>
      </c>
      <c r="AM454">
        <f t="shared" si="91"/>
        <v>1</v>
      </c>
      <c r="AN454">
        <f t="shared" si="92"/>
        <v>1</v>
      </c>
      <c r="AO454">
        <f>SUM(AN$2:$AN454)</f>
        <v>453</v>
      </c>
    </row>
    <row r="455" spans="1:41" x14ac:dyDescent="0.35">
      <c r="A455" t="s">
        <v>166</v>
      </c>
      <c r="B455" t="s">
        <v>1129</v>
      </c>
      <c r="C455">
        <v>10150</v>
      </c>
      <c r="D455" t="s">
        <v>1130</v>
      </c>
      <c r="E455">
        <v>496</v>
      </c>
      <c r="F455">
        <v>805</v>
      </c>
      <c r="G455">
        <v>2489</v>
      </c>
      <c r="H455">
        <v>0</v>
      </c>
      <c r="I455">
        <v>0</v>
      </c>
      <c r="J455">
        <v>0</v>
      </c>
      <c r="K455">
        <v>2213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 t="s">
        <v>157</v>
      </c>
      <c r="X455">
        <v>6</v>
      </c>
      <c r="Y455" t="s">
        <v>435</v>
      </c>
      <c r="Z455" t="s">
        <v>2124</v>
      </c>
      <c r="AA455" t="s">
        <v>148</v>
      </c>
      <c r="AB455" t="s">
        <v>153</v>
      </c>
      <c r="AC455" t="s">
        <v>497</v>
      </c>
      <c r="AD455">
        <v>2558</v>
      </c>
      <c r="AE455">
        <v>0</v>
      </c>
      <c r="AF455">
        <v>0</v>
      </c>
      <c r="AG455">
        <v>0</v>
      </c>
      <c r="AH455">
        <f t="shared" si="86"/>
        <v>1</v>
      </c>
      <c r="AI455">
        <f t="shared" si="87"/>
        <v>0</v>
      </c>
      <c r="AJ455">
        <f t="shared" si="88"/>
        <v>0</v>
      </c>
      <c r="AK455">
        <f t="shared" si="89"/>
        <v>0</v>
      </c>
      <c r="AL455">
        <f t="shared" si="90"/>
        <v>1</v>
      </c>
      <c r="AM455">
        <f t="shared" si="91"/>
        <v>0</v>
      </c>
      <c r="AN455">
        <f t="shared" si="92"/>
        <v>1</v>
      </c>
      <c r="AO455">
        <f>SUM(AN$2:$AN455)</f>
        <v>454</v>
      </c>
    </row>
    <row r="456" spans="1:41" x14ac:dyDescent="0.35">
      <c r="A456" t="s">
        <v>166</v>
      </c>
      <c r="B456" t="s">
        <v>1102</v>
      </c>
      <c r="C456">
        <v>10300</v>
      </c>
      <c r="D456" t="s">
        <v>1131</v>
      </c>
      <c r="E456">
        <v>0</v>
      </c>
      <c r="F456">
        <v>1822</v>
      </c>
      <c r="G456">
        <v>0</v>
      </c>
      <c r="H456">
        <v>0</v>
      </c>
      <c r="I456">
        <v>0</v>
      </c>
      <c r="J456">
        <v>1544</v>
      </c>
      <c r="K456">
        <v>4070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 t="s">
        <v>353</v>
      </c>
      <c r="X456">
        <v>3</v>
      </c>
      <c r="Y456" t="s">
        <v>434</v>
      </c>
      <c r="Z456" t="s">
        <v>2125</v>
      </c>
      <c r="AA456" t="s">
        <v>150</v>
      </c>
      <c r="AB456" t="s">
        <v>153</v>
      </c>
      <c r="AC456" t="s">
        <v>497</v>
      </c>
      <c r="AD456">
        <v>0</v>
      </c>
      <c r="AE456">
        <v>0</v>
      </c>
      <c r="AF456">
        <v>0</v>
      </c>
      <c r="AG456">
        <v>0</v>
      </c>
      <c r="AH456">
        <f t="shared" si="86"/>
        <v>0</v>
      </c>
      <c r="AI456">
        <f t="shared" si="87"/>
        <v>0</v>
      </c>
      <c r="AJ456">
        <f t="shared" si="88"/>
        <v>0</v>
      </c>
      <c r="AK456">
        <f t="shared" si="89"/>
        <v>1</v>
      </c>
      <c r="AL456">
        <f t="shared" si="90"/>
        <v>1</v>
      </c>
      <c r="AM456">
        <f t="shared" si="91"/>
        <v>0</v>
      </c>
      <c r="AN456">
        <f t="shared" si="92"/>
        <v>1</v>
      </c>
      <c r="AO456">
        <f>SUM(AN$2:$AN456)</f>
        <v>455</v>
      </c>
    </row>
    <row r="457" spans="1:41" x14ac:dyDescent="0.35">
      <c r="A457" t="s">
        <v>166</v>
      </c>
      <c r="B457" t="s">
        <v>1102</v>
      </c>
      <c r="C457">
        <v>10300</v>
      </c>
      <c r="D457" t="s">
        <v>1132</v>
      </c>
      <c r="E457">
        <v>0</v>
      </c>
      <c r="F457">
        <v>2136</v>
      </c>
      <c r="G457">
        <v>0</v>
      </c>
      <c r="H457">
        <v>0</v>
      </c>
      <c r="I457">
        <v>4842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t="s">
        <v>329</v>
      </c>
      <c r="X457">
        <v>3</v>
      </c>
      <c r="Y457" t="s">
        <v>434</v>
      </c>
      <c r="Z457" t="s">
        <v>2126</v>
      </c>
      <c r="AA457" t="s">
        <v>358</v>
      </c>
      <c r="AB457" t="s">
        <v>149</v>
      </c>
      <c r="AC457" t="s">
        <v>497</v>
      </c>
      <c r="AD457">
        <v>0</v>
      </c>
      <c r="AE457">
        <v>0</v>
      </c>
      <c r="AF457">
        <v>0</v>
      </c>
      <c r="AG457">
        <v>0</v>
      </c>
      <c r="AH457">
        <f t="shared" si="86"/>
        <v>0</v>
      </c>
      <c r="AI457">
        <f t="shared" si="87"/>
        <v>0</v>
      </c>
      <c r="AJ457">
        <f t="shared" si="88"/>
        <v>1</v>
      </c>
      <c r="AK457">
        <f t="shared" si="89"/>
        <v>0</v>
      </c>
      <c r="AL457">
        <f t="shared" si="90"/>
        <v>0</v>
      </c>
      <c r="AM457">
        <f t="shared" si="91"/>
        <v>0</v>
      </c>
      <c r="AN457">
        <f t="shared" si="92"/>
        <v>1</v>
      </c>
      <c r="AO457">
        <f>SUM(AN$2:$AN457)</f>
        <v>456</v>
      </c>
    </row>
    <row r="458" spans="1:41" x14ac:dyDescent="0.35">
      <c r="A458" t="s">
        <v>166</v>
      </c>
      <c r="B458" t="s">
        <v>1102</v>
      </c>
      <c r="C458">
        <v>10300</v>
      </c>
      <c r="D458" t="s">
        <v>2610</v>
      </c>
      <c r="E458">
        <v>0</v>
      </c>
      <c r="F458">
        <v>1822</v>
      </c>
      <c r="G458">
        <v>2666</v>
      </c>
      <c r="H458">
        <v>1403</v>
      </c>
      <c r="I458">
        <v>0</v>
      </c>
      <c r="J458">
        <v>0</v>
      </c>
      <c r="K458">
        <v>1403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 t="s">
        <v>2594</v>
      </c>
      <c r="X458">
        <v>3</v>
      </c>
      <c r="Y458" t="s">
        <v>434</v>
      </c>
      <c r="Z458" t="s">
        <v>2127</v>
      </c>
      <c r="AA458" t="s">
        <v>152</v>
      </c>
      <c r="AB458" t="s">
        <v>153</v>
      </c>
      <c r="AC458" t="s">
        <v>497</v>
      </c>
      <c r="AD458">
        <v>0</v>
      </c>
      <c r="AE458">
        <v>0</v>
      </c>
      <c r="AF458">
        <v>0</v>
      </c>
      <c r="AG458">
        <v>0</v>
      </c>
      <c r="AH458">
        <f t="shared" si="86"/>
        <v>1</v>
      </c>
      <c r="AI458">
        <f t="shared" si="87"/>
        <v>1</v>
      </c>
      <c r="AJ458">
        <f t="shared" si="88"/>
        <v>0</v>
      </c>
      <c r="AK458">
        <f t="shared" si="89"/>
        <v>0</v>
      </c>
      <c r="AL458">
        <f t="shared" si="90"/>
        <v>1</v>
      </c>
      <c r="AM458">
        <f t="shared" si="91"/>
        <v>0</v>
      </c>
      <c r="AN458">
        <f t="shared" si="92"/>
        <v>1</v>
      </c>
      <c r="AO458">
        <f>SUM(AN$2:$AN458)</f>
        <v>457</v>
      </c>
    </row>
    <row r="459" spans="1:41" customFormat="1" x14ac:dyDescent="0.35">
      <c r="A459" t="s">
        <v>166</v>
      </c>
      <c r="B459" t="s">
        <v>2505</v>
      </c>
      <c r="C459">
        <v>10400</v>
      </c>
      <c r="D459" t="s">
        <v>2506</v>
      </c>
      <c r="E459">
        <v>508</v>
      </c>
      <c r="F459">
        <v>825</v>
      </c>
      <c r="G459">
        <v>0</v>
      </c>
      <c r="H459">
        <v>0</v>
      </c>
      <c r="I459">
        <v>2551</v>
      </c>
      <c r="J459">
        <v>0</v>
      </c>
      <c r="K459">
        <v>2267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 t="s">
        <v>159</v>
      </c>
      <c r="X459">
        <v>6</v>
      </c>
      <c r="Y459" t="s">
        <v>1336</v>
      </c>
      <c r="Z459" t="s">
        <v>2128</v>
      </c>
      <c r="AA459" t="s">
        <v>149</v>
      </c>
      <c r="AB459" t="s">
        <v>152</v>
      </c>
      <c r="AC459" t="s">
        <v>497</v>
      </c>
      <c r="AD459">
        <v>2621</v>
      </c>
      <c r="AE459">
        <v>0</v>
      </c>
      <c r="AF459">
        <v>0</v>
      </c>
      <c r="AG459">
        <v>0</v>
      </c>
      <c r="AH459">
        <f t="shared" si="86"/>
        <v>0</v>
      </c>
      <c r="AI459">
        <f t="shared" si="87"/>
        <v>0</v>
      </c>
      <c r="AJ459">
        <f t="shared" si="88"/>
        <v>1</v>
      </c>
      <c r="AK459">
        <f t="shared" si="89"/>
        <v>0</v>
      </c>
      <c r="AL459">
        <f t="shared" si="90"/>
        <v>1</v>
      </c>
      <c r="AM459">
        <f t="shared" si="91"/>
        <v>0</v>
      </c>
      <c r="AN459">
        <f t="shared" si="92"/>
        <v>1</v>
      </c>
      <c r="AO459">
        <f>SUM(AN$2:$AN459)</f>
        <v>458</v>
      </c>
    </row>
    <row r="460" spans="1:41" x14ac:dyDescent="0.35">
      <c r="A460" t="s">
        <v>166</v>
      </c>
      <c r="B460" t="s">
        <v>1102</v>
      </c>
      <c r="C460">
        <v>10600</v>
      </c>
      <c r="D460" t="s">
        <v>1133</v>
      </c>
      <c r="E460">
        <v>0</v>
      </c>
      <c r="F460">
        <v>1875</v>
      </c>
      <c r="G460">
        <v>0</v>
      </c>
      <c r="H460">
        <v>0</v>
      </c>
      <c r="I460">
        <v>2455</v>
      </c>
      <c r="J460">
        <v>1878</v>
      </c>
      <c r="K460">
        <v>1444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 t="s">
        <v>354</v>
      </c>
      <c r="X460">
        <v>3</v>
      </c>
      <c r="Y460" t="s">
        <v>434</v>
      </c>
      <c r="Z460" t="s">
        <v>2129</v>
      </c>
      <c r="AA460" t="s">
        <v>150</v>
      </c>
      <c r="AB460" t="s">
        <v>153</v>
      </c>
      <c r="AC460" t="s">
        <v>497</v>
      </c>
      <c r="AD460">
        <v>0</v>
      </c>
      <c r="AE460">
        <v>0</v>
      </c>
      <c r="AF460">
        <v>0</v>
      </c>
      <c r="AG460">
        <v>0</v>
      </c>
      <c r="AH460">
        <f t="shared" si="86"/>
        <v>0</v>
      </c>
      <c r="AI460">
        <f t="shared" si="87"/>
        <v>0</v>
      </c>
      <c r="AJ460">
        <f t="shared" si="88"/>
        <v>1</v>
      </c>
      <c r="AK460">
        <f t="shared" si="89"/>
        <v>1</v>
      </c>
      <c r="AL460">
        <f t="shared" si="90"/>
        <v>1</v>
      </c>
      <c r="AM460">
        <f t="shared" si="91"/>
        <v>0</v>
      </c>
      <c r="AN460">
        <f t="shared" si="92"/>
        <v>1</v>
      </c>
      <c r="AO460">
        <f>SUM(AN$2:$AN460)</f>
        <v>459</v>
      </c>
    </row>
    <row r="461" spans="1:41" x14ac:dyDescent="0.35">
      <c r="A461" t="s">
        <v>166</v>
      </c>
      <c r="B461" t="s">
        <v>1102</v>
      </c>
      <c r="C461">
        <v>10600</v>
      </c>
      <c r="D461" t="s">
        <v>1134</v>
      </c>
      <c r="E461">
        <v>0</v>
      </c>
      <c r="F461">
        <v>1875</v>
      </c>
      <c r="G461">
        <v>2889</v>
      </c>
      <c r="H461">
        <v>0</v>
      </c>
      <c r="I461">
        <v>2889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t="s">
        <v>420</v>
      </c>
      <c r="X461">
        <v>3</v>
      </c>
      <c r="Y461" t="s">
        <v>434</v>
      </c>
      <c r="Z461" t="s">
        <v>2130</v>
      </c>
      <c r="AA461" t="s">
        <v>358</v>
      </c>
      <c r="AB461" t="s">
        <v>149</v>
      </c>
      <c r="AC461" t="s">
        <v>497</v>
      </c>
      <c r="AD461">
        <v>0</v>
      </c>
      <c r="AE461">
        <v>0</v>
      </c>
      <c r="AF461">
        <v>0</v>
      </c>
      <c r="AG461">
        <v>0</v>
      </c>
      <c r="AH461">
        <f t="shared" si="86"/>
        <v>1</v>
      </c>
      <c r="AI461">
        <f t="shared" si="87"/>
        <v>0</v>
      </c>
      <c r="AJ461">
        <f t="shared" si="88"/>
        <v>1</v>
      </c>
      <c r="AK461">
        <f t="shared" si="89"/>
        <v>0</v>
      </c>
      <c r="AL461">
        <f t="shared" si="90"/>
        <v>0</v>
      </c>
      <c r="AM461">
        <f t="shared" si="91"/>
        <v>0</v>
      </c>
      <c r="AN461">
        <f t="shared" si="92"/>
        <v>1</v>
      </c>
      <c r="AO461">
        <f>SUM(AN$2:$AN461)</f>
        <v>460</v>
      </c>
    </row>
    <row r="462" spans="1:41" x14ac:dyDescent="0.35">
      <c r="A462" t="s">
        <v>166</v>
      </c>
      <c r="B462" t="s">
        <v>1102</v>
      </c>
      <c r="C462">
        <v>10600</v>
      </c>
      <c r="D462" t="s">
        <v>1135</v>
      </c>
      <c r="E462">
        <v>0</v>
      </c>
      <c r="F462">
        <v>2198</v>
      </c>
      <c r="G462">
        <v>4983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0</v>
      </c>
      <c r="W462" t="s">
        <v>331</v>
      </c>
      <c r="X462">
        <v>3</v>
      </c>
      <c r="Y462" t="s">
        <v>434</v>
      </c>
      <c r="Z462" t="s">
        <v>2131</v>
      </c>
      <c r="AA462" t="s">
        <v>151</v>
      </c>
      <c r="AB462" t="s">
        <v>150</v>
      </c>
      <c r="AC462" t="s">
        <v>497</v>
      </c>
      <c r="AD462">
        <v>0</v>
      </c>
      <c r="AE462">
        <v>0</v>
      </c>
      <c r="AF462">
        <v>0</v>
      </c>
      <c r="AG462">
        <v>0</v>
      </c>
      <c r="AH462">
        <f t="shared" si="86"/>
        <v>1</v>
      </c>
      <c r="AI462">
        <f t="shared" si="87"/>
        <v>0</v>
      </c>
      <c r="AJ462">
        <f t="shared" si="88"/>
        <v>0</v>
      </c>
      <c r="AK462">
        <f t="shared" si="89"/>
        <v>0</v>
      </c>
      <c r="AL462">
        <f t="shared" si="90"/>
        <v>0</v>
      </c>
      <c r="AM462">
        <f t="shared" si="91"/>
        <v>0</v>
      </c>
      <c r="AN462">
        <f t="shared" si="92"/>
        <v>1</v>
      </c>
      <c r="AO462">
        <f>SUM(AN$2:$AN462)</f>
        <v>461</v>
      </c>
    </row>
    <row r="463" spans="1:41" x14ac:dyDescent="0.35">
      <c r="A463" t="s">
        <v>166</v>
      </c>
      <c r="B463" t="s">
        <v>1102</v>
      </c>
      <c r="C463">
        <v>10900</v>
      </c>
      <c r="D463" t="s">
        <v>1136</v>
      </c>
      <c r="E463">
        <v>0</v>
      </c>
      <c r="F463">
        <v>2260</v>
      </c>
      <c r="G463">
        <v>0</v>
      </c>
      <c r="H463">
        <v>0</v>
      </c>
      <c r="I463">
        <v>0</v>
      </c>
      <c r="J463">
        <v>0</v>
      </c>
      <c r="K463">
        <v>5124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 t="s">
        <v>327</v>
      </c>
      <c r="X463">
        <v>3</v>
      </c>
      <c r="Y463" t="s">
        <v>434</v>
      </c>
      <c r="Z463" t="s">
        <v>2132</v>
      </c>
      <c r="AA463" t="s">
        <v>152</v>
      </c>
      <c r="AB463" t="s">
        <v>153</v>
      </c>
      <c r="AC463" t="s">
        <v>497</v>
      </c>
      <c r="AD463">
        <v>0</v>
      </c>
      <c r="AE463">
        <v>0</v>
      </c>
      <c r="AF463">
        <v>0</v>
      </c>
      <c r="AG463">
        <v>0</v>
      </c>
      <c r="AH463">
        <f t="shared" si="86"/>
        <v>0</v>
      </c>
      <c r="AI463">
        <f t="shared" si="87"/>
        <v>0</v>
      </c>
      <c r="AJ463">
        <f t="shared" si="88"/>
        <v>0</v>
      </c>
      <c r="AK463">
        <f t="shared" si="89"/>
        <v>0</v>
      </c>
      <c r="AL463">
        <f t="shared" si="90"/>
        <v>1</v>
      </c>
      <c r="AM463">
        <f t="shared" si="91"/>
        <v>0</v>
      </c>
      <c r="AN463">
        <f t="shared" si="92"/>
        <v>1</v>
      </c>
      <c r="AO463">
        <f>SUM(AN$2:$AN463)</f>
        <v>462</v>
      </c>
    </row>
    <row r="464" spans="1:41" x14ac:dyDescent="0.35">
      <c r="A464" t="s">
        <v>166</v>
      </c>
      <c r="B464" t="s">
        <v>1102</v>
      </c>
      <c r="C464">
        <v>10900</v>
      </c>
      <c r="D464" t="s">
        <v>1137</v>
      </c>
      <c r="E464">
        <v>0</v>
      </c>
      <c r="F464">
        <v>1928</v>
      </c>
      <c r="G464">
        <v>0</v>
      </c>
      <c r="H464">
        <v>0</v>
      </c>
      <c r="I464">
        <v>2970</v>
      </c>
      <c r="J464">
        <v>0</v>
      </c>
      <c r="K464">
        <v>2970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t="s">
        <v>332</v>
      </c>
      <c r="X464">
        <v>3</v>
      </c>
      <c r="Y464" t="s">
        <v>434</v>
      </c>
      <c r="Z464" t="s">
        <v>2133</v>
      </c>
      <c r="AA464" t="s">
        <v>358</v>
      </c>
      <c r="AB464" t="s">
        <v>149</v>
      </c>
      <c r="AC464" t="s">
        <v>497</v>
      </c>
      <c r="AD464">
        <v>0</v>
      </c>
      <c r="AE464">
        <v>0</v>
      </c>
      <c r="AF464">
        <v>0</v>
      </c>
      <c r="AG464">
        <v>0</v>
      </c>
      <c r="AH464">
        <f t="shared" si="86"/>
        <v>0</v>
      </c>
      <c r="AI464">
        <f t="shared" si="87"/>
        <v>0</v>
      </c>
      <c r="AJ464">
        <f t="shared" si="88"/>
        <v>1</v>
      </c>
      <c r="AK464">
        <f t="shared" si="89"/>
        <v>0</v>
      </c>
      <c r="AL464">
        <f t="shared" si="90"/>
        <v>1</v>
      </c>
      <c r="AM464">
        <f t="shared" si="91"/>
        <v>0</v>
      </c>
      <c r="AN464">
        <f t="shared" si="92"/>
        <v>1</v>
      </c>
      <c r="AO464">
        <f>SUM(AN$2:$AN464)</f>
        <v>463</v>
      </c>
    </row>
    <row r="465" spans="1:41" x14ac:dyDescent="0.35">
      <c r="A465" t="s">
        <v>166</v>
      </c>
      <c r="B465" t="s">
        <v>1102</v>
      </c>
      <c r="C465">
        <v>10900</v>
      </c>
      <c r="D465" t="s">
        <v>1138</v>
      </c>
      <c r="E465">
        <v>0</v>
      </c>
      <c r="F465">
        <v>1928</v>
      </c>
      <c r="G465">
        <v>2822</v>
      </c>
      <c r="H465">
        <v>0</v>
      </c>
      <c r="I465">
        <v>0</v>
      </c>
      <c r="J465">
        <v>1485</v>
      </c>
      <c r="K465">
        <v>1634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 t="s">
        <v>423</v>
      </c>
      <c r="X465">
        <v>3</v>
      </c>
      <c r="Y465" t="s">
        <v>434</v>
      </c>
      <c r="Z465" t="s">
        <v>2134</v>
      </c>
      <c r="AA465" t="s">
        <v>152</v>
      </c>
      <c r="AB465" t="s">
        <v>153</v>
      </c>
      <c r="AC465" t="s">
        <v>497</v>
      </c>
      <c r="AD465">
        <v>0</v>
      </c>
      <c r="AE465">
        <v>0</v>
      </c>
      <c r="AF465">
        <v>0</v>
      </c>
      <c r="AG465">
        <v>0</v>
      </c>
      <c r="AH465">
        <f t="shared" si="86"/>
        <v>1</v>
      </c>
      <c r="AI465">
        <f t="shared" si="87"/>
        <v>0</v>
      </c>
      <c r="AJ465">
        <f t="shared" si="88"/>
        <v>0</v>
      </c>
      <c r="AK465">
        <f t="shared" si="89"/>
        <v>1</v>
      </c>
      <c r="AL465">
        <f t="shared" si="90"/>
        <v>1</v>
      </c>
      <c r="AM465">
        <f t="shared" si="91"/>
        <v>0</v>
      </c>
      <c r="AN465">
        <f t="shared" si="92"/>
        <v>1</v>
      </c>
      <c r="AO465">
        <f>SUM(AN$2:$AN465)</f>
        <v>464</v>
      </c>
    </row>
    <row r="466" spans="1:41" x14ac:dyDescent="0.35">
      <c r="A466" t="s">
        <v>166</v>
      </c>
      <c r="B466" t="s">
        <v>1139</v>
      </c>
      <c r="C466">
        <v>11000</v>
      </c>
      <c r="D466" t="s">
        <v>1140</v>
      </c>
      <c r="E466">
        <v>538</v>
      </c>
      <c r="F466">
        <v>872</v>
      </c>
      <c r="G466">
        <v>0</v>
      </c>
      <c r="H466">
        <v>0</v>
      </c>
      <c r="I466">
        <v>2698</v>
      </c>
      <c r="J466">
        <v>0</v>
      </c>
      <c r="K466">
        <v>2398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 t="s">
        <v>159</v>
      </c>
      <c r="X466">
        <v>6</v>
      </c>
      <c r="Y466" t="s">
        <v>440</v>
      </c>
      <c r="Z466" t="s">
        <v>2135</v>
      </c>
      <c r="AA466" t="s">
        <v>149</v>
      </c>
      <c r="AB466" t="s">
        <v>152</v>
      </c>
      <c r="AC466" t="s">
        <v>497</v>
      </c>
      <c r="AD466">
        <v>2773</v>
      </c>
      <c r="AE466">
        <v>0</v>
      </c>
      <c r="AF466">
        <v>0</v>
      </c>
      <c r="AG466">
        <v>0</v>
      </c>
      <c r="AH466">
        <f t="shared" si="86"/>
        <v>0</v>
      </c>
      <c r="AI466">
        <f t="shared" si="87"/>
        <v>0</v>
      </c>
      <c r="AJ466">
        <f t="shared" si="88"/>
        <v>1</v>
      </c>
      <c r="AK466">
        <f t="shared" si="89"/>
        <v>0</v>
      </c>
      <c r="AL466">
        <f t="shared" si="90"/>
        <v>1</v>
      </c>
      <c r="AM466">
        <f t="shared" si="91"/>
        <v>0</v>
      </c>
      <c r="AN466">
        <f t="shared" si="92"/>
        <v>1</v>
      </c>
      <c r="AO466">
        <f>SUM(AN$2:$AN466)</f>
        <v>465</v>
      </c>
    </row>
    <row r="467" spans="1:41" x14ac:dyDescent="0.35">
      <c r="A467" t="s">
        <v>166</v>
      </c>
      <c r="B467" t="s">
        <v>2507</v>
      </c>
      <c r="C467">
        <v>11000</v>
      </c>
      <c r="D467" t="s">
        <v>2508</v>
      </c>
      <c r="E467">
        <v>538</v>
      </c>
      <c r="F467">
        <v>872</v>
      </c>
      <c r="G467">
        <v>2698</v>
      </c>
      <c r="H467">
        <v>0</v>
      </c>
      <c r="I467">
        <v>0</v>
      </c>
      <c r="J467">
        <v>0</v>
      </c>
      <c r="K467">
        <v>2398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 t="s">
        <v>157</v>
      </c>
      <c r="X467">
        <v>6</v>
      </c>
      <c r="Y467" t="s">
        <v>443</v>
      </c>
      <c r="Z467" t="s">
        <v>2136</v>
      </c>
      <c r="AA467" t="s">
        <v>148</v>
      </c>
      <c r="AB467" t="s">
        <v>153</v>
      </c>
      <c r="AC467" t="s">
        <v>497</v>
      </c>
      <c r="AD467">
        <v>2773</v>
      </c>
      <c r="AE467">
        <v>0</v>
      </c>
      <c r="AF467">
        <v>0</v>
      </c>
      <c r="AG467">
        <v>0</v>
      </c>
      <c r="AH467">
        <f t="shared" si="86"/>
        <v>1</v>
      </c>
      <c r="AI467">
        <f t="shared" si="87"/>
        <v>0</v>
      </c>
      <c r="AJ467">
        <f t="shared" si="88"/>
        <v>0</v>
      </c>
      <c r="AK467">
        <f t="shared" si="89"/>
        <v>0</v>
      </c>
      <c r="AL467">
        <f t="shared" si="90"/>
        <v>1</v>
      </c>
      <c r="AM467">
        <f t="shared" si="91"/>
        <v>0</v>
      </c>
      <c r="AN467">
        <f t="shared" si="92"/>
        <v>1</v>
      </c>
      <c r="AO467">
        <f>SUM(AN$2:$AN467)</f>
        <v>466</v>
      </c>
    </row>
    <row r="468" spans="1:41" x14ac:dyDescent="0.35">
      <c r="A468" t="s">
        <v>166</v>
      </c>
      <c r="B468" t="s">
        <v>2509</v>
      </c>
      <c r="C468">
        <v>11000</v>
      </c>
      <c r="D468" t="s">
        <v>2510</v>
      </c>
      <c r="E468">
        <v>538</v>
      </c>
      <c r="F468">
        <v>872</v>
      </c>
      <c r="G468">
        <v>2698</v>
      </c>
      <c r="H468">
        <v>0</v>
      </c>
      <c r="I468">
        <v>0</v>
      </c>
      <c r="J468">
        <v>0</v>
      </c>
      <c r="K468">
        <v>2398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 t="s">
        <v>157</v>
      </c>
      <c r="X468">
        <v>6</v>
      </c>
      <c r="Y468" t="s">
        <v>439</v>
      </c>
      <c r="Z468" t="s">
        <v>2137</v>
      </c>
      <c r="AA468" t="s">
        <v>148</v>
      </c>
      <c r="AB468" t="s">
        <v>153</v>
      </c>
      <c r="AC468" t="s">
        <v>497</v>
      </c>
      <c r="AD468">
        <v>2773</v>
      </c>
      <c r="AE468">
        <v>0</v>
      </c>
      <c r="AF468">
        <v>0</v>
      </c>
      <c r="AG468">
        <v>0</v>
      </c>
      <c r="AH468">
        <f t="shared" si="86"/>
        <v>1</v>
      </c>
      <c r="AI468">
        <f t="shared" si="87"/>
        <v>0</v>
      </c>
      <c r="AJ468">
        <f t="shared" si="88"/>
        <v>0</v>
      </c>
      <c r="AK468">
        <f t="shared" si="89"/>
        <v>0</v>
      </c>
      <c r="AL468">
        <f t="shared" si="90"/>
        <v>1</v>
      </c>
      <c r="AM468">
        <f t="shared" si="91"/>
        <v>0</v>
      </c>
      <c r="AN468">
        <f t="shared" si="92"/>
        <v>1</v>
      </c>
      <c r="AO468">
        <f>SUM(AN$2:$AN468)</f>
        <v>467</v>
      </c>
    </row>
    <row r="469" spans="1:41" x14ac:dyDescent="0.35">
      <c r="A469" t="s">
        <v>166</v>
      </c>
      <c r="B469" t="s">
        <v>1141</v>
      </c>
      <c r="C469">
        <v>11150</v>
      </c>
      <c r="D469" t="s">
        <v>1142</v>
      </c>
      <c r="E469">
        <v>545</v>
      </c>
      <c r="F469">
        <v>884</v>
      </c>
      <c r="G469">
        <v>0</v>
      </c>
      <c r="H469">
        <v>0</v>
      </c>
      <c r="I469">
        <v>0</v>
      </c>
      <c r="J469">
        <v>2431</v>
      </c>
      <c r="K469">
        <v>0</v>
      </c>
      <c r="L469">
        <v>2735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349</v>
      </c>
      <c r="X469">
        <v>6</v>
      </c>
      <c r="Y469" t="s">
        <v>435</v>
      </c>
      <c r="Z469" t="s">
        <v>2138</v>
      </c>
      <c r="AA469" t="s">
        <v>149</v>
      </c>
      <c r="AB469" t="s">
        <v>148</v>
      </c>
      <c r="AC469" t="s">
        <v>497</v>
      </c>
      <c r="AD469">
        <v>2811</v>
      </c>
      <c r="AE469">
        <v>0</v>
      </c>
      <c r="AF469">
        <v>0</v>
      </c>
      <c r="AG469">
        <v>0</v>
      </c>
      <c r="AH469">
        <f t="shared" si="86"/>
        <v>0</v>
      </c>
      <c r="AI469">
        <f t="shared" si="87"/>
        <v>0</v>
      </c>
      <c r="AJ469">
        <f t="shared" si="88"/>
        <v>0</v>
      </c>
      <c r="AK469">
        <f t="shared" si="89"/>
        <v>1</v>
      </c>
      <c r="AL469">
        <f t="shared" si="90"/>
        <v>0</v>
      </c>
      <c r="AM469">
        <f t="shared" si="91"/>
        <v>1</v>
      </c>
      <c r="AN469">
        <f t="shared" si="92"/>
        <v>1</v>
      </c>
      <c r="AO469">
        <f>SUM(AN$2:$AN469)</f>
        <v>468</v>
      </c>
    </row>
    <row r="470" spans="1:41" x14ac:dyDescent="0.35">
      <c r="A470" t="s">
        <v>166</v>
      </c>
      <c r="B470" t="s">
        <v>1143</v>
      </c>
      <c r="C470">
        <v>11150</v>
      </c>
      <c r="D470" t="s">
        <v>1144</v>
      </c>
      <c r="E470">
        <v>545</v>
      </c>
      <c r="F470">
        <v>884</v>
      </c>
      <c r="G470">
        <v>2735</v>
      </c>
      <c r="H470">
        <v>0</v>
      </c>
      <c r="I470">
        <v>0</v>
      </c>
      <c r="J470">
        <v>2431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 t="s">
        <v>350</v>
      </c>
      <c r="X470">
        <v>6</v>
      </c>
      <c r="Y470" t="s">
        <v>436</v>
      </c>
      <c r="Z470" t="s">
        <v>2139</v>
      </c>
      <c r="AA470" t="s">
        <v>358</v>
      </c>
      <c r="AB470" t="s">
        <v>150</v>
      </c>
      <c r="AC470" t="s">
        <v>497</v>
      </c>
      <c r="AD470">
        <v>2811</v>
      </c>
      <c r="AE470">
        <v>0</v>
      </c>
      <c r="AF470">
        <v>0</v>
      </c>
      <c r="AG470">
        <v>0</v>
      </c>
      <c r="AH470">
        <f t="shared" si="86"/>
        <v>1</v>
      </c>
      <c r="AI470">
        <f t="shared" si="87"/>
        <v>0</v>
      </c>
      <c r="AJ470">
        <f t="shared" si="88"/>
        <v>0</v>
      </c>
      <c r="AK470">
        <f t="shared" si="89"/>
        <v>1</v>
      </c>
      <c r="AL470">
        <f t="shared" si="90"/>
        <v>0</v>
      </c>
      <c r="AM470">
        <f t="shared" si="91"/>
        <v>0</v>
      </c>
      <c r="AN470">
        <f t="shared" si="92"/>
        <v>1</v>
      </c>
      <c r="AO470">
        <f>SUM(AN$2:$AN470)</f>
        <v>469</v>
      </c>
    </row>
    <row r="471" spans="1:41" x14ac:dyDescent="0.35">
      <c r="A471" t="s">
        <v>166</v>
      </c>
      <c r="B471" t="s">
        <v>1145</v>
      </c>
      <c r="C471">
        <v>11150</v>
      </c>
      <c r="D471" t="s">
        <v>1146</v>
      </c>
      <c r="E471">
        <v>545</v>
      </c>
      <c r="F471">
        <v>884</v>
      </c>
      <c r="G471">
        <v>2735</v>
      </c>
      <c r="H471">
        <v>0</v>
      </c>
      <c r="I471">
        <v>0</v>
      </c>
      <c r="J471">
        <v>0</v>
      </c>
      <c r="K471">
        <v>2431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 t="s">
        <v>157</v>
      </c>
      <c r="X471">
        <v>6</v>
      </c>
      <c r="Y471" t="s">
        <v>435</v>
      </c>
      <c r="Z471" t="s">
        <v>2140</v>
      </c>
      <c r="AA471" t="s">
        <v>148</v>
      </c>
      <c r="AB471" t="s">
        <v>153</v>
      </c>
      <c r="AC471" t="s">
        <v>497</v>
      </c>
      <c r="AD471">
        <v>2811</v>
      </c>
      <c r="AE471">
        <v>0</v>
      </c>
      <c r="AF471">
        <v>0</v>
      </c>
      <c r="AG471">
        <v>0</v>
      </c>
      <c r="AH471">
        <f t="shared" si="86"/>
        <v>1</v>
      </c>
      <c r="AI471">
        <f t="shared" si="87"/>
        <v>0</v>
      </c>
      <c r="AJ471">
        <f t="shared" si="88"/>
        <v>0</v>
      </c>
      <c r="AK471">
        <f t="shared" si="89"/>
        <v>0</v>
      </c>
      <c r="AL471">
        <f t="shared" si="90"/>
        <v>1</v>
      </c>
      <c r="AM471">
        <f t="shared" si="91"/>
        <v>0</v>
      </c>
      <c r="AN471">
        <f t="shared" si="92"/>
        <v>1</v>
      </c>
      <c r="AO471">
        <f>SUM(AN$2:$AN471)</f>
        <v>470</v>
      </c>
    </row>
    <row r="472" spans="1:41" x14ac:dyDescent="0.35">
      <c r="A472" t="s">
        <v>166</v>
      </c>
      <c r="B472" t="s">
        <v>1147</v>
      </c>
      <c r="C472">
        <v>11300</v>
      </c>
      <c r="D472" t="s">
        <v>1148</v>
      </c>
      <c r="E472">
        <v>552</v>
      </c>
      <c r="F472">
        <v>896</v>
      </c>
      <c r="G472">
        <v>0</v>
      </c>
      <c r="H472">
        <v>0</v>
      </c>
      <c r="I472">
        <v>2771</v>
      </c>
      <c r="J472">
        <v>2463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1</v>
      </c>
      <c r="U472">
        <v>0</v>
      </c>
      <c r="V472">
        <v>0</v>
      </c>
      <c r="W472" t="s">
        <v>348</v>
      </c>
      <c r="X472">
        <v>6</v>
      </c>
      <c r="Y472" t="s">
        <v>442</v>
      </c>
      <c r="Z472" t="s">
        <v>2141</v>
      </c>
      <c r="AA472" t="s">
        <v>358</v>
      </c>
      <c r="AB472" t="s">
        <v>150</v>
      </c>
      <c r="AC472" t="s">
        <v>497</v>
      </c>
      <c r="AD472">
        <v>2848</v>
      </c>
      <c r="AE472">
        <v>0</v>
      </c>
      <c r="AF472">
        <v>0</v>
      </c>
      <c r="AG472">
        <v>0</v>
      </c>
      <c r="AH472">
        <f t="shared" si="86"/>
        <v>0</v>
      </c>
      <c r="AI472">
        <f t="shared" si="87"/>
        <v>0</v>
      </c>
      <c r="AJ472">
        <f t="shared" si="88"/>
        <v>1</v>
      </c>
      <c r="AK472">
        <f t="shared" si="89"/>
        <v>1</v>
      </c>
      <c r="AL472">
        <f t="shared" si="90"/>
        <v>0</v>
      </c>
      <c r="AM472">
        <f t="shared" si="91"/>
        <v>0</v>
      </c>
      <c r="AN472">
        <f t="shared" si="92"/>
        <v>1</v>
      </c>
      <c r="AO472">
        <f>SUM(AN$2:$AN472)</f>
        <v>471</v>
      </c>
    </row>
    <row r="473" spans="1:41" x14ac:dyDescent="0.35">
      <c r="A473" t="s">
        <v>166</v>
      </c>
      <c r="B473" t="s">
        <v>1102</v>
      </c>
      <c r="C473">
        <v>11500</v>
      </c>
      <c r="D473" t="s">
        <v>2142</v>
      </c>
      <c r="E473">
        <v>0</v>
      </c>
      <c r="F473">
        <v>2034</v>
      </c>
      <c r="G473">
        <v>0</v>
      </c>
      <c r="H473">
        <v>0</v>
      </c>
      <c r="I473">
        <v>0</v>
      </c>
      <c r="J473">
        <v>3212</v>
      </c>
      <c r="K473">
        <v>3212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 t="s">
        <v>353</v>
      </c>
      <c r="X473">
        <v>3</v>
      </c>
      <c r="Y473" t="s">
        <v>434</v>
      </c>
      <c r="Z473" t="s">
        <v>2143</v>
      </c>
      <c r="AA473" t="s">
        <v>150</v>
      </c>
      <c r="AB473" t="s">
        <v>153</v>
      </c>
      <c r="AC473" t="s">
        <v>497</v>
      </c>
      <c r="AD473">
        <v>0</v>
      </c>
      <c r="AE473">
        <v>0</v>
      </c>
      <c r="AF473">
        <v>0</v>
      </c>
      <c r="AG473">
        <v>0</v>
      </c>
      <c r="AH473">
        <f t="shared" si="86"/>
        <v>0</v>
      </c>
      <c r="AI473">
        <f t="shared" si="87"/>
        <v>0</v>
      </c>
      <c r="AJ473">
        <f t="shared" si="88"/>
        <v>0</v>
      </c>
      <c r="AK473">
        <f t="shared" si="89"/>
        <v>1</v>
      </c>
      <c r="AL473">
        <f t="shared" si="90"/>
        <v>1</v>
      </c>
      <c r="AM473">
        <f t="shared" si="91"/>
        <v>0</v>
      </c>
      <c r="AN473">
        <f t="shared" si="92"/>
        <v>1</v>
      </c>
      <c r="AO473">
        <f>SUM(AN$2:$AN473)</f>
        <v>472</v>
      </c>
    </row>
    <row r="474" spans="1:41" x14ac:dyDescent="0.35">
      <c r="A474" t="s">
        <v>166</v>
      </c>
      <c r="B474" t="s">
        <v>1102</v>
      </c>
      <c r="C474">
        <v>11500</v>
      </c>
      <c r="D474" t="s">
        <v>2144</v>
      </c>
      <c r="E474">
        <v>0</v>
      </c>
      <c r="F474">
        <v>2385</v>
      </c>
      <c r="G474">
        <v>0</v>
      </c>
      <c r="H474">
        <v>0</v>
      </c>
      <c r="I474">
        <v>5562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t="s">
        <v>329</v>
      </c>
      <c r="X474">
        <v>3</v>
      </c>
      <c r="Y474" t="s">
        <v>434</v>
      </c>
      <c r="Z474" t="s">
        <v>2145</v>
      </c>
      <c r="AA474" t="s">
        <v>358</v>
      </c>
      <c r="AB474" t="s">
        <v>149</v>
      </c>
      <c r="AC474" t="s">
        <v>497</v>
      </c>
      <c r="AD474">
        <v>0</v>
      </c>
      <c r="AE474">
        <v>0</v>
      </c>
      <c r="AF474">
        <v>0</v>
      </c>
      <c r="AG474">
        <v>0</v>
      </c>
      <c r="AH474">
        <f t="shared" si="86"/>
        <v>0</v>
      </c>
      <c r="AI474">
        <f t="shared" si="87"/>
        <v>0</v>
      </c>
      <c r="AJ474">
        <f t="shared" si="88"/>
        <v>1</v>
      </c>
      <c r="AK474">
        <f t="shared" si="89"/>
        <v>0</v>
      </c>
      <c r="AL474">
        <f t="shared" si="90"/>
        <v>0</v>
      </c>
      <c r="AM474">
        <f t="shared" si="91"/>
        <v>0</v>
      </c>
      <c r="AN474">
        <f t="shared" si="92"/>
        <v>1</v>
      </c>
      <c r="AO474">
        <f>SUM(AN$2:$AN474)</f>
        <v>473</v>
      </c>
    </row>
    <row r="475" spans="1:41" x14ac:dyDescent="0.35">
      <c r="A475" t="s">
        <v>166</v>
      </c>
      <c r="B475" t="s">
        <v>1102</v>
      </c>
      <c r="C475">
        <v>11500</v>
      </c>
      <c r="D475" t="s">
        <v>2611</v>
      </c>
      <c r="E475">
        <v>0</v>
      </c>
      <c r="F475">
        <v>2034</v>
      </c>
      <c r="G475">
        <v>2977</v>
      </c>
      <c r="H475">
        <v>1567</v>
      </c>
      <c r="I475">
        <v>0</v>
      </c>
      <c r="J475">
        <v>0</v>
      </c>
      <c r="K475">
        <v>1724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 t="s">
        <v>2594</v>
      </c>
      <c r="X475">
        <v>3</v>
      </c>
      <c r="Y475" t="s">
        <v>434</v>
      </c>
      <c r="Z475" t="s">
        <v>2146</v>
      </c>
      <c r="AA475" t="s">
        <v>152</v>
      </c>
      <c r="AB475" t="s">
        <v>153</v>
      </c>
      <c r="AC475" t="s">
        <v>497</v>
      </c>
      <c r="AD475">
        <v>0</v>
      </c>
      <c r="AE475">
        <v>0</v>
      </c>
      <c r="AF475">
        <v>0</v>
      </c>
      <c r="AG475">
        <v>0</v>
      </c>
      <c r="AH475">
        <f t="shared" si="86"/>
        <v>1</v>
      </c>
      <c r="AI475">
        <f t="shared" si="87"/>
        <v>1</v>
      </c>
      <c r="AJ475">
        <f t="shared" si="88"/>
        <v>0</v>
      </c>
      <c r="AK475">
        <f t="shared" si="89"/>
        <v>0</v>
      </c>
      <c r="AL475">
        <f t="shared" si="90"/>
        <v>1</v>
      </c>
      <c r="AM475">
        <f t="shared" si="91"/>
        <v>0</v>
      </c>
      <c r="AN475">
        <f t="shared" si="92"/>
        <v>1</v>
      </c>
      <c r="AO475">
        <f>SUM(AN$2:$AN475)</f>
        <v>474</v>
      </c>
    </row>
    <row r="476" spans="1:41" x14ac:dyDescent="0.35">
      <c r="A476" t="s">
        <v>166</v>
      </c>
      <c r="B476" t="s">
        <v>1102</v>
      </c>
      <c r="C476">
        <v>12100</v>
      </c>
      <c r="D476" t="s">
        <v>2147</v>
      </c>
      <c r="E476">
        <v>0</v>
      </c>
      <c r="F476">
        <v>2140</v>
      </c>
      <c r="G476">
        <v>0</v>
      </c>
      <c r="H476">
        <v>0</v>
      </c>
      <c r="I476">
        <v>2803</v>
      </c>
      <c r="J476">
        <v>2308</v>
      </c>
      <c r="K476">
        <v>1649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0</v>
      </c>
      <c r="W476" t="s">
        <v>354</v>
      </c>
      <c r="X476">
        <v>3</v>
      </c>
      <c r="Y476" t="s">
        <v>434</v>
      </c>
      <c r="Z476" t="s">
        <v>2148</v>
      </c>
      <c r="AA476" t="s">
        <v>150</v>
      </c>
      <c r="AB476" t="s">
        <v>153</v>
      </c>
      <c r="AC476" t="s">
        <v>497</v>
      </c>
      <c r="AD476">
        <v>0</v>
      </c>
      <c r="AE476">
        <v>0</v>
      </c>
      <c r="AF476">
        <v>0</v>
      </c>
      <c r="AG476">
        <v>0</v>
      </c>
      <c r="AH476">
        <f t="shared" si="86"/>
        <v>0</v>
      </c>
      <c r="AI476">
        <f t="shared" si="87"/>
        <v>0</v>
      </c>
      <c r="AJ476">
        <f t="shared" si="88"/>
        <v>1</v>
      </c>
      <c r="AK476">
        <f t="shared" si="89"/>
        <v>1</v>
      </c>
      <c r="AL476">
        <f t="shared" si="90"/>
        <v>1</v>
      </c>
      <c r="AM476">
        <f t="shared" si="91"/>
        <v>0</v>
      </c>
      <c r="AN476">
        <f t="shared" si="92"/>
        <v>1</v>
      </c>
      <c r="AO476">
        <f>SUM(AN$2:$AN476)</f>
        <v>475</v>
      </c>
    </row>
    <row r="477" spans="1:41" customFormat="1" x14ac:dyDescent="0.35">
      <c r="A477" t="s">
        <v>166</v>
      </c>
      <c r="B477" t="s">
        <v>1102</v>
      </c>
      <c r="C477">
        <v>12100</v>
      </c>
      <c r="D477" t="s">
        <v>2149</v>
      </c>
      <c r="E477">
        <v>0</v>
      </c>
      <c r="F477">
        <v>2140</v>
      </c>
      <c r="G477">
        <v>3380</v>
      </c>
      <c r="H477">
        <v>0</v>
      </c>
      <c r="I477">
        <v>3380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t="s">
        <v>420</v>
      </c>
      <c r="X477">
        <v>3</v>
      </c>
      <c r="Y477" t="s">
        <v>434</v>
      </c>
      <c r="Z477" t="s">
        <v>2150</v>
      </c>
      <c r="AA477" t="s">
        <v>358</v>
      </c>
      <c r="AB477" t="s">
        <v>149</v>
      </c>
      <c r="AC477" t="s">
        <v>497</v>
      </c>
      <c r="AD477">
        <v>0</v>
      </c>
      <c r="AE477">
        <v>0</v>
      </c>
      <c r="AF477">
        <v>0</v>
      </c>
      <c r="AG477">
        <v>0</v>
      </c>
      <c r="AH477">
        <f t="shared" si="86"/>
        <v>1</v>
      </c>
      <c r="AI477">
        <f t="shared" si="87"/>
        <v>0</v>
      </c>
      <c r="AJ477">
        <f t="shared" si="88"/>
        <v>1</v>
      </c>
      <c r="AK477">
        <f t="shared" si="89"/>
        <v>0</v>
      </c>
      <c r="AL477">
        <f t="shared" si="90"/>
        <v>0</v>
      </c>
      <c r="AM477">
        <f t="shared" si="91"/>
        <v>0</v>
      </c>
      <c r="AN477">
        <f t="shared" si="92"/>
        <v>1</v>
      </c>
      <c r="AO477">
        <f>SUM(AN$2:$AN477)</f>
        <v>476</v>
      </c>
    </row>
    <row r="478" spans="1:41" customFormat="1" x14ac:dyDescent="0.35">
      <c r="A478" t="s">
        <v>166</v>
      </c>
      <c r="B478" t="s">
        <v>1102</v>
      </c>
      <c r="C478">
        <v>12100</v>
      </c>
      <c r="D478" t="s">
        <v>2151</v>
      </c>
      <c r="E478">
        <v>0</v>
      </c>
      <c r="F478">
        <v>2509</v>
      </c>
      <c r="G478">
        <v>5853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 t="s">
        <v>331</v>
      </c>
      <c r="X478">
        <v>3</v>
      </c>
      <c r="Y478" t="s">
        <v>434</v>
      </c>
      <c r="Z478" t="s">
        <v>2152</v>
      </c>
      <c r="AA478" t="s">
        <v>151</v>
      </c>
      <c r="AB478" t="s">
        <v>150</v>
      </c>
      <c r="AC478" t="s">
        <v>497</v>
      </c>
      <c r="AD478">
        <v>0</v>
      </c>
      <c r="AE478">
        <v>0</v>
      </c>
      <c r="AF478">
        <v>0</v>
      </c>
      <c r="AG478">
        <v>0</v>
      </c>
      <c r="AH478">
        <f t="shared" si="86"/>
        <v>1</v>
      </c>
      <c r="AI478">
        <f t="shared" si="87"/>
        <v>0</v>
      </c>
      <c r="AJ478">
        <f t="shared" si="88"/>
        <v>0</v>
      </c>
      <c r="AK478">
        <f t="shared" si="89"/>
        <v>0</v>
      </c>
      <c r="AL478">
        <f t="shared" si="90"/>
        <v>0</v>
      </c>
      <c r="AM478">
        <f t="shared" si="91"/>
        <v>0</v>
      </c>
      <c r="AN478">
        <f t="shared" si="92"/>
        <v>1</v>
      </c>
      <c r="AO478">
        <f>SUM(AN$2:$AN478)</f>
        <v>477</v>
      </c>
    </row>
    <row r="479" spans="1:41" customFormat="1" x14ac:dyDescent="0.35">
      <c r="A479" t="s">
        <v>166</v>
      </c>
      <c r="B479" t="s">
        <v>2511</v>
      </c>
      <c r="C479">
        <v>12300</v>
      </c>
      <c r="D479" t="s">
        <v>2512</v>
      </c>
      <c r="E479">
        <v>601</v>
      </c>
      <c r="F479">
        <v>975</v>
      </c>
      <c r="G479">
        <v>0</v>
      </c>
      <c r="H479">
        <v>0</v>
      </c>
      <c r="I479">
        <v>3017</v>
      </c>
      <c r="J479">
        <v>0</v>
      </c>
      <c r="K479">
        <v>2681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 t="s">
        <v>159</v>
      </c>
      <c r="X479">
        <v>6</v>
      </c>
      <c r="Y479" t="s">
        <v>440</v>
      </c>
      <c r="Z479" t="s">
        <v>2153</v>
      </c>
      <c r="AA479" t="s">
        <v>149</v>
      </c>
      <c r="AB479" t="s">
        <v>152</v>
      </c>
      <c r="AC479" t="s">
        <v>497</v>
      </c>
      <c r="AD479">
        <v>3100</v>
      </c>
      <c r="AE479">
        <v>0</v>
      </c>
      <c r="AF479">
        <v>0</v>
      </c>
      <c r="AG479">
        <v>0</v>
      </c>
      <c r="AH479">
        <f t="shared" si="86"/>
        <v>0</v>
      </c>
      <c r="AI479">
        <f t="shared" si="87"/>
        <v>0</v>
      </c>
      <c r="AJ479">
        <f t="shared" si="88"/>
        <v>1</v>
      </c>
      <c r="AK479">
        <f t="shared" si="89"/>
        <v>0</v>
      </c>
      <c r="AL479">
        <f t="shared" si="90"/>
        <v>1</v>
      </c>
      <c r="AM479">
        <f t="shared" si="91"/>
        <v>0</v>
      </c>
      <c r="AN479">
        <f t="shared" si="92"/>
        <v>1</v>
      </c>
      <c r="AO479">
        <f>SUM(AN$2:$AN479)</f>
        <v>478</v>
      </c>
    </row>
    <row r="480" spans="1:41" customFormat="1" x14ac:dyDescent="0.35">
      <c r="A480" t="s">
        <v>166</v>
      </c>
      <c r="B480" t="s">
        <v>2513</v>
      </c>
      <c r="C480">
        <v>12450</v>
      </c>
      <c r="D480" t="s">
        <v>2514</v>
      </c>
      <c r="E480">
        <v>609</v>
      </c>
      <c r="F480">
        <v>987</v>
      </c>
      <c r="G480">
        <v>0</v>
      </c>
      <c r="H480">
        <v>0</v>
      </c>
      <c r="I480">
        <v>0</v>
      </c>
      <c r="J480">
        <v>2714</v>
      </c>
      <c r="K480">
        <v>0</v>
      </c>
      <c r="L480">
        <v>3053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349</v>
      </c>
      <c r="X480">
        <v>6</v>
      </c>
      <c r="Y480" t="s">
        <v>435</v>
      </c>
      <c r="Z480" t="s">
        <v>2154</v>
      </c>
      <c r="AA480" t="s">
        <v>149</v>
      </c>
      <c r="AB480" t="s">
        <v>148</v>
      </c>
      <c r="AC480" t="s">
        <v>497</v>
      </c>
      <c r="AD480">
        <v>3138</v>
      </c>
      <c r="AE480">
        <v>0</v>
      </c>
      <c r="AF480">
        <v>0</v>
      </c>
      <c r="AG480">
        <v>0</v>
      </c>
      <c r="AH480">
        <f t="shared" si="86"/>
        <v>0</v>
      </c>
      <c r="AI480">
        <f t="shared" si="87"/>
        <v>0</v>
      </c>
      <c r="AJ480">
        <f t="shared" si="88"/>
        <v>0</v>
      </c>
      <c r="AK480">
        <f t="shared" si="89"/>
        <v>1</v>
      </c>
      <c r="AL480">
        <f t="shared" si="90"/>
        <v>0</v>
      </c>
      <c r="AM480">
        <f t="shared" si="91"/>
        <v>1</v>
      </c>
      <c r="AN480">
        <f t="shared" si="92"/>
        <v>1</v>
      </c>
      <c r="AO480">
        <f>SUM(AN$2:$AN480)</f>
        <v>479</v>
      </c>
    </row>
    <row r="481" spans="1:41" customFormat="1" x14ac:dyDescent="0.35">
      <c r="A481" t="s">
        <v>166</v>
      </c>
      <c r="B481" t="s">
        <v>2515</v>
      </c>
      <c r="C481">
        <v>12450</v>
      </c>
      <c r="D481" t="s">
        <v>2516</v>
      </c>
      <c r="E481">
        <v>609</v>
      </c>
      <c r="F481">
        <v>987</v>
      </c>
      <c r="G481">
        <v>3053</v>
      </c>
      <c r="H481">
        <v>0</v>
      </c>
      <c r="I481">
        <v>0</v>
      </c>
      <c r="J481">
        <v>2714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 t="s">
        <v>350</v>
      </c>
      <c r="X481">
        <v>6</v>
      </c>
      <c r="Y481" t="s">
        <v>436</v>
      </c>
      <c r="Z481" t="s">
        <v>2155</v>
      </c>
      <c r="AA481" t="s">
        <v>358</v>
      </c>
      <c r="AB481" t="s">
        <v>150</v>
      </c>
      <c r="AC481" t="s">
        <v>497</v>
      </c>
      <c r="AD481">
        <v>3138</v>
      </c>
      <c r="AE481">
        <v>0</v>
      </c>
      <c r="AF481">
        <v>0</v>
      </c>
      <c r="AG481">
        <v>0</v>
      </c>
      <c r="AH481">
        <f t="shared" si="86"/>
        <v>1</v>
      </c>
      <c r="AI481">
        <f t="shared" si="87"/>
        <v>0</v>
      </c>
      <c r="AJ481">
        <f t="shared" si="88"/>
        <v>0</v>
      </c>
      <c r="AK481">
        <f t="shared" si="89"/>
        <v>1</v>
      </c>
      <c r="AL481">
        <f t="shared" si="90"/>
        <v>0</v>
      </c>
      <c r="AM481">
        <f t="shared" si="91"/>
        <v>0</v>
      </c>
      <c r="AN481">
        <f t="shared" si="92"/>
        <v>1</v>
      </c>
      <c r="AO481">
        <f>SUM(AN$2:$AN481)</f>
        <v>480</v>
      </c>
    </row>
    <row r="482" spans="1:41" customFormat="1" x14ac:dyDescent="0.35">
      <c r="A482" t="s">
        <v>166</v>
      </c>
      <c r="B482" t="s">
        <v>2517</v>
      </c>
      <c r="C482">
        <v>12450</v>
      </c>
      <c r="D482" t="s">
        <v>2518</v>
      </c>
      <c r="E482">
        <v>609</v>
      </c>
      <c r="F482">
        <v>987</v>
      </c>
      <c r="G482">
        <v>3053</v>
      </c>
      <c r="H482">
        <v>0</v>
      </c>
      <c r="I482">
        <v>0</v>
      </c>
      <c r="J482">
        <v>0</v>
      </c>
      <c r="K482">
        <v>2714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 t="s">
        <v>157</v>
      </c>
      <c r="X482">
        <v>6</v>
      </c>
      <c r="Y482" t="s">
        <v>435</v>
      </c>
      <c r="Z482" t="s">
        <v>2156</v>
      </c>
      <c r="AA482" t="s">
        <v>148</v>
      </c>
      <c r="AB482" t="s">
        <v>153</v>
      </c>
      <c r="AC482" t="s">
        <v>497</v>
      </c>
      <c r="AD482">
        <v>3138</v>
      </c>
      <c r="AE482">
        <v>0</v>
      </c>
      <c r="AF482">
        <v>0</v>
      </c>
      <c r="AG482">
        <v>0</v>
      </c>
      <c r="AH482">
        <f t="shared" si="86"/>
        <v>1</v>
      </c>
      <c r="AI482">
        <f t="shared" si="87"/>
        <v>0</v>
      </c>
      <c r="AJ482">
        <f t="shared" si="88"/>
        <v>0</v>
      </c>
      <c r="AK482">
        <f t="shared" si="89"/>
        <v>0</v>
      </c>
      <c r="AL482">
        <f t="shared" si="90"/>
        <v>1</v>
      </c>
      <c r="AM482">
        <f t="shared" si="91"/>
        <v>0</v>
      </c>
      <c r="AN482">
        <f t="shared" si="92"/>
        <v>1</v>
      </c>
      <c r="AO482">
        <f>SUM(AN$2:$AN482)</f>
        <v>481</v>
      </c>
    </row>
    <row r="483" spans="1:41" customFormat="1" x14ac:dyDescent="0.35">
      <c r="A483" t="s">
        <v>166</v>
      </c>
      <c r="B483" t="s">
        <v>2519</v>
      </c>
      <c r="C483">
        <v>12600</v>
      </c>
      <c r="D483" t="s">
        <v>2520</v>
      </c>
      <c r="E483">
        <v>616</v>
      </c>
      <c r="F483">
        <v>999</v>
      </c>
      <c r="G483">
        <v>0</v>
      </c>
      <c r="H483">
        <v>0</v>
      </c>
      <c r="I483">
        <v>3090</v>
      </c>
      <c r="J483">
        <v>2747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0</v>
      </c>
      <c r="W483" t="s">
        <v>348</v>
      </c>
      <c r="X483">
        <v>6</v>
      </c>
      <c r="Y483" t="s">
        <v>442</v>
      </c>
      <c r="Z483" t="s">
        <v>2157</v>
      </c>
      <c r="AA483" t="s">
        <v>358</v>
      </c>
      <c r="AB483" t="s">
        <v>150</v>
      </c>
      <c r="AC483" t="s">
        <v>497</v>
      </c>
      <c r="AD483">
        <v>3176</v>
      </c>
      <c r="AE483">
        <v>0</v>
      </c>
      <c r="AF483">
        <v>0</v>
      </c>
      <c r="AG483">
        <v>0</v>
      </c>
      <c r="AH483">
        <f t="shared" si="86"/>
        <v>0</v>
      </c>
      <c r="AI483">
        <f t="shared" si="87"/>
        <v>0</v>
      </c>
      <c r="AJ483">
        <f t="shared" si="88"/>
        <v>1</v>
      </c>
      <c r="AK483">
        <f t="shared" si="89"/>
        <v>1</v>
      </c>
      <c r="AL483">
        <f t="shared" si="90"/>
        <v>0</v>
      </c>
      <c r="AM483">
        <f t="shared" si="91"/>
        <v>0</v>
      </c>
      <c r="AN483">
        <f t="shared" si="92"/>
        <v>1</v>
      </c>
      <c r="AO483">
        <f>SUM(AN$2:$AN483)</f>
        <v>482</v>
      </c>
    </row>
    <row r="484" spans="1:41" customFormat="1" x14ac:dyDescent="0.35">
      <c r="A484" t="s">
        <v>167</v>
      </c>
      <c r="B484" t="s">
        <v>1151</v>
      </c>
      <c r="C484">
        <v>8000</v>
      </c>
      <c r="D484" t="s">
        <v>1152</v>
      </c>
      <c r="E484">
        <v>391</v>
      </c>
      <c r="F484">
        <v>634</v>
      </c>
      <c r="G484">
        <v>0</v>
      </c>
      <c r="H484">
        <v>0</v>
      </c>
      <c r="I484">
        <v>0</v>
      </c>
      <c r="J484">
        <v>0</v>
      </c>
      <c r="K484">
        <v>1744</v>
      </c>
      <c r="L484">
        <v>1962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158</v>
      </c>
      <c r="X484">
        <v>6</v>
      </c>
      <c r="Y484" t="s">
        <v>435</v>
      </c>
      <c r="Z484" t="s">
        <v>2158</v>
      </c>
      <c r="AA484" t="s">
        <v>149</v>
      </c>
      <c r="AB484" t="s">
        <v>148</v>
      </c>
      <c r="AC484" t="s">
        <v>497</v>
      </c>
      <c r="AD484">
        <v>2017</v>
      </c>
      <c r="AE484">
        <v>0</v>
      </c>
      <c r="AF484">
        <v>0</v>
      </c>
      <c r="AG484">
        <v>0</v>
      </c>
      <c r="AH484">
        <f t="shared" ref="AH484:AH528" si="93">IF(G484&gt;1,1,0)</f>
        <v>0</v>
      </c>
      <c r="AI484">
        <f t="shared" ref="AI484:AI528" si="94">IF(H484&gt;1,1,0)</f>
        <v>0</v>
      </c>
      <c r="AJ484">
        <f t="shared" ref="AJ484:AJ528" si="95">IF(I484&gt;1,1,0)</f>
        <v>0</v>
      </c>
      <c r="AK484">
        <f t="shared" ref="AK484:AK528" si="96">IF(J484&gt;1,1,0)</f>
        <v>0</v>
      </c>
      <c r="AL484">
        <f t="shared" ref="AL484:AL528" si="97">IF(K484&gt;1,1,0)</f>
        <v>1</v>
      </c>
      <c r="AM484">
        <f t="shared" ref="AM484:AM528" si="98">IF(L484&gt;1,1,0)</f>
        <v>1</v>
      </c>
      <c r="AN484">
        <f t="shared" ref="AN484:AN528" si="99">MIN(1,($AV$2+IF(AND(AH484&gt;=$AP$3,AI484&gt;=$AQ$3,AJ484&gt;=$AR$3,AK484&gt;=$AS$3,AL484&gt;=$AT$3,AM484&gt;=$AU$3),1,0)))</f>
        <v>1</v>
      </c>
      <c r="AO484">
        <f>SUM(AN$2:$AN484)</f>
        <v>483</v>
      </c>
    </row>
    <row r="485" spans="1:41" customFormat="1" x14ac:dyDescent="0.35">
      <c r="A485" t="s">
        <v>167</v>
      </c>
      <c r="B485" t="s">
        <v>1149</v>
      </c>
      <c r="C485">
        <v>8100</v>
      </c>
      <c r="D485" t="s">
        <v>2159</v>
      </c>
      <c r="E485">
        <v>396</v>
      </c>
      <c r="F485">
        <v>642</v>
      </c>
      <c r="G485">
        <v>0</v>
      </c>
      <c r="H485">
        <v>0</v>
      </c>
      <c r="I485">
        <v>1987</v>
      </c>
      <c r="J485">
        <v>1766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348</v>
      </c>
      <c r="X485">
        <v>6</v>
      </c>
      <c r="Y485" t="s">
        <v>437</v>
      </c>
      <c r="Z485" t="s">
        <v>2160</v>
      </c>
      <c r="AA485" t="s">
        <v>497</v>
      </c>
      <c r="AB485" t="s">
        <v>497</v>
      </c>
      <c r="AC485" t="s">
        <v>497</v>
      </c>
      <c r="AD485">
        <v>2042</v>
      </c>
      <c r="AE485">
        <v>0</v>
      </c>
      <c r="AF485">
        <v>0</v>
      </c>
      <c r="AG485">
        <v>0</v>
      </c>
      <c r="AH485">
        <f t="shared" si="93"/>
        <v>0</v>
      </c>
      <c r="AI485">
        <f t="shared" si="94"/>
        <v>0</v>
      </c>
      <c r="AJ485">
        <f t="shared" si="95"/>
        <v>1</v>
      </c>
      <c r="AK485">
        <f t="shared" si="96"/>
        <v>1</v>
      </c>
      <c r="AL485">
        <f t="shared" si="97"/>
        <v>0</v>
      </c>
      <c r="AM485">
        <f t="shared" si="98"/>
        <v>0</v>
      </c>
      <c r="AN485">
        <f t="shared" si="99"/>
        <v>1</v>
      </c>
      <c r="AO485">
        <f>SUM(AN$2:$AN485)</f>
        <v>484</v>
      </c>
    </row>
    <row r="486" spans="1:41" x14ac:dyDescent="0.35">
      <c r="A486" t="s">
        <v>167</v>
      </c>
      <c r="B486" t="s">
        <v>1368</v>
      </c>
      <c r="C486">
        <v>8100</v>
      </c>
      <c r="D486" t="s">
        <v>2161</v>
      </c>
      <c r="E486">
        <v>396</v>
      </c>
      <c r="F486">
        <v>642</v>
      </c>
      <c r="G486">
        <v>0</v>
      </c>
      <c r="H486">
        <v>0</v>
      </c>
      <c r="I486">
        <v>1987</v>
      </c>
      <c r="J486">
        <v>1766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 t="s">
        <v>348</v>
      </c>
      <c r="X486">
        <v>6</v>
      </c>
      <c r="Y486" t="s">
        <v>437</v>
      </c>
      <c r="Z486" t="s">
        <v>2162</v>
      </c>
      <c r="AA486" t="s">
        <v>152</v>
      </c>
      <c r="AB486" t="s">
        <v>148</v>
      </c>
      <c r="AC486" t="s">
        <v>497</v>
      </c>
      <c r="AD486">
        <v>2042</v>
      </c>
      <c r="AE486">
        <v>0</v>
      </c>
      <c r="AF486">
        <v>0</v>
      </c>
      <c r="AG486">
        <v>0</v>
      </c>
      <c r="AH486">
        <f t="shared" si="93"/>
        <v>0</v>
      </c>
      <c r="AI486">
        <f t="shared" si="94"/>
        <v>0</v>
      </c>
      <c r="AJ486">
        <f t="shared" si="95"/>
        <v>1</v>
      </c>
      <c r="AK486">
        <f t="shared" si="96"/>
        <v>1</v>
      </c>
      <c r="AL486">
        <f t="shared" si="97"/>
        <v>0</v>
      </c>
      <c r="AM486">
        <f t="shared" si="98"/>
        <v>0</v>
      </c>
      <c r="AN486">
        <f t="shared" si="99"/>
        <v>1</v>
      </c>
      <c r="AO486">
        <f>SUM(AN$2:$AN486)</f>
        <v>485</v>
      </c>
    </row>
    <row r="487" spans="1:41" x14ac:dyDescent="0.35">
      <c r="A487" t="s">
        <v>167</v>
      </c>
      <c r="B487" t="s">
        <v>1150</v>
      </c>
      <c r="C487">
        <v>8150</v>
      </c>
      <c r="D487" t="s">
        <v>2163</v>
      </c>
      <c r="E487">
        <v>398</v>
      </c>
      <c r="F487">
        <v>646</v>
      </c>
      <c r="G487">
        <v>0</v>
      </c>
      <c r="H487">
        <v>0</v>
      </c>
      <c r="I487">
        <v>1999</v>
      </c>
      <c r="J487">
        <v>0</v>
      </c>
      <c r="K487">
        <v>1777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 t="s">
        <v>159</v>
      </c>
      <c r="X487">
        <v>6</v>
      </c>
      <c r="Y487" t="s">
        <v>438</v>
      </c>
      <c r="Z487" t="s">
        <v>2164</v>
      </c>
      <c r="AA487" t="s">
        <v>153</v>
      </c>
      <c r="AB487" t="s">
        <v>150</v>
      </c>
      <c r="AC487" t="s">
        <v>497</v>
      </c>
      <c r="AD487">
        <v>2054</v>
      </c>
      <c r="AE487">
        <v>0</v>
      </c>
      <c r="AF487">
        <v>0</v>
      </c>
      <c r="AG487">
        <v>0</v>
      </c>
      <c r="AH487">
        <f t="shared" si="93"/>
        <v>0</v>
      </c>
      <c r="AI487">
        <f t="shared" si="94"/>
        <v>0</v>
      </c>
      <c r="AJ487">
        <f t="shared" si="95"/>
        <v>1</v>
      </c>
      <c r="AK487">
        <f t="shared" si="96"/>
        <v>0</v>
      </c>
      <c r="AL487">
        <f t="shared" si="97"/>
        <v>1</v>
      </c>
      <c r="AM487">
        <f t="shared" si="98"/>
        <v>0</v>
      </c>
      <c r="AN487">
        <f t="shared" si="99"/>
        <v>1</v>
      </c>
      <c r="AO487">
        <f>SUM(AN$2:$AN487)</f>
        <v>486</v>
      </c>
    </row>
    <row r="488" spans="1:41" x14ac:dyDescent="0.35">
      <c r="A488" t="s">
        <v>167</v>
      </c>
      <c r="B488" t="s">
        <v>1153</v>
      </c>
      <c r="C488">
        <v>8600</v>
      </c>
      <c r="D488" t="s">
        <v>2165</v>
      </c>
      <c r="E488">
        <v>525</v>
      </c>
      <c r="F488">
        <v>1049</v>
      </c>
      <c r="G488">
        <v>2695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1</v>
      </c>
      <c r="U488">
        <v>0</v>
      </c>
      <c r="V488">
        <v>0</v>
      </c>
      <c r="W488" t="s">
        <v>161</v>
      </c>
      <c r="X488">
        <v>6</v>
      </c>
      <c r="Y488" t="s">
        <v>628</v>
      </c>
      <c r="Z488" t="s">
        <v>2166</v>
      </c>
      <c r="AA488" t="s">
        <v>150</v>
      </c>
      <c r="AB488" t="s">
        <v>358</v>
      </c>
      <c r="AC488" t="s">
        <v>497</v>
      </c>
      <c r="AD488">
        <v>2168</v>
      </c>
      <c r="AE488">
        <v>0</v>
      </c>
      <c r="AF488">
        <v>0</v>
      </c>
      <c r="AG488">
        <v>0</v>
      </c>
      <c r="AH488">
        <f t="shared" si="93"/>
        <v>1</v>
      </c>
      <c r="AI488">
        <f t="shared" si="94"/>
        <v>0</v>
      </c>
      <c r="AJ488">
        <f t="shared" si="95"/>
        <v>0</v>
      </c>
      <c r="AK488">
        <f t="shared" si="96"/>
        <v>0</v>
      </c>
      <c r="AL488">
        <f t="shared" si="97"/>
        <v>0</v>
      </c>
      <c r="AM488">
        <f t="shared" si="98"/>
        <v>0</v>
      </c>
      <c r="AN488">
        <f t="shared" si="99"/>
        <v>1</v>
      </c>
      <c r="AO488">
        <f>SUM(AN$2:$AN488)</f>
        <v>487</v>
      </c>
    </row>
    <row r="489" spans="1:41" x14ac:dyDescent="0.35">
      <c r="A489" t="s">
        <v>167</v>
      </c>
      <c r="B489" t="s">
        <v>1368</v>
      </c>
      <c r="C489">
        <v>8800</v>
      </c>
      <c r="D489" t="s">
        <v>1369</v>
      </c>
      <c r="E489">
        <v>430</v>
      </c>
      <c r="F489">
        <v>698</v>
      </c>
      <c r="G489">
        <v>0</v>
      </c>
      <c r="H489">
        <v>0</v>
      </c>
      <c r="I489">
        <v>2158</v>
      </c>
      <c r="J489">
        <v>1918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 t="s">
        <v>348</v>
      </c>
      <c r="X489">
        <v>6</v>
      </c>
      <c r="Y489" t="s">
        <v>437</v>
      </c>
      <c r="Z489" t="s">
        <v>2167</v>
      </c>
      <c r="AA489" t="s">
        <v>152</v>
      </c>
      <c r="AB489" t="s">
        <v>148</v>
      </c>
      <c r="AC489" t="s">
        <v>497</v>
      </c>
      <c r="AD489">
        <v>2218</v>
      </c>
      <c r="AE489">
        <v>0</v>
      </c>
      <c r="AF489">
        <v>0</v>
      </c>
      <c r="AG489">
        <v>0</v>
      </c>
      <c r="AH489">
        <f t="shared" si="93"/>
        <v>0</v>
      </c>
      <c r="AI489">
        <f t="shared" si="94"/>
        <v>0</v>
      </c>
      <c r="AJ489">
        <f t="shared" si="95"/>
        <v>1</v>
      </c>
      <c r="AK489">
        <f t="shared" si="96"/>
        <v>1</v>
      </c>
      <c r="AL489">
        <f t="shared" si="97"/>
        <v>0</v>
      </c>
      <c r="AM489">
        <f t="shared" si="98"/>
        <v>0</v>
      </c>
      <c r="AN489">
        <f t="shared" si="99"/>
        <v>1</v>
      </c>
      <c r="AO489">
        <f>SUM(AN$2:$AN489)</f>
        <v>488</v>
      </c>
    </row>
    <row r="490" spans="1:41" x14ac:dyDescent="0.35">
      <c r="A490" t="s">
        <v>167</v>
      </c>
      <c r="B490" t="s">
        <v>1150</v>
      </c>
      <c r="C490">
        <v>8800</v>
      </c>
      <c r="D490" t="s">
        <v>1155</v>
      </c>
      <c r="E490">
        <v>430</v>
      </c>
      <c r="F490">
        <v>698</v>
      </c>
      <c r="G490">
        <v>0</v>
      </c>
      <c r="H490">
        <v>0</v>
      </c>
      <c r="I490">
        <v>2158</v>
      </c>
      <c r="J490">
        <v>0</v>
      </c>
      <c r="K490">
        <v>1918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 t="s">
        <v>159</v>
      </c>
      <c r="X490">
        <v>6</v>
      </c>
      <c r="Y490" t="s">
        <v>438</v>
      </c>
      <c r="Z490" t="s">
        <v>2168</v>
      </c>
      <c r="AA490" t="s">
        <v>153</v>
      </c>
      <c r="AB490" t="s">
        <v>150</v>
      </c>
      <c r="AC490" t="s">
        <v>497</v>
      </c>
      <c r="AD490">
        <v>2218</v>
      </c>
      <c r="AE490">
        <v>0</v>
      </c>
      <c r="AF490">
        <v>0</v>
      </c>
      <c r="AG490">
        <v>0</v>
      </c>
      <c r="AH490">
        <f t="shared" si="93"/>
        <v>0</v>
      </c>
      <c r="AI490">
        <f t="shared" si="94"/>
        <v>0</v>
      </c>
      <c r="AJ490">
        <f t="shared" si="95"/>
        <v>1</v>
      </c>
      <c r="AK490">
        <f t="shared" si="96"/>
        <v>0</v>
      </c>
      <c r="AL490">
        <f t="shared" si="97"/>
        <v>1</v>
      </c>
      <c r="AM490">
        <f t="shared" si="98"/>
        <v>0</v>
      </c>
      <c r="AN490">
        <f t="shared" si="99"/>
        <v>1</v>
      </c>
      <c r="AO490">
        <f>SUM(AN$2:$AN490)</f>
        <v>489</v>
      </c>
    </row>
    <row r="491" spans="1:41" x14ac:dyDescent="0.35">
      <c r="A491" t="s">
        <v>167</v>
      </c>
      <c r="B491" t="s">
        <v>1154</v>
      </c>
      <c r="C491">
        <v>9100</v>
      </c>
      <c r="D491" t="s">
        <v>2169</v>
      </c>
      <c r="E491">
        <v>445</v>
      </c>
      <c r="F491">
        <v>722</v>
      </c>
      <c r="G491">
        <v>0</v>
      </c>
      <c r="H491">
        <v>0</v>
      </c>
      <c r="I491">
        <v>2232</v>
      </c>
      <c r="J491">
        <v>1984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 t="s">
        <v>348</v>
      </c>
      <c r="X491">
        <v>6</v>
      </c>
      <c r="Y491" t="s">
        <v>435</v>
      </c>
      <c r="Z491" t="s">
        <v>2170</v>
      </c>
      <c r="AA491" t="s">
        <v>152</v>
      </c>
      <c r="AB491" t="s">
        <v>148</v>
      </c>
      <c r="AC491" t="s">
        <v>497</v>
      </c>
      <c r="AD491">
        <v>2294</v>
      </c>
      <c r="AE491">
        <v>0</v>
      </c>
      <c r="AF491">
        <v>0</v>
      </c>
      <c r="AG491">
        <v>0</v>
      </c>
      <c r="AH491">
        <f t="shared" si="93"/>
        <v>0</v>
      </c>
      <c r="AI491">
        <f t="shared" si="94"/>
        <v>0</v>
      </c>
      <c r="AJ491">
        <f t="shared" si="95"/>
        <v>1</v>
      </c>
      <c r="AK491">
        <f t="shared" si="96"/>
        <v>1</v>
      </c>
      <c r="AL491">
        <f t="shared" si="97"/>
        <v>0</v>
      </c>
      <c r="AM491">
        <f t="shared" si="98"/>
        <v>0</v>
      </c>
      <c r="AN491">
        <f t="shared" si="99"/>
        <v>1</v>
      </c>
      <c r="AO491">
        <f>SUM(AN$2:$AN491)</f>
        <v>490</v>
      </c>
    </row>
    <row r="492" spans="1:41" x14ac:dyDescent="0.35">
      <c r="A492" t="s">
        <v>167</v>
      </c>
      <c r="B492" t="s">
        <v>1150</v>
      </c>
      <c r="C492">
        <v>9450</v>
      </c>
      <c r="D492" t="s">
        <v>2171</v>
      </c>
      <c r="E492">
        <v>462</v>
      </c>
      <c r="F492">
        <v>749</v>
      </c>
      <c r="G492">
        <v>0</v>
      </c>
      <c r="H492">
        <v>0</v>
      </c>
      <c r="I492">
        <v>2318</v>
      </c>
      <c r="J492">
        <v>0</v>
      </c>
      <c r="K492">
        <v>2060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 t="s">
        <v>159</v>
      </c>
      <c r="X492">
        <v>6</v>
      </c>
      <c r="Y492" t="s">
        <v>438</v>
      </c>
      <c r="Z492" t="s">
        <v>2172</v>
      </c>
      <c r="AA492" t="s">
        <v>153</v>
      </c>
      <c r="AB492" t="s">
        <v>150</v>
      </c>
      <c r="AC492" t="s">
        <v>497</v>
      </c>
      <c r="AD492">
        <v>2382</v>
      </c>
      <c r="AE492">
        <v>0</v>
      </c>
      <c r="AF492">
        <v>0</v>
      </c>
      <c r="AG492">
        <v>0</v>
      </c>
      <c r="AH492">
        <f t="shared" si="93"/>
        <v>0</v>
      </c>
      <c r="AI492">
        <f t="shared" si="94"/>
        <v>0</v>
      </c>
      <c r="AJ492">
        <f t="shared" si="95"/>
        <v>1</v>
      </c>
      <c r="AK492">
        <f t="shared" si="96"/>
        <v>0</v>
      </c>
      <c r="AL492">
        <f t="shared" si="97"/>
        <v>1</v>
      </c>
      <c r="AM492">
        <f t="shared" si="98"/>
        <v>0</v>
      </c>
      <c r="AN492">
        <f t="shared" si="99"/>
        <v>1</v>
      </c>
      <c r="AO492">
        <f>SUM(AN$2:$AN492)</f>
        <v>491</v>
      </c>
    </row>
    <row r="493" spans="1:41" x14ac:dyDescent="0.35">
      <c r="A493" t="s">
        <v>167</v>
      </c>
      <c r="B493" t="s">
        <v>2649</v>
      </c>
      <c r="C493">
        <v>9500</v>
      </c>
      <c r="D493" t="s">
        <v>2650</v>
      </c>
      <c r="E493">
        <v>464</v>
      </c>
      <c r="F493">
        <v>753</v>
      </c>
      <c r="G493">
        <v>0</v>
      </c>
      <c r="H493">
        <v>0</v>
      </c>
      <c r="I493">
        <v>2330</v>
      </c>
      <c r="J493">
        <v>2071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 t="s">
        <v>348</v>
      </c>
      <c r="X493">
        <v>6</v>
      </c>
      <c r="Y493" t="s">
        <v>438</v>
      </c>
      <c r="Z493" t="s">
        <v>2173</v>
      </c>
      <c r="AA493" t="s">
        <v>152</v>
      </c>
      <c r="AB493" t="s">
        <v>148</v>
      </c>
      <c r="AC493" t="s">
        <v>497</v>
      </c>
      <c r="AD493">
        <v>2395</v>
      </c>
      <c r="AE493">
        <v>0</v>
      </c>
      <c r="AF493">
        <v>0</v>
      </c>
      <c r="AG493">
        <v>0</v>
      </c>
      <c r="AH493">
        <f t="shared" si="93"/>
        <v>0</v>
      </c>
      <c r="AI493">
        <f t="shared" si="94"/>
        <v>0</v>
      </c>
      <c r="AJ493">
        <f t="shared" si="95"/>
        <v>1</v>
      </c>
      <c r="AK493">
        <f t="shared" si="96"/>
        <v>1</v>
      </c>
      <c r="AL493">
        <f t="shared" si="97"/>
        <v>0</v>
      </c>
      <c r="AM493">
        <f t="shared" si="98"/>
        <v>0</v>
      </c>
      <c r="AN493">
        <f t="shared" si="99"/>
        <v>1</v>
      </c>
      <c r="AO493">
        <f>SUM(AN$2:$AN493)</f>
        <v>492</v>
      </c>
    </row>
    <row r="494" spans="1:41" x14ac:dyDescent="0.35">
      <c r="A494" t="s">
        <v>167</v>
      </c>
      <c r="B494" t="s">
        <v>1370</v>
      </c>
      <c r="C494">
        <v>9600</v>
      </c>
      <c r="D494" t="s">
        <v>1371</v>
      </c>
      <c r="E494">
        <v>469</v>
      </c>
      <c r="F494">
        <v>761</v>
      </c>
      <c r="G494">
        <v>0</v>
      </c>
      <c r="H494">
        <v>0</v>
      </c>
      <c r="I494">
        <v>0</v>
      </c>
      <c r="J494">
        <v>2093</v>
      </c>
      <c r="K494">
        <v>0</v>
      </c>
      <c r="L494">
        <v>2354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349</v>
      </c>
      <c r="X494">
        <v>6</v>
      </c>
      <c r="Y494" t="s">
        <v>443</v>
      </c>
      <c r="Z494" t="s">
        <v>2174</v>
      </c>
      <c r="AA494" t="s">
        <v>150</v>
      </c>
      <c r="AB494" t="s">
        <v>149</v>
      </c>
      <c r="AC494" t="s">
        <v>497</v>
      </c>
      <c r="AD494">
        <v>2420</v>
      </c>
      <c r="AE494">
        <v>0</v>
      </c>
      <c r="AF494">
        <v>0</v>
      </c>
      <c r="AG494">
        <v>0</v>
      </c>
      <c r="AH494">
        <f t="shared" si="93"/>
        <v>0</v>
      </c>
      <c r="AI494">
        <f t="shared" si="94"/>
        <v>0</v>
      </c>
      <c r="AJ494">
        <f t="shared" si="95"/>
        <v>0</v>
      </c>
      <c r="AK494">
        <f t="shared" si="96"/>
        <v>1</v>
      </c>
      <c r="AL494">
        <f t="shared" si="97"/>
        <v>0</v>
      </c>
      <c r="AM494">
        <f t="shared" si="98"/>
        <v>1</v>
      </c>
      <c r="AN494">
        <f t="shared" si="99"/>
        <v>1</v>
      </c>
      <c r="AO494">
        <f>SUM(AN$2:$AN494)</f>
        <v>493</v>
      </c>
    </row>
    <row r="495" spans="1:41" x14ac:dyDescent="0.35">
      <c r="A495" t="s">
        <v>167</v>
      </c>
      <c r="B495" t="s">
        <v>1156</v>
      </c>
      <c r="C495">
        <v>10000</v>
      </c>
      <c r="D495" t="s">
        <v>2175</v>
      </c>
      <c r="E495">
        <v>489</v>
      </c>
      <c r="F495">
        <v>793</v>
      </c>
      <c r="G495">
        <v>0</v>
      </c>
      <c r="H495">
        <v>0</v>
      </c>
      <c r="I495">
        <v>0</v>
      </c>
      <c r="J495">
        <v>2453</v>
      </c>
      <c r="K495">
        <v>2180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 t="s">
        <v>347</v>
      </c>
      <c r="X495">
        <v>6</v>
      </c>
      <c r="Y495" t="s">
        <v>435</v>
      </c>
      <c r="Z495" t="s">
        <v>2176</v>
      </c>
      <c r="AA495" t="s">
        <v>153</v>
      </c>
      <c r="AB495" t="s">
        <v>150</v>
      </c>
      <c r="AC495" t="s">
        <v>497</v>
      </c>
      <c r="AD495">
        <v>2521</v>
      </c>
      <c r="AE495">
        <v>0</v>
      </c>
      <c r="AF495">
        <v>0</v>
      </c>
      <c r="AG495">
        <v>0</v>
      </c>
      <c r="AH495">
        <f t="shared" si="93"/>
        <v>0</v>
      </c>
      <c r="AI495">
        <f t="shared" si="94"/>
        <v>0</v>
      </c>
      <c r="AJ495">
        <f t="shared" si="95"/>
        <v>0</v>
      </c>
      <c r="AK495">
        <f t="shared" si="96"/>
        <v>1</v>
      </c>
      <c r="AL495">
        <f t="shared" si="97"/>
        <v>1</v>
      </c>
      <c r="AM495">
        <f t="shared" si="98"/>
        <v>0</v>
      </c>
      <c r="AN495">
        <f t="shared" si="99"/>
        <v>1</v>
      </c>
      <c r="AO495">
        <f>SUM(AN$2:$AN495)</f>
        <v>494</v>
      </c>
    </row>
    <row r="496" spans="1:41" x14ac:dyDescent="0.35">
      <c r="A496" t="s">
        <v>167</v>
      </c>
      <c r="B496" t="s">
        <v>1157</v>
      </c>
      <c r="C496">
        <v>10000</v>
      </c>
      <c r="D496" t="s">
        <v>2177</v>
      </c>
      <c r="E496">
        <v>489</v>
      </c>
      <c r="F496">
        <v>793</v>
      </c>
      <c r="G496">
        <v>0</v>
      </c>
      <c r="H496">
        <v>0</v>
      </c>
      <c r="I496">
        <v>2453</v>
      </c>
      <c r="J496">
        <v>2180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 t="s">
        <v>348</v>
      </c>
      <c r="X496">
        <v>6</v>
      </c>
      <c r="Y496" t="s">
        <v>435</v>
      </c>
      <c r="Z496" t="s">
        <v>2178</v>
      </c>
      <c r="AA496" t="s">
        <v>152</v>
      </c>
      <c r="AB496" t="s">
        <v>148</v>
      </c>
      <c r="AC496" t="s">
        <v>497</v>
      </c>
      <c r="AD496">
        <v>2521</v>
      </c>
      <c r="AE496">
        <v>0</v>
      </c>
      <c r="AF496">
        <v>0</v>
      </c>
      <c r="AG496">
        <v>0</v>
      </c>
      <c r="AH496">
        <f t="shared" si="93"/>
        <v>0</v>
      </c>
      <c r="AI496">
        <f t="shared" si="94"/>
        <v>0</v>
      </c>
      <c r="AJ496">
        <f t="shared" si="95"/>
        <v>1</v>
      </c>
      <c r="AK496">
        <f t="shared" si="96"/>
        <v>1</v>
      </c>
      <c r="AL496">
        <f t="shared" si="97"/>
        <v>0</v>
      </c>
      <c r="AM496">
        <f t="shared" si="98"/>
        <v>0</v>
      </c>
      <c r="AN496">
        <f t="shared" si="99"/>
        <v>1</v>
      </c>
      <c r="AO496">
        <f>SUM(AN$2:$AN496)</f>
        <v>495</v>
      </c>
    </row>
    <row r="497" spans="1:41" x14ac:dyDescent="0.35">
      <c r="A497" t="s">
        <v>167</v>
      </c>
      <c r="B497" t="s">
        <v>1372</v>
      </c>
      <c r="C497">
        <v>10000</v>
      </c>
      <c r="D497" t="s">
        <v>1373</v>
      </c>
      <c r="E497">
        <v>489</v>
      </c>
      <c r="F497">
        <v>793</v>
      </c>
      <c r="G497">
        <v>0</v>
      </c>
      <c r="H497">
        <v>0</v>
      </c>
      <c r="I497">
        <v>2453</v>
      </c>
      <c r="J497">
        <v>2180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 t="s">
        <v>348</v>
      </c>
      <c r="X497">
        <v>6</v>
      </c>
      <c r="Y497" t="s">
        <v>439</v>
      </c>
      <c r="Z497" t="s">
        <v>2179</v>
      </c>
      <c r="AA497" t="s">
        <v>152</v>
      </c>
      <c r="AB497" t="s">
        <v>148</v>
      </c>
      <c r="AC497" t="s">
        <v>497</v>
      </c>
      <c r="AD497">
        <v>2521</v>
      </c>
      <c r="AE497">
        <v>0</v>
      </c>
      <c r="AF497">
        <v>0</v>
      </c>
      <c r="AG497">
        <v>0</v>
      </c>
      <c r="AH497">
        <f t="shared" si="93"/>
        <v>0</v>
      </c>
      <c r="AI497">
        <f t="shared" si="94"/>
        <v>0</v>
      </c>
      <c r="AJ497">
        <f t="shared" si="95"/>
        <v>1</v>
      </c>
      <c r="AK497">
        <f t="shared" si="96"/>
        <v>1</v>
      </c>
      <c r="AL497">
        <f t="shared" si="97"/>
        <v>0</v>
      </c>
      <c r="AM497">
        <f t="shared" si="98"/>
        <v>0</v>
      </c>
      <c r="AN497">
        <f t="shared" si="99"/>
        <v>1</v>
      </c>
      <c r="AO497">
        <f>SUM(AN$2:$AN497)</f>
        <v>496</v>
      </c>
    </row>
    <row r="498" spans="1:41" x14ac:dyDescent="0.35">
      <c r="A498" t="s">
        <v>167</v>
      </c>
      <c r="B498" t="s">
        <v>1158</v>
      </c>
      <c r="C498">
        <v>10000</v>
      </c>
      <c r="D498" t="s">
        <v>2180</v>
      </c>
      <c r="E498">
        <v>489</v>
      </c>
      <c r="F498">
        <v>793</v>
      </c>
      <c r="G498">
        <v>0</v>
      </c>
      <c r="H498">
        <v>0</v>
      </c>
      <c r="I498">
        <v>0</v>
      </c>
      <c r="J498">
        <v>2180</v>
      </c>
      <c r="K498">
        <v>0</v>
      </c>
      <c r="L498">
        <v>2453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349</v>
      </c>
      <c r="X498">
        <v>6</v>
      </c>
      <c r="Y498" t="s">
        <v>435</v>
      </c>
      <c r="Z498" t="s">
        <v>2181</v>
      </c>
      <c r="AA498" t="s">
        <v>150</v>
      </c>
      <c r="AB498" t="s">
        <v>149</v>
      </c>
      <c r="AC498" t="s">
        <v>497</v>
      </c>
      <c r="AD498">
        <v>2521</v>
      </c>
      <c r="AE498">
        <v>0</v>
      </c>
      <c r="AF498">
        <v>0</v>
      </c>
      <c r="AG498">
        <v>0</v>
      </c>
      <c r="AH498">
        <f t="shared" si="93"/>
        <v>0</v>
      </c>
      <c r="AI498">
        <f t="shared" si="94"/>
        <v>0</v>
      </c>
      <c r="AJ498">
        <f t="shared" si="95"/>
        <v>0</v>
      </c>
      <c r="AK498">
        <f t="shared" si="96"/>
        <v>1</v>
      </c>
      <c r="AL498">
        <f t="shared" si="97"/>
        <v>0</v>
      </c>
      <c r="AM498">
        <f t="shared" si="98"/>
        <v>1</v>
      </c>
      <c r="AN498">
        <f t="shared" si="99"/>
        <v>1</v>
      </c>
      <c r="AO498">
        <f>SUM(AN$2:$AN498)</f>
        <v>497</v>
      </c>
    </row>
    <row r="499" spans="1:41" x14ac:dyDescent="0.35">
      <c r="A499" t="s">
        <v>167</v>
      </c>
      <c r="B499" t="s">
        <v>1163</v>
      </c>
      <c r="C499">
        <v>10000</v>
      </c>
      <c r="D499" t="s">
        <v>1164</v>
      </c>
      <c r="E499">
        <v>489</v>
      </c>
      <c r="F499">
        <v>793</v>
      </c>
      <c r="G499">
        <v>0</v>
      </c>
      <c r="H499">
        <v>0</v>
      </c>
      <c r="I499">
        <v>0</v>
      </c>
      <c r="J499">
        <v>2180</v>
      </c>
      <c r="K499">
        <v>0</v>
      </c>
      <c r="L499">
        <v>2453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349</v>
      </c>
      <c r="X499">
        <v>6</v>
      </c>
      <c r="Y499" t="s">
        <v>443</v>
      </c>
      <c r="Z499" t="s">
        <v>2182</v>
      </c>
      <c r="AA499" t="s">
        <v>150</v>
      </c>
      <c r="AB499" t="s">
        <v>149</v>
      </c>
      <c r="AC499" t="s">
        <v>497</v>
      </c>
      <c r="AD499">
        <v>2521</v>
      </c>
      <c r="AE499">
        <v>0</v>
      </c>
      <c r="AF499">
        <v>0</v>
      </c>
      <c r="AG499">
        <v>0</v>
      </c>
      <c r="AH499">
        <f t="shared" si="93"/>
        <v>0</v>
      </c>
      <c r="AI499">
        <f t="shared" si="94"/>
        <v>0</v>
      </c>
      <c r="AJ499">
        <f t="shared" si="95"/>
        <v>0</v>
      </c>
      <c r="AK499">
        <f t="shared" si="96"/>
        <v>1</v>
      </c>
      <c r="AL499">
        <f t="shared" si="97"/>
        <v>0</v>
      </c>
      <c r="AM499">
        <f t="shared" si="98"/>
        <v>1</v>
      </c>
      <c r="AN499">
        <f t="shared" si="99"/>
        <v>1</v>
      </c>
      <c r="AO499">
        <f>SUM(AN$2:$AN499)</f>
        <v>498</v>
      </c>
    </row>
    <row r="500" spans="1:41" x14ac:dyDescent="0.35">
      <c r="A500" t="s">
        <v>167</v>
      </c>
      <c r="B500" t="s">
        <v>1159</v>
      </c>
      <c r="C500">
        <v>10000</v>
      </c>
      <c r="D500" t="s">
        <v>2183</v>
      </c>
      <c r="E500">
        <v>489</v>
      </c>
      <c r="F500">
        <v>793</v>
      </c>
      <c r="G500">
        <v>0</v>
      </c>
      <c r="H500">
        <v>0</v>
      </c>
      <c r="I500">
        <v>0</v>
      </c>
      <c r="J500">
        <v>0</v>
      </c>
      <c r="K500">
        <v>2180</v>
      </c>
      <c r="L500">
        <v>2453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158</v>
      </c>
      <c r="X500">
        <v>6</v>
      </c>
      <c r="Y500" t="s">
        <v>435</v>
      </c>
      <c r="Z500" t="s">
        <v>2184</v>
      </c>
      <c r="AA500" t="s">
        <v>149</v>
      </c>
      <c r="AB500" t="s">
        <v>148</v>
      </c>
      <c r="AC500" t="s">
        <v>497</v>
      </c>
      <c r="AD500">
        <v>2521</v>
      </c>
      <c r="AE500">
        <v>0</v>
      </c>
      <c r="AF500">
        <v>0</v>
      </c>
      <c r="AG500">
        <v>0</v>
      </c>
      <c r="AH500">
        <f t="shared" si="93"/>
        <v>0</v>
      </c>
      <c r="AI500">
        <f t="shared" si="94"/>
        <v>0</v>
      </c>
      <c r="AJ500">
        <f t="shared" si="95"/>
        <v>0</v>
      </c>
      <c r="AK500">
        <f t="shared" si="96"/>
        <v>0</v>
      </c>
      <c r="AL500">
        <f t="shared" si="97"/>
        <v>1</v>
      </c>
      <c r="AM500">
        <f t="shared" si="98"/>
        <v>1</v>
      </c>
      <c r="AN500">
        <f t="shared" si="99"/>
        <v>1</v>
      </c>
      <c r="AO500">
        <f>SUM(AN$2:$AN500)</f>
        <v>499</v>
      </c>
    </row>
    <row r="501" spans="1:41" x14ac:dyDescent="0.35">
      <c r="A501" t="s">
        <v>167</v>
      </c>
      <c r="B501" t="s">
        <v>1160</v>
      </c>
      <c r="C501">
        <v>10000</v>
      </c>
      <c r="D501" t="s">
        <v>2185</v>
      </c>
      <c r="E501">
        <v>489</v>
      </c>
      <c r="F501">
        <v>793</v>
      </c>
      <c r="G501">
        <v>0</v>
      </c>
      <c r="H501">
        <v>0</v>
      </c>
      <c r="I501">
        <v>2453</v>
      </c>
      <c r="J501">
        <v>0</v>
      </c>
      <c r="K501">
        <v>2180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 t="s">
        <v>159</v>
      </c>
      <c r="X501">
        <v>6</v>
      </c>
      <c r="Y501" t="s">
        <v>435</v>
      </c>
      <c r="Z501" t="s">
        <v>2186</v>
      </c>
      <c r="AA501" t="s">
        <v>153</v>
      </c>
      <c r="AB501" t="s">
        <v>150</v>
      </c>
      <c r="AC501" t="s">
        <v>497</v>
      </c>
      <c r="AD501">
        <v>2521</v>
      </c>
      <c r="AE501">
        <v>0</v>
      </c>
      <c r="AF501">
        <v>0</v>
      </c>
      <c r="AG501">
        <v>0</v>
      </c>
      <c r="AH501">
        <f t="shared" si="93"/>
        <v>0</v>
      </c>
      <c r="AI501">
        <f t="shared" si="94"/>
        <v>0</v>
      </c>
      <c r="AJ501">
        <f t="shared" si="95"/>
        <v>1</v>
      </c>
      <c r="AK501">
        <f t="shared" si="96"/>
        <v>0</v>
      </c>
      <c r="AL501">
        <f t="shared" si="97"/>
        <v>1</v>
      </c>
      <c r="AM501">
        <f t="shared" si="98"/>
        <v>0</v>
      </c>
      <c r="AN501">
        <f t="shared" si="99"/>
        <v>1</v>
      </c>
      <c r="AO501">
        <f>SUM(AN$2:$AN501)</f>
        <v>500</v>
      </c>
    </row>
    <row r="502" spans="1:41" x14ac:dyDescent="0.35">
      <c r="A502" t="s">
        <v>167</v>
      </c>
      <c r="B502" t="s">
        <v>1161</v>
      </c>
      <c r="C502">
        <v>10000</v>
      </c>
      <c r="D502" t="s">
        <v>2187</v>
      </c>
      <c r="E502">
        <v>489</v>
      </c>
      <c r="F502">
        <v>793</v>
      </c>
      <c r="G502">
        <v>0</v>
      </c>
      <c r="H502">
        <v>0</v>
      </c>
      <c r="I502">
        <v>2453</v>
      </c>
      <c r="J502">
        <v>0</v>
      </c>
      <c r="K502">
        <v>2180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 t="s">
        <v>159</v>
      </c>
      <c r="X502">
        <v>6</v>
      </c>
      <c r="Y502" t="s">
        <v>435</v>
      </c>
      <c r="Z502" t="s">
        <v>2188</v>
      </c>
      <c r="AA502" t="s">
        <v>153</v>
      </c>
      <c r="AB502" t="s">
        <v>150</v>
      </c>
      <c r="AC502" t="s">
        <v>497</v>
      </c>
      <c r="AD502">
        <v>2521</v>
      </c>
      <c r="AE502">
        <v>0</v>
      </c>
      <c r="AF502">
        <v>0</v>
      </c>
      <c r="AG502">
        <v>0</v>
      </c>
      <c r="AH502">
        <f t="shared" si="93"/>
        <v>0</v>
      </c>
      <c r="AI502">
        <f t="shared" si="94"/>
        <v>0</v>
      </c>
      <c r="AJ502">
        <f t="shared" si="95"/>
        <v>1</v>
      </c>
      <c r="AK502">
        <f t="shared" si="96"/>
        <v>0</v>
      </c>
      <c r="AL502">
        <f t="shared" si="97"/>
        <v>1</v>
      </c>
      <c r="AM502">
        <f t="shared" si="98"/>
        <v>0</v>
      </c>
      <c r="AN502">
        <f t="shared" si="99"/>
        <v>1</v>
      </c>
      <c r="AO502">
        <f>SUM(AN$2:$AN502)</f>
        <v>501</v>
      </c>
    </row>
    <row r="503" spans="1:41" x14ac:dyDescent="0.35">
      <c r="A503" t="s">
        <v>167</v>
      </c>
      <c r="B503" t="s">
        <v>1497</v>
      </c>
      <c r="C503">
        <v>10000</v>
      </c>
      <c r="D503" t="s">
        <v>1498</v>
      </c>
      <c r="E503">
        <v>489</v>
      </c>
      <c r="F503">
        <v>793</v>
      </c>
      <c r="G503">
        <v>2453</v>
      </c>
      <c r="H503">
        <v>0</v>
      </c>
      <c r="I503">
        <v>0</v>
      </c>
      <c r="J503">
        <v>2180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 t="s">
        <v>350</v>
      </c>
      <c r="X503">
        <v>6</v>
      </c>
      <c r="Y503" t="s">
        <v>434</v>
      </c>
      <c r="Z503" t="s">
        <v>2189</v>
      </c>
      <c r="AA503" t="s">
        <v>151</v>
      </c>
      <c r="AB503" t="s">
        <v>150</v>
      </c>
      <c r="AC503" t="s">
        <v>497</v>
      </c>
      <c r="AD503">
        <v>2521</v>
      </c>
      <c r="AE503">
        <v>0</v>
      </c>
      <c r="AF503">
        <v>0</v>
      </c>
      <c r="AG503">
        <v>0</v>
      </c>
      <c r="AH503">
        <f t="shared" si="93"/>
        <v>1</v>
      </c>
      <c r="AI503">
        <f t="shared" si="94"/>
        <v>0</v>
      </c>
      <c r="AJ503">
        <f t="shared" si="95"/>
        <v>0</v>
      </c>
      <c r="AK503">
        <f t="shared" si="96"/>
        <v>1</v>
      </c>
      <c r="AL503">
        <f t="shared" si="97"/>
        <v>0</v>
      </c>
      <c r="AM503">
        <f t="shared" si="98"/>
        <v>0</v>
      </c>
      <c r="AN503">
        <f t="shared" si="99"/>
        <v>1</v>
      </c>
      <c r="AO503">
        <f>SUM(AN$2:$AN503)</f>
        <v>502</v>
      </c>
    </row>
    <row r="504" spans="1:41" x14ac:dyDescent="0.35">
      <c r="A504" t="s">
        <v>167</v>
      </c>
      <c r="B504" t="s">
        <v>1162</v>
      </c>
      <c r="C504">
        <v>10000</v>
      </c>
      <c r="D504" t="s">
        <v>2190</v>
      </c>
      <c r="E504">
        <v>489</v>
      </c>
      <c r="F504">
        <v>793</v>
      </c>
      <c r="G504">
        <v>2453</v>
      </c>
      <c r="H504">
        <v>0</v>
      </c>
      <c r="I504">
        <v>0</v>
      </c>
      <c r="J504">
        <v>0</v>
      </c>
      <c r="K504">
        <v>2180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157</v>
      </c>
      <c r="X504">
        <v>6</v>
      </c>
      <c r="Y504" t="s">
        <v>435</v>
      </c>
      <c r="Z504" t="s">
        <v>2191</v>
      </c>
      <c r="AA504" t="s">
        <v>150</v>
      </c>
      <c r="AB504" t="s">
        <v>149</v>
      </c>
      <c r="AC504" t="s">
        <v>497</v>
      </c>
      <c r="AD504">
        <v>2521</v>
      </c>
      <c r="AE504">
        <v>0</v>
      </c>
      <c r="AF504">
        <v>0</v>
      </c>
      <c r="AG504">
        <v>0</v>
      </c>
      <c r="AH504">
        <f t="shared" si="93"/>
        <v>1</v>
      </c>
      <c r="AI504">
        <f t="shared" si="94"/>
        <v>0</v>
      </c>
      <c r="AJ504">
        <f t="shared" si="95"/>
        <v>0</v>
      </c>
      <c r="AK504">
        <f t="shared" si="96"/>
        <v>0</v>
      </c>
      <c r="AL504">
        <f t="shared" si="97"/>
        <v>1</v>
      </c>
      <c r="AM504">
        <f t="shared" si="98"/>
        <v>0</v>
      </c>
      <c r="AN504">
        <f t="shared" si="99"/>
        <v>1</v>
      </c>
      <c r="AO504">
        <f>SUM(AN$2:$AN504)</f>
        <v>503</v>
      </c>
    </row>
    <row r="505" spans="1:41" x14ac:dyDescent="0.35">
      <c r="A505" t="s">
        <v>167</v>
      </c>
      <c r="B505" t="s">
        <v>1165</v>
      </c>
      <c r="C505">
        <v>10000</v>
      </c>
      <c r="D505" t="s">
        <v>1166</v>
      </c>
      <c r="E505">
        <v>489</v>
      </c>
      <c r="F505">
        <v>793</v>
      </c>
      <c r="G505">
        <v>2453</v>
      </c>
      <c r="H505">
        <v>0</v>
      </c>
      <c r="I505">
        <v>0</v>
      </c>
      <c r="J505">
        <v>0</v>
      </c>
      <c r="K505">
        <v>2180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157</v>
      </c>
      <c r="X505">
        <v>6</v>
      </c>
      <c r="Y505" t="s">
        <v>440</v>
      </c>
      <c r="Z505" t="s">
        <v>2192</v>
      </c>
      <c r="AA505" t="s">
        <v>150</v>
      </c>
      <c r="AB505" t="s">
        <v>149</v>
      </c>
      <c r="AC505" t="s">
        <v>497</v>
      </c>
      <c r="AD505">
        <v>2521</v>
      </c>
      <c r="AE505">
        <v>0</v>
      </c>
      <c r="AF505">
        <v>0</v>
      </c>
      <c r="AG505">
        <v>0</v>
      </c>
      <c r="AH505">
        <f t="shared" si="93"/>
        <v>1</v>
      </c>
      <c r="AI505">
        <f t="shared" si="94"/>
        <v>0</v>
      </c>
      <c r="AJ505">
        <f t="shared" si="95"/>
        <v>0</v>
      </c>
      <c r="AK505">
        <f t="shared" si="96"/>
        <v>0</v>
      </c>
      <c r="AL505">
        <f t="shared" si="97"/>
        <v>1</v>
      </c>
      <c r="AM505">
        <f t="shared" si="98"/>
        <v>0</v>
      </c>
      <c r="AN505">
        <f t="shared" si="99"/>
        <v>1</v>
      </c>
      <c r="AO505">
        <f>SUM(AN$2:$AN505)</f>
        <v>504</v>
      </c>
    </row>
    <row r="506" spans="1:41" x14ac:dyDescent="0.35">
      <c r="A506" t="s">
        <v>167</v>
      </c>
      <c r="B506" t="s">
        <v>2649</v>
      </c>
      <c r="C506">
        <v>10100</v>
      </c>
      <c r="D506" t="s">
        <v>2651</v>
      </c>
      <c r="E506">
        <v>494</v>
      </c>
      <c r="F506">
        <v>801</v>
      </c>
      <c r="G506">
        <v>0</v>
      </c>
      <c r="H506">
        <v>0</v>
      </c>
      <c r="I506">
        <v>2477</v>
      </c>
      <c r="J506">
        <v>2202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 t="s">
        <v>348</v>
      </c>
      <c r="X506">
        <v>6</v>
      </c>
      <c r="Y506" t="s">
        <v>438</v>
      </c>
      <c r="Z506" t="s">
        <v>2193</v>
      </c>
      <c r="AA506" t="s">
        <v>152</v>
      </c>
      <c r="AB506" t="s">
        <v>148</v>
      </c>
      <c r="AC506" t="s">
        <v>497</v>
      </c>
      <c r="AD506">
        <v>2546</v>
      </c>
      <c r="AE506">
        <v>0</v>
      </c>
      <c r="AF506">
        <v>0</v>
      </c>
      <c r="AG506">
        <v>0</v>
      </c>
      <c r="AH506">
        <f t="shared" si="93"/>
        <v>0</v>
      </c>
      <c r="AI506">
        <f t="shared" si="94"/>
        <v>0</v>
      </c>
      <c r="AJ506">
        <f t="shared" si="95"/>
        <v>1</v>
      </c>
      <c r="AK506">
        <f t="shared" si="96"/>
        <v>1</v>
      </c>
      <c r="AL506">
        <f t="shared" si="97"/>
        <v>0</v>
      </c>
      <c r="AM506">
        <f t="shared" si="98"/>
        <v>0</v>
      </c>
      <c r="AN506">
        <f t="shared" si="99"/>
        <v>1</v>
      </c>
      <c r="AO506">
        <f>SUM(AN$2:$AN506)</f>
        <v>505</v>
      </c>
    </row>
    <row r="507" spans="1:41" x14ac:dyDescent="0.35">
      <c r="A507" t="s">
        <v>167</v>
      </c>
      <c r="B507" t="s">
        <v>1150</v>
      </c>
      <c r="C507">
        <v>10100</v>
      </c>
      <c r="D507" t="s">
        <v>2194</v>
      </c>
      <c r="E507">
        <v>494</v>
      </c>
      <c r="F507">
        <v>801</v>
      </c>
      <c r="G507">
        <v>0</v>
      </c>
      <c r="H507">
        <v>0</v>
      </c>
      <c r="I507">
        <v>2477</v>
      </c>
      <c r="J507">
        <v>0</v>
      </c>
      <c r="K507">
        <v>2202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</v>
      </c>
      <c r="W507" t="s">
        <v>159</v>
      </c>
      <c r="X507">
        <v>6</v>
      </c>
      <c r="Y507" t="s">
        <v>438</v>
      </c>
      <c r="Z507" t="s">
        <v>2195</v>
      </c>
      <c r="AA507" t="s">
        <v>153</v>
      </c>
      <c r="AB507" t="s">
        <v>150</v>
      </c>
      <c r="AC507" t="s">
        <v>497</v>
      </c>
      <c r="AD507">
        <v>2546</v>
      </c>
      <c r="AE507">
        <v>0</v>
      </c>
      <c r="AF507">
        <v>0</v>
      </c>
      <c r="AG507">
        <v>0</v>
      </c>
      <c r="AH507">
        <f t="shared" si="93"/>
        <v>0</v>
      </c>
      <c r="AI507">
        <f t="shared" si="94"/>
        <v>0</v>
      </c>
      <c r="AJ507">
        <f t="shared" si="95"/>
        <v>1</v>
      </c>
      <c r="AK507">
        <f t="shared" si="96"/>
        <v>0</v>
      </c>
      <c r="AL507">
        <f t="shared" si="97"/>
        <v>1</v>
      </c>
      <c r="AM507">
        <f t="shared" si="98"/>
        <v>0</v>
      </c>
      <c r="AN507">
        <f t="shared" si="99"/>
        <v>1</v>
      </c>
      <c r="AO507">
        <f>SUM(AN$2:$AN507)</f>
        <v>506</v>
      </c>
    </row>
    <row r="508" spans="1:41" x14ac:dyDescent="0.35">
      <c r="A508" t="s">
        <v>167</v>
      </c>
      <c r="B508" t="s">
        <v>1167</v>
      </c>
      <c r="C508">
        <v>10150</v>
      </c>
      <c r="D508" t="s">
        <v>1168</v>
      </c>
      <c r="E508">
        <v>496</v>
      </c>
      <c r="F508">
        <v>805</v>
      </c>
      <c r="G508">
        <v>0</v>
      </c>
      <c r="H508">
        <v>0</v>
      </c>
      <c r="I508">
        <v>0</v>
      </c>
      <c r="J508">
        <v>2213</v>
      </c>
      <c r="K508">
        <v>0</v>
      </c>
      <c r="L508">
        <v>2489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349</v>
      </c>
      <c r="X508">
        <v>6</v>
      </c>
      <c r="Y508" t="s">
        <v>435</v>
      </c>
      <c r="Z508" t="s">
        <v>2196</v>
      </c>
      <c r="AA508" t="s">
        <v>150</v>
      </c>
      <c r="AB508" t="s">
        <v>149</v>
      </c>
      <c r="AC508" t="s">
        <v>497</v>
      </c>
      <c r="AD508">
        <v>2558</v>
      </c>
      <c r="AE508">
        <v>0</v>
      </c>
      <c r="AF508">
        <v>0</v>
      </c>
      <c r="AG508">
        <v>0</v>
      </c>
      <c r="AH508">
        <f t="shared" si="93"/>
        <v>0</v>
      </c>
      <c r="AI508">
        <f t="shared" si="94"/>
        <v>0</v>
      </c>
      <c r="AJ508">
        <f t="shared" si="95"/>
        <v>0</v>
      </c>
      <c r="AK508">
        <f t="shared" si="96"/>
        <v>1</v>
      </c>
      <c r="AL508">
        <f t="shared" si="97"/>
        <v>0</v>
      </c>
      <c r="AM508">
        <f t="shared" si="98"/>
        <v>1</v>
      </c>
      <c r="AN508">
        <f t="shared" si="99"/>
        <v>1</v>
      </c>
      <c r="AO508">
        <f>SUM(AN$2:$AN508)</f>
        <v>507</v>
      </c>
    </row>
    <row r="509" spans="1:41" x14ac:dyDescent="0.35">
      <c r="A509" t="s">
        <v>167</v>
      </c>
      <c r="B509" t="s">
        <v>1169</v>
      </c>
      <c r="C509">
        <v>10150</v>
      </c>
      <c r="D509" t="s">
        <v>1170</v>
      </c>
      <c r="E509">
        <v>496</v>
      </c>
      <c r="F509">
        <v>805</v>
      </c>
      <c r="G509">
        <v>0</v>
      </c>
      <c r="H509">
        <v>0</v>
      </c>
      <c r="I509">
        <v>2489</v>
      </c>
      <c r="J509">
        <v>0</v>
      </c>
      <c r="K509">
        <v>2213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 t="s">
        <v>159</v>
      </c>
      <c r="X509">
        <v>6</v>
      </c>
      <c r="Y509" t="s">
        <v>435</v>
      </c>
      <c r="Z509" t="s">
        <v>2197</v>
      </c>
      <c r="AA509" t="s">
        <v>153</v>
      </c>
      <c r="AB509" t="s">
        <v>150</v>
      </c>
      <c r="AC509" t="s">
        <v>497</v>
      </c>
      <c r="AD509">
        <v>2558</v>
      </c>
      <c r="AE509">
        <v>0</v>
      </c>
      <c r="AF509">
        <v>0</v>
      </c>
      <c r="AG509">
        <v>0</v>
      </c>
      <c r="AH509">
        <f t="shared" si="93"/>
        <v>0</v>
      </c>
      <c r="AI509">
        <f t="shared" si="94"/>
        <v>0</v>
      </c>
      <c r="AJ509">
        <f t="shared" si="95"/>
        <v>1</v>
      </c>
      <c r="AK509">
        <f t="shared" si="96"/>
        <v>0</v>
      </c>
      <c r="AL509">
        <f t="shared" si="97"/>
        <v>1</v>
      </c>
      <c r="AM509">
        <f t="shared" si="98"/>
        <v>0</v>
      </c>
      <c r="AN509">
        <f t="shared" si="99"/>
        <v>1</v>
      </c>
      <c r="AO509">
        <f>SUM(AN$2:$AN509)</f>
        <v>508</v>
      </c>
    </row>
    <row r="510" spans="1:41" x14ac:dyDescent="0.35">
      <c r="A510" t="s">
        <v>167</v>
      </c>
      <c r="B510" t="s">
        <v>2521</v>
      </c>
      <c r="C510">
        <v>10400</v>
      </c>
      <c r="D510" t="s">
        <v>2522</v>
      </c>
      <c r="E510">
        <v>508</v>
      </c>
      <c r="F510">
        <v>825</v>
      </c>
      <c r="G510">
        <v>2551</v>
      </c>
      <c r="H510">
        <v>0</v>
      </c>
      <c r="I510">
        <v>0</v>
      </c>
      <c r="J510">
        <v>0</v>
      </c>
      <c r="K510">
        <v>2267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157</v>
      </c>
      <c r="X510">
        <v>6</v>
      </c>
      <c r="Y510" t="s">
        <v>1336</v>
      </c>
      <c r="Z510" t="s">
        <v>2198</v>
      </c>
      <c r="AA510" t="s">
        <v>150</v>
      </c>
      <c r="AB510" t="s">
        <v>149</v>
      </c>
      <c r="AC510" t="s">
        <v>497</v>
      </c>
      <c r="AD510">
        <v>2621</v>
      </c>
      <c r="AE510">
        <v>0</v>
      </c>
      <c r="AF510">
        <v>0</v>
      </c>
      <c r="AG510">
        <v>0</v>
      </c>
      <c r="AH510">
        <f t="shared" si="93"/>
        <v>1</v>
      </c>
      <c r="AI510">
        <f t="shared" si="94"/>
        <v>0</v>
      </c>
      <c r="AJ510">
        <f t="shared" si="95"/>
        <v>0</v>
      </c>
      <c r="AK510">
        <f t="shared" si="96"/>
        <v>0</v>
      </c>
      <c r="AL510">
        <f t="shared" si="97"/>
        <v>1</v>
      </c>
      <c r="AM510">
        <f t="shared" si="98"/>
        <v>0</v>
      </c>
      <c r="AN510">
        <f t="shared" si="99"/>
        <v>1</v>
      </c>
      <c r="AO510">
        <f>SUM(AN$2:$AN510)</f>
        <v>509</v>
      </c>
    </row>
    <row r="511" spans="1:41" x14ac:dyDescent="0.35">
      <c r="A511" t="s">
        <v>167</v>
      </c>
      <c r="B511" t="s">
        <v>2649</v>
      </c>
      <c r="C511">
        <v>10700</v>
      </c>
      <c r="D511" t="s">
        <v>2652</v>
      </c>
      <c r="E511">
        <v>523</v>
      </c>
      <c r="F511">
        <v>848</v>
      </c>
      <c r="G511">
        <v>0</v>
      </c>
      <c r="H511">
        <v>0</v>
      </c>
      <c r="I511">
        <v>2624</v>
      </c>
      <c r="J511">
        <v>2333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 t="s">
        <v>348</v>
      </c>
      <c r="X511">
        <v>6</v>
      </c>
      <c r="Y511" t="s">
        <v>438</v>
      </c>
      <c r="Z511" t="s">
        <v>2199</v>
      </c>
      <c r="AA511" t="s">
        <v>152</v>
      </c>
      <c r="AB511" t="s">
        <v>148</v>
      </c>
      <c r="AC511" t="s">
        <v>497</v>
      </c>
      <c r="AD511">
        <v>2697</v>
      </c>
      <c r="AE511">
        <v>0</v>
      </c>
      <c r="AF511">
        <v>0</v>
      </c>
      <c r="AG511">
        <v>0</v>
      </c>
      <c r="AH511">
        <f t="shared" si="93"/>
        <v>0</v>
      </c>
      <c r="AI511">
        <f t="shared" si="94"/>
        <v>0</v>
      </c>
      <c r="AJ511">
        <f t="shared" si="95"/>
        <v>1</v>
      </c>
      <c r="AK511">
        <f t="shared" si="96"/>
        <v>1</v>
      </c>
      <c r="AL511">
        <f t="shared" si="97"/>
        <v>0</v>
      </c>
      <c r="AM511">
        <f t="shared" si="98"/>
        <v>0</v>
      </c>
      <c r="AN511">
        <f t="shared" si="99"/>
        <v>1</v>
      </c>
      <c r="AO511">
        <f>SUM(AN$2:$AN511)</f>
        <v>510</v>
      </c>
    </row>
    <row r="512" spans="1:41" x14ac:dyDescent="0.35">
      <c r="A512" t="s">
        <v>167</v>
      </c>
      <c r="B512" t="s">
        <v>2523</v>
      </c>
      <c r="C512">
        <v>11000</v>
      </c>
      <c r="D512" t="s">
        <v>2524</v>
      </c>
      <c r="E512">
        <v>538</v>
      </c>
      <c r="F512">
        <v>872</v>
      </c>
      <c r="G512">
        <v>0</v>
      </c>
      <c r="H512">
        <v>0</v>
      </c>
      <c r="I512">
        <v>2698</v>
      </c>
      <c r="J512">
        <v>2398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 t="s">
        <v>348</v>
      </c>
      <c r="X512">
        <v>6</v>
      </c>
      <c r="Y512" t="s">
        <v>439</v>
      </c>
      <c r="Z512" t="s">
        <v>2200</v>
      </c>
      <c r="AA512" t="s">
        <v>152</v>
      </c>
      <c r="AB512" t="s">
        <v>148</v>
      </c>
      <c r="AC512" t="s">
        <v>497</v>
      </c>
      <c r="AD512">
        <v>2773</v>
      </c>
      <c r="AE512">
        <v>0</v>
      </c>
      <c r="AF512">
        <v>0</v>
      </c>
      <c r="AG512">
        <v>0</v>
      </c>
      <c r="AH512">
        <f t="shared" si="93"/>
        <v>0</v>
      </c>
      <c r="AI512">
        <f t="shared" si="94"/>
        <v>0</v>
      </c>
      <c r="AJ512">
        <f t="shared" si="95"/>
        <v>1</v>
      </c>
      <c r="AK512">
        <f t="shared" si="96"/>
        <v>1</v>
      </c>
      <c r="AL512">
        <f t="shared" si="97"/>
        <v>0</v>
      </c>
      <c r="AM512">
        <f t="shared" si="98"/>
        <v>0</v>
      </c>
      <c r="AN512">
        <f t="shared" si="99"/>
        <v>1</v>
      </c>
      <c r="AO512">
        <f>SUM(AN$2:$AN512)</f>
        <v>511</v>
      </c>
    </row>
    <row r="513" spans="1:41" x14ac:dyDescent="0.35">
      <c r="A513" t="s">
        <v>167</v>
      </c>
      <c r="B513" t="s">
        <v>2525</v>
      </c>
      <c r="C513">
        <v>11000</v>
      </c>
      <c r="D513" t="s">
        <v>2526</v>
      </c>
      <c r="E513">
        <v>538</v>
      </c>
      <c r="F513">
        <v>872</v>
      </c>
      <c r="G513">
        <v>0</v>
      </c>
      <c r="H513">
        <v>0</v>
      </c>
      <c r="I513">
        <v>0</v>
      </c>
      <c r="J513">
        <v>2398</v>
      </c>
      <c r="K513">
        <v>0</v>
      </c>
      <c r="L513">
        <v>2698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349</v>
      </c>
      <c r="X513">
        <v>6</v>
      </c>
      <c r="Y513" t="s">
        <v>443</v>
      </c>
      <c r="Z513" t="s">
        <v>2201</v>
      </c>
      <c r="AA513" t="s">
        <v>150</v>
      </c>
      <c r="AB513" t="s">
        <v>149</v>
      </c>
      <c r="AC513" t="s">
        <v>497</v>
      </c>
      <c r="AD513">
        <v>2773</v>
      </c>
      <c r="AE513">
        <v>0</v>
      </c>
      <c r="AF513">
        <v>0</v>
      </c>
      <c r="AG513">
        <v>0</v>
      </c>
      <c r="AH513">
        <f t="shared" si="93"/>
        <v>0</v>
      </c>
      <c r="AI513">
        <f t="shared" si="94"/>
        <v>0</v>
      </c>
      <c r="AJ513">
        <f t="shared" si="95"/>
        <v>0</v>
      </c>
      <c r="AK513">
        <f t="shared" si="96"/>
        <v>1</v>
      </c>
      <c r="AL513">
        <f t="shared" si="97"/>
        <v>0</v>
      </c>
      <c r="AM513">
        <f t="shared" si="98"/>
        <v>1</v>
      </c>
      <c r="AN513">
        <f t="shared" si="99"/>
        <v>1</v>
      </c>
      <c r="AO513">
        <f>SUM(AN$2:$AN513)</f>
        <v>512</v>
      </c>
    </row>
    <row r="514" spans="1:41" x14ac:dyDescent="0.35">
      <c r="A514" t="s">
        <v>167</v>
      </c>
      <c r="B514" t="s">
        <v>1171</v>
      </c>
      <c r="C514">
        <v>11000</v>
      </c>
      <c r="D514" t="s">
        <v>1172</v>
      </c>
      <c r="E514">
        <v>538</v>
      </c>
      <c r="F514">
        <v>872</v>
      </c>
      <c r="G514">
        <v>2698</v>
      </c>
      <c r="H514">
        <v>0</v>
      </c>
      <c r="I514">
        <v>0</v>
      </c>
      <c r="J514">
        <v>0</v>
      </c>
      <c r="K514">
        <v>2398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157</v>
      </c>
      <c r="X514">
        <v>6</v>
      </c>
      <c r="Y514" t="s">
        <v>440</v>
      </c>
      <c r="Z514" t="s">
        <v>2202</v>
      </c>
      <c r="AA514" t="s">
        <v>150</v>
      </c>
      <c r="AB514" t="s">
        <v>149</v>
      </c>
      <c r="AC514" t="s">
        <v>497</v>
      </c>
      <c r="AD514">
        <v>2773</v>
      </c>
      <c r="AE514">
        <v>0</v>
      </c>
      <c r="AF514">
        <v>0</v>
      </c>
      <c r="AG514">
        <v>0</v>
      </c>
      <c r="AH514">
        <f t="shared" si="93"/>
        <v>1</v>
      </c>
      <c r="AI514">
        <f t="shared" si="94"/>
        <v>0</v>
      </c>
      <c r="AJ514">
        <f t="shared" si="95"/>
        <v>0</v>
      </c>
      <c r="AK514">
        <f t="shared" si="96"/>
        <v>0</v>
      </c>
      <c r="AL514">
        <f t="shared" si="97"/>
        <v>1</v>
      </c>
      <c r="AM514">
        <f t="shared" si="98"/>
        <v>0</v>
      </c>
      <c r="AN514">
        <f t="shared" si="99"/>
        <v>1</v>
      </c>
      <c r="AO514">
        <f>SUM(AN$2:$AN514)</f>
        <v>513</v>
      </c>
    </row>
    <row r="515" spans="1:41" x14ac:dyDescent="0.35">
      <c r="A515" t="s">
        <v>167</v>
      </c>
      <c r="B515" t="s">
        <v>1173</v>
      </c>
      <c r="C515">
        <v>11150</v>
      </c>
      <c r="D515" t="s">
        <v>1174</v>
      </c>
      <c r="E515">
        <v>545</v>
      </c>
      <c r="F515">
        <v>884</v>
      </c>
      <c r="G515">
        <v>0</v>
      </c>
      <c r="H515">
        <v>0</v>
      </c>
      <c r="I515">
        <v>0</v>
      </c>
      <c r="J515">
        <v>2431</v>
      </c>
      <c r="K515">
        <v>0</v>
      </c>
      <c r="L515">
        <v>2735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349</v>
      </c>
      <c r="X515">
        <v>6</v>
      </c>
      <c r="Y515" t="s">
        <v>435</v>
      </c>
      <c r="Z515" t="s">
        <v>2203</v>
      </c>
      <c r="AA515" t="s">
        <v>150</v>
      </c>
      <c r="AB515" t="s">
        <v>149</v>
      </c>
      <c r="AC515" t="s">
        <v>497</v>
      </c>
      <c r="AD515">
        <v>2811</v>
      </c>
      <c r="AE515">
        <v>0</v>
      </c>
      <c r="AF515">
        <v>0</v>
      </c>
      <c r="AG515">
        <v>0</v>
      </c>
      <c r="AH515">
        <f t="shared" si="93"/>
        <v>0</v>
      </c>
      <c r="AI515">
        <f t="shared" si="94"/>
        <v>0</v>
      </c>
      <c r="AJ515">
        <f t="shared" si="95"/>
        <v>0</v>
      </c>
      <c r="AK515">
        <f t="shared" si="96"/>
        <v>1</v>
      </c>
      <c r="AL515">
        <f t="shared" si="97"/>
        <v>0</v>
      </c>
      <c r="AM515">
        <f t="shared" si="98"/>
        <v>1</v>
      </c>
      <c r="AN515">
        <f t="shared" si="99"/>
        <v>1</v>
      </c>
      <c r="AO515">
        <f>SUM(AN$2:$AN515)</f>
        <v>514</v>
      </c>
    </row>
    <row r="516" spans="1:41" x14ac:dyDescent="0.35">
      <c r="A516" t="s">
        <v>167</v>
      </c>
      <c r="B516" t="s">
        <v>1175</v>
      </c>
      <c r="C516">
        <v>11150</v>
      </c>
      <c r="D516" t="s">
        <v>1176</v>
      </c>
      <c r="E516">
        <v>545</v>
      </c>
      <c r="F516">
        <v>884</v>
      </c>
      <c r="G516">
        <v>0</v>
      </c>
      <c r="H516">
        <v>0</v>
      </c>
      <c r="I516">
        <v>2735</v>
      </c>
      <c r="J516">
        <v>0</v>
      </c>
      <c r="K516">
        <v>2431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 t="s">
        <v>159</v>
      </c>
      <c r="X516">
        <v>6</v>
      </c>
      <c r="Y516" t="s">
        <v>435</v>
      </c>
      <c r="Z516" t="s">
        <v>2204</v>
      </c>
      <c r="AA516" t="s">
        <v>153</v>
      </c>
      <c r="AB516" t="s">
        <v>150</v>
      </c>
      <c r="AC516" t="s">
        <v>497</v>
      </c>
      <c r="AD516">
        <v>2811</v>
      </c>
      <c r="AE516">
        <v>0</v>
      </c>
      <c r="AF516">
        <v>0</v>
      </c>
      <c r="AG516">
        <v>0</v>
      </c>
      <c r="AH516">
        <f t="shared" si="93"/>
        <v>0</v>
      </c>
      <c r="AI516">
        <f t="shared" si="94"/>
        <v>0</v>
      </c>
      <c r="AJ516">
        <f t="shared" si="95"/>
        <v>1</v>
      </c>
      <c r="AK516">
        <f t="shared" si="96"/>
        <v>0</v>
      </c>
      <c r="AL516">
        <f t="shared" si="97"/>
        <v>1</v>
      </c>
      <c r="AM516">
        <f t="shared" si="98"/>
        <v>0</v>
      </c>
      <c r="AN516">
        <f t="shared" si="99"/>
        <v>1</v>
      </c>
      <c r="AO516">
        <f>SUM(AN$2:$AN516)</f>
        <v>515</v>
      </c>
    </row>
    <row r="517" spans="1:41" x14ac:dyDescent="0.35">
      <c r="A517" t="s">
        <v>167</v>
      </c>
      <c r="B517" t="s">
        <v>1177</v>
      </c>
      <c r="C517">
        <v>11150</v>
      </c>
      <c r="D517" t="s">
        <v>1178</v>
      </c>
      <c r="E517">
        <v>545</v>
      </c>
      <c r="F517">
        <v>884</v>
      </c>
      <c r="G517">
        <v>2735</v>
      </c>
      <c r="H517">
        <v>0</v>
      </c>
      <c r="I517">
        <v>0</v>
      </c>
      <c r="J517">
        <v>2431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 t="s">
        <v>350</v>
      </c>
      <c r="X517">
        <v>6</v>
      </c>
      <c r="Y517" t="s">
        <v>436</v>
      </c>
      <c r="Z517" t="s">
        <v>2205</v>
      </c>
      <c r="AA517" t="s">
        <v>151</v>
      </c>
      <c r="AB517" t="s">
        <v>150</v>
      </c>
      <c r="AC517" t="s">
        <v>497</v>
      </c>
      <c r="AD517">
        <v>2811</v>
      </c>
      <c r="AE517">
        <v>0</v>
      </c>
      <c r="AF517">
        <v>0</v>
      </c>
      <c r="AG517">
        <v>0</v>
      </c>
      <c r="AH517">
        <f t="shared" si="93"/>
        <v>1</v>
      </c>
      <c r="AI517">
        <f t="shared" si="94"/>
        <v>0</v>
      </c>
      <c r="AJ517">
        <f t="shared" si="95"/>
        <v>0</v>
      </c>
      <c r="AK517">
        <f t="shared" si="96"/>
        <v>1</v>
      </c>
      <c r="AL517">
        <f t="shared" si="97"/>
        <v>0</v>
      </c>
      <c r="AM517">
        <f t="shared" si="98"/>
        <v>0</v>
      </c>
      <c r="AN517">
        <f t="shared" si="99"/>
        <v>1</v>
      </c>
      <c r="AO517">
        <f>SUM(AN$2:$AN517)</f>
        <v>516</v>
      </c>
    </row>
    <row r="518" spans="1:41" x14ac:dyDescent="0.35">
      <c r="A518" t="s">
        <v>167</v>
      </c>
      <c r="B518" t="s">
        <v>1179</v>
      </c>
      <c r="C518">
        <v>11150</v>
      </c>
      <c r="D518" t="s">
        <v>1180</v>
      </c>
      <c r="E518">
        <v>0</v>
      </c>
      <c r="F518">
        <v>1904</v>
      </c>
      <c r="G518">
        <v>0</v>
      </c>
      <c r="H518">
        <v>0</v>
      </c>
      <c r="I518">
        <v>2886</v>
      </c>
      <c r="J518">
        <v>2886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352</v>
      </c>
      <c r="X518">
        <v>4</v>
      </c>
      <c r="Y518" t="s">
        <v>435</v>
      </c>
      <c r="Z518" t="s">
        <v>2206</v>
      </c>
      <c r="AA518" t="s">
        <v>150</v>
      </c>
      <c r="AB518" t="s">
        <v>149</v>
      </c>
      <c r="AC518" t="s">
        <v>497</v>
      </c>
      <c r="AD518">
        <v>2811</v>
      </c>
      <c r="AE518">
        <v>0</v>
      </c>
      <c r="AF518">
        <v>0</v>
      </c>
      <c r="AG518">
        <v>0</v>
      </c>
      <c r="AH518">
        <f t="shared" si="93"/>
        <v>0</v>
      </c>
      <c r="AI518">
        <f t="shared" si="94"/>
        <v>0</v>
      </c>
      <c r="AJ518">
        <f t="shared" si="95"/>
        <v>1</v>
      </c>
      <c r="AK518">
        <f t="shared" si="96"/>
        <v>1</v>
      </c>
      <c r="AL518">
        <f t="shared" si="97"/>
        <v>0</v>
      </c>
      <c r="AM518">
        <f t="shared" si="98"/>
        <v>0</v>
      </c>
      <c r="AN518">
        <f t="shared" si="99"/>
        <v>1</v>
      </c>
      <c r="AO518">
        <f>SUM(AN$2:$AN518)</f>
        <v>517</v>
      </c>
    </row>
    <row r="519" spans="1:41" customFormat="1" ht="12" customHeight="1" x14ac:dyDescent="0.35">
      <c r="A519" t="s">
        <v>167</v>
      </c>
      <c r="B519" t="s">
        <v>1181</v>
      </c>
      <c r="C519">
        <v>11150</v>
      </c>
      <c r="D519" t="s">
        <v>1182</v>
      </c>
      <c r="E519">
        <v>0</v>
      </c>
      <c r="F519">
        <v>2312</v>
      </c>
      <c r="G519">
        <v>0</v>
      </c>
      <c r="H519">
        <v>0</v>
      </c>
      <c r="I519">
        <v>0</v>
      </c>
      <c r="J519">
        <v>0</v>
      </c>
      <c r="K519">
        <v>4786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 t="s">
        <v>445</v>
      </c>
      <c r="X519">
        <v>4</v>
      </c>
      <c r="Y519" t="s">
        <v>435</v>
      </c>
      <c r="Z519" t="s">
        <v>2207</v>
      </c>
      <c r="AA519" t="s">
        <v>152</v>
      </c>
      <c r="AB519" t="s">
        <v>153</v>
      </c>
      <c r="AC519" t="s">
        <v>497</v>
      </c>
      <c r="AD519">
        <v>2811</v>
      </c>
      <c r="AE519">
        <v>0</v>
      </c>
      <c r="AF519">
        <v>0</v>
      </c>
      <c r="AG519">
        <v>0</v>
      </c>
      <c r="AH519">
        <f t="shared" si="93"/>
        <v>0</v>
      </c>
      <c r="AI519">
        <f t="shared" si="94"/>
        <v>0</v>
      </c>
      <c r="AJ519">
        <f t="shared" si="95"/>
        <v>0</v>
      </c>
      <c r="AK519">
        <f t="shared" si="96"/>
        <v>0</v>
      </c>
      <c r="AL519">
        <f t="shared" si="97"/>
        <v>1</v>
      </c>
      <c r="AM519">
        <f t="shared" si="98"/>
        <v>0</v>
      </c>
      <c r="AN519">
        <f t="shared" si="99"/>
        <v>1</v>
      </c>
      <c r="AO519">
        <f>SUM(AN$2:$AN519)</f>
        <v>518</v>
      </c>
    </row>
    <row r="520" spans="1:41" x14ac:dyDescent="0.35">
      <c r="A520" t="s">
        <v>167</v>
      </c>
      <c r="B520" t="s">
        <v>1183</v>
      </c>
      <c r="C520">
        <v>11150</v>
      </c>
      <c r="D520" t="s">
        <v>1184</v>
      </c>
      <c r="E520">
        <v>0</v>
      </c>
      <c r="F520">
        <v>1632</v>
      </c>
      <c r="G520">
        <v>0</v>
      </c>
      <c r="H520">
        <v>0</v>
      </c>
      <c r="I520">
        <v>1671</v>
      </c>
      <c r="J520">
        <v>0</v>
      </c>
      <c r="K520">
        <v>4861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t="s">
        <v>421</v>
      </c>
      <c r="X520">
        <v>4</v>
      </c>
      <c r="Y520" t="s">
        <v>435</v>
      </c>
      <c r="Z520" t="s">
        <v>2208</v>
      </c>
      <c r="AA520" t="s">
        <v>358</v>
      </c>
      <c r="AB520" t="s">
        <v>149</v>
      </c>
      <c r="AC520" t="s">
        <v>497</v>
      </c>
      <c r="AD520">
        <v>2811</v>
      </c>
      <c r="AE520">
        <v>0</v>
      </c>
      <c r="AF520">
        <v>0</v>
      </c>
      <c r="AG520">
        <v>0</v>
      </c>
      <c r="AH520">
        <f t="shared" si="93"/>
        <v>0</v>
      </c>
      <c r="AI520">
        <f t="shared" si="94"/>
        <v>0</v>
      </c>
      <c r="AJ520">
        <f t="shared" si="95"/>
        <v>1</v>
      </c>
      <c r="AK520">
        <f t="shared" si="96"/>
        <v>0</v>
      </c>
      <c r="AL520">
        <f t="shared" si="97"/>
        <v>1</v>
      </c>
      <c r="AM520">
        <f t="shared" si="98"/>
        <v>0</v>
      </c>
      <c r="AN520">
        <f t="shared" si="99"/>
        <v>1</v>
      </c>
      <c r="AO520">
        <f>SUM(AN$2:$AN520)</f>
        <v>519</v>
      </c>
    </row>
    <row r="521" spans="1:41" x14ac:dyDescent="0.35">
      <c r="A521" t="s">
        <v>167</v>
      </c>
      <c r="B521" t="s">
        <v>1185</v>
      </c>
      <c r="C521">
        <v>11150</v>
      </c>
      <c r="D521" t="s">
        <v>1186</v>
      </c>
      <c r="E521">
        <v>0</v>
      </c>
      <c r="F521">
        <v>1632</v>
      </c>
      <c r="G521">
        <v>1671</v>
      </c>
      <c r="H521">
        <v>0</v>
      </c>
      <c r="I521">
        <v>0</v>
      </c>
      <c r="J521">
        <v>0</v>
      </c>
      <c r="K521">
        <v>4861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t="s">
        <v>330</v>
      </c>
      <c r="X521">
        <v>4</v>
      </c>
      <c r="Y521" t="s">
        <v>435</v>
      </c>
      <c r="Z521" t="s">
        <v>2209</v>
      </c>
      <c r="AA521" t="s">
        <v>358</v>
      </c>
      <c r="AB521" t="s">
        <v>149</v>
      </c>
      <c r="AC521" t="s">
        <v>497</v>
      </c>
      <c r="AD521">
        <v>2811</v>
      </c>
      <c r="AE521">
        <v>0</v>
      </c>
      <c r="AF521">
        <v>0</v>
      </c>
      <c r="AG521">
        <v>0</v>
      </c>
      <c r="AH521">
        <f t="shared" si="93"/>
        <v>1</v>
      </c>
      <c r="AI521">
        <f t="shared" si="94"/>
        <v>0</v>
      </c>
      <c r="AJ521">
        <f t="shared" si="95"/>
        <v>0</v>
      </c>
      <c r="AK521">
        <f t="shared" si="96"/>
        <v>0</v>
      </c>
      <c r="AL521">
        <f t="shared" si="97"/>
        <v>1</v>
      </c>
      <c r="AM521">
        <f t="shared" si="98"/>
        <v>0</v>
      </c>
      <c r="AN521">
        <f t="shared" si="99"/>
        <v>1</v>
      </c>
      <c r="AO521">
        <f>SUM(AN$2:$AN521)</f>
        <v>520</v>
      </c>
    </row>
    <row r="522" spans="1:41" x14ac:dyDescent="0.35">
      <c r="A522" t="s">
        <v>167</v>
      </c>
      <c r="B522" t="s">
        <v>2649</v>
      </c>
      <c r="C522">
        <v>11300</v>
      </c>
      <c r="D522" t="s">
        <v>2653</v>
      </c>
      <c r="E522">
        <v>552</v>
      </c>
      <c r="F522">
        <v>896</v>
      </c>
      <c r="G522">
        <v>0</v>
      </c>
      <c r="H522">
        <v>0</v>
      </c>
      <c r="I522">
        <v>2771</v>
      </c>
      <c r="J522">
        <v>2463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 t="s">
        <v>348</v>
      </c>
      <c r="X522">
        <v>6</v>
      </c>
      <c r="Y522" t="s">
        <v>438</v>
      </c>
      <c r="Z522" t="s">
        <v>2210</v>
      </c>
      <c r="AA522" t="s">
        <v>152</v>
      </c>
      <c r="AB522" t="s">
        <v>148</v>
      </c>
      <c r="AC522" t="s">
        <v>497</v>
      </c>
      <c r="AD522">
        <v>2848</v>
      </c>
      <c r="AE522">
        <v>0</v>
      </c>
      <c r="AF522">
        <v>0</v>
      </c>
      <c r="AG522">
        <v>0</v>
      </c>
      <c r="AH522">
        <f t="shared" si="93"/>
        <v>0</v>
      </c>
      <c r="AI522">
        <f t="shared" si="94"/>
        <v>0</v>
      </c>
      <c r="AJ522">
        <f t="shared" si="95"/>
        <v>1</v>
      </c>
      <c r="AK522">
        <f t="shared" si="96"/>
        <v>1</v>
      </c>
      <c r="AL522">
        <f t="shared" si="97"/>
        <v>0</v>
      </c>
      <c r="AM522">
        <f t="shared" si="98"/>
        <v>0</v>
      </c>
      <c r="AN522">
        <f t="shared" si="99"/>
        <v>1</v>
      </c>
      <c r="AO522">
        <f>SUM(AN$2:$AN522)</f>
        <v>521</v>
      </c>
    </row>
    <row r="523" spans="1:41" x14ac:dyDescent="0.35">
      <c r="A523" t="s">
        <v>167</v>
      </c>
      <c r="B523" t="s">
        <v>1187</v>
      </c>
      <c r="C523">
        <v>11300</v>
      </c>
      <c r="D523" t="s">
        <v>1188</v>
      </c>
      <c r="E523">
        <v>552</v>
      </c>
      <c r="F523">
        <v>896</v>
      </c>
      <c r="G523">
        <v>2771</v>
      </c>
      <c r="H523">
        <v>0</v>
      </c>
      <c r="I523">
        <v>0</v>
      </c>
      <c r="J523">
        <v>2463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 t="s">
        <v>350</v>
      </c>
      <c r="X523">
        <v>6</v>
      </c>
      <c r="Y523" t="s">
        <v>442</v>
      </c>
      <c r="Z523" t="s">
        <v>2211</v>
      </c>
      <c r="AA523" t="s">
        <v>151</v>
      </c>
      <c r="AB523" t="s">
        <v>150</v>
      </c>
      <c r="AC523" t="s">
        <v>497</v>
      </c>
      <c r="AD523">
        <v>2848</v>
      </c>
      <c r="AE523">
        <v>0</v>
      </c>
      <c r="AF523">
        <v>0</v>
      </c>
      <c r="AG523">
        <v>0</v>
      </c>
      <c r="AH523">
        <f t="shared" si="93"/>
        <v>1</v>
      </c>
      <c r="AI523">
        <f t="shared" si="94"/>
        <v>0</v>
      </c>
      <c r="AJ523">
        <f t="shared" si="95"/>
        <v>0</v>
      </c>
      <c r="AK523">
        <f t="shared" si="96"/>
        <v>1</v>
      </c>
      <c r="AL523">
        <f t="shared" si="97"/>
        <v>0</v>
      </c>
      <c r="AM523">
        <f t="shared" si="98"/>
        <v>0</v>
      </c>
      <c r="AN523">
        <f t="shared" si="99"/>
        <v>1</v>
      </c>
      <c r="AO523">
        <f>SUM(AN$2:$AN523)</f>
        <v>522</v>
      </c>
    </row>
    <row r="524" spans="1:41" x14ac:dyDescent="0.35">
      <c r="A524" t="s">
        <v>167</v>
      </c>
      <c r="B524" t="s">
        <v>2527</v>
      </c>
      <c r="C524">
        <v>12300</v>
      </c>
      <c r="D524" t="s">
        <v>2528</v>
      </c>
      <c r="E524">
        <v>601</v>
      </c>
      <c r="F524">
        <v>975</v>
      </c>
      <c r="G524">
        <v>3017</v>
      </c>
      <c r="H524">
        <v>0</v>
      </c>
      <c r="I524">
        <v>0</v>
      </c>
      <c r="J524">
        <v>0</v>
      </c>
      <c r="K524">
        <v>2681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157</v>
      </c>
      <c r="X524">
        <v>6</v>
      </c>
      <c r="Y524" t="s">
        <v>440</v>
      </c>
      <c r="Z524" t="s">
        <v>2212</v>
      </c>
      <c r="AA524" t="s">
        <v>150</v>
      </c>
      <c r="AB524" t="s">
        <v>149</v>
      </c>
      <c r="AC524" t="s">
        <v>497</v>
      </c>
      <c r="AD524">
        <v>3100</v>
      </c>
      <c r="AE524">
        <v>0</v>
      </c>
      <c r="AF524">
        <v>0</v>
      </c>
      <c r="AG524">
        <v>0</v>
      </c>
      <c r="AH524">
        <f t="shared" si="93"/>
        <v>1</v>
      </c>
      <c r="AI524">
        <f t="shared" si="94"/>
        <v>0</v>
      </c>
      <c r="AJ524">
        <f t="shared" si="95"/>
        <v>0</v>
      </c>
      <c r="AK524">
        <f t="shared" si="96"/>
        <v>0</v>
      </c>
      <c r="AL524">
        <f t="shared" si="97"/>
        <v>1</v>
      </c>
      <c r="AM524">
        <f t="shared" si="98"/>
        <v>0</v>
      </c>
      <c r="AN524">
        <f t="shared" si="99"/>
        <v>1</v>
      </c>
      <c r="AO524">
        <f>SUM(AN$2:$AN524)</f>
        <v>523</v>
      </c>
    </row>
    <row r="525" spans="1:41" x14ac:dyDescent="0.35">
      <c r="A525" t="s">
        <v>167</v>
      </c>
      <c r="B525" t="s">
        <v>2529</v>
      </c>
      <c r="C525">
        <v>12450</v>
      </c>
      <c r="D525" t="s">
        <v>2530</v>
      </c>
      <c r="E525">
        <v>609</v>
      </c>
      <c r="F525">
        <v>987</v>
      </c>
      <c r="G525">
        <v>0</v>
      </c>
      <c r="H525">
        <v>0</v>
      </c>
      <c r="I525">
        <v>0</v>
      </c>
      <c r="J525">
        <v>2714</v>
      </c>
      <c r="K525">
        <v>0</v>
      </c>
      <c r="L525">
        <v>3053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349</v>
      </c>
      <c r="X525">
        <v>6</v>
      </c>
      <c r="Y525" t="s">
        <v>435</v>
      </c>
      <c r="Z525" t="s">
        <v>2213</v>
      </c>
      <c r="AA525" t="s">
        <v>150</v>
      </c>
      <c r="AB525" t="s">
        <v>149</v>
      </c>
      <c r="AC525" t="s">
        <v>497</v>
      </c>
      <c r="AD525">
        <v>3138</v>
      </c>
      <c r="AE525">
        <v>0</v>
      </c>
      <c r="AF525">
        <v>0</v>
      </c>
      <c r="AG525">
        <v>0</v>
      </c>
      <c r="AH525">
        <f t="shared" si="93"/>
        <v>0</v>
      </c>
      <c r="AI525">
        <f t="shared" si="94"/>
        <v>0</v>
      </c>
      <c r="AJ525">
        <f t="shared" si="95"/>
        <v>0</v>
      </c>
      <c r="AK525">
        <f t="shared" si="96"/>
        <v>1</v>
      </c>
      <c r="AL525">
        <f t="shared" si="97"/>
        <v>0</v>
      </c>
      <c r="AM525">
        <f t="shared" si="98"/>
        <v>1</v>
      </c>
      <c r="AN525">
        <f t="shared" si="99"/>
        <v>1</v>
      </c>
      <c r="AO525">
        <f>SUM(AN$2:$AN525)</f>
        <v>524</v>
      </c>
    </row>
    <row r="526" spans="1:41" x14ac:dyDescent="0.35">
      <c r="A526" t="s">
        <v>167</v>
      </c>
      <c r="B526" t="s">
        <v>2531</v>
      </c>
      <c r="C526">
        <v>12450</v>
      </c>
      <c r="D526" t="s">
        <v>2532</v>
      </c>
      <c r="E526">
        <v>609</v>
      </c>
      <c r="F526">
        <v>987</v>
      </c>
      <c r="G526">
        <v>0</v>
      </c>
      <c r="H526">
        <v>0</v>
      </c>
      <c r="I526">
        <v>3053</v>
      </c>
      <c r="J526">
        <v>0</v>
      </c>
      <c r="K526">
        <v>2714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0</v>
      </c>
      <c r="W526" t="s">
        <v>159</v>
      </c>
      <c r="X526">
        <v>6</v>
      </c>
      <c r="Y526" t="s">
        <v>435</v>
      </c>
      <c r="Z526" t="s">
        <v>2214</v>
      </c>
      <c r="AA526" t="s">
        <v>153</v>
      </c>
      <c r="AB526" t="s">
        <v>150</v>
      </c>
      <c r="AC526" t="s">
        <v>497</v>
      </c>
      <c r="AD526">
        <v>3138</v>
      </c>
      <c r="AE526">
        <v>0</v>
      </c>
      <c r="AF526">
        <v>0</v>
      </c>
      <c r="AG526">
        <v>0</v>
      </c>
      <c r="AH526">
        <f t="shared" si="93"/>
        <v>0</v>
      </c>
      <c r="AI526">
        <f t="shared" si="94"/>
        <v>0</v>
      </c>
      <c r="AJ526">
        <f t="shared" si="95"/>
        <v>1</v>
      </c>
      <c r="AK526">
        <f t="shared" si="96"/>
        <v>0</v>
      </c>
      <c r="AL526">
        <f t="shared" si="97"/>
        <v>1</v>
      </c>
      <c r="AM526">
        <f t="shared" si="98"/>
        <v>0</v>
      </c>
      <c r="AN526">
        <f t="shared" si="99"/>
        <v>1</v>
      </c>
      <c r="AO526">
        <f>SUM(AN$2:$AN526)</f>
        <v>525</v>
      </c>
    </row>
    <row r="527" spans="1:41" x14ac:dyDescent="0.35">
      <c r="A527" t="s">
        <v>167</v>
      </c>
      <c r="B527" t="s">
        <v>2533</v>
      </c>
      <c r="C527">
        <v>12450</v>
      </c>
      <c r="D527" t="s">
        <v>2534</v>
      </c>
      <c r="E527">
        <v>609</v>
      </c>
      <c r="F527">
        <v>987</v>
      </c>
      <c r="G527">
        <v>3053</v>
      </c>
      <c r="H527">
        <v>0</v>
      </c>
      <c r="I527">
        <v>0</v>
      </c>
      <c r="J527">
        <v>2714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 t="s">
        <v>350</v>
      </c>
      <c r="X527">
        <v>6</v>
      </c>
      <c r="Y527" t="s">
        <v>436</v>
      </c>
      <c r="Z527" t="s">
        <v>2215</v>
      </c>
      <c r="AA527" t="s">
        <v>151</v>
      </c>
      <c r="AB527" t="s">
        <v>150</v>
      </c>
      <c r="AC527" t="s">
        <v>497</v>
      </c>
      <c r="AD527">
        <v>3138</v>
      </c>
      <c r="AE527">
        <v>0</v>
      </c>
      <c r="AF527">
        <v>0</v>
      </c>
      <c r="AG527">
        <v>0</v>
      </c>
      <c r="AH527">
        <f t="shared" si="93"/>
        <v>1</v>
      </c>
      <c r="AI527">
        <f t="shared" si="94"/>
        <v>0</v>
      </c>
      <c r="AJ527">
        <f t="shared" si="95"/>
        <v>0</v>
      </c>
      <c r="AK527">
        <f t="shared" si="96"/>
        <v>1</v>
      </c>
      <c r="AL527">
        <f t="shared" si="97"/>
        <v>0</v>
      </c>
      <c r="AM527">
        <f t="shared" si="98"/>
        <v>0</v>
      </c>
      <c r="AN527">
        <f t="shared" si="99"/>
        <v>1</v>
      </c>
      <c r="AO527">
        <f>SUM(AN$2:$AN527)</f>
        <v>526</v>
      </c>
    </row>
    <row r="528" spans="1:41" x14ac:dyDescent="0.35">
      <c r="A528" t="s">
        <v>167</v>
      </c>
      <c r="B528" t="s">
        <v>2535</v>
      </c>
      <c r="C528">
        <v>12450</v>
      </c>
      <c r="D528" t="s">
        <v>2536</v>
      </c>
      <c r="E528">
        <v>0</v>
      </c>
      <c r="F528">
        <v>2126</v>
      </c>
      <c r="G528">
        <v>0</v>
      </c>
      <c r="H528">
        <v>0</v>
      </c>
      <c r="I528">
        <v>3223</v>
      </c>
      <c r="J528">
        <v>3562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352</v>
      </c>
      <c r="X528">
        <v>4</v>
      </c>
      <c r="Y528" t="s">
        <v>435</v>
      </c>
      <c r="Z528" t="s">
        <v>2216</v>
      </c>
      <c r="AA528" t="s">
        <v>150</v>
      </c>
      <c r="AB528" t="s">
        <v>149</v>
      </c>
      <c r="AC528" t="s">
        <v>497</v>
      </c>
      <c r="AD528">
        <v>3138</v>
      </c>
      <c r="AE528">
        <v>0</v>
      </c>
      <c r="AF528">
        <v>0</v>
      </c>
      <c r="AG528">
        <v>0</v>
      </c>
      <c r="AH528">
        <f t="shared" si="93"/>
        <v>0</v>
      </c>
      <c r="AI528">
        <f t="shared" si="94"/>
        <v>0</v>
      </c>
      <c r="AJ528">
        <f t="shared" si="95"/>
        <v>1</v>
      </c>
      <c r="AK528">
        <f t="shared" si="96"/>
        <v>1</v>
      </c>
      <c r="AL528">
        <f t="shared" si="97"/>
        <v>0</v>
      </c>
      <c r="AM528">
        <f t="shared" si="98"/>
        <v>0</v>
      </c>
      <c r="AN528">
        <f t="shared" si="99"/>
        <v>1</v>
      </c>
      <c r="AO528">
        <f>SUM(AN$2:$AN528)</f>
        <v>527</v>
      </c>
    </row>
    <row r="529" spans="1:41" x14ac:dyDescent="0.35">
      <c r="A529" t="s">
        <v>167</v>
      </c>
      <c r="B529" t="s">
        <v>2537</v>
      </c>
      <c r="C529">
        <v>12450</v>
      </c>
      <c r="D529" t="s">
        <v>2538</v>
      </c>
      <c r="E529">
        <v>0</v>
      </c>
      <c r="F529">
        <v>2582</v>
      </c>
      <c r="G529">
        <v>0</v>
      </c>
      <c r="H529">
        <v>0</v>
      </c>
      <c r="I529">
        <v>0</v>
      </c>
      <c r="J529">
        <v>0</v>
      </c>
      <c r="K529">
        <v>5683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 t="s">
        <v>445</v>
      </c>
      <c r="X529">
        <v>4</v>
      </c>
      <c r="Y529" t="s">
        <v>435</v>
      </c>
      <c r="Z529" t="s">
        <v>2217</v>
      </c>
      <c r="AA529" t="s">
        <v>152</v>
      </c>
      <c r="AB529" t="s">
        <v>153</v>
      </c>
      <c r="AC529" t="s">
        <v>497</v>
      </c>
      <c r="AD529">
        <v>3138</v>
      </c>
      <c r="AE529">
        <v>0</v>
      </c>
      <c r="AF529">
        <v>0</v>
      </c>
      <c r="AG529">
        <v>0</v>
      </c>
      <c r="AH529">
        <f t="shared" ref="AH529:AH538" si="100">IF(G529&gt;1,1,0)</f>
        <v>0</v>
      </c>
      <c r="AI529">
        <f t="shared" ref="AI529:AI538" si="101">IF(H529&gt;1,1,0)</f>
        <v>0</v>
      </c>
      <c r="AJ529">
        <f t="shared" ref="AJ529:AJ538" si="102">IF(I529&gt;1,1,0)</f>
        <v>0</v>
      </c>
      <c r="AK529">
        <f t="shared" ref="AK529:AK538" si="103">IF(J529&gt;1,1,0)</f>
        <v>0</v>
      </c>
      <c r="AL529">
        <f t="shared" ref="AL529:AL538" si="104">IF(K529&gt;1,1,0)</f>
        <v>1</v>
      </c>
      <c r="AM529">
        <f t="shared" ref="AM529:AM538" si="105">IF(L529&gt;1,1,0)</f>
        <v>0</v>
      </c>
      <c r="AN529">
        <f t="shared" ref="AN529:AN538" si="106">MIN(1,($AV$2+IF(AND(AH529&gt;=$AP$3,AI529&gt;=$AQ$3,AJ529&gt;=$AR$3,AK529&gt;=$AS$3,AL529&gt;=$AT$3,AM529&gt;=$AU$3),1,0)))</f>
        <v>1</v>
      </c>
      <c r="AO529">
        <f>SUM(AN$2:$AN529)</f>
        <v>528</v>
      </c>
    </row>
    <row r="530" spans="1:41" x14ac:dyDescent="0.35">
      <c r="A530" t="s">
        <v>167</v>
      </c>
      <c r="B530" t="s">
        <v>2539</v>
      </c>
      <c r="C530">
        <v>12450</v>
      </c>
      <c r="D530" t="s">
        <v>2540</v>
      </c>
      <c r="E530">
        <v>0</v>
      </c>
      <c r="F530">
        <v>2126</v>
      </c>
      <c r="G530">
        <v>0</v>
      </c>
      <c r="H530">
        <v>0</v>
      </c>
      <c r="I530">
        <v>3223</v>
      </c>
      <c r="J530">
        <v>0</v>
      </c>
      <c r="K530">
        <v>3562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t="s">
        <v>421</v>
      </c>
      <c r="X530">
        <v>4</v>
      </c>
      <c r="Y530" t="s">
        <v>435</v>
      </c>
      <c r="Z530" t="s">
        <v>2218</v>
      </c>
      <c r="AA530" t="s">
        <v>358</v>
      </c>
      <c r="AB530" t="s">
        <v>149</v>
      </c>
      <c r="AC530" t="s">
        <v>497</v>
      </c>
      <c r="AD530">
        <v>3138</v>
      </c>
      <c r="AE530">
        <v>0</v>
      </c>
      <c r="AF530">
        <v>0</v>
      </c>
      <c r="AG530">
        <v>0</v>
      </c>
      <c r="AH530">
        <f t="shared" si="100"/>
        <v>0</v>
      </c>
      <c r="AI530">
        <f t="shared" si="101"/>
        <v>0</v>
      </c>
      <c r="AJ530">
        <f t="shared" si="102"/>
        <v>1</v>
      </c>
      <c r="AK530">
        <f t="shared" si="103"/>
        <v>0</v>
      </c>
      <c r="AL530">
        <f t="shared" si="104"/>
        <v>1</v>
      </c>
      <c r="AM530">
        <f t="shared" si="105"/>
        <v>0</v>
      </c>
      <c r="AN530">
        <f t="shared" si="106"/>
        <v>1</v>
      </c>
      <c r="AO530">
        <f>SUM(AN$2:$AN530)</f>
        <v>529</v>
      </c>
    </row>
    <row r="531" spans="1:41" x14ac:dyDescent="0.35">
      <c r="A531" t="s">
        <v>167</v>
      </c>
      <c r="B531" t="s">
        <v>2541</v>
      </c>
      <c r="C531">
        <v>12450</v>
      </c>
      <c r="D531" t="s">
        <v>2542</v>
      </c>
      <c r="E531">
        <v>0</v>
      </c>
      <c r="F531">
        <v>1823</v>
      </c>
      <c r="G531">
        <v>2205</v>
      </c>
      <c r="H531">
        <v>0</v>
      </c>
      <c r="I531">
        <v>0</v>
      </c>
      <c r="J531">
        <v>0</v>
      </c>
      <c r="K531">
        <v>5428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t="s">
        <v>330</v>
      </c>
      <c r="X531">
        <v>4</v>
      </c>
      <c r="Y531" t="s">
        <v>435</v>
      </c>
      <c r="Z531" t="s">
        <v>2219</v>
      </c>
      <c r="AA531" t="s">
        <v>358</v>
      </c>
      <c r="AB531" t="s">
        <v>149</v>
      </c>
      <c r="AC531" t="s">
        <v>497</v>
      </c>
      <c r="AD531">
        <v>3138</v>
      </c>
      <c r="AE531">
        <v>0</v>
      </c>
      <c r="AF531">
        <v>0</v>
      </c>
      <c r="AG531">
        <v>0</v>
      </c>
      <c r="AH531">
        <f t="shared" si="100"/>
        <v>1</v>
      </c>
      <c r="AI531">
        <f t="shared" si="101"/>
        <v>0</v>
      </c>
      <c r="AJ531">
        <f t="shared" si="102"/>
        <v>0</v>
      </c>
      <c r="AK531">
        <f t="shared" si="103"/>
        <v>0</v>
      </c>
      <c r="AL531">
        <f t="shared" si="104"/>
        <v>1</v>
      </c>
      <c r="AM531">
        <f t="shared" si="105"/>
        <v>0</v>
      </c>
      <c r="AN531">
        <f t="shared" si="106"/>
        <v>1</v>
      </c>
      <c r="AO531">
        <f>SUM(AN$2:$AN531)</f>
        <v>530</v>
      </c>
    </row>
    <row r="532" spans="1:41" x14ac:dyDescent="0.35">
      <c r="A532" t="s">
        <v>167</v>
      </c>
      <c r="B532" t="s">
        <v>2543</v>
      </c>
      <c r="C532">
        <v>12600</v>
      </c>
      <c r="D532" t="s">
        <v>2544</v>
      </c>
      <c r="E532">
        <v>616</v>
      </c>
      <c r="F532">
        <v>999</v>
      </c>
      <c r="G532">
        <v>3090</v>
      </c>
      <c r="H532">
        <v>0</v>
      </c>
      <c r="I532">
        <v>0</v>
      </c>
      <c r="J532">
        <v>2747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 t="s">
        <v>350</v>
      </c>
      <c r="X532">
        <v>6</v>
      </c>
      <c r="Y532" t="s">
        <v>442</v>
      </c>
      <c r="Z532" t="s">
        <v>2220</v>
      </c>
      <c r="AA532" t="s">
        <v>151</v>
      </c>
      <c r="AB532" t="s">
        <v>150</v>
      </c>
      <c r="AC532" t="s">
        <v>497</v>
      </c>
      <c r="AD532">
        <v>3176</v>
      </c>
      <c r="AE532">
        <v>0</v>
      </c>
      <c r="AF532">
        <v>0</v>
      </c>
      <c r="AG532">
        <v>0</v>
      </c>
      <c r="AH532">
        <f t="shared" si="100"/>
        <v>1</v>
      </c>
      <c r="AI532">
        <f t="shared" si="101"/>
        <v>0</v>
      </c>
      <c r="AJ532">
        <f t="shared" si="102"/>
        <v>0</v>
      </c>
      <c r="AK532">
        <f t="shared" si="103"/>
        <v>1</v>
      </c>
      <c r="AL532">
        <f t="shared" si="104"/>
        <v>0</v>
      </c>
      <c r="AM532">
        <f t="shared" si="105"/>
        <v>0</v>
      </c>
      <c r="AN532">
        <f t="shared" si="106"/>
        <v>1</v>
      </c>
      <c r="AO532">
        <f>SUM(AN$2:$AN532)</f>
        <v>531</v>
      </c>
    </row>
    <row r="533" spans="1:41" x14ac:dyDescent="0.35">
      <c r="A533" t="s">
        <v>168</v>
      </c>
      <c r="B533" t="s">
        <v>1192</v>
      </c>
      <c r="C533">
        <v>8000</v>
      </c>
      <c r="D533" t="s">
        <v>1193</v>
      </c>
      <c r="E533">
        <v>279</v>
      </c>
      <c r="F533">
        <v>453</v>
      </c>
      <c r="G533">
        <v>0</v>
      </c>
      <c r="H533">
        <v>0</v>
      </c>
      <c r="I533">
        <v>0</v>
      </c>
      <c r="J533">
        <v>1401</v>
      </c>
      <c r="K533">
        <v>1246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 t="s">
        <v>347</v>
      </c>
      <c r="X533">
        <v>6</v>
      </c>
      <c r="Y533" t="s">
        <v>435</v>
      </c>
      <c r="Z533" t="s">
        <v>2221</v>
      </c>
      <c r="AA533" t="s">
        <v>151</v>
      </c>
      <c r="AB533" t="s">
        <v>151</v>
      </c>
      <c r="AC533" t="s">
        <v>497</v>
      </c>
      <c r="AD533">
        <v>1440</v>
      </c>
      <c r="AE533">
        <v>0</v>
      </c>
      <c r="AF533">
        <v>0</v>
      </c>
      <c r="AG533">
        <v>0</v>
      </c>
      <c r="AH533">
        <f t="shared" si="100"/>
        <v>0</v>
      </c>
      <c r="AI533">
        <f t="shared" si="101"/>
        <v>0</v>
      </c>
      <c r="AJ533">
        <f t="shared" si="102"/>
        <v>0</v>
      </c>
      <c r="AK533">
        <f t="shared" si="103"/>
        <v>1</v>
      </c>
      <c r="AL533">
        <f t="shared" si="104"/>
        <v>1</v>
      </c>
      <c r="AM533">
        <f t="shared" si="105"/>
        <v>0</v>
      </c>
      <c r="AN533">
        <f t="shared" si="106"/>
        <v>1</v>
      </c>
      <c r="AO533">
        <f>SUM(AN$2:$AN533)</f>
        <v>532</v>
      </c>
    </row>
    <row r="534" spans="1:41" x14ac:dyDescent="0.35">
      <c r="A534" t="s">
        <v>168</v>
      </c>
      <c r="B534" t="s">
        <v>1189</v>
      </c>
      <c r="C534">
        <v>8100</v>
      </c>
      <c r="D534" t="s">
        <v>2222</v>
      </c>
      <c r="E534">
        <v>354</v>
      </c>
      <c r="F534">
        <v>706</v>
      </c>
      <c r="G534">
        <v>1813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161</v>
      </c>
      <c r="X534">
        <v>6</v>
      </c>
      <c r="Y534" t="s">
        <v>437</v>
      </c>
      <c r="Z534" t="s">
        <v>2223</v>
      </c>
      <c r="AA534" t="s">
        <v>497</v>
      </c>
      <c r="AB534" t="s">
        <v>497</v>
      </c>
      <c r="AC534" t="s">
        <v>497</v>
      </c>
      <c r="AD534">
        <v>1458</v>
      </c>
      <c r="AE534">
        <v>0</v>
      </c>
      <c r="AF534">
        <v>0</v>
      </c>
      <c r="AG534">
        <v>0</v>
      </c>
      <c r="AH534">
        <f t="shared" si="100"/>
        <v>1</v>
      </c>
      <c r="AI534">
        <f t="shared" si="101"/>
        <v>0</v>
      </c>
      <c r="AJ534">
        <f t="shared" si="102"/>
        <v>0</v>
      </c>
      <c r="AK534">
        <f t="shared" si="103"/>
        <v>0</v>
      </c>
      <c r="AL534">
        <f t="shared" si="104"/>
        <v>0</v>
      </c>
      <c r="AM534">
        <f t="shared" si="105"/>
        <v>0</v>
      </c>
      <c r="AN534">
        <f t="shared" si="106"/>
        <v>1</v>
      </c>
      <c r="AO534">
        <f>SUM(AN$2:$AN534)</f>
        <v>533</v>
      </c>
    </row>
    <row r="535" spans="1:41" x14ac:dyDescent="0.35">
      <c r="A535" t="s">
        <v>168</v>
      </c>
      <c r="B535" t="s">
        <v>1190</v>
      </c>
      <c r="C535">
        <v>8100</v>
      </c>
      <c r="D535" t="s">
        <v>2224</v>
      </c>
      <c r="E535">
        <v>283</v>
      </c>
      <c r="F535">
        <v>459</v>
      </c>
      <c r="G535">
        <v>1419</v>
      </c>
      <c r="H535">
        <v>0</v>
      </c>
      <c r="I535">
        <v>0</v>
      </c>
      <c r="J535">
        <v>0</v>
      </c>
      <c r="K535">
        <v>1261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 t="s">
        <v>157</v>
      </c>
      <c r="X535">
        <v>6</v>
      </c>
      <c r="Y535" t="s">
        <v>437</v>
      </c>
      <c r="Z535" t="s">
        <v>2225</v>
      </c>
      <c r="AA535" t="s">
        <v>153</v>
      </c>
      <c r="AB535" t="s">
        <v>153</v>
      </c>
      <c r="AC535" t="s">
        <v>497</v>
      </c>
      <c r="AD535">
        <v>1458</v>
      </c>
      <c r="AE535">
        <v>0</v>
      </c>
      <c r="AF535">
        <v>0</v>
      </c>
      <c r="AG535">
        <v>0</v>
      </c>
      <c r="AH535">
        <f t="shared" si="100"/>
        <v>1</v>
      </c>
      <c r="AI535">
        <f t="shared" si="101"/>
        <v>0</v>
      </c>
      <c r="AJ535">
        <f t="shared" si="102"/>
        <v>0</v>
      </c>
      <c r="AK535">
        <f t="shared" si="103"/>
        <v>0</v>
      </c>
      <c r="AL535">
        <f t="shared" si="104"/>
        <v>1</v>
      </c>
      <c r="AM535">
        <f t="shared" si="105"/>
        <v>0</v>
      </c>
      <c r="AN535">
        <f t="shared" si="106"/>
        <v>1</v>
      </c>
      <c r="AO535">
        <f>SUM(AN$2:$AN535)</f>
        <v>534</v>
      </c>
    </row>
    <row r="536" spans="1:41" customFormat="1" x14ac:dyDescent="0.35">
      <c r="A536" t="s">
        <v>168</v>
      </c>
      <c r="B536" t="s">
        <v>1191</v>
      </c>
      <c r="C536">
        <v>8150</v>
      </c>
      <c r="D536" t="s">
        <v>2226</v>
      </c>
      <c r="E536">
        <v>285</v>
      </c>
      <c r="F536">
        <v>462</v>
      </c>
      <c r="G536">
        <v>1428</v>
      </c>
      <c r="H536">
        <v>0</v>
      </c>
      <c r="I536">
        <v>0</v>
      </c>
      <c r="J536">
        <v>1269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350</v>
      </c>
      <c r="X536">
        <v>6</v>
      </c>
      <c r="Y536" t="s">
        <v>438</v>
      </c>
      <c r="Z536" t="s">
        <v>2227</v>
      </c>
      <c r="AA536" t="s">
        <v>148</v>
      </c>
      <c r="AB536" t="s">
        <v>148</v>
      </c>
      <c r="AC536" t="s">
        <v>497</v>
      </c>
      <c r="AD536">
        <v>1467</v>
      </c>
      <c r="AE536">
        <v>0</v>
      </c>
      <c r="AF536">
        <v>0</v>
      </c>
      <c r="AG536">
        <v>0</v>
      </c>
      <c r="AH536">
        <f t="shared" si="100"/>
        <v>1</v>
      </c>
      <c r="AI536">
        <f t="shared" si="101"/>
        <v>0</v>
      </c>
      <c r="AJ536">
        <f t="shared" si="102"/>
        <v>0</v>
      </c>
      <c r="AK536">
        <f t="shared" si="103"/>
        <v>1</v>
      </c>
      <c r="AL536">
        <f t="shared" si="104"/>
        <v>0</v>
      </c>
      <c r="AM536">
        <f t="shared" si="105"/>
        <v>0</v>
      </c>
      <c r="AN536">
        <f t="shared" si="106"/>
        <v>1</v>
      </c>
      <c r="AO536">
        <f>SUM(AN$2:$AN536)</f>
        <v>535</v>
      </c>
    </row>
    <row r="537" spans="1:41" x14ac:dyDescent="0.35">
      <c r="A537" t="s">
        <v>168</v>
      </c>
      <c r="B537" t="s">
        <v>1194</v>
      </c>
      <c r="C537">
        <v>8600</v>
      </c>
      <c r="D537" t="s">
        <v>2228</v>
      </c>
      <c r="E537">
        <v>300</v>
      </c>
      <c r="F537">
        <v>487</v>
      </c>
      <c r="G537">
        <v>0</v>
      </c>
      <c r="H537">
        <v>0</v>
      </c>
      <c r="I537">
        <v>0</v>
      </c>
      <c r="J537">
        <v>1339</v>
      </c>
      <c r="K537">
        <v>0</v>
      </c>
      <c r="L537">
        <v>1507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349</v>
      </c>
      <c r="X537">
        <v>6</v>
      </c>
      <c r="Y537" t="s">
        <v>628</v>
      </c>
      <c r="Z537" t="s">
        <v>2229</v>
      </c>
      <c r="AA537" t="s">
        <v>148</v>
      </c>
      <c r="AB537" t="s">
        <v>148</v>
      </c>
      <c r="AC537" t="s">
        <v>497</v>
      </c>
      <c r="AD537">
        <v>1548</v>
      </c>
      <c r="AE537">
        <v>0</v>
      </c>
      <c r="AF537">
        <v>0</v>
      </c>
      <c r="AG537">
        <v>0</v>
      </c>
      <c r="AH537">
        <f t="shared" si="100"/>
        <v>0</v>
      </c>
      <c r="AI537">
        <f t="shared" si="101"/>
        <v>0</v>
      </c>
      <c r="AJ537">
        <f t="shared" si="102"/>
        <v>0</v>
      </c>
      <c r="AK537">
        <f t="shared" si="103"/>
        <v>1</v>
      </c>
      <c r="AL537">
        <f t="shared" si="104"/>
        <v>0</v>
      </c>
      <c r="AM537">
        <f t="shared" si="105"/>
        <v>1</v>
      </c>
      <c r="AN537">
        <f t="shared" si="106"/>
        <v>1</v>
      </c>
      <c r="AO537">
        <f>SUM(AN$2:$AN537)</f>
        <v>536</v>
      </c>
    </row>
    <row r="538" spans="1:41" x14ac:dyDescent="0.35">
      <c r="A538" t="s">
        <v>168</v>
      </c>
      <c r="B538" t="s">
        <v>1191</v>
      </c>
      <c r="C538">
        <v>8800</v>
      </c>
      <c r="D538" t="s">
        <v>1196</v>
      </c>
      <c r="E538">
        <v>307</v>
      </c>
      <c r="F538">
        <v>498</v>
      </c>
      <c r="G538">
        <v>1542</v>
      </c>
      <c r="H538">
        <v>0</v>
      </c>
      <c r="I538">
        <v>0</v>
      </c>
      <c r="J538">
        <v>1370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350</v>
      </c>
      <c r="X538">
        <v>6</v>
      </c>
      <c r="Y538" t="s">
        <v>438</v>
      </c>
      <c r="Z538" t="s">
        <v>2230</v>
      </c>
      <c r="AA538" t="s">
        <v>148</v>
      </c>
      <c r="AB538" t="s">
        <v>148</v>
      </c>
      <c r="AC538" t="s">
        <v>497</v>
      </c>
      <c r="AD538">
        <v>1584</v>
      </c>
      <c r="AE538">
        <v>0</v>
      </c>
      <c r="AF538">
        <v>0</v>
      </c>
      <c r="AG538">
        <v>0</v>
      </c>
      <c r="AH538">
        <f t="shared" si="100"/>
        <v>1</v>
      </c>
      <c r="AI538">
        <f t="shared" si="101"/>
        <v>0</v>
      </c>
      <c r="AJ538">
        <f t="shared" si="102"/>
        <v>0</v>
      </c>
      <c r="AK538">
        <f t="shared" si="103"/>
        <v>1</v>
      </c>
      <c r="AL538">
        <f t="shared" si="104"/>
        <v>0</v>
      </c>
      <c r="AM538">
        <f t="shared" si="105"/>
        <v>0</v>
      </c>
      <c r="AN538">
        <f t="shared" si="106"/>
        <v>1</v>
      </c>
      <c r="AO538">
        <f>SUM(AN$2:$AN538)</f>
        <v>537</v>
      </c>
    </row>
    <row r="539" spans="1:41" x14ac:dyDescent="0.35">
      <c r="A539" t="s">
        <v>168</v>
      </c>
      <c r="B539" t="s">
        <v>1190</v>
      </c>
      <c r="C539">
        <v>8800</v>
      </c>
      <c r="D539" t="s">
        <v>1197</v>
      </c>
      <c r="E539">
        <v>307</v>
      </c>
      <c r="F539">
        <v>498</v>
      </c>
      <c r="G539">
        <v>1542</v>
      </c>
      <c r="H539">
        <v>0</v>
      </c>
      <c r="I539">
        <v>0</v>
      </c>
      <c r="J539">
        <v>0</v>
      </c>
      <c r="K539">
        <v>1370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 t="s">
        <v>157</v>
      </c>
      <c r="X539">
        <v>6</v>
      </c>
      <c r="Y539" t="s">
        <v>437</v>
      </c>
      <c r="Z539" t="s">
        <v>2231</v>
      </c>
      <c r="AA539" t="s">
        <v>153</v>
      </c>
      <c r="AB539" t="s">
        <v>153</v>
      </c>
      <c r="AC539" t="s">
        <v>497</v>
      </c>
      <c r="AD539">
        <v>1584</v>
      </c>
      <c r="AE539">
        <v>0</v>
      </c>
      <c r="AF539">
        <v>0</v>
      </c>
      <c r="AG539">
        <v>0</v>
      </c>
      <c r="AH539">
        <f t="shared" ref="AH539" si="107">IF(G539&gt;1,1,0)</f>
        <v>1</v>
      </c>
      <c r="AI539">
        <f t="shared" ref="AI539" si="108">IF(H539&gt;1,1,0)</f>
        <v>0</v>
      </c>
      <c r="AJ539">
        <f t="shared" ref="AJ539" si="109">IF(I539&gt;1,1,0)</f>
        <v>0</v>
      </c>
      <c r="AK539">
        <f t="shared" ref="AK539" si="110">IF(J539&gt;1,1,0)</f>
        <v>0</v>
      </c>
      <c r="AL539">
        <f t="shared" ref="AL539" si="111">IF(K539&gt;1,1,0)</f>
        <v>1</v>
      </c>
      <c r="AM539">
        <f t="shared" ref="AM539" si="112">IF(L539&gt;1,1,0)</f>
        <v>0</v>
      </c>
      <c r="AN539">
        <f t="shared" ref="AN539" si="113">MIN(1,($AV$2+IF(AND(AH539&gt;=$AP$3,AI539&gt;=$AQ$3,AJ539&gt;=$AR$3,AK539&gt;=$AS$3,AL539&gt;=$AT$3,AM539&gt;=$AU$3),1,0)))</f>
        <v>1</v>
      </c>
      <c r="AO539">
        <f>SUM(AN$2:$AN539)</f>
        <v>538</v>
      </c>
    </row>
    <row r="540" spans="1:41" x14ac:dyDescent="0.35">
      <c r="A540" t="s">
        <v>168</v>
      </c>
      <c r="B540" t="s">
        <v>1195</v>
      </c>
      <c r="C540">
        <v>9100</v>
      </c>
      <c r="D540" t="s">
        <v>2232</v>
      </c>
      <c r="E540">
        <v>318</v>
      </c>
      <c r="F540">
        <v>515</v>
      </c>
      <c r="G540">
        <v>1594</v>
      </c>
      <c r="H540">
        <v>0</v>
      </c>
      <c r="I540">
        <v>0</v>
      </c>
      <c r="J540">
        <v>0</v>
      </c>
      <c r="K540">
        <v>1417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 t="s">
        <v>157</v>
      </c>
      <c r="X540">
        <v>6</v>
      </c>
      <c r="Y540" t="s">
        <v>435</v>
      </c>
      <c r="Z540" t="s">
        <v>2233</v>
      </c>
      <c r="AA540" t="s">
        <v>153</v>
      </c>
      <c r="AB540" t="s">
        <v>153</v>
      </c>
      <c r="AC540" t="s">
        <v>497</v>
      </c>
      <c r="AD540">
        <v>1638</v>
      </c>
      <c r="AE540">
        <v>0</v>
      </c>
      <c r="AF540">
        <v>0</v>
      </c>
      <c r="AG540">
        <v>0</v>
      </c>
      <c r="AH540">
        <f t="shared" ref="AH540:AH562" si="114">IF(G540&gt;1,1,0)</f>
        <v>1</v>
      </c>
      <c r="AI540">
        <f t="shared" ref="AI540:AI562" si="115">IF(H540&gt;1,1,0)</f>
        <v>0</v>
      </c>
      <c r="AJ540">
        <f t="shared" ref="AJ540:AJ562" si="116">IF(I540&gt;1,1,0)</f>
        <v>0</v>
      </c>
      <c r="AK540">
        <f t="shared" ref="AK540:AK562" si="117">IF(J540&gt;1,1,0)</f>
        <v>0</v>
      </c>
      <c r="AL540">
        <f t="shared" ref="AL540:AL562" si="118">IF(K540&gt;1,1,0)</f>
        <v>1</v>
      </c>
      <c r="AM540">
        <f t="shared" ref="AM540:AM562" si="119">IF(L540&gt;1,1,0)</f>
        <v>0</v>
      </c>
      <c r="AN540">
        <f t="shared" ref="AN540:AN562" si="120">MIN(1,($AV$2+IF(AND(AH540&gt;=$AP$3,AI540&gt;=$AQ$3,AJ540&gt;=$AR$3,AK540&gt;=$AS$3,AL540&gt;=$AT$3,AM540&gt;=$AU$3),1,0)))</f>
        <v>1</v>
      </c>
      <c r="AO540">
        <f>SUM(AN$2:$AN540)</f>
        <v>539</v>
      </c>
    </row>
    <row r="541" spans="1:41" customFormat="1" x14ac:dyDescent="0.35">
      <c r="A541" t="s">
        <v>168</v>
      </c>
      <c r="B541" t="s">
        <v>1198</v>
      </c>
      <c r="C541">
        <v>9100</v>
      </c>
      <c r="D541" t="s">
        <v>1199</v>
      </c>
      <c r="E541">
        <v>0</v>
      </c>
      <c r="F541">
        <v>1150</v>
      </c>
      <c r="G541">
        <v>0</v>
      </c>
      <c r="H541">
        <v>0</v>
      </c>
      <c r="I541">
        <v>1860</v>
      </c>
      <c r="J541">
        <v>1683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351</v>
      </c>
      <c r="X541">
        <v>3</v>
      </c>
      <c r="Y541" t="s">
        <v>434</v>
      </c>
      <c r="Z541" t="s">
        <v>2234</v>
      </c>
      <c r="AA541" t="s">
        <v>150</v>
      </c>
      <c r="AB541" t="s">
        <v>150</v>
      </c>
      <c r="AC541" t="s">
        <v>497</v>
      </c>
      <c r="AD541">
        <v>0</v>
      </c>
      <c r="AE541">
        <v>0</v>
      </c>
      <c r="AF541">
        <v>0</v>
      </c>
      <c r="AG541">
        <v>0</v>
      </c>
      <c r="AH541">
        <f t="shared" si="114"/>
        <v>0</v>
      </c>
      <c r="AI541">
        <f t="shared" si="115"/>
        <v>0</v>
      </c>
      <c r="AJ541">
        <f t="shared" si="116"/>
        <v>1</v>
      </c>
      <c r="AK541">
        <f t="shared" si="117"/>
        <v>1</v>
      </c>
      <c r="AL541">
        <f t="shared" si="118"/>
        <v>0</v>
      </c>
      <c r="AM541">
        <f t="shared" si="119"/>
        <v>0</v>
      </c>
      <c r="AN541">
        <f t="shared" si="120"/>
        <v>1</v>
      </c>
      <c r="AO541">
        <f>SUM(AN$2:$AN541)</f>
        <v>540</v>
      </c>
    </row>
    <row r="542" spans="1:41" customFormat="1" x14ac:dyDescent="0.35">
      <c r="A542" t="s">
        <v>168</v>
      </c>
      <c r="B542" t="s">
        <v>1198</v>
      </c>
      <c r="C542">
        <v>9100</v>
      </c>
      <c r="D542" t="s">
        <v>1200</v>
      </c>
      <c r="E542">
        <v>0</v>
      </c>
      <c r="F542">
        <v>1348</v>
      </c>
      <c r="G542">
        <v>0</v>
      </c>
      <c r="H542">
        <v>0</v>
      </c>
      <c r="I542">
        <v>0</v>
      </c>
      <c r="J542">
        <v>0</v>
      </c>
      <c r="K542">
        <v>3055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 t="s">
        <v>327</v>
      </c>
      <c r="X542">
        <v>3</v>
      </c>
      <c r="Y542" t="s">
        <v>434</v>
      </c>
      <c r="Z542" t="s">
        <v>2235</v>
      </c>
      <c r="AA542" t="s">
        <v>152</v>
      </c>
      <c r="AB542" t="s">
        <v>152</v>
      </c>
      <c r="AC542" t="s">
        <v>497</v>
      </c>
      <c r="AD542">
        <v>0</v>
      </c>
      <c r="AE542">
        <v>0</v>
      </c>
      <c r="AF542">
        <v>0</v>
      </c>
      <c r="AG542">
        <v>0</v>
      </c>
      <c r="AH542">
        <f t="shared" si="114"/>
        <v>0</v>
      </c>
      <c r="AI542">
        <f t="shared" si="115"/>
        <v>0</v>
      </c>
      <c r="AJ542">
        <f t="shared" si="116"/>
        <v>0</v>
      </c>
      <c r="AK542">
        <f t="shared" si="117"/>
        <v>0</v>
      </c>
      <c r="AL542">
        <f t="shared" si="118"/>
        <v>1</v>
      </c>
      <c r="AM542">
        <f t="shared" si="119"/>
        <v>0</v>
      </c>
      <c r="AN542">
        <f t="shared" si="120"/>
        <v>1</v>
      </c>
      <c r="AO542">
        <f>SUM(AN$2:$AN542)</f>
        <v>541</v>
      </c>
    </row>
    <row r="543" spans="1:41" customFormat="1" x14ac:dyDescent="0.35">
      <c r="A543" t="s">
        <v>168</v>
      </c>
      <c r="B543" t="s">
        <v>1198</v>
      </c>
      <c r="C543">
        <v>9100</v>
      </c>
      <c r="D543" t="s">
        <v>2612</v>
      </c>
      <c r="E543">
        <v>0</v>
      </c>
      <c r="F543">
        <v>1150</v>
      </c>
      <c r="G543">
        <v>1683</v>
      </c>
      <c r="H543">
        <v>886</v>
      </c>
      <c r="I543">
        <v>0</v>
      </c>
      <c r="J543">
        <v>0</v>
      </c>
      <c r="K543">
        <v>886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 t="s">
        <v>2594</v>
      </c>
      <c r="X543">
        <v>3</v>
      </c>
      <c r="Y543" t="s">
        <v>434</v>
      </c>
      <c r="Z543" t="s">
        <v>2236</v>
      </c>
      <c r="AA543" t="s">
        <v>152</v>
      </c>
      <c r="AB543" t="s">
        <v>152</v>
      </c>
      <c r="AC543" t="s">
        <v>497</v>
      </c>
      <c r="AD543">
        <v>0</v>
      </c>
      <c r="AE543">
        <v>0</v>
      </c>
      <c r="AF543">
        <v>0</v>
      </c>
      <c r="AG543">
        <v>0</v>
      </c>
      <c r="AH543">
        <f t="shared" si="114"/>
        <v>1</v>
      </c>
      <c r="AI543">
        <f t="shared" si="115"/>
        <v>1</v>
      </c>
      <c r="AJ543">
        <f t="shared" si="116"/>
        <v>0</v>
      </c>
      <c r="AK543">
        <f t="shared" si="117"/>
        <v>0</v>
      </c>
      <c r="AL543">
        <f t="shared" si="118"/>
        <v>1</v>
      </c>
      <c r="AM543">
        <f t="shared" si="119"/>
        <v>0</v>
      </c>
      <c r="AN543">
        <f t="shared" si="120"/>
        <v>1</v>
      </c>
      <c r="AO543">
        <f>SUM(AN$2:$AN543)</f>
        <v>542</v>
      </c>
    </row>
    <row r="544" spans="1:41" customFormat="1" ht="12" customHeight="1" x14ac:dyDescent="0.35">
      <c r="A544" t="s">
        <v>168</v>
      </c>
      <c r="B544" t="s">
        <v>1198</v>
      </c>
      <c r="C544">
        <v>9400</v>
      </c>
      <c r="D544" t="s">
        <v>1208</v>
      </c>
      <c r="E544">
        <v>0</v>
      </c>
      <c r="F544">
        <v>1188</v>
      </c>
      <c r="G544">
        <v>1830</v>
      </c>
      <c r="H544">
        <v>0</v>
      </c>
      <c r="I544">
        <v>1830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t="s">
        <v>420</v>
      </c>
      <c r="X544">
        <v>3</v>
      </c>
      <c r="Y544" t="s">
        <v>434</v>
      </c>
      <c r="Z544" t="s">
        <v>2238</v>
      </c>
      <c r="AA544" t="s">
        <v>358</v>
      </c>
      <c r="AB544" t="s">
        <v>358</v>
      </c>
      <c r="AC544" t="s">
        <v>497</v>
      </c>
      <c r="AD544">
        <v>0</v>
      </c>
      <c r="AE544">
        <v>0</v>
      </c>
      <c r="AF544">
        <v>0</v>
      </c>
      <c r="AG544">
        <v>0</v>
      </c>
      <c r="AH544">
        <f t="shared" si="114"/>
        <v>1</v>
      </c>
      <c r="AI544">
        <f t="shared" si="115"/>
        <v>0</v>
      </c>
      <c r="AJ544">
        <f t="shared" si="116"/>
        <v>1</v>
      </c>
      <c r="AK544">
        <f t="shared" si="117"/>
        <v>0</v>
      </c>
      <c r="AL544">
        <f t="shared" si="118"/>
        <v>0</v>
      </c>
      <c r="AM544">
        <f t="shared" si="119"/>
        <v>0</v>
      </c>
      <c r="AN544">
        <f t="shared" si="120"/>
        <v>1</v>
      </c>
      <c r="AO544">
        <f>SUM(AN$2:$AN544)</f>
        <v>543</v>
      </c>
    </row>
    <row r="545" spans="1:41" customFormat="1" x14ac:dyDescent="0.35">
      <c r="A545" t="s">
        <v>168</v>
      </c>
      <c r="B545" t="s">
        <v>1198</v>
      </c>
      <c r="C545">
        <v>9400</v>
      </c>
      <c r="D545" t="s">
        <v>2613</v>
      </c>
      <c r="E545">
        <v>0</v>
      </c>
      <c r="F545">
        <v>1188</v>
      </c>
      <c r="G545">
        <v>1372</v>
      </c>
      <c r="H545">
        <v>915</v>
      </c>
      <c r="I545">
        <v>1281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t="s">
        <v>2583</v>
      </c>
      <c r="X545">
        <v>3</v>
      </c>
      <c r="Y545" t="s">
        <v>434</v>
      </c>
      <c r="Z545" t="s">
        <v>2239</v>
      </c>
      <c r="AA545" t="s">
        <v>358</v>
      </c>
      <c r="AB545" t="s">
        <v>358</v>
      </c>
      <c r="AC545" t="s">
        <v>497</v>
      </c>
      <c r="AD545">
        <v>0</v>
      </c>
      <c r="AE545">
        <v>0</v>
      </c>
      <c r="AF545">
        <v>0</v>
      </c>
      <c r="AG545">
        <v>0</v>
      </c>
      <c r="AH545">
        <f t="shared" si="114"/>
        <v>1</v>
      </c>
      <c r="AI545">
        <f t="shared" si="115"/>
        <v>1</v>
      </c>
      <c r="AJ545">
        <f t="shared" si="116"/>
        <v>1</v>
      </c>
      <c r="AK545">
        <f t="shared" si="117"/>
        <v>0</v>
      </c>
      <c r="AL545">
        <f t="shared" si="118"/>
        <v>0</v>
      </c>
      <c r="AM545">
        <f t="shared" si="119"/>
        <v>0</v>
      </c>
      <c r="AN545">
        <f t="shared" si="120"/>
        <v>1</v>
      </c>
      <c r="AO545">
        <f>SUM(AN$2:$AN545)</f>
        <v>544</v>
      </c>
    </row>
    <row r="546" spans="1:41" customFormat="1" x14ac:dyDescent="0.35">
      <c r="A546" t="s">
        <v>168</v>
      </c>
      <c r="B546" t="s">
        <v>1198</v>
      </c>
      <c r="C546">
        <v>9400</v>
      </c>
      <c r="D546" t="s">
        <v>1209</v>
      </c>
      <c r="E546">
        <v>0</v>
      </c>
      <c r="F546">
        <v>1392</v>
      </c>
      <c r="G546">
        <v>3156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 t="s">
        <v>331</v>
      </c>
      <c r="X546">
        <v>3</v>
      </c>
      <c r="Y546" t="s">
        <v>434</v>
      </c>
      <c r="Z546" t="s">
        <v>2240</v>
      </c>
      <c r="AA546" t="s">
        <v>151</v>
      </c>
      <c r="AB546" t="s">
        <v>151</v>
      </c>
      <c r="AC546" t="s">
        <v>497</v>
      </c>
      <c r="AD546">
        <v>0</v>
      </c>
      <c r="AE546">
        <v>0</v>
      </c>
      <c r="AF546">
        <v>0</v>
      </c>
      <c r="AG546">
        <v>0</v>
      </c>
      <c r="AH546">
        <f t="shared" si="114"/>
        <v>1</v>
      </c>
      <c r="AI546">
        <f t="shared" si="115"/>
        <v>0</v>
      </c>
      <c r="AJ546">
        <f t="shared" si="116"/>
        <v>0</v>
      </c>
      <c r="AK546">
        <f t="shared" si="117"/>
        <v>0</v>
      </c>
      <c r="AL546">
        <f t="shared" si="118"/>
        <v>0</v>
      </c>
      <c r="AM546">
        <f t="shared" si="119"/>
        <v>0</v>
      </c>
      <c r="AN546">
        <f t="shared" si="120"/>
        <v>1</v>
      </c>
      <c r="AO546">
        <f>SUM(AN$2:$AN546)</f>
        <v>545</v>
      </c>
    </row>
    <row r="547" spans="1:41" customFormat="1" x14ac:dyDescent="0.35">
      <c r="A547" t="s">
        <v>168</v>
      </c>
      <c r="B547" t="s">
        <v>1191</v>
      </c>
      <c r="C547">
        <v>9450</v>
      </c>
      <c r="D547" t="s">
        <v>2241</v>
      </c>
      <c r="E547">
        <v>330</v>
      </c>
      <c r="F547">
        <v>535</v>
      </c>
      <c r="G547">
        <v>1655</v>
      </c>
      <c r="H547">
        <v>0</v>
      </c>
      <c r="I547">
        <v>0</v>
      </c>
      <c r="J547">
        <v>1472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350</v>
      </c>
      <c r="X547">
        <v>6</v>
      </c>
      <c r="Y547" t="s">
        <v>438</v>
      </c>
      <c r="Z547" t="s">
        <v>2242</v>
      </c>
      <c r="AA547" t="s">
        <v>148</v>
      </c>
      <c r="AB547" t="s">
        <v>148</v>
      </c>
      <c r="AC547" t="s">
        <v>497</v>
      </c>
      <c r="AD547">
        <v>1701</v>
      </c>
      <c r="AE547">
        <v>0</v>
      </c>
      <c r="AF547">
        <v>0</v>
      </c>
      <c r="AG547">
        <v>0</v>
      </c>
      <c r="AH547">
        <f t="shared" si="114"/>
        <v>1</v>
      </c>
      <c r="AI547">
        <f t="shared" si="115"/>
        <v>0</v>
      </c>
      <c r="AJ547">
        <f t="shared" si="116"/>
        <v>0</v>
      </c>
      <c r="AK547">
        <f t="shared" si="117"/>
        <v>1</v>
      </c>
      <c r="AL547">
        <f t="shared" si="118"/>
        <v>0</v>
      </c>
      <c r="AM547">
        <f t="shared" si="119"/>
        <v>0</v>
      </c>
      <c r="AN547">
        <f t="shared" si="120"/>
        <v>1</v>
      </c>
      <c r="AO547">
        <f>SUM(AN$2:$AN547)</f>
        <v>546</v>
      </c>
    </row>
    <row r="548" spans="1:41" x14ac:dyDescent="0.35">
      <c r="A548" t="s">
        <v>168</v>
      </c>
      <c r="B548" t="s">
        <v>1210</v>
      </c>
      <c r="C548">
        <v>9500</v>
      </c>
      <c r="D548" t="s">
        <v>1211</v>
      </c>
      <c r="E548">
        <v>332</v>
      </c>
      <c r="F548">
        <v>538</v>
      </c>
      <c r="G548">
        <v>1664</v>
      </c>
      <c r="H548">
        <v>0</v>
      </c>
      <c r="I548">
        <v>0</v>
      </c>
      <c r="J548">
        <v>0</v>
      </c>
      <c r="K548">
        <v>1479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 t="s">
        <v>157</v>
      </c>
      <c r="X548">
        <v>6</v>
      </c>
      <c r="Y548" t="s">
        <v>438</v>
      </c>
      <c r="Z548" t="s">
        <v>2243</v>
      </c>
      <c r="AA548" t="s">
        <v>153</v>
      </c>
      <c r="AB548" t="s">
        <v>153</v>
      </c>
      <c r="AC548" t="s">
        <v>497</v>
      </c>
      <c r="AD548">
        <v>1710</v>
      </c>
      <c r="AE548">
        <v>0</v>
      </c>
      <c r="AF548">
        <v>0</v>
      </c>
      <c r="AG548">
        <v>0</v>
      </c>
      <c r="AH548">
        <f t="shared" si="114"/>
        <v>1</v>
      </c>
      <c r="AI548">
        <f t="shared" si="115"/>
        <v>0</v>
      </c>
      <c r="AJ548">
        <f t="shared" si="116"/>
        <v>0</v>
      </c>
      <c r="AK548">
        <f t="shared" si="117"/>
        <v>0</v>
      </c>
      <c r="AL548">
        <f t="shared" si="118"/>
        <v>1</v>
      </c>
      <c r="AM548">
        <f t="shared" si="119"/>
        <v>0</v>
      </c>
      <c r="AN548">
        <f t="shared" si="120"/>
        <v>1</v>
      </c>
      <c r="AO548">
        <f>SUM(AN$2:$AN548)</f>
        <v>547</v>
      </c>
    </row>
    <row r="549" spans="1:41" customFormat="1" x14ac:dyDescent="0.35">
      <c r="A549" t="s">
        <v>168</v>
      </c>
      <c r="B549" t="s">
        <v>1198</v>
      </c>
      <c r="C549">
        <v>9700</v>
      </c>
      <c r="D549" t="s">
        <v>1212</v>
      </c>
      <c r="E549">
        <v>0</v>
      </c>
      <c r="F549">
        <v>1437</v>
      </c>
      <c r="G549">
        <v>0</v>
      </c>
      <c r="H549">
        <v>0</v>
      </c>
      <c r="I549">
        <v>3257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t="s">
        <v>329</v>
      </c>
      <c r="X549">
        <v>3</v>
      </c>
      <c r="Y549" t="s">
        <v>434</v>
      </c>
      <c r="Z549" t="s">
        <v>2244</v>
      </c>
      <c r="AA549" t="s">
        <v>358</v>
      </c>
      <c r="AB549" t="s">
        <v>358</v>
      </c>
      <c r="AC549" t="s">
        <v>497</v>
      </c>
      <c r="AD549">
        <v>0</v>
      </c>
      <c r="AE549">
        <v>0</v>
      </c>
      <c r="AF549">
        <v>0</v>
      </c>
      <c r="AG549">
        <v>0</v>
      </c>
      <c r="AH549">
        <f t="shared" si="114"/>
        <v>0</v>
      </c>
      <c r="AI549">
        <f t="shared" si="115"/>
        <v>0</v>
      </c>
      <c r="AJ549">
        <f t="shared" si="116"/>
        <v>1</v>
      </c>
      <c r="AK549">
        <f t="shared" si="117"/>
        <v>0</v>
      </c>
      <c r="AL549">
        <f t="shared" si="118"/>
        <v>0</v>
      </c>
      <c r="AM549">
        <f t="shared" si="119"/>
        <v>0</v>
      </c>
      <c r="AN549">
        <f t="shared" si="120"/>
        <v>1</v>
      </c>
      <c r="AO549">
        <f>SUM(AN$2:$AN549)</f>
        <v>548</v>
      </c>
    </row>
    <row r="550" spans="1:41" customFormat="1" x14ac:dyDescent="0.35">
      <c r="A550" t="s">
        <v>168</v>
      </c>
      <c r="B550" t="s">
        <v>1198</v>
      </c>
      <c r="C550">
        <v>9700</v>
      </c>
      <c r="D550" t="s">
        <v>1213</v>
      </c>
      <c r="E550">
        <v>0</v>
      </c>
      <c r="F550">
        <v>1226</v>
      </c>
      <c r="G550">
        <v>1888</v>
      </c>
      <c r="H550">
        <v>0</v>
      </c>
      <c r="I550">
        <v>0</v>
      </c>
      <c r="J550">
        <v>0</v>
      </c>
      <c r="K550">
        <v>1888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 t="s">
        <v>328</v>
      </c>
      <c r="X550">
        <v>3</v>
      </c>
      <c r="Y550" t="s">
        <v>434</v>
      </c>
      <c r="Z550" t="s">
        <v>2245</v>
      </c>
      <c r="AA550" t="s">
        <v>151</v>
      </c>
      <c r="AB550" t="s">
        <v>151</v>
      </c>
      <c r="AC550" t="s">
        <v>497</v>
      </c>
      <c r="AD550">
        <v>0</v>
      </c>
      <c r="AE550">
        <v>0</v>
      </c>
      <c r="AF550">
        <v>0</v>
      </c>
      <c r="AG550">
        <v>0</v>
      </c>
      <c r="AH550">
        <f t="shared" si="114"/>
        <v>1</v>
      </c>
      <c r="AI550">
        <f t="shared" si="115"/>
        <v>0</v>
      </c>
      <c r="AJ550">
        <f t="shared" si="116"/>
        <v>0</v>
      </c>
      <c r="AK550">
        <f t="shared" si="117"/>
        <v>0</v>
      </c>
      <c r="AL550">
        <f t="shared" si="118"/>
        <v>1</v>
      </c>
      <c r="AM550">
        <f t="shared" si="119"/>
        <v>0</v>
      </c>
      <c r="AN550">
        <f t="shared" si="120"/>
        <v>1</v>
      </c>
      <c r="AO550">
        <f>SUM(AN$2:$AN550)</f>
        <v>549</v>
      </c>
    </row>
    <row r="551" spans="1:41" x14ac:dyDescent="0.35">
      <c r="A551" t="s">
        <v>168</v>
      </c>
      <c r="B551" t="s">
        <v>1198</v>
      </c>
      <c r="C551">
        <v>9700</v>
      </c>
      <c r="D551" t="s">
        <v>1214</v>
      </c>
      <c r="E551">
        <v>0</v>
      </c>
      <c r="F551">
        <v>1226</v>
      </c>
      <c r="G551">
        <v>1510</v>
      </c>
      <c r="H551">
        <v>0</v>
      </c>
      <c r="I551">
        <v>1322</v>
      </c>
      <c r="J551">
        <v>0</v>
      </c>
      <c r="K551">
        <v>944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 t="s">
        <v>422</v>
      </c>
      <c r="X551">
        <v>3</v>
      </c>
      <c r="Y551" t="s">
        <v>434</v>
      </c>
      <c r="Z551" t="s">
        <v>2246</v>
      </c>
      <c r="AA551" t="s">
        <v>151</v>
      </c>
      <c r="AB551" t="s">
        <v>151</v>
      </c>
      <c r="AC551" t="s">
        <v>497</v>
      </c>
      <c r="AD551">
        <v>0</v>
      </c>
      <c r="AE551">
        <v>0</v>
      </c>
      <c r="AF551">
        <v>0</v>
      </c>
      <c r="AG551">
        <v>0</v>
      </c>
      <c r="AH551">
        <f t="shared" si="114"/>
        <v>1</v>
      </c>
      <c r="AI551">
        <f t="shared" si="115"/>
        <v>0</v>
      </c>
      <c r="AJ551">
        <f t="shared" si="116"/>
        <v>1</v>
      </c>
      <c r="AK551">
        <f t="shared" si="117"/>
        <v>0</v>
      </c>
      <c r="AL551">
        <f t="shared" si="118"/>
        <v>1</v>
      </c>
      <c r="AM551">
        <f t="shared" si="119"/>
        <v>0</v>
      </c>
      <c r="AN551">
        <f t="shared" si="120"/>
        <v>1</v>
      </c>
      <c r="AO551">
        <f>SUM(AN$2:$AN551)</f>
        <v>550</v>
      </c>
    </row>
    <row r="552" spans="1:41" customFormat="1" x14ac:dyDescent="0.35">
      <c r="A552" t="s">
        <v>168</v>
      </c>
      <c r="B552" t="s">
        <v>1201</v>
      </c>
      <c r="C552">
        <v>10000</v>
      </c>
      <c r="D552" t="s">
        <v>2247</v>
      </c>
      <c r="E552">
        <v>349</v>
      </c>
      <c r="F552">
        <v>566</v>
      </c>
      <c r="G552">
        <v>0</v>
      </c>
      <c r="H552">
        <v>0</v>
      </c>
      <c r="I552">
        <v>0</v>
      </c>
      <c r="J552">
        <v>1752</v>
      </c>
      <c r="K552">
        <v>1557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 t="s">
        <v>347</v>
      </c>
      <c r="X552">
        <v>6</v>
      </c>
      <c r="Y552" t="s">
        <v>435</v>
      </c>
      <c r="Z552" t="s">
        <v>2248</v>
      </c>
      <c r="AA552" t="s">
        <v>151</v>
      </c>
      <c r="AB552" t="s">
        <v>151</v>
      </c>
      <c r="AC552" t="s">
        <v>497</v>
      </c>
      <c r="AD552">
        <v>1800</v>
      </c>
      <c r="AE552">
        <v>0</v>
      </c>
      <c r="AF552">
        <v>0</v>
      </c>
      <c r="AG552">
        <v>0</v>
      </c>
      <c r="AH552">
        <f t="shared" si="114"/>
        <v>0</v>
      </c>
      <c r="AI552">
        <f t="shared" si="115"/>
        <v>0</v>
      </c>
      <c r="AJ552">
        <f t="shared" si="116"/>
        <v>0</v>
      </c>
      <c r="AK552">
        <f t="shared" si="117"/>
        <v>1</v>
      </c>
      <c r="AL552">
        <f t="shared" si="118"/>
        <v>1</v>
      </c>
      <c r="AM552">
        <f t="shared" si="119"/>
        <v>0</v>
      </c>
      <c r="AN552">
        <f t="shared" si="120"/>
        <v>1</v>
      </c>
      <c r="AO552">
        <f>SUM(AN$2:$AN552)</f>
        <v>551</v>
      </c>
    </row>
    <row r="553" spans="1:41" customFormat="1" x14ac:dyDescent="0.35">
      <c r="A553" t="s">
        <v>168</v>
      </c>
      <c r="B553" t="s">
        <v>1202</v>
      </c>
      <c r="C553">
        <v>10000</v>
      </c>
      <c r="D553" t="s">
        <v>2249</v>
      </c>
      <c r="E553">
        <v>349</v>
      </c>
      <c r="F553">
        <v>566</v>
      </c>
      <c r="G553">
        <v>0</v>
      </c>
      <c r="H553">
        <v>0</v>
      </c>
      <c r="I553">
        <v>0</v>
      </c>
      <c r="J553">
        <v>1557</v>
      </c>
      <c r="K553">
        <v>0</v>
      </c>
      <c r="L553">
        <v>1752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349</v>
      </c>
      <c r="X553">
        <v>6</v>
      </c>
      <c r="Y553" t="s">
        <v>435</v>
      </c>
      <c r="Z553" t="s">
        <v>2250</v>
      </c>
      <c r="AA553" t="s">
        <v>148</v>
      </c>
      <c r="AB553" t="s">
        <v>148</v>
      </c>
      <c r="AC553" t="s">
        <v>497</v>
      </c>
      <c r="AD553">
        <v>1800</v>
      </c>
      <c r="AE553">
        <v>0</v>
      </c>
      <c r="AF553">
        <v>0</v>
      </c>
      <c r="AG553">
        <v>0</v>
      </c>
      <c r="AH553">
        <f t="shared" si="114"/>
        <v>0</v>
      </c>
      <c r="AI553">
        <f t="shared" si="115"/>
        <v>0</v>
      </c>
      <c r="AJ553">
        <f t="shared" si="116"/>
        <v>0</v>
      </c>
      <c r="AK553">
        <f t="shared" si="117"/>
        <v>1</v>
      </c>
      <c r="AL553">
        <f t="shared" si="118"/>
        <v>0</v>
      </c>
      <c r="AM553">
        <f t="shared" si="119"/>
        <v>1</v>
      </c>
      <c r="AN553">
        <f t="shared" si="120"/>
        <v>1</v>
      </c>
      <c r="AO553">
        <f>SUM(AN$2:$AN553)</f>
        <v>552</v>
      </c>
    </row>
    <row r="554" spans="1:41" customFormat="1" x14ac:dyDescent="0.35">
      <c r="A554" t="s">
        <v>168</v>
      </c>
      <c r="B554" t="s">
        <v>1203</v>
      </c>
      <c r="C554">
        <v>10000</v>
      </c>
      <c r="D554" t="s">
        <v>2251</v>
      </c>
      <c r="E554">
        <v>349</v>
      </c>
      <c r="F554">
        <v>566</v>
      </c>
      <c r="G554">
        <v>0</v>
      </c>
      <c r="H554">
        <v>0</v>
      </c>
      <c r="I554">
        <v>0</v>
      </c>
      <c r="J554">
        <v>0</v>
      </c>
      <c r="K554">
        <v>1557</v>
      </c>
      <c r="L554">
        <v>1752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158</v>
      </c>
      <c r="X554">
        <v>6</v>
      </c>
      <c r="Y554" t="s">
        <v>435</v>
      </c>
      <c r="Z554" t="s">
        <v>2252</v>
      </c>
      <c r="AA554" t="s">
        <v>148</v>
      </c>
      <c r="AB554" t="s">
        <v>148</v>
      </c>
      <c r="AC554" t="s">
        <v>497</v>
      </c>
      <c r="AD554">
        <v>1800</v>
      </c>
      <c r="AE554">
        <v>0</v>
      </c>
      <c r="AF554">
        <v>0</v>
      </c>
      <c r="AG554">
        <v>0</v>
      </c>
      <c r="AH554">
        <f t="shared" si="114"/>
        <v>0</v>
      </c>
      <c r="AI554">
        <f t="shared" si="115"/>
        <v>0</v>
      </c>
      <c r="AJ554">
        <f t="shared" si="116"/>
        <v>0</v>
      </c>
      <c r="AK554">
        <f t="shared" si="117"/>
        <v>0</v>
      </c>
      <c r="AL554">
        <f t="shared" si="118"/>
        <v>1</v>
      </c>
      <c r="AM554">
        <f t="shared" si="119"/>
        <v>1</v>
      </c>
      <c r="AN554">
        <f t="shared" si="120"/>
        <v>1</v>
      </c>
      <c r="AO554">
        <f>SUM(AN$2:$AN554)</f>
        <v>553</v>
      </c>
    </row>
    <row r="555" spans="1:41" x14ac:dyDescent="0.35">
      <c r="A555" t="s">
        <v>168</v>
      </c>
      <c r="B555" t="s">
        <v>1204</v>
      </c>
      <c r="C555">
        <v>10000</v>
      </c>
      <c r="D555" t="s">
        <v>2253</v>
      </c>
      <c r="E555">
        <v>349</v>
      </c>
      <c r="F555">
        <v>566</v>
      </c>
      <c r="G555">
        <v>0</v>
      </c>
      <c r="H555">
        <v>0</v>
      </c>
      <c r="I555">
        <v>1752</v>
      </c>
      <c r="J555">
        <v>0</v>
      </c>
      <c r="K555">
        <v>1557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 t="s">
        <v>159</v>
      </c>
      <c r="X555">
        <v>6</v>
      </c>
      <c r="Y555" t="s">
        <v>435</v>
      </c>
      <c r="Z555" t="s">
        <v>2254</v>
      </c>
      <c r="AA555" t="s">
        <v>152</v>
      </c>
      <c r="AB555" t="s">
        <v>152</v>
      </c>
      <c r="AC555" t="s">
        <v>497</v>
      </c>
      <c r="AD555">
        <v>1800</v>
      </c>
      <c r="AE555">
        <v>0</v>
      </c>
      <c r="AF555">
        <v>0</v>
      </c>
      <c r="AG555">
        <v>0</v>
      </c>
      <c r="AH555">
        <f t="shared" si="114"/>
        <v>0</v>
      </c>
      <c r="AI555">
        <f t="shared" si="115"/>
        <v>0</v>
      </c>
      <c r="AJ555">
        <f t="shared" si="116"/>
        <v>1</v>
      </c>
      <c r="AK555">
        <f t="shared" si="117"/>
        <v>0</v>
      </c>
      <c r="AL555">
        <f t="shared" si="118"/>
        <v>1</v>
      </c>
      <c r="AM555">
        <f t="shared" si="119"/>
        <v>0</v>
      </c>
      <c r="AN555">
        <f t="shared" si="120"/>
        <v>1</v>
      </c>
      <c r="AO555">
        <f>SUM(AN$2:$AN555)</f>
        <v>554</v>
      </c>
    </row>
    <row r="556" spans="1:41" x14ac:dyDescent="0.35">
      <c r="A556" t="s">
        <v>168</v>
      </c>
      <c r="B556" t="s">
        <v>1205</v>
      </c>
      <c r="C556">
        <v>10000</v>
      </c>
      <c r="D556" t="s">
        <v>2255</v>
      </c>
      <c r="E556">
        <v>349</v>
      </c>
      <c r="F556">
        <v>566</v>
      </c>
      <c r="G556">
        <v>1752</v>
      </c>
      <c r="H556">
        <v>0</v>
      </c>
      <c r="I556">
        <v>0</v>
      </c>
      <c r="J556">
        <v>1557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350</v>
      </c>
      <c r="X556">
        <v>6</v>
      </c>
      <c r="Y556" t="s">
        <v>435</v>
      </c>
      <c r="Z556" t="s">
        <v>2256</v>
      </c>
      <c r="AA556" t="s">
        <v>148</v>
      </c>
      <c r="AB556" t="s">
        <v>148</v>
      </c>
      <c r="AC556" t="s">
        <v>497</v>
      </c>
      <c r="AD556">
        <v>1800</v>
      </c>
      <c r="AE556">
        <v>0</v>
      </c>
      <c r="AF556">
        <v>0</v>
      </c>
      <c r="AG556">
        <v>0</v>
      </c>
      <c r="AH556">
        <f t="shared" si="114"/>
        <v>1</v>
      </c>
      <c r="AI556">
        <f t="shared" si="115"/>
        <v>0</v>
      </c>
      <c r="AJ556">
        <f t="shared" si="116"/>
        <v>0</v>
      </c>
      <c r="AK556">
        <f t="shared" si="117"/>
        <v>1</v>
      </c>
      <c r="AL556">
        <f t="shared" si="118"/>
        <v>0</v>
      </c>
      <c r="AM556">
        <f t="shared" si="119"/>
        <v>0</v>
      </c>
      <c r="AN556">
        <f t="shared" si="120"/>
        <v>1</v>
      </c>
      <c r="AO556">
        <f>SUM(AN$2:$AN556)</f>
        <v>555</v>
      </c>
    </row>
    <row r="557" spans="1:41" x14ac:dyDescent="0.35">
      <c r="A557" t="s">
        <v>168</v>
      </c>
      <c r="B557" t="s">
        <v>1206</v>
      </c>
      <c r="C557">
        <v>10000</v>
      </c>
      <c r="D557" t="s">
        <v>2257</v>
      </c>
      <c r="E557">
        <v>349</v>
      </c>
      <c r="F557">
        <v>566</v>
      </c>
      <c r="G557">
        <v>1752</v>
      </c>
      <c r="H557">
        <v>0</v>
      </c>
      <c r="I557">
        <v>0</v>
      </c>
      <c r="J557">
        <v>0</v>
      </c>
      <c r="K557">
        <v>1557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 t="s">
        <v>157</v>
      </c>
      <c r="X557">
        <v>6</v>
      </c>
      <c r="Y557" t="s">
        <v>435</v>
      </c>
      <c r="Z557" t="s">
        <v>2258</v>
      </c>
      <c r="AA557" t="s">
        <v>153</v>
      </c>
      <c r="AB557" t="s">
        <v>153</v>
      </c>
      <c r="AC557" t="s">
        <v>497</v>
      </c>
      <c r="AD557">
        <v>1800</v>
      </c>
      <c r="AE557">
        <v>0</v>
      </c>
      <c r="AF557">
        <v>0</v>
      </c>
      <c r="AG557">
        <v>0</v>
      </c>
      <c r="AH557">
        <f t="shared" si="114"/>
        <v>1</v>
      </c>
      <c r="AI557">
        <f t="shared" si="115"/>
        <v>0</v>
      </c>
      <c r="AJ557">
        <f t="shared" si="116"/>
        <v>0</v>
      </c>
      <c r="AK557">
        <f t="shared" si="117"/>
        <v>0</v>
      </c>
      <c r="AL557">
        <f t="shared" si="118"/>
        <v>1</v>
      </c>
      <c r="AM557">
        <f t="shared" si="119"/>
        <v>0</v>
      </c>
      <c r="AN557">
        <f t="shared" si="120"/>
        <v>1</v>
      </c>
      <c r="AO557">
        <f>SUM(AN$2:$AN557)</f>
        <v>556</v>
      </c>
    </row>
    <row r="558" spans="1:41" x14ac:dyDescent="0.35">
      <c r="A558" t="s">
        <v>168</v>
      </c>
      <c r="B558" t="s">
        <v>1207</v>
      </c>
      <c r="C558">
        <v>10000</v>
      </c>
      <c r="D558" t="s">
        <v>2259</v>
      </c>
      <c r="E558">
        <v>349</v>
      </c>
      <c r="F558">
        <v>566</v>
      </c>
      <c r="G558">
        <v>1752</v>
      </c>
      <c r="H558">
        <v>0</v>
      </c>
      <c r="I558">
        <v>0</v>
      </c>
      <c r="J558">
        <v>0</v>
      </c>
      <c r="K558">
        <v>1557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 t="s">
        <v>157</v>
      </c>
      <c r="X558">
        <v>6</v>
      </c>
      <c r="Y558" t="s">
        <v>435</v>
      </c>
      <c r="Z558" t="s">
        <v>2260</v>
      </c>
      <c r="AA558" t="s">
        <v>153</v>
      </c>
      <c r="AB558" t="s">
        <v>153</v>
      </c>
      <c r="AC558" t="s">
        <v>497</v>
      </c>
      <c r="AD558">
        <v>1800</v>
      </c>
      <c r="AE558">
        <v>0</v>
      </c>
      <c r="AF558">
        <v>0</v>
      </c>
      <c r="AG558">
        <v>0</v>
      </c>
      <c r="AH558">
        <f t="shared" si="114"/>
        <v>1</v>
      </c>
      <c r="AI558">
        <f t="shared" si="115"/>
        <v>0</v>
      </c>
      <c r="AJ558">
        <f t="shared" si="116"/>
        <v>0</v>
      </c>
      <c r="AK558">
        <f t="shared" si="117"/>
        <v>0</v>
      </c>
      <c r="AL558">
        <f t="shared" si="118"/>
        <v>1</v>
      </c>
      <c r="AM558">
        <f t="shared" si="119"/>
        <v>0</v>
      </c>
      <c r="AN558">
        <f t="shared" si="120"/>
        <v>1</v>
      </c>
      <c r="AO558">
        <f>SUM(AN$2:$AN558)</f>
        <v>557</v>
      </c>
    </row>
    <row r="559" spans="1:41" x14ac:dyDescent="0.35">
      <c r="A559" t="s">
        <v>168</v>
      </c>
      <c r="B559" t="s">
        <v>1320</v>
      </c>
      <c r="C559">
        <v>10000</v>
      </c>
      <c r="D559" t="s">
        <v>2654</v>
      </c>
      <c r="E559">
        <v>349</v>
      </c>
      <c r="F559">
        <v>566</v>
      </c>
      <c r="G559">
        <v>1752</v>
      </c>
      <c r="H559">
        <v>0</v>
      </c>
      <c r="I559">
        <v>0</v>
      </c>
      <c r="J559">
        <v>0</v>
      </c>
      <c r="K559">
        <v>1557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 t="s">
        <v>157</v>
      </c>
      <c r="X559">
        <v>6</v>
      </c>
      <c r="Y559" t="s">
        <v>437</v>
      </c>
      <c r="Z559" t="s">
        <v>2237</v>
      </c>
      <c r="AA559" t="s">
        <v>153</v>
      </c>
      <c r="AB559" t="s">
        <v>153</v>
      </c>
      <c r="AC559" t="s">
        <v>497</v>
      </c>
      <c r="AD559">
        <v>1800</v>
      </c>
      <c r="AE559">
        <v>0</v>
      </c>
      <c r="AF559">
        <v>0</v>
      </c>
      <c r="AG559">
        <v>0</v>
      </c>
      <c r="AH559">
        <f t="shared" si="114"/>
        <v>1</v>
      </c>
      <c r="AI559">
        <f t="shared" si="115"/>
        <v>0</v>
      </c>
      <c r="AJ559">
        <f t="shared" si="116"/>
        <v>0</v>
      </c>
      <c r="AK559">
        <f t="shared" si="117"/>
        <v>0</v>
      </c>
      <c r="AL559">
        <f t="shared" si="118"/>
        <v>1</v>
      </c>
      <c r="AM559">
        <f t="shared" si="119"/>
        <v>0</v>
      </c>
      <c r="AN559">
        <f t="shared" si="120"/>
        <v>1</v>
      </c>
      <c r="AO559">
        <f>SUM(AN$2:$AN559)</f>
        <v>558</v>
      </c>
    </row>
    <row r="560" spans="1:41" x14ac:dyDescent="0.35">
      <c r="A560" t="s">
        <v>168</v>
      </c>
      <c r="B560" t="s">
        <v>1198</v>
      </c>
      <c r="C560">
        <v>10000</v>
      </c>
      <c r="D560" t="s">
        <v>1215</v>
      </c>
      <c r="E560">
        <v>0</v>
      </c>
      <c r="F560">
        <v>1263</v>
      </c>
      <c r="G560">
        <v>0</v>
      </c>
      <c r="H560">
        <v>0</v>
      </c>
      <c r="I560">
        <v>2044</v>
      </c>
      <c r="J560">
        <v>1849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351</v>
      </c>
      <c r="X560">
        <v>3</v>
      </c>
      <c r="Y560" t="s">
        <v>434</v>
      </c>
      <c r="Z560" t="s">
        <v>2261</v>
      </c>
      <c r="AA560" t="s">
        <v>150</v>
      </c>
      <c r="AB560" t="s">
        <v>150</v>
      </c>
      <c r="AC560" t="s">
        <v>497</v>
      </c>
      <c r="AD560">
        <v>0</v>
      </c>
      <c r="AE560">
        <v>0</v>
      </c>
      <c r="AF560">
        <v>0</v>
      </c>
      <c r="AG560">
        <v>0</v>
      </c>
      <c r="AH560">
        <f t="shared" si="114"/>
        <v>0</v>
      </c>
      <c r="AI560">
        <f t="shared" si="115"/>
        <v>0</v>
      </c>
      <c r="AJ560">
        <f t="shared" si="116"/>
        <v>1</v>
      </c>
      <c r="AK560">
        <f t="shared" si="117"/>
        <v>1</v>
      </c>
      <c r="AL560">
        <f t="shared" si="118"/>
        <v>0</v>
      </c>
      <c r="AM560">
        <f t="shared" si="119"/>
        <v>0</v>
      </c>
      <c r="AN560">
        <f t="shared" si="120"/>
        <v>1</v>
      </c>
      <c r="AO560">
        <f>SUM(AN$2:$AN560)</f>
        <v>559</v>
      </c>
    </row>
    <row r="561" spans="1:41" x14ac:dyDescent="0.35">
      <c r="A561" t="s">
        <v>168</v>
      </c>
      <c r="B561" t="s">
        <v>1198</v>
      </c>
      <c r="C561">
        <v>10000</v>
      </c>
      <c r="D561" t="s">
        <v>1216</v>
      </c>
      <c r="E561">
        <v>0</v>
      </c>
      <c r="F561">
        <v>1481</v>
      </c>
      <c r="G561">
        <v>0</v>
      </c>
      <c r="H561">
        <v>0</v>
      </c>
      <c r="I561">
        <v>0</v>
      </c>
      <c r="J561">
        <v>0</v>
      </c>
      <c r="K561">
        <v>3358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 t="s">
        <v>327</v>
      </c>
      <c r="X561">
        <v>3</v>
      </c>
      <c r="Y561" t="s">
        <v>434</v>
      </c>
      <c r="Z561" t="s">
        <v>2262</v>
      </c>
      <c r="AA561" t="s">
        <v>152</v>
      </c>
      <c r="AB561" t="s">
        <v>152</v>
      </c>
      <c r="AC561" t="s">
        <v>497</v>
      </c>
      <c r="AD561">
        <v>0</v>
      </c>
      <c r="AE561">
        <v>0</v>
      </c>
      <c r="AF561">
        <v>0</v>
      </c>
      <c r="AG561">
        <v>0</v>
      </c>
      <c r="AH561">
        <f t="shared" si="114"/>
        <v>0</v>
      </c>
      <c r="AI561">
        <f t="shared" si="115"/>
        <v>0</v>
      </c>
      <c r="AJ561">
        <f t="shared" si="116"/>
        <v>0</v>
      </c>
      <c r="AK561">
        <f t="shared" si="117"/>
        <v>0</v>
      </c>
      <c r="AL561">
        <f t="shared" si="118"/>
        <v>1</v>
      </c>
      <c r="AM561">
        <f t="shared" si="119"/>
        <v>0</v>
      </c>
      <c r="AN561">
        <f t="shared" si="120"/>
        <v>1</v>
      </c>
      <c r="AO561">
        <f>SUM(AN$2:$AN561)</f>
        <v>560</v>
      </c>
    </row>
    <row r="562" spans="1:41" x14ac:dyDescent="0.35">
      <c r="A562" t="s">
        <v>168</v>
      </c>
      <c r="B562" t="s">
        <v>1198</v>
      </c>
      <c r="C562">
        <v>10000</v>
      </c>
      <c r="D562" t="s">
        <v>2614</v>
      </c>
      <c r="E562">
        <v>0</v>
      </c>
      <c r="F562">
        <v>1263</v>
      </c>
      <c r="G562">
        <v>1849</v>
      </c>
      <c r="H562">
        <v>973</v>
      </c>
      <c r="I562">
        <v>0</v>
      </c>
      <c r="J562">
        <v>0</v>
      </c>
      <c r="K562">
        <v>973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 t="s">
        <v>2594</v>
      </c>
      <c r="X562">
        <v>3</v>
      </c>
      <c r="Y562" t="s">
        <v>434</v>
      </c>
      <c r="Z562" t="s">
        <v>2263</v>
      </c>
      <c r="AA562" t="s">
        <v>152</v>
      </c>
      <c r="AB562" t="s">
        <v>152</v>
      </c>
      <c r="AC562" t="s">
        <v>497</v>
      </c>
      <c r="AD562">
        <v>0</v>
      </c>
      <c r="AE562">
        <v>0</v>
      </c>
      <c r="AF562">
        <v>0</v>
      </c>
      <c r="AG562">
        <v>0</v>
      </c>
      <c r="AH562">
        <f t="shared" si="114"/>
        <v>1</v>
      </c>
      <c r="AI562">
        <f t="shared" si="115"/>
        <v>1</v>
      </c>
      <c r="AJ562">
        <f t="shared" si="116"/>
        <v>0</v>
      </c>
      <c r="AK562">
        <f t="shared" si="117"/>
        <v>0</v>
      </c>
      <c r="AL562">
        <f t="shared" si="118"/>
        <v>1</v>
      </c>
      <c r="AM562">
        <f t="shared" si="119"/>
        <v>0</v>
      </c>
      <c r="AN562">
        <f t="shared" si="120"/>
        <v>1</v>
      </c>
      <c r="AO562">
        <f>SUM(AN$2:$AN562)</f>
        <v>561</v>
      </c>
    </row>
    <row r="563" spans="1:41" x14ac:dyDescent="0.35">
      <c r="A563" t="s">
        <v>168</v>
      </c>
      <c r="B563" t="s">
        <v>1191</v>
      </c>
      <c r="C563">
        <v>10100</v>
      </c>
      <c r="D563" t="s">
        <v>2264</v>
      </c>
      <c r="E563">
        <v>353</v>
      </c>
      <c r="F563">
        <v>572</v>
      </c>
      <c r="G563">
        <v>1769</v>
      </c>
      <c r="H563">
        <v>0</v>
      </c>
      <c r="I563">
        <v>0</v>
      </c>
      <c r="J563">
        <v>1573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350</v>
      </c>
      <c r="X563">
        <v>6</v>
      </c>
      <c r="Y563" t="s">
        <v>438</v>
      </c>
      <c r="Z563" t="s">
        <v>2265</v>
      </c>
      <c r="AA563" t="s">
        <v>148</v>
      </c>
      <c r="AB563" t="s">
        <v>148</v>
      </c>
      <c r="AC563" t="s">
        <v>497</v>
      </c>
      <c r="AD563">
        <v>1818</v>
      </c>
      <c r="AE563">
        <v>0</v>
      </c>
      <c r="AF563">
        <v>0</v>
      </c>
      <c r="AG563">
        <v>0</v>
      </c>
      <c r="AH563">
        <f t="shared" ref="AH563:AH569" si="121">IF(G563&gt;1,1,0)</f>
        <v>1</v>
      </c>
      <c r="AI563">
        <f t="shared" ref="AI563:AI569" si="122">IF(H563&gt;1,1,0)</f>
        <v>0</v>
      </c>
      <c r="AJ563">
        <f t="shared" ref="AJ563:AJ569" si="123">IF(I563&gt;1,1,0)</f>
        <v>0</v>
      </c>
      <c r="AK563">
        <f t="shared" ref="AK563:AK569" si="124">IF(J563&gt;1,1,0)</f>
        <v>1</v>
      </c>
      <c r="AL563">
        <f t="shared" ref="AL563:AL569" si="125">IF(K563&gt;1,1,0)</f>
        <v>0</v>
      </c>
      <c r="AM563">
        <f t="shared" ref="AM563:AM569" si="126">IF(L563&gt;1,1,0)</f>
        <v>0</v>
      </c>
      <c r="AN563">
        <f t="shared" ref="AN563:AN569" si="127">MIN(1,($AV$2+IF(AND(AH563&gt;=$AP$3,AI563&gt;=$AQ$3,AJ563&gt;=$AR$3,AK563&gt;=$AS$3,AL563&gt;=$AT$3,AM563&gt;=$AU$3),1,0)))</f>
        <v>1</v>
      </c>
      <c r="AO563">
        <f>SUM(AN$2:$AN563)</f>
        <v>562</v>
      </c>
    </row>
    <row r="564" spans="1:41" x14ac:dyDescent="0.35">
      <c r="A564" t="s">
        <v>168</v>
      </c>
      <c r="B564" t="s">
        <v>1210</v>
      </c>
      <c r="C564">
        <v>10100</v>
      </c>
      <c r="D564" t="s">
        <v>1217</v>
      </c>
      <c r="E564">
        <v>353</v>
      </c>
      <c r="F564">
        <v>572</v>
      </c>
      <c r="G564">
        <v>1769</v>
      </c>
      <c r="H564">
        <v>0</v>
      </c>
      <c r="I564">
        <v>0</v>
      </c>
      <c r="J564">
        <v>0</v>
      </c>
      <c r="K564">
        <v>1573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 t="s">
        <v>157</v>
      </c>
      <c r="X564">
        <v>6</v>
      </c>
      <c r="Y564" t="s">
        <v>438</v>
      </c>
      <c r="Z564" t="s">
        <v>2266</v>
      </c>
      <c r="AA564" t="s">
        <v>153</v>
      </c>
      <c r="AB564" t="s">
        <v>153</v>
      </c>
      <c r="AC564" t="s">
        <v>497</v>
      </c>
      <c r="AD564">
        <v>1818</v>
      </c>
      <c r="AE564">
        <v>0</v>
      </c>
      <c r="AF564">
        <v>0</v>
      </c>
      <c r="AG564">
        <v>0</v>
      </c>
      <c r="AH564">
        <f t="shared" si="121"/>
        <v>1</v>
      </c>
      <c r="AI564">
        <f t="shared" si="122"/>
        <v>0</v>
      </c>
      <c r="AJ564">
        <f t="shared" si="123"/>
        <v>0</v>
      </c>
      <c r="AK564">
        <f t="shared" si="124"/>
        <v>0</v>
      </c>
      <c r="AL564">
        <f t="shared" si="125"/>
        <v>1</v>
      </c>
      <c r="AM564">
        <f t="shared" si="126"/>
        <v>0</v>
      </c>
      <c r="AN564">
        <f t="shared" si="127"/>
        <v>1</v>
      </c>
      <c r="AO564">
        <f>SUM(AN$2:$AN564)</f>
        <v>563</v>
      </c>
    </row>
    <row r="565" spans="1:41" x14ac:dyDescent="0.35">
      <c r="A565" t="s">
        <v>168</v>
      </c>
      <c r="B565" t="s">
        <v>1218</v>
      </c>
      <c r="C565">
        <v>10150</v>
      </c>
      <c r="D565" t="s">
        <v>1219</v>
      </c>
      <c r="E565">
        <v>354</v>
      </c>
      <c r="F565">
        <v>575</v>
      </c>
      <c r="G565">
        <v>0</v>
      </c>
      <c r="H565">
        <v>0</v>
      </c>
      <c r="I565">
        <v>1778</v>
      </c>
      <c r="J565">
        <v>1581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348</v>
      </c>
      <c r="X565">
        <v>6</v>
      </c>
      <c r="Y565" t="s">
        <v>435</v>
      </c>
      <c r="Z565" t="s">
        <v>2267</v>
      </c>
      <c r="AA565" t="s">
        <v>148</v>
      </c>
      <c r="AB565" t="s">
        <v>148</v>
      </c>
      <c r="AC565" t="s">
        <v>497</v>
      </c>
      <c r="AD565">
        <v>1827</v>
      </c>
      <c r="AE565">
        <v>0</v>
      </c>
      <c r="AF565">
        <v>0</v>
      </c>
      <c r="AG565">
        <v>0</v>
      </c>
      <c r="AH565">
        <f t="shared" si="121"/>
        <v>0</v>
      </c>
      <c r="AI565">
        <f t="shared" si="122"/>
        <v>0</v>
      </c>
      <c r="AJ565">
        <f t="shared" si="123"/>
        <v>1</v>
      </c>
      <c r="AK565">
        <f t="shared" si="124"/>
        <v>1</v>
      </c>
      <c r="AL565">
        <f t="shared" si="125"/>
        <v>0</v>
      </c>
      <c r="AM565">
        <f t="shared" si="126"/>
        <v>0</v>
      </c>
      <c r="AN565">
        <f t="shared" si="127"/>
        <v>1</v>
      </c>
      <c r="AO565">
        <f>SUM(AN$2:$AN565)</f>
        <v>564</v>
      </c>
    </row>
    <row r="566" spans="1:41" x14ac:dyDescent="0.35">
      <c r="A566" t="s">
        <v>168</v>
      </c>
      <c r="B566" t="s">
        <v>1220</v>
      </c>
      <c r="C566">
        <v>10150</v>
      </c>
      <c r="D566" t="s">
        <v>1221</v>
      </c>
      <c r="E566">
        <v>354</v>
      </c>
      <c r="F566">
        <v>575</v>
      </c>
      <c r="G566">
        <v>1778</v>
      </c>
      <c r="H566">
        <v>0</v>
      </c>
      <c r="I566">
        <v>0</v>
      </c>
      <c r="J566">
        <v>1581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350</v>
      </c>
      <c r="X566">
        <v>6</v>
      </c>
      <c r="Y566" t="s">
        <v>435</v>
      </c>
      <c r="Z566" t="s">
        <v>2268</v>
      </c>
      <c r="AA566" t="s">
        <v>148</v>
      </c>
      <c r="AB566" t="s">
        <v>148</v>
      </c>
      <c r="AC566" t="s">
        <v>497</v>
      </c>
      <c r="AD566">
        <v>1827</v>
      </c>
      <c r="AE566">
        <v>0</v>
      </c>
      <c r="AF566">
        <v>0</v>
      </c>
      <c r="AG566">
        <v>0</v>
      </c>
      <c r="AH566">
        <f t="shared" si="121"/>
        <v>1</v>
      </c>
      <c r="AI566">
        <f t="shared" si="122"/>
        <v>0</v>
      </c>
      <c r="AJ566">
        <f t="shared" si="123"/>
        <v>0</v>
      </c>
      <c r="AK566">
        <f t="shared" si="124"/>
        <v>1</v>
      </c>
      <c r="AL566">
        <f t="shared" si="125"/>
        <v>0</v>
      </c>
      <c r="AM566">
        <f t="shared" si="126"/>
        <v>0</v>
      </c>
      <c r="AN566">
        <f t="shared" si="127"/>
        <v>1</v>
      </c>
      <c r="AO566">
        <f>SUM(AN$2:$AN566)</f>
        <v>565</v>
      </c>
    </row>
    <row r="567" spans="1:41" x14ac:dyDescent="0.35">
      <c r="A567" t="s">
        <v>168</v>
      </c>
      <c r="B567" t="s">
        <v>1198</v>
      </c>
      <c r="C567">
        <v>10300</v>
      </c>
      <c r="D567" t="s">
        <v>1222</v>
      </c>
      <c r="E567">
        <v>0</v>
      </c>
      <c r="F567">
        <v>1301</v>
      </c>
      <c r="G567">
        <v>2005</v>
      </c>
      <c r="H567">
        <v>0</v>
      </c>
      <c r="I567">
        <v>2005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t="s">
        <v>420</v>
      </c>
      <c r="X567">
        <v>3</v>
      </c>
      <c r="Y567" t="s">
        <v>434</v>
      </c>
      <c r="Z567" t="s">
        <v>2269</v>
      </c>
      <c r="AA567" t="s">
        <v>358</v>
      </c>
      <c r="AB567" t="s">
        <v>358</v>
      </c>
      <c r="AC567" t="s">
        <v>497</v>
      </c>
      <c r="AD567">
        <v>0</v>
      </c>
      <c r="AE567">
        <v>0</v>
      </c>
      <c r="AF567">
        <v>0</v>
      </c>
      <c r="AG567">
        <v>0</v>
      </c>
      <c r="AH567">
        <f t="shared" si="121"/>
        <v>1</v>
      </c>
      <c r="AI567">
        <f t="shared" si="122"/>
        <v>0</v>
      </c>
      <c r="AJ567">
        <f t="shared" si="123"/>
        <v>1</v>
      </c>
      <c r="AK567">
        <f t="shared" si="124"/>
        <v>0</v>
      </c>
      <c r="AL567">
        <f t="shared" si="125"/>
        <v>0</v>
      </c>
      <c r="AM567">
        <f t="shared" si="126"/>
        <v>0</v>
      </c>
      <c r="AN567">
        <f t="shared" si="127"/>
        <v>1</v>
      </c>
      <c r="AO567">
        <f>SUM(AN$2:$AN567)</f>
        <v>566</v>
      </c>
    </row>
    <row r="568" spans="1:41" x14ac:dyDescent="0.35">
      <c r="A568" t="s">
        <v>168</v>
      </c>
      <c r="B568" t="s">
        <v>1198</v>
      </c>
      <c r="C568">
        <v>10300</v>
      </c>
      <c r="D568" t="s">
        <v>2615</v>
      </c>
      <c r="E568">
        <v>0</v>
      </c>
      <c r="F568">
        <v>1301</v>
      </c>
      <c r="G568">
        <v>1504</v>
      </c>
      <c r="H568">
        <v>1002</v>
      </c>
      <c r="I568">
        <v>1403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t="s">
        <v>2583</v>
      </c>
      <c r="X568">
        <v>3</v>
      </c>
      <c r="Y568" t="s">
        <v>434</v>
      </c>
      <c r="Z568" t="s">
        <v>2270</v>
      </c>
      <c r="AA568" t="s">
        <v>358</v>
      </c>
      <c r="AB568" t="s">
        <v>358</v>
      </c>
      <c r="AC568" t="s">
        <v>497</v>
      </c>
      <c r="AD568">
        <v>0</v>
      </c>
      <c r="AE568">
        <v>0</v>
      </c>
      <c r="AF568">
        <v>0</v>
      </c>
      <c r="AG568">
        <v>0</v>
      </c>
      <c r="AH568">
        <f t="shared" si="121"/>
        <v>1</v>
      </c>
      <c r="AI568">
        <f t="shared" si="122"/>
        <v>1</v>
      </c>
      <c r="AJ568">
        <f t="shared" si="123"/>
        <v>1</v>
      </c>
      <c r="AK568">
        <f t="shared" si="124"/>
        <v>0</v>
      </c>
      <c r="AL568">
        <f t="shared" si="125"/>
        <v>0</v>
      </c>
      <c r="AM568">
        <f t="shared" si="126"/>
        <v>0</v>
      </c>
      <c r="AN568">
        <f t="shared" si="127"/>
        <v>1</v>
      </c>
      <c r="AO568">
        <f>SUM(AN$2:$AN568)</f>
        <v>567</v>
      </c>
    </row>
    <row r="569" spans="1:41" x14ac:dyDescent="0.35">
      <c r="A569" t="s">
        <v>168</v>
      </c>
      <c r="B569" t="s">
        <v>1198</v>
      </c>
      <c r="C569">
        <v>10300</v>
      </c>
      <c r="D569" t="s">
        <v>1223</v>
      </c>
      <c r="E569">
        <v>0</v>
      </c>
      <c r="F569">
        <v>1526</v>
      </c>
      <c r="G569">
        <v>3458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 t="s">
        <v>331</v>
      </c>
      <c r="X569">
        <v>3</v>
      </c>
      <c r="Y569" t="s">
        <v>434</v>
      </c>
      <c r="Z569" t="s">
        <v>2271</v>
      </c>
      <c r="AA569" t="s">
        <v>151</v>
      </c>
      <c r="AB569" t="s">
        <v>151</v>
      </c>
      <c r="AC569" t="s">
        <v>497</v>
      </c>
      <c r="AD569">
        <v>0</v>
      </c>
      <c r="AE569">
        <v>0</v>
      </c>
      <c r="AF569">
        <v>0</v>
      </c>
      <c r="AG569">
        <v>0</v>
      </c>
      <c r="AH569">
        <f t="shared" si="121"/>
        <v>1</v>
      </c>
      <c r="AI569">
        <f t="shared" si="122"/>
        <v>0</v>
      </c>
      <c r="AJ569">
        <f t="shared" si="123"/>
        <v>0</v>
      </c>
      <c r="AK569">
        <f t="shared" si="124"/>
        <v>0</v>
      </c>
      <c r="AL569">
        <f t="shared" si="125"/>
        <v>0</v>
      </c>
      <c r="AM569">
        <f t="shared" si="126"/>
        <v>0</v>
      </c>
      <c r="AN569">
        <f t="shared" si="127"/>
        <v>1</v>
      </c>
      <c r="AO569">
        <f>SUM(AN$2:$AN569)</f>
        <v>568</v>
      </c>
    </row>
    <row r="570" spans="1:41" x14ac:dyDescent="0.35">
      <c r="A570" t="s">
        <v>168</v>
      </c>
      <c r="B570" t="s">
        <v>2545</v>
      </c>
      <c r="C570">
        <v>10350</v>
      </c>
      <c r="D570" t="s">
        <v>2546</v>
      </c>
      <c r="E570">
        <v>361</v>
      </c>
      <c r="F570">
        <v>586</v>
      </c>
      <c r="G570">
        <v>1813</v>
      </c>
      <c r="H570">
        <v>0</v>
      </c>
      <c r="I570">
        <v>0</v>
      </c>
      <c r="J570">
        <v>0</v>
      </c>
      <c r="K570">
        <v>1612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 t="s">
        <v>157</v>
      </c>
      <c r="X570">
        <v>6</v>
      </c>
      <c r="Y570" t="s">
        <v>438</v>
      </c>
      <c r="Z570" t="s">
        <v>2272</v>
      </c>
      <c r="AA570" t="s">
        <v>153</v>
      </c>
      <c r="AB570" t="s">
        <v>153</v>
      </c>
      <c r="AC570" t="s">
        <v>497</v>
      </c>
      <c r="AD570">
        <v>1863</v>
      </c>
      <c r="AE570">
        <v>0</v>
      </c>
      <c r="AF570">
        <v>0</v>
      </c>
      <c r="AG570">
        <v>0</v>
      </c>
      <c r="AH570">
        <f t="shared" ref="AH570" si="128">IF(G570&gt;1,1,0)</f>
        <v>1</v>
      </c>
      <c r="AI570">
        <f t="shared" ref="AI570" si="129">IF(H570&gt;1,1,0)</f>
        <v>0</v>
      </c>
      <c r="AJ570">
        <f t="shared" ref="AJ570" si="130">IF(I570&gt;1,1,0)</f>
        <v>0</v>
      </c>
      <c r="AK570">
        <f t="shared" ref="AK570" si="131">IF(J570&gt;1,1,0)</f>
        <v>0</v>
      </c>
      <c r="AL570">
        <f t="shared" ref="AL570" si="132">IF(K570&gt;1,1,0)</f>
        <v>1</v>
      </c>
      <c r="AM570">
        <f t="shared" ref="AM570" si="133">IF(L570&gt;1,1,0)</f>
        <v>0</v>
      </c>
      <c r="AN570">
        <f t="shared" ref="AN570" si="134">MIN(1,($AV$2+IF(AND(AH570&gt;=$AP$3,AI570&gt;=$AQ$3,AJ570&gt;=$AR$3,AK570&gt;=$AS$3,AL570&gt;=$AT$3,AM570&gt;=$AU$3),1,0)))</f>
        <v>1</v>
      </c>
      <c r="AO570">
        <f>SUM(AN$2:$AN570)</f>
        <v>569</v>
      </c>
    </row>
    <row r="571" spans="1:41" x14ac:dyDescent="0.35">
      <c r="A571" t="s">
        <v>168</v>
      </c>
      <c r="B571" t="s">
        <v>2547</v>
      </c>
      <c r="C571">
        <v>10400</v>
      </c>
      <c r="D571" t="s">
        <v>2548</v>
      </c>
      <c r="E571">
        <v>363</v>
      </c>
      <c r="F571">
        <v>589</v>
      </c>
      <c r="G571">
        <v>0</v>
      </c>
      <c r="H571">
        <v>0</v>
      </c>
      <c r="I571">
        <v>1822</v>
      </c>
      <c r="J571">
        <v>0</v>
      </c>
      <c r="K571">
        <v>1619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 t="s">
        <v>159</v>
      </c>
      <c r="X571">
        <v>6</v>
      </c>
      <c r="Y571" t="s">
        <v>1336</v>
      </c>
      <c r="Z571" t="s">
        <v>2273</v>
      </c>
      <c r="AA571" t="s">
        <v>152</v>
      </c>
      <c r="AB571" t="s">
        <v>152</v>
      </c>
      <c r="AC571" t="s">
        <v>497</v>
      </c>
      <c r="AD571">
        <v>1872</v>
      </c>
      <c r="AE571">
        <v>0</v>
      </c>
      <c r="AF571">
        <v>0</v>
      </c>
      <c r="AG571">
        <v>0</v>
      </c>
      <c r="AH571">
        <f t="shared" ref="AH571" si="135">IF(G571&gt;1,1,0)</f>
        <v>0</v>
      </c>
      <c r="AI571">
        <f t="shared" ref="AI571" si="136">IF(H571&gt;1,1,0)</f>
        <v>0</v>
      </c>
      <c r="AJ571">
        <f t="shared" ref="AJ571" si="137">IF(I571&gt;1,1,0)</f>
        <v>1</v>
      </c>
      <c r="AK571">
        <f t="shared" ref="AK571" si="138">IF(J571&gt;1,1,0)</f>
        <v>0</v>
      </c>
      <c r="AL571">
        <f t="shared" ref="AL571" si="139">IF(K571&gt;1,1,0)</f>
        <v>1</v>
      </c>
      <c r="AM571">
        <f t="shared" ref="AM571" si="140">IF(L571&gt;1,1,0)</f>
        <v>0</v>
      </c>
      <c r="AN571">
        <f t="shared" ref="AN571" si="141">MIN(1,($AV$2+IF(AND(AH571&gt;=$AP$3,AI571&gt;=$AQ$3,AJ571&gt;=$AR$3,AK571&gt;=$AS$3,AL571&gt;=$AT$3,AM571&gt;=$AU$3),1,0)))</f>
        <v>1</v>
      </c>
      <c r="AO571">
        <f>SUM(AN$2:$AN571)</f>
        <v>570</v>
      </c>
    </row>
    <row r="572" spans="1:41" x14ac:dyDescent="0.35">
      <c r="A572" t="s">
        <v>168</v>
      </c>
      <c r="B572" t="s">
        <v>1198</v>
      </c>
      <c r="C572">
        <v>10600</v>
      </c>
      <c r="D572" t="s">
        <v>1224</v>
      </c>
      <c r="E572">
        <v>0</v>
      </c>
      <c r="F572">
        <v>1570</v>
      </c>
      <c r="G572">
        <v>0</v>
      </c>
      <c r="H572">
        <v>0</v>
      </c>
      <c r="I572">
        <v>3559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t="s">
        <v>329</v>
      </c>
      <c r="X572">
        <v>3</v>
      </c>
      <c r="Y572" t="s">
        <v>434</v>
      </c>
      <c r="Z572" t="s">
        <v>2274</v>
      </c>
      <c r="AA572" t="s">
        <v>358</v>
      </c>
      <c r="AB572" t="s">
        <v>358</v>
      </c>
      <c r="AC572" t="s">
        <v>497</v>
      </c>
      <c r="AD572">
        <v>0</v>
      </c>
      <c r="AE572">
        <v>0</v>
      </c>
      <c r="AF572">
        <v>0</v>
      </c>
      <c r="AG572">
        <v>0</v>
      </c>
      <c r="AH572">
        <f t="shared" ref="AH572:AH635" si="142">IF(G572&gt;1,1,0)</f>
        <v>0</v>
      </c>
      <c r="AI572">
        <f t="shared" ref="AI572:AI635" si="143">IF(H572&gt;1,1,0)</f>
        <v>0</v>
      </c>
      <c r="AJ572">
        <f t="shared" ref="AJ572:AJ635" si="144">IF(I572&gt;1,1,0)</f>
        <v>1</v>
      </c>
      <c r="AK572">
        <f t="shared" ref="AK572:AK635" si="145">IF(J572&gt;1,1,0)</f>
        <v>0</v>
      </c>
      <c r="AL572">
        <f t="shared" ref="AL572:AL635" si="146">IF(K572&gt;1,1,0)</f>
        <v>0</v>
      </c>
      <c r="AM572">
        <f t="shared" ref="AM572:AM635" si="147">IF(L572&gt;1,1,0)</f>
        <v>0</v>
      </c>
      <c r="AN572">
        <f t="shared" ref="AN572:AN635" si="148">MIN(1,($AV$2+IF(AND(AH572&gt;=$AP$3,AI572&gt;=$AQ$3,AJ572&gt;=$AR$3,AK572&gt;=$AS$3,AL572&gt;=$AT$3,AM572&gt;=$AU$3),1,0)))</f>
        <v>1</v>
      </c>
      <c r="AO572">
        <f>SUM(AN$2:$AN572)</f>
        <v>571</v>
      </c>
    </row>
    <row r="573" spans="1:41" x14ac:dyDescent="0.35">
      <c r="A573" t="s">
        <v>168</v>
      </c>
      <c r="B573" t="s">
        <v>1198</v>
      </c>
      <c r="C573">
        <v>10600</v>
      </c>
      <c r="D573" t="s">
        <v>1225</v>
      </c>
      <c r="E573">
        <v>0</v>
      </c>
      <c r="F573">
        <v>1339</v>
      </c>
      <c r="G573">
        <v>2063</v>
      </c>
      <c r="H573">
        <v>0</v>
      </c>
      <c r="I573">
        <v>0</v>
      </c>
      <c r="J573">
        <v>0</v>
      </c>
      <c r="K573">
        <v>2063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 t="s">
        <v>328</v>
      </c>
      <c r="X573">
        <v>3</v>
      </c>
      <c r="Y573" t="s">
        <v>434</v>
      </c>
      <c r="Z573" t="s">
        <v>2275</v>
      </c>
      <c r="AA573" t="s">
        <v>151</v>
      </c>
      <c r="AB573" t="s">
        <v>151</v>
      </c>
      <c r="AC573" t="s">
        <v>497</v>
      </c>
      <c r="AD573">
        <v>0</v>
      </c>
      <c r="AE573">
        <v>0</v>
      </c>
      <c r="AF573">
        <v>0</v>
      </c>
      <c r="AG573">
        <v>0</v>
      </c>
      <c r="AH573">
        <f t="shared" si="142"/>
        <v>1</v>
      </c>
      <c r="AI573">
        <f t="shared" si="143"/>
        <v>0</v>
      </c>
      <c r="AJ573">
        <f t="shared" si="144"/>
        <v>0</v>
      </c>
      <c r="AK573">
        <f t="shared" si="145"/>
        <v>0</v>
      </c>
      <c r="AL573">
        <f t="shared" si="146"/>
        <v>1</v>
      </c>
      <c r="AM573">
        <f t="shared" si="147"/>
        <v>0</v>
      </c>
      <c r="AN573">
        <f t="shared" si="148"/>
        <v>1</v>
      </c>
      <c r="AO573">
        <f>SUM(AN$2:$AN573)</f>
        <v>572</v>
      </c>
    </row>
    <row r="574" spans="1:41" x14ac:dyDescent="0.35">
      <c r="A574" t="s">
        <v>168</v>
      </c>
      <c r="B574" t="s">
        <v>1198</v>
      </c>
      <c r="C574">
        <v>10600</v>
      </c>
      <c r="D574" t="s">
        <v>1226</v>
      </c>
      <c r="E574">
        <v>0</v>
      </c>
      <c r="F574">
        <v>1339</v>
      </c>
      <c r="G574">
        <v>1651</v>
      </c>
      <c r="H574">
        <v>0</v>
      </c>
      <c r="I574">
        <v>1444</v>
      </c>
      <c r="J574">
        <v>0</v>
      </c>
      <c r="K574">
        <v>1032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 t="s">
        <v>422</v>
      </c>
      <c r="X574">
        <v>3</v>
      </c>
      <c r="Y574" t="s">
        <v>434</v>
      </c>
      <c r="Z574" t="s">
        <v>2276</v>
      </c>
      <c r="AA574" t="s">
        <v>151</v>
      </c>
      <c r="AB574" t="s">
        <v>151</v>
      </c>
      <c r="AC574" t="s">
        <v>497</v>
      </c>
      <c r="AD574">
        <v>0</v>
      </c>
      <c r="AE574">
        <v>0</v>
      </c>
      <c r="AF574">
        <v>0</v>
      </c>
      <c r="AG574">
        <v>0</v>
      </c>
      <c r="AH574">
        <f t="shared" si="142"/>
        <v>1</v>
      </c>
      <c r="AI574">
        <f t="shared" si="143"/>
        <v>0</v>
      </c>
      <c r="AJ574">
        <f t="shared" si="144"/>
        <v>1</v>
      </c>
      <c r="AK574">
        <f t="shared" si="145"/>
        <v>0</v>
      </c>
      <c r="AL574">
        <f t="shared" si="146"/>
        <v>1</v>
      </c>
      <c r="AM574">
        <f t="shared" si="147"/>
        <v>0</v>
      </c>
      <c r="AN574">
        <f t="shared" si="148"/>
        <v>1</v>
      </c>
      <c r="AO574">
        <f>SUM(AN$2:$AN574)</f>
        <v>573</v>
      </c>
    </row>
    <row r="575" spans="1:41" x14ac:dyDescent="0.35">
      <c r="A575" t="s">
        <v>168</v>
      </c>
      <c r="B575" t="s">
        <v>1210</v>
      </c>
      <c r="C575">
        <v>10700</v>
      </c>
      <c r="D575" t="s">
        <v>1227</v>
      </c>
      <c r="E575">
        <v>374</v>
      </c>
      <c r="F575">
        <v>606</v>
      </c>
      <c r="G575">
        <v>1874</v>
      </c>
      <c r="H575">
        <v>0</v>
      </c>
      <c r="I575">
        <v>0</v>
      </c>
      <c r="J575">
        <v>0</v>
      </c>
      <c r="K575">
        <v>1666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 t="s">
        <v>157</v>
      </c>
      <c r="X575">
        <v>6</v>
      </c>
      <c r="Y575" t="s">
        <v>438</v>
      </c>
      <c r="Z575" t="s">
        <v>2277</v>
      </c>
      <c r="AA575" t="s">
        <v>153</v>
      </c>
      <c r="AB575" t="s">
        <v>153</v>
      </c>
      <c r="AC575" t="s">
        <v>497</v>
      </c>
      <c r="AD575">
        <v>1927</v>
      </c>
      <c r="AE575">
        <v>0</v>
      </c>
      <c r="AF575">
        <v>0</v>
      </c>
      <c r="AG575">
        <v>0</v>
      </c>
      <c r="AH575">
        <f t="shared" si="142"/>
        <v>1</v>
      </c>
      <c r="AI575">
        <f t="shared" si="143"/>
        <v>0</v>
      </c>
      <c r="AJ575">
        <f t="shared" si="144"/>
        <v>0</v>
      </c>
      <c r="AK575">
        <f t="shared" si="145"/>
        <v>0</v>
      </c>
      <c r="AL575">
        <f t="shared" si="146"/>
        <v>1</v>
      </c>
      <c r="AM575">
        <f t="shared" si="147"/>
        <v>0</v>
      </c>
      <c r="AN575">
        <f t="shared" si="148"/>
        <v>1</v>
      </c>
      <c r="AO575">
        <f>SUM(AN$2:$AN575)</f>
        <v>574</v>
      </c>
    </row>
    <row r="576" spans="1:41" x14ac:dyDescent="0.35">
      <c r="A576" t="s">
        <v>168</v>
      </c>
      <c r="B576" t="s">
        <v>1198</v>
      </c>
      <c r="C576">
        <v>10900</v>
      </c>
      <c r="D576" t="s">
        <v>1228</v>
      </c>
      <c r="E576">
        <v>0</v>
      </c>
      <c r="F576">
        <v>1377</v>
      </c>
      <c r="G576">
        <v>0</v>
      </c>
      <c r="H576">
        <v>0</v>
      </c>
      <c r="I576">
        <v>2228</v>
      </c>
      <c r="J576">
        <v>2016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351</v>
      </c>
      <c r="X576">
        <v>3</v>
      </c>
      <c r="Y576" t="s">
        <v>434</v>
      </c>
      <c r="Z576" t="s">
        <v>2278</v>
      </c>
      <c r="AA576" t="s">
        <v>150</v>
      </c>
      <c r="AB576" t="s">
        <v>150</v>
      </c>
      <c r="AC576" t="s">
        <v>497</v>
      </c>
      <c r="AD576">
        <v>0</v>
      </c>
      <c r="AE576">
        <v>0</v>
      </c>
      <c r="AF576">
        <v>0</v>
      </c>
      <c r="AG576">
        <v>0</v>
      </c>
      <c r="AH576">
        <f t="shared" si="142"/>
        <v>0</v>
      </c>
      <c r="AI576">
        <f t="shared" si="143"/>
        <v>0</v>
      </c>
      <c r="AJ576">
        <f t="shared" si="144"/>
        <v>1</v>
      </c>
      <c r="AK576">
        <f t="shared" si="145"/>
        <v>1</v>
      </c>
      <c r="AL576">
        <f t="shared" si="146"/>
        <v>0</v>
      </c>
      <c r="AM576">
        <f t="shared" si="147"/>
        <v>0</v>
      </c>
      <c r="AN576">
        <f t="shared" si="148"/>
        <v>1</v>
      </c>
      <c r="AO576">
        <f>SUM(AN$2:$AN576)</f>
        <v>575</v>
      </c>
    </row>
    <row r="577" spans="1:41" x14ac:dyDescent="0.35">
      <c r="A577" t="s">
        <v>168</v>
      </c>
      <c r="B577" t="s">
        <v>1198</v>
      </c>
      <c r="C577">
        <v>10900</v>
      </c>
      <c r="D577" t="s">
        <v>1229</v>
      </c>
      <c r="E577">
        <v>0</v>
      </c>
      <c r="F577">
        <v>1615</v>
      </c>
      <c r="G577">
        <v>0</v>
      </c>
      <c r="H577">
        <v>0</v>
      </c>
      <c r="I577">
        <v>0</v>
      </c>
      <c r="J577">
        <v>0</v>
      </c>
      <c r="K577">
        <v>3660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 t="s">
        <v>327</v>
      </c>
      <c r="X577">
        <v>3</v>
      </c>
      <c r="Y577" t="s">
        <v>434</v>
      </c>
      <c r="Z577" t="s">
        <v>2279</v>
      </c>
      <c r="AA577" t="s">
        <v>152</v>
      </c>
      <c r="AB577" t="s">
        <v>152</v>
      </c>
      <c r="AC577" t="s">
        <v>497</v>
      </c>
      <c r="AD577">
        <v>0</v>
      </c>
      <c r="AE577">
        <v>0</v>
      </c>
      <c r="AF577">
        <v>0</v>
      </c>
      <c r="AG577">
        <v>0</v>
      </c>
      <c r="AH577">
        <f t="shared" si="142"/>
        <v>0</v>
      </c>
      <c r="AI577">
        <f t="shared" si="143"/>
        <v>0</v>
      </c>
      <c r="AJ577">
        <f t="shared" si="144"/>
        <v>0</v>
      </c>
      <c r="AK577">
        <f t="shared" si="145"/>
        <v>0</v>
      </c>
      <c r="AL577">
        <f t="shared" si="146"/>
        <v>1</v>
      </c>
      <c r="AM577">
        <f t="shared" si="147"/>
        <v>0</v>
      </c>
      <c r="AN577">
        <f t="shared" si="148"/>
        <v>1</v>
      </c>
      <c r="AO577">
        <f>SUM(AN$2:$AN577)</f>
        <v>576</v>
      </c>
    </row>
    <row r="578" spans="1:41" x14ac:dyDescent="0.35">
      <c r="A578" t="s">
        <v>168</v>
      </c>
      <c r="B578" t="s">
        <v>1198</v>
      </c>
      <c r="C578">
        <v>10900</v>
      </c>
      <c r="D578" t="s">
        <v>2616</v>
      </c>
      <c r="E578">
        <v>0</v>
      </c>
      <c r="F578">
        <v>1377</v>
      </c>
      <c r="G578">
        <v>2016</v>
      </c>
      <c r="H578">
        <v>1061</v>
      </c>
      <c r="I578">
        <v>0</v>
      </c>
      <c r="J578">
        <v>0</v>
      </c>
      <c r="K578">
        <v>1061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 t="s">
        <v>2594</v>
      </c>
      <c r="X578">
        <v>3</v>
      </c>
      <c r="Y578" t="s">
        <v>434</v>
      </c>
      <c r="Z578" t="s">
        <v>2280</v>
      </c>
      <c r="AA578" t="s">
        <v>152</v>
      </c>
      <c r="AB578" t="s">
        <v>152</v>
      </c>
      <c r="AC578" t="s">
        <v>497</v>
      </c>
      <c r="AD578">
        <v>0</v>
      </c>
      <c r="AE578">
        <v>0</v>
      </c>
      <c r="AF578">
        <v>0</v>
      </c>
      <c r="AG578">
        <v>0</v>
      </c>
      <c r="AH578">
        <f t="shared" si="142"/>
        <v>1</v>
      </c>
      <c r="AI578">
        <f t="shared" si="143"/>
        <v>1</v>
      </c>
      <c r="AJ578">
        <f t="shared" si="144"/>
        <v>0</v>
      </c>
      <c r="AK578">
        <f t="shared" si="145"/>
        <v>0</v>
      </c>
      <c r="AL578">
        <f t="shared" si="146"/>
        <v>1</v>
      </c>
      <c r="AM578">
        <f t="shared" si="147"/>
        <v>0</v>
      </c>
      <c r="AN578">
        <f t="shared" si="148"/>
        <v>1</v>
      </c>
      <c r="AO578">
        <f>SUM(AN$2:$AN578)</f>
        <v>577</v>
      </c>
    </row>
    <row r="579" spans="1:41" x14ac:dyDescent="0.35">
      <c r="A579" t="s">
        <v>168</v>
      </c>
      <c r="B579" t="s">
        <v>2545</v>
      </c>
      <c r="C579">
        <v>11100</v>
      </c>
      <c r="D579" t="s">
        <v>2549</v>
      </c>
      <c r="E579">
        <v>388</v>
      </c>
      <c r="F579">
        <v>629</v>
      </c>
      <c r="G579">
        <v>1945</v>
      </c>
      <c r="H579">
        <v>0</v>
      </c>
      <c r="I579">
        <v>0</v>
      </c>
      <c r="J579">
        <v>0</v>
      </c>
      <c r="K579">
        <v>1728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 t="s">
        <v>157</v>
      </c>
      <c r="X579">
        <v>6</v>
      </c>
      <c r="Y579" t="s">
        <v>438</v>
      </c>
      <c r="Z579" t="s">
        <v>2281</v>
      </c>
      <c r="AA579" t="s">
        <v>153</v>
      </c>
      <c r="AB579" t="s">
        <v>153</v>
      </c>
      <c r="AC579" t="s">
        <v>497</v>
      </c>
      <c r="AD579">
        <v>1999</v>
      </c>
      <c r="AE579">
        <v>0</v>
      </c>
      <c r="AF579">
        <v>0</v>
      </c>
      <c r="AG579">
        <v>0</v>
      </c>
      <c r="AH579">
        <f t="shared" si="142"/>
        <v>1</v>
      </c>
      <c r="AI579">
        <f t="shared" si="143"/>
        <v>0</v>
      </c>
      <c r="AJ579">
        <f t="shared" si="144"/>
        <v>0</v>
      </c>
      <c r="AK579">
        <f t="shared" si="145"/>
        <v>0</v>
      </c>
      <c r="AL579">
        <f t="shared" si="146"/>
        <v>1</v>
      </c>
      <c r="AM579">
        <f t="shared" si="147"/>
        <v>0</v>
      </c>
      <c r="AN579">
        <f t="shared" si="148"/>
        <v>1</v>
      </c>
      <c r="AO579">
        <f>SUM(AN$2:$AN579)</f>
        <v>578</v>
      </c>
    </row>
    <row r="580" spans="1:41" x14ac:dyDescent="0.35">
      <c r="A580" t="s">
        <v>168</v>
      </c>
      <c r="B580" t="s">
        <v>1230</v>
      </c>
      <c r="C580">
        <v>11150</v>
      </c>
      <c r="D580" t="s">
        <v>1231</v>
      </c>
      <c r="E580">
        <v>389</v>
      </c>
      <c r="F580">
        <v>632</v>
      </c>
      <c r="G580">
        <v>0</v>
      </c>
      <c r="H580">
        <v>0</v>
      </c>
      <c r="I580">
        <v>1953</v>
      </c>
      <c r="J580">
        <v>1736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348</v>
      </c>
      <c r="X580">
        <v>6</v>
      </c>
      <c r="Y580" t="s">
        <v>435</v>
      </c>
      <c r="Z580" t="s">
        <v>2282</v>
      </c>
      <c r="AA580" t="s">
        <v>148</v>
      </c>
      <c r="AB580" t="s">
        <v>148</v>
      </c>
      <c r="AC580" t="s">
        <v>497</v>
      </c>
      <c r="AD580">
        <v>2008</v>
      </c>
      <c r="AE580">
        <v>0</v>
      </c>
      <c r="AF580">
        <v>0</v>
      </c>
      <c r="AG580">
        <v>0</v>
      </c>
      <c r="AH580">
        <f t="shared" si="142"/>
        <v>0</v>
      </c>
      <c r="AI580">
        <f t="shared" si="143"/>
        <v>0</v>
      </c>
      <c r="AJ580">
        <f t="shared" si="144"/>
        <v>1</v>
      </c>
      <c r="AK580">
        <f t="shared" si="145"/>
        <v>1</v>
      </c>
      <c r="AL580">
        <f t="shared" si="146"/>
        <v>0</v>
      </c>
      <c r="AM580">
        <f t="shared" si="147"/>
        <v>0</v>
      </c>
      <c r="AN580">
        <f t="shared" si="148"/>
        <v>1</v>
      </c>
      <c r="AO580">
        <f>SUM(AN$2:$AN580)</f>
        <v>579</v>
      </c>
    </row>
    <row r="581" spans="1:41" x14ac:dyDescent="0.35">
      <c r="A581" t="s">
        <v>168</v>
      </c>
      <c r="B581" t="s">
        <v>1232</v>
      </c>
      <c r="C581">
        <v>11150</v>
      </c>
      <c r="D581" t="s">
        <v>1233</v>
      </c>
      <c r="E581">
        <v>389</v>
      </c>
      <c r="F581">
        <v>632</v>
      </c>
      <c r="G581">
        <v>1953</v>
      </c>
      <c r="H581">
        <v>0</v>
      </c>
      <c r="I581">
        <v>0</v>
      </c>
      <c r="J581">
        <v>1736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350</v>
      </c>
      <c r="X581">
        <v>6</v>
      </c>
      <c r="Y581" t="s">
        <v>436</v>
      </c>
      <c r="Z581" t="s">
        <v>2283</v>
      </c>
      <c r="AA581" t="s">
        <v>148</v>
      </c>
      <c r="AB581" t="s">
        <v>148</v>
      </c>
      <c r="AC581" t="s">
        <v>497</v>
      </c>
      <c r="AD581">
        <v>2008</v>
      </c>
      <c r="AE581">
        <v>0</v>
      </c>
      <c r="AF581">
        <v>0</v>
      </c>
      <c r="AG581">
        <v>0</v>
      </c>
      <c r="AH581">
        <f t="shared" si="142"/>
        <v>1</v>
      </c>
      <c r="AI581">
        <f t="shared" si="143"/>
        <v>0</v>
      </c>
      <c r="AJ581">
        <f t="shared" si="144"/>
        <v>0</v>
      </c>
      <c r="AK581">
        <f t="shared" si="145"/>
        <v>1</v>
      </c>
      <c r="AL581">
        <f t="shared" si="146"/>
        <v>0</v>
      </c>
      <c r="AM581">
        <f t="shared" si="147"/>
        <v>0</v>
      </c>
      <c r="AN581">
        <f t="shared" si="148"/>
        <v>1</v>
      </c>
      <c r="AO581">
        <f>SUM(AN$2:$AN581)</f>
        <v>580</v>
      </c>
    </row>
    <row r="582" spans="1:41" x14ac:dyDescent="0.35">
      <c r="A582" t="s">
        <v>168</v>
      </c>
      <c r="B582" t="s">
        <v>1234</v>
      </c>
      <c r="C582">
        <v>11150</v>
      </c>
      <c r="D582" t="s">
        <v>1235</v>
      </c>
      <c r="E582">
        <v>389</v>
      </c>
      <c r="F582">
        <v>632</v>
      </c>
      <c r="G582">
        <v>1953</v>
      </c>
      <c r="H582">
        <v>0</v>
      </c>
      <c r="I582">
        <v>0</v>
      </c>
      <c r="J582">
        <v>1736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350</v>
      </c>
      <c r="X582">
        <v>6</v>
      </c>
      <c r="Y582" t="s">
        <v>435</v>
      </c>
      <c r="Z582" t="s">
        <v>2284</v>
      </c>
      <c r="AA582" t="s">
        <v>148</v>
      </c>
      <c r="AB582" t="s">
        <v>148</v>
      </c>
      <c r="AC582" t="s">
        <v>497</v>
      </c>
      <c r="AD582">
        <v>2008</v>
      </c>
      <c r="AE582">
        <v>0</v>
      </c>
      <c r="AF582">
        <v>0</v>
      </c>
      <c r="AG582">
        <v>0</v>
      </c>
      <c r="AH582">
        <f t="shared" si="142"/>
        <v>1</v>
      </c>
      <c r="AI582">
        <f t="shared" si="143"/>
        <v>0</v>
      </c>
      <c r="AJ582">
        <f t="shared" si="144"/>
        <v>0</v>
      </c>
      <c r="AK582">
        <f t="shared" si="145"/>
        <v>1</v>
      </c>
      <c r="AL582">
        <f t="shared" si="146"/>
        <v>0</v>
      </c>
      <c r="AM582">
        <f t="shared" si="147"/>
        <v>0</v>
      </c>
      <c r="AN582">
        <f t="shared" si="148"/>
        <v>1</v>
      </c>
      <c r="AO582">
        <f>SUM(AN$2:$AN582)</f>
        <v>581</v>
      </c>
    </row>
    <row r="583" spans="1:41" x14ac:dyDescent="0.35">
      <c r="A583" t="s">
        <v>168</v>
      </c>
      <c r="B583" t="s">
        <v>1236</v>
      </c>
      <c r="C583">
        <v>11150</v>
      </c>
      <c r="D583" t="s">
        <v>1237</v>
      </c>
      <c r="E583">
        <v>389</v>
      </c>
      <c r="F583">
        <v>632</v>
      </c>
      <c r="G583">
        <v>0</v>
      </c>
      <c r="H583">
        <v>0</v>
      </c>
      <c r="I583">
        <v>1953</v>
      </c>
      <c r="J583">
        <v>0</v>
      </c>
      <c r="K583">
        <v>1736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 t="s">
        <v>424</v>
      </c>
      <c r="X583">
        <v>4</v>
      </c>
      <c r="Y583" t="s">
        <v>435</v>
      </c>
      <c r="Z583" t="s">
        <v>2285</v>
      </c>
      <c r="AA583" t="s">
        <v>152</v>
      </c>
      <c r="AB583" t="s">
        <v>152</v>
      </c>
      <c r="AC583" t="s">
        <v>497</v>
      </c>
      <c r="AD583">
        <v>2008</v>
      </c>
      <c r="AE583">
        <v>0</v>
      </c>
      <c r="AF583">
        <v>0</v>
      </c>
      <c r="AG583">
        <v>0</v>
      </c>
      <c r="AH583">
        <f t="shared" si="142"/>
        <v>0</v>
      </c>
      <c r="AI583">
        <f t="shared" si="143"/>
        <v>0</v>
      </c>
      <c r="AJ583">
        <f t="shared" si="144"/>
        <v>1</v>
      </c>
      <c r="AK583">
        <f t="shared" si="145"/>
        <v>0</v>
      </c>
      <c r="AL583">
        <f t="shared" si="146"/>
        <v>1</v>
      </c>
      <c r="AM583">
        <f t="shared" si="147"/>
        <v>0</v>
      </c>
      <c r="AN583">
        <f t="shared" si="148"/>
        <v>1</v>
      </c>
      <c r="AO583">
        <f>SUM(AN$2:$AN583)</f>
        <v>582</v>
      </c>
    </row>
    <row r="584" spans="1:41" x14ac:dyDescent="0.35">
      <c r="A584" t="s">
        <v>168</v>
      </c>
      <c r="B584" t="s">
        <v>1210</v>
      </c>
      <c r="C584">
        <v>11300</v>
      </c>
      <c r="D584" t="s">
        <v>1238</v>
      </c>
      <c r="E584">
        <v>395</v>
      </c>
      <c r="F584">
        <v>640</v>
      </c>
      <c r="G584">
        <v>1980</v>
      </c>
      <c r="H584">
        <v>0</v>
      </c>
      <c r="I584">
        <v>0</v>
      </c>
      <c r="J584">
        <v>0</v>
      </c>
      <c r="K584">
        <v>1760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 t="s">
        <v>157</v>
      </c>
      <c r="X584">
        <v>6</v>
      </c>
      <c r="Y584" t="s">
        <v>438</v>
      </c>
      <c r="Z584" t="s">
        <v>2286</v>
      </c>
      <c r="AA584" t="s">
        <v>153</v>
      </c>
      <c r="AB584" t="s">
        <v>153</v>
      </c>
      <c r="AC584" t="s">
        <v>497</v>
      </c>
      <c r="AD584">
        <v>2035</v>
      </c>
      <c r="AE584">
        <v>0</v>
      </c>
      <c r="AF584">
        <v>0</v>
      </c>
      <c r="AG584">
        <v>0</v>
      </c>
      <c r="AH584">
        <f t="shared" si="142"/>
        <v>1</v>
      </c>
      <c r="AI584">
        <f t="shared" si="143"/>
        <v>0</v>
      </c>
      <c r="AJ584">
        <f t="shared" si="144"/>
        <v>0</v>
      </c>
      <c r="AK584">
        <f t="shared" si="145"/>
        <v>0</v>
      </c>
      <c r="AL584">
        <f t="shared" si="146"/>
        <v>1</v>
      </c>
      <c r="AM584">
        <f t="shared" si="147"/>
        <v>0</v>
      </c>
      <c r="AN584">
        <f t="shared" si="148"/>
        <v>1</v>
      </c>
      <c r="AO584">
        <f>SUM(AN$2:$AN584)</f>
        <v>583</v>
      </c>
    </row>
    <row r="585" spans="1:41" x14ac:dyDescent="0.35">
      <c r="A585" t="s">
        <v>168</v>
      </c>
      <c r="B585" t="s">
        <v>1198</v>
      </c>
      <c r="C585">
        <v>11500</v>
      </c>
      <c r="D585" t="s">
        <v>2287</v>
      </c>
      <c r="E585">
        <v>0</v>
      </c>
      <c r="F585">
        <v>1453</v>
      </c>
      <c r="G585">
        <v>2294</v>
      </c>
      <c r="H585">
        <v>0</v>
      </c>
      <c r="I585">
        <v>2294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t="s">
        <v>420</v>
      </c>
      <c r="X585">
        <v>3</v>
      </c>
      <c r="Y585" t="s">
        <v>434</v>
      </c>
      <c r="Z585" t="s">
        <v>2288</v>
      </c>
      <c r="AA585" t="s">
        <v>358</v>
      </c>
      <c r="AB585" t="s">
        <v>358</v>
      </c>
      <c r="AC585" t="s">
        <v>497</v>
      </c>
      <c r="AD585">
        <v>0</v>
      </c>
      <c r="AE585">
        <v>0</v>
      </c>
      <c r="AF585">
        <v>0</v>
      </c>
      <c r="AG585">
        <v>0</v>
      </c>
      <c r="AH585">
        <f t="shared" si="142"/>
        <v>1</v>
      </c>
      <c r="AI585">
        <f t="shared" si="143"/>
        <v>0</v>
      </c>
      <c r="AJ585">
        <f t="shared" si="144"/>
        <v>1</v>
      </c>
      <c r="AK585">
        <f t="shared" si="145"/>
        <v>0</v>
      </c>
      <c r="AL585">
        <f t="shared" si="146"/>
        <v>0</v>
      </c>
      <c r="AM585">
        <f t="shared" si="147"/>
        <v>0</v>
      </c>
      <c r="AN585">
        <f t="shared" si="148"/>
        <v>1</v>
      </c>
      <c r="AO585">
        <f>SUM(AN$2:$AN585)</f>
        <v>584</v>
      </c>
    </row>
    <row r="586" spans="1:41" x14ac:dyDescent="0.35">
      <c r="A586" t="s">
        <v>168</v>
      </c>
      <c r="B586" t="s">
        <v>1198</v>
      </c>
      <c r="C586">
        <v>11500</v>
      </c>
      <c r="D586" t="s">
        <v>2617</v>
      </c>
      <c r="E586">
        <v>0</v>
      </c>
      <c r="F586">
        <v>1453</v>
      </c>
      <c r="G586">
        <v>1735</v>
      </c>
      <c r="H586">
        <v>1119</v>
      </c>
      <c r="I586">
        <v>1623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t="s">
        <v>2583</v>
      </c>
      <c r="X586">
        <v>3</v>
      </c>
      <c r="Y586" t="s">
        <v>434</v>
      </c>
      <c r="Z586" t="s">
        <v>2289</v>
      </c>
      <c r="AA586" t="s">
        <v>358</v>
      </c>
      <c r="AB586" t="s">
        <v>358</v>
      </c>
      <c r="AC586" t="s">
        <v>497</v>
      </c>
      <c r="AD586">
        <v>0</v>
      </c>
      <c r="AE586">
        <v>0</v>
      </c>
      <c r="AF586">
        <v>0</v>
      </c>
      <c r="AG586">
        <v>0</v>
      </c>
      <c r="AH586">
        <f t="shared" si="142"/>
        <v>1</v>
      </c>
      <c r="AI586">
        <f t="shared" si="143"/>
        <v>1</v>
      </c>
      <c r="AJ586">
        <f t="shared" si="144"/>
        <v>1</v>
      </c>
      <c r="AK586">
        <f t="shared" si="145"/>
        <v>0</v>
      </c>
      <c r="AL586">
        <f t="shared" si="146"/>
        <v>0</v>
      </c>
      <c r="AM586">
        <f t="shared" si="147"/>
        <v>0</v>
      </c>
      <c r="AN586">
        <f t="shared" si="148"/>
        <v>1</v>
      </c>
      <c r="AO586">
        <f>SUM(AN$2:$AN586)</f>
        <v>585</v>
      </c>
    </row>
    <row r="587" spans="1:41" x14ac:dyDescent="0.35">
      <c r="A587" t="s">
        <v>168</v>
      </c>
      <c r="B587" t="s">
        <v>1198</v>
      </c>
      <c r="C587">
        <v>11500</v>
      </c>
      <c r="D587" t="s">
        <v>2290</v>
      </c>
      <c r="E587">
        <v>0</v>
      </c>
      <c r="F587">
        <v>1704</v>
      </c>
      <c r="G587">
        <v>3973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  <c r="W587" t="s">
        <v>331</v>
      </c>
      <c r="X587">
        <v>3</v>
      </c>
      <c r="Y587" t="s">
        <v>434</v>
      </c>
      <c r="Z587" t="s">
        <v>2291</v>
      </c>
      <c r="AA587" t="s">
        <v>151</v>
      </c>
      <c r="AB587" t="s">
        <v>151</v>
      </c>
      <c r="AC587" t="s">
        <v>497</v>
      </c>
      <c r="AD587">
        <v>0</v>
      </c>
      <c r="AE587">
        <v>0</v>
      </c>
      <c r="AF587">
        <v>0</v>
      </c>
      <c r="AG587">
        <v>0</v>
      </c>
      <c r="AH587">
        <f t="shared" si="142"/>
        <v>1</v>
      </c>
      <c r="AI587">
        <f t="shared" si="143"/>
        <v>0</v>
      </c>
      <c r="AJ587">
        <f t="shared" si="144"/>
        <v>0</v>
      </c>
      <c r="AK587">
        <f t="shared" si="145"/>
        <v>0</v>
      </c>
      <c r="AL587">
        <f t="shared" si="146"/>
        <v>0</v>
      </c>
      <c r="AM587">
        <f t="shared" si="147"/>
        <v>0</v>
      </c>
      <c r="AN587">
        <f t="shared" si="148"/>
        <v>1</v>
      </c>
      <c r="AO587">
        <f>SUM(AN$2:$AN587)</f>
        <v>586</v>
      </c>
    </row>
    <row r="588" spans="1:41" x14ac:dyDescent="0.35">
      <c r="A588" t="s">
        <v>168</v>
      </c>
      <c r="B588" t="s">
        <v>2545</v>
      </c>
      <c r="C588">
        <v>11850</v>
      </c>
      <c r="D588" t="s">
        <v>2550</v>
      </c>
      <c r="E588">
        <v>414</v>
      </c>
      <c r="F588">
        <v>671</v>
      </c>
      <c r="G588">
        <v>2076</v>
      </c>
      <c r="H588">
        <v>0</v>
      </c>
      <c r="I588">
        <v>0</v>
      </c>
      <c r="J588">
        <v>0</v>
      </c>
      <c r="K588">
        <v>1845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 t="s">
        <v>157</v>
      </c>
      <c r="X588">
        <v>6</v>
      </c>
      <c r="Y588" t="s">
        <v>438</v>
      </c>
      <c r="Z588" t="s">
        <v>2292</v>
      </c>
      <c r="AA588" t="s">
        <v>153</v>
      </c>
      <c r="AB588" t="s">
        <v>153</v>
      </c>
      <c r="AC588" t="s">
        <v>497</v>
      </c>
      <c r="AD588">
        <v>2134</v>
      </c>
      <c r="AE588">
        <v>0</v>
      </c>
      <c r="AF588">
        <v>0</v>
      </c>
      <c r="AG588">
        <v>0</v>
      </c>
      <c r="AH588">
        <f t="shared" si="142"/>
        <v>1</v>
      </c>
      <c r="AI588">
        <f t="shared" si="143"/>
        <v>0</v>
      </c>
      <c r="AJ588">
        <f t="shared" si="144"/>
        <v>0</v>
      </c>
      <c r="AK588">
        <f t="shared" si="145"/>
        <v>0</v>
      </c>
      <c r="AL588">
        <f t="shared" si="146"/>
        <v>1</v>
      </c>
      <c r="AM588">
        <f t="shared" si="147"/>
        <v>0</v>
      </c>
      <c r="AN588">
        <f t="shared" si="148"/>
        <v>1</v>
      </c>
      <c r="AO588">
        <f>SUM(AN$2:$AN588)</f>
        <v>587</v>
      </c>
    </row>
    <row r="589" spans="1:41" x14ac:dyDescent="0.35">
      <c r="A589" t="s">
        <v>168</v>
      </c>
      <c r="B589" t="s">
        <v>1198</v>
      </c>
      <c r="C589">
        <v>12100</v>
      </c>
      <c r="D589" t="s">
        <v>2293</v>
      </c>
      <c r="E589">
        <v>0</v>
      </c>
      <c r="F589">
        <v>1792</v>
      </c>
      <c r="G589">
        <v>0</v>
      </c>
      <c r="H589">
        <v>0</v>
      </c>
      <c r="I589">
        <v>4181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t="s">
        <v>329</v>
      </c>
      <c r="X589">
        <v>3</v>
      </c>
      <c r="Y589" t="s">
        <v>434</v>
      </c>
      <c r="Z589" t="s">
        <v>2294</v>
      </c>
      <c r="AA589" t="s">
        <v>358</v>
      </c>
      <c r="AB589" t="s">
        <v>358</v>
      </c>
      <c r="AC589" t="s">
        <v>497</v>
      </c>
      <c r="AD589">
        <v>0</v>
      </c>
      <c r="AE589">
        <v>0</v>
      </c>
      <c r="AF589">
        <v>0</v>
      </c>
      <c r="AG589">
        <v>0</v>
      </c>
      <c r="AH589">
        <f t="shared" si="142"/>
        <v>0</v>
      </c>
      <c r="AI589">
        <f t="shared" si="143"/>
        <v>0</v>
      </c>
      <c r="AJ589">
        <f t="shared" si="144"/>
        <v>1</v>
      </c>
      <c r="AK589">
        <f t="shared" si="145"/>
        <v>0</v>
      </c>
      <c r="AL589">
        <f t="shared" si="146"/>
        <v>0</v>
      </c>
      <c r="AM589">
        <f t="shared" si="147"/>
        <v>0</v>
      </c>
      <c r="AN589">
        <f t="shared" si="148"/>
        <v>1</v>
      </c>
      <c r="AO589">
        <f>SUM(AN$2:$AN589)</f>
        <v>588</v>
      </c>
    </row>
    <row r="590" spans="1:41" x14ac:dyDescent="0.35">
      <c r="A590" t="s">
        <v>168</v>
      </c>
      <c r="B590" t="s">
        <v>1198</v>
      </c>
      <c r="C590">
        <v>12100</v>
      </c>
      <c r="D590" t="s">
        <v>2295</v>
      </c>
      <c r="E590">
        <v>0</v>
      </c>
      <c r="F590">
        <v>1529</v>
      </c>
      <c r="G590">
        <v>2355</v>
      </c>
      <c r="H590">
        <v>0</v>
      </c>
      <c r="I590">
        <v>0</v>
      </c>
      <c r="J590">
        <v>0</v>
      </c>
      <c r="K590">
        <v>2473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 t="s">
        <v>328</v>
      </c>
      <c r="X590">
        <v>3</v>
      </c>
      <c r="Y590" t="s">
        <v>434</v>
      </c>
      <c r="Z590" t="s">
        <v>2296</v>
      </c>
      <c r="AA590" t="s">
        <v>151</v>
      </c>
      <c r="AB590" t="s">
        <v>151</v>
      </c>
      <c r="AC590" t="s">
        <v>497</v>
      </c>
      <c r="AD590">
        <v>0</v>
      </c>
      <c r="AE590">
        <v>0</v>
      </c>
      <c r="AF590">
        <v>0</v>
      </c>
      <c r="AG590">
        <v>0</v>
      </c>
      <c r="AH590">
        <f t="shared" si="142"/>
        <v>1</v>
      </c>
      <c r="AI590">
        <f t="shared" si="143"/>
        <v>0</v>
      </c>
      <c r="AJ590">
        <f t="shared" si="144"/>
        <v>0</v>
      </c>
      <c r="AK590">
        <f t="shared" si="145"/>
        <v>0</v>
      </c>
      <c r="AL590">
        <f t="shared" si="146"/>
        <v>1</v>
      </c>
      <c r="AM590">
        <f t="shared" si="147"/>
        <v>0</v>
      </c>
      <c r="AN590">
        <f t="shared" si="148"/>
        <v>1</v>
      </c>
      <c r="AO590">
        <f>SUM(AN$2:$AN590)</f>
        <v>589</v>
      </c>
    </row>
    <row r="591" spans="1:41" x14ac:dyDescent="0.35">
      <c r="A591" t="s">
        <v>168</v>
      </c>
      <c r="B591" t="s">
        <v>1198</v>
      </c>
      <c r="C591">
        <v>12100</v>
      </c>
      <c r="D591" t="s">
        <v>2297</v>
      </c>
      <c r="E591">
        <v>0</v>
      </c>
      <c r="F591">
        <v>1529</v>
      </c>
      <c r="G591">
        <v>1884</v>
      </c>
      <c r="H591">
        <v>0</v>
      </c>
      <c r="I591">
        <v>1649</v>
      </c>
      <c r="J591">
        <v>0</v>
      </c>
      <c r="K591">
        <v>1295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 t="s">
        <v>422</v>
      </c>
      <c r="X591">
        <v>3</v>
      </c>
      <c r="Y591" t="s">
        <v>434</v>
      </c>
      <c r="Z591" t="s">
        <v>2298</v>
      </c>
      <c r="AA591" t="s">
        <v>151</v>
      </c>
      <c r="AB591" t="s">
        <v>151</v>
      </c>
      <c r="AC591" t="s">
        <v>497</v>
      </c>
      <c r="AD591">
        <v>0</v>
      </c>
      <c r="AE591">
        <v>0</v>
      </c>
      <c r="AF591">
        <v>0</v>
      </c>
      <c r="AG591">
        <v>0</v>
      </c>
      <c r="AH591">
        <f t="shared" si="142"/>
        <v>1</v>
      </c>
      <c r="AI591">
        <f t="shared" si="143"/>
        <v>0</v>
      </c>
      <c r="AJ591">
        <f t="shared" si="144"/>
        <v>1</v>
      </c>
      <c r="AK591">
        <f t="shared" si="145"/>
        <v>0</v>
      </c>
      <c r="AL591">
        <f t="shared" si="146"/>
        <v>1</v>
      </c>
      <c r="AM591">
        <f t="shared" si="147"/>
        <v>0</v>
      </c>
      <c r="AN591">
        <f t="shared" si="148"/>
        <v>1</v>
      </c>
      <c r="AO591">
        <f>SUM(AN$2:$AN591)</f>
        <v>590</v>
      </c>
    </row>
    <row r="592" spans="1:41" x14ac:dyDescent="0.35">
      <c r="A592" t="s">
        <v>168</v>
      </c>
      <c r="B592" t="s">
        <v>2551</v>
      </c>
      <c r="C592">
        <v>12450</v>
      </c>
      <c r="D592" t="s">
        <v>2552</v>
      </c>
      <c r="E592">
        <v>435</v>
      </c>
      <c r="F592">
        <v>705</v>
      </c>
      <c r="G592">
        <v>0</v>
      </c>
      <c r="H592">
        <v>0</v>
      </c>
      <c r="I592">
        <v>2181</v>
      </c>
      <c r="J592">
        <v>1939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348</v>
      </c>
      <c r="X592">
        <v>6</v>
      </c>
      <c r="Y592" t="s">
        <v>435</v>
      </c>
      <c r="Z592" t="s">
        <v>2299</v>
      </c>
      <c r="AA592" t="s">
        <v>148</v>
      </c>
      <c r="AB592" t="s">
        <v>148</v>
      </c>
      <c r="AC592" t="s">
        <v>497</v>
      </c>
      <c r="AD592">
        <v>2242</v>
      </c>
      <c r="AE592">
        <v>0</v>
      </c>
      <c r="AF592">
        <v>0</v>
      </c>
      <c r="AG592">
        <v>0</v>
      </c>
      <c r="AH592">
        <f t="shared" si="142"/>
        <v>0</v>
      </c>
      <c r="AI592">
        <f t="shared" si="143"/>
        <v>0</v>
      </c>
      <c r="AJ592">
        <f t="shared" si="144"/>
        <v>1</v>
      </c>
      <c r="AK592">
        <f t="shared" si="145"/>
        <v>1</v>
      </c>
      <c r="AL592">
        <f t="shared" si="146"/>
        <v>0</v>
      </c>
      <c r="AM592">
        <f t="shared" si="147"/>
        <v>0</v>
      </c>
      <c r="AN592">
        <f t="shared" si="148"/>
        <v>1</v>
      </c>
      <c r="AO592">
        <f>SUM(AN$2:$AN592)</f>
        <v>591</v>
      </c>
    </row>
    <row r="593" spans="1:42" x14ac:dyDescent="0.35">
      <c r="A593" t="s">
        <v>168</v>
      </c>
      <c r="B593" t="s">
        <v>2553</v>
      </c>
      <c r="C593">
        <v>12450</v>
      </c>
      <c r="D593" t="s">
        <v>2554</v>
      </c>
      <c r="E593">
        <v>435</v>
      </c>
      <c r="F593">
        <v>705</v>
      </c>
      <c r="G593">
        <v>2181</v>
      </c>
      <c r="H593">
        <v>0</v>
      </c>
      <c r="I593">
        <v>0</v>
      </c>
      <c r="J593">
        <v>1939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350</v>
      </c>
      <c r="X593">
        <v>6</v>
      </c>
      <c r="Y593" t="s">
        <v>435</v>
      </c>
      <c r="Z593" t="s">
        <v>2300</v>
      </c>
      <c r="AA593" t="s">
        <v>148</v>
      </c>
      <c r="AB593" t="s">
        <v>148</v>
      </c>
      <c r="AC593" t="s">
        <v>497</v>
      </c>
      <c r="AD593">
        <v>2242</v>
      </c>
      <c r="AE593">
        <v>0</v>
      </c>
      <c r="AF593">
        <v>0</v>
      </c>
      <c r="AG593">
        <v>0</v>
      </c>
      <c r="AH593">
        <f t="shared" si="142"/>
        <v>1</v>
      </c>
      <c r="AI593">
        <f t="shared" si="143"/>
        <v>0</v>
      </c>
      <c r="AJ593">
        <f t="shared" si="144"/>
        <v>0</v>
      </c>
      <c r="AK593">
        <f t="shared" si="145"/>
        <v>1</v>
      </c>
      <c r="AL593">
        <f t="shared" si="146"/>
        <v>0</v>
      </c>
      <c r="AM593">
        <f t="shared" si="147"/>
        <v>0</v>
      </c>
      <c r="AN593">
        <f t="shared" si="148"/>
        <v>1</v>
      </c>
      <c r="AO593">
        <f>SUM(AN$2:$AN593)</f>
        <v>592</v>
      </c>
    </row>
    <row r="594" spans="1:42" x14ac:dyDescent="0.35">
      <c r="A594" t="s">
        <v>168</v>
      </c>
      <c r="B594" t="s">
        <v>2555</v>
      </c>
      <c r="C594">
        <v>12450</v>
      </c>
      <c r="D594" t="s">
        <v>2556</v>
      </c>
      <c r="E594">
        <v>435</v>
      </c>
      <c r="F594">
        <v>705</v>
      </c>
      <c r="G594">
        <v>2181</v>
      </c>
      <c r="H594">
        <v>0</v>
      </c>
      <c r="I594">
        <v>0</v>
      </c>
      <c r="J594">
        <v>1939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350</v>
      </c>
      <c r="X594">
        <v>6</v>
      </c>
      <c r="Y594" t="s">
        <v>436</v>
      </c>
      <c r="Z594" t="s">
        <v>2301</v>
      </c>
      <c r="AA594" t="s">
        <v>148</v>
      </c>
      <c r="AB594" t="s">
        <v>148</v>
      </c>
      <c r="AC594" t="s">
        <v>497</v>
      </c>
      <c r="AD594">
        <v>2242</v>
      </c>
      <c r="AE594">
        <v>0</v>
      </c>
      <c r="AF594">
        <v>0</v>
      </c>
      <c r="AG594">
        <v>0</v>
      </c>
      <c r="AH594">
        <f t="shared" si="142"/>
        <v>1</v>
      </c>
      <c r="AI594">
        <f t="shared" si="143"/>
        <v>0</v>
      </c>
      <c r="AJ594">
        <f t="shared" si="144"/>
        <v>0</v>
      </c>
      <c r="AK594">
        <f t="shared" si="145"/>
        <v>1</v>
      </c>
      <c r="AL594">
        <f t="shared" si="146"/>
        <v>0</v>
      </c>
      <c r="AM594">
        <f t="shared" si="147"/>
        <v>0</v>
      </c>
      <c r="AN594">
        <f t="shared" si="148"/>
        <v>1</v>
      </c>
      <c r="AO594">
        <f>SUM(AN$2:$AN594)</f>
        <v>593</v>
      </c>
    </row>
    <row r="595" spans="1:42" x14ac:dyDescent="0.35">
      <c r="A595" t="s">
        <v>168</v>
      </c>
      <c r="B595" t="s">
        <v>2557</v>
      </c>
      <c r="C595">
        <v>12450</v>
      </c>
      <c r="D595" t="s">
        <v>2558</v>
      </c>
      <c r="E595">
        <v>435</v>
      </c>
      <c r="F595">
        <v>705</v>
      </c>
      <c r="G595">
        <v>0</v>
      </c>
      <c r="H595">
        <v>0</v>
      </c>
      <c r="I595">
        <v>2181</v>
      </c>
      <c r="J595">
        <v>0</v>
      </c>
      <c r="K595">
        <v>1939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 t="s">
        <v>424</v>
      </c>
      <c r="X595">
        <v>4</v>
      </c>
      <c r="Y595" t="s">
        <v>435</v>
      </c>
      <c r="Z595" t="s">
        <v>2655</v>
      </c>
      <c r="AA595" t="s">
        <v>152</v>
      </c>
      <c r="AB595" t="s">
        <v>152</v>
      </c>
      <c r="AC595" t="s">
        <v>497</v>
      </c>
      <c r="AD595">
        <v>2242</v>
      </c>
      <c r="AE595">
        <v>0</v>
      </c>
      <c r="AF595">
        <v>0</v>
      </c>
      <c r="AG595">
        <v>0</v>
      </c>
      <c r="AH595">
        <f t="shared" si="142"/>
        <v>0</v>
      </c>
      <c r="AI595">
        <f t="shared" si="143"/>
        <v>0</v>
      </c>
      <c r="AJ595">
        <f t="shared" si="144"/>
        <v>1</v>
      </c>
      <c r="AK595">
        <f t="shared" si="145"/>
        <v>0</v>
      </c>
      <c r="AL595">
        <f t="shared" si="146"/>
        <v>1</v>
      </c>
      <c r="AM595">
        <f t="shared" si="147"/>
        <v>0</v>
      </c>
      <c r="AN595">
        <f t="shared" si="148"/>
        <v>1</v>
      </c>
      <c r="AO595">
        <f>SUM(AN$2:$AN595)</f>
        <v>594</v>
      </c>
    </row>
    <row r="596" spans="1:42" x14ac:dyDescent="0.35">
      <c r="A596" t="s">
        <v>168</v>
      </c>
      <c r="B596" t="s">
        <v>2545</v>
      </c>
      <c r="C596">
        <v>12600</v>
      </c>
      <c r="D596" t="s">
        <v>2559</v>
      </c>
      <c r="E596">
        <v>440</v>
      </c>
      <c r="F596">
        <v>714</v>
      </c>
      <c r="G596">
        <v>2207</v>
      </c>
      <c r="H596">
        <v>0</v>
      </c>
      <c r="I596">
        <v>0</v>
      </c>
      <c r="J596">
        <v>0</v>
      </c>
      <c r="K596">
        <v>1962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 t="s">
        <v>157</v>
      </c>
      <c r="X596">
        <v>6</v>
      </c>
      <c r="Y596" t="s">
        <v>438</v>
      </c>
      <c r="Z596" t="s">
        <v>2302</v>
      </c>
      <c r="AA596" t="s">
        <v>153</v>
      </c>
      <c r="AB596" t="s">
        <v>153</v>
      </c>
      <c r="AC596" t="s">
        <v>497</v>
      </c>
      <c r="AD596">
        <v>2269</v>
      </c>
      <c r="AE596">
        <v>0</v>
      </c>
      <c r="AF596">
        <v>0</v>
      </c>
      <c r="AG596">
        <v>0</v>
      </c>
      <c r="AH596">
        <f t="shared" si="142"/>
        <v>1</v>
      </c>
      <c r="AI596">
        <f t="shared" si="143"/>
        <v>0</v>
      </c>
      <c r="AJ596">
        <f t="shared" si="144"/>
        <v>0</v>
      </c>
      <c r="AK596">
        <f t="shared" si="145"/>
        <v>0</v>
      </c>
      <c r="AL596">
        <f t="shared" si="146"/>
        <v>1</v>
      </c>
      <c r="AM596">
        <f t="shared" si="147"/>
        <v>0</v>
      </c>
      <c r="AN596">
        <f t="shared" si="148"/>
        <v>1</v>
      </c>
      <c r="AO596">
        <f>SUM(AN$2:$AN596)</f>
        <v>595</v>
      </c>
    </row>
    <row r="597" spans="1:42" x14ac:dyDescent="0.35">
      <c r="A597" t="s">
        <v>164</v>
      </c>
      <c r="B597" t="s">
        <v>429</v>
      </c>
      <c r="C597">
        <v>5150</v>
      </c>
      <c r="D597" t="s">
        <v>561</v>
      </c>
      <c r="E597">
        <v>599</v>
      </c>
      <c r="F597">
        <v>2246</v>
      </c>
      <c r="G597">
        <v>2423</v>
      </c>
      <c r="H597">
        <v>0</v>
      </c>
      <c r="I597">
        <v>2590</v>
      </c>
      <c r="J597">
        <v>0</v>
      </c>
      <c r="K597">
        <v>0</v>
      </c>
      <c r="L597">
        <v>835</v>
      </c>
      <c r="M597">
        <v>1885</v>
      </c>
      <c r="N597">
        <v>3141</v>
      </c>
      <c r="O597">
        <v>1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 t="s">
        <v>448</v>
      </c>
      <c r="X597">
        <v>8</v>
      </c>
      <c r="Y597" t="s">
        <v>437</v>
      </c>
      <c r="Z597" t="s">
        <v>2303</v>
      </c>
      <c r="AA597" t="s">
        <v>149</v>
      </c>
      <c r="AB597" t="s">
        <v>148</v>
      </c>
      <c r="AC597" t="s">
        <v>152</v>
      </c>
      <c r="AD597">
        <v>3091</v>
      </c>
      <c r="AE597">
        <v>0</v>
      </c>
      <c r="AF597">
        <v>0</v>
      </c>
      <c r="AG597">
        <v>0</v>
      </c>
      <c r="AH597">
        <f t="shared" si="142"/>
        <v>1</v>
      </c>
      <c r="AI597">
        <f t="shared" si="143"/>
        <v>0</v>
      </c>
      <c r="AJ597">
        <f t="shared" si="144"/>
        <v>1</v>
      </c>
      <c r="AK597">
        <f t="shared" si="145"/>
        <v>0</v>
      </c>
      <c r="AL597">
        <f t="shared" si="146"/>
        <v>0</v>
      </c>
      <c r="AM597">
        <f t="shared" si="147"/>
        <v>1</v>
      </c>
      <c r="AN597">
        <f t="shared" si="148"/>
        <v>1</v>
      </c>
      <c r="AO597">
        <f>SUM(AN$2:$AN597)</f>
        <v>596</v>
      </c>
    </row>
    <row r="598" spans="1:42" x14ac:dyDescent="0.35">
      <c r="A598" t="s">
        <v>164</v>
      </c>
      <c r="B598" t="s">
        <v>603</v>
      </c>
      <c r="C598">
        <v>5300</v>
      </c>
      <c r="D598" t="s">
        <v>629</v>
      </c>
      <c r="E598">
        <v>617</v>
      </c>
      <c r="F598">
        <v>2312</v>
      </c>
      <c r="G598">
        <v>2493</v>
      </c>
      <c r="H598">
        <v>0</v>
      </c>
      <c r="I598">
        <v>2665</v>
      </c>
      <c r="J598">
        <v>0</v>
      </c>
      <c r="K598">
        <v>0</v>
      </c>
      <c r="L598">
        <v>860</v>
      </c>
      <c r="M598">
        <v>1940</v>
      </c>
      <c r="N598">
        <v>3233</v>
      </c>
      <c r="O598">
        <v>1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 t="s">
        <v>446</v>
      </c>
      <c r="X598">
        <v>8</v>
      </c>
      <c r="Y598" t="s">
        <v>447</v>
      </c>
      <c r="Z598" t="s">
        <v>2304</v>
      </c>
      <c r="AA598" t="s">
        <v>149</v>
      </c>
      <c r="AB598" t="s">
        <v>148</v>
      </c>
      <c r="AC598" t="s">
        <v>152</v>
      </c>
      <c r="AD598">
        <v>3181</v>
      </c>
      <c r="AE598">
        <v>0</v>
      </c>
      <c r="AF598">
        <v>0</v>
      </c>
      <c r="AG598">
        <v>0</v>
      </c>
      <c r="AH598">
        <f t="shared" si="142"/>
        <v>1</v>
      </c>
      <c r="AI598">
        <f t="shared" si="143"/>
        <v>0</v>
      </c>
      <c r="AJ598">
        <f t="shared" si="144"/>
        <v>1</v>
      </c>
      <c r="AK598">
        <f t="shared" si="145"/>
        <v>0</v>
      </c>
      <c r="AL598">
        <f t="shared" si="146"/>
        <v>0</v>
      </c>
      <c r="AM598">
        <f t="shared" si="147"/>
        <v>1</v>
      </c>
      <c r="AN598">
        <f t="shared" si="148"/>
        <v>1</v>
      </c>
      <c r="AO598">
        <f>SUM(AN$2:$AN598)</f>
        <v>597</v>
      </c>
    </row>
    <row r="599" spans="1:42" x14ac:dyDescent="0.35">
      <c r="A599" t="s">
        <v>164</v>
      </c>
      <c r="B599" t="s">
        <v>429</v>
      </c>
      <c r="C599">
        <v>5420</v>
      </c>
      <c r="D599" t="s">
        <v>622</v>
      </c>
      <c r="E599">
        <v>631</v>
      </c>
      <c r="F599">
        <v>2364</v>
      </c>
      <c r="G599">
        <v>2550</v>
      </c>
      <c r="H599">
        <v>0</v>
      </c>
      <c r="I599">
        <v>2725</v>
      </c>
      <c r="J599">
        <v>0</v>
      </c>
      <c r="K599">
        <v>0</v>
      </c>
      <c r="L599">
        <v>879</v>
      </c>
      <c r="M599">
        <v>1984</v>
      </c>
      <c r="N599">
        <v>3306</v>
      </c>
      <c r="O599">
        <v>1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 t="s">
        <v>448</v>
      </c>
      <c r="X599">
        <v>8</v>
      </c>
      <c r="Y599" t="s">
        <v>437</v>
      </c>
      <c r="Z599" t="s">
        <v>2305</v>
      </c>
      <c r="AA599" t="s">
        <v>149</v>
      </c>
      <c r="AB599" t="s">
        <v>148</v>
      </c>
      <c r="AC599" t="s">
        <v>152</v>
      </c>
      <c r="AD599">
        <v>3253</v>
      </c>
      <c r="AE599">
        <v>0</v>
      </c>
      <c r="AF599">
        <v>0</v>
      </c>
      <c r="AG599">
        <v>0</v>
      </c>
      <c r="AH599">
        <f t="shared" si="142"/>
        <v>1</v>
      </c>
      <c r="AI599">
        <f t="shared" si="143"/>
        <v>0</v>
      </c>
      <c r="AJ599">
        <f t="shared" si="144"/>
        <v>1</v>
      </c>
      <c r="AK599">
        <f t="shared" si="145"/>
        <v>0</v>
      </c>
      <c r="AL599">
        <f t="shared" si="146"/>
        <v>0</v>
      </c>
      <c r="AM599">
        <f t="shared" si="147"/>
        <v>1</v>
      </c>
      <c r="AN599">
        <f t="shared" si="148"/>
        <v>1</v>
      </c>
      <c r="AO599">
        <f>SUM(AN$2:$AN599)</f>
        <v>598</v>
      </c>
    </row>
    <row r="600" spans="1:42" x14ac:dyDescent="0.35">
      <c r="A600" t="s">
        <v>164</v>
      </c>
      <c r="B600" t="s">
        <v>429</v>
      </c>
      <c r="C600">
        <v>5690</v>
      </c>
      <c r="D600" t="s">
        <v>623</v>
      </c>
      <c r="E600">
        <v>662</v>
      </c>
      <c r="F600">
        <v>2482</v>
      </c>
      <c r="G600">
        <v>2677</v>
      </c>
      <c r="H600">
        <v>0</v>
      </c>
      <c r="I600">
        <v>2861</v>
      </c>
      <c r="J600">
        <v>0</v>
      </c>
      <c r="K600">
        <v>0</v>
      </c>
      <c r="L600">
        <v>923</v>
      </c>
      <c r="M600">
        <v>2082</v>
      </c>
      <c r="N600">
        <v>3470</v>
      </c>
      <c r="O600">
        <v>1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 t="s">
        <v>448</v>
      </c>
      <c r="X600">
        <v>8</v>
      </c>
      <c r="Y600" t="s">
        <v>437</v>
      </c>
      <c r="Z600" t="s">
        <v>2306</v>
      </c>
      <c r="AA600" t="s">
        <v>149</v>
      </c>
      <c r="AB600" t="s">
        <v>148</v>
      </c>
      <c r="AC600" t="s">
        <v>152</v>
      </c>
      <c r="AD600">
        <v>3415</v>
      </c>
      <c r="AE600">
        <v>0</v>
      </c>
      <c r="AF600">
        <v>0</v>
      </c>
      <c r="AG600">
        <v>0</v>
      </c>
      <c r="AH600">
        <f t="shared" si="142"/>
        <v>1</v>
      </c>
      <c r="AI600">
        <f t="shared" si="143"/>
        <v>0</v>
      </c>
      <c r="AJ600">
        <f t="shared" si="144"/>
        <v>1</v>
      </c>
      <c r="AK600">
        <f t="shared" si="145"/>
        <v>0</v>
      </c>
      <c r="AL600">
        <f t="shared" si="146"/>
        <v>0</v>
      </c>
      <c r="AM600">
        <f t="shared" si="147"/>
        <v>1</v>
      </c>
      <c r="AN600">
        <f t="shared" si="148"/>
        <v>1</v>
      </c>
      <c r="AO600">
        <f>SUM(AN$2:$AN600)</f>
        <v>599</v>
      </c>
    </row>
    <row r="601" spans="1:42" x14ac:dyDescent="0.35">
      <c r="A601" t="s">
        <v>164</v>
      </c>
      <c r="B601" t="s">
        <v>638</v>
      </c>
      <c r="C601">
        <v>5690</v>
      </c>
      <c r="D601" t="s">
        <v>639</v>
      </c>
      <c r="E601">
        <v>662</v>
      </c>
      <c r="F601">
        <v>2482</v>
      </c>
      <c r="G601">
        <v>2677</v>
      </c>
      <c r="H601">
        <v>0</v>
      </c>
      <c r="I601">
        <v>2861</v>
      </c>
      <c r="J601">
        <v>0</v>
      </c>
      <c r="K601">
        <v>0</v>
      </c>
      <c r="L601">
        <v>923</v>
      </c>
      <c r="M601">
        <v>2082</v>
      </c>
      <c r="N601">
        <v>3470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 t="s">
        <v>448</v>
      </c>
      <c r="X601">
        <v>8</v>
      </c>
      <c r="Y601" t="s">
        <v>437</v>
      </c>
      <c r="Z601" t="s">
        <v>2307</v>
      </c>
      <c r="AA601" t="s">
        <v>149</v>
      </c>
      <c r="AB601" t="s">
        <v>148</v>
      </c>
      <c r="AC601" t="s">
        <v>152</v>
      </c>
      <c r="AD601">
        <v>3415</v>
      </c>
      <c r="AE601">
        <v>0</v>
      </c>
      <c r="AF601">
        <v>0</v>
      </c>
      <c r="AG601">
        <v>0</v>
      </c>
      <c r="AH601">
        <f t="shared" si="142"/>
        <v>1</v>
      </c>
      <c r="AI601">
        <f t="shared" si="143"/>
        <v>0</v>
      </c>
      <c r="AJ601">
        <f t="shared" si="144"/>
        <v>1</v>
      </c>
      <c r="AK601">
        <f t="shared" si="145"/>
        <v>0</v>
      </c>
      <c r="AL601">
        <f t="shared" si="146"/>
        <v>0</v>
      </c>
      <c r="AM601">
        <f t="shared" si="147"/>
        <v>1</v>
      </c>
      <c r="AN601">
        <f t="shared" si="148"/>
        <v>1</v>
      </c>
      <c r="AO601">
        <f>SUM(AN$2:$AN601)</f>
        <v>600</v>
      </c>
    </row>
    <row r="602" spans="1:42" x14ac:dyDescent="0.35">
      <c r="A602" t="s">
        <v>164</v>
      </c>
      <c r="B602" t="s">
        <v>1241</v>
      </c>
      <c r="C602">
        <v>7600</v>
      </c>
      <c r="D602" t="s">
        <v>1242</v>
      </c>
      <c r="E602">
        <v>884</v>
      </c>
      <c r="F602">
        <v>3315</v>
      </c>
      <c r="G602">
        <v>3575</v>
      </c>
      <c r="H602">
        <v>0</v>
      </c>
      <c r="I602">
        <v>3822</v>
      </c>
      <c r="J602">
        <v>0</v>
      </c>
      <c r="K602">
        <v>0</v>
      </c>
      <c r="L602">
        <v>1233</v>
      </c>
      <c r="M602">
        <v>2782</v>
      </c>
      <c r="N602">
        <v>4637</v>
      </c>
      <c r="O602">
        <v>1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 t="s">
        <v>448</v>
      </c>
      <c r="X602">
        <v>8</v>
      </c>
      <c r="Y602" t="s">
        <v>437</v>
      </c>
      <c r="Z602" t="s">
        <v>2308</v>
      </c>
      <c r="AA602" t="s">
        <v>149</v>
      </c>
      <c r="AB602" t="s">
        <v>148</v>
      </c>
      <c r="AC602" t="s">
        <v>152</v>
      </c>
      <c r="AD602">
        <v>4561</v>
      </c>
      <c r="AE602">
        <v>0</v>
      </c>
      <c r="AF602">
        <v>0</v>
      </c>
      <c r="AG602">
        <v>0</v>
      </c>
      <c r="AH602">
        <f t="shared" si="142"/>
        <v>1</v>
      </c>
      <c r="AI602">
        <f t="shared" si="143"/>
        <v>0</v>
      </c>
      <c r="AJ602">
        <f t="shared" si="144"/>
        <v>1</v>
      </c>
      <c r="AK602">
        <f t="shared" si="145"/>
        <v>0</v>
      </c>
      <c r="AL602">
        <f t="shared" si="146"/>
        <v>0</v>
      </c>
      <c r="AM602">
        <f t="shared" si="147"/>
        <v>1</v>
      </c>
      <c r="AN602">
        <f t="shared" si="148"/>
        <v>1</v>
      </c>
      <c r="AO602">
        <f>SUM(AN$2:$AN602)</f>
        <v>601</v>
      </c>
    </row>
    <row r="603" spans="1:42" x14ac:dyDescent="0.35">
      <c r="A603" t="s">
        <v>164</v>
      </c>
      <c r="B603" t="s">
        <v>1241</v>
      </c>
      <c r="C603">
        <v>8000</v>
      </c>
      <c r="D603" t="s">
        <v>1243</v>
      </c>
      <c r="E603">
        <v>931</v>
      </c>
      <c r="F603">
        <v>3489</v>
      </c>
      <c r="G603">
        <v>3763</v>
      </c>
      <c r="H603">
        <v>0</v>
      </c>
      <c r="I603">
        <v>4023</v>
      </c>
      <c r="J603">
        <v>0</v>
      </c>
      <c r="K603">
        <v>0</v>
      </c>
      <c r="L603">
        <v>1298</v>
      </c>
      <c r="M603">
        <v>2928</v>
      </c>
      <c r="N603">
        <v>4880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 t="s">
        <v>448</v>
      </c>
      <c r="X603">
        <v>8</v>
      </c>
      <c r="Y603" t="s">
        <v>437</v>
      </c>
      <c r="Z603" t="s">
        <v>2309</v>
      </c>
      <c r="AA603" t="s">
        <v>149</v>
      </c>
      <c r="AB603" t="s">
        <v>148</v>
      </c>
      <c r="AC603" t="s">
        <v>152</v>
      </c>
      <c r="AD603">
        <v>4801</v>
      </c>
      <c r="AE603">
        <v>0</v>
      </c>
      <c r="AF603">
        <v>0</v>
      </c>
      <c r="AG603">
        <v>0</v>
      </c>
      <c r="AH603">
        <f t="shared" si="142"/>
        <v>1</v>
      </c>
      <c r="AI603">
        <f t="shared" si="143"/>
        <v>0</v>
      </c>
      <c r="AJ603">
        <f t="shared" si="144"/>
        <v>1</v>
      </c>
      <c r="AK603">
        <f t="shared" si="145"/>
        <v>0</v>
      </c>
      <c r="AL603">
        <f t="shared" si="146"/>
        <v>0</v>
      </c>
      <c r="AM603">
        <f t="shared" si="147"/>
        <v>1</v>
      </c>
      <c r="AN603">
        <f t="shared" si="148"/>
        <v>1</v>
      </c>
      <c r="AO603">
        <f>SUM(AN$2:$AN603)</f>
        <v>602</v>
      </c>
    </row>
    <row r="604" spans="1:42" customFormat="1" ht="19.5" customHeight="1" x14ac:dyDescent="0.35">
      <c r="A604" t="s">
        <v>164</v>
      </c>
      <c r="B604" t="s">
        <v>1244</v>
      </c>
      <c r="C604">
        <v>8000</v>
      </c>
      <c r="D604" t="s">
        <v>1245</v>
      </c>
      <c r="E604">
        <v>670</v>
      </c>
      <c r="F604">
        <v>2596</v>
      </c>
      <c r="G604">
        <v>0</v>
      </c>
      <c r="H604">
        <v>0</v>
      </c>
      <c r="I604">
        <v>3363</v>
      </c>
      <c r="J604">
        <v>2990</v>
      </c>
      <c r="K604">
        <v>0</v>
      </c>
      <c r="L604">
        <v>0</v>
      </c>
      <c r="M604">
        <v>2108</v>
      </c>
      <c r="N604">
        <v>3514</v>
      </c>
      <c r="O604">
        <v>1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 t="s">
        <v>348</v>
      </c>
      <c r="X604">
        <v>6</v>
      </c>
      <c r="Y604" t="s">
        <v>435</v>
      </c>
      <c r="Z604" t="s">
        <v>2310</v>
      </c>
      <c r="AA604" t="s">
        <v>148</v>
      </c>
      <c r="AB604" t="s">
        <v>149</v>
      </c>
      <c r="AC604" t="s">
        <v>152</v>
      </c>
      <c r="AD604">
        <v>3457</v>
      </c>
      <c r="AE604">
        <v>0</v>
      </c>
      <c r="AF604">
        <v>0</v>
      </c>
      <c r="AG604">
        <v>0</v>
      </c>
      <c r="AH604">
        <f t="shared" si="142"/>
        <v>0</v>
      </c>
      <c r="AI604">
        <f t="shared" si="143"/>
        <v>0</v>
      </c>
      <c r="AJ604">
        <f t="shared" si="144"/>
        <v>1</v>
      </c>
      <c r="AK604">
        <f t="shared" si="145"/>
        <v>1</v>
      </c>
      <c r="AL604">
        <f t="shared" si="146"/>
        <v>0</v>
      </c>
      <c r="AM604">
        <f t="shared" si="147"/>
        <v>0</v>
      </c>
      <c r="AN604">
        <f t="shared" si="148"/>
        <v>1</v>
      </c>
      <c r="AO604">
        <f>SUM(AN$2:$AN604)</f>
        <v>603</v>
      </c>
      <c r="AP604" s="5"/>
    </row>
    <row r="605" spans="1:42" customFormat="1" x14ac:dyDescent="0.35">
      <c r="A605" t="s">
        <v>164</v>
      </c>
      <c r="B605" t="s">
        <v>1239</v>
      </c>
      <c r="C605">
        <v>8100</v>
      </c>
      <c r="D605" t="s">
        <v>2311</v>
      </c>
      <c r="E605">
        <v>679</v>
      </c>
      <c r="F605">
        <v>2628</v>
      </c>
      <c r="G605">
        <v>0</v>
      </c>
      <c r="H605">
        <v>0</v>
      </c>
      <c r="I605">
        <v>3406</v>
      </c>
      <c r="J605">
        <v>3633</v>
      </c>
      <c r="K605">
        <v>0</v>
      </c>
      <c r="L605">
        <v>0</v>
      </c>
      <c r="M605">
        <v>2135</v>
      </c>
      <c r="N605">
        <v>3558</v>
      </c>
      <c r="O605">
        <v>1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 t="s">
        <v>348</v>
      </c>
      <c r="X605">
        <v>6</v>
      </c>
      <c r="Y605" t="s">
        <v>437</v>
      </c>
      <c r="Z605" t="s">
        <v>2312</v>
      </c>
      <c r="AA605" t="s">
        <v>148</v>
      </c>
      <c r="AB605" t="s">
        <v>149</v>
      </c>
      <c r="AC605" t="s">
        <v>152</v>
      </c>
      <c r="AD605">
        <v>3500</v>
      </c>
      <c r="AE605">
        <v>0</v>
      </c>
      <c r="AF605">
        <v>0</v>
      </c>
      <c r="AG605">
        <v>0</v>
      </c>
      <c r="AH605">
        <f t="shared" si="142"/>
        <v>0</v>
      </c>
      <c r="AI605">
        <f t="shared" si="143"/>
        <v>0</v>
      </c>
      <c r="AJ605">
        <f t="shared" si="144"/>
        <v>1</v>
      </c>
      <c r="AK605">
        <f t="shared" si="145"/>
        <v>1</v>
      </c>
      <c r="AL605">
        <f t="shared" si="146"/>
        <v>0</v>
      </c>
      <c r="AM605">
        <f t="shared" si="147"/>
        <v>0</v>
      </c>
      <c r="AN605">
        <f t="shared" si="148"/>
        <v>1</v>
      </c>
      <c r="AO605">
        <f>SUM(AN$2:$AN605)</f>
        <v>604</v>
      </c>
      <c r="AP605" s="5"/>
    </row>
    <row r="606" spans="1:42" customFormat="1" x14ac:dyDescent="0.35">
      <c r="A606" t="s">
        <v>164</v>
      </c>
      <c r="B606" t="s">
        <v>1240</v>
      </c>
      <c r="C606">
        <v>8100</v>
      </c>
      <c r="D606" t="s">
        <v>2313</v>
      </c>
      <c r="E606">
        <v>848</v>
      </c>
      <c r="F606">
        <v>3221</v>
      </c>
      <c r="G606">
        <v>4351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2135</v>
      </c>
      <c r="N606">
        <v>3558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161</v>
      </c>
      <c r="X606">
        <v>6</v>
      </c>
      <c r="Y606" t="s">
        <v>437</v>
      </c>
      <c r="Z606" t="s">
        <v>2314</v>
      </c>
      <c r="AA606" t="s">
        <v>497</v>
      </c>
      <c r="AB606" t="s">
        <v>497</v>
      </c>
      <c r="AC606" t="s">
        <v>497</v>
      </c>
      <c r="AD606">
        <v>3500</v>
      </c>
      <c r="AE606">
        <v>0</v>
      </c>
      <c r="AF606">
        <v>0</v>
      </c>
      <c r="AG606">
        <v>0</v>
      </c>
      <c r="AH606">
        <f t="shared" si="142"/>
        <v>1</v>
      </c>
      <c r="AI606">
        <f t="shared" si="143"/>
        <v>0</v>
      </c>
      <c r="AJ606">
        <f t="shared" si="144"/>
        <v>0</v>
      </c>
      <c r="AK606">
        <f t="shared" si="145"/>
        <v>0</v>
      </c>
      <c r="AL606">
        <f t="shared" si="146"/>
        <v>0</v>
      </c>
      <c r="AM606">
        <f t="shared" si="147"/>
        <v>0</v>
      </c>
      <c r="AN606">
        <f t="shared" si="148"/>
        <v>1</v>
      </c>
      <c r="AO606">
        <f>SUM(AN$2:$AN606)</f>
        <v>605</v>
      </c>
      <c r="AP606" s="5"/>
    </row>
    <row r="607" spans="1:42" customFormat="1" x14ac:dyDescent="0.35">
      <c r="A607" t="s">
        <v>164</v>
      </c>
      <c r="B607" t="s">
        <v>1241</v>
      </c>
      <c r="C607">
        <v>8400</v>
      </c>
      <c r="D607" t="s">
        <v>1247</v>
      </c>
      <c r="E607">
        <v>978</v>
      </c>
      <c r="F607">
        <v>3664</v>
      </c>
      <c r="G607">
        <v>3951</v>
      </c>
      <c r="H607">
        <v>0</v>
      </c>
      <c r="I607">
        <v>4224</v>
      </c>
      <c r="J607">
        <v>0</v>
      </c>
      <c r="K607">
        <v>0</v>
      </c>
      <c r="L607">
        <v>1363</v>
      </c>
      <c r="M607">
        <v>3075</v>
      </c>
      <c r="N607">
        <v>5125</v>
      </c>
      <c r="O607">
        <v>1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 t="s">
        <v>448</v>
      </c>
      <c r="X607">
        <v>8</v>
      </c>
      <c r="Y607" t="s">
        <v>437</v>
      </c>
      <c r="Z607" t="s">
        <v>2315</v>
      </c>
      <c r="AA607" t="s">
        <v>149</v>
      </c>
      <c r="AB607" t="s">
        <v>148</v>
      </c>
      <c r="AC607" t="s">
        <v>152</v>
      </c>
      <c r="AD607">
        <v>5041</v>
      </c>
      <c r="AE607">
        <v>0</v>
      </c>
      <c r="AF607">
        <v>0</v>
      </c>
      <c r="AG607">
        <v>0</v>
      </c>
      <c r="AH607">
        <f t="shared" si="142"/>
        <v>1</v>
      </c>
      <c r="AI607">
        <f t="shared" si="143"/>
        <v>0</v>
      </c>
      <c r="AJ607">
        <f t="shared" si="144"/>
        <v>1</v>
      </c>
      <c r="AK607">
        <f t="shared" si="145"/>
        <v>0</v>
      </c>
      <c r="AL607">
        <f t="shared" si="146"/>
        <v>0</v>
      </c>
      <c r="AM607">
        <f t="shared" si="147"/>
        <v>1</v>
      </c>
      <c r="AN607">
        <f t="shared" si="148"/>
        <v>1</v>
      </c>
      <c r="AO607">
        <f>SUM(AN$2:$AN607)</f>
        <v>606</v>
      </c>
      <c r="AP607" s="5"/>
    </row>
    <row r="608" spans="1:42" customFormat="1" x14ac:dyDescent="0.35">
      <c r="A608" t="s">
        <v>164</v>
      </c>
      <c r="B608" t="s">
        <v>1246</v>
      </c>
      <c r="C608">
        <v>8600</v>
      </c>
      <c r="D608" t="s">
        <v>2316</v>
      </c>
      <c r="E608">
        <v>901</v>
      </c>
      <c r="F608">
        <v>3420</v>
      </c>
      <c r="G608">
        <v>0</v>
      </c>
      <c r="H608">
        <v>0</v>
      </c>
      <c r="I608">
        <v>4620</v>
      </c>
      <c r="J608">
        <v>0</v>
      </c>
      <c r="K608">
        <v>0</v>
      </c>
      <c r="L608">
        <v>0</v>
      </c>
      <c r="M608">
        <v>2267</v>
      </c>
      <c r="N608">
        <v>3778</v>
      </c>
      <c r="O608">
        <v>1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 t="s">
        <v>162</v>
      </c>
      <c r="X608">
        <v>6</v>
      </c>
      <c r="Y608" t="s">
        <v>628</v>
      </c>
      <c r="Z608" t="s">
        <v>2317</v>
      </c>
      <c r="AA608" t="s">
        <v>149</v>
      </c>
      <c r="AB608" t="s">
        <v>148</v>
      </c>
      <c r="AC608" t="s">
        <v>152</v>
      </c>
      <c r="AD608">
        <v>3716</v>
      </c>
      <c r="AE608">
        <v>0</v>
      </c>
      <c r="AF608">
        <v>0</v>
      </c>
      <c r="AG608">
        <v>0</v>
      </c>
      <c r="AH608">
        <f t="shared" si="142"/>
        <v>0</v>
      </c>
      <c r="AI608">
        <f t="shared" si="143"/>
        <v>0</v>
      </c>
      <c r="AJ608">
        <f t="shared" si="144"/>
        <v>1</v>
      </c>
      <c r="AK608">
        <f t="shared" si="145"/>
        <v>0</v>
      </c>
      <c r="AL608">
        <f t="shared" si="146"/>
        <v>0</v>
      </c>
      <c r="AM608">
        <f t="shared" si="147"/>
        <v>0</v>
      </c>
      <c r="AN608">
        <f t="shared" si="148"/>
        <v>1</v>
      </c>
      <c r="AO608">
        <f>SUM(AN$2:$AN608)</f>
        <v>607</v>
      </c>
      <c r="AP608" s="5"/>
    </row>
    <row r="609" spans="1:42" customFormat="1" x14ac:dyDescent="0.35">
      <c r="A609" t="s">
        <v>164</v>
      </c>
      <c r="B609" t="s">
        <v>1239</v>
      </c>
      <c r="C609">
        <v>8800</v>
      </c>
      <c r="D609" t="s">
        <v>1249</v>
      </c>
      <c r="E609">
        <v>737</v>
      </c>
      <c r="F609">
        <v>2855</v>
      </c>
      <c r="G609">
        <v>0</v>
      </c>
      <c r="H609">
        <v>0</v>
      </c>
      <c r="I609">
        <v>3700</v>
      </c>
      <c r="J609">
        <v>3946</v>
      </c>
      <c r="K609">
        <v>0</v>
      </c>
      <c r="L609">
        <v>0</v>
      </c>
      <c r="M609">
        <v>2319</v>
      </c>
      <c r="N609">
        <v>3865</v>
      </c>
      <c r="O609">
        <v>1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 t="s">
        <v>348</v>
      </c>
      <c r="X609">
        <v>6</v>
      </c>
      <c r="Y609" t="s">
        <v>437</v>
      </c>
      <c r="Z609" t="s">
        <v>2318</v>
      </c>
      <c r="AA609" t="s">
        <v>148</v>
      </c>
      <c r="AB609" t="s">
        <v>149</v>
      </c>
      <c r="AC609" t="s">
        <v>152</v>
      </c>
      <c r="AD609">
        <v>3803</v>
      </c>
      <c r="AE609">
        <v>0</v>
      </c>
      <c r="AF609">
        <v>0</v>
      </c>
      <c r="AG609">
        <v>0</v>
      </c>
      <c r="AH609">
        <f t="shared" si="142"/>
        <v>0</v>
      </c>
      <c r="AI609">
        <f t="shared" si="143"/>
        <v>0</v>
      </c>
      <c r="AJ609">
        <f t="shared" si="144"/>
        <v>1</v>
      </c>
      <c r="AK609">
        <f t="shared" si="145"/>
        <v>1</v>
      </c>
      <c r="AL609">
        <f t="shared" si="146"/>
        <v>0</v>
      </c>
      <c r="AM609">
        <f t="shared" si="147"/>
        <v>0</v>
      </c>
      <c r="AN609">
        <f t="shared" si="148"/>
        <v>1</v>
      </c>
      <c r="AO609">
        <f>SUM(AN$2:$AN609)</f>
        <v>608</v>
      </c>
      <c r="AP609" s="5"/>
    </row>
    <row r="610" spans="1:42" customFormat="1" x14ac:dyDescent="0.35">
      <c r="A610" t="s">
        <v>164</v>
      </c>
      <c r="B610" t="s">
        <v>1241</v>
      </c>
      <c r="C610">
        <v>8850</v>
      </c>
      <c r="D610" t="s">
        <v>1251</v>
      </c>
      <c r="E610">
        <v>1030</v>
      </c>
      <c r="F610">
        <v>3860</v>
      </c>
      <c r="G610">
        <v>4163</v>
      </c>
      <c r="H610">
        <v>0</v>
      </c>
      <c r="I610">
        <v>4450</v>
      </c>
      <c r="J610">
        <v>0</v>
      </c>
      <c r="K610">
        <v>0</v>
      </c>
      <c r="L610">
        <v>1436</v>
      </c>
      <c r="M610">
        <v>3240</v>
      </c>
      <c r="N610">
        <v>5400</v>
      </c>
      <c r="O610">
        <v>1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 t="s">
        <v>448</v>
      </c>
      <c r="X610">
        <v>8</v>
      </c>
      <c r="Y610" t="s">
        <v>437</v>
      </c>
      <c r="Z610" t="s">
        <v>2319</v>
      </c>
      <c r="AA610" t="s">
        <v>149</v>
      </c>
      <c r="AB610" t="s">
        <v>148</v>
      </c>
      <c r="AC610" t="s">
        <v>152</v>
      </c>
      <c r="AD610">
        <v>5311</v>
      </c>
      <c r="AE610">
        <v>0</v>
      </c>
      <c r="AF610">
        <v>0</v>
      </c>
      <c r="AG610">
        <v>0</v>
      </c>
      <c r="AH610">
        <f t="shared" si="142"/>
        <v>1</v>
      </c>
      <c r="AI610">
        <f t="shared" si="143"/>
        <v>0</v>
      </c>
      <c r="AJ610">
        <f t="shared" si="144"/>
        <v>1</v>
      </c>
      <c r="AK610">
        <f t="shared" si="145"/>
        <v>0</v>
      </c>
      <c r="AL610">
        <f t="shared" si="146"/>
        <v>0</v>
      </c>
      <c r="AM610">
        <f t="shared" si="147"/>
        <v>1</v>
      </c>
      <c r="AN610">
        <f t="shared" si="148"/>
        <v>1</v>
      </c>
      <c r="AO610">
        <f>SUM(AN$2:$AN610)</f>
        <v>609</v>
      </c>
      <c r="AP610" s="5"/>
    </row>
    <row r="611" spans="1:42" customFormat="1" x14ac:dyDescent="0.35">
      <c r="A611" t="s">
        <v>164</v>
      </c>
      <c r="B611" t="s">
        <v>1248</v>
      </c>
      <c r="C611">
        <v>9100</v>
      </c>
      <c r="D611" t="s">
        <v>2320</v>
      </c>
      <c r="E611">
        <v>763</v>
      </c>
      <c r="F611">
        <v>2953</v>
      </c>
      <c r="G611">
        <v>0</v>
      </c>
      <c r="H611">
        <v>0</v>
      </c>
      <c r="I611">
        <v>3826</v>
      </c>
      <c r="J611">
        <v>0</v>
      </c>
      <c r="K611">
        <v>4081</v>
      </c>
      <c r="L611">
        <v>0</v>
      </c>
      <c r="M611">
        <v>2399</v>
      </c>
      <c r="N611">
        <v>3998</v>
      </c>
      <c r="O611">
        <v>1</v>
      </c>
      <c r="P611">
        <v>1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 t="s">
        <v>159</v>
      </c>
      <c r="X611">
        <v>6</v>
      </c>
      <c r="Y611" t="s">
        <v>435</v>
      </c>
      <c r="Z611" t="s">
        <v>2321</v>
      </c>
      <c r="AA611" t="s">
        <v>149</v>
      </c>
      <c r="AB611" t="s">
        <v>148</v>
      </c>
      <c r="AC611" t="s">
        <v>152</v>
      </c>
      <c r="AD611">
        <v>3932</v>
      </c>
      <c r="AE611">
        <v>0</v>
      </c>
      <c r="AF611">
        <v>0</v>
      </c>
      <c r="AG611">
        <v>0</v>
      </c>
      <c r="AH611">
        <f t="shared" si="142"/>
        <v>0</v>
      </c>
      <c r="AI611">
        <f t="shared" si="143"/>
        <v>0</v>
      </c>
      <c r="AJ611">
        <f t="shared" si="144"/>
        <v>1</v>
      </c>
      <c r="AK611">
        <f t="shared" si="145"/>
        <v>0</v>
      </c>
      <c r="AL611">
        <f t="shared" si="146"/>
        <v>1</v>
      </c>
      <c r="AM611">
        <f t="shared" si="147"/>
        <v>0</v>
      </c>
      <c r="AN611">
        <f t="shared" si="148"/>
        <v>1</v>
      </c>
      <c r="AO611">
        <f>SUM(AN$2:$AN611)</f>
        <v>610</v>
      </c>
      <c r="AP611" s="5"/>
    </row>
    <row r="612" spans="1:42" customFormat="1" x14ac:dyDescent="0.35">
      <c r="A612" t="s">
        <v>164</v>
      </c>
      <c r="B612" t="s">
        <v>1241</v>
      </c>
      <c r="C612">
        <v>9300</v>
      </c>
      <c r="D612" t="s">
        <v>1252</v>
      </c>
      <c r="E612">
        <v>1082</v>
      </c>
      <c r="F612">
        <v>4056</v>
      </c>
      <c r="G612">
        <v>4375</v>
      </c>
      <c r="H612">
        <v>0</v>
      </c>
      <c r="I612">
        <v>4676</v>
      </c>
      <c r="J612">
        <v>0</v>
      </c>
      <c r="K612">
        <v>0</v>
      </c>
      <c r="L612">
        <v>1509</v>
      </c>
      <c r="M612">
        <v>3405</v>
      </c>
      <c r="N612">
        <v>5675</v>
      </c>
      <c r="O612">
        <v>1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 t="s">
        <v>448</v>
      </c>
      <c r="X612">
        <v>8</v>
      </c>
      <c r="Y612" t="s">
        <v>437</v>
      </c>
      <c r="Z612" t="s">
        <v>2322</v>
      </c>
      <c r="AA612" t="s">
        <v>149</v>
      </c>
      <c r="AB612" t="s">
        <v>148</v>
      </c>
      <c r="AC612" t="s">
        <v>152</v>
      </c>
      <c r="AD612">
        <v>5581</v>
      </c>
      <c r="AE612">
        <v>0</v>
      </c>
      <c r="AF612">
        <v>0</v>
      </c>
      <c r="AG612">
        <v>0</v>
      </c>
      <c r="AH612">
        <f t="shared" si="142"/>
        <v>1</v>
      </c>
      <c r="AI612">
        <f t="shared" si="143"/>
        <v>0</v>
      </c>
      <c r="AJ612">
        <f t="shared" si="144"/>
        <v>1</v>
      </c>
      <c r="AK612">
        <f t="shared" si="145"/>
        <v>0</v>
      </c>
      <c r="AL612">
        <f t="shared" si="146"/>
        <v>0</v>
      </c>
      <c r="AM612">
        <f t="shared" si="147"/>
        <v>1</v>
      </c>
      <c r="AN612">
        <f t="shared" si="148"/>
        <v>1</v>
      </c>
      <c r="AO612">
        <f>SUM(AN$2:$AN612)</f>
        <v>611</v>
      </c>
      <c r="AP612" s="5"/>
    </row>
    <row r="613" spans="1:42" customFormat="1" x14ac:dyDescent="0.35">
      <c r="A613" t="s">
        <v>164</v>
      </c>
      <c r="B613" t="s">
        <v>1321</v>
      </c>
      <c r="C613">
        <v>9300</v>
      </c>
      <c r="D613" t="s">
        <v>1322</v>
      </c>
      <c r="E613">
        <v>779</v>
      </c>
      <c r="F613">
        <v>3018</v>
      </c>
      <c r="G613">
        <v>0</v>
      </c>
      <c r="H613">
        <v>0</v>
      </c>
      <c r="I613">
        <v>3910</v>
      </c>
      <c r="J613">
        <v>4171</v>
      </c>
      <c r="K613">
        <v>0</v>
      </c>
      <c r="L613">
        <v>0</v>
      </c>
      <c r="M613">
        <v>2451</v>
      </c>
      <c r="N613">
        <v>4085</v>
      </c>
      <c r="O613">
        <v>1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 t="s">
        <v>348</v>
      </c>
      <c r="X613">
        <v>6</v>
      </c>
      <c r="Y613" t="s">
        <v>435</v>
      </c>
      <c r="Z613" t="s">
        <v>2323</v>
      </c>
      <c r="AA613" t="s">
        <v>148</v>
      </c>
      <c r="AB613" t="s">
        <v>149</v>
      </c>
      <c r="AC613" t="s">
        <v>152</v>
      </c>
      <c r="AD613">
        <v>4019</v>
      </c>
      <c r="AE613">
        <v>0</v>
      </c>
      <c r="AF613">
        <v>0</v>
      </c>
      <c r="AG613">
        <v>0</v>
      </c>
      <c r="AH613">
        <f t="shared" si="142"/>
        <v>0</v>
      </c>
      <c r="AI613">
        <f t="shared" si="143"/>
        <v>0</v>
      </c>
      <c r="AJ613">
        <f t="shared" si="144"/>
        <v>1</v>
      </c>
      <c r="AK613">
        <f t="shared" si="145"/>
        <v>1</v>
      </c>
      <c r="AL613">
        <f t="shared" si="146"/>
        <v>0</v>
      </c>
      <c r="AM613">
        <f t="shared" si="147"/>
        <v>0</v>
      </c>
      <c r="AN613">
        <f t="shared" si="148"/>
        <v>1</v>
      </c>
      <c r="AO613">
        <f>SUM(AN$2:$AN613)</f>
        <v>612</v>
      </c>
      <c r="AP613" s="5"/>
    </row>
    <row r="614" spans="1:42" customFormat="1" x14ac:dyDescent="0.35">
      <c r="A614" t="s">
        <v>164</v>
      </c>
      <c r="B614" t="s">
        <v>1250</v>
      </c>
      <c r="C614">
        <v>9500</v>
      </c>
      <c r="D614" t="s">
        <v>2324</v>
      </c>
      <c r="E614">
        <v>796</v>
      </c>
      <c r="F614">
        <v>3083</v>
      </c>
      <c r="G614">
        <v>0</v>
      </c>
      <c r="H614">
        <v>0</v>
      </c>
      <c r="I614">
        <v>3994</v>
      </c>
      <c r="J614">
        <v>0</v>
      </c>
      <c r="K614">
        <v>4260</v>
      </c>
      <c r="L614">
        <v>0</v>
      </c>
      <c r="M614">
        <v>2504</v>
      </c>
      <c r="N614">
        <v>4173</v>
      </c>
      <c r="O614">
        <v>1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 t="s">
        <v>159</v>
      </c>
      <c r="X614">
        <v>6</v>
      </c>
      <c r="Y614" t="s">
        <v>437</v>
      </c>
      <c r="Z614" t="s">
        <v>2325</v>
      </c>
      <c r="AA614" t="s">
        <v>149</v>
      </c>
      <c r="AB614" t="s">
        <v>148</v>
      </c>
      <c r="AC614" t="s">
        <v>152</v>
      </c>
      <c r="AD614">
        <v>4105</v>
      </c>
      <c r="AE614">
        <v>0</v>
      </c>
      <c r="AF614">
        <v>0</v>
      </c>
      <c r="AG614">
        <v>0</v>
      </c>
      <c r="AH614">
        <f t="shared" si="142"/>
        <v>0</v>
      </c>
      <c r="AI614">
        <f t="shared" si="143"/>
        <v>0</v>
      </c>
      <c r="AJ614">
        <f t="shared" si="144"/>
        <v>1</v>
      </c>
      <c r="AK614">
        <f t="shared" si="145"/>
        <v>0</v>
      </c>
      <c r="AL614">
        <f t="shared" si="146"/>
        <v>1</v>
      </c>
      <c r="AM614">
        <f t="shared" si="147"/>
        <v>0</v>
      </c>
      <c r="AN614">
        <f t="shared" si="148"/>
        <v>1</v>
      </c>
      <c r="AO614">
        <f>SUM(AN$2:$AN614)</f>
        <v>613</v>
      </c>
      <c r="AP614" s="5"/>
    </row>
    <row r="615" spans="1:42" customFormat="1" x14ac:dyDescent="0.35">
      <c r="A615" t="s">
        <v>164</v>
      </c>
      <c r="B615" t="s">
        <v>1290</v>
      </c>
      <c r="C615">
        <v>9600</v>
      </c>
      <c r="D615" t="s">
        <v>1291</v>
      </c>
      <c r="E615">
        <v>804</v>
      </c>
      <c r="F615">
        <v>3115</v>
      </c>
      <c r="G615">
        <v>4036</v>
      </c>
      <c r="H615">
        <v>0</v>
      </c>
      <c r="I615">
        <v>0</v>
      </c>
      <c r="J615">
        <v>4305</v>
      </c>
      <c r="K615">
        <v>0</v>
      </c>
      <c r="L615">
        <v>0</v>
      </c>
      <c r="M615">
        <v>2530</v>
      </c>
      <c r="N615">
        <v>4217</v>
      </c>
      <c r="O615">
        <v>1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 t="s">
        <v>350</v>
      </c>
      <c r="X615">
        <v>6</v>
      </c>
      <c r="Y615" t="s">
        <v>443</v>
      </c>
      <c r="Z615" t="s">
        <v>2326</v>
      </c>
      <c r="AA615" t="s">
        <v>149</v>
      </c>
      <c r="AB615" t="s">
        <v>148</v>
      </c>
      <c r="AC615" t="s">
        <v>152</v>
      </c>
      <c r="AD615">
        <v>4148</v>
      </c>
      <c r="AE615">
        <v>0</v>
      </c>
      <c r="AF615">
        <v>0</v>
      </c>
      <c r="AG615">
        <v>0</v>
      </c>
      <c r="AH615">
        <f t="shared" si="142"/>
        <v>1</v>
      </c>
      <c r="AI615">
        <f t="shared" si="143"/>
        <v>0</v>
      </c>
      <c r="AJ615">
        <f t="shared" si="144"/>
        <v>0</v>
      </c>
      <c r="AK615">
        <f t="shared" si="145"/>
        <v>1</v>
      </c>
      <c r="AL615">
        <f t="shared" si="146"/>
        <v>0</v>
      </c>
      <c r="AM615">
        <f t="shared" si="147"/>
        <v>0</v>
      </c>
      <c r="AN615">
        <f t="shared" si="148"/>
        <v>1</v>
      </c>
      <c r="AO615">
        <f>SUM(AN$2:$AN615)</f>
        <v>614</v>
      </c>
      <c r="AP615" s="5"/>
    </row>
    <row r="616" spans="1:42" x14ac:dyDescent="0.35">
      <c r="A616" t="s">
        <v>164</v>
      </c>
      <c r="B616" t="s">
        <v>1261</v>
      </c>
      <c r="C616">
        <v>9600</v>
      </c>
      <c r="D616" t="s">
        <v>1262</v>
      </c>
      <c r="E616">
        <v>804</v>
      </c>
      <c r="F616">
        <v>3115</v>
      </c>
      <c r="G616">
        <v>4036</v>
      </c>
      <c r="H616">
        <v>0</v>
      </c>
      <c r="I616">
        <v>0</v>
      </c>
      <c r="J616">
        <v>0</v>
      </c>
      <c r="K616">
        <v>4305</v>
      </c>
      <c r="L616">
        <v>0</v>
      </c>
      <c r="M616">
        <v>2530</v>
      </c>
      <c r="N616">
        <v>4217</v>
      </c>
      <c r="O616">
        <v>1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 t="s">
        <v>157</v>
      </c>
      <c r="X616">
        <v>6</v>
      </c>
      <c r="Y616" t="s">
        <v>1336</v>
      </c>
      <c r="Z616" t="s">
        <v>2327</v>
      </c>
      <c r="AA616" t="s">
        <v>151</v>
      </c>
      <c r="AB616" t="s">
        <v>150</v>
      </c>
      <c r="AC616" t="s">
        <v>148</v>
      </c>
      <c r="AD616">
        <v>4148</v>
      </c>
      <c r="AE616">
        <v>0</v>
      </c>
      <c r="AF616">
        <v>0</v>
      </c>
      <c r="AG616">
        <v>0</v>
      </c>
      <c r="AH616">
        <f t="shared" si="142"/>
        <v>1</v>
      </c>
      <c r="AI616">
        <f t="shared" si="143"/>
        <v>0</v>
      </c>
      <c r="AJ616">
        <f t="shared" si="144"/>
        <v>0</v>
      </c>
      <c r="AK616">
        <f t="shared" si="145"/>
        <v>0</v>
      </c>
      <c r="AL616">
        <f t="shared" si="146"/>
        <v>1</v>
      </c>
      <c r="AM616">
        <f t="shared" si="147"/>
        <v>0</v>
      </c>
      <c r="AN616">
        <f t="shared" si="148"/>
        <v>1</v>
      </c>
      <c r="AO616">
        <f>SUM(AN$2:$AN616)</f>
        <v>615</v>
      </c>
    </row>
    <row r="617" spans="1:42" x14ac:dyDescent="0.35">
      <c r="A617" t="s">
        <v>164</v>
      </c>
      <c r="B617" t="s">
        <v>1241</v>
      </c>
      <c r="C617">
        <v>9800</v>
      </c>
      <c r="D617" t="s">
        <v>2560</v>
      </c>
      <c r="E617">
        <v>1141</v>
      </c>
      <c r="F617">
        <v>4274</v>
      </c>
      <c r="G617">
        <v>4610</v>
      </c>
      <c r="H617">
        <v>0</v>
      </c>
      <c r="I617">
        <v>4928</v>
      </c>
      <c r="J617">
        <v>0</v>
      </c>
      <c r="K617">
        <v>0</v>
      </c>
      <c r="L617">
        <v>1590</v>
      </c>
      <c r="M617">
        <v>3588</v>
      </c>
      <c r="N617">
        <v>5980</v>
      </c>
      <c r="O617">
        <v>1</v>
      </c>
      <c r="P617">
        <v>1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 t="s">
        <v>448</v>
      </c>
      <c r="X617">
        <v>8</v>
      </c>
      <c r="Y617" t="s">
        <v>437</v>
      </c>
      <c r="Z617" t="s">
        <v>2561</v>
      </c>
      <c r="AA617" t="s">
        <v>149</v>
      </c>
      <c r="AB617" t="s">
        <v>148</v>
      </c>
      <c r="AC617" t="s">
        <v>152</v>
      </c>
      <c r="AD617">
        <v>5882</v>
      </c>
      <c r="AE617">
        <v>0</v>
      </c>
      <c r="AF617">
        <v>0</v>
      </c>
      <c r="AG617">
        <v>0</v>
      </c>
      <c r="AH617">
        <f t="shared" si="142"/>
        <v>1</v>
      </c>
      <c r="AI617">
        <f t="shared" si="143"/>
        <v>0</v>
      </c>
      <c r="AJ617">
        <f t="shared" si="144"/>
        <v>1</v>
      </c>
      <c r="AK617">
        <f t="shared" si="145"/>
        <v>0</v>
      </c>
      <c r="AL617">
        <f t="shared" si="146"/>
        <v>0</v>
      </c>
      <c r="AM617">
        <f t="shared" si="147"/>
        <v>1</v>
      </c>
      <c r="AN617">
        <f t="shared" si="148"/>
        <v>1</v>
      </c>
      <c r="AO617">
        <f>SUM(AN$2:$AN617)</f>
        <v>616</v>
      </c>
    </row>
    <row r="618" spans="1:42" x14ac:dyDescent="0.35">
      <c r="A618" t="s">
        <v>164</v>
      </c>
      <c r="B618" t="s">
        <v>1253</v>
      </c>
      <c r="C618">
        <v>10000</v>
      </c>
      <c r="D618" t="s">
        <v>2328</v>
      </c>
      <c r="E618">
        <v>838</v>
      </c>
      <c r="F618">
        <v>3245</v>
      </c>
      <c r="G618">
        <v>0</v>
      </c>
      <c r="H618">
        <v>0</v>
      </c>
      <c r="I618">
        <v>4204</v>
      </c>
      <c r="J618">
        <v>4485</v>
      </c>
      <c r="K618">
        <v>0</v>
      </c>
      <c r="L618">
        <v>0</v>
      </c>
      <c r="M618">
        <v>2636</v>
      </c>
      <c r="N618">
        <v>4393</v>
      </c>
      <c r="O618">
        <v>1</v>
      </c>
      <c r="P618">
        <v>1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 t="s">
        <v>348</v>
      </c>
      <c r="X618">
        <v>6</v>
      </c>
      <c r="Y618" t="s">
        <v>435</v>
      </c>
      <c r="Z618" t="s">
        <v>2329</v>
      </c>
      <c r="AA618" t="s">
        <v>148</v>
      </c>
      <c r="AB618" t="s">
        <v>149</v>
      </c>
      <c r="AC618" t="s">
        <v>152</v>
      </c>
      <c r="AD618">
        <v>4321</v>
      </c>
      <c r="AE618">
        <v>0</v>
      </c>
      <c r="AF618">
        <v>0</v>
      </c>
      <c r="AG618">
        <v>0</v>
      </c>
      <c r="AH618">
        <f t="shared" si="142"/>
        <v>0</v>
      </c>
      <c r="AI618">
        <f t="shared" si="143"/>
        <v>0</v>
      </c>
      <c r="AJ618">
        <f t="shared" si="144"/>
        <v>1</v>
      </c>
      <c r="AK618">
        <f t="shared" si="145"/>
        <v>1</v>
      </c>
      <c r="AL618">
        <f t="shared" si="146"/>
        <v>0</v>
      </c>
      <c r="AM618">
        <f t="shared" si="147"/>
        <v>0</v>
      </c>
      <c r="AN618">
        <f t="shared" si="148"/>
        <v>1</v>
      </c>
      <c r="AO618">
        <f>SUM(AN$2:$AN618)</f>
        <v>617</v>
      </c>
    </row>
    <row r="619" spans="1:42" x14ac:dyDescent="0.35">
      <c r="A619" t="s">
        <v>164</v>
      </c>
      <c r="B619" t="s">
        <v>1254</v>
      </c>
      <c r="C619">
        <v>10000</v>
      </c>
      <c r="D619" t="s">
        <v>2330</v>
      </c>
      <c r="E619">
        <v>838</v>
      </c>
      <c r="F619">
        <v>3245</v>
      </c>
      <c r="G619">
        <v>0</v>
      </c>
      <c r="H619">
        <v>0</v>
      </c>
      <c r="I619">
        <v>0</v>
      </c>
      <c r="J619">
        <v>4485</v>
      </c>
      <c r="K619">
        <v>0</v>
      </c>
      <c r="L619">
        <v>4204</v>
      </c>
      <c r="M619">
        <v>2636</v>
      </c>
      <c r="N619">
        <v>4393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349</v>
      </c>
      <c r="X619">
        <v>6</v>
      </c>
      <c r="Y619" t="s">
        <v>435</v>
      </c>
      <c r="Z619" t="s">
        <v>2331</v>
      </c>
      <c r="AA619" t="s">
        <v>148</v>
      </c>
      <c r="AB619" t="s">
        <v>150</v>
      </c>
      <c r="AC619" t="s">
        <v>149</v>
      </c>
      <c r="AD619">
        <v>4321</v>
      </c>
      <c r="AE619">
        <v>0</v>
      </c>
      <c r="AF619">
        <v>0</v>
      </c>
      <c r="AG619">
        <v>0</v>
      </c>
      <c r="AH619">
        <f t="shared" si="142"/>
        <v>0</v>
      </c>
      <c r="AI619">
        <f t="shared" si="143"/>
        <v>0</v>
      </c>
      <c r="AJ619">
        <f t="shared" si="144"/>
        <v>0</v>
      </c>
      <c r="AK619">
        <f t="shared" si="145"/>
        <v>1</v>
      </c>
      <c r="AL619">
        <f t="shared" si="146"/>
        <v>0</v>
      </c>
      <c r="AM619">
        <f t="shared" si="147"/>
        <v>1</v>
      </c>
      <c r="AN619">
        <f t="shared" si="148"/>
        <v>1</v>
      </c>
      <c r="AO619">
        <f>SUM(AN$2:$AN619)</f>
        <v>618</v>
      </c>
    </row>
    <row r="620" spans="1:42" x14ac:dyDescent="0.35">
      <c r="A620" t="s">
        <v>164</v>
      </c>
      <c r="B620" t="s">
        <v>1255</v>
      </c>
      <c r="C620">
        <v>10000</v>
      </c>
      <c r="D620" t="s">
        <v>2332</v>
      </c>
      <c r="E620">
        <v>838</v>
      </c>
      <c r="F620">
        <v>3245</v>
      </c>
      <c r="G620">
        <v>0</v>
      </c>
      <c r="H620">
        <v>0</v>
      </c>
      <c r="I620">
        <v>0</v>
      </c>
      <c r="J620">
        <v>4485</v>
      </c>
      <c r="K620">
        <v>0</v>
      </c>
      <c r="L620">
        <v>4204</v>
      </c>
      <c r="M620">
        <v>2636</v>
      </c>
      <c r="N620">
        <v>4393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349</v>
      </c>
      <c r="X620">
        <v>6</v>
      </c>
      <c r="Y620" t="s">
        <v>435</v>
      </c>
      <c r="Z620" t="s">
        <v>2333</v>
      </c>
      <c r="AA620" t="s">
        <v>148</v>
      </c>
      <c r="AB620" t="s">
        <v>150</v>
      </c>
      <c r="AC620" t="s">
        <v>149</v>
      </c>
      <c r="AD620">
        <v>4321</v>
      </c>
      <c r="AE620">
        <v>0</v>
      </c>
      <c r="AF620">
        <v>0</v>
      </c>
      <c r="AG620">
        <v>0</v>
      </c>
      <c r="AH620">
        <f t="shared" si="142"/>
        <v>0</v>
      </c>
      <c r="AI620">
        <f t="shared" si="143"/>
        <v>0</v>
      </c>
      <c r="AJ620">
        <f t="shared" si="144"/>
        <v>0</v>
      </c>
      <c r="AK620">
        <f t="shared" si="145"/>
        <v>1</v>
      </c>
      <c r="AL620">
        <f t="shared" si="146"/>
        <v>0</v>
      </c>
      <c r="AM620">
        <f t="shared" si="147"/>
        <v>1</v>
      </c>
      <c r="AN620">
        <f t="shared" si="148"/>
        <v>1</v>
      </c>
      <c r="AO620">
        <f>SUM(AN$2:$AN620)</f>
        <v>619</v>
      </c>
    </row>
    <row r="621" spans="1:42" x14ac:dyDescent="0.35">
      <c r="A621" t="s">
        <v>164</v>
      </c>
      <c r="B621" t="s">
        <v>1256</v>
      </c>
      <c r="C621">
        <v>10000</v>
      </c>
      <c r="D621" t="s">
        <v>2334</v>
      </c>
      <c r="E621">
        <v>838</v>
      </c>
      <c r="F621">
        <v>3245</v>
      </c>
      <c r="G621">
        <v>0</v>
      </c>
      <c r="H621">
        <v>0</v>
      </c>
      <c r="I621">
        <v>4204</v>
      </c>
      <c r="J621">
        <v>0</v>
      </c>
      <c r="K621">
        <v>4485</v>
      </c>
      <c r="L621">
        <v>0</v>
      </c>
      <c r="M621">
        <v>2636</v>
      </c>
      <c r="N621">
        <v>4393</v>
      </c>
      <c r="O621">
        <v>1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 t="s">
        <v>159</v>
      </c>
      <c r="X621">
        <v>6</v>
      </c>
      <c r="Y621" t="s">
        <v>435</v>
      </c>
      <c r="Z621" t="s">
        <v>2335</v>
      </c>
      <c r="AA621" t="s">
        <v>149</v>
      </c>
      <c r="AB621" t="s">
        <v>148</v>
      </c>
      <c r="AC621" t="s">
        <v>152</v>
      </c>
      <c r="AD621">
        <v>4321</v>
      </c>
      <c r="AE621">
        <v>0</v>
      </c>
      <c r="AF621">
        <v>0</v>
      </c>
      <c r="AG621">
        <v>0</v>
      </c>
      <c r="AH621">
        <f t="shared" si="142"/>
        <v>0</v>
      </c>
      <c r="AI621">
        <f t="shared" si="143"/>
        <v>0</v>
      </c>
      <c r="AJ621">
        <f t="shared" si="144"/>
        <v>1</v>
      </c>
      <c r="AK621">
        <f t="shared" si="145"/>
        <v>0</v>
      </c>
      <c r="AL621">
        <f t="shared" si="146"/>
        <v>1</v>
      </c>
      <c r="AM621">
        <f t="shared" si="147"/>
        <v>0</v>
      </c>
      <c r="AN621">
        <f t="shared" si="148"/>
        <v>1</v>
      </c>
      <c r="AO621">
        <f>SUM(AN$2:$AN621)</f>
        <v>620</v>
      </c>
    </row>
    <row r="622" spans="1:42" x14ac:dyDescent="0.35">
      <c r="A622" t="s">
        <v>164</v>
      </c>
      <c r="B622" t="s">
        <v>1257</v>
      </c>
      <c r="C622">
        <v>10000</v>
      </c>
      <c r="D622" t="s">
        <v>2336</v>
      </c>
      <c r="E622">
        <v>838</v>
      </c>
      <c r="F622">
        <v>3245</v>
      </c>
      <c r="G622">
        <v>0</v>
      </c>
      <c r="H622">
        <v>0</v>
      </c>
      <c r="I622">
        <v>4204</v>
      </c>
      <c r="J622">
        <v>0</v>
      </c>
      <c r="K622">
        <v>4485</v>
      </c>
      <c r="L622">
        <v>0</v>
      </c>
      <c r="M622">
        <v>2636</v>
      </c>
      <c r="N622">
        <v>4393</v>
      </c>
      <c r="O622">
        <v>1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 t="s">
        <v>159</v>
      </c>
      <c r="X622">
        <v>6</v>
      </c>
      <c r="Y622" t="s">
        <v>435</v>
      </c>
      <c r="Z622" t="s">
        <v>2337</v>
      </c>
      <c r="AA622" t="s">
        <v>149</v>
      </c>
      <c r="AB622" t="s">
        <v>148</v>
      </c>
      <c r="AC622" t="s">
        <v>152</v>
      </c>
      <c r="AD622">
        <v>4321</v>
      </c>
      <c r="AE622">
        <v>0</v>
      </c>
      <c r="AF622">
        <v>0</v>
      </c>
      <c r="AG622">
        <v>0</v>
      </c>
      <c r="AH622">
        <f t="shared" si="142"/>
        <v>0</v>
      </c>
      <c r="AI622">
        <f t="shared" si="143"/>
        <v>0</v>
      </c>
      <c r="AJ622">
        <f t="shared" si="144"/>
        <v>1</v>
      </c>
      <c r="AK622">
        <f t="shared" si="145"/>
        <v>0</v>
      </c>
      <c r="AL622">
        <f t="shared" si="146"/>
        <v>1</v>
      </c>
      <c r="AM622">
        <f t="shared" si="147"/>
        <v>0</v>
      </c>
      <c r="AN622">
        <f t="shared" si="148"/>
        <v>1</v>
      </c>
      <c r="AO622">
        <f>SUM(AN$2:$AN622)</f>
        <v>621</v>
      </c>
    </row>
    <row r="623" spans="1:42" x14ac:dyDescent="0.35">
      <c r="A623" t="s">
        <v>164</v>
      </c>
      <c r="B623" t="s">
        <v>1263</v>
      </c>
      <c r="C623">
        <v>10000</v>
      </c>
      <c r="D623" t="s">
        <v>1264</v>
      </c>
      <c r="E623">
        <v>838</v>
      </c>
      <c r="F623">
        <v>3245</v>
      </c>
      <c r="G623">
        <v>0</v>
      </c>
      <c r="H623">
        <v>0</v>
      </c>
      <c r="I623">
        <v>4204</v>
      </c>
      <c r="J623">
        <v>0</v>
      </c>
      <c r="K623">
        <v>4485</v>
      </c>
      <c r="L623">
        <v>0</v>
      </c>
      <c r="M623">
        <v>2636</v>
      </c>
      <c r="N623">
        <v>4393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 t="s">
        <v>159</v>
      </c>
      <c r="X623">
        <v>6</v>
      </c>
      <c r="Y623" t="s">
        <v>439</v>
      </c>
      <c r="Z623" t="s">
        <v>2338</v>
      </c>
      <c r="AA623" t="s">
        <v>149</v>
      </c>
      <c r="AB623" t="s">
        <v>148</v>
      </c>
      <c r="AC623" t="s">
        <v>152</v>
      </c>
      <c r="AD623">
        <v>4321</v>
      </c>
      <c r="AE623">
        <v>0</v>
      </c>
      <c r="AF623">
        <v>0</v>
      </c>
      <c r="AG623">
        <v>0</v>
      </c>
      <c r="AH623">
        <f t="shared" si="142"/>
        <v>0</v>
      </c>
      <c r="AI623">
        <f t="shared" si="143"/>
        <v>0</v>
      </c>
      <c r="AJ623">
        <f t="shared" si="144"/>
        <v>1</v>
      </c>
      <c r="AK623">
        <f t="shared" si="145"/>
        <v>0</v>
      </c>
      <c r="AL623">
        <f t="shared" si="146"/>
        <v>1</v>
      </c>
      <c r="AM623">
        <f t="shared" si="147"/>
        <v>0</v>
      </c>
      <c r="AN623">
        <f t="shared" si="148"/>
        <v>1</v>
      </c>
      <c r="AO623">
        <f>SUM(AN$2:$AN623)</f>
        <v>622</v>
      </c>
    </row>
    <row r="624" spans="1:42" x14ac:dyDescent="0.35">
      <c r="A624" t="s">
        <v>164</v>
      </c>
      <c r="B624" t="s">
        <v>1499</v>
      </c>
      <c r="C624">
        <v>10000</v>
      </c>
      <c r="D624" t="s">
        <v>1500</v>
      </c>
      <c r="E624">
        <v>838</v>
      </c>
      <c r="F624">
        <v>3245</v>
      </c>
      <c r="G624">
        <v>0</v>
      </c>
      <c r="H624">
        <v>0</v>
      </c>
      <c r="I624">
        <v>4204</v>
      </c>
      <c r="J624">
        <v>0</v>
      </c>
      <c r="K624">
        <v>4485</v>
      </c>
      <c r="L624">
        <v>0</v>
      </c>
      <c r="M624">
        <v>2636</v>
      </c>
      <c r="N624">
        <v>4393</v>
      </c>
      <c r="O624">
        <v>1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 t="s">
        <v>159</v>
      </c>
      <c r="X624">
        <v>6</v>
      </c>
      <c r="Y624" t="s">
        <v>434</v>
      </c>
      <c r="Z624" t="s">
        <v>2339</v>
      </c>
      <c r="AA624" t="s">
        <v>149</v>
      </c>
      <c r="AB624" t="s">
        <v>148</v>
      </c>
      <c r="AC624" t="s">
        <v>152</v>
      </c>
      <c r="AD624">
        <v>4321</v>
      </c>
      <c r="AE624">
        <v>0</v>
      </c>
      <c r="AF624">
        <v>0</v>
      </c>
      <c r="AG624">
        <v>0</v>
      </c>
      <c r="AH624">
        <f t="shared" si="142"/>
        <v>0</v>
      </c>
      <c r="AI624">
        <f t="shared" si="143"/>
        <v>0</v>
      </c>
      <c r="AJ624">
        <f t="shared" si="144"/>
        <v>1</v>
      </c>
      <c r="AK624">
        <f t="shared" si="145"/>
        <v>0</v>
      </c>
      <c r="AL624">
        <f t="shared" si="146"/>
        <v>1</v>
      </c>
      <c r="AM624">
        <f t="shared" si="147"/>
        <v>0</v>
      </c>
      <c r="AN624">
        <f t="shared" si="148"/>
        <v>1</v>
      </c>
      <c r="AO624">
        <f>SUM(AN$2:$AN624)</f>
        <v>623</v>
      </c>
    </row>
    <row r="625" spans="1:41" x14ac:dyDescent="0.35">
      <c r="A625" t="s">
        <v>164</v>
      </c>
      <c r="B625" t="s">
        <v>1258</v>
      </c>
      <c r="C625">
        <v>10000</v>
      </c>
      <c r="D625" t="s">
        <v>2340</v>
      </c>
      <c r="E625">
        <v>838</v>
      </c>
      <c r="F625">
        <v>3245</v>
      </c>
      <c r="G625">
        <v>4204</v>
      </c>
      <c r="H625">
        <v>0</v>
      </c>
      <c r="I625">
        <v>0</v>
      </c>
      <c r="J625">
        <v>4485</v>
      </c>
      <c r="K625">
        <v>0</v>
      </c>
      <c r="L625">
        <v>0</v>
      </c>
      <c r="M625">
        <v>2636</v>
      </c>
      <c r="N625">
        <v>4393</v>
      </c>
      <c r="O625">
        <v>1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 t="s">
        <v>350</v>
      </c>
      <c r="X625">
        <v>6</v>
      </c>
      <c r="Y625" t="s">
        <v>435</v>
      </c>
      <c r="Z625" t="s">
        <v>2341</v>
      </c>
      <c r="AA625" t="s">
        <v>149</v>
      </c>
      <c r="AB625" t="s">
        <v>148</v>
      </c>
      <c r="AC625" t="s">
        <v>152</v>
      </c>
      <c r="AD625">
        <v>4321</v>
      </c>
      <c r="AE625">
        <v>0</v>
      </c>
      <c r="AF625">
        <v>0</v>
      </c>
      <c r="AG625">
        <v>0</v>
      </c>
      <c r="AH625">
        <f t="shared" si="142"/>
        <v>1</v>
      </c>
      <c r="AI625">
        <f t="shared" si="143"/>
        <v>0</v>
      </c>
      <c r="AJ625">
        <f t="shared" si="144"/>
        <v>0</v>
      </c>
      <c r="AK625">
        <f t="shared" si="145"/>
        <v>1</v>
      </c>
      <c r="AL625">
        <f t="shared" si="146"/>
        <v>0</v>
      </c>
      <c r="AM625">
        <f t="shared" si="147"/>
        <v>0</v>
      </c>
      <c r="AN625">
        <f t="shared" si="148"/>
        <v>1</v>
      </c>
      <c r="AO625">
        <f>SUM(AN$2:$AN625)</f>
        <v>624</v>
      </c>
    </row>
    <row r="626" spans="1:41" x14ac:dyDescent="0.35">
      <c r="A626" t="s">
        <v>164</v>
      </c>
      <c r="B626" t="s">
        <v>1259</v>
      </c>
      <c r="C626">
        <v>10000</v>
      </c>
      <c r="D626" t="s">
        <v>2342</v>
      </c>
      <c r="E626">
        <v>838</v>
      </c>
      <c r="F626">
        <v>3245</v>
      </c>
      <c r="G626">
        <v>4204</v>
      </c>
      <c r="H626">
        <v>0</v>
      </c>
      <c r="I626">
        <v>0</v>
      </c>
      <c r="J626">
        <v>4485</v>
      </c>
      <c r="K626">
        <v>0</v>
      </c>
      <c r="L626">
        <v>0</v>
      </c>
      <c r="M626">
        <v>2636</v>
      </c>
      <c r="N626">
        <v>4393</v>
      </c>
      <c r="O626">
        <v>1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 t="s">
        <v>350</v>
      </c>
      <c r="X626">
        <v>6</v>
      </c>
      <c r="Y626" t="s">
        <v>435</v>
      </c>
      <c r="Z626" t="s">
        <v>2343</v>
      </c>
      <c r="AA626" t="s">
        <v>149</v>
      </c>
      <c r="AB626" t="s">
        <v>148</v>
      </c>
      <c r="AC626" t="s">
        <v>152</v>
      </c>
      <c r="AD626">
        <v>4321</v>
      </c>
      <c r="AE626">
        <v>0</v>
      </c>
      <c r="AF626">
        <v>0</v>
      </c>
      <c r="AG626">
        <v>0</v>
      </c>
      <c r="AH626">
        <f t="shared" si="142"/>
        <v>1</v>
      </c>
      <c r="AI626">
        <f t="shared" si="143"/>
        <v>0</v>
      </c>
      <c r="AJ626">
        <f t="shared" si="144"/>
        <v>0</v>
      </c>
      <c r="AK626">
        <f t="shared" si="145"/>
        <v>1</v>
      </c>
      <c r="AL626">
        <f t="shared" si="146"/>
        <v>0</v>
      </c>
      <c r="AM626">
        <f t="shared" si="147"/>
        <v>0</v>
      </c>
      <c r="AN626">
        <f t="shared" si="148"/>
        <v>1</v>
      </c>
      <c r="AO626">
        <f>SUM(AN$2:$AN626)</f>
        <v>625</v>
      </c>
    </row>
    <row r="627" spans="1:41" x14ac:dyDescent="0.35">
      <c r="A627" t="s">
        <v>164</v>
      </c>
      <c r="B627" t="s">
        <v>1260</v>
      </c>
      <c r="C627">
        <v>10000</v>
      </c>
      <c r="D627" t="s">
        <v>1265</v>
      </c>
      <c r="E627">
        <v>838</v>
      </c>
      <c r="F627">
        <v>3245</v>
      </c>
      <c r="G627">
        <v>4204</v>
      </c>
      <c r="H627">
        <v>0</v>
      </c>
      <c r="I627">
        <v>0</v>
      </c>
      <c r="J627">
        <v>4485</v>
      </c>
      <c r="K627">
        <v>0</v>
      </c>
      <c r="L627">
        <v>0</v>
      </c>
      <c r="M627">
        <v>2636</v>
      </c>
      <c r="N627">
        <v>4393</v>
      </c>
      <c r="O627">
        <v>1</v>
      </c>
      <c r="P627">
        <v>1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 t="s">
        <v>350</v>
      </c>
      <c r="X627">
        <v>6</v>
      </c>
      <c r="Y627" t="s">
        <v>443</v>
      </c>
      <c r="Z627" t="s">
        <v>2344</v>
      </c>
      <c r="AA627" t="s">
        <v>149</v>
      </c>
      <c r="AB627" t="s">
        <v>148</v>
      </c>
      <c r="AC627" t="s">
        <v>152</v>
      </c>
      <c r="AD627">
        <v>4321</v>
      </c>
      <c r="AE627">
        <v>0</v>
      </c>
      <c r="AF627">
        <v>0</v>
      </c>
      <c r="AG627">
        <v>0</v>
      </c>
      <c r="AH627">
        <f t="shared" si="142"/>
        <v>1</v>
      </c>
      <c r="AI627">
        <f t="shared" si="143"/>
        <v>0</v>
      </c>
      <c r="AJ627">
        <f t="shared" si="144"/>
        <v>0</v>
      </c>
      <c r="AK627">
        <f t="shared" si="145"/>
        <v>1</v>
      </c>
      <c r="AL627">
        <f t="shared" si="146"/>
        <v>0</v>
      </c>
      <c r="AM627">
        <f t="shared" si="147"/>
        <v>0</v>
      </c>
      <c r="AN627">
        <f t="shared" si="148"/>
        <v>1</v>
      </c>
      <c r="AO627">
        <f>SUM(AN$2:$AN627)</f>
        <v>626</v>
      </c>
    </row>
    <row r="628" spans="1:41" x14ac:dyDescent="0.35">
      <c r="A628" t="s">
        <v>164</v>
      </c>
      <c r="B628" t="s">
        <v>1266</v>
      </c>
      <c r="C628">
        <v>10150</v>
      </c>
      <c r="D628" t="s">
        <v>1267</v>
      </c>
      <c r="E628">
        <v>851</v>
      </c>
      <c r="F628">
        <v>3294</v>
      </c>
      <c r="G628">
        <v>4267</v>
      </c>
      <c r="H628">
        <v>0</v>
      </c>
      <c r="I628">
        <v>0</v>
      </c>
      <c r="J628">
        <v>0</v>
      </c>
      <c r="K628">
        <v>4552</v>
      </c>
      <c r="L628">
        <v>0</v>
      </c>
      <c r="M628">
        <v>2675</v>
      </c>
      <c r="N628">
        <v>4459</v>
      </c>
      <c r="O628">
        <v>1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 t="s">
        <v>157</v>
      </c>
      <c r="X628">
        <v>6</v>
      </c>
      <c r="Y628" t="s">
        <v>435</v>
      </c>
      <c r="Z628" t="s">
        <v>2345</v>
      </c>
      <c r="AA628" t="s">
        <v>151</v>
      </c>
      <c r="AB628" t="s">
        <v>150</v>
      </c>
      <c r="AC628" t="s">
        <v>148</v>
      </c>
      <c r="AD628">
        <v>4386</v>
      </c>
      <c r="AE628">
        <v>0</v>
      </c>
      <c r="AF628">
        <v>0</v>
      </c>
      <c r="AG628">
        <v>0</v>
      </c>
      <c r="AH628">
        <f t="shared" si="142"/>
        <v>1</v>
      </c>
      <c r="AI628">
        <f t="shared" si="143"/>
        <v>0</v>
      </c>
      <c r="AJ628">
        <f t="shared" si="144"/>
        <v>0</v>
      </c>
      <c r="AK628">
        <f t="shared" si="145"/>
        <v>0</v>
      </c>
      <c r="AL628">
        <f t="shared" si="146"/>
        <v>1</v>
      </c>
      <c r="AM628">
        <f t="shared" si="147"/>
        <v>0</v>
      </c>
      <c r="AN628">
        <f t="shared" si="148"/>
        <v>1</v>
      </c>
      <c r="AO628">
        <f>SUM(AN$2:$AN628)</f>
        <v>627</v>
      </c>
    </row>
    <row r="629" spans="1:41" x14ac:dyDescent="0.35">
      <c r="A629" t="s">
        <v>164</v>
      </c>
      <c r="B629" t="s">
        <v>1241</v>
      </c>
      <c r="C629">
        <v>10300</v>
      </c>
      <c r="D629" t="s">
        <v>2562</v>
      </c>
      <c r="E629">
        <v>1199</v>
      </c>
      <c r="F629">
        <v>4492</v>
      </c>
      <c r="G629">
        <v>4845</v>
      </c>
      <c r="H629">
        <v>0</v>
      </c>
      <c r="I629">
        <v>5179</v>
      </c>
      <c r="J629">
        <v>0</v>
      </c>
      <c r="K629">
        <v>0</v>
      </c>
      <c r="L629">
        <v>1671</v>
      </c>
      <c r="M629">
        <v>3771</v>
      </c>
      <c r="N629">
        <v>6285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 t="s">
        <v>448</v>
      </c>
      <c r="X629">
        <v>8</v>
      </c>
      <c r="Y629" t="s">
        <v>437</v>
      </c>
      <c r="Z629" t="s">
        <v>2563</v>
      </c>
      <c r="AA629" t="s">
        <v>149</v>
      </c>
      <c r="AB629" t="s">
        <v>148</v>
      </c>
      <c r="AC629" t="s">
        <v>152</v>
      </c>
      <c r="AD629">
        <v>6182</v>
      </c>
      <c r="AE629">
        <v>0</v>
      </c>
      <c r="AF629">
        <v>0</v>
      </c>
      <c r="AG629">
        <v>0</v>
      </c>
      <c r="AH629">
        <f t="shared" si="142"/>
        <v>1</v>
      </c>
      <c r="AI629">
        <f t="shared" si="143"/>
        <v>0</v>
      </c>
      <c r="AJ629">
        <f t="shared" si="144"/>
        <v>1</v>
      </c>
      <c r="AK629">
        <f t="shared" si="145"/>
        <v>0</v>
      </c>
      <c r="AL629">
        <f t="shared" si="146"/>
        <v>0</v>
      </c>
      <c r="AM629">
        <f t="shared" si="147"/>
        <v>1</v>
      </c>
      <c r="AN629">
        <f t="shared" si="148"/>
        <v>1</v>
      </c>
      <c r="AO629">
        <f>SUM(AN$2:$AN629)</f>
        <v>628</v>
      </c>
    </row>
    <row r="630" spans="1:41" x14ac:dyDescent="0.35">
      <c r="A630" t="s">
        <v>164</v>
      </c>
      <c r="B630" t="s">
        <v>2564</v>
      </c>
      <c r="C630">
        <v>10400</v>
      </c>
      <c r="D630" t="s">
        <v>2565</v>
      </c>
      <c r="E630">
        <v>871</v>
      </c>
      <c r="F630">
        <v>3375</v>
      </c>
      <c r="G630">
        <v>4373</v>
      </c>
      <c r="H630">
        <v>0</v>
      </c>
      <c r="I630">
        <v>0</v>
      </c>
      <c r="J630">
        <v>0</v>
      </c>
      <c r="K630">
        <v>4664</v>
      </c>
      <c r="L630">
        <v>0</v>
      </c>
      <c r="M630">
        <v>2741</v>
      </c>
      <c r="N630">
        <v>4569</v>
      </c>
      <c r="O630">
        <v>1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 t="s">
        <v>157</v>
      </c>
      <c r="X630">
        <v>6</v>
      </c>
      <c r="Y630" t="s">
        <v>1336</v>
      </c>
      <c r="Z630" t="s">
        <v>2346</v>
      </c>
      <c r="AA630" t="s">
        <v>151</v>
      </c>
      <c r="AB630" t="s">
        <v>150</v>
      </c>
      <c r="AC630" t="s">
        <v>148</v>
      </c>
      <c r="AD630">
        <v>4494</v>
      </c>
      <c r="AE630">
        <v>0</v>
      </c>
      <c r="AF630">
        <v>0</v>
      </c>
      <c r="AG630">
        <v>0</v>
      </c>
      <c r="AH630">
        <f t="shared" si="142"/>
        <v>1</v>
      </c>
      <c r="AI630">
        <f t="shared" si="143"/>
        <v>0</v>
      </c>
      <c r="AJ630">
        <f t="shared" si="144"/>
        <v>0</v>
      </c>
      <c r="AK630">
        <f t="shared" si="145"/>
        <v>0</v>
      </c>
      <c r="AL630">
        <f t="shared" si="146"/>
        <v>1</v>
      </c>
      <c r="AM630">
        <f t="shared" si="147"/>
        <v>0</v>
      </c>
      <c r="AN630">
        <f t="shared" si="148"/>
        <v>1</v>
      </c>
      <c r="AO630">
        <f>SUM(AN$2:$AN630)</f>
        <v>629</v>
      </c>
    </row>
    <row r="631" spans="1:41" x14ac:dyDescent="0.35">
      <c r="A631" t="s">
        <v>164</v>
      </c>
      <c r="B631" t="s">
        <v>1501</v>
      </c>
      <c r="C631">
        <v>10600</v>
      </c>
      <c r="D631" t="s">
        <v>1502</v>
      </c>
      <c r="E631">
        <v>888</v>
      </c>
      <c r="F631">
        <v>3440</v>
      </c>
      <c r="G631">
        <v>0</v>
      </c>
      <c r="H631">
        <v>0</v>
      </c>
      <c r="I631">
        <v>4457</v>
      </c>
      <c r="J631">
        <v>4754</v>
      </c>
      <c r="K631">
        <v>0</v>
      </c>
      <c r="L631">
        <v>0</v>
      </c>
      <c r="M631">
        <v>2794</v>
      </c>
      <c r="N631">
        <v>4657</v>
      </c>
      <c r="O631">
        <v>1</v>
      </c>
      <c r="P631">
        <v>1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 t="s">
        <v>1503</v>
      </c>
      <c r="X631">
        <v>4</v>
      </c>
      <c r="Y631" t="s">
        <v>435</v>
      </c>
      <c r="Z631" t="s">
        <v>2347</v>
      </c>
      <c r="AA631" t="s">
        <v>148</v>
      </c>
      <c r="AB631" t="s">
        <v>149</v>
      </c>
      <c r="AC631" t="s">
        <v>152</v>
      </c>
      <c r="AD631">
        <v>4580</v>
      </c>
      <c r="AE631">
        <v>0</v>
      </c>
      <c r="AF631">
        <v>0</v>
      </c>
      <c r="AG631">
        <v>0</v>
      </c>
      <c r="AH631">
        <f t="shared" si="142"/>
        <v>0</v>
      </c>
      <c r="AI631">
        <f t="shared" si="143"/>
        <v>0</v>
      </c>
      <c r="AJ631">
        <f t="shared" si="144"/>
        <v>1</v>
      </c>
      <c r="AK631">
        <f t="shared" si="145"/>
        <v>1</v>
      </c>
      <c r="AL631">
        <f t="shared" si="146"/>
        <v>0</v>
      </c>
      <c r="AM631">
        <f t="shared" si="147"/>
        <v>0</v>
      </c>
      <c r="AN631">
        <f t="shared" si="148"/>
        <v>1</v>
      </c>
      <c r="AO631">
        <f>SUM(AN$2:$AN631)</f>
        <v>630</v>
      </c>
    </row>
    <row r="632" spans="1:41" x14ac:dyDescent="0.35">
      <c r="A632" t="s">
        <v>164</v>
      </c>
      <c r="B632" t="s">
        <v>2566</v>
      </c>
      <c r="C632">
        <v>11000</v>
      </c>
      <c r="D632" t="s">
        <v>2567</v>
      </c>
      <c r="E632">
        <v>922</v>
      </c>
      <c r="F632">
        <v>3569</v>
      </c>
      <c r="G632">
        <v>0</v>
      </c>
      <c r="H632">
        <v>0</v>
      </c>
      <c r="I632">
        <v>4625</v>
      </c>
      <c r="J632">
        <v>0</v>
      </c>
      <c r="K632">
        <v>4933</v>
      </c>
      <c r="L632">
        <v>0</v>
      </c>
      <c r="M632">
        <v>2900</v>
      </c>
      <c r="N632">
        <v>4833</v>
      </c>
      <c r="O632">
        <v>1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 t="s">
        <v>159</v>
      </c>
      <c r="X632">
        <v>6</v>
      </c>
      <c r="Y632" t="s">
        <v>439</v>
      </c>
      <c r="Z632" t="s">
        <v>2348</v>
      </c>
      <c r="AA632" t="s">
        <v>149</v>
      </c>
      <c r="AB632" t="s">
        <v>148</v>
      </c>
      <c r="AC632" t="s">
        <v>152</v>
      </c>
      <c r="AD632">
        <v>4753</v>
      </c>
      <c r="AE632">
        <v>0</v>
      </c>
      <c r="AF632">
        <v>0</v>
      </c>
      <c r="AG632">
        <v>0</v>
      </c>
      <c r="AH632">
        <f t="shared" si="142"/>
        <v>0</v>
      </c>
      <c r="AI632">
        <f t="shared" si="143"/>
        <v>0</v>
      </c>
      <c r="AJ632">
        <f t="shared" si="144"/>
        <v>1</v>
      </c>
      <c r="AK632">
        <f t="shared" si="145"/>
        <v>0</v>
      </c>
      <c r="AL632">
        <f t="shared" si="146"/>
        <v>1</v>
      </c>
      <c r="AM632">
        <f t="shared" si="147"/>
        <v>0</v>
      </c>
      <c r="AN632">
        <f t="shared" si="148"/>
        <v>1</v>
      </c>
      <c r="AO632">
        <f>SUM(AN$2:$AN632)</f>
        <v>631</v>
      </c>
    </row>
    <row r="633" spans="1:41" x14ac:dyDescent="0.35">
      <c r="A633" t="s">
        <v>164</v>
      </c>
      <c r="B633" t="s">
        <v>2568</v>
      </c>
      <c r="C633">
        <v>11000</v>
      </c>
      <c r="D633" t="s">
        <v>2569</v>
      </c>
      <c r="E633">
        <v>922</v>
      </c>
      <c r="F633">
        <v>3569</v>
      </c>
      <c r="G633">
        <v>4625</v>
      </c>
      <c r="H633">
        <v>0</v>
      </c>
      <c r="I633">
        <v>0</v>
      </c>
      <c r="J633">
        <v>4933</v>
      </c>
      <c r="K633">
        <v>0</v>
      </c>
      <c r="L633">
        <v>0</v>
      </c>
      <c r="M633">
        <v>2900</v>
      </c>
      <c r="N633">
        <v>4833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 t="s">
        <v>350</v>
      </c>
      <c r="X633">
        <v>6</v>
      </c>
      <c r="Y633" t="s">
        <v>443</v>
      </c>
      <c r="Z633" t="s">
        <v>2349</v>
      </c>
      <c r="AA633" t="s">
        <v>149</v>
      </c>
      <c r="AB633" t="s">
        <v>148</v>
      </c>
      <c r="AC633" t="s">
        <v>152</v>
      </c>
      <c r="AD633">
        <v>4753</v>
      </c>
      <c r="AE633">
        <v>0</v>
      </c>
      <c r="AF633">
        <v>0</v>
      </c>
      <c r="AG633">
        <v>0</v>
      </c>
      <c r="AH633">
        <f t="shared" si="142"/>
        <v>1</v>
      </c>
      <c r="AI633">
        <f t="shared" si="143"/>
        <v>0</v>
      </c>
      <c r="AJ633">
        <f t="shared" si="144"/>
        <v>0</v>
      </c>
      <c r="AK633">
        <f t="shared" si="145"/>
        <v>1</v>
      </c>
      <c r="AL633">
        <f t="shared" si="146"/>
        <v>0</v>
      </c>
      <c r="AM633">
        <f t="shared" si="147"/>
        <v>0</v>
      </c>
      <c r="AN633">
        <f t="shared" si="148"/>
        <v>1</v>
      </c>
      <c r="AO633">
        <f>SUM(AN$2:$AN633)</f>
        <v>632</v>
      </c>
    </row>
    <row r="634" spans="1:41" x14ac:dyDescent="0.35">
      <c r="A634" t="s">
        <v>164</v>
      </c>
      <c r="B634" t="s">
        <v>1268</v>
      </c>
      <c r="C634">
        <v>11150</v>
      </c>
      <c r="D634" t="s">
        <v>1269</v>
      </c>
      <c r="E634">
        <v>934</v>
      </c>
      <c r="F634">
        <v>3618</v>
      </c>
      <c r="G634">
        <v>0</v>
      </c>
      <c r="H634">
        <v>0</v>
      </c>
      <c r="I634">
        <v>4688</v>
      </c>
      <c r="J634">
        <v>5000</v>
      </c>
      <c r="K634">
        <v>0</v>
      </c>
      <c r="L634">
        <v>0</v>
      </c>
      <c r="M634">
        <v>2939</v>
      </c>
      <c r="N634">
        <v>4898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 t="s">
        <v>348</v>
      </c>
      <c r="X634">
        <v>6</v>
      </c>
      <c r="Y634" t="s">
        <v>436</v>
      </c>
      <c r="Z634" t="s">
        <v>2350</v>
      </c>
      <c r="AA634" t="s">
        <v>148</v>
      </c>
      <c r="AB634" t="s">
        <v>149</v>
      </c>
      <c r="AC634" t="s">
        <v>152</v>
      </c>
      <c r="AD634">
        <v>4818</v>
      </c>
      <c r="AE634">
        <v>0</v>
      </c>
      <c r="AF634">
        <v>0</v>
      </c>
      <c r="AG634">
        <v>0</v>
      </c>
      <c r="AH634">
        <f t="shared" si="142"/>
        <v>0</v>
      </c>
      <c r="AI634">
        <f t="shared" si="143"/>
        <v>0</v>
      </c>
      <c r="AJ634">
        <f t="shared" si="144"/>
        <v>1</v>
      </c>
      <c r="AK634">
        <f t="shared" si="145"/>
        <v>1</v>
      </c>
      <c r="AL634">
        <f t="shared" si="146"/>
        <v>0</v>
      </c>
      <c r="AM634">
        <f t="shared" si="147"/>
        <v>0</v>
      </c>
      <c r="AN634">
        <f t="shared" si="148"/>
        <v>1</v>
      </c>
      <c r="AO634">
        <f>SUM(AN$2:$AN634)</f>
        <v>633</v>
      </c>
    </row>
    <row r="635" spans="1:41" x14ac:dyDescent="0.35">
      <c r="A635" t="s">
        <v>164</v>
      </c>
      <c r="B635" t="s">
        <v>1270</v>
      </c>
      <c r="C635">
        <v>11150</v>
      </c>
      <c r="D635" t="s">
        <v>1271</v>
      </c>
      <c r="E635">
        <v>934</v>
      </c>
      <c r="F635">
        <v>3618</v>
      </c>
      <c r="G635">
        <v>4688</v>
      </c>
      <c r="H635">
        <v>0</v>
      </c>
      <c r="I635">
        <v>0</v>
      </c>
      <c r="J635">
        <v>0</v>
      </c>
      <c r="K635">
        <v>5000</v>
      </c>
      <c r="L635">
        <v>0</v>
      </c>
      <c r="M635">
        <v>2939</v>
      </c>
      <c r="N635">
        <v>4898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 t="s">
        <v>157</v>
      </c>
      <c r="X635">
        <v>6</v>
      </c>
      <c r="Y635" t="s">
        <v>435</v>
      </c>
      <c r="Z635" t="s">
        <v>2351</v>
      </c>
      <c r="AA635" t="s">
        <v>151</v>
      </c>
      <c r="AB635" t="s">
        <v>150</v>
      </c>
      <c r="AC635" t="s">
        <v>148</v>
      </c>
      <c r="AD635">
        <v>4818</v>
      </c>
      <c r="AE635">
        <v>0</v>
      </c>
      <c r="AF635">
        <v>0</v>
      </c>
      <c r="AG635">
        <v>0</v>
      </c>
      <c r="AH635">
        <f t="shared" si="142"/>
        <v>1</v>
      </c>
      <c r="AI635">
        <f t="shared" si="143"/>
        <v>0</v>
      </c>
      <c r="AJ635">
        <f t="shared" si="144"/>
        <v>0</v>
      </c>
      <c r="AK635">
        <f t="shared" si="145"/>
        <v>0</v>
      </c>
      <c r="AL635">
        <f t="shared" si="146"/>
        <v>1</v>
      </c>
      <c r="AM635">
        <f t="shared" si="147"/>
        <v>0</v>
      </c>
      <c r="AN635">
        <f t="shared" si="148"/>
        <v>1</v>
      </c>
      <c r="AO635">
        <f>SUM(AN$2:$AN635)</f>
        <v>634</v>
      </c>
    </row>
    <row r="636" spans="1:41" x14ac:dyDescent="0.35">
      <c r="A636" t="s">
        <v>164</v>
      </c>
      <c r="B636" t="s">
        <v>1272</v>
      </c>
      <c r="C636">
        <v>11150</v>
      </c>
      <c r="D636" t="s">
        <v>1273</v>
      </c>
      <c r="E636">
        <v>934</v>
      </c>
      <c r="F636">
        <v>3618</v>
      </c>
      <c r="G636">
        <v>0</v>
      </c>
      <c r="H636">
        <v>0</v>
      </c>
      <c r="I636">
        <v>4688</v>
      </c>
      <c r="J636">
        <v>0</v>
      </c>
      <c r="K636">
        <v>5000</v>
      </c>
      <c r="L636">
        <v>0</v>
      </c>
      <c r="M636">
        <v>2939</v>
      </c>
      <c r="N636">
        <v>4898</v>
      </c>
      <c r="O636">
        <v>1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 t="s">
        <v>424</v>
      </c>
      <c r="X636">
        <v>4</v>
      </c>
      <c r="Y636" t="s">
        <v>435</v>
      </c>
      <c r="Z636" t="s">
        <v>2352</v>
      </c>
      <c r="AA636" t="s">
        <v>149</v>
      </c>
      <c r="AB636" t="s">
        <v>148</v>
      </c>
      <c r="AC636" t="s">
        <v>152</v>
      </c>
      <c r="AD636">
        <v>4818</v>
      </c>
      <c r="AE636">
        <v>0</v>
      </c>
      <c r="AF636">
        <v>0</v>
      </c>
      <c r="AG636">
        <v>0</v>
      </c>
      <c r="AH636">
        <f t="shared" ref="AH636:AH641" si="149">IF(G636&gt;1,1,0)</f>
        <v>0</v>
      </c>
      <c r="AI636">
        <f t="shared" ref="AI636:AI641" si="150">IF(H636&gt;1,1,0)</f>
        <v>0</v>
      </c>
      <c r="AJ636">
        <f t="shared" ref="AJ636:AJ641" si="151">IF(I636&gt;1,1,0)</f>
        <v>1</v>
      </c>
      <c r="AK636">
        <f t="shared" ref="AK636:AK641" si="152">IF(J636&gt;1,1,0)</f>
        <v>0</v>
      </c>
      <c r="AL636">
        <f t="shared" ref="AL636:AL641" si="153">IF(K636&gt;1,1,0)</f>
        <v>1</v>
      </c>
      <c r="AM636">
        <f t="shared" ref="AM636:AM641" si="154">IF(L636&gt;1,1,0)</f>
        <v>0</v>
      </c>
      <c r="AN636">
        <f t="shared" ref="AN636:AN641" si="155">MIN(1,($AV$2+IF(AND(AH636&gt;=$AP$3,AI636&gt;=$AQ$3,AJ636&gt;=$AR$3,AK636&gt;=$AS$3,AL636&gt;=$AT$3,AM636&gt;=$AU$3),1,0)))</f>
        <v>1</v>
      </c>
      <c r="AO636">
        <f>SUM(AN$2:$AN636)</f>
        <v>635</v>
      </c>
    </row>
    <row r="637" spans="1:41" x14ac:dyDescent="0.35">
      <c r="A637" t="s">
        <v>164</v>
      </c>
      <c r="B637" t="s">
        <v>2353</v>
      </c>
      <c r="C637">
        <v>11300</v>
      </c>
      <c r="D637" t="s">
        <v>2354</v>
      </c>
      <c r="E637">
        <v>947</v>
      </c>
      <c r="F637">
        <v>3667</v>
      </c>
      <c r="G637">
        <v>0</v>
      </c>
      <c r="H637">
        <v>0</v>
      </c>
      <c r="I637">
        <v>4751</v>
      </c>
      <c r="J637">
        <v>5068</v>
      </c>
      <c r="K637">
        <v>0</v>
      </c>
      <c r="L637">
        <v>0</v>
      </c>
      <c r="M637">
        <v>2979</v>
      </c>
      <c r="N637">
        <v>4965</v>
      </c>
      <c r="O637">
        <v>1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 t="s">
        <v>348</v>
      </c>
      <c r="X637">
        <v>6</v>
      </c>
      <c r="Y637" t="s">
        <v>435</v>
      </c>
      <c r="Z637" t="s">
        <v>2355</v>
      </c>
      <c r="AA637" t="s">
        <v>148</v>
      </c>
      <c r="AB637" t="s">
        <v>149</v>
      </c>
      <c r="AC637" t="s">
        <v>152</v>
      </c>
      <c r="AD637">
        <v>4883</v>
      </c>
      <c r="AE637">
        <v>0</v>
      </c>
      <c r="AF637">
        <v>0</v>
      </c>
      <c r="AG637">
        <v>0</v>
      </c>
      <c r="AH637">
        <f t="shared" si="149"/>
        <v>0</v>
      </c>
      <c r="AI637">
        <f t="shared" si="150"/>
        <v>0</v>
      </c>
      <c r="AJ637">
        <f t="shared" si="151"/>
        <v>1</v>
      </c>
      <c r="AK637">
        <f t="shared" si="152"/>
        <v>1</v>
      </c>
      <c r="AL637">
        <f t="shared" si="153"/>
        <v>0</v>
      </c>
      <c r="AM637">
        <f t="shared" si="154"/>
        <v>0</v>
      </c>
      <c r="AN637">
        <f t="shared" si="155"/>
        <v>1</v>
      </c>
      <c r="AO637">
        <f>SUM(AN$2:$AN637)</f>
        <v>636</v>
      </c>
    </row>
    <row r="638" spans="1:41" x14ac:dyDescent="0.35">
      <c r="A638" t="s">
        <v>164</v>
      </c>
      <c r="B638" t="s">
        <v>1274</v>
      </c>
      <c r="C638">
        <v>11300</v>
      </c>
      <c r="D638" t="s">
        <v>1275</v>
      </c>
      <c r="E638">
        <v>947</v>
      </c>
      <c r="F638">
        <v>3667</v>
      </c>
      <c r="G638">
        <v>4751</v>
      </c>
      <c r="H638">
        <v>0</v>
      </c>
      <c r="I638">
        <v>0</v>
      </c>
      <c r="J638">
        <v>5068</v>
      </c>
      <c r="K638">
        <v>0</v>
      </c>
      <c r="L638">
        <v>0</v>
      </c>
      <c r="M638">
        <v>2979</v>
      </c>
      <c r="N638">
        <v>4965</v>
      </c>
      <c r="O638">
        <v>1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 t="s">
        <v>350</v>
      </c>
      <c r="X638">
        <v>6</v>
      </c>
      <c r="Y638" t="s">
        <v>442</v>
      </c>
      <c r="Z638" t="s">
        <v>2356</v>
      </c>
      <c r="AA638" t="s">
        <v>149</v>
      </c>
      <c r="AB638" t="s">
        <v>148</v>
      </c>
      <c r="AC638" t="s">
        <v>152</v>
      </c>
      <c r="AD638">
        <v>4883</v>
      </c>
      <c r="AE638">
        <v>0</v>
      </c>
      <c r="AF638">
        <v>0</v>
      </c>
      <c r="AG638">
        <v>0</v>
      </c>
      <c r="AH638">
        <f t="shared" si="149"/>
        <v>1</v>
      </c>
      <c r="AI638">
        <f t="shared" si="150"/>
        <v>0</v>
      </c>
      <c r="AJ638">
        <f t="shared" si="151"/>
        <v>0</v>
      </c>
      <c r="AK638">
        <f t="shared" si="152"/>
        <v>1</v>
      </c>
      <c r="AL638">
        <f t="shared" si="153"/>
        <v>0</v>
      </c>
      <c r="AM638">
        <f t="shared" si="154"/>
        <v>0</v>
      </c>
      <c r="AN638">
        <f t="shared" si="155"/>
        <v>1</v>
      </c>
      <c r="AO638">
        <f>SUM(AN$2:$AN638)</f>
        <v>637</v>
      </c>
    </row>
    <row r="639" spans="1:41" x14ac:dyDescent="0.35">
      <c r="A639" t="s">
        <v>164</v>
      </c>
      <c r="B639" t="s">
        <v>2570</v>
      </c>
      <c r="C639">
        <v>12450</v>
      </c>
      <c r="D639" t="s">
        <v>2571</v>
      </c>
      <c r="E639">
        <v>1043</v>
      </c>
      <c r="F639">
        <v>4040</v>
      </c>
      <c r="G639">
        <v>0</v>
      </c>
      <c r="H639">
        <v>0</v>
      </c>
      <c r="I639">
        <v>5234</v>
      </c>
      <c r="J639">
        <v>5583</v>
      </c>
      <c r="K639">
        <v>0</v>
      </c>
      <c r="L639">
        <v>0</v>
      </c>
      <c r="M639">
        <v>3282</v>
      </c>
      <c r="N639">
        <v>5470</v>
      </c>
      <c r="O639">
        <v>1</v>
      </c>
      <c r="P639">
        <v>1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 t="s">
        <v>348</v>
      </c>
      <c r="X639">
        <v>6</v>
      </c>
      <c r="Y639" t="s">
        <v>436</v>
      </c>
      <c r="Z639" t="s">
        <v>2357</v>
      </c>
      <c r="AA639" t="s">
        <v>148</v>
      </c>
      <c r="AB639" t="s">
        <v>149</v>
      </c>
      <c r="AC639" t="s">
        <v>152</v>
      </c>
      <c r="AD639">
        <v>5380</v>
      </c>
      <c r="AE639">
        <v>0</v>
      </c>
      <c r="AF639">
        <v>0</v>
      </c>
      <c r="AG639">
        <v>0</v>
      </c>
      <c r="AH639">
        <f t="shared" si="149"/>
        <v>0</v>
      </c>
      <c r="AI639">
        <f t="shared" si="150"/>
        <v>0</v>
      </c>
      <c r="AJ639">
        <f t="shared" si="151"/>
        <v>1</v>
      </c>
      <c r="AK639">
        <f t="shared" si="152"/>
        <v>1</v>
      </c>
      <c r="AL639">
        <f t="shared" si="153"/>
        <v>0</v>
      </c>
      <c r="AM639">
        <f t="shared" si="154"/>
        <v>0</v>
      </c>
      <c r="AN639">
        <f t="shared" si="155"/>
        <v>1</v>
      </c>
      <c r="AO639">
        <f>SUM(AN$2:$AN639)</f>
        <v>638</v>
      </c>
    </row>
    <row r="640" spans="1:41" x14ac:dyDescent="0.35">
      <c r="A640" t="s">
        <v>164</v>
      </c>
      <c r="B640" t="s">
        <v>2572</v>
      </c>
      <c r="C640">
        <v>12450</v>
      </c>
      <c r="D640" t="s">
        <v>2573</v>
      </c>
      <c r="E640">
        <v>1043</v>
      </c>
      <c r="F640">
        <v>4040</v>
      </c>
      <c r="G640">
        <v>5234</v>
      </c>
      <c r="H640">
        <v>0</v>
      </c>
      <c r="I640">
        <v>0</v>
      </c>
      <c r="J640">
        <v>0</v>
      </c>
      <c r="K640">
        <v>5583</v>
      </c>
      <c r="L640">
        <v>0</v>
      </c>
      <c r="M640">
        <v>3282</v>
      </c>
      <c r="N640">
        <v>5470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 t="s">
        <v>157</v>
      </c>
      <c r="X640">
        <v>6</v>
      </c>
      <c r="Y640" t="s">
        <v>435</v>
      </c>
      <c r="Z640" t="s">
        <v>2358</v>
      </c>
      <c r="AA640" t="s">
        <v>151</v>
      </c>
      <c r="AB640" t="s">
        <v>150</v>
      </c>
      <c r="AC640" t="s">
        <v>148</v>
      </c>
      <c r="AD640">
        <v>5380</v>
      </c>
      <c r="AE640">
        <v>0</v>
      </c>
      <c r="AF640">
        <v>0</v>
      </c>
      <c r="AG640">
        <v>0</v>
      </c>
      <c r="AH640">
        <f t="shared" si="149"/>
        <v>1</v>
      </c>
      <c r="AI640">
        <f t="shared" si="150"/>
        <v>0</v>
      </c>
      <c r="AJ640">
        <f t="shared" si="151"/>
        <v>0</v>
      </c>
      <c r="AK640">
        <f t="shared" si="152"/>
        <v>0</v>
      </c>
      <c r="AL640">
        <f t="shared" si="153"/>
        <v>1</v>
      </c>
      <c r="AM640">
        <f t="shared" si="154"/>
        <v>0</v>
      </c>
      <c r="AN640">
        <f t="shared" si="155"/>
        <v>1</v>
      </c>
      <c r="AO640">
        <f>SUM(AN$2:$AN640)</f>
        <v>639</v>
      </c>
    </row>
    <row r="641" spans="1:42" customFormat="1" x14ac:dyDescent="0.35">
      <c r="A641" t="s">
        <v>164</v>
      </c>
      <c r="B641" t="s">
        <v>2574</v>
      </c>
      <c r="C641">
        <v>12450</v>
      </c>
      <c r="D641" t="s">
        <v>2575</v>
      </c>
      <c r="E641">
        <v>1043</v>
      </c>
      <c r="F641">
        <v>4040</v>
      </c>
      <c r="G641">
        <v>0</v>
      </c>
      <c r="H641">
        <v>0</v>
      </c>
      <c r="I641">
        <v>5234</v>
      </c>
      <c r="J641">
        <v>0</v>
      </c>
      <c r="K641">
        <v>5583</v>
      </c>
      <c r="L641">
        <v>0</v>
      </c>
      <c r="M641">
        <v>3282</v>
      </c>
      <c r="N641">
        <v>5470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 t="s">
        <v>424</v>
      </c>
      <c r="X641">
        <v>4</v>
      </c>
      <c r="Y641" t="s">
        <v>435</v>
      </c>
      <c r="Z641" t="s">
        <v>2656</v>
      </c>
      <c r="AA641" t="s">
        <v>149</v>
      </c>
      <c r="AB641" t="s">
        <v>148</v>
      </c>
      <c r="AC641" t="s">
        <v>152</v>
      </c>
      <c r="AD641">
        <v>5380</v>
      </c>
      <c r="AE641">
        <v>0</v>
      </c>
      <c r="AF641">
        <v>0</v>
      </c>
      <c r="AG641">
        <v>0</v>
      </c>
      <c r="AH641">
        <f t="shared" si="149"/>
        <v>0</v>
      </c>
      <c r="AI641">
        <f t="shared" si="150"/>
        <v>0</v>
      </c>
      <c r="AJ641">
        <f t="shared" si="151"/>
        <v>1</v>
      </c>
      <c r="AK641">
        <f t="shared" si="152"/>
        <v>0</v>
      </c>
      <c r="AL641">
        <f t="shared" si="153"/>
        <v>1</v>
      </c>
      <c r="AM641">
        <f t="shared" si="154"/>
        <v>0</v>
      </c>
      <c r="AN641">
        <f t="shared" si="155"/>
        <v>1</v>
      </c>
      <c r="AO641">
        <f>SUM(AN$2:$AN641)</f>
        <v>640</v>
      </c>
      <c r="AP641" s="5"/>
    </row>
    <row r="642" spans="1:42" customFormat="1" x14ac:dyDescent="0.35">
      <c r="A642" t="s">
        <v>164</v>
      </c>
      <c r="B642" t="s">
        <v>2576</v>
      </c>
      <c r="C642">
        <v>12600</v>
      </c>
      <c r="D642" t="s">
        <v>2577</v>
      </c>
      <c r="E642">
        <v>1056</v>
      </c>
      <c r="F642">
        <v>4089</v>
      </c>
      <c r="G642">
        <v>5297</v>
      </c>
      <c r="H642">
        <v>0</v>
      </c>
      <c r="I642">
        <v>0</v>
      </c>
      <c r="J642">
        <v>5651</v>
      </c>
      <c r="K642">
        <v>0</v>
      </c>
      <c r="L642">
        <v>0</v>
      </c>
      <c r="M642">
        <v>3321</v>
      </c>
      <c r="N642">
        <v>5535</v>
      </c>
      <c r="O642">
        <v>1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 t="s">
        <v>350</v>
      </c>
      <c r="X642">
        <v>6</v>
      </c>
      <c r="Y642" t="s">
        <v>442</v>
      </c>
      <c r="Z642" t="s">
        <v>2359</v>
      </c>
      <c r="AA642" t="s">
        <v>149</v>
      </c>
      <c r="AB642" t="s">
        <v>148</v>
      </c>
      <c r="AC642" t="s">
        <v>152</v>
      </c>
      <c r="AD642">
        <v>5445</v>
      </c>
      <c r="AE642">
        <v>0</v>
      </c>
      <c r="AF642">
        <v>0</v>
      </c>
      <c r="AG642">
        <v>0</v>
      </c>
      <c r="AH642">
        <f t="shared" ref="AH642" si="156">IF(G642&gt;1,1,0)</f>
        <v>1</v>
      </c>
      <c r="AI642">
        <f t="shared" ref="AI642" si="157">IF(H642&gt;1,1,0)</f>
        <v>0</v>
      </c>
      <c r="AJ642">
        <f t="shared" ref="AJ642" si="158">IF(I642&gt;1,1,0)</f>
        <v>0</v>
      </c>
      <c r="AK642">
        <f t="shared" ref="AK642" si="159">IF(J642&gt;1,1,0)</f>
        <v>1</v>
      </c>
      <c r="AL642">
        <f t="shared" ref="AL642" si="160">IF(K642&gt;1,1,0)</f>
        <v>0</v>
      </c>
      <c r="AM642">
        <f t="shared" ref="AM642" si="161">IF(L642&gt;1,1,0)</f>
        <v>0</v>
      </c>
      <c r="AN642">
        <f t="shared" ref="AN642" si="162">MIN(1,($AV$2+IF(AND(AH642&gt;=$AP$3,AI642&gt;=$AQ$3,AJ642&gt;=$AR$3,AK642&gt;=$AS$3,AL642&gt;=$AT$3,AM642&gt;=$AU$3),1,0)))</f>
        <v>1</v>
      </c>
      <c r="AO642">
        <f>SUM(AN$2:$AN642)</f>
        <v>641</v>
      </c>
      <c r="AP642" s="5"/>
    </row>
    <row r="643" spans="1:42" customFormat="1" x14ac:dyDescent="0.35">
      <c r="AO643">
        <f>SUM(AN$2:$AN643)</f>
        <v>641</v>
      </c>
      <c r="AP643" s="5"/>
    </row>
    <row r="644" spans="1:42" customFormat="1" x14ac:dyDescent="0.35">
      <c r="AO644">
        <f>SUM(AN$2:$AN644)</f>
        <v>641</v>
      </c>
      <c r="AP644" s="5"/>
    </row>
    <row r="645" spans="1:42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>
        <f>SUM(AN$2:$AN645)</f>
        <v>641</v>
      </c>
    </row>
    <row r="646" spans="1:42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>
        <f>SUM(AN$2:$AN646)</f>
        <v>641</v>
      </c>
    </row>
    <row r="647" spans="1:42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>
        <f>SUM(AN$2:$AN647)</f>
        <v>641</v>
      </c>
    </row>
    <row r="648" spans="1:42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>
        <f>SUM(AN$2:$AN648)</f>
        <v>641</v>
      </c>
    </row>
    <row r="649" spans="1:42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>
        <f>SUM(AN$2:$AN649)</f>
        <v>641</v>
      </c>
    </row>
    <row r="650" spans="1:42" customFormat="1" x14ac:dyDescent="0.35">
      <c r="AO650">
        <f>SUM(AN$2:$AN650)</f>
        <v>641</v>
      </c>
      <c r="AP650" s="5"/>
    </row>
    <row r="651" spans="1:42" customFormat="1" x14ac:dyDescent="0.35">
      <c r="AO651">
        <f>SUM(AN$2:$AN651)</f>
        <v>641</v>
      </c>
      <c r="AP651" s="5"/>
    </row>
    <row r="652" spans="1:42" customFormat="1" x14ac:dyDescent="0.35">
      <c r="AO652">
        <f>SUM(AN$2:$AN652)</f>
        <v>641</v>
      </c>
      <c r="AP652" s="5"/>
    </row>
    <row r="653" spans="1:42" customFormat="1" x14ac:dyDescent="0.35">
      <c r="AO653">
        <f>SUM(AN$2:$AN653)</f>
        <v>641</v>
      </c>
      <c r="AP653" s="5"/>
    </row>
    <row r="654" spans="1:42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>
        <f>SUM(AN$2:$AN654)</f>
        <v>641</v>
      </c>
    </row>
    <row r="655" spans="1:42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>
        <f>SUM(AN$2:$AN655)</f>
        <v>641</v>
      </c>
    </row>
    <row r="656" spans="1:42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>
        <f>SUM(AN$2:$AN656)</f>
        <v>641</v>
      </c>
    </row>
    <row r="657" spans="1:42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>
        <f>SUM(AN$2:$AN657)</f>
        <v>641</v>
      </c>
    </row>
    <row r="658" spans="1:42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>
        <f>SUM(AN$2:$AN658)</f>
        <v>641</v>
      </c>
    </row>
    <row r="659" spans="1:42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>
        <f>SUM(AN$2:$AN659)</f>
        <v>641</v>
      </c>
    </row>
    <row r="660" spans="1:42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>
        <f>SUM(AN$2:$AN660)</f>
        <v>641</v>
      </c>
    </row>
    <row r="661" spans="1:42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>
        <f>SUM(AN$2:$AN661)</f>
        <v>641</v>
      </c>
    </row>
    <row r="662" spans="1:42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>
        <f>SUM(AN$2:$AN662)</f>
        <v>641</v>
      </c>
    </row>
    <row r="663" spans="1:42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>
        <f>SUM(AN$2:$AN663)</f>
        <v>641</v>
      </c>
    </row>
    <row r="664" spans="1:42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>
        <f>SUM(AN$2:$AN664)</f>
        <v>641</v>
      </c>
    </row>
    <row r="665" spans="1:42" customFormat="1" x14ac:dyDescent="0.35">
      <c r="AO665">
        <f>SUM(AN$2:$AN665)</f>
        <v>641</v>
      </c>
      <c r="AP665" s="5"/>
    </row>
    <row r="666" spans="1:42" customFormat="1" x14ac:dyDescent="0.35">
      <c r="AO666">
        <f>SUM(AN$2:$AN666)</f>
        <v>641</v>
      </c>
      <c r="AP666" s="5"/>
    </row>
    <row r="667" spans="1:42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>
        <f>SUM(AN$2:$AN667)</f>
        <v>641</v>
      </c>
    </row>
    <row r="668" spans="1:42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>
        <f>SUM(AN$2:$AN668)</f>
        <v>641</v>
      </c>
    </row>
    <row r="669" spans="1:42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>
        <f>SUM(AN$2:$AN669)</f>
        <v>641</v>
      </c>
    </row>
    <row r="670" spans="1:42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>
        <f>SUM(AN$2:$AN670)</f>
        <v>641</v>
      </c>
    </row>
    <row r="671" spans="1:42" customFormat="1" x14ac:dyDescent="0.35">
      <c r="AO671">
        <f>SUM(AN$2:$AN671)</f>
        <v>641</v>
      </c>
      <c r="AP671" s="5"/>
    </row>
    <row r="672" spans="1:42" customFormat="1" x14ac:dyDescent="0.35">
      <c r="AO672">
        <f>SUM(AN$2:$AN672)</f>
        <v>641</v>
      </c>
      <c r="AP672" s="5"/>
    </row>
    <row r="673" spans="1:42" customFormat="1" x14ac:dyDescent="0.35">
      <c r="AO673">
        <f>SUM(AN$2:$AN673)</f>
        <v>641</v>
      </c>
      <c r="AP673" s="5"/>
    </row>
    <row r="674" spans="1:42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</row>
    <row r="675" spans="1:42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</row>
    <row r="676" spans="1:42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</row>
    <row r="677" spans="1:42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</row>
    <row r="678" spans="1:42" customFormat="1" x14ac:dyDescent="0.35"/>
    <row r="679" spans="1:42" customFormat="1" x14ac:dyDescent="0.35"/>
    <row r="680" spans="1:42" customFormat="1" x14ac:dyDescent="0.35"/>
    <row r="681" spans="1:42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</row>
    <row r="682" spans="1:42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</row>
    <row r="683" spans="1:42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</row>
    <row r="684" spans="1:42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</row>
    <row r="685" spans="1:42" customFormat="1" x14ac:dyDescent="0.35"/>
    <row r="686" spans="1:42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</row>
    <row r="687" spans="1:42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</row>
    <row r="688" spans="1:42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</row>
    <row r="689" spans="1:41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</row>
    <row r="690" spans="1:41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</row>
    <row r="691" spans="1:41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</row>
    <row r="692" spans="1:41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</row>
    <row r="693" spans="1:41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</row>
    <row r="694" spans="1:41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</row>
    <row r="695" spans="1:41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</row>
    <row r="696" spans="1:41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</row>
    <row r="697" spans="1:41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</row>
    <row r="698" spans="1:41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</row>
    <row r="699" spans="1:41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</row>
    <row r="700" spans="1:41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</row>
    <row r="701" spans="1:41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</row>
    <row r="702" spans="1:41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</row>
    <row r="703" spans="1:41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</row>
    <row r="704" spans="1:41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</row>
    <row r="705" spans="1:41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</row>
    <row r="706" spans="1:41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</row>
    <row r="707" spans="1:41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</row>
    <row r="708" spans="1:41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</row>
    <row r="709" spans="1:41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</row>
    <row r="710" spans="1:41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</row>
    <row r="711" spans="1:41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</row>
    <row r="712" spans="1:41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</row>
    <row r="713" spans="1:41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</row>
    <row r="714" spans="1:41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</row>
    <row r="715" spans="1:41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</row>
    <row r="716" spans="1:41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</row>
    <row r="717" spans="1:41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</row>
    <row r="718" spans="1:41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</row>
    <row r="719" spans="1:41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</row>
    <row r="720" spans="1:41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</row>
    <row r="721" spans="1:41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</row>
    <row r="722" spans="1:41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</row>
    <row r="723" spans="1:41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 spans="1:41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 spans="1:41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 spans="1:41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 spans="1:41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 spans="1:41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 spans="1:41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 spans="1:41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 spans="1:41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 spans="1:41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 spans="1:41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 spans="1:41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 spans="1:41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 spans="1:41" customFormat="1" x14ac:dyDescent="0.35"/>
    <row r="737" spans="1:41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 spans="1:41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 spans="1:41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 spans="1:41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 spans="1:41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 spans="1:41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 spans="1:41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 spans="1:41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 spans="1:41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 spans="1:41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 spans="1:41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 spans="1:41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 spans="1:41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 spans="1:41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 spans="1:41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 spans="1:41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 spans="1:41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 spans="1:41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 spans="1:41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 spans="1:41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 spans="1:41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 spans="1:41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 spans="1:41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 spans="1:41" customFormat="1" x14ac:dyDescent="0.35"/>
    <row r="761" spans="1:41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 spans="1:41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 spans="1:41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 spans="1:41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 spans="1:41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 spans="1:41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 spans="1:41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 spans="1:41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 spans="1:41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 spans="1:41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 spans="1:41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 spans="1:41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 spans="1:41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 spans="1:41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 spans="1:41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 spans="1:41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 spans="1:41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 spans="1:41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 spans="1:41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 spans="1:41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 spans="1:41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 spans="1:41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 spans="1:41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 spans="1:41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 spans="1:41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 spans="1:41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 spans="1:41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 spans="1:41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 spans="1:41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 spans="1:41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 spans="1:41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 spans="1:41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 spans="1:41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</row>
    <row r="794" spans="1:41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</row>
    <row r="795" spans="1:41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</row>
    <row r="796" spans="1:41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</row>
    <row r="797" spans="1:41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</row>
    <row r="798" spans="1:41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</row>
    <row r="799" spans="1:41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</row>
    <row r="800" spans="1:41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</row>
    <row r="801" spans="1:41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</row>
    <row r="802" spans="1:41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</row>
    <row r="803" spans="1:41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</row>
    <row r="804" spans="1:41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</row>
    <row r="805" spans="1:41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</row>
    <row r="806" spans="1:41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</row>
    <row r="807" spans="1:41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</row>
    <row r="808" spans="1:41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</row>
    <row r="809" spans="1:41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</row>
    <row r="810" spans="1:41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</row>
    <row r="811" spans="1:41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</row>
    <row r="812" spans="1:41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</row>
    <row r="813" spans="1:41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</row>
    <row r="814" spans="1:41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</row>
    <row r="815" spans="1:41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</row>
    <row r="816" spans="1:41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</row>
    <row r="817" spans="1:41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</row>
    <row r="818" spans="1:41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</row>
    <row r="819" spans="1:41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</row>
    <row r="820" spans="1:41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</row>
    <row r="821" spans="1:41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</row>
    <row r="822" spans="1:41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</row>
    <row r="823" spans="1:41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</row>
    <row r="824" spans="1:41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</row>
    <row r="825" spans="1:41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</row>
    <row r="826" spans="1:41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</row>
    <row r="827" spans="1:41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</row>
    <row r="828" spans="1:41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</row>
    <row r="829" spans="1:41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</row>
    <row r="830" spans="1:41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</row>
    <row r="831" spans="1:41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</row>
    <row r="832" spans="1:41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 spans="1:41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 spans="1:41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 spans="1:41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 spans="1:41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 spans="1:41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 spans="1:41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 spans="1:41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 spans="1:41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 spans="1:41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 spans="1:41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 spans="1:41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 spans="1:41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 spans="1:41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 spans="1:41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 spans="1:41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 spans="1:41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 spans="1:41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 spans="1:41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 spans="1:41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 spans="1:41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 spans="1:41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 spans="1:41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 spans="1:41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 spans="1:41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 spans="1:41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 spans="1:41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 spans="1:41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 spans="1:41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 spans="1:41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 spans="1:41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 spans="1:41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 spans="1:41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 spans="1:41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 spans="1:41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 spans="1:41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 spans="1:41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 spans="1:41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 spans="1:41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 spans="1:41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 spans="1:41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 spans="1:41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 spans="1:41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 spans="1:41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 spans="1:41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 spans="1:41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 spans="1:41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 spans="1:41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 spans="1:41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 spans="1:41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 spans="1:41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 spans="1:41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 spans="1:41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 spans="1:41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 spans="1:41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1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1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1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1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1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1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1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1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1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1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1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 spans="1:41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 spans="1:41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 spans="1:41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 spans="1:41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 spans="1:41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 spans="1:41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 spans="1:41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 spans="1:41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 spans="1:41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 spans="1:41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 spans="1:41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 spans="1:41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 spans="1:41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 spans="1:41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 spans="1:41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 spans="1:41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 spans="1:41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 spans="1:41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 spans="1:41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 spans="1:41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 spans="1:41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 spans="1:41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 spans="1:41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 spans="1:41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 spans="1:41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 spans="1:41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 spans="1:41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 spans="1:41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 spans="1:41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 spans="1:41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 spans="1:41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 spans="1:41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 spans="1:41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 spans="1:41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 spans="1:41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 spans="1:41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 spans="1:41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 spans="1:41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 spans="1:41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 spans="1:41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 spans="1:41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 spans="1:41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 spans="1:41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 spans="1:41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 spans="1:41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 spans="1:41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 spans="1:41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 spans="1:41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 spans="1:41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1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 spans="1:41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 spans="1:41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 spans="1:41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 spans="1:41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 spans="1:41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 spans="1:41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 spans="1:41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 spans="1:41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 spans="1:41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 spans="1:41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 spans="1:41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 spans="1:41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 spans="1:41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 spans="1:41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 spans="1:41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 spans="1:41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 spans="1:41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 spans="1:41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 spans="1:41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 spans="1:41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 spans="1:41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 spans="1:41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 spans="1:41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 spans="1:41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 spans="1:41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 spans="1:41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 spans="1:41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 spans="1:41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 spans="1:41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 spans="1:41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 spans="1:41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 spans="1:41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 spans="1:41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 spans="1:41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 spans="1:41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 spans="1:41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 spans="1:41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 spans="1:41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 spans="1:41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 spans="1:41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 spans="1:41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 spans="1:41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 spans="1:41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 spans="1:41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 spans="1:41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 spans="1:41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 spans="1:41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 spans="1:41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 spans="1:41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 spans="1:41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 spans="1:41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 spans="1:41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 spans="1:4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 spans="1:4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 spans="1:4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 spans="1:4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 spans="1:4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 spans="1:4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 spans="1:4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 spans="1:4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 spans="1:4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 spans="1:4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 spans="1:4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 spans="1:4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 spans="1:4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 spans="1:4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 spans="1:4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 spans="1:4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 spans="1:4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 spans="1:4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 spans="1:4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 spans="1:4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 spans="1:4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 spans="1:4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 spans="1:4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 spans="1:4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 spans="1:4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 spans="1:4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 spans="1:4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 spans="1:4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</row>
    <row r="1028" spans="1:4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</row>
    <row r="1029" spans="1:4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</row>
    <row r="1030" spans="1:4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</row>
    <row r="1031" spans="1:4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</row>
    <row r="1032" spans="1:4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</row>
    <row r="1033" spans="1:4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</row>
    <row r="1050" spans="54:55" x14ac:dyDescent="0.35">
      <c r="BB1050" s="5">
        <v>0</v>
      </c>
      <c r="BC1050" s="5">
        <v>0</v>
      </c>
    </row>
    <row r="1051" spans="54:55" x14ac:dyDescent="0.35">
      <c r="BB1051" s="5">
        <v>23</v>
      </c>
      <c r="BC1051" s="5">
        <v>234</v>
      </c>
    </row>
    <row r="1052" spans="54:55" x14ac:dyDescent="0.35">
      <c r="BB1052" s="5">
        <v>46</v>
      </c>
      <c r="BC1052" s="5">
        <v>469</v>
      </c>
    </row>
    <row r="1053" spans="54:55" x14ac:dyDescent="0.35">
      <c r="BB1053" s="5">
        <v>70</v>
      </c>
      <c r="BC1053" s="5">
        <v>704</v>
      </c>
    </row>
    <row r="1054" spans="54:55" x14ac:dyDescent="0.35">
      <c r="BB1054" s="5">
        <v>93</v>
      </c>
      <c r="BC1054" s="5">
        <v>939</v>
      </c>
    </row>
    <row r="1055" spans="54:55" x14ac:dyDescent="0.35">
      <c r="BB1055" s="5">
        <v>117</v>
      </c>
      <c r="BC1055" s="5">
        <v>1174</v>
      </c>
    </row>
    <row r="1056" spans="54:55" x14ac:dyDescent="0.35">
      <c r="BB1056" s="5">
        <v>140</v>
      </c>
      <c r="BC1056" s="5">
        <v>1409</v>
      </c>
    </row>
    <row r="1057" spans="1:66" x14ac:dyDescent="0.35">
      <c r="AX1057" s="54" t="s">
        <v>450</v>
      </c>
      <c r="BB1057" s="5">
        <v>210</v>
      </c>
      <c r="BC1057" s="5">
        <v>2114</v>
      </c>
    </row>
    <row r="1058" spans="1:66" x14ac:dyDescent="0.35">
      <c r="BB1058" s="5">
        <v>312</v>
      </c>
      <c r="BC1058" s="5">
        <v>3133</v>
      </c>
    </row>
    <row r="1059" spans="1:66" x14ac:dyDescent="0.35">
      <c r="AP1059" t="s">
        <v>153</v>
      </c>
      <c r="AQ1059" s="34" t="s">
        <v>458</v>
      </c>
      <c r="AR1059" s="5">
        <v>1</v>
      </c>
      <c r="AS1059" s="5">
        <v>2</v>
      </c>
      <c r="AT1059" s="5">
        <v>3</v>
      </c>
      <c r="AU1059" s="5">
        <v>1</v>
      </c>
      <c r="AV1059" s="5">
        <v>2</v>
      </c>
      <c r="AW1059" s="5">
        <v>3</v>
      </c>
      <c r="AX1059" s="54" t="s">
        <v>459</v>
      </c>
      <c r="AY1059" s="54" t="s">
        <v>450</v>
      </c>
      <c r="AZ1059" s="54" t="s">
        <v>460</v>
      </c>
      <c r="BA1059" s="54" t="s">
        <v>461</v>
      </c>
      <c r="BB1059" s="54" t="s">
        <v>499</v>
      </c>
      <c r="BC1059" s="54" t="s">
        <v>500</v>
      </c>
      <c r="BD1059" s="54" t="s">
        <v>522</v>
      </c>
    </row>
    <row r="1060" spans="1:66" x14ac:dyDescent="0.35">
      <c r="M1060" s="5">
        <v>0</v>
      </c>
      <c r="N1060" s="54" t="s">
        <v>528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AB1060" s="5" t="s">
        <v>457</v>
      </c>
      <c r="AH1060" t="s">
        <v>153</v>
      </c>
      <c r="AI1060" s="34" t="s">
        <v>458</v>
      </c>
      <c r="AJ1060" t="s">
        <v>148</v>
      </c>
      <c r="AK1060" t="s">
        <v>149</v>
      </c>
      <c r="AL1060" t="s">
        <v>150</v>
      </c>
      <c r="AM1060" t="s">
        <v>151</v>
      </c>
      <c r="AN1060" t="s">
        <v>152</v>
      </c>
      <c r="AO1060" t="s">
        <v>358</v>
      </c>
      <c r="AP1060" s="5">
        <f t="shared" ref="AP1060:AQ1071" si="163">IFERROR(MATCH(AP$1059,$AR1060:$AT1060,0),0)</f>
        <v>0</v>
      </c>
      <c r="AQ1060" s="5">
        <f t="shared" si="163"/>
        <v>0</v>
      </c>
      <c r="AR1060" s="5" t="str">
        <f t="shared" ref="AR1060:AS1065" si="164">IF(INDEX($AA$2:$AC$1047,MATCH($D1072,$D$2:$D$1047,0),AR$1059)="","无镶嵌孔",INDEX($AA$2:$AC$1047,MATCH($D1072,$D$2:$D$1047,0),AR$1059))</f>
        <v>力道孔</v>
      </c>
      <c r="AS1060" s="5" t="str">
        <f t="shared" si="164"/>
        <v>攻击孔</v>
      </c>
      <c r="AU1060" s="54">
        <f ca="1">IF(INDIRECT(ADDRESS(ROW(),COLUMN()-3))="无镶嵌孔",0,配装页面!G13)</f>
        <v>7</v>
      </c>
      <c r="AV1060" s="54">
        <f ca="1">IF(INDIRECT(ADDRESS(ROW(),COLUMN()-3))="无镶嵌孔",0,配装页面!G14)</f>
        <v>7</v>
      </c>
      <c r="AX1060" s="5">
        <v>0.9</v>
      </c>
      <c r="AY1060" s="5">
        <f t="shared" ref="AY1060:AY1071" si="165">ROUND(C1072*IF(B1072=8,2.5,1.8)*AX1060,0)</f>
        <v>19926</v>
      </c>
      <c r="AZ1060" s="5">
        <f ca="1">ROUND(CHOOSE(AU1060+1,M1060,M1061,M1062,M1063,M1064,M1065,$M$1066,$M$1067,$M$1068)+CHOOSE(AV1060+1,M1060,M1061,M1062,M1063,M1064,M1065,$M$1066,$M$1067,$M$1068),0)</f>
        <v>494</v>
      </c>
      <c r="BA1060" s="5">
        <f>IFERROR(CHOOSE(L1066-3,1232,1540,1848),0)*2</f>
        <v>3080</v>
      </c>
      <c r="BB1060" s="5">
        <f>IFERROR(CHOOSE(INDEX($AU1060:$AW1060,1,MATCH(BB$1059,$AR1060:$AT1060,0))+1,BB1050,BB1051,BB1052,BB1053,BB1054,BB1055,BB$1056,BB$1057,BB$1058),0)</f>
        <v>0</v>
      </c>
      <c r="BC1060" s="5">
        <f>IFERROR(CHOOSE(INDEX($AU1060:$AW1060,1,MATCH(BC$1059,$AR1060:$AT1060,0))+1,BC1050,BC1051,BC1052,BC1053,BC1054,BC1055,BC$1056,BC$1057,BC$1058),0)</f>
        <v>0</v>
      </c>
      <c r="BD1060" s="5">
        <f t="shared" ref="BD1060:BD1071" si="166">ROUND(AY1060*(CHOOSE(A1072+1,1,1.005,1.013,1.024,1.038,1.055,1.075,1.098,1.124)-1),0)</f>
        <v>1494</v>
      </c>
    </row>
    <row r="1061" spans="1:66" x14ac:dyDescent="0.35">
      <c r="M1061" s="5">
        <v>27.456000000000003</v>
      </c>
      <c r="N1061" s="54" t="s">
        <v>527</v>
      </c>
      <c r="O1061" s="5">
        <v>7</v>
      </c>
      <c r="P1061" s="5">
        <v>14</v>
      </c>
      <c r="Q1061" s="5">
        <v>31</v>
      </c>
      <c r="R1061" s="5">
        <v>31</v>
      </c>
      <c r="S1061" s="5">
        <v>31</v>
      </c>
      <c r="T1061" s="5">
        <v>31</v>
      </c>
      <c r="U1061" s="5">
        <v>31</v>
      </c>
      <c r="AA1061" s="54" t="s">
        <v>498</v>
      </c>
      <c r="AB1061" t="s">
        <v>148</v>
      </c>
      <c r="AC1061" t="s">
        <v>149</v>
      </c>
      <c r="AD1061" t="s">
        <v>150</v>
      </c>
      <c r="AE1061" t="s">
        <v>151</v>
      </c>
      <c r="AF1061" t="s">
        <v>152</v>
      </c>
      <c r="AG1061" t="s">
        <v>358</v>
      </c>
      <c r="AH1061" s="5">
        <f t="shared" ref="AH1061:AI1072" si="167">INDEX($A$1:$V$1047,MATCH($D1072,$D$1:$D$1047,0),COLUMN()-13)</f>
        <v>0</v>
      </c>
      <c r="AI1061" s="5">
        <f t="shared" si="167"/>
        <v>0</v>
      </c>
      <c r="AJ1061" s="5">
        <f t="shared" ref="AJ1061:AJ1071" si="168">IFERROR(MATCH(AJ$1060,$AR1060:$AT1060,0),0)</f>
        <v>1</v>
      </c>
      <c r="AK1061" s="5">
        <f t="shared" ref="AK1061:AK1072" si="169">IFERROR(MATCH(AK$1060,$AR1060:$AT1060,0),0)</f>
        <v>2</v>
      </c>
      <c r="AL1061" s="5">
        <f t="shared" ref="AL1061:AL1072" si="170">IFERROR(MATCH(AL$1060,$AR1060:$AT1060,0),0)</f>
        <v>0</v>
      </c>
      <c r="AM1061" s="5">
        <f t="shared" ref="AM1061:AM1072" si="171">IFERROR(MATCH(AM$1060,$AR1060:$AT1060,0),0)</f>
        <v>0</v>
      </c>
      <c r="AN1061" s="5">
        <f t="shared" ref="AN1061:AN1072" si="172">IFERROR(MATCH(AN$1060,$AR1060:$AT1060,0),0)</f>
        <v>0</v>
      </c>
      <c r="AO1061" s="5">
        <f t="shared" ref="AO1061:AO1072" si="173">IFERROR(MATCH(AO$1060,$AR1060:$AT1060,0),0)</f>
        <v>0</v>
      </c>
      <c r="AP1061" s="5">
        <f t="shared" si="163"/>
        <v>0</v>
      </c>
      <c r="AQ1061" s="5">
        <f t="shared" si="163"/>
        <v>0</v>
      </c>
      <c r="AR1061" s="5" t="str">
        <f t="shared" si="164"/>
        <v>会心孔</v>
      </c>
      <c r="AS1061" s="5" t="str">
        <f t="shared" si="164"/>
        <v>会效孔</v>
      </c>
      <c r="AU1061" s="54">
        <f ca="1">IF(INDIRECT(ADDRESS(ROW(),COLUMN()-3))="无镶嵌孔",0,配装页面!G18)</f>
        <v>7</v>
      </c>
      <c r="AV1061" s="54">
        <f ca="1">IF(INDIRECT(ADDRESS(ROW(),COLUMN()-3))="无镶嵌孔",0,配装页面!G19)</f>
        <v>7</v>
      </c>
      <c r="AX1061" s="5">
        <v>1</v>
      </c>
      <c r="AY1061" s="5">
        <f t="shared" si="165"/>
        <v>22140</v>
      </c>
      <c r="AZ1061" s="5">
        <f ca="1">ROUND(CHOOSE(AU1061+1,M1060,M1061,M1062,M1063,M1064,M1065,$M$1066,$M$1067,$M$1068)+CHOOSE(AV1061+1,M1060,M1061,M1062,M1063,M1064,M1065,$M$1066,$M$1067,$M$1068),0)</f>
        <v>494</v>
      </c>
      <c r="BB1061" s="5">
        <f>IFERROR(CHOOSE(INDEX($AU1061:$AW1061,1,MATCH(BB$1059,$AR1061:$AT1061,0))+1,BB1050,BB1051,BB1052,BB1053,BB1054,BB1055,BB$1056,BB$1057,BB$1058),0)</f>
        <v>0</v>
      </c>
      <c r="BC1061" s="5">
        <f>IFERROR(CHOOSE(INDEX($AU1061:$AW1061,1,MATCH(BC$1059,$AR1061:$AT1061,0))+1,BC1050,BC1051,BC1052,BC1053,BC1054,BC1055,BC$1056,BC$1057,BC$1058),0)</f>
        <v>0</v>
      </c>
      <c r="BD1061" s="5">
        <f t="shared" si="166"/>
        <v>1661</v>
      </c>
    </row>
    <row r="1062" spans="1:66" x14ac:dyDescent="0.35">
      <c r="M1062" s="5">
        <v>54.912000000000006</v>
      </c>
      <c r="N1062" s="54" t="s">
        <v>526</v>
      </c>
      <c r="O1062" s="5">
        <v>14</v>
      </c>
      <c r="P1062" s="5">
        <v>28</v>
      </c>
      <c r="Q1062" s="5">
        <v>62</v>
      </c>
      <c r="R1062" s="5">
        <v>62</v>
      </c>
      <c r="S1062" s="5">
        <v>62</v>
      </c>
      <c r="T1062" s="5">
        <v>62</v>
      </c>
      <c r="U1062" s="5">
        <v>62</v>
      </c>
      <c r="AA1062" s="5">
        <f t="shared" ref="AA1062:AA1073" si="174">ROUND(INDEX($AD$2:$AD$1047,MATCH($D1072,$D$2:$D$1047,0),1)*CHOOSE($A1072+1,1,1.005,1.013,1.024,1.038,1.055,1.075,1.098,1.124),0)</f>
        <v>4285</v>
      </c>
      <c r="AB1062" s="5">
        <f t="shared" ref="AB1062:AG1073" si="175">INDEX($A$1:$V$1047,MATCH($D1072,$D$1:$D$1047,0),COLUMN()-13)</f>
        <v>1</v>
      </c>
      <c r="AC1062" s="5">
        <f t="shared" si="175"/>
        <v>1</v>
      </c>
      <c r="AD1062" s="5">
        <f t="shared" si="175"/>
        <v>0</v>
      </c>
      <c r="AE1062" s="5">
        <f t="shared" si="175"/>
        <v>0</v>
      </c>
      <c r="AF1062" s="5">
        <f t="shared" si="175"/>
        <v>0</v>
      </c>
      <c r="AG1062" s="5">
        <f t="shared" si="175"/>
        <v>0</v>
      </c>
      <c r="AH1062" s="5">
        <f t="shared" si="167"/>
        <v>0</v>
      </c>
      <c r="AI1062" s="5">
        <f t="shared" si="167"/>
        <v>0</v>
      </c>
      <c r="AJ1062" s="5">
        <f t="shared" si="168"/>
        <v>0</v>
      </c>
      <c r="AK1062" s="5">
        <f t="shared" si="169"/>
        <v>0</v>
      </c>
      <c r="AL1062" s="5">
        <f t="shared" si="170"/>
        <v>1</v>
      </c>
      <c r="AM1062" s="5">
        <f t="shared" si="171"/>
        <v>2</v>
      </c>
      <c r="AN1062" s="5">
        <f t="shared" si="172"/>
        <v>0</v>
      </c>
      <c r="AO1062" s="5">
        <f t="shared" si="173"/>
        <v>0</v>
      </c>
      <c r="AP1062" s="5">
        <f t="shared" si="163"/>
        <v>0</v>
      </c>
      <c r="AQ1062" s="5">
        <f t="shared" si="163"/>
        <v>0</v>
      </c>
      <c r="AR1062" s="5" t="str">
        <f t="shared" si="164"/>
        <v>会心孔</v>
      </c>
      <c r="AS1062" s="5" t="str">
        <f t="shared" si="164"/>
        <v>攻击孔</v>
      </c>
      <c r="AU1062" s="54">
        <f ca="1">IF(INDIRECT(ADDRESS(ROW(),COLUMN()-3))="无镶嵌孔",0,配装页面!G23)</f>
        <v>7</v>
      </c>
      <c r="AV1062" s="54">
        <f ca="1">IF(INDIRECT(ADDRESS(ROW(),COLUMN()-3))="无镶嵌孔",0,配装页面!G24)</f>
        <v>7</v>
      </c>
      <c r="AX1062" s="5">
        <v>0.7</v>
      </c>
      <c r="AY1062" s="5">
        <f t="shared" si="165"/>
        <v>15498</v>
      </c>
      <c r="AZ1062" s="5">
        <f ca="1">ROUND(CHOOSE(AU1062+1,M1060,M1061,M1062,M1063,M1064,M1065,$M$1066,$M$1067,$M$1068)+CHOOSE(AV1062+1,M1060,M1061,M1062,M1063,M1064,M1065,$M$1066,$M$1067,$M$1068),0)</f>
        <v>494</v>
      </c>
      <c r="BB1062" s="5">
        <f>IFERROR(CHOOSE(INDEX($AU1062:$AW1062,1,MATCH(BB$1059,$AR1062:$AT1062,0))+1,BB1050,BB1051,BB1052,BB1053,BB1054,BB1055,BB$1056,BB$1057,BB$1058),0)</f>
        <v>0</v>
      </c>
      <c r="BC1062" s="5">
        <f>IFERROR(CHOOSE(INDEX($AU1062:$AW1062,1,MATCH(BC$1059,$AR1062:$AT1062,0))+1,BC1050,BC1051,BC1052,BC1053,BC1054,BC1055,BC$1056,BC$1057,BC$1058),0)</f>
        <v>0</v>
      </c>
      <c r="BD1062" s="5">
        <f t="shared" si="166"/>
        <v>1162</v>
      </c>
    </row>
    <row r="1063" spans="1:66" x14ac:dyDescent="0.35">
      <c r="M1063" s="5">
        <v>82.367999999999995</v>
      </c>
      <c r="N1063" s="54" t="s">
        <v>525</v>
      </c>
      <c r="O1063" s="5">
        <v>21</v>
      </c>
      <c r="P1063" s="5">
        <v>42</v>
      </c>
      <c r="Q1063" s="5">
        <v>94</v>
      </c>
      <c r="R1063" s="5">
        <v>94</v>
      </c>
      <c r="S1063" s="5">
        <v>94</v>
      </c>
      <c r="T1063" s="5">
        <v>94</v>
      </c>
      <c r="U1063" s="5">
        <v>94</v>
      </c>
      <c r="AA1063" s="5">
        <f t="shared" si="174"/>
        <v>4761</v>
      </c>
      <c r="AB1063" s="5">
        <f t="shared" si="175"/>
        <v>0</v>
      </c>
      <c r="AC1063" s="5">
        <f t="shared" si="175"/>
        <v>0</v>
      </c>
      <c r="AD1063" s="5">
        <f t="shared" si="175"/>
        <v>1</v>
      </c>
      <c r="AE1063" s="5">
        <f t="shared" si="175"/>
        <v>1</v>
      </c>
      <c r="AF1063" s="5">
        <f t="shared" si="175"/>
        <v>0</v>
      </c>
      <c r="AG1063" s="5">
        <f t="shared" si="175"/>
        <v>0</v>
      </c>
      <c r="AH1063" s="5">
        <f t="shared" si="167"/>
        <v>0</v>
      </c>
      <c r="AI1063" s="5">
        <f t="shared" si="167"/>
        <v>0</v>
      </c>
      <c r="AJ1063" s="5">
        <f t="shared" si="168"/>
        <v>0</v>
      </c>
      <c r="AK1063" s="5">
        <f t="shared" si="169"/>
        <v>2</v>
      </c>
      <c r="AL1063" s="5">
        <f t="shared" si="170"/>
        <v>1</v>
      </c>
      <c r="AM1063" s="5">
        <f t="shared" si="171"/>
        <v>0</v>
      </c>
      <c r="AN1063" s="5">
        <f t="shared" si="172"/>
        <v>0</v>
      </c>
      <c r="AO1063" s="5">
        <f t="shared" si="173"/>
        <v>0</v>
      </c>
      <c r="AP1063" s="5">
        <f t="shared" si="163"/>
        <v>0</v>
      </c>
      <c r="AQ1063" s="5">
        <f t="shared" si="163"/>
        <v>0</v>
      </c>
      <c r="AR1063" s="5" t="str">
        <f t="shared" si="164"/>
        <v>破招孔</v>
      </c>
      <c r="AS1063" s="5" t="str">
        <f t="shared" si="164"/>
        <v>攻击孔</v>
      </c>
      <c r="AU1063" s="54">
        <f ca="1">IF(INDIRECT(ADDRESS(ROW(),COLUMN()-3))="无镶嵌孔",0,配装页面!O13)</f>
        <v>7</v>
      </c>
      <c r="AV1063" s="54">
        <f ca="1">IF(INDIRECT(ADDRESS(ROW(),COLUMN()-3))="无镶嵌孔",0,配装页面!O14)</f>
        <v>7</v>
      </c>
      <c r="AX1063" s="5">
        <v>0.7</v>
      </c>
      <c r="AY1063" s="5">
        <f t="shared" si="165"/>
        <v>15687</v>
      </c>
      <c r="AZ1063" s="5">
        <f ca="1">ROUND(CHOOSE(AU1063+1,M1060,M1061,M1062,M1063,M1064,M1065,$M$1066,$M$1067,$M$1068)+CHOOSE(AV1063+1,M1060,M1061,M1062,M1063,M1064,M1065,$M$1066,$M$1067,$M$1068),0)</f>
        <v>494</v>
      </c>
      <c r="BB1063" s="5">
        <f>IFERROR(CHOOSE(INDEX($AU1063:$AW1063,1,MATCH(BB$1059,$AR1063:$AT1063,0))+1,BB1050,BB1051,BB1052,BB1053,BB1054,BB1055,BB$1056,BB$1057,BB$1058),0)</f>
        <v>0</v>
      </c>
      <c r="BC1063" s="5">
        <f>IFERROR(CHOOSE(INDEX($AU1063:$AW1063,1,MATCH(BC$1059,$AR1063:$AT1063,0))+1,BC1050,BC1051,BC1052,BC1053,BC1054,BC1055,BC$1056,BC$1057,BC$1058),0)</f>
        <v>0</v>
      </c>
      <c r="BD1063" s="5">
        <f t="shared" si="166"/>
        <v>596</v>
      </c>
    </row>
    <row r="1064" spans="1:66" x14ac:dyDescent="0.35">
      <c r="M1064" s="5">
        <v>109.82400000000001</v>
      </c>
      <c r="N1064" s="54" t="s">
        <v>524</v>
      </c>
      <c r="O1064" s="5">
        <v>28</v>
      </c>
      <c r="P1064" s="5">
        <v>56</v>
      </c>
      <c r="Q1064" s="5">
        <v>125</v>
      </c>
      <c r="R1064" s="5">
        <v>125</v>
      </c>
      <c r="S1064" s="5">
        <v>125</v>
      </c>
      <c r="T1064" s="5">
        <v>125</v>
      </c>
      <c r="U1064" s="5">
        <v>125</v>
      </c>
      <c r="AA1064" s="5">
        <f t="shared" si="174"/>
        <v>3333</v>
      </c>
      <c r="AB1064" s="5">
        <f t="shared" si="175"/>
        <v>0</v>
      </c>
      <c r="AC1064" s="5">
        <f t="shared" si="175"/>
        <v>1</v>
      </c>
      <c r="AD1064" s="5">
        <f t="shared" si="175"/>
        <v>1</v>
      </c>
      <c r="AE1064" s="5">
        <f t="shared" si="175"/>
        <v>0</v>
      </c>
      <c r="AF1064" s="5">
        <f t="shared" si="175"/>
        <v>0</v>
      </c>
      <c r="AG1064" s="5">
        <f t="shared" si="175"/>
        <v>0</v>
      </c>
      <c r="AH1064" s="5">
        <f t="shared" si="167"/>
        <v>0</v>
      </c>
      <c r="AI1064" s="5">
        <f t="shared" si="167"/>
        <v>0</v>
      </c>
      <c r="AJ1064" s="5">
        <f t="shared" si="168"/>
        <v>0</v>
      </c>
      <c r="AK1064" s="5">
        <f t="shared" si="169"/>
        <v>2</v>
      </c>
      <c r="AL1064" s="5">
        <f t="shared" si="170"/>
        <v>0</v>
      </c>
      <c r="AM1064" s="5">
        <f t="shared" si="171"/>
        <v>0</v>
      </c>
      <c r="AN1064" s="5">
        <f t="shared" si="172"/>
        <v>0</v>
      </c>
      <c r="AO1064" s="5">
        <f t="shared" si="173"/>
        <v>1</v>
      </c>
      <c r="AP1064" s="5">
        <f t="shared" si="163"/>
        <v>0</v>
      </c>
      <c r="AQ1064" s="5">
        <f t="shared" si="163"/>
        <v>0</v>
      </c>
      <c r="AR1064" s="5" t="str">
        <f t="shared" si="164"/>
        <v>破防孔</v>
      </c>
      <c r="AS1064" s="5" t="str">
        <f t="shared" si="164"/>
        <v>破招孔</v>
      </c>
      <c r="AU1064" s="54">
        <f ca="1">IF(INDIRECT(ADDRESS(ROW(),COLUMN()-3))="无镶嵌孔",0,配装页面!O18)</f>
        <v>7</v>
      </c>
      <c r="AV1064" s="54">
        <f ca="1">IF(INDIRECT(ADDRESS(ROW(),COLUMN()-3))="无镶嵌孔",0,配装页面!O19)</f>
        <v>7</v>
      </c>
      <c r="AX1064" s="5">
        <v>1</v>
      </c>
      <c r="AY1064" s="5">
        <f t="shared" si="165"/>
        <v>22410</v>
      </c>
      <c r="AZ1064" s="5">
        <f ca="1">ROUND(CHOOSE(AU1064+1,M1060,M1061,M1062,M1063,M1064,M1065,$M$1066,$M$1067,$M$1068)+CHOOSE(AV1064+1,M1060,M1061,M1062,M1063,M1064,M1065,$M$1066,$M$1067,$M$1068),0)</f>
        <v>494</v>
      </c>
      <c r="BB1064" s="5">
        <f>IFERROR(CHOOSE(INDEX($AU1064:$AW1064,1,MATCH(BB$1059,$AR1064:$AT1064,0))+1,BB1050,BB1051,BB1052,BB1053,BB1054,BB1055,BB$1056,BB$1057,BB$1058),0)</f>
        <v>0</v>
      </c>
      <c r="BC1064" s="5">
        <f>IFERROR(CHOOSE(INDEX($AU1064:$AW1064,1,MATCH(BC$1059,$AR1064:$AT1064,0))+1,BC1050,BC1051,BC1052,BC1053,BC1054,BC1055,BC$1056,BC$1057,BC$1058),0)</f>
        <v>0</v>
      </c>
      <c r="BD1064" s="5">
        <f t="shared" si="166"/>
        <v>1681</v>
      </c>
      <c r="BF1064" s="54" t="s">
        <v>529</v>
      </c>
    </row>
    <row r="1065" spans="1:66" x14ac:dyDescent="0.35">
      <c r="M1065" s="5">
        <v>137.28000000000003</v>
      </c>
      <c r="N1065" s="54" t="s">
        <v>523</v>
      </c>
      <c r="O1065" s="5">
        <v>35</v>
      </c>
      <c r="P1065" s="5">
        <v>70</v>
      </c>
      <c r="Q1065" s="5">
        <v>156</v>
      </c>
      <c r="R1065" s="5">
        <v>156</v>
      </c>
      <c r="S1065" s="5">
        <v>156</v>
      </c>
      <c r="T1065" s="5">
        <v>156</v>
      </c>
      <c r="U1065" s="5">
        <v>156</v>
      </c>
      <c r="AA1065" s="5">
        <f t="shared" si="174"/>
        <v>3257</v>
      </c>
      <c r="AB1065" s="5">
        <f t="shared" si="175"/>
        <v>0</v>
      </c>
      <c r="AC1065" s="5">
        <f t="shared" si="175"/>
        <v>1</v>
      </c>
      <c r="AD1065" s="5">
        <f t="shared" si="175"/>
        <v>0</v>
      </c>
      <c r="AE1065" s="5">
        <f t="shared" si="175"/>
        <v>0</v>
      </c>
      <c r="AF1065" s="5">
        <f t="shared" si="175"/>
        <v>0</v>
      </c>
      <c r="AG1065" s="5">
        <f t="shared" si="175"/>
        <v>1</v>
      </c>
      <c r="AH1065" s="5">
        <f t="shared" si="167"/>
        <v>0</v>
      </c>
      <c r="AI1065" s="5">
        <f t="shared" si="167"/>
        <v>0</v>
      </c>
      <c r="AJ1065" s="5">
        <f t="shared" si="168"/>
        <v>0</v>
      </c>
      <c r="AK1065" s="5">
        <f t="shared" si="169"/>
        <v>0</v>
      </c>
      <c r="AL1065" s="5">
        <f t="shared" si="170"/>
        <v>0</v>
      </c>
      <c r="AM1065" s="5">
        <f t="shared" si="171"/>
        <v>0</v>
      </c>
      <c r="AN1065" s="5">
        <f t="shared" si="172"/>
        <v>1</v>
      </c>
      <c r="AO1065" s="5">
        <f t="shared" si="173"/>
        <v>2</v>
      </c>
      <c r="AP1065" s="5">
        <f t="shared" si="163"/>
        <v>0</v>
      </c>
      <c r="AQ1065" s="5">
        <f t="shared" si="163"/>
        <v>0</v>
      </c>
      <c r="AR1065" s="5" t="str">
        <f t="shared" si="164"/>
        <v>攻击孔</v>
      </c>
      <c r="AS1065" s="5" t="str">
        <f t="shared" si="164"/>
        <v>破防孔</v>
      </c>
      <c r="AU1065" s="54">
        <f ca="1">IF(INDIRECT(ADDRESS(ROW(),COLUMN()-3))="无镶嵌孔",0,配装页面!O23)</f>
        <v>7</v>
      </c>
      <c r="AV1065" s="54">
        <f ca="1">IF(INDIRECT(ADDRESS(ROW(),COLUMN()-3))="无镶嵌孔",0,配装页面!O24)</f>
        <v>7</v>
      </c>
      <c r="AX1065" s="57">
        <v>0.7</v>
      </c>
      <c r="AY1065" s="5">
        <f t="shared" si="165"/>
        <v>15498</v>
      </c>
      <c r="AZ1065" s="5">
        <f ca="1">ROUND(CHOOSE(AU1065+1,M1060,M1061,M1062,M1063,M1064,M1065,$M$1066,$M$1067,$M$1068)+CHOOSE(AV1065+1,M1060,M1061,M1062,M1063,M1064,M1065,$M$1066,$M$1067,$M$1068),0)</f>
        <v>494</v>
      </c>
      <c r="BB1065" s="5">
        <f>IFERROR(CHOOSE(INDEX($AU1065:$AW1065,1,MATCH(BB$1059,$AR1065:$AT1065,0))+1,BB1050,BB1051,BB1052,BB1053,BB1054,BB1055,BB$1056,BB$1057,BB$1058),0)</f>
        <v>0</v>
      </c>
      <c r="BC1065" s="5">
        <f>IFERROR(CHOOSE(INDEX($AU1065:$AW1065,1,MATCH(BC$1059,$AR1065:$AT1065,0))+1,BC1050,BC1051,BC1052,BC1053,BC1054,BC1055,BC$1056,BC$1057,BC$1058),0)</f>
        <v>0</v>
      </c>
      <c r="BD1065" s="5">
        <f t="shared" si="166"/>
        <v>1162</v>
      </c>
      <c r="BF1065" s="5">
        <f ca="1">SUM(AU1060:AW1071)</f>
        <v>129</v>
      </c>
      <c r="BG1065" s="5">
        <f ca="1">COUNTIF(AU1060:AW1071,"&gt;0")</f>
        <v>18</v>
      </c>
      <c r="BH1065" s="5">
        <v>4</v>
      </c>
      <c r="BI1065" s="5">
        <v>5</v>
      </c>
      <c r="BJ1065" s="5">
        <v>6</v>
      </c>
      <c r="BK1065" s="5">
        <v>4</v>
      </c>
      <c r="BL1065" s="5">
        <v>5</v>
      </c>
      <c r="BM1065" s="5">
        <v>6</v>
      </c>
    </row>
    <row r="1066" spans="1:66" x14ac:dyDescent="0.35">
      <c r="L1066" s="5">
        <f>IF(配装页面!M29="陆",6,IF(配装页面!M29="伍",5,IF(配装页面!M29="肆",4,0)))</f>
        <v>5</v>
      </c>
      <c r="M1066" s="5">
        <v>164.73599999999999</v>
      </c>
      <c r="N1066" s="5" t="s">
        <v>176</v>
      </c>
      <c r="O1066" s="5">
        <v>42</v>
      </c>
      <c r="P1066" s="5">
        <v>84</v>
      </c>
      <c r="Q1066" s="5">
        <v>188</v>
      </c>
      <c r="R1066" s="5">
        <v>188</v>
      </c>
      <c r="S1066" s="5">
        <v>188</v>
      </c>
      <c r="T1066" s="5">
        <v>188</v>
      </c>
      <c r="U1066" s="5">
        <v>188</v>
      </c>
      <c r="AA1066" s="5">
        <f t="shared" si="174"/>
        <v>4819</v>
      </c>
      <c r="AB1066" s="5">
        <f t="shared" si="175"/>
        <v>0</v>
      </c>
      <c r="AC1066" s="5">
        <f t="shared" si="175"/>
        <v>0</v>
      </c>
      <c r="AD1066" s="5">
        <f t="shared" si="175"/>
        <v>0</v>
      </c>
      <c r="AE1066" s="5">
        <f t="shared" si="175"/>
        <v>0</v>
      </c>
      <c r="AF1066" s="5">
        <f t="shared" si="175"/>
        <v>1</v>
      </c>
      <c r="AG1066" s="5">
        <f t="shared" si="175"/>
        <v>1</v>
      </c>
      <c r="AH1066" s="5">
        <f t="shared" si="167"/>
        <v>0</v>
      </c>
      <c r="AI1066" s="5">
        <f t="shared" si="167"/>
        <v>0</v>
      </c>
      <c r="AJ1066" s="5">
        <f t="shared" si="168"/>
        <v>0</v>
      </c>
      <c r="AK1066" s="5">
        <f t="shared" si="169"/>
        <v>1</v>
      </c>
      <c r="AL1066" s="5">
        <f t="shared" si="170"/>
        <v>0</v>
      </c>
      <c r="AM1066" s="5">
        <f t="shared" si="171"/>
        <v>0</v>
      </c>
      <c r="AN1066" s="5">
        <f t="shared" si="172"/>
        <v>2</v>
      </c>
      <c r="AO1066" s="5">
        <f t="shared" si="173"/>
        <v>0</v>
      </c>
      <c r="AP1066" s="5">
        <f t="shared" si="163"/>
        <v>1</v>
      </c>
      <c r="AQ1066" s="5">
        <f t="shared" si="163"/>
        <v>0</v>
      </c>
      <c r="AR1066" s="5" t="str">
        <f>IF(INDEX($AA$2:$AC$1047,MATCH($D1078,$D$2:$D$1047,0),AR$1059)="","无镶嵌孔",INDEX($AA$2:$AC$1047,MATCH($D1078,$D$2:$D$1047,0),AR$1059))</f>
        <v>无双孔</v>
      </c>
      <c r="AU1066" s="54">
        <f ca="1">IF(INDIRECT(ADDRESS(ROW(),COLUMN()-3))="无镶嵌孔",0,配装页面!G28)</f>
        <v>7</v>
      </c>
      <c r="AX1066" s="57">
        <v>0.5</v>
      </c>
      <c r="AY1066" s="5">
        <f t="shared" si="165"/>
        <v>11205</v>
      </c>
      <c r="AZ1066" s="5">
        <f ca="1">ROUND(CHOOSE(AU1066+1,M1060,M1061,M1062,M1063,M1064,M1065,$M$1066,$M$1067,$M$1068),0)</f>
        <v>247</v>
      </c>
      <c r="BB1066" s="5">
        <f>IFERROR(CHOOSE(INDEX($AU1066:$AW1066,1,MATCH(BB$1059,$AR1066:$AT1066,0))+1,BB1050,BB1051,BB1052,BB1053,BB1054,BB1055,BB$1056,BB$1057,BB$1058),0)</f>
        <v>0</v>
      </c>
      <c r="BC1066" s="5">
        <f>IFERROR(CHOOSE(INDEX($AU1066:$AW1066,1,MATCH(BC$1059,$AR1066:$AT1066,0))+1,BC1050,BC1051,BC1052,BC1053,BC1054,BC1055,BC$1056,BC$1057,BC$1058),0)</f>
        <v>0</v>
      </c>
      <c r="BD1066" s="5">
        <f t="shared" si="166"/>
        <v>840</v>
      </c>
      <c r="BG1066" s="5">
        <f ca="1">IFERROR(IF(AND($BF$1065&gt;=INDEX($BH1066:$BJ1066,1,$L$1066-3),$BG$1065&gt;=INDEX($BK1066:$BM1066,1,$L$1066-3)),1,0),0)</f>
        <v>1</v>
      </c>
      <c r="BH1066" s="5">
        <v>40</v>
      </c>
      <c r="BI1066" s="5">
        <v>45</v>
      </c>
      <c r="BJ1066" s="5">
        <v>50</v>
      </c>
      <c r="BK1066" s="5">
        <v>11</v>
      </c>
      <c r="BL1066" s="5">
        <v>13</v>
      </c>
      <c r="BM1066" s="5">
        <v>14</v>
      </c>
      <c r="BN1066" s="5">
        <v>1</v>
      </c>
    </row>
    <row r="1067" spans="1:66" x14ac:dyDescent="0.35">
      <c r="M1067" s="5">
        <v>247.10399999999998</v>
      </c>
      <c r="N1067" s="5" t="s">
        <v>183</v>
      </c>
      <c r="O1067" s="5">
        <v>63</v>
      </c>
      <c r="P1067" s="5">
        <v>126</v>
      </c>
      <c r="Q1067" s="5">
        <v>282</v>
      </c>
      <c r="R1067" s="5">
        <v>282</v>
      </c>
      <c r="S1067" s="5">
        <v>282</v>
      </c>
      <c r="T1067" s="5">
        <v>282</v>
      </c>
      <c r="U1067" s="5">
        <v>282</v>
      </c>
      <c r="AA1067" s="5">
        <f t="shared" si="174"/>
        <v>3333</v>
      </c>
      <c r="AB1067" s="5">
        <f t="shared" si="175"/>
        <v>0</v>
      </c>
      <c r="AC1067" s="5">
        <f t="shared" si="175"/>
        <v>1</v>
      </c>
      <c r="AD1067" s="5">
        <f t="shared" si="175"/>
        <v>0</v>
      </c>
      <c r="AE1067" s="5">
        <f t="shared" si="175"/>
        <v>0</v>
      </c>
      <c r="AF1067" s="5">
        <f t="shared" si="175"/>
        <v>1</v>
      </c>
      <c r="AG1067" s="5">
        <f t="shared" si="175"/>
        <v>0</v>
      </c>
      <c r="AH1067" s="5">
        <f t="shared" si="167"/>
        <v>1</v>
      </c>
      <c r="AI1067" s="5">
        <f t="shared" si="167"/>
        <v>0</v>
      </c>
      <c r="AJ1067" s="5">
        <f t="shared" si="168"/>
        <v>0</v>
      </c>
      <c r="AK1067" s="5">
        <f t="shared" si="169"/>
        <v>0</v>
      </c>
      <c r="AL1067" s="5">
        <f t="shared" si="170"/>
        <v>0</v>
      </c>
      <c r="AM1067" s="5">
        <f t="shared" si="171"/>
        <v>0</v>
      </c>
      <c r="AN1067" s="5">
        <f t="shared" si="172"/>
        <v>0</v>
      </c>
      <c r="AO1067" s="5">
        <f t="shared" si="173"/>
        <v>0</v>
      </c>
      <c r="AP1067" s="5">
        <f t="shared" si="163"/>
        <v>1</v>
      </c>
      <c r="AQ1067" s="5">
        <f t="shared" si="163"/>
        <v>0</v>
      </c>
      <c r="AR1067" s="5" t="str">
        <f>IF(INDEX($AA$2:$AC$1047,MATCH($D1079,$D$2:$D$1047,0),AR$1059)="","无镶嵌孔",INDEX($AA$2:$AC$1047,MATCH($D1079,$D$2:$D$1047,0),AR$1059))</f>
        <v>无双孔</v>
      </c>
      <c r="AU1067" s="54">
        <f ca="1">IF(INDIRECT(ADDRESS(ROW(),COLUMN()-3))="无镶嵌孔",0,配装页面!O28)</f>
        <v>7</v>
      </c>
      <c r="AX1067" s="57">
        <v>0.5</v>
      </c>
      <c r="AY1067" s="5">
        <f t="shared" si="165"/>
        <v>11340</v>
      </c>
      <c r="AZ1067" s="5">
        <f ca="1">ROUND(CHOOSE(AU1067+1,M1060,M1061,M1062,M1063,M1064,M1065,$M$1066,$M$1067,$M$1068),0)</f>
        <v>247</v>
      </c>
      <c r="BB1067" s="5">
        <f>IFERROR(CHOOSE(INDEX($AU1067:$AW1067,1,MATCH(BB$1059,$AR1067:$AT1067,0))+1,BB1050,BB1051,BB1052,BB1053,BB1054,BB1055,BB$1056,BB$1057,BB$1058),0)</f>
        <v>0</v>
      </c>
      <c r="BC1067" s="5">
        <f>IFERROR(CHOOSE(INDEX($AU1067:$AW1067,1,MATCH(BC$1059,$AR1067:$AT1067,0))+1,BC1050,BC1051,BC1052,BC1053,BC1054,BC1055,BC$1056,BC$1057,BC$1058),0)</f>
        <v>0</v>
      </c>
      <c r="BD1067" s="5">
        <f t="shared" si="166"/>
        <v>851</v>
      </c>
      <c r="BG1067" s="5">
        <f t="shared" ref="BG1067:BG1068" ca="1" si="176">IFERROR(IF(AND($BF$1065&gt;=INDEX($BH1067:$BJ1067,1,$L$1066-3),$BG$1065&gt;=INDEX($BK1067:$BM1067,1,$L$1066-3)),1,0),0)</f>
        <v>1</v>
      </c>
      <c r="BH1067" s="5">
        <v>60</v>
      </c>
      <c r="BI1067" s="5">
        <v>75</v>
      </c>
      <c r="BJ1067" s="5">
        <v>90</v>
      </c>
      <c r="BK1067" s="5">
        <v>12</v>
      </c>
      <c r="BL1067" s="5">
        <v>14</v>
      </c>
      <c r="BM1067" s="5">
        <v>16</v>
      </c>
      <c r="BN1067" s="5">
        <v>2</v>
      </c>
    </row>
    <row r="1068" spans="1:66" x14ac:dyDescent="0.35">
      <c r="M1068" s="5">
        <v>366.08000000000004</v>
      </c>
      <c r="N1068" s="5" t="s">
        <v>184</v>
      </c>
      <c r="O1068" s="5">
        <v>93</v>
      </c>
      <c r="P1068" s="5">
        <v>187</v>
      </c>
      <c r="Q1068" s="5">
        <v>418</v>
      </c>
      <c r="R1068" s="5">
        <v>418</v>
      </c>
      <c r="S1068" s="5">
        <v>418</v>
      </c>
      <c r="T1068" s="5">
        <v>418</v>
      </c>
      <c r="U1068" s="5">
        <v>418</v>
      </c>
      <c r="Y1068" s="5">
        <f>SUM(O1069:U1069,V1072:V1083)</f>
        <v>0</v>
      </c>
      <c r="AA1068" s="5">
        <f t="shared" si="174"/>
        <v>2410</v>
      </c>
      <c r="AB1068" s="5">
        <f t="shared" si="175"/>
        <v>0</v>
      </c>
      <c r="AC1068" s="5">
        <f t="shared" si="175"/>
        <v>0</v>
      </c>
      <c r="AD1068" s="5">
        <f t="shared" si="175"/>
        <v>0</v>
      </c>
      <c r="AE1068" s="5">
        <f t="shared" si="175"/>
        <v>0</v>
      </c>
      <c r="AF1068" s="5">
        <f t="shared" si="175"/>
        <v>0</v>
      </c>
      <c r="AG1068" s="5">
        <f t="shared" si="175"/>
        <v>0</v>
      </c>
      <c r="AH1068" s="5">
        <f t="shared" si="167"/>
        <v>1</v>
      </c>
      <c r="AI1068" s="5">
        <f t="shared" si="167"/>
        <v>0</v>
      </c>
      <c r="AJ1068" s="5">
        <f t="shared" si="168"/>
        <v>0</v>
      </c>
      <c r="AK1068" s="5">
        <f t="shared" si="169"/>
        <v>0</v>
      </c>
      <c r="AL1068" s="5">
        <f t="shared" si="170"/>
        <v>0</v>
      </c>
      <c r="AM1068" s="5">
        <f t="shared" si="171"/>
        <v>0</v>
      </c>
      <c r="AN1068" s="5">
        <f t="shared" si="172"/>
        <v>0</v>
      </c>
      <c r="AO1068" s="5">
        <f t="shared" si="173"/>
        <v>0</v>
      </c>
      <c r="AP1068" s="5">
        <f t="shared" si="163"/>
        <v>0</v>
      </c>
      <c r="AQ1068" s="5">
        <f t="shared" si="163"/>
        <v>0</v>
      </c>
      <c r="AX1068" s="57">
        <v>0.5</v>
      </c>
      <c r="AY1068" s="5">
        <f t="shared" si="165"/>
        <v>11205</v>
      </c>
      <c r="BB1068" s="5">
        <f>IFERROR(CHOOSE(INDEX($AU1068:$AW1068,1,MATCH(BB$1059,$AR1068:$AT1068,0))+1,BB1050,BB1051,BB1052,BB1053,BB1054,BB1055,BB$1056,BB$1057,BB$1058),0)</f>
        <v>0</v>
      </c>
      <c r="BC1068" s="5">
        <f>IFERROR(CHOOSE(INDEX($AU1068:$AW1068,1,MATCH(BC$1059,$AR1068:$AT1068,0))+1,BC1050,BC1051,BC1052,BC1053,BC1054,BC1055,BC$1056,BC$1057,BC$1058),0)</f>
        <v>0</v>
      </c>
      <c r="BD1068" s="5">
        <f t="shared" si="166"/>
        <v>840</v>
      </c>
      <c r="BG1068" s="5">
        <f t="shared" ca="1" si="176"/>
        <v>1</v>
      </c>
      <c r="BH1068" s="5">
        <v>72</v>
      </c>
      <c r="BI1068" s="5">
        <v>90</v>
      </c>
      <c r="BJ1068" s="5">
        <v>108</v>
      </c>
      <c r="BK1068" s="5">
        <v>14</v>
      </c>
      <c r="BL1068" s="5">
        <v>16</v>
      </c>
      <c r="BM1068" s="5">
        <v>18</v>
      </c>
      <c r="BN1068" s="5">
        <v>3</v>
      </c>
    </row>
    <row r="1069" spans="1:66" x14ac:dyDescent="0.35">
      <c r="Y1069" s="5">
        <f>18-V1070-V1071-Y1068</f>
        <v>18</v>
      </c>
      <c r="AA1069" s="5">
        <f t="shared" si="174"/>
        <v>2439</v>
      </c>
      <c r="AB1069" s="5">
        <f t="shared" si="175"/>
        <v>0</v>
      </c>
      <c r="AC1069" s="5">
        <f t="shared" si="175"/>
        <v>0</v>
      </c>
      <c r="AD1069" s="5">
        <f t="shared" si="175"/>
        <v>0</v>
      </c>
      <c r="AE1069" s="5">
        <f t="shared" si="175"/>
        <v>0</v>
      </c>
      <c r="AF1069" s="5">
        <f t="shared" si="175"/>
        <v>0</v>
      </c>
      <c r="AG1069" s="5">
        <f t="shared" si="175"/>
        <v>0</v>
      </c>
      <c r="AH1069" s="5">
        <f t="shared" si="167"/>
        <v>0</v>
      </c>
      <c r="AI1069" s="5">
        <f t="shared" si="167"/>
        <v>0</v>
      </c>
      <c r="AJ1069" s="5">
        <f t="shared" si="168"/>
        <v>0</v>
      </c>
      <c r="AK1069" s="5">
        <f t="shared" si="169"/>
        <v>0</v>
      </c>
      <c r="AL1069" s="5">
        <f t="shared" si="170"/>
        <v>0</v>
      </c>
      <c r="AM1069" s="5">
        <f t="shared" si="171"/>
        <v>0</v>
      </c>
      <c r="AN1069" s="5">
        <f t="shared" si="172"/>
        <v>0</v>
      </c>
      <c r="AO1069" s="5">
        <f t="shared" si="173"/>
        <v>0</v>
      </c>
      <c r="AP1069" s="5">
        <f t="shared" si="163"/>
        <v>0</v>
      </c>
      <c r="AQ1069" s="5">
        <f t="shared" si="163"/>
        <v>0</v>
      </c>
      <c r="AX1069" s="57">
        <v>0.5</v>
      </c>
      <c r="AY1069" s="5">
        <f t="shared" si="165"/>
        <v>11205</v>
      </c>
      <c r="BB1069" s="5">
        <f>IFERROR(CHOOSE(INDEX($AU1069:$AW1069,1,MATCH(BB$1059,$AR1069:$AT1069,0))+1,BB1050,BB1051,BB1052,BB1053,BB1054,BB1055,BB$1056,BB$1057,BB$1058),0)</f>
        <v>0</v>
      </c>
      <c r="BC1069" s="5">
        <f>IFERROR(CHOOSE(INDEX($AU1069:$AW1069,1,MATCH(BC$1059,$AR1069:$AT1069,0))+1,BC1050,BC1051,BC1052,BC1053,BC1054,BC1055,BC$1056,BC$1057,BC$1058),0)</f>
        <v>0</v>
      </c>
      <c r="BD1069" s="5">
        <f t="shared" si="166"/>
        <v>840</v>
      </c>
    </row>
    <row r="1070" spans="1:66" x14ac:dyDescent="0.35">
      <c r="AA1070" s="5">
        <f t="shared" si="174"/>
        <v>2410</v>
      </c>
      <c r="AB1070" s="5">
        <f t="shared" si="175"/>
        <v>0</v>
      </c>
      <c r="AC1070" s="5">
        <f t="shared" si="175"/>
        <v>0</v>
      </c>
      <c r="AD1070" s="5">
        <f t="shared" si="175"/>
        <v>0</v>
      </c>
      <c r="AE1070" s="5">
        <f t="shared" si="175"/>
        <v>0</v>
      </c>
      <c r="AF1070" s="5">
        <f t="shared" si="175"/>
        <v>0</v>
      </c>
      <c r="AG1070" s="5">
        <f t="shared" si="175"/>
        <v>0</v>
      </c>
      <c r="AH1070" s="5">
        <f t="shared" si="167"/>
        <v>0</v>
      </c>
      <c r="AI1070" s="5">
        <f t="shared" si="167"/>
        <v>0</v>
      </c>
      <c r="AJ1070" s="5">
        <f t="shared" si="168"/>
        <v>0</v>
      </c>
      <c r="AK1070" s="5">
        <f t="shared" si="169"/>
        <v>0</v>
      </c>
      <c r="AL1070" s="5">
        <f t="shared" si="170"/>
        <v>0</v>
      </c>
      <c r="AM1070" s="5">
        <f t="shared" si="171"/>
        <v>0</v>
      </c>
      <c r="AN1070" s="5">
        <f t="shared" si="172"/>
        <v>0</v>
      </c>
      <c r="AO1070" s="5">
        <f t="shared" si="173"/>
        <v>0</v>
      </c>
      <c r="AP1070" s="5">
        <f t="shared" si="163"/>
        <v>0</v>
      </c>
      <c r="AQ1070" s="5">
        <f t="shared" si="163"/>
        <v>0</v>
      </c>
      <c r="AR1070" s="5" t="str">
        <f>IF(INDEX($AA$2:$AC$1047,MATCH($D1082,$D$2:$D$1047,0),AR$1059)="","无镶嵌孔",INDEX($AA$2:$AC$1047,MATCH($D1082,$D$2:$D$1047,0),AR$1059))</f>
        <v>力道孔</v>
      </c>
      <c r="AU1070" s="54">
        <f ca="1">IF(INDIRECT(ADDRESS(ROW(),COLUMN()-3))="无镶嵌孔",0,配装页面!O35)</f>
        <v>7</v>
      </c>
      <c r="AX1070" s="57">
        <v>0.6</v>
      </c>
      <c r="AY1070" s="5">
        <f t="shared" si="165"/>
        <v>13446</v>
      </c>
      <c r="AZ1070" s="5">
        <f ca="1">ROUND(CHOOSE(AU1070+1,M1060,M1061,M1062,M1063,M1064,M1065,$M$1066,$M$1067,$M$1068),0)</f>
        <v>247</v>
      </c>
      <c r="BB1070" s="5">
        <f>IFERROR(CHOOSE(INDEX($AU1070:$AW1070,1,MATCH(BB$1059,$AR1070:$AT1070,0))+1,BB1050,BB1051,BB1052,BB1053,BB1054,BB1055,BB$1056,BB$1057,BB$1058),0)</f>
        <v>0</v>
      </c>
      <c r="BC1070" s="5">
        <f>IFERROR(CHOOSE(INDEX($AU1070:$AW1070,1,MATCH(BC$1059,$AR1070:$AT1070,0))+1,BC1050,BC1051,BC1052,BC1053,BC1054,BC1055,BC$1056,BC$1057,BC$1058),0)</f>
        <v>0</v>
      </c>
      <c r="BD1070" s="5">
        <f t="shared" si="166"/>
        <v>1008</v>
      </c>
    </row>
    <row r="1071" spans="1:66" x14ac:dyDescent="0.35">
      <c r="A1071" s="54" t="s">
        <v>362</v>
      </c>
      <c r="B1071" s="54" t="s">
        <v>361</v>
      </c>
      <c r="O1071" s="5">
        <f t="shared" ref="O1071:U1071" ca="1" si="177">COUNTIF(O$1072:O$1083,O1068)</f>
        <v>1</v>
      </c>
      <c r="P1071" s="5">
        <f t="shared" ca="1" si="177"/>
        <v>0</v>
      </c>
      <c r="Q1071" s="5">
        <f t="shared" ca="1" si="177"/>
        <v>1</v>
      </c>
      <c r="R1071" s="5">
        <f t="shared" ca="1" si="177"/>
        <v>1</v>
      </c>
      <c r="S1071" s="5">
        <f t="shared" ca="1" si="177"/>
        <v>0</v>
      </c>
      <c r="T1071" s="5">
        <f t="shared" ca="1" si="177"/>
        <v>0</v>
      </c>
      <c r="U1071" s="5">
        <f t="shared" ca="1" si="177"/>
        <v>0</v>
      </c>
      <c r="V1071" s="5">
        <v>0</v>
      </c>
      <c r="AA1071" s="5">
        <f t="shared" si="174"/>
        <v>2410</v>
      </c>
      <c r="AB1071" s="5">
        <f t="shared" si="175"/>
        <v>0</v>
      </c>
      <c r="AC1071" s="5">
        <f t="shared" si="175"/>
        <v>0</v>
      </c>
      <c r="AD1071" s="5">
        <f t="shared" si="175"/>
        <v>0</v>
      </c>
      <c r="AE1071" s="5">
        <f t="shared" si="175"/>
        <v>0</v>
      </c>
      <c r="AF1071" s="5">
        <f t="shared" si="175"/>
        <v>0</v>
      </c>
      <c r="AG1071" s="5">
        <f t="shared" si="175"/>
        <v>0</v>
      </c>
      <c r="AH1071" s="5">
        <f t="shared" si="167"/>
        <v>0</v>
      </c>
      <c r="AI1071" s="5">
        <f t="shared" si="167"/>
        <v>0</v>
      </c>
      <c r="AJ1071" s="5">
        <f t="shared" si="168"/>
        <v>1</v>
      </c>
      <c r="AK1071" s="5">
        <f t="shared" si="169"/>
        <v>0</v>
      </c>
      <c r="AL1071" s="5">
        <f t="shared" si="170"/>
        <v>0</v>
      </c>
      <c r="AM1071" s="5">
        <f t="shared" si="171"/>
        <v>0</v>
      </c>
      <c r="AN1071" s="5">
        <f t="shared" si="172"/>
        <v>0</v>
      </c>
      <c r="AO1071" s="5">
        <f t="shared" si="173"/>
        <v>0</v>
      </c>
      <c r="AP1071" s="5">
        <f t="shared" si="163"/>
        <v>0</v>
      </c>
      <c r="AQ1071" s="5">
        <f t="shared" si="163"/>
        <v>0</v>
      </c>
      <c r="AR1071" s="5" t="str">
        <f>IF(INDEX($AA$2:$AC$1047,MATCH($D1083,$D$2:$D$1047,0),AR$1059)="","无镶嵌孔",INDEX($AA$2:$AC$1047,MATCH($D1083,$D$2:$D$1047,0),AR$1059))</f>
        <v>会效孔</v>
      </c>
      <c r="AS1071" s="5" t="str">
        <f>IF(INDEX($AA$2:$AC$1047,MATCH($D1083,$D$2:$D$1047,0),AS$1059)="","无镶嵌孔",INDEX($AA$2:$AC$1047,MATCH($D1083,$D$2:$D$1047,0),AS$1059))</f>
        <v>会心孔</v>
      </c>
      <c r="AT1071" s="5" t="str">
        <f>IF(INDEX($AA$2:$AC$1047,MATCH($D1083,$D$2:$D$1047,0),AT$1059)="","无镶嵌孔",INDEX($AA$2:$AC$1047,MATCH($D1083,$D$2:$D$1047,0),AT$1059))</f>
        <v>力道孔</v>
      </c>
      <c r="AU1071" s="54">
        <f ca="1">IF(INDIRECT(ADDRESS(ROW(),COLUMN()-3))="无镶嵌孔",0,配装页面!G35)</f>
        <v>8</v>
      </c>
      <c r="AV1071" s="54">
        <f ca="1">IF(INDIRECT(ADDRESS(ROW(),COLUMN()-3))="无镶嵌孔",0,配装页面!G36)</f>
        <v>8</v>
      </c>
      <c r="AW1071" s="54">
        <f ca="1">IF(INDIRECT(ADDRESS(ROW(),COLUMN()-3))="无镶嵌孔",0,配装页面!I36)</f>
        <v>8</v>
      </c>
      <c r="AX1071" s="57">
        <v>1.2</v>
      </c>
      <c r="AY1071" s="5">
        <f t="shared" si="165"/>
        <v>26892</v>
      </c>
      <c r="AZ1071" s="5">
        <f ca="1">ROUND(CHOOSE(AU1071+1,M1060,M1061,M1062,M1063,M1064,M1065,$M$1066,$M$1067,$M$1068)+CHOOSE(AV1071+1,M1060,M1061,M1062,M1063,M1064,M1065,$M$1066,$M$1067,$M$1068)+CHOOSE(AW1071+1,M1060,M1061,M1062,M1063,M1064,M1065,$M$1066,$M$1067,$M$1068),0)</f>
        <v>1098</v>
      </c>
      <c r="BB1071" s="5">
        <f>IFERROR(CHOOSE(INDEX($AU1071:$AW1071,1,MATCH(BB$1059,$AR1071:$AT1071,0))+1,BB1050,BB1051,BB1052,BB1053,BB1054,BB1055,BB$1056,BB$1057,BB$1058),0)</f>
        <v>0</v>
      </c>
      <c r="BC1071" s="5">
        <f>IFERROR(CHOOSE(INDEX($AU1071:$AW1071,1,MATCH(BC$1059,$AR1071:$AT1071,0))+1,BC1050,BC1051,BC1052,BC1053,BC1054,BC1055,BC$1056,BC$1057,BC$1058),0)</f>
        <v>0</v>
      </c>
      <c r="BD1071" s="5">
        <f t="shared" si="166"/>
        <v>2017</v>
      </c>
    </row>
    <row r="1072" spans="1:66" x14ac:dyDescent="0.35">
      <c r="A1072" s="5">
        <f>MIN(B1072,配装页面!I13)</f>
        <v>6</v>
      </c>
      <c r="B1072" s="5">
        <f t="shared" ref="B1072:B1083" si="178">INDEX($A$1:$Z$1047,MATCH($D1072,$D$1:$D$1047,0),24)</f>
        <v>6</v>
      </c>
      <c r="C1072" s="5">
        <f t="shared" ref="C1072:C1083" si="179">INDEX($A$1:$Z$1047,MATCH($D1072,$D$1:$D$1047,0),COLUMN())</f>
        <v>12300</v>
      </c>
      <c r="D1072" s="5" t="str">
        <f>配装页面!G12</f>
        <v>【门派套装】濯心·映寒冠(12300招破)</v>
      </c>
      <c r="E1072" s="5">
        <f t="shared" ref="E1072:E1083" ca="1" si="180">ROUND(INDEX($A$1:$Z$1047,MATCH($D1072,$D$1:$D$1047,0),COLUMN())*CHOOSE($A1072+1,1,1.005,1.013,1.024,1.038,1.055,1.075,1.098,1.124),0)+O1072</f>
        <v>894</v>
      </c>
      <c r="F1072" s="5">
        <f t="shared" ref="F1072:F1083" ca="1" si="181">ROUND(INDEX($A$1:$Z$1047,MATCH($D1072,$D$1:$D$1047,0),COLUMN())*CHOOSE($A1072+1,1,1.005,1.013,1.024,1.038,1.055,1.075,1.098,1.124),0)+P1072</f>
        <v>1474</v>
      </c>
      <c r="G1072" s="5">
        <f t="shared" ref="G1072:G1083" si="182">ROUND(INDEX($A$1:$Z$1047,MATCH($D1072,$D$1:$D$1047,0),COLUMN())*CHOOSE($A1072+1,1,1.005,1.013,1.024,1.038,1.055,1.075,1.098,1.124),0)+Q1072</f>
        <v>0</v>
      </c>
      <c r="H1072" s="5">
        <f t="shared" ref="H1072:H1083" si="183">ROUND(INDEX($A$1:$Z$1047,MATCH($D1072,$D$1:$D$1047,0),COLUMN())*CHOOSE($A1072+1,1,1.005,1.013,1.024,1.038,1.055,1.075,1.098,1.124),0)+R1072</f>
        <v>0</v>
      </c>
      <c r="I1072" s="5">
        <f t="shared" ref="I1072:I1083" si="184">ROUND(INDEX($A$1:$Z$1047,MATCH($D1072,$D$1:$D$1047,0),COLUMN())*CHOOSE($A1072+1,1,1.005,1.013,1.024,1.038,1.055,1.075,1.098,1.124),0)+S1072</f>
        <v>4170</v>
      </c>
      <c r="J1072" s="5">
        <f t="shared" ref="J1072:J1083" si="185">ROUND(INDEX($A$1:$Z$1047,MATCH($D1072,$D$1:$D$1047,0),COLUMN())*CHOOSE($A1072+1,1,1.005,1.013,1.024,1.038,1.055,1.075,1.098,1.124),0)+T1072</f>
        <v>3707</v>
      </c>
      <c r="K1072" s="5">
        <f t="shared" ref="K1072:K1083" si="186">ROUND(INDEX($A$1:$Z$1047,MATCH($D1072,$D$1:$D$1047,0),COLUMN())*CHOOSE($A1072+1,1,1.005,1.013,1.024,1.038,1.055,1.075,1.098,1.124),0)+U1072</f>
        <v>0</v>
      </c>
      <c r="L1072" s="5">
        <f t="shared" ref="L1072:L1083" si="187">ROUND(INDEX($A$1:$Z$1047,MATCH($D1072,$D$1:$D$1047,0),COLUMN())*CHOOSE($A1072+1,1,1.005,1.013,1.024,1.038,1.055,1.075,1.098,1.124),0)+V1072</f>
        <v>0</v>
      </c>
      <c r="M1072" s="5">
        <f t="shared" ref="M1072:M1083" si="188">INDEX($A$1:$Z$1047,MATCH($D1072,$D$1:$D$1047,0),COLUMN())+W1072</f>
        <v>0</v>
      </c>
      <c r="N1072" s="5">
        <f t="shared" ref="N1072:N1083" si="189">INDEX($A$1:$Z$1047,MATCH($D1072,$D$1:$D$1047,0),COLUMN())+X1072</f>
        <v>0</v>
      </c>
      <c r="O1072" s="5">
        <f ca="1">IFERROR(INDEX($A$1:$Z$1047,MATCH($D1072,$D$1:$D$1047,0),COLUMN())*CHOOSE(INDEX($AU1060:$AV1060,1,AJ1061)+1,O1060,O1061,O1062,O1063,O1064,O1065,O$1066,O$1067,O$1068),0)</f>
        <v>63</v>
      </c>
      <c r="P1072" s="5">
        <f ca="1">IFERROR(INDEX($A$1:$Z$1047,MATCH($D1072,$D$1:$D$1047,0),COLUMN())*CHOOSE(INDEX($AU1060:$AV1060,1,AK1061)+1,P1060,P1061,P1062,P1063,P1064,P1065,P$1066,P$1067,P$1068),0)</f>
        <v>126</v>
      </c>
      <c r="Q1072" s="5">
        <f>IFERROR(INDEX($A$1:$Z$1047,MATCH($D1072,$D$1:$D$1047,0),COLUMN())*CHOOSE(INDEX($AU1060:$AV1060,1,AL1061)+1,Q1060,Q1061,Q1062,Q1063,Q1064,Q1065,Q$1066,Q$1067,Q$1068),0)</f>
        <v>0</v>
      </c>
      <c r="R1072" s="5">
        <f>IFERROR(INDEX($A$1:$Z$1047,MATCH($D1072,$D$1:$D$1047,0),COLUMN())*CHOOSE(INDEX($AU1060:$AV1060,1,AM1061)+1,Q1060,Q1061,Q1062,Q1063,Q1064,Q1065,R$1066,R$1067,R$1068),0)</f>
        <v>0</v>
      </c>
      <c r="S1072" s="5">
        <f>IFERROR(INDEX($A$1:$Z$1047,MATCH($D1072,$D$1:$D$1047,0),COLUMN())*CHOOSE(INDEX($AU1060:$AV1060,1,AN1061)+1,Q1060,Q1061,Q1062,Q1063,Q1064,Q1065,S$1066,S$1067,S$1068),0)</f>
        <v>0</v>
      </c>
      <c r="T1072" s="5">
        <f>IFERROR(INDEX($A$1:$Z$1047,MATCH($D1072,$D$1:$D$1047,0),COLUMN())*CHOOSE(INDEX($AU1060:$AV1060,1,AO1061)+1,Q1060,Q1061,Q1062,Q1063,Q1064,Q1065,T$1066,T$1067,T$1068),0)</f>
        <v>0</v>
      </c>
      <c r="U1072" s="5">
        <f>IFERROR(INDEX($A$1:$Z$1047,MATCH($D1072,$D$1:$D$1047,0),COLUMN())*CHOOSE(INDEX($AU1060:$AV1060,1,AP1060)+1,Q1060,Q1061,Q1062,Q1063,Q1064,Q1065,U$1066,U$1067,U$1068),0)</f>
        <v>0</v>
      </c>
      <c r="V1072" s="5">
        <v>0</v>
      </c>
      <c r="Y1072" s="5" t="str">
        <f t="shared" ref="Y1072:Y1083" si="190">INDEX($A$1:$Z$1047,MATCH($D1072,$D$1:$D$1047,0),COLUMN())</f>
        <v>兑换牌</v>
      </c>
      <c r="AA1072" s="5">
        <f t="shared" si="174"/>
        <v>2892</v>
      </c>
      <c r="AB1072" s="5">
        <f t="shared" si="175"/>
        <v>1</v>
      </c>
      <c r="AC1072" s="5">
        <f t="shared" si="175"/>
        <v>0</v>
      </c>
      <c r="AD1072" s="5">
        <f t="shared" si="175"/>
        <v>0</v>
      </c>
      <c r="AE1072" s="5">
        <f t="shared" si="175"/>
        <v>0</v>
      </c>
      <c r="AF1072" s="5">
        <f t="shared" si="175"/>
        <v>0</v>
      </c>
      <c r="AG1072" s="5">
        <f t="shared" si="175"/>
        <v>0</v>
      </c>
      <c r="AH1072" s="5">
        <f t="shared" si="167"/>
        <v>0</v>
      </c>
      <c r="AI1072" s="5">
        <f t="shared" si="167"/>
        <v>0</v>
      </c>
      <c r="AJ1072" s="5">
        <f>IFERROR(MATCH(AJ$1060,$AR1071:$AT1071,0),0)</f>
        <v>3</v>
      </c>
      <c r="AK1072" s="5">
        <f t="shared" si="169"/>
        <v>0</v>
      </c>
      <c r="AL1072" s="5">
        <f t="shared" si="170"/>
        <v>2</v>
      </c>
      <c r="AM1072" s="5">
        <f t="shared" si="171"/>
        <v>1</v>
      </c>
      <c r="AN1072" s="5">
        <f t="shared" si="172"/>
        <v>0</v>
      </c>
      <c r="AO1072" s="5">
        <f t="shared" si="173"/>
        <v>0</v>
      </c>
      <c r="AY1072" s="5">
        <f>SUM(AY1060:AY1071)</f>
        <v>196452</v>
      </c>
      <c r="BA1072" s="5">
        <f ca="1">SUM(AY1060:BA1071,BD1060:BD1071,BA1085)</f>
        <v>234840</v>
      </c>
      <c r="BD1072" s="5">
        <f>SUM(BD1060:BD1071)</f>
        <v>14152</v>
      </c>
      <c r="BF1072" s="5">
        <f ca="1">SUM(AZ1060:BA1071,BA1085)</f>
        <v>24236</v>
      </c>
    </row>
    <row r="1073" spans="1:56" x14ac:dyDescent="0.35">
      <c r="A1073" s="5">
        <f>MIN(B1073,配装页面!I18)</f>
        <v>6</v>
      </c>
      <c r="B1073" s="5">
        <f t="shared" si="178"/>
        <v>6</v>
      </c>
      <c r="C1073" s="5">
        <f t="shared" si="179"/>
        <v>12300</v>
      </c>
      <c r="D1073" s="5" t="str">
        <f>配装页面!G17</f>
        <v>【门派套装】濯心·映寒衣(12300会无)</v>
      </c>
      <c r="E1073" s="5">
        <f t="shared" si="180"/>
        <v>923</v>
      </c>
      <c r="F1073" s="5">
        <f t="shared" si="181"/>
        <v>1497</v>
      </c>
      <c r="G1073" s="5">
        <f t="shared" ca="1" si="182"/>
        <v>4914</v>
      </c>
      <c r="H1073" s="5">
        <f t="shared" ca="1" si="183"/>
        <v>282</v>
      </c>
      <c r="I1073" s="5">
        <f t="shared" si="184"/>
        <v>0</v>
      </c>
      <c r="J1073" s="5">
        <f t="shared" si="185"/>
        <v>0</v>
      </c>
      <c r="K1073" s="5">
        <f t="shared" si="186"/>
        <v>4118</v>
      </c>
      <c r="L1073" s="5">
        <f t="shared" si="187"/>
        <v>0</v>
      </c>
      <c r="M1073" s="5">
        <f t="shared" si="188"/>
        <v>0</v>
      </c>
      <c r="N1073" s="5">
        <f t="shared" si="189"/>
        <v>0</v>
      </c>
      <c r="O1073" s="5">
        <f>IFERROR(INDEX($A$1:$Z$1047,MATCH($D1073,$D$1:$D$1047,0),COLUMN())*CHOOSE(INDEX($AU1061:$AV1061,1,AJ1062)+1,O1060,O1061,O1062,O1063,O1064,O1065,O$1066,O$1067,O$1068),0)</f>
        <v>0</v>
      </c>
      <c r="P1073" s="5">
        <f>IFERROR(INDEX($A$1:$Z$1047,MATCH($D1073,$D$1:$D$1047,0),COLUMN())*CHOOSE(INDEX($AU1061:$AV1061,1,AK1062)+1,P1060,P1061,P1062,P1063,P1064,P1065,P$1066,P$1067,P$1068),0)</f>
        <v>0</v>
      </c>
      <c r="Q1073" s="5">
        <f ca="1">IFERROR(INDEX($A$1:$Z$1047,MATCH($D1073,$D$1:$D$1047,0),COLUMN())*CHOOSE(INDEX($AU1061:$AV1061,1,AL1062)+1,Q1060,Q1061,Q1062,Q1063,Q1064,Q1065,Q$1066,Q$1067,Q$1068),0)</f>
        <v>282</v>
      </c>
      <c r="R1073" s="5">
        <f ca="1">IFERROR(INDEX($A$1:$Z$1047,MATCH($D1073,$D$1:$D$1047,0),COLUMN())*CHOOSE(INDEX($AU1061:$AV1061,1,AM1062)+1,Q1060,Q1061,Q1062,Q1063,Q1064,Q1065,R$1066,R$1067,R$1068),0)</f>
        <v>282</v>
      </c>
      <c r="S1073" s="5">
        <f>IFERROR(INDEX($A$1:$Z$1047,MATCH($D1073,$D$1:$D$1047,0),COLUMN())*CHOOSE(INDEX($AU1061:$AV1061,1,AN1062)+1,Q1060,Q1061,Q1062,Q1063,Q1064,Q1065,S$1066,S$1067,S$1068),0)</f>
        <v>0</v>
      </c>
      <c r="T1073" s="5">
        <f>IFERROR(INDEX($A$1:$Z$1047,MATCH($D1073,$D$1:$D$1047,0),COLUMN())*CHOOSE(INDEX($AU1061:$AV1061,1,AO1062)+1,Q1060,Q1061,Q1062,Q1063,Q1064,Q1065,T$1066,T$1067,T$1068),0)</f>
        <v>0</v>
      </c>
      <c r="U1073" s="5">
        <f>IFERROR(INDEX($A$1:$Z$1047,MATCH($D1073,$D$1:$D$1047,0),COLUMN())*CHOOSE(INDEX($AU1061:$AV1061,1,AP1061)+1,Q1060,Q1061,Q1062,Q1063,Q1064,Q1065,U$1066,U$1067,U$1068),0)</f>
        <v>0</v>
      </c>
      <c r="V1073" s="5">
        <v>0</v>
      </c>
      <c r="Y1073" s="5" t="str">
        <f t="shared" si="190"/>
        <v>兑换牌</v>
      </c>
      <c r="AA1073" s="5">
        <f t="shared" si="174"/>
        <v>5784</v>
      </c>
      <c r="AB1073" s="5">
        <f t="shared" si="175"/>
        <v>1</v>
      </c>
      <c r="AC1073" s="5">
        <f t="shared" si="175"/>
        <v>0</v>
      </c>
      <c r="AD1073" s="5">
        <f t="shared" si="175"/>
        <v>1</v>
      </c>
      <c r="AE1073" s="5">
        <f t="shared" si="175"/>
        <v>1</v>
      </c>
      <c r="AF1073" s="5">
        <f t="shared" si="175"/>
        <v>0</v>
      </c>
      <c r="AG1073" s="5">
        <f t="shared" si="175"/>
        <v>0</v>
      </c>
      <c r="BA1073" s="5">
        <f>COUNTIF(D1085:D1086,"2456气血")*2456+COUNTIF(D1085:D1086,"3616气血")*3616+COUNTIF(D1085:D1086,"1808气血")*1808</f>
        <v>0</v>
      </c>
    </row>
    <row r="1074" spans="1:56" x14ac:dyDescent="0.35">
      <c r="A1074" s="5">
        <f>MIN(B1074,配装页面!I23)</f>
        <v>6</v>
      </c>
      <c r="B1074" s="5">
        <f t="shared" si="178"/>
        <v>6</v>
      </c>
      <c r="C1074" s="5">
        <f t="shared" si="179"/>
        <v>12300</v>
      </c>
      <c r="D1074" s="5" t="str">
        <f>配装页面!G22</f>
        <v>【门派套装】濯心·映寒腰带(12300会无)</v>
      </c>
      <c r="E1074" s="5">
        <f t="shared" si="180"/>
        <v>646</v>
      </c>
      <c r="F1074" s="5">
        <f t="shared" ca="1" si="181"/>
        <v>1174</v>
      </c>
      <c r="G1074" s="5">
        <f t="shared" ca="1" si="182"/>
        <v>3525</v>
      </c>
      <c r="H1074" s="5">
        <f t="shared" si="183"/>
        <v>0</v>
      </c>
      <c r="I1074" s="5">
        <f t="shared" si="184"/>
        <v>0</v>
      </c>
      <c r="J1074" s="5">
        <f t="shared" si="185"/>
        <v>0</v>
      </c>
      <c r="K1074" s="5">
        <f t="shared" si="186"/>
        <v>2882</v>
      </c>
      <c r="L1074" s="5">
        <f t="shared" si="187"/>
        <v>0</v>
      </c>
      <c r="M1074" s="5">
        <f t="shared" si="188"/>
        <v>0</v>
      </c>
      <c r="N1074" s="5">
        <f t="shared" si="189"/>
        <v>0</v>
      </c>
      <c r="O1074" s="5">
        <f>IFERROR(INDEX($A$1:$Z$1047,MATCH($D1074,$D$1:$D$1047,0),COLUMN())*CHOOSE(INDEX($AU1062:$AV1062,1,AJ1063)+1,O1060,O1061,O1062,O1063,O1064,O1065,O$1066,O$1067,O$1068),0)</f>
        <v>0</v>
      </c>
      <c r="P1074" s="5">
        <f ca="1">IFERROR(INDEX($A$1:$Z$1047,MATCH($D1074,$D$1:$D$1047,0),COLUMN())*CHOOSE(INDEX($AU1062:$AV1062,1,AK1063)+1,P1060,P1061,P1062,P1063,P1064,P1065,P$1066,P$1067,P$1068),0)</f>
        <v>126</v>
      </c>
      <c r="Q1074" s="5">
        <f ca="1">IFERROR(INDEX($A$1:$Z$1047,MATCH($D1074,$D$1:$D$1047,0),COLUMN())*CHOOSE(INDEX($AU1062:$AV1062,1,AL1063)+1,Q1060,Q1061,Q1062,Q1063,Q1064,Q1065,Q$1066,Q$1067,Q$1068),0)</f>
        <v>282</v>
      </c>
      <c r="R1074" s="5">
        <f>IFERROR(INDEX($A$1:$Z$1047,MATCH($D1074,$D$1:$D$1047,0),COLUMN())*CHOOSE(INDEX($AU1062:$AV1062,1,AM1063)+1,Q1060,Q1061,Q1062,Q1063,Q1064,Q1065,R$1066,R$1067,R$1068),0)</f>
        <v>0</v>
      </c>
      <c r="S1074" s="5">
        <f>IFERROR(INDEX($A$1:$Z$1047,MATCH($D1074,$D$1:$D$1047,0),COLUMN())*CHOOSE(INDEX($AU1062:$AV1062,1,AN1063)+1,Q1060,Q1061,Q1062,Q1063,Q1064,Q1065,S$1066,S$1067,S$1068),0)</f>
        <v>0</v>
      </c>
      <c r="T1074" s="5">
        <f>IFERROR(INDEX($A$1:$Z$1047,MATCH($D1074,$D$1:$D$1047,0),COLUMN())*CHOOSE(INDEX($AU1062:$AV1062,1,AO1063)+1,Q1060,Q1061,Q1062,Q1063,Q1064,Q1065,T$1066,T$1067,T$1068),0)</f>
        <v>0</v>
      </c>
      <c r="U1074" s="5">
        <f>IFERROR(INDEX($A$1:$Z$1047,MATCH($D1074,$D$1:$D$1047,0),COLUMN())*CHOOSE(INDEX($AU1062:$AV1062,1,AP1062)+1,Q1060,Q1061,Q1062,Q1063,Q1064,Q1065,U$1066,U$1067,U$1068),0)</f>
        <v>0</v>
      </c>
      <c r="V1074" s="5">
        <v>0</v>
      </c>
      <c r="Y1074" s="5" t="str">
        <f t="shared" si="190"/>
        <v>兑换牌</v>
      </c>
      <c r="AZ1074" s="54" t="s">
        <v>620</v>
      </c>
      <c r="BA1074" s="5">
        <f>COUNTIF(D1084:D1102,"182体质")*182+COUNTIF(D1084:D1102,"268体质")*268+COUNTIF(D1084:D1102,"134体质")*134</f>
        <v>0</v>
      </c>
    </row>
    <row r="1075" spans="1:56" x14ac:dyDescent="0.35">
      <c r="A1075" s="5">
        <f>MIN(B1075,配装页面!Q13)</f>
        <v>4</v>
      </c>
      <c r="B1075" s="5">
        <f t="shared" si="178"/>
        <v>4</v>
      </c>
      <c r="C1075" s="5">
        <f t="shared" si="179"/>
        <v>12450</v>
      </c>
      <c r="D1075" s="5" t="str">
        <f>配装页面!O12</f>
        <v>制野护腕(12450精简体攻破无)</v>
      </c>
      <c r="E1075" s="5">
        <f t="shared" si="180"/>
        <v>0</v>
      </c>
      <c r="F1075" s="5">
        <f t="shared" ca="1" si="181"/>
        <v>2333</v>
      </c>
      <c r="G1075" s="5">
        <f t="shared" si="182"/>
        <v>0</v>
      </c>
      <c r="H1075" s="5">
        <f t="shared" si="183"/>
        <v>0</v>
      </c>
      <c r="I1075" s="5">
        <f t="shared" si="184"/>
        <v>3345</v>
      </c>
      <c r="J1075" s="5">
        <f t="shared" ca="1" si="185"/>
        <v>282</v>
      </c>
      <c r="K1075" s="5">
        <f t="shared" si="186"/>
        <v>3697</v>
      </c>
      <c r="L1075" s="5">
        <f t="shared" si="187"/>
        <v>0</v>
      </c>
      <c r="M1075" s="5">
        <f t="shared" si="188"/>
        <v>0</v>
      </c>
      <c r="N1075" s="5">
        <f t="shared" si="189"/>
        <v>0</v>
      </c>
      <c r="O1075" s="5">
        <f>IFERROR(INDEX($A$1:$Z$1047,MATCH($D1075,$D$1:$D$1047,0),COLUMN())*CHOOSE(INDEX($AU1063:$AV1063,1,AJ1064)+1,O1060,O1061,O1062,O1063,O1064,O1065,O$1066,O$1067,O$1068),0)</f>
        <v>0</v>
      </c>
      <c r="P1075" s="5">
        <f ca="1">IFERROR(INDEX($A$1:$Z$1047,MATCH($D1075,$D$1:$D$1047,0),COLUMN())*CHOOSE(INDEX($AU1063:$AV1063,1,AK1064)+1,P1060,P1061,P1062,P1063,P1064,P1065,P$1066,P$1067,P$1068),0)</f>
        <v>126</v>
      </c>
      <c r="Q1075" s="5">
        <f>IFERROR(INDEX($A$1:$Z$1047,MATCH($D1075,$D$1:$D$1047,0),COLUMN())*CHOOSE(INDEX($AU1063:$AV1063,1,AL1064)+1,Q1060,Q1061,Q1062,Q1063,Q1064,Q1065,Q$1066,Q$1067,Q$1068),0)</f>
        <v>0</v>
      </c>
      <c r="R1075" s="5">
        <f>IFERROR(INDEX($A$1:$Z$1047,MATCH($D1075,$D$1:$D$1047,0),COLUMN())*CHOOSE(INDEX($AU1063:$AV1063,1,AM1064)+1,Q1060,Q1061,Q1062,Q1063,Q1064,Q1065,R$1066,R$1067,R$1068),0)</f>
        <v>0</v>
      </c>
      <c r="S1075" s="5">
        <f>IFERROR(INDEX($A$1:$Z$1047,MATCH($D1075,$D$1:$D$1047,0),COLUMN())*CHOOSE(INDEX($AU1063:$AV1063,1,AN1064)+1,Q1060,Q1061,Q1062,Q1063,Q1064,Q1065,S$1066,S$1067,S$1068),0)</f>
        <v>0</v>
      </c>
      <c r="T1075" s="5">
        <f ca="1">IFERROR(INDEX($A$1:$Z$1047,MATCH($D1075,$D$1:$D$1047,0),COLUMN())*CHOOSE(INDEX($AU1063:$AV1063,1,AO1064)+1,Q1060,Q1061,Q1062,Q1063,Q1064,Q1065,T$1066,T$1067,T$1068),0)</f>
        <v>282</v>
      </c>
      <c r="U1075" s="5">
        <f>IFERROR(INDEX($A$1:$Z$1047,MATCH($D1075,$D$1:$D$1047,0),COLUMN())*CHOOSE(INDEX($AU1063:$AV1063,1,AP1063)+1,Q1060,Q1061,Q1062,Q1063,Q1064,Q1065,U$1066,U$1067,U$1068),0)</f>
        <v>0</v>
      </c>
      <c r="V1075" s="5">
        <v>0</v>
      </c>
      <c r="Y1075" s="5" t="str">
        <f t="shared" si="190"/>
        <v>副本</v>
      </c>
      <c r="AH1075" s="5">
        <f>IFERROR(MATCH(AC1088,AH1076:AH1127,0),0)</f>
        <v>44</v>
      </c>
      <c r="AZ1075" s="5">
        <f ca="1">SUM(AZ1060:AZ1071)+BA1060</f>
        <v>7883</v>
      </c>
      <c r="BA1075" s="54" t="s">
        <v>503</v>
      </c>
      <c r="BB1075" s="54" t="s">
        <v>501</v>
      </c>
      <c r="BC1075" s="54" t="s">
        <v>502</v>
      </c>
      <c r="BD1075" s="54" t="s">
        <v>504</v>
      </c>
    </row>
    <row r="1076" spans="1:56" x14ac:dyDescent="0.35">
      <c r="A1076" s="5">
        <f>MIN(B1076,配装页面!Q18)</f>
        <v>6</v>
      </c>
      <c r="B1076" s="5">
        <f t="shared" si="178"/>
        <v>6</v>
      </c>
      <c r="C1076" s="5">
        <f t="shared" si="179"/>
        <v>12450</v>
      </c>
      <c r="D1076" s="5" t="str">
        <f>配装页面!O17</f>
        <v>温刃裤(12450招破)</v>
      </c>
      <c r="E1076" s="5">
        <f t="shared" si="180"/>
        <v>934</v>
      </c>
      <c r="F1076" s="5">
        <f t="shared" si="181"/>
        <v>1516</v>
      </c>
      <c r="G1076" s="5">
        <f t="shared" si="182"/>
        <v>0</v>
      </c>
      <c r="H1076" s="5">
        <f t="shared" si="183"/>
        <v>0</v>
      </c>
      <c r="I1076" s="5">
        <f t="shared" ca="1" si="184"/>
        <v>4971</v>
      </c>
      <c r="J1076" s="5">
        <f t="shared" ca="1" si="185"/>
        <v>4450</v>
      </c>
      <c r="K1076" s="5">
        <f t="shared" si="186"/>
        <v>0</v>
      </c>
      <c r="L1076" s="5">
        <f t="shared" si="187"/>
        <v>0</v>
      </c>
      <c r="M1076" s="5">
        <f t="shared" si="188"/>
        <v>0</v>
      </c>
      <c r="N1076" s="5">
        <f t="shared" si="189"/>
        <v>0</v>
      </c>
      <c r="O1076" s="5">
        <f>IFERROR(INDEX($A$1:$Z$1047,MATCH($D1076,$D$1:$D$1047,0),COLUMN())*CHOOSE(INDEX($AU1064:$AV1064,1,AJ1065)+1,O1060,O1061,O1062,O1063,O1064,O1065,O$1066,O$1067,O$1068),0)</f>
        <v>0</v>
      </c>
      <c r="P1076" s="5">
        <f>IFERROR(INDEX($A$1:$Z$1047,MATCH($D1076,$D$1:$D$1047,0),COLUMN())*CHOOSE(INDEX($AU1064:$AV1064,1,AK1065)+1,P1060,P1061,P1062,P1063,P1064,P1065,P$1066,P$1067,P$1068),0)</f>
        <v>0</v>
      </c>
      <c r="Q1076" s="5">
        <f>IFERROR(INDEX($A$1:$Z$1047,MATCH($D1076,$D$1:$D$1047,0),COLUMN())*CHOOSE(INDEX($AU1064:$AV1064,1,AL1065)+1,Q1060,Q1061,Q1062,Q1063,Q1064,Q1065,Q$1066,Q$1067,Q$1068),0)</f>
        <v>0</v>
      </c>
      <c r="R1076" s="5">
        <f>IFERROR(INDEX($A$1:$Z$1047,MATCH($D1076,$D$1:$D$1047,0),COLUMN())*CHOOSE(INDEX($AU1064:$AV1064,1,AM1065)+1,Q1060,Q1061,Q1062,Q1063,Q1064,Q1065,R$1066,R$1067,R$1068),0)</f>
        <v>0</v>
      </c>
      <c r="S1076" s="5">
        <f ca="1">IFERROR(INDEX($A$1:$Z$1047,MATCH($D1076,$D$1:$D$1047,0),COLUMN())*CHOOSE(INDEX($AU1064:$AV1064,1,AN1065)+1,Q1060,Q1061,Q1062,Q1063,Q1064,Q1065,S$1066,S$1067,S$1068),0)</f>
        <v>282</v>
      </c>
      <c r="T1076" s="5">
        <f ca="1">IFERROR(INDEX($A$1:$Z$1047,MATCH($D1076,$D$1:$D$1047,0),COLUMN())*CHOOSE(INDEX($AU1064:$AV1064,1,AO1065)+1,Q1060,Q1061,Q1062,Q1063,Q1064,Q1065,T$1066,T$1067,T$1068),0)</f>
        <v>282</v>
      </c>
      <c r="U1076" s="5">
        <f>IFERROR(INDEX($A$1:$Z$1047,MATCH($D1076,$D$1:$D$1047,0),COLUMN())*CHOOSE(INDEX($AU1064:$AV1064,1,AP1064)+1,Q1060,Q1061,Q1062,Q1063,Q1064,Q1065,U$1066,U$1067,U$1068),0)</f>
        <v>0</v>
      </c>
      <c r="V1076" s="5">
        <v>0</v>
      </c>
      <c r="Y1076" s="5" t="str">
        <f t="shared" si="190"/>
        <v>副本</v>
      </c>
      <c r="AH1076" s="5" t="s">
        <v>366</v>
      </c>
      <c r="AJ1076" t="s">
        <v>156</v>
      </c>
      <c r="AK1076" s="5">
        <f t="shared" ref="AK1076:AK1083" si="191">MATCH(AJ1076,$A$2:$A$1047,0)</f>
        <v>1</v>
      </c>
      <c r="AL1076" s="5">
        <f>AK1077-AK1076</f>
        <v>65</v>
      </c>
      <c r="BA1076" s="5">
        <f>52285+BA1073</f>
        <v>52285</v>
      </c>
      <c r="BB1076" s="5">
        <f>CHOOSE(大附魔数值!$F$19,SUM(BB1060:BB1071,AA1062:AA1073)+41+配装页面!AE22+IF(COUNTIFS(D1072:D1083,"*御赐*",D1072:D1083,"*10000*")&gt;=2,248,0)+IF(COUNTIFS(D1072:D1083,"*蜀月*",D1072:D1083,"*10000*")&gt;=2,0,0)+BA1074,导出数据处理!F5)</f>
        <v>42174</v>
      </c>
      <c r="BC1076" s="5">
        <f>SUM(BC1060:BC1071)</f>
        <v>0</v>
      </c>
      <c r="BD1076" s="5">
        <v>235</v>
      </c>
    </row>
    <row r="1077" spans="1:56" x14ac:dyDescent="0.35">
      <c r="A1077" s="5">
        <f>MIN(B1077,配装页面!Q23)</f>
        <v>6</v>
      </c>
      <c r="B1077" s="5">
        <f t="shared" si="178"/>
        <v>6</v>
      </c>
      <c r="C1077" s="5">
        <f t="shared" si="179"/>
        <v>12300</v>
      </c>
      <c r="D1077" s="5" t="str">
        <f>配装页面!O22</f>
        <v>【门派套装】濯心·映寒靴(12300破无)</v>
      </c>
      <c r="E1077" s="5">
        <f t="shared" si="180"/>
        <v>646</v>
      </c>
      <c r="F1077" s="5">
        <f t="shared" ca="1" si="181"/>
        <v>1174</v>
      </c>
      <c r="G1077" s="5">
        <f t="shared" si="182"/>
        <v>0</v>
      </c>
      <c r="H1077" s="5">
        <f t="shared" si="183"/>
        <v>0</v>
      </c>
      <c r="I1077" s="5">
        <f t="shared" ca="1" si="184"/>
        <v>3525</v>
      </c>
      <c r="J1077" s="5">
        <f t="shared" si="185"/>
        <v>0</v>
      </c>
      <c r="K1077" s="5">
        <f t="shared" si="186"/>
        <v>2882</v>
      </c>
      <c r="L1077" s="5">
        <f t="shared" si="187"/>
        <v>0</v>
      </c>
      <c r="M1077" s="5">
        <f t="shared" si="188"/>
        <v>0</v>
      </c>
      <c r="N1077" s="5">
        <f t="shared" si="189"/>
        <v>0</v>
      </c>
      <c r="O1077" s="5">
        <f>IFERROR(INDEX($A$1:$Z$1047,MATCH($D1077,$D$1:$D$1047,0),COLUMN())*CHOOSE(INDEX($AU1065:$AV1065,1,AJ1066)+1,O1060,O1061,O1062,O1063,O1064,O1065,O$1066,O$1067,O$1068),0)</f>
        <v>0</v>
      </c>
      <c r="P1077" s="5">
        <f ca="1">IFERROR(INDEX($A$1:$Z$1047,MATCH($D1077,$D$1:$D$1047,0),COLUMN())*CHOOSE(INDEX($AU1065:$AV1065,1,AK1066)+1,P1060,P1061,P1062,P1063,P1064,P1065,P$1066,P$1067,P$1068),0)</f>
        <v>126</v>
      </c>
      <c r="Q1077" s="5">
        <f>IFERROR(INDEX($A$1:$Z$1047,MATCH($D1077,$D$1:$D$1047,0),COLUMN())*CHOOSE(INDEX($AU1065:$AV1065,1,AL1066)+1,Q1060,Q1061,Q1062,Q1063,Q1064,Q1065,Q$1066,Q$1067,Q$1068),0)</f>
        <v>0</v>
      </c>
      <c r="R1077" s="5">
        <f>IFERROR(INDEX($A$1:$Z$1047,MATCH($D1077,$D$1:$D$1047,0),COLUMN())*CHOOSE(INDEX($AU1065:$AV1065,1,AM1066)+1,Q1060,Q1061,Q1062,Q1063,Q1064,Q1065,R$1066,R$1067,R$1068),0)</f>
        <v>0</v>
      </c>
      <c r="S1077" s="5">
        <f ca="1">IFERROR(INDEX($A$1:$Z$1047,MATCH($D1077,$D$1:$D$1047,0),COLUMN())*CHOOSE(INDEX($AU1065:$AV1065,1,AN1066)+1,Q1060,Q1061,Q1062,Q1063,Q1064,Q1065,S$1066,S$1067,S$1068),0)</f>
        <v>282</v>
      </c>
      <c r="T1077" s="5">
        <f>IFERROR(INDEX($A$1:$Z$1047,MATCH($D1077,$D$1:$D$1047,0),COLUMN())*CHOOSE(INDEX($AU1065:$AV1065,1,AO1066)+1,Q1060,Q1061,Q1062,Q1063,Q1064,Q1065,T$1066,T$1067,T$1068),0)</f>
        <v>0</v>
      </c>
      <c r="U1077" s="5">
        <f>IFERROR(INDEX($A$1:$Z$1047,MATCH($D1077,$D$1:$D$1047,0),COLUMN())*CHOOSE(INDEX($AU1065:$AV1065,1,AP1065)+1,Q1060,Q1061,Q1062,Q1063,Q1064,Q1065,U$1066,U$1067,U$1068),0)</f>
        <v>0</v>
      </c>
      <c r="V1077" s="5">
        <v>0</v>
      </c>
      <c r="Y1077" s="5" t="str">
        <f t="shared" si="190"/>
        <v>兑换牌</v>
      </c>
      <c r="AA1077"/>
      <c r="AB1077"/>
      <c r="AC1077">
        <f>MATCH(配装页面!M30,AC1078:AC1085,0)</f>
        <v>7</v>
      </c>
      <c r="AD1077"/>
      <c r="AE1077">
        <f>CHOOSE(AC1077,3,2,2,3,2,3,3,1)-IF(配装页面!M31="加速",1,0)*2</f>
        <v>3</v>
      </c>
      <c r="AH1077" s="5" t="s">
        <v>367</v>
      </c>
      <c r="AJ1077" t="s">
        <v>189</v>
      </c>
      <c r="AK1077" s="5">
        <f t="shared" si="191"/>
        <v>66</v>
      </c>
      <c r="AL1077" s="5">
        <f t="shared" ref="AL1077:AL1085" si="192">AK1078-AK1077</f>
        <v>74</v>
      </c>
      <c r="BA1077" s="54">
        <f>(BA1076+BB1076*10)</f>
        <v>474025</v>
      </c>
      <c r="BB1077" s="54" t="s">
        <v>500</v>
      </c>
      <c r="BC1077" s="5">
        <f>INT((BA1076+BB1076*10)+(BA1076+BB1076*10)*BD1076/1024)+BC1076</f>
        <v>582810</v>
      </c>
    </row>
    <row r="1078" spans="1:56" x14ac:dyDescent="0.35">
      <c r="A1078" s="5">
        <f>MIN(B1078,配装页面!I28)</f>
        <v>6</v>
      </c>
      <c r="B1078" s="5">
        <f t="shared" si="178"/>
        <v>6</v>
      </c>
      <c r="C1078" s="5">
        <f t="shared" si="179"/>
        <v>12450</v>
      </c>
      <c r="D1078" s="5" t="str">
        <f>配装页面!G27</f>
        <v>安衿链(12450破无)</v>
      </c>
      <c r="E1078" s="5">
        <f t="shared" ca="1" si="180"/>
        <v>468</v>
      </c>
      <c r="F1078" s="5">
        <f t="shared" ca="1" si="181"/>
        <v>758</v>
      </c>
      <c r="G1078" s="5">
        <f t="shared" ca="1" si="182"/>
        <v>0</v>
      </c>
      <c r="H1078" s="5">
        <f t="shared" ca="1" si="183"/>
        <v>0</v>
      </c>
      <c r="I1078" s="5">
        <f t="shared" ca="1" si="184"/>
        <v>2345</v>
      </c>
      <c r="J1078" s="5">
        <f t="shared" ca="1" si="185"/>
        <v>0</v>
      </c>
      <c r="K1078" s="5">
        <f t="shared" ca="1" si="186"/>
        <v>2366</v>
      </c>
      <c r="L1078" s="5">
        <f t="shared" si="187"/>
        <v>0</v>
      </c>
      <c r="M1078" s="5">
        <f t="shared" si="188"/>
        <v>0</v>
      </c>
      <c r="N1078" s="5">
        <f t="shared" si="189"/>
        <v>0</v>
      </c>
      <c r="O1078" s="5">
        <f ca="1">INDEX($A$1:$Z$1047,MATCH($D1078,$D$1:$D$1047,0),COLUMN())*CHOOSE($AU1066+1,O1060,O1061,O1062,O1063,O1064,O1065,O$1066,O$1067,O$1068)</f>
        <v>0</v>
      </c>
      <c r="P1078" s="5">
        <f ca="1">INDEX($A$1:$Z$1047,MATCH($D1078,$D$1:$D$1047,0),COLUMN())*CHOOSE($AU1066+1,P1060,P1061,P1062,P1063,P1064,P1065,P$1066,P$1067,P$1068)</f>
        <v>0</v>
      </c>
      <c r="Q1078" s="5">
        <f ca="1">INDEX($A$1:$Z$1047,MATCH($D1078,$D$1:$D$1047,0),COLUMN())*CHOOSE($AU1066+1,Q1060,Q1061,Q1062,Q1063,Q1064,Q1065,Q$1066,Q$1067,Q$1068)</f>
        <v>0</v>
      </c>
      <c r="R1078" s="5">
        <f ca="1">INDEX($A$1:$Z$1047,MATCH($D1078,$D$1:$D$1047,0),COLUMN())*CHOOSE($AU1066+1,Q1060,Q1061,Q1062,Q1063,Q1064,Q1065,R$1066,R$1067,R$1068)</f>
        <v>0</v>
      </c>
      <c r="S1078" s="5">
        <f ca="1">INDEX($A$1:$Z$1047,MATCH($D1078,$D$1:$D$1047,0),COLUMN())*CHOOSE($AU1066+1,Q1060,Q1061,Q1062,Q1063,Q1064,Q1065,S$1066,S$1067,S$1068)</f>
        <v>0</v>
      </c>
      <c r="T1078" s="5">
        <f ca="1">INDEX($A$1:$Z$1047,MATCH($D1078,$D$1:$D$1047,0),COLUMN())*CHOOSE($AU1066+1,Q1060,Q1061,Q1062,Q1063,Q1064,Q1065,T$1066,T$1067,T$1068)</f>
        <v>0</v>
      </c>
      <c r="U1078" s="5">
        <f ca="1">INDEX($A$1:$Z$1047,MATCH($D1078,$D$1:$D$1047,0),COLUMN())*CHOOSE($AU1066+1,Q1060,Q1061,Q1062,Q1063,Q1064,Q1065,U$1066,U$1067,U$1068)</f>
        <v>282</v>
      </c>
      <c r="V1078" s="5">
        <v>0</v>
      </c>
      <c r="Y1078" s="5" t="str">
        <f t="shared" si="190"/>
        <v>副本</v>
      </c>
      <c r="AA1078">
        <v>4</v>
      </c>
      <c r="AB1078">
        <v>1</v>
      </c>
      <c r="AC1078" t="s">
        <v>12</v>
      </c>
      <c r="AD1078" t="str">
        <f>IF(AC1077=8,"会心",IF(AC1077=2,"破防","攻击"))</f>
        <v>攻击</v>
      </c>
      <c r="AE1078" t="str">
        <f>IF(AC1077=8,"百分比力道",IF(OR(配装页面!M30="攻击",配装页面!M31="攻击"),IF(OR(配装页面!M31="破防",配装页面!M30="破防"),"会效","破防"),"攻击"))</f>
        <v>破防</v>
      </c>
      <c r="AH1078" s="5" t="s">
        <v>368</v>
      </c>
      <c r="AJ1078" t="s">
        <v>160</v>
      </c>
      <c r="AK1078" s="5">
        <f t="shared" si="191"/>
        <v>140</v>
      </c>
      <c r="AL1078" s="5">
        <f t="shared" si="192"/>
        <v>48</v>
      </c>
      <c r="AZ1078" s="54" t="s">
        <v>506</v>
      </c>
      <c r="BA1078" s="5">
        <f>BA1076</f>
        <v>52285</v>
      </c>
      <c r="BB1078" s="5">
        <f>BB1076+MIN(1,配装页面!Y15)*244*属性开关!B2+IF(属性开关!F50&gt;0,259,0)+IF(属性开关!F54&gt;0,333,0)</f>
        <v>42418</v>
      </c>
      <c r="BC1078" s="5">
        <f>BC1076</f>
        <v>0</v>
      </c>
      <c r="BD1078" s="5">
        <f>BD1076</f>
        <v>235</v>
      </c>
    </row>
    <row r="1079" spans="1:56" x14ac:dyDescent="0.35">
      <c r="A1079" s="5">
        <f>MIN(B1079,配装页面!Q28)</f>
        <v>6</v>
      </c>
      <c r="B1079" s="5">
        <f t="shared" si="178"/>
        <v>6</v>
      </c>
      <c r="C1079" s="5">
        <f t="shared" si="179"/>
        <v>12600</v>
      </c>
      <c r="D1079" s="5" t="str">
        <f>配装页面!O27</f>
        <v>定酣坠(12600会无)</v>
      </c>
      <c r="E1079" s="5">
        <f t="shared" ca="1" si="180"/>
        <v>473</v>
      </c>
      <c r="F1079" s="5">
        <f t="shared" ca="1" si="181"/>
        <v>768</v>
      </c>
      <c r="G1079" s="5">
        <f t="shared" ca="1" si="182"/>
        <v>2373</v>
      </c>
      <c r="H1079" s="5">
        <f t="shared" ca="1" si="183"/>
        <v>0</v>
      </c>
      <c r="I1079" s="5">
        <f t="shared" ca="1" si="184"/>
        <v>0</v>
      </c>
      <c r="J1079" s="5">
        <f t="shared" ca="1" si="185"/>
        <v>0</v>
      </c>
      <c r="K1079" s="5">
        <f t="shared" ca="1" si="186"/>
        <v>2391</v>
      </c>
      <c r="L1079" s="5">
        <f t="shared" si="187"/>
        <v>0</v>
      </c>
      <c r="M1079" s="5">
        <f t="shared" si="188"/>
        <v>0</v>
      </c>
      <c r="N1079" s="5">
        <f t="shared" si="189"/>
        <v>0</v>
      </c>
      <c r="O1079" s="5">
        <f ca="1">INDEX($A$1:$Z$1047,MATCH($D1079,$D$1:$D$1047,0),COLUMN())*CHOOSE($AU1067+1,O1060,O1061,O1062,O1063,O1064,O1065,O$1066,O$1067,O$1068)</f>
        <v>0</v>
      </c>
      <c r="P1079" s="5">
        <f ca="1">INDEX($A$1:$Z$1047,MATCH($D1079,$D$1:$D$1047,0),COLUMN())*CHOOSE($AU1067+1,P1060,P1061,P1062,P1063,P1064,P1065,P$1066,P$1067,P$1068)</f>
        <v>0</v>
      </c>
      <c r="Q1079" s="5">
        <f ca="1">INDEX($A$1:$Z$1047,MATCH($D1079,$D$1:$D$1047,0),COLUMN())*CHOOSE($AU1067+1,Q1060,Q1061,Q1062,Q1063,Q1064,Q1065,Q$1066,Q$1067,Q$1068)</f>
        <v>0</v>
      </c>
      <c r="R1079" s="5">
        <f ca="1">INDEX($A$1:$Z$1047,MATCH($D1079,$D$1:$D$1047,0),COLUMN())*CHOOSE($AU1067+1,Q1060,Q1061,Q1062,Q1063,Q1064,Q1065,R$1066,R$1067,R$1068)</f>
        <v>0</v>
      </c>
      <c r="S1079" s="5">
        <f ca="1">INDEX($A$1:$Z$1047,MATCH($D1079,$D$1:$D$1047,0),COLUMN())*CHOOSE($AU1067+1,Q1060,Q1061,Q1062,Q1063,Q1064,Q1065,S$1066,S$1067,S$1068)</f>
        <v>0</v>
      </c>
      <c r="T1079" s="5">
        <f ca="1">INDEX($A$1:$Z$1047,MATCH($D1079,$D$1:$D$1047,0),COLUMN())*CHOOSE($AU1067+1,Q1060,Q1061,Q1062,Q1063,Q1064,Q1065,T$1066,T$1067,T$1068)</f>
        <v>0</v>
      </c>
      <c r="U1079" s="5">
        <f ca="1">INDEX($A$1:$Z$1047,MATCH($D1079,$D$1:$D$1047,0),COLUMN())*CHOOSE($AU1067+1,Q1060,Q1061,Q1062,Q1063,Q1064,Q1065,U$1066,U$1067,U$1068)</f>
        <v>282</v>
      </c>
      <c r="V1079" s="5">
        <v>0</v>
      </c>
      <c r="Y1079" s="5" t="str">
        <f t="shared" si="190"/>
        <v>声望</v>
      </c>
      <c r="AA1079">
        <v>2</v>
      </c>
      <c r="AB1079">
        <v>2</v>
      </c>
      <c r="AC1079" t="s">
        <v>116</v>
      </c>
      <c r="AD1079" t="str">
        <f>IF(AC1077=8,"",IF(AC1077=2,"会效",IF(AC1077=3,"会效","破防")))</f>
        <v>破防</v>
      </c>
      <c r="AE1079" t="str">
        <f>IF(AC1077=8,"",IF(配装页面!M31="加速","",IF(OR(配装页面!M30="会效",配装页面!M31="会效"),IF(OR(配装页面!M30="破防",配装页面!M31="破防",AE1078="破防"),"武伤","破防"),IF(OR(AE1078="会效",配装页面!M30="会效",配装页面!M31="会效"),"武伤","会效"))))</f>
        <v>会效</v>
      </c>
      <c r="AH1079" s="5" t="s">
        <v>369</v>
      </c>
      <c r="AJ1079" t="s">
        <v>192</v>
      </c>
      <c r="AK1079" s="5">
        <f t="shared" si="191"/>
        <v>188</v>
      </c>
      <c r="AL1079" s="5">
        <f t="shared" si="192"/>
        <v>66</v>
      </c>
      <c r="BB1079" s="54" t="s">
        <v>500</v>
      </c>
      <c r="BC1079" s="5">
        <f>INT((BA1078+BB1078*10)+(BA1078+BB1078*10)*BD1078/1024)+BC1078+INT((INT((BA1078+BB1078*10)+(BA1078+BB1078*10)*BD1078/1024)+BC1078)*51/1024)</f>
        <v>614985</v>
      </c>
    </row>
    <row r="1080" spans="1:56" x14ac:dyDescent="0.35">
      <c r="A1080" s="5">
        <f>MIN(B1080,配装页面!I32)</f>
        <v>6</v>
      </c>
      <c r="B1080" s="5">
        <f t="shared" si="178"/>
        <v>6</v>
      </c>
      <c r="C1080" s="5">
        <f t="shared" si="179"/>
        <v>12450</v>
      </c>
      <c r="D1080" s="5" t="str">
        <f>配装页面!G31</f>
        <v>安衿指环(12450招破)</v>
      </c>
      <c r="E1080" s="5">
        <f t="shared" si="180"/>
        <v>468</v>
      </c>
      <c r="F1080" s="5">
        <f t="shared" si="181"/>
        <v>758</v>
      </c>
      <c r="G1080" s="5">
        <f t="shared" si="182"/>
        <v>0</v>
      </c>
      <c r="H1080" s="5">
        <f t="shared" si="183"/>
        <v>0</v>
      </c>
      <c r="I1080" s="5">
        <f t="shared" si="184"/>
        <v>2345</v>
      </c>
      <c r="J1080" s="5">
        <f t="shared" si="185"/>
        <v>2084</v>
      </c>
      <c r="K1080" s="5">
        <f t="shared" si="186"/>
        <v>0</v>
      </c>
      <c r="L1080" s="5">
        <f t="shared" si="187"/>
        <v>0</v>
      </c>
      <c r="M1080" s="5">
        <f t="shared" si="188"/>
        <v>0</v>
      </c>
      <c r="N1080" s="5">
        <f t="shared" si="189"/>
        <v>0</v>
      </c>
      <c r="V1080" s="5">
        <v>0</v>
      </c>
      <c r="Y1080" s="5" t="str">
        <f t="shared" si="190"/>
        <v>副本</v>
      </c>
      <c r="AA1080">
        <v>2</v>
      </c>
      <c r="AB1080">
        <v>3</v>
      </c>
      <c r="AC1080" t="s">
        <v>123</v>
      </c>
      <c r="AD1080" t="str">
        <f>IF(AC1077=8,"",IF(AC1077=2,"",IF(AC1077=3,"",IF(AC1077=5,"","会效"))))</f>
        <v>会效</v>
      </c>
      <c r="AE1080" t="str">
        <f>IF(AC1077=8,"",IF(OR(AE1079="武伤",配装页面!M31="加速"),"","武伤"))</f>
        <v>武伤</v>
      </c>
      <c r="AH1080" s="5" t="s">
        <v>370</v>
      </c>
      <c r="AJ1080" t="s">
        <v>163</v>
      </c>
      <c r="AK1080" s="5">
        <f t="shared" si="191"/>
        <v>254</v>
      </c>
      <c r="AL1080" s="5">
        <f t="shared" si="192"/>
        <v>68</v>
      </c>
    </row>
    <row r="1081" spans="1:56" x14ac:dyDescent="0.35">
      <c r="A1081" s="5">
        <f>MIN(B1081,配装页面!Q32)</f>
        <v>6</v>
      </c>
      <c r="B1081" s="5">
        <f t="shared" si="178"/>
        <v>6</v>
      </c>
      <c r="C1081" s="5">
        <f t="shared" si="179"/>
        <v>12450</v>
      </c>
      <c r="D1081" s="5" t="str">
        <f>配装页面!O31</f>
        <v>安衿指环(12450招破)</v>
      </c>
      <c r="E1081" s="5">
        <f t="shared" si="180"/>
        <v>468</v>
      </c>
      <c r="F1081" s="5">
        <f t="shared" si="181"/>
        <v>758</v>
      </c>
      <c r="G1081" s="5">
        <f t="shared" si="182"/>
        <v>0</v>
      </c>
      <c r="H1081" s="5">
        <f t="shared" si="183"/>
        <v>0</v>
      </c>
      <c r="I1081" s="5">
        <f t="shared" si="184"/>
        <v>2345</v>
      </c>
      <c r="J1081" s="5">
        <f t="shared" si="185"/>
        <v>2084</v>
      </c>
      <c r="K1081" s="5">
        <f t="shared" si="186"/>
        <v>0</v>
      </c>
      <c r="L1081" s="5">
        <f t="shared" si="187"/>
        <v>0</v>
      </c>
      <c r="M1081" s="5">
        <f t="shared" si="188"/>
        <v>0</v>
      </c>
      <c r="N1081" s="5">
        <f t="shared" si="189"/>
        <v>0</v>
      </c>
      <c r="V1081" s="5">
        <v>0</v>
      </c>
      <c r="Y1081" s="5" t="str">
        <f t="shared" si="190"/>
        <v>副本</v>
      </c>
      <c r="AA1081">
        <v>3</v>
      </c>
      <c r="AB1081">
        <v>4</v>
      </c>
      <c r="AC1081" t="s">
        <v>102</v>
      </c>
      <c r="AD1081" t="str">
        <f>IF(AC1077=8,"",IF(MOD(AC1077,6)&lt;2,"加速",""))</f>
        <v>加速</v>
      </c>
      <c r="AE1081"/>
      <c r="AH1081" s="5" t="s">
        <v>371</v>
      </c>
      <c r="AJ1081" t="s">
        <v>359</v>
      </c>
      <c r="AK1081" s="5">
        <f t="shared" si="191"/>
        <v>322</v>
      </c>
      <c r="AL1081" s="5">
        <f t="shared" si="192"/>
        <v>34</v>
      </c>
    </row>
    <row r="1082" spans="1:56" x14ac:dyDescent="0.35">
      <c r="A1082" s="5">
        <f>MIN(B1082,配装页面!Q35)</f>
        <v>6</v>
      </c>
      <c r="B1082" s="5">
        <f t="shared" si="178"/>
        <v>6</v>
      </c>
      <c r="C1082" s="5">
        <f t="shared" si="179"/>
        <v>12450</v>
      </c>
      <c r="D1082" s="5" t="str">
        <f>配装页面!O34</f>
        <v>安衿囊(12450速招)</v>
      </c>
      <c r="E1082" s="5">
        <f t="shared" ca="1" si="180"/>
        <v>624</v>
      </c>
      <c r="F1082" s="5">
        <f t="shared" ca="1" si="181"/>
        <v>909</v>
      </c>
      <c r="G1082" s="5">
        <f t="shared" ca="1" si="182"/>
        <v>0</v>
      </c>
      <c r="H1082" s="5">
        <f t="shared" ca="1" si="183"/>
        <v>0</v>
      </c>
      <c r="I1082" s="5">
        <f t="shared" ca="1" si="184"/>
        <v>0</v>
      </c>
      <c r="J1082" s="5">
        <f t="shared" ca="1" si="185"/>
        <v>2500</v>
      </c>
      <c r="K1082" s="5">
        <f t="shared" ca="1" si="186"/>
        <v>0</v>
      </c>
      <c r="L1082" s="5">
        <f t="shared" si="187"/>
        <v>2813</v>
      </c>
      <c r="M1082" s="5">
        <f t="shared" si="188"/>
        <v>0</v>
      </c>
      <c r="N1082" s="5">
        <f t="shared" si="189"/>
        <v>0</v>
      </c>
      <c r="O1082" s="5">
        <f ca="1">INDEX($A$1:$Z$1047,MATCH($D1082,$D$1:$D$1047,0),COLUMN())*CHOOSE($AU1070+1,O1060,O1061,O1062,O1063,O1064,O1065,O$1066,O$1067,O$1068)</f>
        <v>63</v>
      </c>
      <c r="P1082" s="5">
        <f ca="1">INDEX($A$1:$Z$1047,MATCH($D1082,$D$1:$D$1047,0),COLUMN())*CHOOSE($AU1070+1,P1060,P1061,P1062,P1063,P1064,P1065,P$1066,P$1067,P$1068)</f>
        <v>0</v>
      </c>
      <c r="Q1082" s="5">
        <f ca="1">INDEX($A$1:$Z$1047,MATCH($D1082,$D$1:$D$1047,0),COLUMN())*CHOOSE($AU1070+1,Q1060,Q1061,Q1062,Q1063,Q1064,Q1065,Q$1066,Q$1067,Q$1068)</f>
        <v>0</v>
      </c>
      <c r="R1082" s="5">
        <f ca="1">INDEX($A$1:$Z$1047,MATCH($D1082,$D$1:$D$1047,0),COLUMN())*CHOOSE($AU1070+1,Q1060,Q1061,Q1062,Q1063,Q1064,Q1065,R$1066,R$1067,R$1068)</f>
        <v>0</v>
      </c>
      <c r="S1082" s="5">
        <f ca="1">INDEX($A$1:$Z$1047,MATCH($D1082,$D$1:$D$1047,0),COLUMN())*CHOOSE($AU1070+1,Q1060,Q1061,Q1062,Q1063,Q1064,Q1065,S$1066,S$1067,S$1068)</f>
        <v>0</v>
      </c>
      <c r="T1082" s="5">
        <f ca="1">INDEX($A$1:$Z$1047,MATCH($D1082,$D$1:$D$1047,0),COLUMN())*CHOOSE($AU1070+1,Q1060,Q1061,Q1062,Q1063,Q1064,Q1065,T$1066,T$1067,T$1068)</f>
        <v>0</v>
      </c>
      <c r="U1082" s="5">
        <f ca="1">INDEX($A$1:$Z$1047,MATCH($D1082,$D$1:$D$1047,0),COLUMN())*CHOOSE($AU1070+1,Q1060,Q1061,Q1062,Q1063,Q1064,Q1065,U$1066,U$1067,U$1068)</f>
        <v>0</v>
      </c>
      <c r="V1082" s="5">
        <v>0</v>
      </c>
      <c r="Y1082" s="5" t="str">
        <f t="shared" si="190"/>
        <v>副本</v>
      </c>
      <c r="AA1082">
        <v>2</v>
      </c>
      <c r="AB1082">
        <v>5</v>
      </c>
      <c r="AC1082" t="s">
        <v>121</v>
      </c>
      <c r="AD1082"/>
      <c r="AE1082"/>
      <c r="AH1082" s="5" t="s">
        <v>372</v>
      </c>
      <c r="AJ1082" t="s">
        <v>169</v>
      </c>
      <c r="AK1082" s="5">
        <f t="shared" si="191"/>
        <v>356</v>
      </c>
      <c r="AL1082" s="5">
        <f t="shared" si="192"/>
        <v>63</v>
      </c>
      <c r="AZ1082" s="5">
        <v>29451</v>
      </c>
    </row>
    <row r="1083" spans="1:56" x14ac:dyDescent="0.35">
      <c r="A1083" s="5">
        <f>MIN(B1083,配装页面!I35)</f>
        <v>6</v>
      </c>
      <c r="B1083" s="5">
        <f t="shared" si="178"/>
        <v>6</v>
      </c>
      <c r="C1083" s="5">
        <f t="shared" si="179"/>
        <v>12450</v>
      </c>
      <c r="D1083" s="5" t="str">
        <f>配装页面!G34</f>
        <v>千里悲(12450会无)</v>
      </c>
      <c r="E1083" s="5">
        <f t="shared" ca="1" si="180"/>
        <v>1214</v>
      </c>
      <c r="F1083" s="5">
        <f t="shared" si="181"/>
        <v>4343</v>
      </c>
      <c r="G1083" s="5">
        <f t="shared" ca="1" si="182"/>
        <v>6045</v>
      </c>
      <c r="H1083" s="5">
        <f t="shared" ca="1" si="183"/>
        <v>418</v>
      </c>
      <c r="I1083" s="5">
        <f t="shared" si="184"/>
        <v>0</v>
      </c>
      <c r="J1083" s="5">
        <f t="shared" si="185"/>
        <v>0</v>
      </c>
      <c r="K1083" s="5">
        <f t="shared" si="186"/>
        <v>6002</v>
      </c>
      <c r="L1083" s="5">
        <f t="shared" si="187"/>
        <v>0</v>
      </c>
      <c r="M1083" s="5">
        <f t="shared" si="188"/>
        <v>3282</v>
      </c>
      <c r="N1083" s="5">
        <f t="shared" si="189"/>
        <v>5470</v>
      </c>
      <c r="O1083" s="5">
        <f ca="1">IFERROR(INDEX($A$1:$Z$1047,MATCH($D1083,$D$1:$D$1047,0),COLUMN())*CHOOSE(INDEX($AU1071:$AW1071,1,AJ1072)+1,O1060,O1061,O1062,O1063,O1064,O1065,O$1066,O$1067,O$1068),0)</f>
        <v>93</v>
      </c>
      <c r="P1083" s="5">
        <f>IFERROR(INDEX($A$1:$Z$1047,MATCH($D1083,$D$1:$D$1047,0),COLUMN())*CHOOSE(INDEX($AU1071:$AW1071,1,AK1072)+1,P1060,P1061,P1062,P1063,P1064,P1065,P$1066,P$1067,P$1068),0)</f>
        <v>0</v>
      </c>
      <c r="Q1083" s="5">
        <f ca="1">IFERROR(INDEX($A$1:$Z$1047,MATCH($D1083,$D$1:$D$1047,0),COLUMN())*CHOOSE(INDEX($AU1071:$AW1071,1,AL1072)+1,Q1060,Q1061,Q1062,Q1063,Q1064,Q1065,Q$1066,Q$1067,Q$1068),0)</f>
        <v>418</v>
      </c>
      <c r="R1083" s="5">
        <f ca="1">IFERROR(INDEX($A$1:$Z$1047,MATCH($D1083,$D$1:$D$1047,0),COLUMN())*CHOOSE(INDEX($AU1071:$AW1071,1,AM1072)+1,Q1060,Q1061,Q1062,Q1063,Q1064,Q1065,R$1066,R$1067,R$1068),0)</f>
        <v>418</v>
      </c>
      <c r="S1083" s="5">
        <f>IFERROR(INDEX($A$1:$Z$1047,MATCH($D1083,$D$1:$D$1047,0),COLUMN())*CHOOSE(INDEX($AU1071:$AW1071,1,AN1072)+1,Q1060,Q1061,Q1062,Q1063,Q1064,Q1065,S$1066,S$1067,S$1068),0)</f>
        <v>0</v>
      </c>
      <c r="T1083" s="5">
        <f>IFERROR(INDEX($A$1:$Z$1047,MATCH($D1083,$D$1:$D$1047,0),COLUMN())*CHOOSE(INDEX($AU1071:$AW1071,1,AO1072)+1,Q1060,Q1061,Q1062,Q1063,Q1064,Q1065,T$1066,T$1067,T$1068),0)</f>
        <v>0</v>
      </c>
      <c r="U1083" s="5">
        <f>IFERROR(INDEX($A$1:$Z$1047,MATCH($D1083,$D$1:$D$1047,0),COLUMN())*CHOOSE(INDEX($AU1071:$AW1071,1,AP1071)+1,Q1060,Q1061,Q1062,Q1063,Q1064,Q1065,U$1066,U$1067,U$1068),0)</f>
        <v>0</v>
      </c>
      <c r="V1083" s="5">
        <v>0</v>
      </c>
      <c r="Y1083" s="5" t="str">
        <f t="shared" si="190"/>
        <v>副本</v>
      </c>
      <c r="AA1083">
        <v>4</v>
      </c>
      <c r="AB1083">
        <v>6</v>
      </c>
      <c r="AC1083" t="s">
        <v>357</v>
      </c>
      <c r="AD1083"/>
      <c r="AE1083"/>
      <c r="AH1083" s="5" t="s">
        <v>373</v>
      </c>
      <c r="AJ1083" t="s">
        <v>166</v>
      </c>
      <c r="AK1083" s="5">
        <f t="shared" si="191"/>
        <v>419</v>
      </c>
      <c r="AL1083" s="5">
        <f t="shared" si="192"/>
        <v>64</v>
      </c>
    </row>
    <row r="1084" spans="1:56" x14ac:dyDescent="0.35">
      <c r="C1084" s="5" t="str">
        <f t="shared" ref="C1084:C1093" si="193">INDEX($C$1129:$C$1183,MATCH(D1084,$D$1129:$D$1183,0),1)</f>
        <v>紫</v>
      </c>
      <c r="D1084" s="5" t="str">
        <f>配装页面!J14</f>
        <v>723加速</v>
      </c>
      <c r="E1084" s="5">
        <f t="shared" ref="E1084:N1093" si="194">INDEX($A$1129:$N$1183,MATCH($D1084,$D$1129:$D$1183,0),COLUMN())</f>
        <v>0</v>
      </c>
      <c r="F1084" s="5">
        <f t="shared" si="194"/>
        <v>0</v>
      </c>
      <c r="G1084" s="5">
        <f t="shared" si="194"/>
        <v>0</v>
      </c>
      <c r="H1084" s="5">
        <f t="shared" si="194"/>
        <v>0</v>
      </c>
      <c r="I1084" s="5">
        <f t="shared" si="194"/>
        <v>0</v>
      </c>
      <c r="J1084" s="5">
        <f t="shared" si="194"/>
        <v>0</v>
      </c>
      <c r="K1084" s="5">
        <f t="shared" si="194"/>
        <v>0</v>
      </c>
      <c r="L1084" s="5">
        <f t="shared" si="194"/>
        <v>723</v>
      </c>
      <c r="M1084" s="5">
        <f t="shared" si="194"/>
        <v>0</v>
      </c>
      <c r="N1084" s="5">
        <f t="shared" si="194"/>
        <v>0</v>
      </c>
      <c r="AA1084">
        <v>4</v>
      </c>
      <c r="AB1084">
        <v>7</v>
      </c>
      <c r="AC1084" t="s">
        <v>129</v>
      </c>
      <c r="AD1084"/>
      <c r="AE1084"/>
      <c r="AH1084" s="5" t="s">
        <v>374</v>
      </c>
      <c r="AJ1084" t="s">
        <v>167</v>
      </c>
      <c r="AK1084" s="5">
        <f>MATCH(AJ1084,$A$2:$A$1023,0)</f>
        <v>483</v>
      </c>
      <c r="AL1084" s="5">
        <f t="shared" si="192"/>
        <v>49</v>
      </c>
    </row>
    <row r="1085" spans="1:56" x14ac:dyDescent="0.35">
      <c r="C1085" s="5" t="str">
        <f t="shared" si="193"/>
        <v>蓝</v>
      </c>
      <c r="D1085" s="5" t="str">
        <f>配装页面!J19</f>
        <v>240无双</v>
      </c>
      <c r="E1085" s="5">
        <f t="shared" si="194"/>
        <v>0</v>
      </c>
      <c r="F1085" s="5">
        <f t="shared" si="194"/>
        <v>0</v>
      </c>
      <c r="G1085" s="5">
        <f t="shared" si="194"/>
        <v>0</v>
      </c>
      <c r="H1085" s="5">
        <f t="shared" si="194"/>
        <v>0</v>
      </c>
      <c r="I1085" s="5">
        <f t="shared" si="194"/>
        <v>0</v>
      </c>
      <c r="J1085" s="5">
        <f t="shared" si="194"/>
        <v>0</v>
      </c>
      <c r="K1085" s="5">
        <f t="shared" si="194"/>
        <v>240</v>
      </c>
      <c r="L1085" s="5">
        <f t="shared" si="194"/>
        <v>0</v>
      </c>
      <c r="M1085" s="5">
        <f t="shared" si="194"/>
        <v>0</v>
      </c>
      <c r="N1085" s="5">
        <f t="shared" si="194"/>
        <v>0</v>
      </c>
      <c r="AA1085">
        <v>1</v>
      </c>
      <c r="AB1085">
        <v>8</v>
      </c>
      <c r="AC1085" t="s">
        <v>365</v>
      </c>
      <c r="AD1085"/>
      <c r="AE1085"/>
      <c r="AH1085" s="5" t="s">
        <v>414</v>
      </c>
      <c r="AJ1085" t="s">
        <v>168</v>
      </c>
      <c r="AK1085" s="5">
        <f>MATCH(AJ1085,$A$2:$A$1023,0)</f>
        <v>532</v>
      </c>
      <c r="AL1085" s="5">
        <f t="shared" si="192"/>
        <v>64</v>
      </c>
      <c r="BA1085" s="5">
        <f ca="1">SUM(AY1087:BA1098)*(属性开关!X37)</f>
        <v>16353</v>
      </c>
    </row>
    <row r="1086" spans="1:56" x14ac:dyDescent="0.35">
      <c r="C1086" s="5" t="str">
        <f t="shared" si="193"/>
        <v>蓝</v>
      </c>
      <c r="D1086" s="5" t="str">
        <f>配装页面!J24</f>
        <v>240无双</v>
      </c>
      <c r="E1086" s="5">
        <f t="shared" si="194"/>
        <v>0</v>
      </c>
      <c r="F1086" s="5">
        <f t="shared" si="194"/>
        <v>0</v>
      </c>
      <c r="G1086" s="5">
        <f t="shared" si="194"/>
        <v>0</v>
      </c>
      <c r="H1086" s="5">
        <f t="shared" si="194"/>
        <v>0</v>
      </c>
      <c r="I1086" s="5">
        <f t="shared" si="194"/>
        <v>0</v>
      </c>
      <c r="J1086" s="5">
        <f t="shared" si="194"/>
        <v>0</v>
      </c>
      <c r="K1086" s="5">
        <f t="shared" si="194"/>
        <v>240</v>
      </c>
      <c r="L1086" s="5">
        <f t="shared" si="194"/>
        <v>0</v>
      </c>
      <c r="M1086" s="5">
        <f t="shared" si="194"/>
        <v>0</v>
      </c>
      <c r="N1086" s="5">
        <f t="shared" si="194"/>
        <v>0</v>
      </c>
      <c r="AH1086" s="5" t="s">
        <v>375</v>
      </c>
      <c r="AJ1086" t="s">
        <v>164</v>
      </c>
      <c r="AK1086" s="5">
        <f>MATCH(AJ1086,$A$2:$A$1023,0)</f>
        <v>596</v>
      </c>
      <c r="AL1086" s="5">
        <f>AK1087-AK1086</f>
        <v>46</v>
      </c>
      <c r="AY1086" s="54" t="s">
        <v>613</v>
      </c>
      <c r="AZ1086" s="54" t="s">
        <v>614</v>
      </c>
      <c r="BA1086" s="54" t="s">
        <v>618</v>
      </c>
    </row>
    <row r="1087" spans="1:56" x14ac:dyDescent="0.35">
      <c r="A1087" s="5">
        <v>0</v>
      </c>
      <c r="C1087" s="5" t="str">
        <f t="shared" si="193"/>
        <v>紫</v>
      </c>
      <c r="D1087" s="5" t="str">
        <f>配装页面!R14</f>
        <v>799无双</v>
      </c>
      <c r="E1087" s="5">
        <f t="shared" si="194"/>
        <v>0</v>
      </c>
      <c r="F1087" s="5">
        <f t="shared" si="194"/>
        <v>0</v>
      </c>
      <c r="G1087" s="5">
        <f t="shared" si="194"/>
        <v>0</v>
      </c>
      <c r="H1087" s="5">
        <f t="shared" si="194"/>
        <v>0</v>
      </c>
      <c r="I1087" s="5">
        <f t="shared" si="194"/>
        <v>0</v>
      </c>
      <c r="J1087" s="5">
        <f t="shared" si="194"/>
        <v>0</v>
      </c>
      <c r="K1087" s="5">
        <f t="shared" si="194"/>
        <v>799</v>
      </c>
      <c r="L1087" s="5">
        <f t="shared" si="194"/>
        <v>0</v>
      </c>
      <c r="M1087" s="5">
        <f t="shared" si="194"/>
        <v>0</v>
      </c>
      <c r="N1087" s="5">
        <f t="shared" si="194"/>
        <v>0</v>
      </c>
      <c r="AH1087" s="5" t="s">
        <v>376</v>
      </c>
      <c r="AJ1087" s="54" t="s">
        <v>427</v>
      </c>
      <c r="AK1087" s="5">
        <f t="array" ref="AK1087">SMALL(IF(ISBLANK($A$2:$A$1023),ROW($A2:$A1023)-1,9999),1)</f>
        <v>642</v>
      </c>
      <c r="AY1087" s="5">
        <f t="shared" ref="AY1087:AY1096" ca="1" si="195">INDEX($B$1129:$D$1183,MATCH(D1084,$D$1129:$D$1183,0),1)</f>
        <v>644</v>
      </c>
      <c r="AZ1087" s="5">
        <f>大附魔数值!AB44</f>
        <v>1808</v>
      </c>
      <c r="BA1087" s="5">
        <f>大附魔数值!O21*981+IF(大附魔数值!Q21&gt;0,1635,0)</f>
        <v>0</v>
      </c>
    </row>
    <row r="1088" spans="1:56" x14ac:dyDescent="0.35">
      <c r="A1088" s="5">
        <v>1</v>
      </c>
      <c r="C1088" s="5" t="str">
        <f t="shared" si="193"/>
        <v>紫</v>
      </c>
      <c r="D1088" s="5" t="str">
        <f>配装页面!R19</f>
        <v>799无双</v>
      </c>
      <c r="E1088" s="5">
        <f t="shared" si="194"/>
        <v>0</v>
      </c>
      <c r="F1088" s="5">
        <f t="shared" si="194"/>
        <v>0</v>
      </c>
      <c r="G1088" s="5">
        <f t="shared" si="194"/>
        <v>0</v>
      </c>
      <c r="H1088" s="5">
        <f t="shared" si="194"/>
        <v>0</v>
      </c>
      <c r="I1088" s="5">
        <f t="shared" si="194"/>
        <v>0</v>
      </c>
      <c r="J1088" s="5">
        <f t="shared" si="194"/>
        <v>0</v>
      </c>
      <c r="K1088" s="5">
        <f t="shared" si="194"/>
        <v>799</v>
      </c>
      <c r="L1088" s="5">
        <f t="shared" si="194"/>
        <v>0</v>
      </c>
      <c r="M1088" s="5">
        <f t="shared" si="194"/>
        <v>0</v>
      </c>
      <c r="N1088" s="5">
        <f t="shared" si="194"/>
        <v>0</v>
      </c>
      <c r="AC1088" s="5" t="str">
        <f>配装页面!M30&amp;配装页面!M31&amp;配装页面!M32</f>
        <v>无双攻击会效</v>
      </c>
      <c r="AH1088" s="5" t="s">
        <v>377</v>
      </c>
      <c r="AY1088" s="5">
        <f t="shared" ca="1" si="195"/>
        <v>313</v>
      </c>
      <c r="AZ1088" s="5">
        <f>大附魔数值!AC44</f>
        <v>2010</v>
      </c>
    </row>
    <row r="1089" spans="1:52" x14ac:dyDescent="0.35">
      <c r="A1089" s="5">
        <v>2</v>
      </c>
      <c r="C1089" s="5" t="str">
        <f t="shared" si="193"/>
        <v>紫</v>
      </c>
      <c r="D1089" s="5" t="str">
        <f>配装页面!R24</f>
        <v>360攻击</v>
      </c>
      <c r="E1089" s="5">
        <f t="shared" si="194"/>
        <v>0</v>
      </c>
      <c r="F1089" s="5">
        <f t="shared" si="194"/>
        <v>360</v>
      </c>
      <c r="G1089" s="5">
        <f t="shared" si="194"/>
        <v>0</v>
      </c>
      <c r="H1089" s="5">
        <f t="shared" si="194"/>
        <v>0</v>
      </c>
      <c r="I1089" s="5">
        <f t="shared" si="194"/>
        <v>0</v>
      </c>
      <c r="J1089" s="5">
        <f t="shared" si="194"/>
        <v>0</v>
      </c>
      <c r="K1089" s="5">
        <f t="shared" si="194"/>
        <v>0</v>
      </c>
      <c r="L1089" s="5">
        <f t="shared" si="194"/>
        <v>0</v>
      </c>
      <c r="M1089" s="5">
        <f t="shared" si="194"/>
        <v>0</v>
      </c>
      <c r="N1089" s="5">
        <f t="shared" si="194"/>
        <v>0</v>
      </c>
      <c r="AH1089" s="5" t="s">
        <v>378</v>
      </c>
      <c r="AK1089" s="5">
        <f>MATCH("长兵",$A$2:$A$1023,1)+1</f>
        <v>642</v>
      </c>
      <c r="AY1089" s="5">
        <f t="shared" ca="1" si="195"/>
        <v>313</v>
      </c>
      <c r="AZ1089" s="5">
        <f>大附魔数值!AD44</f>
        <v>1406</v>
      </c>
    </row>
    <row r="1090" spans="1:52" x14ac:dyDescent="0.35">
      <c r="A1090" s="5">
        <v>3</v>
      </c>
      <c r="C1090" s="5" t="str">
        <f t="shared" si="193"/>
        <v>紫</v>
      </c>
      <c r="D1090" s="5" t="str">
        <f>配装页面!G32</f>
        <v>360攻击</v>
      </c>
      <c r="E1090" s="5">
        <f t="shared" si="194"/>
        <v>0</v>
      </c>
      <c r="F1090" s="5">
        <f t="shared" si="194"/>
        <v>360</v>
      </c>
      <c r="G1090" s="5">
        <f t="shared" si="194"/>
        <v>0</v>
      </c>
      <c r="H1090" s="5">
        <f t="shared" si="194"/>
        <v>0</v>
      </c>
      <c r="I1090" s="5">
        <f t="shared" si="194"/>
        <v>0</v>
      </c>
      <c r="J1090" s="5">
        <f t="shared" si="194"/>
        <v>0</v>
      </c>
      <c r="K1090" s="5">
        <f t="shared" si="194"/>
        <v>0</v>
      </c>
      <c r="L1090" s="5">
        <f t="shared" si="194"/>
        <v>0</v>
      </c>
      <c r="M1090" s="5">
        <f t="shared" si="194"/>
        <v>0</v>
      </c>
      <c r="N1090" s="5">
        <f t="shared" si="194"/>
        <v>0</v>
      </c>
      <c r="AH1090" s="5" t="s">
        <v>379</v>
      </c>
      <c r="AY1090" s="5">
        <f t="shared" ca="1" si="195"/>
        <v>783</v>
      </c>
      <c r="AZ1090" s="5">
        <f>大附魔数值!AE44</f>
        <v>1406</v>
      </c>
    </row>
    <row r="1091" spans="1:52" x14ac:dyDescent="0.35">
      <c r="A1091" s="5">
        <v>4</v>
      </c>
      <c r="C1091" s="5" t="str">
        <f t="shared" si="193"/>
        <v>紫</v>
      </c>
      <c r="D1091" s="5" t="str">
        <f>配装页面!O32</f>
        <v>360攻击</v>
      </c>
      <c r="E1091" s="5">
        <f t="shared" si="194"/>
        <v>0</v>
      </c>
      <c r="F1091" s="5">
        <f t="shared" si="194"/>
        <v>360</v>
      </c>
      <c r="G1091" s="5">
        <f t="shared" si="194"/>
        <v>0</v>
      </c>
      <c r="H1091" s="5">
        <f t="shared" si="194"/>
        <v>0</v>
      </c>
      <c r="I1091" s="5">
        <f t="shared" si="194"/>
        <v>0</v>
      </c>
      <c r="J1091" s="5">
        <f t="shared" si="194"/>
        <v>0</v>
      </c>
      <c r="K1091" s="5">
        <f t="shared" si="194"/>
        <v>0</v>
      </c>
      <c r="L1091" s="5">
        <f t="shared" si="194"/>
        <v>0</v>
      </c>
      <c r="M1091" s="5">
        <f t="shared" si="194"/>
        <v>0</v>
      </c>
      <c r="N1091" s="5">
        <f t="shared" si="194"/>
        <v>0</v>
      </c>
      <c r="AH1091" s="5" t="s">
        <v>380</v>
      </c>
      <c r="AY1091" s="5">
        <f t="shared" ca="1" si="195"/>
        <v>783</v>
      </c>
      <c r="AZ1091" s="5">
        <f>大附魔数值!AF44</f>
        <v>1406</v>
      </c>
    </row>
    <row r="1092" spans="1:52" x14ac:dyDescent="0.35">
      <c r="A1092" s="5">
        <v>5</v>
      </c>
      <c r="C1092" s="5" t="str">
        <f t="shared" si="193"/>
        <v>紫</v>
      </c>
      <c r="D1092" s="5" t="str">
        <f>配装页面!O36</f>
        <v>799加速</v>
      </c>
      <c r="E1092" s="5">
        <f t="shared" si="194"/>
        <v>0</v>
      </c>
      <c r="F1092" s="5">
        <f t="shared" si="194"/>
        <v>0</v>
      </c>
      <c r="G1092" s="5">
        <f t="shared" si="194"/>
        <v>0</v>
      </c>
      <c r="H1092" s="5">
        <f t="shared" si="194"/>
        <v>0</v>
      </c>
      <c r="I1092" s="5">
        <f t="shared" si="194"/>
        <v>0</v>
      </c>
      <c r="J1092" s="5">
        <f t="shared" si="194"/>
        <v>0</v>
      </c>
      <c r="K1092" s="5">
        <f t="shared" si="194"/>
        <v>0</v>
      </c>
      <c r="L1092" s="5">
        <f t="shared" si="194"/>
        <v>799</v>
      </c>
      <c r="M1092" s="5">
        <f t="shared" si="194"/>
        <v>0</v>
      </c>
      <c r="N1092" s="5">
        <f t="shared" si="194"/>
        <v>0</v>
      </c>
      <c r="AH1092" s="5" t="s">
        <v>381</v>
      </c>
      <c r="AY1092" s="5">
        <f t="shared" ca="1" si="195"/>
        <v>783</v>
      </c>
    </row>
    <row r="1093" spans="1:52" x14ac:dyDescent="0.35">
      <c r="A1093" s="5">
        <v>6</v>
      </c>
      <c r="C1093" s="5" t="str">
        <f t="shared" si="193"/>
        <v>紫</v>
      </c>
      <c r="D1093" s="5" t="str">
        <f>配装页面!K36</f>
        <v>360攻击</v>
      </c>
      <c r="E1093" s="5">
        <f t="shared" si="194"/>
        <v>0</v>
      </c>
      <c r="F1093" s="5">
        <f t="shared" si="194"/>
        <v>360</v>
      </c>
      <c r="G1093" s="5">
        <f t="shared" si="194"/>
        <v>0</v>
      </c>
      <c r="H1093" s="5">
        <f t="shared" si="194"/>
        <v>0</v>
      </c>
      <c r="I1093" s="5">
        <f t="shared" si="194"/>
        <v>0</v>
      </c>
      <c r="J1093" s="5">
        <f t="shared" si="194"/>
        <v>0</v>
      </c>
      <c r="K1093" s="5">
        <f t="shared" si="194"/>
        <v>0</v>
      </c>
      <c r="L1093" s="5">
        <f t="shared" si="194"/>
        <v>0</v>
      </c>
      <c r="M1093" s="5">
        <f t="shared" si="194"/>
        <v>0</v>
      </c>
      <c r="N1093" s="5">
        <f t="shared" si="194"/>
        <v>0</v>
      </c>
      <c r="AH1093" s="5" t="s">
        <v>382</v>
      </c>
      <c r="AY1093" s="5">
        <f t="shared" ca="1" si="195"/>
        <v>783</v>
      </c>
    </row>
    <row r="1094" spans="1:52" x14ac:dyDescent="0.35">
      <c r="A1094" s="5">
        <v>7</v>
      </c>
      <c r="D1094" s="5" t="str">
        <f>配装页面!M30</f>
        <v>无双</v>
      </c>
      <c r="E1094" s="5">
        <f t="shared" ref="E1094:N1094" ca="1" si="196">IFERROR(IF($D1094=E$1,CHOOSE($L$1066-3,INDEX($E$1120:$M$1122,1,MATCH($D1094,$E$1:$M$1,0)),INDEX($E$1123:$M$1125,1,MATCH($D1094,$E$1:$M$1,0)),INDEX($E$1126:$M$1128,1,MATCH($D1094,$E$1:$M$1,0))),0)*$BG1066,0)</f>
        <v>0</v>
      </c>
      <c r="F1094" s="5">
        <f t="shared" ca="1" si="196"/>
        <v>0</v>
      </c>
      <c r="G1094" s="5">
        <f t="shared" ca="1" si="196"/>
        <v>0</v>
      </c>
      <c r="H1094" s="5">
        <f t="shared" ca="1" si="196"/>
        <v>0</v>
      </c>
      <c r="I1094" s="5">
        <f t="shared" ca="1" si="196"/>
        <v>0</v>
      </c>
      <c r="J1094" s="5">
        <f t="shared" ca="1" si="196"/>
        <v>0</v>
      </c>
      <c r="K1094" s="5">
        <f t="shared" ca="1" si="196"/>
        <v>488</v>
      </c>
      <c r="L1094" s="5">
        <f t="shared" ca="1" si="196"/>
        <v>0</v>
      </c>
      <c r="M1094" s="5">
        <f t="shared" ca="1" si="196"/>
        <v>0</v>
      </c>
      <c r="N1094" s="5">
        <f t="shared" ca="1" si="196"/>
        <v>0</v>
      </c>
      <c r="AH1094" s="5" t="s">
        <v>383</v>
      </c>
      <c r="AY1094" s="5">
        <f t="shared" ca="1" si="195"/>
        <v>783</v>
      </c>
    </row>
    <row r="1095" spans="1:52" x14ac:dyDescent="0.35">
      <c r="A1095" s="5">
        <v>8</v>
      </c>
      <c r="D1095" s="5" t="str">
        <f>配装页面!M31</f>
        <v>攻击</v>
      </c>
      <c r="E1095" s="5">
        <f t="shared" ref="E1095:N1095" ca="1" si="197">IFERROR(IF($D1095=E$1,CHOOSE($L$1066-3,INDEX($E$1120:$M$1122,2,MATCH($D1095,$E$1:$M$1,0)),INDEX($E$1123:$M$1125,2,MATCH($D1095,$E$1:$M$1,0)),INDEX($E$1126:$M$1128,2,MATCH($D1095,$E$1:$M$1,0))),0)*$BG$1067,0)</f>
        <v>0</v>
      </c>
      <c r="F1095" s="5">
        <f t="shared" ca="1" si="197"/>
        <v>436</v>
      </c>
      <c r="G1095" s="5">
        <f t="shared" ca="1" si="197"/>
        <v>0</v>
      </c>
      <c r="H1095" s="5">
        <f t="shared" ca="1" si="197"/>
        <v>0</v>
      </c>
      <c r="I1095" s="5">
        <f t="shared" ca="1" si="197"/>
        <v>0</v>
      </c>
      <c r="J1095" s="5">
        <f t="shared" ca="1" si="197"/>
        <v>0</v>
      </c>
      <c r="K1095" s="5">
        <f t="shared" ca="1" si="197"/>
        <v>0</v>
      </c>
      <c r="L1095" s="5">
        <f t="shared" ca="1" si="197"/>
        <v>0</v>
      </c>
      <c r="M1095" s="5">
        <f t="shared" ca="1" si="197"/>
        <v>0</v>
      </c>
      <c r="N1095" s="5">
        <f t="shared" ca="1" si="197"/>
        <v>0</v>
      </c>
      <c r="AH1095" s="5" t="s">
        <v>384</v>
      </c>
      <c r="AY1095" s="5">
        <f t="shared" ca="1" si="195"/>
        <v>783</v>
      </c>
    </row>
    <row r="1096" spans="1:52" x14ac:dyDescent="0.35">
      <c r="D1096" s="5" t="str">
        <f>IF(配装页面!M32="武伤","武器伤害",配装页面!M32)</f>
        <v>会效</v>
      </c>
      <c r="E1096" s="5">
        <f t="shared" ref="E1096:M1096" ca="1" si="198">IFERROR(IF($D1096=E$1,CHOOSE($L$1066-3,INDEX($E$1120:$M$1122,3,MATCH($D1096,$E$1:$M$1,0)),INDEX($E$1123:$M$1125,3,MATCH($D1096,$E$1:$M$1,0)),INDEX($E$1126:$M$1128,3,MATCH($D1096,$E$1:$M$1,0))),0)*$BG$1068,0)</f>
        <v>0</v>
      </c>
      <c r="F1096" s="5">
        <f t="shared" ca="1" si="198"/>
        <v>0</v>
      </c>
      <c r="G1096" s="5">
        <f t="shared" ca="1" si="198"/>
        <v>0</v>
      </c>
      <c r="H1096" s="5">
        <f t="shared" ca="1" si="198"/>
        <v>1950</v>
      </c>
      <c r="I1096" s="5">
        <f t="shared" ca="1" si="198"/>
        <v>0</v>
      </c>
      <c r="J1096" s="5">
        <f t="shared" ca="1" si="198"/>
        <v>0</v>
      </c>
      <c r="K1096" s="5">
        <f t="shared" ca="1" si="198"/>
        <v>0</v>
      </c>
      <c r="L1096" s="5">
        <f t="shared" ca="1" si="198"/>
        <v>0</v>
      </c>
      <c r="M1096" s="5">
        <f t="shared" ca="1" si="198"/>
        <v>0</v>
      </c>
      <c r="N1096" s="5">
        <f ca="1">M1096</f>
        <v>0</v>
      </c>
      <c r="AH1096" s="5" t="s">
        <v>385</v>
      </c>
      <c r="AY1096" s="5">
        <f t="shared" ca="1" si="195"/>
        <v>783</v>
      </c>
    </row>
    <row r="1097" spans="1:52" x14ac:dyDescent="0.35">
      <c r="D1097" s="5" t="s">
        <v>185</v>
      </c>
      <c r="E1097" s="5">
        <v>41</v>
      </c>
      <c r="F1097" s="5">
        <v>3794</v>
      </c>
      <c r="G1097" s="5">
        <f>INT(41*0.64)</f>
        <v>26</v>
      </c>
      <c r="J1097" s="5">
        <v>0</v>
      </c>
      <c r="AH1097" s="5" t="s">
        <v>386</v>
      </c>
      <c r="AY1097" s="5">
        <f ca="1">INDEX($B$1129:$D$1183,MATCH(D1101,$D$1129:$D$1183,0),1)</f>
        <v>783</v>
      </c>
    </row>
    <row r="1098" spans="1:52" x14ac:dyDescent="0.35">
      <c r="D1098" s="5" t="s">
        <v>186</v>
      </c>
      <c r="E1098" s="5">
        <f>IF(COUNTIFS(D1072:D1083,"*御赐*",D1072:D1083,"*10000*")&gt;=2,248,0)+IF(COUNTIFS(D1072:D1083,"*蜀月*",D1072:D1083,"*10000*")&gt;=2,0,0)</f>
        <v>0</v>
      </c>
      <c r="G1098" s="5">
        <f>大附魔数值!S12*1090+大附魔数值!S14*1215+大附魔数值!S16*620+大附魔数值!S19*695+INT(0.64*(IF(COUNTIFS(D1072:D1083,"*御赐*",D1072:D1083,"*10000*")&gt;=2,248,0)+IF(COUNTIFS(D1072:D1083,"*蜀月*",D1072:D1083,"*10000*")&gt;=2,0,0)))+IF(OR(COUNTIF(D1072:D1075,"*风击龙旗*")+COUNTIF(D1077,"*风击龙旗*")&gt;=2,COUNTIF(D1072:D1075,"*峰隐流云*")+COUNTIF(D1077,"*峰隐流云*")&gt;=2),779,0)</f>
        <v>0</v>
      </c>
      <c r="I1098" s="54">
        <f>IF(COUNTIF(D1072:D1075,"*一世之雄*")+COUNTIF(D1077,"*一世之雄*")&gt;=2,779,0)</f>
        <v>0</v>
      </c>
      <c r="K1098" s="5">
        <f>大附魔数值!S13*1090+大附魔数值!S15*1215+大附魔数值!S17*620+大附魔数值!S20*695</f>
        <v>0</v>
      </c>
      <c r="AH1098" s="5" t="s">
        <v>387</v>
      </c>
      <c r="AY1098" s="5">
        <f ca="1">INDEX($B$1129:$D$1183,MATCH(D1102,$D$1129:$D$1183,0),1)</f>
        <v>783</v>
      </c>
      <c r="AZ1098" s="5">
        <f>(属性开关!D80/属性开关!A81*大附魔数值!G58+属性开关!D81/属性开关!A82*大附魔数值!I58)*IF(配装页面!L11="无增益面板",0,1)</f>
        <v>0</v>
      </c>
    </row>
    <row r="1099" spans="1:52" x14ac:dyDescent="0.35">
      <c r="D1099" t="s">
        <v>187</v>
      </c>
      <c r="E1099"/>
      <c r="F1099">
        <f>大附魔数值!S7*157</f>
        <v>449.99999999999994</v>
      </c>
      <c r="I1099" s="5">
        <f>大附魔数值!S6*261</f>
        <v>999</v>
      </c>
      <c r="AH1099" s="5" t="s">
        <v>388</v>
      </c>
    </row>
    <row r="1100" spans="1:52" x14ac:dyDescent="0.35">
      <c r="D1100" s="5" t="s">
        <v>188</v>
      </c>
      <c r="E1100" s="5">
        <f ca="1">CHOOSE(大附魔数值!$F$19,SUM(E1072:E1099)+配装页面!AE24,导出数据处理!F7)</f>
        <v>7799</v>
      </c>
      <c r="F1100" s="5">
        <f ca="1">CHOOSE(大附魔数值!$F$19,SUM(F1072:F1099)+配装页面!AE23,导出数据处理!F8)</f>
        <v>23582</v>
      </c>
      <c r="G1100" s="5">
        <f ca="1">CHOOSE(大附魔数值!$F$19,SUM(G1072:G1099)+配装页面!AE26,导出数据处理!F10)</f>
        <v>16883</v>
      </c>
      <c r="H1100" s="5">
        <f ca="1">CHOOSE(大附魔数值!$F$19,SUM(H1072:H1099)+配装页面!AE27,导出数据处理!F11)</f>
        <v>2650</v>
      </c>
      <c r="I1100" s="5">
        <f ca="1">CHOOSE(大附魔数值!$F$19,SUM(I1072:I1099)+配装页面!AE28,导出数据处理!F12)</f>
        <v>24045</v>
      </c>
      <c r="J1100" s="5">
        <f ca="1">CHOOSE(大附魔数值!$F$19,SUM(J1072:J1099)+配装页面!AE29,导出数据处理!F15)</f>
        <v>15107</v>
      </c>
      <c r="K1100" s="5">
        <f ca="1">CHOOSE(大附魔数值!$F$19,SUM(K1072:K1099)+配装页面!AE30,导出数据处理!F13)</f>
        <v>26904</v>
      </c>
      <c r="L1100" s="5">
        <f ca="1">CHOOSE(大附魔数值!$F$19,SUM(L1072:L1099)+配装页面!AE31,导出数据处理!F14)</f>
        <v>4335</v>
      </c>
      <c r="M1100" s="5">
        <f ca="1">CHOOSE(大附魔数值!$F$19,SUM(M1072:M1099)+配装页面!AE25,导出数据处理!F17)</f>
        <v>3282</v>
      </c>
      <c r="N1100" s="5">
        <f ca="1">CHOOSE(大附魔数值!$F$19,SUM(N1072:N1099)+配装页面!AE25,导出数据处理!F18)</f>
        <v>5470</v>
      </c>
      <c r="AH1100" s="5" t="s">
        <v>389</v>
      </c>
    </row>
    <row r="1101" spans="1:52" x14ac:dyDescent="0.35">
      <c r="C1101" s="5" t="str">
        <f>INDEX($C$1129:$C$1183,MATCH(D1101,$D$1129:$D$1183,0),1)</f>
        <v>紫</v>
      </c>
      <c r="D1101" s="5" t="str">
        <f>配装页面!G29</f>
        <v>296体质</v>
      </c>
      <c r="AH1101" s="5" t="s">
        <v>390</v>
      </c>
    </row>
    <row r="1102" spans="1:52" x14ac:dyDescent="0.35">
      <c r="C1102" s="5" t="str">
        <f>INDEX($C$1129:$C$1183,MATCH(D1102,$D$1129:$D$1183,0),1)</f>
        <v>紫</v>
      </c>
      <c r="D1102" s="5" t="str">
        <f>配装页面!O29</f>
        <v>296体质</v>
      </c>
      <c r="AH1102" s="5" t="s">
        <v>391</v>
      </c>
    </row>
    <row r="1103" spans="1:52" x14ac:dyDescent="0.35">
      <c r="D1103" s="7" t="s">
        <v>1</v>
      </c>
      <c r="E1103" s="5">
        <f ca="1">F1100+INT(E1100*0.15)</f>
        <v>24751</v>
      </c>
      <c r="AH1103" s="5" t="s">
        <v>392</v>
      </c>
    </row>
    <row r="1104" spans="1:52" x14ac:dyDescent="0.35">
      <c r="D1104" s="7" t="s">
        <v>10</v>
      </c>
      <c r="E1104" s="5">
        <f ca="1">E1103+INT(E1100*1638/1024)</f>
        <v>37226</v>
      </c>
      <c r="AH1104" s="5" t="s">
        <v>393</v>
      </c>
    </row>
    <row r="1105" spans="1:34" x14ac:dyDescent="0.35">
      <c r="D1105" s="7" t="s">
        <v>12</v>
      </c>
      <c r="E1105" s="5">
        <f ca="1">E1100</f>
        <v>7799</v>
      </c>
      <c r="AH1105" s="5" t="s">
        <v>394</v>
      </c>
    </row>
    <row r="1106" spans="1:34" x14ac:dyDescent="0.35">
      <c r="D1106" s="7" t="s">
        <v>14</v>
      </c>
      <c r="E1106" s="5">
        <f ca="1">M1100</f>
        <v>3282</v>
      </c>
      <c r="AH1106" s="5" t="s">
        <v>395</v>
      </c>
    </row>
    <row r="1107" spans="1:34" x14ac:dyDescent="0.35">
      <c r="D1107" s="7" t="s">
        <v>16</v>
      </c>
      <c r="E1107" s="5">
        <f ca="1">N1100</f>
        <v>5470</v>
      </c>
      <c r="AH1107" s="5" t="s">
        <v>396</v>
      </c>
    </row>
    <row r="1108" spans="1:34" x14ac:dyDescent="0.35">
      <c r="D1108" s="7" t="s">
        <v>17</v>
      </c>
      <c r="E1108" s="8">
        <f ca="1">G1100/属性开关!U25</f>
        <v>0.21473496772552386</v>
      </c>
      <c r="AH1108" s="5" t="s">
        <v>397</v>
      </c>
    </row>
    <row r="1109" spans="1:34" x14ac:dyDescent="0.35">
      <c r="D1109" s="7" t="s">
        <v>18</v>
      </c>
      <c r="E1109" s="8">
        <f ca="1">H1100/属性开关!U26+1.75</f>
        <v>1.8463154786243241</v>
      </c>
      <c r="F1109" s="5" t="s">
        <v>65</v>
      </c>
      <c r="AH1109" s="5" t="s">
        <v>398</v>
      </c>
    </row>
    <row r="1110" spans="1:34" x14ac:dyDescent="0.35">
      <c r="D1110" s="148" t="s">
        <v>20</v>
      </c>
      <c r="E1110" s="5">
        <f ca="1">INT(I1100)+INT(E1105*0.3)+INT(E1105*0.25)</f>
        <v>28333</v>
      </c>
      <c r="F1110" s="5">
        <f ca="1">INT(I1100)+INT(E1105*0.3)</f>
        <v>26384</v>
      </c>
      <c r="AH1110" s="5" t="s">
        <v>399</v>
      </c>
    </row>
    <row r="1111" spans="1:34" x14ac:dyDescent="0.35">
      <c r="D1111" s="148"/>
      <c r="E1111" s="5">
        <f ca="1">E1110/属性开关!U25</f>
        <v>0.36036757925530222</v>
      </c>
      <c r="AH1111" s="5" t="s">
        <v>400</v>
      </c>
    </row>
    <row r="1112" spans="1:34" x14ac:dyDescent="0.35">
      <c r="D1112" s="7" t="s">
        <v>22</v>
      </c>
      <c r="E1112" s="8">
        <f>100%</f>
        <v>1</v>
      </c>
      <c r="AH1112" s="5" t="s">
        <v>401</v>
      </c>
    </row>
    <row r="1113" spans="1:34" x14ac:dyDescent="0.35">
      <c r="D1113" s="7" t="s">
        <v>24</v>
      </c>
      <c r="E1113" s="8">
        <f ca="1">K1100/属性开关!U27</f>
        <v>0.35489072903372609</v>
      </c>
      <c r="AH1113" s="5" t="s">
        <v>402</v>
      </c>
    </row>
    <row r="1114" spans="1:34" x14ac:dyDescent="0.35">
      <c r="D1114" s="7" t="s">
        <v>63</v>
      </c>
      <c r="E1114" s="5">
        <f ca="1">L1100+属性开关!U79</f>
        <v>4335</v>
      </c>
      <c r="AH1114" s="5" t="s">
        <v>403</v>
      </c>
    </row>
    <row r="1115" spans="1:34" x14ac:dyDescent="0.35">
      <c r="D1115" s="52" t="s">
        <v>323</v>
      </c>
      <c r="AH1115" s="5" t="s">
        <v>404</v>
      </c>
    </row>
    <row r="1116" spans="1:34" x14ac:dyDescent="0.35">
      <c r="D1116" s="52" t="s">
        <v>324</v>
      </c>
      <c r="E1116" s="5">
        <f ca="1">J1100</f>
        <v>15107</v>
      </c>
      <c r="AH1116" s="5" t="s">
        <v>415</v>
      </c>
    </row>
    <row r="1117" spans="1:34" x14ac:dyDescent="0.35">
      <c r="AH1117" s="5" t="s">
        <v>405</v>
      </c>
    </row>
    <row r="1118" spans="1:34" x14ac:dyDescent="0.35">
      <c r="AH1118" s="5" t="s">
        <v>406</v>
      </c>
    </row>
    <row r="1119" spans="1:34" x14ac:dyDescent="0.35">
      <c r="AH1119" s="5" t="s">
        <v>407</v>
      </c>
    </row>
    <row r="1120" spans="1:34" x14ac:dyDescent="0.35">
      <c r="A1120" s="5" t="s">
        <v>170</v>
      </c>
      <c r="B1120" s="5" t="s">
        <v>171</v>
      </c>
      <c r="C1120" s="5" t="s">
        <v>172</v>
      </c>
      <c r="E1120" s="5">
        <v>87</v>
      </c>
      <c r="F1120" s="5">
        <v>175</v>
      </c>
      <c r="G1120" s="5">
        <v>390</v>
      </c>
      <c r="H1120" s="5">
        <v>390</v>
      </c>
      <c r="I1120" s="5">
        <v>390</v>
      </c>
      <c r="J1120" s="5">
        <v>390</v>
      </c>
      <c r="K1120" s="5">
        <v>390</v>
      </c>
      <c r="L1120" s="5">
        <v>390</v>
      </c>
      <c r="AH1120" s="5" t="s">
        <v>408</v>
      </c>
    </row>
    <row r="1121" spans="1:34" x14ac:dyDescent="0.35">
      <c r="A1121" s="5" t="s">
        <v>170</v>
      </c>
      <c r="B1121" s="5" t="s">
        <v>171</v>
      </c>
      <c r="C1121" s="5" t="s">
        <v>173</v>
      </c>
      <c r="F1121" s="5">
        <v>349</v>
      </c>
      <c r="G1121" s="5">
        <v>780</v>
      </c>
      <c r="H1121" s="5">
        <v>780</v>
      </c>
      <c r="I1121" s="5">
        <v>780</v>
      </c>
      <c r="J1121" s="5">
        <v>780</v>
      </c>
      <c r="K1121" s="5">
        <v>780</v>
      </c>
      <c r="L1121" s="5">
        <v>780</v>
      </c>
      <c r="AH1121" s="5" t="s">
        <v>409</v>
      </c>
    </row>
    <row r="1122" spans="1:34" x14ac:dyDescent="0.35">
      <c r="A1122" s="5" t="s">
        <v>170</v>
      </c>
      <c r="B1122" s="5" t="s">
        <v>171</v>
      </c>
      <c r="C1122" s="5" t="s">
        <v>174</v>
      </c>
      <c r="F1122" s="5">
        <v>698</v>
      </c>
      <c r="G1122" s="5">
        <v>1560</v>
      </c>
      <c r="H1122" s="5">
        <v>1560</v>
      </c>
      <c r="I1122" s="5">
        <v>1560</v>
      </c>
      <c r="J1122" s="5">
        <v>1560</v>
      </c>
      <c r="K1122" s="5">
        <v>1560</v>
      </c>
      <c r="L1122" s="5">
        <v>1560</v>
      </c>
      <c r="M1122" s="5">
        <v>1048</v>
      </c>
      <c r="N1122" s="5">
        <v>1048</v>
      </c>
      <c r="AH1122" s="5" t="s">
        <v>410</v>
      </c>
    </row>
    <row r="1123" spans="1:34" x14ac:dyDescent="0.35">
      <c r="A1123" s="5" t="s">
        <v>170</v>
      </c>
      <c r="B1123" s="5" t="s">
        <v>175</v>
      </c>
      <c r="C1123" s="5" t="s">
        <v>172</v>
      </c>
      <c r="E1123" s="5">
        <v>109</v>
      </c>
      <c r="F1123" s="5">
        <v>218</v>
      </c>
      <c r="G1123" s="5">
        <v>488</v>
      </c>
      <c r="H1123" s="5">
        <v>488</v>
      </c>
      <c r="I1123" s="5">
        <v>488</v>
      </c>
      <c r="J1123" s="5">
        <v>488</v>
      </c>
      <c r="K1123" s="5">
        <v>488</v>
      </c>
      <c r="L1123" s="5">
        <v>488</v>
      </c>
      <c r="AH1123" s="5" t="s">
        <v>411</v>
      </c>
    </row>
    <row r="1124" spans="1:34" x14ac:dyDescent="0.35">
      <c r="A1124" s="5" t="s">
        <v>170</v>
      </c>
      <c r="B1124" s="5" t="s">
        <v>175</v>
      </c>
      <c r="C1124" s="5" t="s">
        <v>173</v>
      </c>
      <c r="F1124" s="5">
        <v>436</v>
      </c>
      <c r="G1124" s="5">
        <v>975</v>
      </c>
      <c r="H1124" s="5">
        <v>975</v>
      </c>
      <c r="I1124" s="5">
        <v>975</v>
      </c>
      <c r="J1124" s="5">
        <v>975</v>
      </c>
      <c r="K1124" s="5">
        <v>975</v>
      </c>
      <c r="L1124" s="5">
        <v>975</v>
      </c>
      <c r="AH1124" s="5" t="s">
        <v>412</v>
      </c>
    </row>
    <row r="1125" spans="1:34" x14ac:dyDescent="0.35">
      <c r="A1125" s="5" t="s">
        <v>170</v>
      </c>
      <c r="B1125" s="5" t="s">
        <v>175</v>
      </c>
      <c r="C1125" s="5" t="s">
        <v>174</v>
      </c>
      <c r="F1125" s="5">
        <v>873</v>
      </c>
      <c r="G1125" s="5">
        <v>1950</v>
      </c>
      <c r="H1125" s="5">
        <v>1950</v>
      </c>
      <c r="I1125" s="5">
        <v>1950</v>
      </c>
      <c r="J1125" s="5">
        <v>1950</v>
      </c>
      <c r="K1125" s="5">
        <v>1950</v>
      </c>
      <c r="L1125" s="5">
        <v>1950</v>
      </c>
      <c r="M1125" s="5">
        <v>1309</v>
      </c>
      <c r="N1125" s="5">
        <v>1309</v>
      </c>
      <c r="AH1125" s="5" t="s">
        <v>413</v>
      </c>
    </row>
    <row r="1126" spans="1:34" x14ac:dyDescent="0.35">
      <c r="A1126" s="5" t="s">
        <v>170</v>
      </c>
      <c r="B1126" s="5" t="s">
        <v>176</v>
      </c>
      <c r="C1126" s="5" t="s">
        <v>172</v>
      </c>
      <c r="E1126" s="5">
        <v>131</v>
      </c>
      <c r="F1126" s="5">
        <v>262</v>
      </c>
      <c r="G1126" s="5">
        <v>585</v>
      </c>
      <c r="H1126" s="5">
        <v>585</v>
      </c>
      <c r="I1126" s="5">
        <v>585</v>
      </c>
      <c r="J1126" s="5">
        <v>585</v>
      </c>
      <c r="K1126" s="5">
        <v>585</v>
      </c>
      <c r="L1126" s="5">
        <v>585</v>
      </c>
      <c r="AH1126" s="5" t="s">
        <v>416</v>
      </c>
    </row>
    <row r="1127" spans="1:34" x14ac:dyDescent="0.35">
      <c r="A1127" s="5" t="s">
        <v>170</v>
      </c>
      <c r="B1127" s="5" t="s">
        <v>176</v>
      </c>
      <c r="C1127" s="5" t="s">
        <v>173</v>
      </c>
      <c r="F1127" s="5">
        <v>524</v>
      </c>
      <c r="G1127" s="5">
        <v>1170</v>
      </c>
      <c r="H1127" s="5">
        <v>1170</v>
      </c>
      <c r="I1127" s="5">
        <v>1170</v>
      </c>
      <c r="J1127" s="5">
        <v>1170</v>
      </c>
      <c r="K1127" s="5">
        <v>1170</v>
      </c>
      <c r="L1127" s="5">
        <v>1170</v>
      </c>
      <c r="AH1127" s="54" t="s">
        <v>417</v>
      </c>
    </row>
    <row r="1128" spans="1:34" x14ac:dyDescent="0.35">
      <c r="A1128" s="5" t="s">
        <v>170</v>
      </c>
      <c r="B1128" s="5" t="s">
        <v>176</v>
      </c>
      <c r="C1128" s="5" t="s">
        <v>174</v>
      </c>
      <c r="F1128" s="5">
        <v>1048</v>
      </c>
      <c r="G1128" s="5">
        <v>2340</v>
      </c>
      <c r="H1128" s="5">
        <v>2340</v>
      </c>
      <c r="I1128" s="5">
        <v>2340</v>
      </c>
      <c r="J1128" s="5">
        <v>2340</v>
      </c>
      <c r="K1128" s="5">
        <v>2340</v>
      </c>
      <c r="L1128" s="5">
        <v>2340</v>
      </c>
      <c r="M1128" s="5">
        <v>1571</v>
      </c>
      <c r="N1128" s="5">
        <v>1571</v>
      </c>
    </row>
    <row r="1129" spans="1:34" x14ac:dyDescent="0.35">
      <c r="A1129" s="5" t="s">
        <v>177</v>
      </c>
      <c r="B1129" s="5">
        <f ca="1">IFERROR(IF(D1129&lt;&gt;"无",INDIRECT("大附魔数值!"&amp;ADDRESS(SUMPRODUCT((大附魔数值!$G$38:$I$46=_xlfn.NUMBERVALUE(LEFT(D1129,LEN(D1129)-2)))*ROW(大附魔数值!$G$38:$G$46))+11,SUMPRODUCT((大附魔数值!$G$38:$I$46=_xlfn.NUMBERVALUE(LEFT(D1129,LEN(D1129)-2)))*COLUMN(大附魔数值!G38:I38)),4)),0),0)</f>
        <v>783</v>
      </c>
      <c r="C1129" s="54" t="s">
        <v>530</v>
      </c>
      <c r="D1129" s="5" t="str">
        <f>紫色攻击&amp;"攻击"</f>
        <v>360攻击</v>
      </c>
      <c r="F1129" s="5">
        <f>紫色攻击</f>
        <v>360</v>
      </c>
    </row>
    <row r="1130" spans="1:34" x14ac:dyDescent="0.35">
      <c r="A1130" s="5" t="s">
        <v>177</v>
      </c>
      <c r="B1130" s="5">
        <f ca="1">IFERROR(IF(D1130&lt;&gt;"无",INDIRECT("大附魔数值!"&amp;ADDRESS(SUMPRODUCT((大附魔数值!$G$38:$I$46=_xlfn.NUMBERVALUE(LEFT(D1130,LEN(D1130)-2)))*ROW(大附魔数值!$G$38:$G$46))+11,SUMPRODUCT((大附魔数值!$G$38:$I$46=_xlfn.NUMBERVALUE(LEFT(D1130,LEN(D1130)-2)))*COLUMN(大附魔数值!G39:I39)),4)),0),0)</f>
        <v>783</v>
      </c>
      <c r="C1130" s="54" t="s">
        <v>530</v>
      </c>
      <c r="D1130" s="54" t="str">
        <f>紫色通用&amp;"加速"</f>
        <v>799加速</v>
      </c>
      <c r="L1130" s="5">
        <f>紫色通用</f>
        <v>799</v>
      </c>
    </row>
    <row r="1131" spans="1:34" x14ac:dyDescent="0.35">
      <c r="A1131" s="5" t="s">
        <v>177</v>
      </c>
      <c r="B1131" s="5">
        <f ca="1">IFERROR(IF(D1131&lt;&gt;"无",INDIRECT("大附魔数值!"&amp;ADDRESS(SUMPRODUCT((大附魔数值!$G$38:$I$46=_xlfn.NUMBERVALUE(LEFT(D1131,LEN(D1131)-2)))*ROW(大附魔数值!$G$38:$G$46))+11,SUMPRODUCT((大附魔数值!$G$38:$I$46=_xlfn.NUMBERVALUE(LEFT(D1131,LEN(D1131)-2)))*COLUMN(大附魔数值!G40:I40)),4)),0),0)</f>
        <v>783</v>
      </c>
      <c r="C1131" s="54" t="s">
        <v>530</v>
      </c>
      <c r="D1131" s="54" t="str">
        <f>紫色通用&amp;"破招"</f>
        <v>799破招</v>
      </c>
      <c r="J1131" s="5">
        <f>紫色通用</f>
        <v>799</v>
      </c>
    </row>
    <row r="1132" spans="1:34" x14ac:dyDescent="0.35">
      <c r="A1132" s="5" t="s">
        <v>177</v>
      </c>
      <c r="B1132" s="5">
        <f ca="1">IFERROR(IF(D1132&lt;&gt;"无",INDIRECT("大附魔数值!"&amp;ADDRESS(SUMPRODUCT((大附魔数值!$G$38:$I$46=_xlfn.NUMBERVALUE(LEFT(D1132,LEN(D1132)-2)))*ROW(大附魔数值!$G$38:$G$46))+11,SUMPRODUCT((大附魔数值!$G$38:$I$46=_xlfn.NUMBERVALUE(LEFT(D1132,LEN(D1132)-2)))*COLUMN(大附魔数值!G41:I41)),4)),0),0)</f>
        <v>644</v>
      </c>
      <c r="C1132" s="54" t="s">
        <v>530</v>
      </c>
      <c r="D1132" s="5" t="str">
        <f>次等紫色攻击&amp;"攻击"</f>
        <v>326攻击</v>
      </c>
      <c r="F1132" s="5">
        <f>次等紫色攻击</f>
        <v>326</v>
      </c>
    </row>
    <row r="1133" spans="1:34" x14ac:dyDescent="0.35">
      <c r="A1133" s="5" t="s">
        <v>177</v>
      </c>
      <c r="B1133" s="5">
        <f ca="1">IFERROR(IF(D1133&lt;&gt;"无",INDIRECT("大附魔数值!"&amp;ADDRESS(SUMPRODUCT((大附魔数值!$G$38:$I$46=_xlfn.NUMBERVALUE(LEFT(D1133,LEN(D1133)-2)))*ROW(大附魔数值!$G$38:$G$46))+11,SUMPRODUCT((大附魔数值!$G$38:$I$46=_xlfn.NUMBERVALUE(LEFT(D1133,LEN(D1133)-2)))*COLUMN(大附魔数值!G42:I42)),4)),0),0)</f>
        <v>644</v>
      </c>
      <c r="C1133" s="54" t="s">
        <v>530</v>
      </c>
      <c r="D1133" s="54" t="str">
        <f>次等紫色通用&amp;"加速"</f>
        <v>723加速</v>
      </c>
      <c r="L1133" s="5">
        <f>次等紫色通用</f>
        <v>723</v>
      </c>
    </row>
    <row r="1134" spans="1:34" x14ac:dyDescent="0.35">
      <c r="A1134" s="5" t="s">
        <v>177</v>
      </c>
      <c r="B1134" s="5">
        <f ca="1">IFERROR(IF(D1134&lt;&gt;"无",INDIRECT("大附魔数值!"&amp;ADDRESS(SUMPRODUCT((大附魔数值!$G$38:$I$46=_xlfn.NUMBERVALUE(LEFT(D1134,LEN(D1134)-2)))*ROW(大附魔数值!$G$38:$G$46))+11,SUMPRODUCT((大附魔数值!$G$38:$I$46=_xlfn.NUMBERVALUE(LEFT(D1134,LEN(D1134)-2)))*COLUMN(大附魔数值!G43:I43)),4)),0),0)</f>
        <v>644</v>
      </c>
      <c r="C1134" s="54" t="s">
        <v>530</v>
      </c>
      <c r="D1134" s="54" t="str">
        <f>次等紫色通用&amp;"破招"</f>
        <v>723破招</v>
      </c>
      <c r="J1134" s="5">
        <f>次等紫色通用</f>
        <v>723</v>
      </c>
    </row>
    <row r="1135" spans="1:34" x14ac:dyDescent="0.35">
      <c r="A1135" s="5" t="s">
        <v>177</v>
      </c>
      <c r="B1135" s="5">
        <f ca="1">IFERROR(IF(D1135&lt;&gt;"无",INDIRECT("大附魔数值!"&amp;ADDRESS(SUMPRODUCT((大附魔数值!$G$38:$I$46=_xlfn.NUMBERVALUE(LEFT(D1135,LEN(D1135)-2)))*ROW(大附魔数值!$G$38:$G$46))+11,SUMPRODUCT((大附魔数值!$G$38:$I$46=_xlfn.NUMBERVALUE(LEFT(D1135,LEN(D1135)-2)))*COLUMN(大附魔数值!G44:I44)),4)),0),0)</f>
        <v>391</v>
      </c>
      <c r="C1135" s="54" t="s">
        <v>532</v>
      </c>
      <c r="D1135" s="5" t="str">
        <f>蓝色攻击&amp;"攻击"</f>
        <v>180攻击</v>
      </c>
      <c r="F1135" s="5">
        <f>蓝色攻击</f>
        <v>180</v>
      </c>
    </row>
    <row r="1136" spans="1:34" x14ac:dyDescent="0.35">
      <c r="A1136" s="5" t="s">
        <v>177</v>
      </c>
      <c r="B1136" s="5">
        <f ca="1">IFERROR(IF(D1136&lt;&gt;"无",INDIRECT("大附魔数值!"&amp;ADDRESS(SUMPRODUCT((大附魔数值!$G$38:$I$46=_xlfn.NUMBERVALUE(LEFT(D1136,LEN(D1136)-2)))*ROW(大附魔数值!$G$38:$G$46))+11,SUMPRODUCT((大附魔数值!$G$38:$I$46=_xlfn.NUMBERVALUE(LEFT(D1136,LEN(D1136)-2)))*COLUMN(大附魔数值!G45:I45)),4)),0),0)</f>
        <v>391</v>
      </c>
      <c r="C1136" s="54" t="s">
        <v>532</v>
      </c>
      <c r="D1136" s="54" t="str">
        <f>蓝色通用&amp;"加速"</f>
        <v>400加速</v>
      </c>
      <c r="L1136" s="5">
        <f>蓝色通用</f>
        <v>400</v>
      </c>
    </row>
    <row r="1137" spans="1:11" x14ac:dyDescent="0.35">
      <c r="A1137" s="5" t="s">
        <v>177</v>
      </c>
      <c r="B1137" s="5">
        <f ca="1">IFERROR(IF(D1137&lt;&gt;"无",INDIRECT("大附魔数值!"&amp;ADDRESS(SUMPRODUCT((大附魔数值!$G$38:$I$46=_xlfn.NUMBERVALUE(LEFT(D1137,LEN(D1137)-2)))*ROW(大附魔数值!$G$38:$G$46))+11,SUMPRODUCT((大附魔数值!$G$38:$I$46=_xlfn.NUMBERVALUE(LEFT(D1137,LEN(D1137)-2)))*COLUMN(大附魔数值!G46:I46)),4)),0),0)</f>
        <v>391</v>
      </c>
      <c r="C1137" s="54" t="s">
        <v>532</v>
      </c>
      <c r="D1137" s="54" t="str">
        <f>蓝色通用&amp;"破招"</f>
        <v>400破招</v>
      </c>
      <c r="J1137" s="5">
        <f>蓝色通用</f>
        <v>400</v>
      </c>
    </row>
    <row r="1138" spans="1:11" x14ac:dyDescent="0.35">
      <c r="A1138" s="5" t="s">
        <v>177</v>
      </c>
      <c r="B1138" s="5">
        <f ca="1">IFERROR(IF(D1138&lt;&gt;"无",INDIRECT("大附魔数值!"&amp;ADDRESS(SUMPRODUCT((大附魔数值!$G$38:$I$46=_xlfn.NUMBERVALUE(LEFT(D1138,LEN(D1138)-2)))*ROW(大附魔数值!$G$38:$G$46))+11,SUMPRODUCT((大附魔数值!$G$38:$I$46=_xlfn.NUMBERVALUE(LEFT(D1138,LEN(D1138)-2)))*COLUMN(大附魔数值!G47:I47)),4)),0),0)</f>
        <v>0</v>
      </c>
      <c r="C1138" s="54" t="s">
        <v>531</v>
      </c>
      <c r="D1138" s="5" t="s">
        <v>70</v>
      </c>
    </row>
    <row r="1139" spans="1:11" x14ac:dyDescent="0.35">
      <c r="A1139" s="5" t="s">
        <v>178</v>
      </c>
      <c r="B1139" s="5">
        <f ca="1">IFERROR(IF(D1139&lt;&gt;"无",INDIRECT("大附魔数值!"&amp;ADDRESS(SUMPRODUCT((大附魔数值!$G$38:$I$46=_xlfn.NUMBERVALUE(LEFT(D1139,LEN(D1139)-2)))*ROW(大附魔数值!$G$38:$G$46))+11,SUMPRODUCT((大附魔数值!$G$38:$I$46=_xlfn.NUMBERVALUE(LEFT(D1139,LEN(D1139)-2)))*COLUMN(大附魔数值!G48:I48)),4)),0),0)</f>
        <v>783</v>
      </c>
      <c r="C1139" s="54" t="s">
        <v>530</v>
      </c>
      <c r="D1139" s="5" t="str">
        <f>紫色身法&amp;"力道"</f>
        <v>179力道</v>
      </c>
      <c r="E1139" s="5">
        <f>紫色身法</f>
        <v>179</v>
      </c>
    </row>
    <row r="1140" spans="1:11" x14ac:dyDescent="0.35">
      <c r="A1140" s="5" t="s">
        <v>178</v>
      </c>
      <c r="B1140" s="5">
        <f ca="1">IFERROR(IF(D1140&lt;&gt;"无",INDIRECT("大附魔数值!"&amp;ADDRESS(SUMPRODUCT((大附魔数值!$G$38:$I$46=_xlfn.NUMBERVALUE(LEFT(D1140,LEN(D1140)-2)))*ROW(大附魔数值!$G$38:$G$46))+11,SUMPRODUCT((大附魔数值!$G$38:$I$46=_xlfn.NUMBERVALUE(LEFT(D1140,LEN(D1140)-2)))*COLUMN(大附魔数值!G49:I49)),4)),0),0)</f>
        <v>783</v>
      </c>
      <c r="C1140" s="54" t="s">
        <v>530</v>
      </c>
      <c r="D1140" s="5" t="str">
        <f>紫色通用&amp;"破防"</f>
        <v>799破防</v>
      </c>
      <c r="I1140" s="5">
        <f>紫色通用</f>
        <v>799</v>
      </c>
    </row>
    <row r="1141" spans="1:11" x14ac:dyDescent="0.35">
      <c r="A1141" s="5" t="s">
        <v>178</v>
      </c>
      <c r="B1141" s="5">
        <f ca="1">IFERROR(IF(D1141&lt;&gt;"无",INDIRECT("大附魔数值!"&amp;ADDRESS(SUMPRODUCT((大附魔数值!$G$38:$I$46=_xlfn.NUMBERVALUE(LEFT(D1141,LEN(D1141)-2)))*ROW(大附魔数值!$G$38:$G$46))+11,SUMPRODUCT((大附魔数值!$G$38:$I$46=_xlfn.NUMBERVALUE(LEFT(D1141,LEN(D1141)-2)))*COLUMN(大附魔数值!G50:I50)),4)),0),0)</f>
        <v>783</v>
      </c>
      <c r="C1141" s="54" t="s">
        <v>530</v>
      </c>
      <c r="D1141" s="5" t="str">
        <f>紫色通用&amp;"会心"</f>
        <v>799会心</v>
      </c>
      <c r="G1141" s="5">
        <f>紫色通用</f>
        <v>799</v>
      </c>
    </row>
    <row r="1142" spans="1:11" x14ac:dyDescent="0.35">
      <c r="A1142" s="5" t="s">
        <v>178</v>
      </c>
      <c r="B1142" s="5">
        <f ca="1">IFERROR(IF(D1142&lt;&gt;"无",INDIRECT("大附魔数值!"&amp;ADDRESS(SUMPRODUCT((大附魔数值!$G$38:$I$46=_xlfn.NUMBERVALUE(LEFT(D1142,LEN(D1142)-2)))*ROW(大附魔数值!$G$38:$G$46))+11,SUMPRODUCT((大附魔数值!$G$38:$I$46=_xlfn.NUMBERVALUE(LEFT(D1142,LEN(D1142)-2)))*COLUMN(大附魔数值!G51:I51)),4)),0),0)</f>
        <v>783</v>
      </c>
      <c r="C1142" s="54" t="s">
        <v>530</v>
      </c>
      <c r="D1142" s="5" t="str">
        <f>紫色通用&amp;"无双"</f>
        <v>799无双</v>
      </c>
      <c r="K1142" s="5">
        <f>紫色通用</f>
        <v>799</v>
      </c>
    </row>
    <row r="1143" spans="1:11" x14ac:dyDescent="0.35">
      <c r="A1143" s="5" t="s">
        <v>178</v>
      </c>
      <c r="B1143" s="5">
        <f ca="1">IFERROR(IF(D1143&lt;&gt;"无",INDIRECT("大附魔数值!"&amp;ADDRESS(SUMPRODUCT((大附魔数值!$G$38:$I$46=_xlfn.NUMBERVALUE(LEFT(D1143,LEN(D1143)-2)))*ROW(大附魔数值!$G$38:$G$46))+11,SUMPRODUCT((大附魔数值!$G$38:$I$46=_xlfn.NUMBERVALUE(LEFT(D1143,LEN(D1143)-2)))*COLUMN(大附魔数值!G52:I52)),4)),0),0)</f>
        <v>644</v>
      </c>
      <c r="C1143" s="54" t="s">
        <v>530</v>
      </c>
      <c r="D1143" s="5" t="str">
        <f>次等紫色身法&amp;"力道"</f>
        <v>162力道</v>
      </c>
      <c r="E1143" s="5">
        <f>次等紫色身法</f>
        <v>162</v>
      </c>
    </row>
    <row r="1144" spans="1:11" x14ac:dyDescent="0.35">
      <c r="A1144" s="5" t="s">
        <v>178</v>
      </c>
      <c r="B1144" s="5">
        <f ca="1">IFERROR(IF(D1144&lt;&gt;"无",INDIRECT("大附魔数值!"&amp;ADDRESS(SUMPRODUCT((大附魔数值!$G$38:$I$46=_xlfn.NUMBERVALUE(LEFT(D1144,LEN(D1144)-2)))*ROW(大附魔数值!$G$38:$G$46))+11,SUMPRODUCT((大附魔数值!$G$38:$I$46=_xlfn.NUMBERVALUE(LEFT(D1144,LEN(D1144)-2)))*COLUMN(大附魔数值!G53:I53)),4)),0),0)</f>
        <v>644</v>
      </c>
      <c r="C1144" s="54" t="s">
        <v>530</v>
      </c>
      <c r="D1144" s="5" t="str">
        <f>次等紫色通用&amp;"破防"</f>
        <v>723破防</v>
      </c>
      <c r="I1144" s="5">
        <f>次等紫色通用</f>
        <v>723</v>
      </c>
    </row>
    <row r="1145" spans="1:11" x14ac:dyDescent="0.35">
      <c r="A1145" s="5" t="s">
        <v>178</v>
      </c>
      <c r="B1145" s="5">
        <f ca="1">IFERROR(IF(D1145&lt;&gt;"无",INDIRECT("大附魔数值!"&amp;ADDRESS(SUMPRODUCT((大附魔数值!$G$38:$I$46=_xlfn.NUMBERVALUE(LEFT(D1145,LEN(D1145)-2)))*ROW(大附魔数值!$G$38:$G$46))+11,SUMPRODUCT((大附魔数值!$G$38:$I$46=_xlfn.NUMBERVALUE(LEFT(D1145,LEN(D1145)-2)))*COLUMN(大附魔数值!G54:I54)),4)),0),0)</f>
        <v>644</v>
      </c>
      <c r="C1145" s="54" t="s">
        <v>530</v>
      </c>
      <c r="D1145" s="5" t="str">
        <f>次等紫色通用&amp;"会心"</f>
        <v>723会心</v>
      </c>
      <c r="G1145" s="5">
        <f>次等紫色通用</f>
        <v>723</v>
      </c>
    </row>
    <row r="1146" spans="1:11" x14ac:dyDescent="0.35">
      <c r="A1146" s="5" t="s">
        <v>178</v>
      </c>
      <c r="B1146" s="5">
        <f ca="1">IFERROR(IF(D1146&lt;&gt;"无",INDIRECT("大附魔数值!"&amp;ADDRESS(SUMPRODUCT((大附魔数值!$G$38:$I$46=_xlfn.NUMBERVALUE(LEFT(D1146,LEN(D1146)-2)))*ROW(大附魔数值!$G$38:$G$46))+11,SUMPRODUCT((大附魔数值!$G$38:$I$46=_xlfn.NUMBERVALUE(LEFT(D1146,LEN(D1146)-2)))*COLUMN(大附魔数值!G55:I55)),4)),0),0)</f>
        <v>644</v>
      </c>
      <c r="C1146" s="54" t="s">
        <v>530</v>
      </c>
      <c r="D1146" s="5" t="str">
        <f>次等紫色通用&amp;"无双"</f>
        <v>723无双</v>
      </c>
      <c r="K1146" s="5">
        <f>次等紫色通用</f>
        <v>723</v>
      </c>
    </row>
    <row r="1147" spans="1:11" x14ac:dyDescent="0.35">
      <c r="A1147" s="5" t="s">
        <v>178</v>
      </c>
      <c r="B1147" s="5">
        <f ca="1">IFERROR(IF(D1147&lt;&gt;"无",INDIRECT("大附魔数值!"&amp;ADDRESS(SUMPRODUCT((大附魔数值!$G$38:$I$46=_xlfn.NUMBERVALUE(LEFT(D1147,LEN(D1147)-2)))*ROW(大附魔数值!$G$38:$G$46))+11,SUMPRODUCT((大附魔数值!$G$38:$I$46=_xlfn.NUMBERVALUE(LEFT(D1147,LEN(D1147)-2)))*COLUMN(大附魔数值!G56:I56)),4)),0),0)</f>
        <v>391</v>
      </c>
      <c r="C1147" s="54" t="s">
        <v>532</v>
      </c>
      <c r="D1147" s="5" t="str">
        <f>蓝色身法&amp;"力道"</f>
        <v>90力道</v>
      </c>
      <c r="E1147" s="5">
        <f>蓝色身法</f>
        <v>90</v>
      </c>
    </row>
    <row r="1148" spans="1:11" x14ac:dyDescent="0.35">
      <c r="A1148" s="5" t="s">
        <v>178</v>
      </c>
      <c r="B1148" s="5">
        <f ca="1">IFERROR(IF(D1148&lt;&gt;"无",INDIRECT("大附魔数值!"&amp;ADDRESS(SUMPRODUCT((大附魔数值!$G$38:$I$46=_xlfn.NUMBERVALUE(LEFT(D1148,LEN(D1148)-2)))*ROW(大附魔数值!$G$38:$G$46))+11,SUMPRODUCT((大附魔数值!$G$38:$I$46=_xlfn.NUMBERVALUE(LEFT(D1148,LEN(D1148)-2)))*COLUMN(大附魔数值!G57:I57)),4)),0),0)</f>
        <v>391</v>
      </c>
      <c r="C1148" s="54" t="s">
        <v>532</v>
      </c>
      <c r="D1148" s="5" t="str">
        <f>蓝色通用&amp;"破防"</f>
        <v>400破防</v>
      </c>
      <c r="I1148" s="5">
        <f>蓝色通用</f>
        <v>400</v>
      </c>
    </row>
    <row r="1149" spans="1:11" x14ac:dyDescent="0.35">
      <c r="A1149" s="5" t="s">
        <v>178</v>
      </c>
      <c r="B1149" s="5">
        <f ca="1">IFERROR(IF(D1149&lt;&gt;"无",INDIRECT("大附魔数值!"&amp;ADDRESS(SUMPRODUCT((大附魔数值!$G$38:$I$46=_xlfn.NUMBERVALUE(LEFT(D1149,LEN(D1149)-2)))*ROW(大附魔数值!$G$38:$G$46))+11,SUMPRODUCT((大附魔数值!$G$38:$I$46=_xlfn.NUMBERVALUE(LEFT(D1149,LEN(D1149)-2)))*COLUMN(大附魔数值!G58:I58)),4)),0),0)</f>
        <v>391</v>
      </c>
      <c r="C1149" s="54" t="s">
        <v>532</v>
      </c>
      <c r="D1149" s="5" t="str">
        <f>蓝色通用&amp;"会心"</f>
        <v>400会心</v>
      </c>
      <c r="G1149" s="5">
        <f>蓝色通用</f>
        <v>400</v>
      </c>
    </row>
    <row r="1150" spans="1:11" x14ac:dyDescent="0.35">
      <c r="A1150" s="5" t="s">
        <v>178</v>
      </c>
      <c r="B1150" s="5">
        <f ca="1">IFERROR(IF(D1150&lt;&gt;"无",INDIRECT("大附魔数值!"&amp;ADDRESS(SUMPRODUCT((大附魔数值!$G$38:$I$46=_xlfn.NUMBERVALUE(LEFT(D1150,LEN(D1150)-2)))*ROW(大附魔数值!$G$38:$G$46))+11,SUMPRODUCT((大附魔数值!$G$38:$I$46=_xlfn.NUMBERVALUE(LEFT(D1150,LEN(D1150)-2)))*COLUMN(大附魔数值!G59:I59)),4)),0),0)</f>
        <v>391</v>
      </c>
      <c r="C1150" s="54" t="s">
        <v>532</v>
      </c>
      <c r="D1150" s="5" t="str">
        <f>蓝色通用&amp;"无双"</f>
        <v>400无双</v>
      </c>
      <c r="K1150" s="5">
        <f>蓝色通用</f>
        <v>400</v>
      </c>
    </row>
    <row r="1151" spans="1:11" x14ac:dyDescent="0.35">
      <c r="B1151" s="5">
        <f ca="1">IFERROR(IF(D1151&lt;&gt;"无",INDIRECT("大附魔数值!"&amp;ADDRESS(SUMPRODUCT((大附魔数值!$G$38:$I$46=_xlfn.NUMBERVALUE(LEFT(D1151,LEN(D1151)-2)))*ROW(大附魔数值!$G$38:$G$46))+11,SUMPRODUCT((大附魔数值!$G$38:$I$46=_xlfn.NUMBERVALUE(LEFT(D1151,LEN(D1151)-2)))*COLUMN(大附魔数值!G60:I60)),4)),0),0)</f>
        <v>0</v>
      </c>
      <c r="C1151" s="54" t="s">
        <v>531</v>
      </c>
      <c r="D1151" s="5" t="s">
        <v>70</v>
      </c>
    </row>
    <row r="1152" spans="1:11" x14ac:dyDescent="0.35">
      <c r="A1152" s="5" t="s">
        <v>179</v>
      </c>
      <c r="B1152" s="5">
        <f ca="1">IFERROR(IF(D1152&lt;&gt;"无",INDIRECT("大附魔数值!"&amp;ADDRESS(SUMPRODUCT((大附魔数值!$G$38:$I$46=_xlfn.NUMBERVALUE(LEFT(D1152,LEN(D1152)-2)))*ROW(大附魔数值!$G$38:$G$46))+11,SUMPRODUCT((大附魔数值!$G$38:$I$46=_xlfn.NUMBERVALUE(LEFT(D1152,LEN(D1152)-2)))*COLUMN(大附魔数值!G61:I61)),4)),0),0)</f>
        <v>783</v>
      </c>
      <c r="C1152" s="54" t="s">
        <v>530</v>
      </c>
      <c r="D1152" s="54" t="str">
        <f>紫色体质&amp;"体质"</f>
        <v>296体质</v>
      </c>
    </row>
    <row r="1153" spans="1:14" x14ac:dyDescent="0.35">
      <c r="B1153" s="5">
        <f ca="1">IFERROR(IF(D1153&lt;&gt;"无",INDIRECT("大附魔数值!"&amp;ADDRESS(SUMPRODUCT((大附魔数值!$G$38:$I$46=_xlfn.NUMBERVALUE(LEFT(D1153,LEN(D1153)-2)))*ROW(大附魔数值!$G$38:$G$46))+11,SUMPRODUCT((大附魔数值!$G$38:$I$46=_xlfn.NUMBERVALUE(LEFT(D1153,LEN(D1153)-2)))*COLUMN(大附魔数值!G62:I62)),4)),0),0)</f>
        <v>783</v>
      </c>
      <c r="C1153" s="54" t="s">
        <v>530</v>
      </c>
      <c r="D1153" s="54" t="str">
        <f>紫色气血&amp;"气血"</f>
        <v>3997气血</v>
      </c>
    </row>
    <row r="1154" spans="1:14" x14ac:dyDescent="0.35">
      <c r="B1154" s="5">
        <f ca="1">IFERROR(IF(D1154&lt;&gt;"无",INDIRECT("大附魔数值!"&amp;ADDRESS(SUMPRODUCT((大附魔数值!$G$38:$I$46=_xlfn.NUMBERVALUE(LEFT(D1154,LEN(D1154)-2)))*ROW(大附魔数值!$G$38:$G$46))+11,SUMPRODUCT((大附魔数值!$G$38:$I$46=_xlfn.NUMBERVALUE(LEFT(D1154,LEN(D1154)-2)))*COLUMN(大附魔数值!G63:I63)),4)),0),0)</f>
        <v>313</v>
      </c>
      <c r="C1154" s="54" t="s">
        <v>532</v>
      </c>
      <c r="D1154" s="54" t="str">
        <f>蓝色无双&amp;"无双"</f>
        <v>240无双</v>
      </c>
      <c r="K1154" s="5">
        <f>蓝色无双</f>
        <v>240</v>
      </c>
    </row>
    <row r="1155" spans="1:14" x14ac:dyDescent="0.35">
      <c r="B1155" s="5">
        <f ca="1">IFERROR(IF(D1155&lt;&gt;"无",INDIRECT("大附魔数值!"&amp;ADDRESS(SUMPRODUCT((大附魔数值!$G$38:$I$46=_xlfn.NUMBERVALUE(LEFT(D1155,LEN(D1155)-2)))*ROW(大附魔数值!$G$38:$G$46))+11,SUMPRODUCT((大附魔数值!$G$38:$I$46=_xlfn.NUMBERVALUE(LEFT(D1155,LEN(D1155)-2)))*COLUMN(大附魔数值!G64:I64)),4)),0),0)</f>
        <v>258</v>
      </c>
      <c r="C1155" s="54" t="s">
        <v>532</v>
      </c>
      <c r="D1155" s="54" t="str">
        <f>次等蓝色无双&amp;"无双"</f>
        <v>217无双</v>
      </c>
      <c r="K1155" s="5">
        <f>次等蓝色无双</f>
        <v>217</v>
      </c>
    </row>
    <row r="1156" spans="1:14" x14ac:dyDescent="0.35">
      <c r="B1156" s="5">
        <f ca="1">IFERROR(IF(D1156&lt;&gt;"无",INDIRECT("大附魔数值!"&amp;ADDRESS(SUMPRODUCT((大附魔数值!$G$38:$I$46=_xlfn.NUMBERVALUE(LEFT(D1156,LEN(D1156)-2)))*ROW(大附魔数值!$G$38:$G$46))+11,SUMPRODUCT((大附魔数值!$G$38:$I$46=_xlfn.NUMBERVALUE(LEFT(D1156,LEN(D1156)-2)))*COLUMN(大附魔数值!G65:I65)),4)),0),0)</f>
        <v>644</v>
      </c>
      <c r="C1156" s="54" t="s">
        <v>530</v>
      </c>
      <c r="D1156" s="54" t="str">
        <f>次等紫色体质&amp;"体质"</f>
        <v>268体质</v>
      </c>
    </row>
    <row r="1157" spans="1:14" x14ac:dyDescent="0.35">
      <c r="B1157" s="5">
        <f ca="1">IFERROR(IF(D1157&lt;&gt;"无",INDIRECT("大附魔数值!"&amp;ADDRESS(SUMPRODUCT((大附魔数值!$G$38:$I$46=_xlfn.NUMBERVALUE(LEFT(D1157,LEN(D1157)-2)))*ROW(大附魔数值!$G$38:$G$46))+11,SUMPRODUCT((大附魔数值!$G$38:$I$46=_xlfn.NUMBERVALUE(LEFT(D1157,LEN(D1157)-2)))*COLUMN(大附魔数值!G66:I66)),4)),0),0)</f>
        <v>644</v>
      </c>
      <c r="C1157" s="54" t="s">
        <v>530</v>
      </c>
      <c r="D1157" s="54" t="str">
        <f>次等紫色气血&amp;"气血"</f>
        <v>3616气血</v>
      </c>
    </row>
    <row r="1158" spans="1:14" x14ac:dyDescent="0.35">
      <c r="B1158" s="5">
        <f ca="1">IFERROR(IF(D1158&lt;&gt;"无",INDIRECT("大附魔数值!"&amp;ADDRESS(SUMPRODUCT((大附魔数值!$G$38:$I$46=_xlfn.NUMBERVALUE(LEFT(D1158,LEN(D1158)-2)))*ROW(大附魔数值!$G$38:$G$46))+11,SUMPRODUCT((大附魔数值!$G$38:$I$46=_xlfn.NUMBERVALUE(LEFT(D1158,LEN(D1158)-2)))*COLUMN(大附魔数值!G67:I67)),4)),0),0)</f>
        <v>391</v>
      </c>
      <c r="C1158" s="54" t="s">
        <v>530</v>
      </c>
      <c r="D1158" s="54" t="str">
        <f>蓝色体质&amp;"体质"</f>
        <v>148体质</v>
      </c>
    </row>
    <row r="1159" spans="1:14" x14ac:dyDescent="0.35">
      <c r="B1159" s="5">
        <f ca="1">IFERROR(IF(D1159&lt;&gt;"无",INDIRECT("大附魔数值!"&amp;ADDRESS(SUMPRODUCT((大附魔数值!$G$38:$I$46=_xlfn.NUMBERVALUE(LEFT(D1159,LEN(D1159)-2)))*ROW(大附魔数值!$G$38:$G$46))+11,SUMPRODUCT((大附魔数值!$G$38:$I$46=_xlfn.NUMBERVALUE(LEFT(D1159,LEN(D1159)-2)))*COLUMN(大附魔数值!G68:I68)),4)),0),0)</f>
        <v>391</v>
      </c>
      <c r="C1159" s="54" t="s">
        <v>530</v>
      </c>
      <c r="D1159" s="54" t="str">
        <f>蓝色气血&amp;"气血"</f>
        <v>1998气血</v>
      </c>
    </row>
    <row r="1160" spans="1:14" x14ac:dyDescent="0.35">
      <c r="B1160" s="5">
        <f ca="1">IFERROR(IF(D1160&lt;&gt;"无",INDIRECT("大附魔数值!"&amp;ADDRESS(SUMPRODUCT((大附魔数值!$G$38:$I$46=_xlfn.NUMBERVALUE(LEFT(D1160,LEN(D1160)-2)))*ROW(大附魔数值!$G$38:$G$46))+11,SUMPRODUCT((大附魔数值!$G$38:$I$46=_xlfn.NUMBERVALUE(LEFT(D1160,LEN(D1160)-2)))*COLUMN(大附魔数值!G69:I69)),4)),0),0)</f>
        <v>15</v>
      </c>
      <c r="C1160" s="54" t="s">
        <v>530</v>
      </c>
      <c r="D1160" s="5" t="str">
        <f>旧破招&amp;"破招"</f>
        <v>18破招</v>
      </c>
      <c r="J1160" s="5">
        <f>旧破招</f>
        <v>18</v>
      </c>
    </row>
    <row r="1161" spans="1:14" x14ac:dyDescent="0.35">
      <c r="B1161" s="5">
        <f ca="1">IFERROR(IF(D1161&lt;&gt;"无",INDIRECT("大附魔数值!"&amp;ADDRESS(SUMPRODUCT((大附魔数值!$G$38:$I$46=_xlfn.NUMBERVALUE(LEFT(D1161,LEN(D1161)-2)))*ROW(大附魔数值!$G$38:$G$46))+11,SUMPRODUCT((大附魔数值!$G$38:$I$46=_xlfn.NUMBERVALUE(LEFT(D1161,LEN(D1161)-2)))*COLUMN(大附魔数值!G70:I70)),4)),0),0)</f>
        <v>21</v>
      </c>
      <c r="C1161" s="54" t="s">
        <v>530</v>
      </c>
      <c r="D1161" s="5" t="str">
        <f>旧破防&amp;"破防"</f>
        <v>24破防</v>
      </c>
      <c r="I1161" s="5">
        <f>旧破防</f>
        <v>24</v>
      </c>
    </row>
    <row r="1162" spans="1:14" x14ac:dyDescent="0.35">
      <c r="B1162" s="5">
        <f ca="1">IFERROR(IF(D1162&lt;&gt;"无",INDIRECT("大附魔数值!"&amp;ADDRESS(SUMPRODUCT((大附魔数值!$G$38:$I$46=_xlfn.NUMBERVALUE(LEFT(D1162,LEN(D1162)-2)))*ROW(大附魔数值!$G$38:$G$46))+11,SUMPRODUCT((大附魔数值!$G$38:$I$46=_xlfn.NUMBERVALUE(LEFT(D1162,LEN(D1162)-2)))*COLUMN(大附魔数值!G71:I71)),4)),0),0)</f>
        <v>0</v>
      </c>
      <c r="C1162" s="54" t="s">
        <v>531</v>
      </c>
      <c r="D1162" s="5" t="s">
        <v>70</v>
      </c>
    </row>
    <row r="1163" spans="1:14" x14ac:dyDescent="0.35">
      <c r="A1163" s="5" t="s">
        <v>180</v>
      </c>
      <c r="B1163" s="5">
        <f ca="1">IFERROR(IF(D1163&lt;&gt;"无",INDIRECT("大附魔数值!"&amp;ADDRESS(SUMPRODUCT((大附魔数值!$G$38:$I$46=_xlfn.NUMBERVALUE(LEFT(D1163,LEN(D1163)-2)))*ROW(大附魔数值!$G$38:$G$46))+11,SUMPRODUCT((大附魔数值!$G$38:$I$46=_xlfn.NUMBERVALUE(LEFT(D1163,LEN(D1163)-2)))*COLUMN(大附魔数值!G72:I72)),4)),0),0)</f>
        <v>783</v>
      </c>
      <c r="C1163" s="54" t="s">
        <v>530</v>
      </c>
      <c r="D1163" s="5" t="str">
        <f>紫色攻击&amp;"攻击"</f>
        <v>360攻击</v>
      </c>
      <c r="F1163" s="5">
        <f>紫色攻击</f>
        <v>360</v>
      </c>
    </row>
    <row r="1164" spans="1:14" x14ac:dyDescent="0.35">
      <c r="A1164" s="5" t="s">
        <v>180</v>
      </c>
      <c r="B1164" s="5">
        <f ca="1">IFERROR(IF(D1164&lt;&gt;"无",INDIRECT("大附魔数值!"&amp;ADDRESS(SUMPRODUCT((大附魔数值!$G$38:$I$46=_xlfn.NUMBERVALUE(LEFT(D1164,LEN(D1164)-2)))*ROW(大附魔数值!$G$38:$G$46))+11,SUMPRODUCT((大附魔数值!$G$38:$I$46=_xlfn.NUMBERVALUE(LEFT(D1164,LEN(D1164)-2)))*COLUMN(大附魔数值!G73:I73)),4)),0),0)</f>
        <v>783</v>
      </c>
      <c r="C1164" s="54" t="s">
        <v>530</v>
      </c>
      <c r="D1164" s="5" t="str">
        <f>紫色武伤&amp;"武伤"</f>
        <v>540武伤</v>
      </c>
      <c r="M1164" s="5">
        <f>紫色武伤</f>
        <v>540</v>
      </c>
      <c r="N1164" s="5">
        <f>紫色武伤</f>
        <v>540</v>
      </c>
    </row>
    <row r="1165" spans="1:14" x14ac:dyDescent="0.35">
      <c r="A1165" s="5" t="s">
        <v>177</v>
      </c>
      <c r="B1165" s="5">
        <f ca="1">IFERROR(IF(D1165&lt;&gt;"无",INDIRECT("大附魔数值!"&amp;ADDRESS(SUMPRODUCT((大附魔数值!$G$38:$I$46=_xlfn.NUMBERVALUE(LEFT(D1165,LEN(D1165)-2)))*ROW(大附魔数值!$G$38:$G$46))+11,SUMPRODUCT((大附魔数值!$G$38:$I$46=_xlfn.NUMBERVALUE(LEFT(D1165,LEN(D1165)-2)))*COLUMN(大附魔数值!G74:I74)),4)),0),0)</f>
        <v>644</v>
      </c>
      <c r="C1165" s="54" t="s">
        <v>530</v>
      </c>
      <c r="D1165" s="5" t="str">
        <f>次等紫色攻击&amp;"攻击"</f>
        <v>326攻击</v>
      </c>
      <c r="F1165" s="5">
        <f>次等紫色攻击</f>
        <v>326</v>
      </c>
    </row>
    <row r="1166" spans="1:14" x14ac:dyDescent="0.35">
      <c r="A1166" s="5" t="s">
        <v>180</v>
      </c>
      <c r="B1166" s="5">
        <f ca="1">IFERROR(IF(D1166&lt;&gt;"无",INDIRECT("大附魔数值!"&amp;ADDRESS(SUMPRODUCT((大附魔数值!$G$38:$I$46=_xlfn.NUMBERVALUE(LEFT(D1166,LEN(D1166)-2)))*ROW(大附魔数值!$G$38:$G$46))+11,SUMPRODUCT((大附魔数值!$G$38:$I$46=_xlfn.NUMBERVALUE(LEFT(D1166,LEN(D1166)-2)))*COLUMN(大附魔数值!G75:I75)),4)),0),0)</f>
        <v>644</v>
      </c>
      <c r="C1166" s="54" t="s">
        <v>530</v>
      </c>
      <c r="D1166" s="5" t="str">
        <f>次等紫色武伤&amp;"武伤"</f>
        <v>489武伤</v>
      </c>
      <c r="M1166" s="5">
        <f>次等紫色武伤</f>
        <v>489</v>
      </c>
      <c r="N1166" s="5">
        <f>次等紫色武伤</f>
        <v>489</v>
      </c>
    </row>
    <row r="1167" spans="1:14" x14ac:dyDescent="0.35">
      <c r="A1167" s="5" t="s">
        <v>180</v>
      </c>
      <c r="B1167" s="5">
        <f ca="1">IFERROR(IF(D1167&lt;&gt;"无",INDIRECT("大附魔数值!"&amp;ADDRESS(SUMPRODUCT((大附魔数值!$G$38:$I$46=_xlfn.NUMBERVALUE(LEFT(D1167,LEN(D1167)-2)))*ROW(大附魔数值!$G$38:$G$46))+11,SUMPRODUCT((大附魔数值!$G$38:$I$46=_xlfn.NUMBERVALUE(LEFT(D1167,LEN(D1167)-2)))*COLUMN(大附魔数值!G76:I76)),4)),0),0)</f>
        <v>391</v>
      </c>
      <c r="C1167" s="54" t="s">
        <v>532</v>
      </c>
      <c r="D1167" s="5" t="str">
        <f>蓝色攻击&amp;"攻击"</f>
        <v>180攻击</v>
      </c>
      <c r="F1167" s="5">
        <f>蓝色攻击</f>
        <v>180</v>
      </c>
    </row>
    <row r="1168" spans="1:14" x14ac:dyDescent="0.35">
      <c r="A1168" s="5" t="s">
        <v>180</v>
      </c>
      <c r="B1168" s="5">
        <f ca="1">IFERROR(IF(D1168&lt;&gt;"无",INDIRECT("大附魔数值!"&amp;ADDRESS(SUMPRODUCT((大附魔数值!$G$38:$I$46=_xlfn.NUMBERVALUE(LEFT(D1168,LEN(D1168)-2)))*ROW(大附魔数值!$G$38:$G$46))+11,SUMPRODUCT((大附魔数值!$G$38:$I$46=_xlfn.NUMBERVALUE(LEFT(D1168,LEN(D1168)-2)))*COLUMN(大附魔数值!G77:I77)),4)),0),0)</f>
        <v>391</v>
      </c>
      <c r="C1168" s="54" t="s">
        <v>532</v>
      </c>
      <c r="D1168" s="5" t="str">
        <f>蓝色武伤&amp;"武伤"</f>
        <v>270武伤</v>
      </c>
      <c r="M1168" s="5">
        <f>蓝色武伤</f>
        <v>270</v>
      </c>
      <c r="N1168" s="5">
        <f>蓝色武伤</f>
        <v>270</v>
      </c>
    </row>
    <row r="1169" spans="1:12" x14ac:dyDescent="0.35">
      <c r="B1169" s="5">
        <f ca="1">IFERROR(IF(D1169&lt;&gt;"无",INDIRECT("大附魔数值!"&amp;ADDRESS(SUMPRODUCT((大附魔数值!$G$38:$I$46=_xlfn.NUMBERVALUE(LEFT(D1169,LEN(D1169)-2)))*ROW(大附魔数值!$G$38:$G$46))+11,SUMPRODUCT((大附魔数值!$G$38:$I$46=_xlfn.NUMBERVALUE(LEFT(D1169,LEN(D1169)-2)))*COLUMN(大附魔数值!G78:I78)),4)),0),0)</f>
        <v>0</v>
      </c>
      <c r="C1169" s="54" t="s">
        <v>531</v>
      </c>
      <c r="D1169" s="5" t="s">
        <v>70</v>
      </c>
    </row>
    <row r="1170" spans="1:12" x14ac:dyDescent="0.35">
      <c r="A1170" s="5" t="s">
        <v>181</v>
      </c>
      <c r="B1170" s="5">
        <f ca="1">IFERROR(IF(D1170&lt;&gt;"无",INDIRECT("大附魔数值!"&amp;ADDRESS(SUMPRODUCT((大附魔数值!$G$38:$I$46=_xlfn.NUMBERVALUE(LEFT(D1170,LEN(D1170)-2)))*ROW(大附魔数值!$G$38:$G$46))+11,SUMPRODUCT((大附魔数值!$G$38:$I$46=_xlfn.NUMBERVALUE(LEFT(D1170,LEN(D1170)-2)))*COLUMN(大附魔数值!G79:I79)),4)),0),0)</f>
        <v>783</v>
      </c>
      <c r="C1170" s="54" t="s">
        <v>530</v>
      </c>
      <c r="D1170" s="54" t="str">
        <f>紫色通用&amp;"破招"</f>
        <v>799破招</v>
      </c>
      <c r="J1170" s="5">
        <f>紫色通用</f>
        <v>799</v>
      </c>
    </row>
    <row r="1171" spans="1:12" x14ac:dyDescent="0.35">
      <c r="A1171" s="5" t="s">
        <v>181</v>
      </c>
      <c r="B1171" s="5">
        <f ca="1">IFERROR(IF(D1171&lt;&gt;"无",INDIRECT("大附魔数值!"&amp;ADDRESS(SUMPRODUCT((大附魔数值!$G$38:$I$46=_xlfn.NUMBERVALUE(LEFT(D1171,LEN(D1171)-2)))*ROW(大附魔数值!$G$38:$G$46))+11,SUMPRODUCT((大附魔数值!$G$38:$I$46=_xlfn.NUMBERVALUE(LEFT(D1171,LEN(D1171)-2)))*COLUMN(大附魔数值!G80:I80)),4)),0),0)</f>
        <v>783</v>
      </c>
      <c r="C1171" s="54" t="s">
        <v>530</v>
      </c>
      <c r="D1171" s="5" t="str">
        <f>紫色攻击&amp;"攻击"</f>
        <v>360攻击</v>
      </c>
      <c r="F1171" s="5">
        <f>紫色攻击</f>
        <v>360</v>
      </c>
    </row>
    <row r="1172" spans="1:12" x14ac:dyDescent="0.35">
      <c r="A1172" s="5" t="s">
        <v>181</v>
      </c>
      <c r="B1172" s="5">
        <f ca="1">IFERROR(IF(D1172&lt;&gt;"无",INDIRECT("大附魔数值!"&amp;ADDRESS(SUMPRODUCT((大附魔数值!$G$38:$I$46=_xlfn.NUMBERVALUE(LEFT(D1172,LEN(D1172)-2)))*ROW(大附魔数值!$G$38:$G$46))+11,SUMPRODUCT((大附魔数值!$G$38:$I$46=_xlfn.NUMBERVALUE(LEFT(D1172,LEN(D1172)-2)))*COLUMN(大附魔数值!G81:I81)),4)),0),0)</f>
        <v>783</v>
      </c>
      <c r="C1172" s="54" t="s">
        <v>530</v>
      </c>
      <c r="D1172" s="5" t="str">
        <f>紫色身法&amp;"力道"</f>
        <v>179力道</v>
      </c>
      <c r="E1172" s="5">
        <f>紫色身法</f>
        <v>179</v>
      </c>
    </row>
    <row r="1173" spans="1:12" x14ac:dyDescent="0.35">
      <c r="A1173" s="5" t="s">
        <v>181</v>
      </c>
      <c r="B1173" s="5">
        <f ca="1">IFERROR(IF(D1173&lt;&gt;"无",INDIRECT("大附魔数值!"&amp;ADDRESS(SUMPRODUCT((大附魔数值!$G$38:$I$46=_xlfn.NUMBERVALUE(LEFT(D1173,LEN(D1173)-2)))*ROW(大附魔数值!$G$38:$G$46))+11,SUMPRODUCT((大附魔数值!$G$38:$I$46=_xlfn.NUMBERVALUE(LEFT(D1173,LEN(D1173)-2)))*COLUMN(大附魔数值!G82:I82)),4)),0),0)</f>
        <v>644</v>
      </c>
      <c r="C1173" s="54" t="s">
        <v>530</v>
      </c>
      <c r="D1173" s="54" t="str">
        <f>次等紫色通用&amp;"破招"</f>
        <v>723破招</v>
      </c>
      <c r="J1173" s="5">
        <f>次等紫色通用</f>
        <v>723</v>
      </c>
    </row>
    <row r="1174" spans="1:12" x14ac:dyDescent="0.35">
      <c r="A1174" s="5" t="s">
        <v>181</v>
      </c>
      <c r="B1174" s="5">
        <f ca="1">IFERROR(IF(D1174&lt;&gt;"无",INDIRECT("大附魔数值!"&amp;ADDRESS(SUMPRODUCT((大附魔数值!$G$38:$I$46=_xlfn.NUMBERVALUE(LEFT(D1174,LEN(D1174)-2)))*ROW(大附魔数值!$G$38:$G$46))+11,SUMPRODUCT((大附魔数值!$G$38:$I$46=_xlfn.NUMBERVALUE(LEFT(D1174,LEN(D1174)-2)))*COLUMN(大附魔数值!G83:I83)),4)),0),0)</f>
        <v>644</v>
      </c>
      <c r="C1174" s="54" t="s">
        <v>530</v>
      </c>
      <c r="D1174" s="5" t="str">
        <f>次等紫色攻击&amp;"攻击"</f>
        <v>326攻击</v>
      </c>
      <c r="F1174" s="5">
        <f>次等紫色攻击</f>
        <v>326</v>
      </c>
    </row>
    <row r="1175" spans="1:12" x14ac:dyDescent="0.35">
      <c r="A1175" s="5" t="s">
        <v>181</v>
      </c>
      <c r="B1175" s="5">
        <f ca="1">IFERROR(IF(D1175&lt;&gt;"无",INDIRECT("大附魔数值!"&amp;ADDRESS(SUMPRODUCT((大附魔数值!$G$38:$I$46=_xlfn.NUMBERVALUE(LEFT(D1175,LEN(D1175)-2)))*ROW(大附魔数值!$G$38:$G$46))+11,SUMPRODUCT((大附魔数值!$G$38:$I$46=_xlfn.NUMBERVALUE(LEFT(D1175,LEN(D1175)-2)))*COLUMN(大附魔数值!G84:I84)),4)),0),0)</f>
        <v>644</v>
      </c>
      <c r="C1175" s="54" t="s">
        <v>530</v>
      </c>
      <c r="D1175" s="5" t="str">
        <f>次等紫色身法&amp;"力道"</f>
        <v>162力道</v>
      </c>
      <c r="E1175" s="5">
        <f>次等紫色身法</f>
        <v>162</v>
      </c>
    </row>
    <row r="1176" spans="1:12" x14ac:dyDescent="0.35">
      <c r="B1176" s="5">
        <f ca="1">IFERROR(IF(D1176&lt;&gt;"无",INDIRECT("大附魔数值!"&amp;ADDRESS(SUMPRODUCT((大附魔数值!$G$38:$I$46=_xlfn.NUMBERVALUE(LEFT(D1176,LEN(D1176)-2)))*ROW(大附魔数值!$G$38:$G$46))+11,SUMPRODUCT((大附魔数值!$G$38:$I$46=_xlfn.NUMBERVALUE(LEFT(D1176,LEN(D1176)-2)))*COLUMN(大附魔数值!G85:I85)),4)),0),0)</f>
        <v>0</v>
      </c>
      <c r="C1176" s="54" t="s">
        <v>531</v>
      </c>
      <c r="D1176" s="5" t="s">
        <v>70</v>
      </c>
    </row>
    <row r="1177" spans="1:12" x14ac:dyDescent="0.35">
      <c r="A1177" s="5" t="s">
        <v>182</v>
      </c>
      <c r="B1177" s="5">
        <f ca="1">IFERROR(IF(D1177&lt;&gt;"无",INDIRECT("大附魔数值!"&amp;ADDRESS(SUMPRODUCT((大附魔数值!$G$38:$I$46=_xlfn.NUMBERVALUE(LEFT(D1177,LEN(D1177)-2)))*ROW(大附魔数值!$G$38:$G$46))+11,SUMPRODUCT((大附魔数值!$G$38:$I$46=_xlfn.NUMBERVALUE(LEFT(D1177,LEN(D1177)-2)))*COLUMN(大附魔数值!G86:I86)),4)),0),0)</f>
        <v>783</v>
      </c>
      <c r="C1177" s="54" t="s">
        <v>530</v>
      </c>
      <c r="D1177" s="5" t="str">
        <f>紫色通用&amp;"破防"</f>
        <v>799破防</v>
      </c>
      <c r="I1177" s="5">
        <f>紫色通用</f>
        <v>799</v>
      </c>
    </row>
    <row r="1178" spans="1:12" x14ac:dyDescent="0.35">
      <c r="A1178" s="5" t="s">
        <v>182</v>
      </c>
      <c r="B1178" s="5">
        <f ca="1">IFERROR(IF(D1178&lt;&gt;"无",INDIRECT("大附魔数值!"&amp;ADDRESS(SUMPRODUCT((大附魔数值!$G$38:$I$46=_xlfn.NUMBERVALUE(LEFT(D1178,LEN(D1178)-2)))*ROW(大附魔数值!$G$38:$G$46))+11,SUMPRODUCT((大附魔数值!$G$38:$I$46=_xlfn.NUMBERVALUE(LEFT(D1178,LEN(D1178)-2)))*COLUMN(大附魔数值!G87:I87)),4)),0),0)</f>
        <v>783</v>
      </c>
      <c r="C1178" s="54" t="s">
        <v>530</v>
      </c>
      <c r="D1178" s="54" t="str">
        <f>紫色通用&amp;"加速"</f>
        <v>799加速</v>
      </c>
      <c r="L1178" s="5">
        <f>紫色通用</f>
        <v>799</v>
      </c>
    </row>
    <row r="1179" spans="1:12" x14ac:dyDescent="0.35">
      <c r="A1179" s="5" t="s">
        <v>182</v>
      </c>
      <c r="B1179" s="5">
        <f ca="1">IFERROR(IF(D1179&lt;&gt;"无",INDIRECT("大附魔数值!"&amp;ADDRESS(SUMPRODUCT((大附魔数值!$G$38:$I$46=_xlfn.NUMBERVALUE(LEFT(D1179,LEN(D1179)-2)))*ROW(大附魔数值!$G$38:$G$46))+11,SUMPRODUCT((大附魔数值!$G$38:$I$46=_xlfn.NUMBERVALUE(LEFT(D1179,LEN(D1179)-2)))*COLUMN(大附魔数值!G88:I88)),4)),0),0)</f>
        <v>783</v>
      </c>
      <c r="C1179" s="54" t="s">
        <v>530</v>
      </c>
      <c r="D1179" s="5" t="str">
        <f>紫色身法&amp;"力道"</f>
        <v>179力道</v>
      </c>
      <c r="E1179" s="5">
        <f>紫色身法</f>
        <v>179</v>
      </c>
    </row>
    <row r="1180" spans="1:12" x14ac:dyDescent="0.35">
      <c r="A1180" s="5" t="s">
        <v>182</v>
      </c>
      <c r="B1180" s="5">
        <f ca="1">IFERROR(IF(D1180&lt;&gt;"无",INDIRECT("大附魔数值!"&amp;ADDRESS(SUMPRODUCT((大附魔数值!$G$38:$I$46=_xlfn.NUMBERVALUE(LEFT(D1180,LEN(D1180)-2)))*ROW(大附魔数值!$G$38:$G$46))+11,SUMPRODUCT((大附魔数值!$G$38:$I$46=_xlfn.NUMBERVALUE(LEFT(D1180,LEN(D1180)-2)))*COLUMN(大附魔数值!G89:I89)),4)),0),0)</f>
        <v>644</v>
      </c>
      <c r="C1180" s="54" t="s">
        <v>530</v>
      </c>
      <c r="D1180" s="5" t="str">
        <f>次等紫色通用&amp;"破防"</f>
        <v>723破防</v>
      </c>
      <c r="I1180" s="5">
        <f>次等紫色通用</f>
        <v>723</v>
      </c>
    </row>
    <row r="1181" spans="1:12" x14ac:dyDescent="0.35">
      <c r="A1181" s="5" t="s">
        <v>182</v>
      </c>
      <c r="B1181" s="5">
        <f ca="1">IFERROR(IF(D1181&lt;&gt;"无",INDIRECT("大附魔数值!"&amp;ADDRESS(SUMPRODUCT((大附魔数值!$G$38:$I$46=_xlfn.NUMBERVALUE(LEFT(D1181,LEN(D1181)-2)))*ROW(大附魔数值!$G$38:$G$46))+11,SUMPRODUCT((大附魔数值!$G$38:$I$46=_xlfn.NUMBERVALUE(LEFT(D1181,LEN(D1181)-2)))*COLUMN(大附魔数值!G90:I90)),4)),0),0)</f>
        <v>644</v>
      </c>
      <c r="C1181" s="54" t="s">
        <v>530</v>
      </c>
      <c r="D1181" s="54" t="str">
        <f>次等紫色通用&amp;"加速"</f>
        <v>723加速</v>
      </c>
      <c r="L1181" s="5">
        <f>次等紫色通用</f>
        <v>723</v>
      </c>
    </row>
    <row r="1182" spans="1:12" x14ac:dyDescent="0.35">
      <c r="A1182" s="5" t="s">
        <v>182</v>
      </c>
      <c r="B1182" s="5">
        <f ca="1">IFERROR(IF(D1182&lt;&gt;"无",INDIRECT("大附魔数值!"&amp;ADDRESS(SUMPRODUCT((大附魔数值!$G$38:$I$46=_xlfn.NUMBERVALUE(LEFT(D1182,LEN(D1182)-2)))*ROW(大附魔数值!$G$38:$G$46))+11,SUMPRODUCT((大附魔数值!$G$38:$I$46=_xlfn.NUMBERVALUE(LEFT(D1182,LEN(D1182)-2)))*COLUMN(大附魔数值!G91:I91)),4)),0),0)</f>
        <v>644</v>
      </c>
      <c r="C1182" s="54" t="s">
        <v>530</v>
      </c>
      <c r="D1182" s="5" t="str">
        <f>次等紫色身法&amp;"力道"</f>
        <v>162力道</v>
      </c>
      <c r="E1182" s="5">
        <f>次等紫色身法</f>
        <v>162</v>
      </c>
    </row>
    <row r="1183" spans="1:12" x14ac:dyDescent="0.35">
      <c r="B1183" s="5">
        <f ca="1">IFERROR(IF(D1183&lt;&gt;"无",INDIRECT("大附魔数值!"&amp;ADDRESS(SUMPRODUCT((大附魔数值!$G$38:$I$46=_xlfn.NUMBERVALUE(LEFT(D1183,LEN(D1183)-2)))*ROW(大附魔数值!$G$38:$G$46))+11,SUMPRODUCT((大附魔数值!$G$38:$I$46=_xlfn.NUMBERVALUE(LEFT(D1183,LEN(D1183)-2)))*COLUMN(大附魔数值!G92:I92)),4)),0),0)</f>
        <v>0</v>
      </c>
      <c r="C1183" s="54" t="s">
        <v>531</v>
      </c>
      <c r="D1183" s="5" t="s">
        <v>70</v>
      </c>
    </row>
    <row r="1184" spans="1:12" x14ac:dyDescent="0.35">
      <c r="B1184" s="5">
        <f ca="1">IFERROR(IF(D1184&lt;&gt;"无",INDIRECT("大附魔数值!"&amp;ADDRESS(SUMPRODUCT((大附魔数值!$G$38:$I$46=_xlfn.NUMBERVALUE(LEFT(D1184,LEN(D1184)-2)))*ROW(大附魔数值!$G$38:$G$46))+11,SUMPRODUCT((大附魔数值!$G$38:$I$46=_xlfn.NUMBERVALUE(LEFT(D1184,LEN(D1184)-2)))*COLUMN(大附魔数值!G93:I93)),4)),0),0)</f>
        <v>0</v>
      </c>
    </row>
    <row r="1185" spans="1:4" x14ac:dyDescent="0.35">
      <c r="A1185" s="54" t="s">
        <v>619</v>
      </c>
      <c r="B1185" s="5">
        <f ca="1">IFERROR(IF(D1185&lt;&gt;"无",INDIRECT("大附魔数值!"&amp;ADDRESS(SUMPRODUCT((大附魔数值!$G$38:$I$46=_xlfn.NUMBERVALUE(LEFT(D1185,LEN(D1185)-2)))*ROW(大附魔数值!$G$38:$G$46))+11,SUMPRODUCT((大附魔数值!$G$38:$I$46=_xlfn.NUMBERVALUE(LEFT(D1185,LEN(D1185)-2)))*COLUMN(大附魔数值!G94:I94)),4)),0),0)</f>
        <v>783</v>
      </c>
      <c r="C1185" s="54" t="s">
        <v>530</v>
      </c>
      <c r="D1185" s="54" t="str">
        <f>紫色体质&amp;"体质"</f>
        <v>296体质</v>
      </c>
    </row>
    <row r="1186" spans="1:4" x14ac:dyDescent="0.35">
      <c r="B1186" s="5">
        <f ca="1">IFERROR(IF(D1186&lt;&gt;"无",INDIRECT("大附魔数值!"&amp;ADDRESS(SUMPRODUCT((大附魔数值!$G$38:$I$46=_xlfn.NUMBERVALUE(LEFT(D1186,LEN(D1186)-2)))*ROW(大附魔数值!$G$38:$G$46))+11,SUMPRODUCT((大附魔数值!$G$38:$I$46=_xlfn.NUMBERVALUE(LEFT(D1186,LEN(D1186)-2)))*COLUMN(大附魔数值!G95:I95)),4)),0),0)</f>
        <v>644</v>
      </c>
      <c r="C1186" s="54" t="s">
        <v>530</v>
      </c>
      <c r="D1186" s="54" t="str">
        <f>次等紫色体质&amp;"体质"</f>
        <v>268体质</v>
      </c>
    </row>
    <row r="1187" spans="1:4" x14ac:dyDescent="0.35">
      <c r="B1187" s="5">
        <f ca="1">IFERROR(IF(D1187&lt;&gt;"无",INDIRECT("大附魔数值!"&amp;ADDRESS(SUMPRODUCT((大附魔数值!$G$38:$I$46=_xlfn.NUMBERVALUE(LEFT(D1187,LEN(D1187)-2)))*ROW(大附魔数值!$G$38:$G$46))+11,SUMPRODUCT((大附魔数值!$G$38:$I$46=_xlfn.NUMBERVALUE(LEFT(D1187,LEN(D1187)-2)))*COLUMN(大附魔数值!G96:I96)),4)),0),0)</f>
        <v>0</v>
      </c>
      <c r="C1187" s="54" t="s">
        <v>531</v>
      </c>
      <c r="D1187" s="5" t="s">
        <v>70</v>
      </c>
    </row>
  </sheetData>
  <autoFilter ref="A1:BN673" xr:uid="{F500B204-81C2-4799-AF8B-9C6638924B7A}"/>
  <customSheetViews>
    <customSheetView guid="{1FA5F82F-E003-4967-9CFA-E539A86F7F8F}">
      <pane xSplit="1" ySplit="1" topLeftCell="C722" activePane="bottomRight" state="frozen"/>
      <selection pane="bottomRight" activeCell="E740" sqref="E740"/>
      <pageMargins left="0.7" right="0.7" top="0.75" bottom="0.75" header="0.3" footer="0.3"/>
    </customSheetView>
  </customSheetViews>
  <mergeCells count="1">
    <mergeCell ref="D1110:D1111"/>
  </mergeCells>
  <phoneticPr fontId="11" type="noConversion"/>
  <conditionalFormatting sqref="D981:D997 D999:D1011 D678:D979">
    <cfRule type="duplicateValues" dxfId="85" priority="18"/>
  </conditionalFormatting>
  <conditionalFormatting sqref="D980">
    <cfRule type="duplicateValues" dxfId="84" priority="17"/>
  </conditionalFormatting>
  <conditionalFormatting sqref="D998">
    <cfRule type="duplicateValues" dxfId="83" priority="16"/>
  </conditionalFormatting>
  <conditionalFormatting sqref="D643:D677">
    <cfRule type="duplicateValues" dxfId="82" priority="3"/>
  </conditionalFormatting>
  <conditionalFormatting sqref="D1:D642">
    <cfRule type="duplicateValues" dxfId="81" priority="1"/>
  </conditionalFormatting>
  <dataValidations disablePrompts="1" count="2">
    <dataValidation type="list" allowBlank="1" showInputMessage="1" showErrorMessage="1" sqref="A196 A178:A194" xr:uid="{A44ADDDC-7EBC-4F9D-8F11-C1182847D71A}">
      <formula1>"护手,裤子,鞋子"</formula1>
    </dataValidation>
    <dataValidation type="list" allowBlank="1" showInputMessage="1" showErrorMessage="1" sqref="A823:A826" xr:uid="{8BD82EDA-0D4C-4D22-9996-E49C6A2A43BC}">
      <formula1>"帽子,上衣,腰带"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76522-F9B6-452B-B0CC-A02DE3621C14}">
  <dimension ref="A1:AC1167"/>
  <sheetViews>
    <sheetView topLeftCell="A1008" workbookViewId="0">
      <selection activeCell="H1036" sqref="H1036"/>
    </sheetView>
  </sheetViews>
  <sheetFormatPr defaultRowHeight="15.6" x14ac:dyDescent="0.35"/>
  <cols>
    <col min="4" max="4" width="32.453125" bestFit="1" customWidth="1"/>
    <col min="5" max="25" width="8.90625" customWidth="1"/>
  </cols>
  <sheetData>
    <row r="1" spans="1:29" x14ac:dyDescent="0.35">
      <c r="A1" t="s">
        <v>142</v>
      </c>
      <c r="B1" t="s">
        <v>143</v>
      </c>
      <c r="C1" t="s">
        <v>144</v>
      </c>
      <c r="D1" t="s">
        <v>145</v>
      </c>
      <c r="E1" t="s">
        <v>12</v>
      </c>
      <c r="F1" t="s">
        <v>116</v>
      </c>
      <c r="G1" t="s">
        <v>102</v>
      </c>
      <c r="H1" t="s">
        <v>121</v>
      </c>
      <c r="I1" t="s">
        <v>123</v>
      </c>
      <c r="J1" t="s">
        <v>357</v>
      </c>
      <c r="K1" t="s">
        <v>129</v>
      </c>
      <c r="L1" t="s">
        <v>63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358</v>
      </c>
      <c r="U1" t="s">
        <v>153</v>
      </c>
      <c r="V1" t="s">
        <v>154</v>
      </c>
      <c r="W1" t="s">
        <v>155</v>
      </c>
      <c r="X1" t="s">
        <v>428</v>
      </c>
      <c r="Y1" s="53" t="s">
        <v>433</v>
      </c>
      <c r="AA1" t="s">
        <v>156</v>
      </c>
      <c r="AB1" s="5">
        <f>MATCH(AA1,$A$2:$A$2000,0)</f>
        <v>1</v>
      </c>
      <c r="AC1" s="5">
        <f>COUNTIF($A$2:$A$2665,AA1)</f>
        <v>65</v>
      </c>
    </row>
    <row r="2" spans="1:29" x14ac:dyDescent="0.35">
      <c r="A2" t="str">
        <f>IFERROR(INDEX(装备库!$A$2:$Y$1047,MATCH(ROW()-1,装备库!$AO$2:$AO$1046,0),COLUMN()),"")</f>
        <v>暗器</v>
      </c>
      <c r="B2" t="str">
        <f>IFERROR(INDEX(装备库!$A$2:$Y$1047,MATCH(ROW()-1,装备库!$AO$2:$AO$1046,0),COLUMN()),"")</f>
        <v>浅梦囊</v>
      </c>
      <c r="C2">
        <f>IFERROR(INDEX(装备库!$A$2:$Y$1047,MATCH(ROW()-1,装备库!$AO$2:$AO$1046,0),COLUMN()),"")</f>
        <v>8000</v>
      </c>
      <c r="D2" t="str">
        <f>IFERROR(INDEX(装备库!$A$2:$Y$1047,MATCH(ROW()-1,装备库!$AO$2:$AO$1046,0),COLUMN()),"")</f>
        <v>浅梦囊(8000招破)</v>
      </c>
      <c r="E2">
        <f>IFERROR(INDEX(装备库!$A$2:$Y$1047,MATCH(ROW()-1,装备库!$AO$2:$AO$1046,0),COLUMN()),"")</f>
        <v>335</v>
      </c>
      <c r="F2">
        <f>IFERROR(INDEX(装备库!$A$2:$Y$1047,MATCH(ROW()-1,装备库!$AO$2:$AO$1046,0),COLUMN()),"")</f>
        <v>544</v>
      </c>
      <c r="G2">
        <f>IFERROR(INDEX(装备库!$A$2:$Y$1047,MATCH(ROW()-1,装备库!$AO$2:$AO$1046,0),COLUMN()),"")</f>
        <v>0</v>
      </c>
      <c r="H2">
        <f>IFERROR(INDEX(装备库!$A$2:$Y$1047,MATCH(ROW()-1,装备库!$AO$2:$AO$1046,0),COLUMN()),"")</f>
        <v>0</v>
      </c>
      <c r="I2">
        <f>IFERROR(INDEX(装备库!$A$2:$Y$1047,MATCH(ROW()-1,装备库!$AO$2:$AO$1046,0),COLUMN()),"")</f>
        <v>1682</v>
      </c>
      <c r="J2">
        <f>IFERROR(INDEX(装备库!$A$2:$Y$1047,MATCH(ROW()-1,装备库!$AO$2:$AO$1046,0),COLUMN()),"")</f>
        <v>1495</v>
      </c>
      <c r="K2">
        <f>IFERROR(INDEX(装备库!$A$2:$Y$1047,MATCH(ROW()-1,装备库!$AO$2:$AO$1046,0),COLUMN()),"")</f>
        <v>0</v>
      </c>
      <c r="L2">
        <f>IFERROR(INDEX(装备库!$A$2:$Y$1047,MATCH(ROW()-1,装备库!$AO$2:$AO$1046,0),COLUMN()),"")</f>
        <v>0</v>
      </c>
      <c r="M2">
        <f>IFERROR(INDEX(装备库!$A$2:$Y$1047,MATCH(ROW()-1,装备库!$AO$2:$AO$1046,0),COLUMN()),"")</f>
        <v>0</v>
      </c>
      <c r="N2">
        <f>IFERROR(INDEX(装备库!$A$2:$Y$1047,MATCH(ROW()-1,装备库!$AO$2:$AO$1046,0),COLUMN()),"")</f>
        <v>0</v>
      </c>
      <c r="O2">
        <f>IFERROR(INDEX(装备库!$A$2:$Y$1047,MATCH(ROW()-1,装备库!$AO$2:$AO$1046,0),COLUMN()),"")</f>
        <v>1</v>
      </c>
      <c r="P2">
        <f>IFERROR(INDEX(装备库!$A$2:$Y$1047,MATCH(ROW()-1,装备库!$AO$2:$AO$1046,0),COLUMN()),"")</f>
        <v>0</v>
      </c>
      <c r="Q2">
        <f>IFERROR(INDEX(装备库!$A$2:$Y$1047,MATCH(ROW()-1,装备库!$AO$2:$AO$1046,0),COLUMN()),"")</f>
        <v>0</v>
      </c>
      <c r="R2">
        <f>IFERROR(INDEX(装备库!$A$2:$Y$1047,MATCH(ROW()-1,装备库!$AO$2:$AO$1046,0),COLUMN()),"")</f>
        <v>0</v>
      </c>
      <c r="S2">
        <f>IFERROR(INDEX(装备库!$A$2:$Y$1047,MATCH(ROW()-1,装备库!$AO$2:$AO$1046,0),COLUMN()),"")</f>
        <v>0</v>
      </c>
      <c r="T2">
        <f>IFERROR(INDEX(装备库!$A$2:$Y$1047,MATCH(ROW()-1,装备库!$AO$2:$AO$1046,0),COLUMN()),"")</f>
        <v>0</v>
      </c>
      <c r="U2">
        <f>IFERROR(INDEX(装备库!$A$2:$Y$1047,MATCH(ROW()-1,装备库!$AO$2:$AO$1046,0),COLUMN()),"")</f>
        <v>0</v>
      </c>
      <c r="V2">
        <f>IFERROR(INDEX(装备库!$A$2:$Y$1047,MATCH(ROW()-1,装备库!$AO$2:$AO$1046,0),COLUMN()),"")</f>
        <v>0</v>
      </c>
      <c r="W2" t="str">
        <f>IFERROR(INDEX(装备库!$A$2:$Y$1047,MATCH(ROW()-1,装备库!$AO$2:$AO$1046,0),COLUMN()),"")</f>
        <v>招破</v>
      </c>
      <c r="X2">
        <f>IFERROR(INDEX(装备库!$A$2:$Y$1047,MATCH(ROW()-1,装备库!$AO$2:$AO$1046,0),COLUMN()),"")</f>
        <v>6</v>
      </c>
      <c r="Y2" t="str">
        <f>IFERROR(INDEX(装备库!$A$2:$Y$1047,MATCH(ROW()-1,装备库!$AO$2:$AO$1046,0),COLUMN()),"")</f>
        <v>副本</v>
      </c>
      <c r="AA2" t="s">
        <v>189</v>
      </c>
      <c r="AB2" s="5">
        <f>IFERROR(MATCH(AA2,$A$2:$A$2000,0),AB1)</f>
        <v>66</v>
      </c>
      <c r="AC2" s="5">
        <f t="shared" ref="AC2:AC6" si="0">COUNTIF($A$2:$A$2665,AA2)</f>
        <v>74</v>
      </c>
    </row>
    <row r="3" spans="1:29" x14ac:dyDescent="0.35">
      <c r="A3" t="str">
        <f>IFERROR(INDEX(装备库!$A$2:$Y$1047,MATCH(ROW()-1,装备库!$AO$2:$AO$1046,0),COLUMN()),"")</f>
        <v>暗器</v>
      </c>
      <c r="B3" t="str">
        <f>IFERROR(INDEX(装备库!$A$2:$Y$1047,MATCH(ROW()-1,装备库!$AO$2:$AO$1046,0),COLUMN()),"")</f>
        <v>崇月囊</v>
      </c>
      <c r="C3">
        <f>IFERROR(INDEX(装备库!$A$2:$Y$1047,MATCH(ROW()-1,装备库!$AO$2:$AO$1046,0),COLUMN()),"")</f>
        <v>8100</v>
      </c>
      <c r="D3" t="str">
        <f>IFERROR(INDEX(装备库!$A$2:$Y$1047,MATCH(ROW()-1,装备库!$AO$2:$AO$1046,0),COLUMN()),"")</f>
        <v>崇月囊(8100力道纯会)</v>
      </c>
      <c r="E3">
        <f>IFERROR(INDEX(装备库!$A$2:$Y$1047,MATCH(ROW()-1,装备库!$AO$2:$AO$1046,0),COLUMN()),"")</f>
        <v>424</v>
      </c>
      <c r="F3">
        <f>IFERROR(INDEX(装备库!$A$2:$Y$1047,MATCH(ROW()-1,装备库!$AO$2:$AO$1046,0),COLUMN()),"")</f>
        <v>847</v>
      </c>
      <c r="G3">
        <f>IFERROR(INDEX(装备库!$A$2:$Y$1047,MATCH(ROW()-1,装备库!$AO$2:$AO$1046,0),COLUMN()),"")</f>
        <v>2176</v>
      </c>
      <c r="H3">
        <f>IFERROR(INDEX(装备库!$A$2:$Y$1047,MATCH(ROW()-1,装备库!$AO$2:$AO$1046,0),COLUMN()),"")</f>
        <v>0</v>
      </c>
      <c r="I3">
        <f>IFERROR(INDEX(装备库!$A$2:$Y$1047,MATCH(ROW()-1,装备库!$AO$2:$AO$1046,0),COLUMN()),"")</f>
        <v>0</v>
      </c>
      <c r="J3">
        <f>IFERROR(INDEX(装备库!$A$2:$Y$1047,MATCH(ROW()-1,装备库!$AO$2:$AO$1046,0),COLUMN()),"")</f>
        <v>0</v>
      </c>
      <c r="K3">
        <f>IFERROR(INDEX(装备库!$A$2:$Y$1047,MATCH(ROW()-1,装备库!$AO$2:$AO$1046,0),COLUMN()),"")</f>
        <v>0</v>
      </c>
      <c r="L3">
        <f>IFERROR(INDEX(装备库!$A$2:$Y$1047,MATCH(ROW()-1,装备库!$AO$2:$AO$1046,0),COLUMN()),"")</f>
        <v>0</v>
      </c>
      <c r="M3">
        <f>IFERROR(INDEX(装备库!$A$2:$Y$1047,MATCH(ROW()-1,装备库!$AO$2:$AO$1046,0),COLUMN()),"")</f>
        <v>0</v>
      </c>
      <c r="N3">
        <f>IFERROR(INDEX(装备库!$A$2:$Y$1047,MATCH(ROW()-1,装备库!$AO$2:$AO$1046,0),COLUMN()),"")</f>
        <v>0</v>
      </c>
      <c r="O3">
        <f>IFERROR(INDEX(装备库!$A$2:$Y$1047,MATCH(ROW()-1,装备库!$AO$2:$AO$1046,0),COLUMN()),"")</f>
        <v>0</v>
      </c>
      <c r="P3">
        <f>IFERROR(INDEX(装备库!$A$2:$Y$1047,MATCH(ROW()-1,装备库!$AO$2:$AO$1046,0),COLUMN()),"")</f>
        <v>0</v>
      </c>
      <c r="Q3">
        <f>IFERROR(INDEX(装备库!$A$2:$Y$1047,MATCH(ROW()-1,装备库!$AO$2:$AO$1046,0),COLUMN()),"")</f>
        <v>0</v>
      </c>
      <c r="R3">
        <f>IFERROR(INDEX(装备库!$A$2:$Y$1047,MATCH(ROW()-1,装备库!$AO$2:$AO$1046,0),COLUMN()),"")</f>
        <v>0</v>
      </c>
      <c r="S3">
        <f>IFERROR(INDEX(装备库!$A$2:$Y$1047,MATCH(ROW()-1,装备库!$AO$2:$AO$1046,0),COLUMN()),"")</f>
        <v>0</v>
      </c>
      <c r="T3">
        <f>IFERROR(INDEX(装备库!$A$2:$Y$1047,MATCH(ROW()-1,装备库!$AO$2:$AO$1046,0),COLUMN()),"")</f>
        <v>0</v>
      </c>
      <c r="U3">
        <f>IFERROR(INDEX(装备库!$A$2:$Y$1047,MATCH(ROW()-1,装备库!$AO$2:$AO$1046,0),COLUMN()),"")</f>
        <v>0</v>
      </c>
      <c r="V3">
        <f>IFERROR(INDEX(装备库!$A$2:$Y$1047,MATCH(ROW()-1,装备库!$AO$2:$AO$1046,0),COLUMN()),"")</f>
        <v>0</v>
      </c>
      <c r="W3" t="str">
        <f>IFERROR(INDEX(装备库!$A$2:$Y$1047,MATCH(ROW()-1,装备库!$AO$2:$AO$1046,0),COLUMN()),"")</f>
        <v>力道纯会</v>
      </c>
      <c r="X3">
        <f>IFERROR(INDEX(装备库!$A$2:$Y$1047,MATCH(ROW()-1,装备库!$AO$2:$AO$1046,0),COLUMN()),"")</f>
        <v>6</v>
      </c>
      <c r="Y3" t="str">
        <f>IFERROR(INDEX(装备库!$A$2:$Y$1047,MATCH(ROW()-1,装备库!$AO$2:$AO$1046,0),COLUMN()),"")</f>
        <v>任务</v>
      </c>
      <c r="AA3" t="s">
        <v>160</v>
      </c>
      <c r="AB3" s="5">
        <f t="shared" ref="AB3:AB5" si="1">IFERROR(MATCH(AA3,$A$2:$A$2000,0),AB2)</f>
        <v>140</v>
      </c>
      <c r="AC3" s="5">
        <f t="shared" si="0"/>
        <v>48</v>
      </c>
    </row>
    <row r="4" spans="1:29" x14ac:dyDescent="0.35">
      <c r="A4" t="str">
        <f>IFERROR(INDEX(装备库!$A$2:$Y$1047,MATCH(ROW()-1,装备库!$AO$2:$AO$1046,0),COLUMN()),"")</f>
        <v>暗器</v>
      </c>
      <c r="B4" t="str">
        <f>IFERROR(INDEX(装备库!$A$2:$Y$1047,MATCH(ROW()-1,装备库!$AO$2:$AO$1046,0),COLUMN()),"")</f>
        <v>画楼囊</v>
      </c>
      <c r="C4">
        <f>IFERROR(INDEX(装备库!$A$2:$Y$1047,MATCH(ROW()-1,装备库!$AO$2:$AO$1046,0),COLUMN()),"")</f>
        <v>8100</v>
      </c>
      <c r="D4" t="str">
        <f>IFERROR(INDEX(装备库!$A$2:$Y$1047,MATCH(ROW()-1,装备库!$AO$2:$AO$1046,0),COLUMN()),"")</f>
        <v>画楼囊(8100会无)</v>
      </c>
      <c r="E4">
        <f>IFERROR(INDEX(装备库!$A$2:$Y$1047,MATCH(ROW()-1,装备库!$AO$2:$AO$1046,0),COLUMN()),"")</f>
        <v>339</v>
      </c>
      <c r="F4">
        <f>IFERROR(INDEX(装备库!$A$2:$Y$1047,MATCH(ROW()-1,装备库!$AO$2:$AO$1046,0),COLUMN()),"")</f>
        <v>551</v>
      </c>
      <c r="G4">
        <f>IFERROR(INDEX(装备库!$A$2:$Y$1047,MATCH(ROW()-1,装备库!$AO$2:$AO$1046,0),COLUMN()),"")</f>
        <v>1703</v>
      </c>
      <c r="H4">
        <f>IFERROR(INDEX(装备库!$A$2:$Y$1047,MATCH(ROW()-1,装备库!$AO$2:$AO$1046,0),COLUMN()),"")</f>
        <v>0</v>
      </c>
      <c r="I4">
        <f>IFERROR(INDEX(装备库!$A$2:$Y$1047,MATCH(ROW()-1,装备库!$AO$2:$AO$1046,0),COLUMN()),"")</f>
        <v>0</v>
      </c>
      <c r="J4">
        <f>IFERROR(INDEX(装备库!$A$2:$Y$1047,MATCH(ROW()-1,装备库!$AO$2:$AO$1046,0),COLUMN()),"")</f>
        <v>0</v>
      </c>
      <c r="K4">
        <f>IFERROR(INDEX(装备库!$A$2:$Y$1047,MATCH(ROW()-1,装备库!$AO$2:$AO$1046,0),COLUMN()),"")</f>
        <v>1514</v>
      </c>
      <c r="L4">
        <f>IFERROR(INDEX(装备库!$A$2:$Y$1047,MATCH(ROW()-1,装备库!$AO$2:$AO$1046,0),COLUMN()),"")</f>
        <v>0</v>
      </c>
      <c r="M4">
        <f>IFERROR(INDEX(装备库!$A$2:$Y$1047,MATCH(ROW()-1,装备库!$AO$2:$AO$1046,0),COLUMN()),"")</f>
        <v>0</v>
      </c>
      <c r="N4">
        <f>IFERROR(INDEX(装备库!$A$2:$Y$1047,MATCH(ROW()-1,装备库!$AO$2:$AO$1046,0),COLUMN()),"")</f>
        <v>0</v>
      </c>
      <c r="O4">
        <f>IFERROR(INDEX(装备库!$A$2:$Y$1047,MATCH(ROW()-1,装备库!$AO$2:$AO$1046,0),COLUMN()),"")</f>
        <v>0</v>
      </c>
      <c r="P4">
        <f>IFERROR(INDEX(装备库!$A$2:$Y$1047,MATCH(ROW()-1,装备库!$AO$2:$AO$1046,0),COLUMN()),"")</f>
        <v>0</v>
      </c>
      <c r="Q4">
        <f>IFERROR(INDEX(装备库!$A$2:$Y$1047,MATCH(ROW()-1,装备库!$AO$2:$AO$1046,0),COLUMN()),"")</f>
        <v>1</v>
      </c>
      <c r="R4">
        <f>IFERROR(INDEX(装备库!$A$2:$Y$1047,MATCH(ROW()-1,装备库!$AO$2:$AO$1046,0),COLUMN()),"")</f>
        <v>0</v>
      </c>
      <c r="S4">
        <f>IFERROR(INDEX(装备库!$A$2:$Y$1047,MATCH(ROW()-1,装备库!$AO$2:$AO$1046,0),COLUMN()),"")</f>
        <v>0</v>
      </c>
      <c r="T4">
        <f>IFERROR(INDEX(装备库!$A$2:$Y$1047,MATCH(ROW()-1,装备库!$AO$2:$AO$1046,0),COLUMN()),"")</f>
        <v>0</v>
      </c>
      <c r="U4">
        <f>IFERROR(INDEX(装备库!$A$2:$Y$1047,MATCH(ROW()-1,装备库!$AO$2:$AO$1046,0),COLUMN()),"")</f>
        <v>0</v>
      </c>
      <c r="V4">
        <f>IFERROR(INDEX(装备库!$A$2:$Y$1047,MATCH(ROW()-1,装备库!$AO$2:$AO$1046,0),COLUMN()),"")</f>
        <v>0</v>
      </c>
      <c r="W4" t="str">
        <f>IFERROR(INDEX(装备库!$A$2:$Y$1047,MATCH(ROW()-1,装备库!$AO$2:$AO$1046,0),COLUMN()),"")</f>
        <v>会无</v>
      </c>
      <c r="X4">
        <f>IFERROR(INDEX(装备库!$A$2:$Y$1047,MATCH(ROW()-1,装备库!$AO$2:$AO$1046,0),COLUMN()),"")</f>
        <v>6</v>
      </c>
      <c r="Y4" t="str">
        <f>IFERROR(INDEX(装备库!$A$2:$Y$1047,MATCH(ROW()-1,装备库!$AO$2:$AO$1046,0),COLUMN()),"")</f>
        <v>任务</v>
      </c>
      <c r="AA4" t="s">
        <v>192</v>
      </c>
      <c r="AB4" s="5">
        <f t="shared" si="1"/>
        <v>188</v>
      </c>
      <c r="AC4" s="5">
        <f t="shared" si="0"/>
        <v>66</v>
      </c>
    </row>
    <row r="5" spans="1:29" x14ac:dyDescent="0.35">
      <c r="A5" t="str">
        <f>IFERROR(INDEX(装备库!$A$2:$Y$1047,MATCH(ROW()-1,装备库!$AO$2:$AO$1046,0),COLUMN()),"")</f>
        <v>暗器</v>
      </c>
      <c r="B5" t="str">
        <f>IFERROR(INDEX(装备库!$A$2:$Y$1047,MATCH(ROW()-1,装备库!$AO$2:$AO$1046,0),COLUMN()),"")</f>
        <v>临掣囊</v>
      </c>
      <c r="C5">
        <f>IFERROR(INDEX(装备库!$A$2:$Y$1047,MATCH(ROW()-1,装备库!$AO$2:$AO$1046,0),COLUMN()),"")</f>
        <v>8150</v>
      </c>
      <c r="D5" t="str">
        <f>IFERROR(INDEX(装备库!$A$2:$Y$1047,MATCH(ROW()-1,装备库!$AO$2:$AO$1046,0),COLUMN()),"")</f>
        <v>临掣囊(8150会无)</v>
      </c>
      <c r="E5">
        <f>IFERROR(INDEX(装备库!$A$2:$Y$1047,MATCH(ROW()-1,装备库!$AO$2:$AO$1046,0),COLUMN()),"")</f>
        <v>341</v>
      </c>
      <c r="F5">
        <f>IFERROR(INDEX(装备库!$A$2:$Y$1047,MATCH(ROW()-1,装备库!$AO$2:$AO$1046,0),COLUMN()),"")</f>
        <v>554</v>
      </c>
      <c r="G5">
        <f>IFERROR(INDEX(装备库!$A$2:$Y$1047,MATCH(ROW()-1,装备库!$AO$2:$AO$1046,0),COLUMN()),"")</f>
        <v>1713</v>
      </c>
      <c r="H5">
        <f>IFERROR(INDEX(装备库!$A$2:$Y$1047,MATCH(ROW()-1,装备库!$AO$2:$AO$1046,0),COLUMN()),"")</f>
        <v>0</v>
      </c>
      <c r="I5">
        <f>IFERROR(INDEX(装备库!$A$2:$Y$1047,MATCH(ROW()-1,装备库!$AO$2:$AO$1046,0),COLUMN()),"")</f>
        <v>0</v>
      </c>
      <c r="J5">
        <f>IFERROR(INDEX(装备库!$A$2:$Y$1047,MATCH(ROW()-1,装备库!$AO$2:$AO$1046,0),COLUMN()),"")</f>
        <v>0</v>
      </c>
      <c r="K5">
        <f>IFERROR(INDEX(装备库!$A$2:$Y$1047,MATCH(ROW()-1,装备库!$AO$2:$AO$1046,0),COLUMN()),"")</f>
        <v>1523</v>
      </c>
      <c r="L5">
        <f>IFERROR(INDEX(装备库!$A$2:$Y$1047,MATCH(ROW()-1,装备库!$AO$2:$AO$1046,0),COLUMN()),"")</f>
        <v>0</v>
      </c>
      <c r="M5">
        <f>IFERROR(INDEX(装备库!$A$2:$Y$1047,MATCH(ROW()-1,装备库!$AO$2:$AO$1046,0),COLUMN()),"")</f>
        <v>0</v>
      </c>
      <c r="N5">
        <f>IFERROR(INDEX(装备库!$A$2:$Y$1047,MATCH(ROW()-1,装备库!$AO$2:$AO$1046,0),COLUMN()),"")</f>
        <v>0</v>
      </c>
      <c r="O5">
        <f>IFERROR(INDEX(装备库!$A$2:$Y$1047,MATCH(ROW()-1,装备库!$AO$2:$AO$1046,0),COLUMN()),"")</f>
        <v>0</v>
      </c>
      <c r="P5">
        <f>IFERROR(INDEX(装备库!$A$2:$Y$1047,MATCH(ROW()-1,装备库!$AO$2:$AO$1046,0),COLUMN()),"")</f>
        <v>0</v>
      </c>
      <c r="Q5">
        <f>IFERROR(INDEX(装备库!$A$2:$Y$1047,MATCH(ROW()-1,装备库!$AO$2:$AO$1046,0),COLUMN()),"")</f>
        <v>1</v>
      </c>
      <c r="R5">
        <f>IFERROR(INDEX(装备库!$A$2:$Y$1047,MATCH(ROW()-1,装备库!$AO$2:$AO$1046,0),COLUMN()),"")</f>
        <v>0</v>
      </c>
      <c r="S5">
        <f>IFERROR(INDEX(装备库!$A$2:$Y$1047,MATCH(ROW()-1,装备库!$AO$2:$AO$1046,0),COLUMN()),"")</f>
        <v>0</v>
      </c>
      <c r="T5">
        <f>IFERROR(INDEX(装备库!$A$2:$Y$1047,MATCH(ROW()-1,装备库!$AO$2:$AO$1046,0),COLUMN()),"")</f>
        <v>0</v>
      </c>
      <c r="U5">
        <f>IFERROR(INDEX(装备库!$A$2:$Y$1047,MATCH(ROW()-1,装备库!$AO$2:$AO$1046,0),COLUMN()),"")</f>
        <v>0</v>
      </c>
      <c r="V5">
        <f>IFERROR(INDEX(装备库!$A$2:$Y$1047,MATCH(ROW()-1,装备库!$AO$2:$AO$1046,0),COLUMN()),"")</f>
        <v>0</v>
      </c>
      <c r="W5" t="str">
        <f>IFERROR(INDEX(装备库!$A$2:$Y$1047,MATCH(ROW()-1,装备库!$AO$2:$AO$1046,0),COLUMN()),"")</f>
        <v>会无</v>
      </c>
      <c r="X5">
        <f>IFERROR(INDEX(装备库!$A$2:$Y$1047,MATCH(ROW()-1,装备库!$AO$2:$AO$1046,0),COLUMN()),"")</f>
        <v>6</v>
      </c>
      <c r="Y5" t="str">
        <f>IFERROR(INDEX(装备库!$A$2:$Y$1047,MATCH(ROW()-1,装备库!$AO$2:$AO$1046,0),COLUMN()),"")</f>
        <v>声望</v>
      </c>
      <c r="AA5" t="s">
        <v>163</v>
      </c>
      <c r="AB5" s="5">
        <f t="shared" si="1"/>
        <v>254</v>
      </c>
      <c r="AC5" s="5">
        <f t="shared" si="0"/>
        <v>68</v>
      </c>
    </row>
    <row r="6" spans="1:29" x14ac:dyDescent="0.35">
      <c r="A6" t="str">
        <f>IFERROR(INDEX(装备库!$A$2:$Y$1047,MATCH(ROW()-1,装备库!$AO$2:$AO$1046,0),COLUMN()),"")</f>
        <v>暗器</v>
      </c>
      <c r="B6" t="str">
        <f>IFERROR(INDEX(装备库!$A$2:$Y$1047,MATCH(ROW()-1,装备库!$AO$2:$AO$1046,0),COLUMN()),"")</f>
        <v>少雪囊</v>
      </c>
      <c r="C6">
        <f>IFERROR(INDEX(装备库!$A$2:$Y$1047,MATCH(ROW()-1,装备库!$AO$2:$AO$1046,0),COLUMN()),"")</f>
        <v>8600</v>
      </c>
      <c r="D6" t="str">
        <f>IFERROR(INDEX(装备库!$A$2:$Y$1047,MATCH(ROW()-1,装备库!$AO$2:$AO$1046,0),COLUMN()),"")</f>
        <v>少雪囊(8600力道纯速)</v>
      </c>
      <c r="E6">
        <f>IFERROR(INDEX(装备库!$A$2:$Y$1047,MATCH(ROW()-1,装备库!$AO$2:$AO$1046,0),COLUMN()),"")</f>
        <v>450</v>
      </c>
      <c r="F6">
        <f>IFERROR(INDEX(装备库!$A$2:$Y$1047,MATCH(ROW()-1,装备库!$AO$2:$AO$1046,0),COLUMN()),"")</f>
        <v>899</v>
      </c>
      <c r="G6">
        <f>IFERROR(INDEX(装备库!$A$2:$Y$1047,MATCH(ROW()-1,装备库!$AO$2:$AO$1046,0),COLUMN()),"")</f>
        <v>0</v>
      </c>
      <c r="H6">
        <f>IFERROR(INDEX(装备库!$A$2:$Y$1047,MATCH(ROW()-1,装备库!$AO$2:$AO$1046,0),COLUMN()),"")</f>
        <v>0</v>
      </c>
      <c r="I6">
        <f>IFERROR(INDEX(装备库!$A$2:$Y$1047,MATCH(ROW()-1,装备库!$AO$2:$AO$1046,0),COLUMN()),"")</f>
        <v>0</v>
      </c>
      <c r="J6">
        <f>IFERROR(INDEX(装备库!$A$2:$Y$1047,MATCH(ROW()-1,装备库!$AO$2:$AO$1046,0),COLUMN()),"")</f>
        <v>0</v>
      </c>
      <c r="K6">
        <f>IFERROR(INDEX(装备库!$A$2:$Y$1047,MATCH(ROW()-1,装备库!$AO$2:$AO$1046,0),COLUMN()),"")</f>
        <v>0</v>
      </c>
      <c r="L6">
        <f>IFERROR(INDEX(装备库!$A$2:$Y$1047,MATCH(ROW()-1,装备库!$AO$2:$AO$1046,0),COLUMN()),"")</f>
        <v>2310</v>
      </c>
      <c r="M6">
        <f>IFERROR(INDEX(装备库!$A$2:$Y$1047,MATCH(ROW()-1,装备库!$AO$2:$AO$1046,0),COLUMN()),"")</f>
        <v>0</v>
      </c>
      <c r="N6">
        <f>IFERROR(INDEX(装备库!$A$2:$Y$1047,MATCH(ROW()-1,装备库!$AO$2:$AO$1046,0),COLUMN()),"")</f>
        <v>0</v>
      </c>
      <c r="O6">
        <f>IFERROR(INDEX(装备库!$A$2:$Y$1047,MATCH(ROW()-1,装备库!$AO$2:$AO$1046,0),COLUMN()),"")</f>
        <v>0</v>
      </c>
      <c r="P6">
        <f>IFERROR(INDEX(装备库!$A$2:$Y$1047,MATCH(ROW()-1,装备库!$AO$2:$AO$1046,0),COLUMN()),"")</f>
        <v>0</v>
      </c>
      <c r="Q6">
        <f>IFERROR(INDEX(装备库!$A$2:$Y$1047,MATCH(ROW()-1,装备库!$AO$2:$AO$1046,0),COLUMN()),"")</f>
        <v>0</v>
      </c>
      <c r="R6">
        <f>IFERROR(INDEX(装备库!$A$2:$Y$1047,MATCH(ROW()-1,装备库!$AO$2:$AO$1046,0),COLUMN()),"")</f>
        <v>0</v>
      </c>
      <c r="S6">
        <f>IFERROR(INDEX(装备库!$A$2:$Y$1047,MATCH(ROW()-1,装备库!$AO$2:$AO$1046,0),COLUMN()),"")</f>
        <v>1</v>
      </c>
      <c r="T6">
        <f>IFERROR(INDEX(装备库!$A$2:$Y$1047,MATCH(ROW()-1,装备库!$AO$2:$AO$1046,0),COLUMN()),"")</f>
        <v>0</v>
      </c>
      <c r="U6">
        <f>IFERROR(INDEX(装备库!$A$2:$Y$1047,MATCH(ROW()-1,装备库!$AO$2:$AO$1046,0),COLUMN()),"")</f>
        <v>0</v>
      </c>
      <c r="V6">
        <f>IFERROR(INDEX(装备库!$A$2:$Y$1047,MATCH(ROW()-1,装备库!$AO$2:$AO$1046,0),COLUMN()),"")</f>
        <v>0</v>
      </c>
      <c r="W6" t="str">
        <f>IFERROR(INDEX(装备库!$A$2:$Y$1047,MATCH(ROW()-1,装备库!$AO$2:$AO$1046,0),COLUMN()),"")</f>
        <v>力道纯速</v>
      </c>
      <c r="X6">
        <f>IFERROR(INDEX(装备库!$A$2:$Y$1047,MATCH(ROW()-1,装备库!$AO$2:$AO$1046,0),COLUMN()),"")</f>
        <v>6</v>
      </c>
      <c r="Y6" t="str">
        <f>IFERROR(INDEX(装备库!$A$2:$Y$1047,MATCH(ROW()-1,装备库!$AO$2:$AO$1046,0),COLUMN()),"")</f>
        <v>精英怪</v>
      </c>
      <c r="AA6" t="s">
        <v>359</v>
      </c>
      <c r="AB6" s="5">
        <f>IFERROR(MATCH(AA6,$A$2:$A$2000,0),AB5)</f>
        <v>322</v>
      </c>
      <c r="AC6" s="5">
        <f t="shared" si="0"/>
        <v>34</v>
      </c>
    </row>
    <row r="7" spans="1:29" x14ac:dyDescent="0.35">
      <c r="A7" t="str">
        <f>IFERROR(INDEX(装备库!$A$2:$Y$1047,MATCH(ROW()-1,装备库!$AO$2:$AO$1046,0),COLUMN()),"")</f>
        <v>暗器</v>
      </c>
      <c r="B7" t="str">
        <f>IFERROR(INDEX(装备库!$A$2:$Y$1047,MATCH(ROW()-1,装备库!$AO$2:$AO$1046,0),COLUMN()),"")</f>
        <v>临掣囊</v>
      </c>
      <c r="C7">
        <f>IFERROR(INDEX(装备库!$A$2:$Y$1047,MATCH(ROW()-1,装备库!$AO$2:$AO$1046,0),COLUMN()),"")</f>
        <v>8800</v>
      </c>
      <c r="D7" t="str">
        <f>IFERROR(INDEX(装备库!$A$2:$Y$1047,MATCH(ROW()-1,装备库!$AO$2:$AO$1046,0),COLUMN()),"")</f>
        <v>临掣囊(8800会无)</v>
      </c>
      <c r="E7">
        <f>IFERROR(INDEX(装备库!$A$2:$Y$1047,MATCH(ROW()-1,装备库!$AO$2:$AO$1046,0),COLUMN()),"")</f>
        <v>369</v>
      </c>
      <c r="F7">
        <f>IFERROR(INDEX(装备库!$A$2:$Y$1047,MATCH(ROW()-1,装备库!$AO$2:$AO$1046,0),COLUMN()),"")</f>
        <v>598</v>
      </c>
      <c r="G7">
        <f>IFERROR(INDEX(装备库!$A$2:$Y$1047,MATCH(ROW()-1,装备库!$AO$2:$AO$1046,0),COLUMN()),"")</f>
        <v>1850</v>
      </c>
      <c r="H7">
        <f>IFERROR(INDEX(装备库!$A$2:$Y$1047,MATCH(ROW()-1,装备库!$AO$2:$AO$1046,0),COLUMN()),"")</f>
        <v>0</v>
      </c>
      <c r="I7">
        <f>IFERROR(INDEX(装备库!$A$2:$Y$1047,MATCH(ROW()-1,装备库!$AO$2:$AO$1046,0),COLUMN()),"")</f>
        <v>0</v>
      </c>
      <c r="J7">
        <f>IFERROR(INDEX(装备库!$A$2:$Y$1047,MATCH(ROW()-1,装备库!$AO$2:$AO$1046,0),COLUMN()),"")</f>
        <v>0</v>
      </c>
      <c r="K7">
        <f>IFERROR(INDEX(装备库!$A$2:$Y$1047,MATCH(ROW()-1,装备库!$AO$2:$AO$1046,0),COLUMN()),"")</f>
        <v>1644</v>
      </c>
      <c r="L7">
        <f>IFERROR(INDEX(装备库!$A$2:$Y$1047,MATCH(ROW()-1,装备库!$AO$2:$AO$1046,0),COLUMN()),"")</f>
        <v>0</v>
      </c>
      <c r="M7">
        <f>IFERROR(INDEX(装备库!$A$2:$Y$1047,MATCH(ROW()-1,装备库!$AO$2:$AO$1046,0),COLUMN()),"")</f>
        <v>0</v>
      </c>
      <c r="N7">
        <f>IFERROR(INDEX(装备库!$A$2:$Y$1047,MATCH(ROW()-1,装备库!$AO$2:$AO$1046,0),COLUMN()),"")</f>
        <v>0</v>
      </c>
      <c r="O7">
        <f>IFERROR(INDEX(装备库!$A$2:$Y$1047,MATCH(ROW()-1,装备库!$AO$2:$AO$1046,0),COLUMN()),"")</f>
        <v>0</v>
      </c>
      <c r="P7">
        <f>IFERROR(INDEX(装备库!$A$2:$Y$1047,MATCH(ROW()-1,装备库!$AO$2:$AO$1046,0),COLUMN()),"")</f>
        <v>0</v>
      </c>
      <c r="Q7">
        <f>IFERROR(INDEX(装备库!$A$2:$Y$1047,MATCH(ROW()-1,装备库!$AO$2:$AO$1046,0),COLUMN()),"")</f>
        <v>1</v>
      </c>
      <c r="R7">
        <f>IFERROR(INDEX(装备库!$A$2:$Y$1047,MATCH(ROW()-1,装备库!$AO$2:$AO$1046,0),COLUMN()),"")</f>
        <v>0</v>
      </c>
      <c r="S7">
        <f>IFERROR(INDEX(装备库!$A$2:$Y$1047,MATCH(ROW()-1,装备库!$AO$2:$AO$1046,0),COLUMN()),"")</f>
        <v>0</v>
      </c>
      <c r="T7">
        <f>IFERROR(INDEX(装备库!$A$2:$Y$1047,MATCH(ROW()-1,装备库!$AO$2:$AO$1046,0),COLUMN()),"")</f>
        <v>0</v>
      </c>
      <c r="U7">
        <f>IFERROR(INDEX(装备库!$A$2:$Y$1047,MATCH(ROW()-1,装备库!$AO$2:$AO$1046,0),COLUMN()),"")</f>
        <v>0</v>
      </c>
      <c r="V7">
        <f>IFERROR(INDEX(装备库!$A$2:$Y$1047,MATCH(ROW()-1,装备库!$AO$2:$AO$1046,0),COLUMN()),"")</f>
        <v>0</v>
      </c>
      <c r="W7" t="str">
        <f>IFERROR(INDEX(装备库!$A$2:$Y$1047,MATCH(ROW()-1,装备库!$AO$2:$AO$1046,0),COLUMN()),"")</f>
        <v>会无</v>
      </c>
      <c r="X7">
        <f>IFERROR(INDEX(装备库!$A$2:$Y$1047,MATCH(ROW()-1,装备库!$AO$2:$AO$1046,0),COLUMN()),"")</f>
        <v>6</v>
      </c>
      <c r="Y7" t="str">
        <f>IFERROR(INDEX(装备库!$A$2:$Y$1047,MATCH(ROW()-1,装备库!$AO$2:$AO$1046,0),COLUMN()),"")</f>
        <v>声望</v>
      </c>
      <c r="AA7" t="s">
        <v>169</v>
      </c>
      <c r="AB7" s="5">
        <f>IFERROR(MATCH(AA7,$A$2:$A$2000,0),AB6)</f>
        <v>356</v>
      </c>
      <c r="AC7" s="5">
        <f>COUNTIF($A$2:$A$2665,AA7)</f>
        <v>63</v>
      </c>
    </row>
    <row r="8" spans="1:29" x14ac:dyDescent="0.35">
      <c r="A8" t="str">
        <f>IFERROR(INDEX(装备库!$A$2:$Y$1047,MATCH(ROW()-1,装备库!$AO$2:$AO$1046,0),COLUMN()),"")</f>
        <v>暗器</v>
      </c>
      <c r="B8" t="str">
        <f>IFERROR(INDEX(装备库!$A$2:$Y$1047,MATCH(ROW()-1,装备库!$AO$2:$AO$1046,0),COLUMN()),"")</f>
        <v>画楼囊</v>
      </c>
      <c r="C8">
        <f>IFERROR(INDEX(装备库!$A$2:$Y$1047,MATCH(ROW()-1,装备库!$AO$2:$AO$1046,0),COLUMN()),"")</f>
        <v>8800</v>
      </c>
      <c r="D8" t="str">
        <f>IFERROR(INDEX(装备库!$A$2:$Y$1047,MATCH(ROW()-1,装备库!$AO$2:$AO$1046,0),COLUMN()),"")</f>
        <v>画楼囊(8800会无)</v>
      </c>
      <c r="E8">
        <f>IFERROR(INDEX(装备库!$A$2:$Y$1047,MATCH(ROW()-1,装备库!$AO$2:$AO$1046,0),COLUMN()),"")</f>
        <v>369</v>
      </c>
      <c r="F8">
        <f>IFERROR(INDEX(装备库!$A$2:$Y$1047,MATCH(ROW()-1,装备库!$AO$2:$AO$1046,0),COLUMN()),"")</f>
        <v>598</v>
      </c>
      <c r="G8">
        <f>IFERROR(INDEX(装备库!$A$2:$Y$1047,MATCH(ROW()-1,装备库!$AO$2:$AO$1046,0),COLUMN()),"")</f>
        <v>1850</v>
      </c>
      <c r="H8">
        <f>IFERROR(INDEX(装备库!$A$2:$Y$1047,MATCH(ROW()-1,装备库!$AO$2:$AO$1046,0),COLUMN()),"")</f>
        <v>0</v>
      </c>
      <c r="I8">
        <f>IFERROR(INDEX(装备库!$A$2:$Y$1047,MATCH(ROW()-1,装备库!$AO$2:$AO$1046,0),COLUMN()),"")</f>
        <v>0</v>
      </c>
      <c r="J8">
        <f>IFERROR(INDEX(装备库!$A$2:$Y$1047,MATCH(ROW()-1,装备库!$AO$2:$AO$1046,0),COLUMN()),"")</f>
        <v>0</v>
      </c>
      <c r="K8">
        <f>IFERROR(INDEX(装备库!$A$2:$Y$1047,MATCH(ROW()-1,装备库!$AO$2:$AO$1046,0),COLUMN()),"")</f>
        <v>1644</v>
      </c>
      <c r="L8">
        <f>IFERROR(INDEX(装备库!$A$2:$Y$1047,MATCH(ROW()-1,装备库!$AO$2:$AO$1046,0),COLUMN()),"")</f>
        <v>0</v>
      </c>
      <c r="M8">
        <f>IFERROR(INDEX(装备库!$A$2:$Y$1047,MATCH(ROW()-1,装备库!$AO$2:$AO$1046,0),COLUMN()),"")</f>
        <v>0</v>
      </c>
      <c r="N8">
        <f>IFERROR(INDEX(装备库!$A$2:$Y$1047,MATCH(ROW()-1,装备库!$AO$2:$AO$1046,0),COLUMN()),"")</f>
        <v>0</v>
      </c>
      <c r="O8">
        <f>IFERROR(INDEX(装备库!$A$2:$Y$1047,MATCH(ROW()-1,装备库!$AO$2:$AO$1046,0),COLUMN()),"")</f>
        <v>0</v>
      </c>
      <c r="P8">
        <f>IFERROR(INDEX(装备库!$A$2:$Y$1047,MATCH(ROW()-1,装备库!$AO$2:$AO$1046,0),COLUMN()),"")</f>
        <v>0</v>
      </c>
      <c r="Q8">
        <f>IFERROR(INDEX(装备库!$A$2:$Y$1047,MATCH(ROW()-1,装备库!$AO$2:$AO$1046,0),COLUMN()),"")</f>
        <v>1</v>
      </c>
      <c r="R8">
        <f>IFERROR(INDEX(装备库!$A$2:$Y$1047,MATCH(ROW()-1,装备库!$AO$2:$AO$1046,0),COLUMN()),"")</f>
        <v>0</v>
      </c>
      <c r="S8">
        <f>IFERROR(INDEX(装备库!$A$2:$Y$1047,MATCH(ROW()-1,装备库!$AO$2:$AO$1046,0),COLUMN()),"")</f>
        <v>0</v>
      </c>
      <c r="T8">
        <f>IFERROR(INDEX(装备库!$A$2:$Y$1047,MATCH(ROW()-1,装备库!$AO$2:$AO$1046,0),COLUMN()),"")</f>
        <v>0</v>
      </c>
      <c r="U8">
        <f>IFERROR(INDEX(装备库!$A$2:$Y$1047,MATCH(ROW()-1,装备库!$AO$2:$AO$1046,0),COLUMN()),"")</f>
        <v>0</v>
      </c>
      <c r="V8">
        <f>IFERROR(INDEX(装备库!$A$2:$Y$1047,MATCH(ROW()-1,装备库!$AO$2:$AO$1046,0),COLUMN()),"")</f>
        <v>0</v>
      </c>
      <c r="W8" t="str">
        <f>IFERROR(INDEX(装备库!$A$2:$Y$1047,MATCH(ROW()-1,装备库!$AO$2:$AO$1046,0),COLUMN()),"")</f>
        <v>会无</v>
      </c>
      <c r="X8">
        <f>IFERROR(INDEX(装备库!$A$2:$Y$1047,MATCH(ROW()-1,装备库!$AO$2:$AO$1046,0),COLUMN()),"")</f>
        <v>6</v>
      </c>
      <c r="Y8" t="str">
        <f>IFERROR(INDEX(装备库!$A$2:$Y$1047,MATCH(ROW()-1,装备库!$AO$2:$AO$1046,0),COLUMN()),"")</f>
        <v>任务</v>
      </c>
      <c r="AA8" t="s">
        <v>166</v>
      </c>
      <c r="AB8" s="5">
        <f>IFERROR(MATCH(AA8,$A$2:$A$2000,0),AB7)</f>
        <v>419</v>
      </c>
      <c r="AC8" s="5">
        <f>COUNTIF($A$2:$A$2665,AA8)</f>
        <v>64</v>
      </c>
    </row>
    <row r="9" spans="1:29" x14ac:dyDescent="0.35">
      <c r="A9" t="str">
        <f>IFERROR(INDEX(装备库!$A$2:$Y$1047,MATCH(ROW()-1,装备库!$AO$2:$AO$1046,0),COLUMN()),"")</f>
        <v>暗器</v>
      </c>
      <c r="B9" t="str">
        <f>IFERROR(INDEX(装备库!$A$2:$Y$1047,MATCH(ROW()-1,装备库!$AO$2:$AO$1046,0),COLUMN()),"")</f>
        <v>分石囊</v>
      </c>
      <c r="C9">
        <f>IFERROR(INDEX(装备库!$A$2:$Y$1047,MATCH(ROW()-1,装备库!$AO$2:$AO$1046,0),COLUMN()),"")</f>
        <v>9100</v>
      </c>
      <c r="D9" t="str">
        <f>IFERROR(INDEX(装备库!$A$2:$Y$1047,MATCH(ROW()-1,装备库!$AO$2:$AO$1046,0),COLUMN()),"")</f>
        <v>分石囊(9100会无)</v>
      </c>
      <c r="E9">
        <f>IFERROR(INDEX(装备库!$A$2:$Y$1047,MATCH(ROW()-1,装备库!$AO$2:$AO$1046,0),COLUMN()),"")</f>
        <v>381</v>
      </c>
      <c r="F9">
        <f>IFERROR(INDEX(装备库!$A$2:$Y$1047,MATCH(ROW()-1,装备库!$AO$2:$AO$1046,0),COLUMN()),"")</f>
        <v>618</v>
      </c>
      <c r="G9">
        <f>IFERROR(INDEX(装备库!$A$2:$Y$1047,MATCH(ROW()-1,装备库!$AO$2:$AO$1046,0),COLUMN()),"")</f>
        <v>1913</v>
      </c>
      <c r="H9">
        <f>IFERROR(INDEX(装备库!$A$2:$Y$1047,MATCH(ROW()-1,装备库!$AO$2:$AO$1046,0),COLUMN()),"")</f>
        <v>0</v>
      </c>
      <c r="I9">
        <f>IFERROR(INDEX(装备库!$A$2:$Y$1047,MATCH(ROW()-1,装备库!$AO$2:$AO$1046,0),COLUMN()),"")</f>
        <v>0</v>
      </c>
      <c r="J9">
        <f>IFERROR(INDEX(装备库!$A$2:$Y$1047,MATCH(ROW()-1,装备库!$AO$2:$AO$1046,0),COLUMN()),"")</f>
        <v>0</v>
      </c>
      <c r="K9">
        <f>IFERROR(INDEX(装备库!$A$2:$Y$1047,MATCH(ROW()-1,装备库!$AO$2:$AO$1046,0),COLUMN()),"")</f>
        <v>1700</v>
      </c>
      <c r="L9">
        <f>IFERROR(INDEX(装备库!$A$2:$Y$1047,MATCH(ROW()-1,装备库!$AO$2:$AO$1046,0),COLUMN()),"")</f>
        <v>0</v>
      </c>
      <c r="M9">
        <f>IFERROR(INDEX(装备库!$A$2:$Y$1047,MATCH(ROW()-1,装备库!$AO$2:$AO$1046,0),COLUMN()),"")</f>
        <v>0</v>
      </c>
      <c r="N9">
        <f>IFERROR(INDEX(装备库!$A$2:$Y$1047,MATCH(ROW()-1,装备库!$AO$2:$AO$1046,0),COLUMN()),"")</f>
        <v>0</v>
      </c>
      <c r="O9">
        <f>IFERROR(INDEX(装备库!$A$2:$Y$1047,MATCH(ROW()-1,装备库!$AO$2:$AO$1046,0),COLUMN()),"")</f>
        <v>0</v>
      </c>
      <c r="P9">
        <f>IFERROR(INDEX(装备库!$A$2:$Y$1047,MATCH(ROW()-1,装备库!$AO$2:$AO$1046,0),COLUMN()),"")</f>
        <v>0</v>
      </c>
      <c r="Q9">
        <f>IFERROR(INDEX(装备库!$A$2:$Y$1047,MATCH(ROW()-1,装备库!$AO$2:$AO$1046,0),COLUMN()),"")</f>
        <v>1</v>
      </c>
      <c r="R9">
        <f>IFERROR(INDEX(装备库!$A$2:$Y$1047,MATCH(ROW()-1,装备库!$AO$2:$AO$1046,0),COLUMN()),"")</f>
        <v>0</v>
      </c>
      <c r="S9">
        <f>IFERROR(INDEX(装备库!$A$2:$Y$1047,MATCH(ROW()-1,装备库!$AO$2:$AO$1046,0),COLUMN()),"")</f>
        <v>0</v>
      </c>
      <c r="T9">
        <f>IFERROR(INDEX(装备库!$A$2:$Y$1047,MATCH(ROW()-1,装备库!$AO$2:$AO$1046,0),COLUMN()),"")</f>
        <v>0</v>
      </c>
      <c r="U9">
        <f>IFERROR(INDEX(装备库!$A$2:$Y$1047,MATCH(ROW()-1,装备库!$AO$2:$AO$1046,0),COLUMN()),"")</f>
        <v>0</v>
      </c>
      <c r="V9">
        <f>IFERROR(INDEX(装备库!$A$2:$Y$1047,MATCH(ROW()-1,装备库!$AO$2:$AO$1046,0),COLUMN()),"")</f>
        <v>0</v>
      </c>
      <c r="W9" t="str">
        <f>IFERROR(INDEX(装备库!$A$2:$Y$1047,MATCH(ROW()-1,装备库!$AO$2:$AO$1046,0),COLUMN()),"")</f>
        <v>会无</v>
      </c>
      <c r="X9">
        <f>IFERROR(INDEX(装备库!$A$2:$Y$1047,MATCH(ROW()-1,装备库!$AO$2:$AO$1046,0),COLUMN()),"")</f>
        <v>6</v>
      </c>
      <c r="Y9" t="str">
        <f>IFERROR(INDEX(装备库!$A$2:$Y$1047,MATCH(ROW()-1,装备库!$AO$2:$AO$1046,0),COLUMN()),"")</f>
        <v>副本</v>
      </c>
      <c r="AA9" t="s">
        <v>167</v>
      </c>
      <c r="AB9" s="5">
        <f>IFERROR(MATCH(AA9,$A$2:$A$2000,0),AB8)</f>
        <v>483</v>
      </c>
      <c r="AC9" s="5">
        <f>COUNTIF($A$2:$A$2665,AA9)</f>
        <v>49</v>
      </c>
    </row>
    <row r="10" spans="1:29" x14ac:dyDescent="0.35">
      <c r="A10" t="str">
        <f>IFERROR(INDEX(装备库!$A$2:$Y$1047,MATCH(ROW()-1,装备库!$AO$2:$AO$1046,0),COLUMN()),"")</f>
        <v>暗器</v>
      </c>
      <c r="B10" t="str">
        <f>IFERROR(INDEX(装备库!$A$2:$Y$1047,MATCH(ROW()-1,装备库!$AO$2:$AO$1046,0),COLUMN()),"")</f>
        <v>无封囊</v>
      </c>
      <c r="C10">
        <f>IFERROR(INDEX(装备库!$A$2:$Y$1047,MATCH(ROW()-1,装备库!$AO$2:$AO$1046,0),COLUMN()),"")</f>
        <v>9100</v>
      </c>
      <c r="D10" t="str">
        <f>IFERROR(INDEX(装备库!$A$2:$Y$1047,MATCH(ROW()-1,装备库!$AO$2:$AO$1046,0),COLUMN()),"")</f>
        <v>无封囊(9100精简攻破)</v>
      </c>
      <c r="E10">
        <f>IFERROR(INDEX(装备库!$A$2:$Y$1047,MATCH(ROW()-1,装备库!$AO$2:$AO$1046,0),COLUMN()),"")</f>
        <v>0</v>
      </c>
      <c r="F10">
        <f>IFERROR(INDEX(装备库!$A$2:$Y$1047,MATCH(ROW()-1,装备库!$AO$2:$AO$1046,0),COLUMN()),"")</f>
        <v>1618</v>
      </c>
      <c r="G10">
        <f>IFERROR(INDEX(装备库!$A$2:$Y$1047,MATCH(ROW()-1,装备库!$AO$2:$AO$1046,0),COLUMN()),"")</f>
        <v>0</v>
      </c>
      <c r="H10">
        <f>IFERROR(INDEX(装备库!$A$2:$Y$1047,MATCH(ROW()-1,装备库!$AO$2:$AO$1046,0),COLUMN()),"")</f>
        <v>0</v>
      </c>
      <c r="I10">
        <f>IFERROR(INDEX(装备库!$A$2:$Y$1047,MATCH(ROW()-1,装备库!$AO$2:$AO$1046,0),COLUMN()),"")</f>
        <v>3667</v>
      </c>
      <c r="J10">
        <f>IFERROR(INDEX(装备库!$A$2:$Y$1047,MATCH(ROW()-1,装备库!$AO$2:$AO$1046,0),COLUMN()),"")</f>
        <v>0</v>
      </c>
      <c r="K10">
        <f>IFERROR(INDEX(装备库!$A$2:$Y$1047,MATCH(ROW()-1,装备库!$AO$2:$AO$1046,0),COLUMN()),"")</f>
        <v>0</v>
      </c>
      <c r="L10">
        <f>IFERROR(INDEX(装备库!$A$2:$Y$1047,MATCH(ROW()-1,装备库!$AO$2:$AO$1046,0),COLUMN()),"")</f>
        <v>0</v>
      </c>
      <c r="M10">
        <f>IFERROR(INDEX(装备库!$A$2:$Y$1047,MATCH(ROW()-1,装备库!$AO$2:$AO$1046,0),COLUMN()),"")</f>
        <v>0</v>
      </c>
      <c r="N10">
        <f>IFERROR(INDEX(装备库!$A$2:$Y$1047,MATCH(ROW()-1,装备库!$AO$2:$AO$1046,0),COLUMN()),"")</f>
        <v>0</v>
      </c>
      <c r="O10">
        <f>IFERROR(INDEX(装备库!$A$2:$Y$1047,MATCH(ROW()-1,装备库!$AO$2:$AO$1046,0),COLUMN()),"")</f>
        <v>0</v>
      </c>
      <c r="P10">
        <f>IFERROR(INDEX(装备库!$A$2:$Y$1047,MATCH(ROW()-1,装备库!$AO$2:$AO$1046,0),COLUMN()),"")</f>
        <v>0</v>
      </c>
      <c r="Q10">
        <f>IFERROR(INDEX(装备库!$A$2:$Y$1047,MATCH(ROW()-1,装备库!$AO$2:$AO$1046,0),COLUMN()),"")</f>
        <v>0</v>
      </c>
      <c r="R10">
        <f>IFERROR(INDEX(装备库!$A$2:$Y$1047,MATCH(ROW()-1,装备库!$AO$2:$AO$1046,0),COLUMN()),"")</f>
        <v>0</v>
      </c>
      <c r="S10">
        <f>IFERROR(INDEX(装备库!$A$2:$Y$1047,MATCH(ROW()-1,装备库!$AO$2:$AO$1046,0),COLUMN()),"")</f>
        <v>0</v>
      </c>
      <c r="T10">
        <f>IFERROR(INDEX(装备库!$A$2:$Y$1047,MATCH(ROW()-1,装备库!$AO$2:$AO$1046,0),COLUMN()),"")</f>
        <v>1</v>
      </c>
      <c r="U10">
        <f>IFERROR(INDEX(装备库!$A$2:$Y$1047,MATCH(ROW()-1,装备库!$AO$2:$AO$1046,0),COLUMN()),"")</f>
        <v>0</v>
      </c>
      <c r="V10">
        <f>IFERROR(INDEX(装备库!$A$2:$Y$1047,MATCH(ROW()-1,装备库!$AO$2:$AO$1046,0),COLUMN()),"")</f>
        <v>0</v>
      </c>
      <c r="W10" t="str">
        <f>IFERROR(INDEX(装备库!$A$2:$Y$1047,MATCH(ROW()-1,装备库!$AO$2:$AO$1046,0),COLUMN()),"")</f>
        <v>精简攻破</v>
      </c>
      <c r="X10">
        <f>IFERROR(INDEX(装备库!$A$2:$Y$1047,MATCH(ROW()-1,装备库!$AO$2:$AO$1046,0),COLUMN()),"")</f>
        <v>3</v>
      </c>
      <c r="Y10" t="str">
        <f>IFERROR(INDEX(装备库!$A$2:$Y$1047,MATCH(ROW()-1,装备库!$AO$2:$AO$1046,0),COLUMN()),"")</f>
        <v>活动</v>
      </c>
      <c r="AA10" t="s">
        <v>168</v>
      </c>
      <c r="AB10" s="5">
        <f>IFERROR(MATCH(AA10,$A$2:$A$2000,0),AB9)</f>
        <v>532</v>
      </c>
      <c r="AC10" s="5">
        <f>COUNTIF($A$2:$A$2665,AA10)</f>
        <v>64</v>
      </c>
    </row>
    <row r="11" spans="1:29" x14ac:dyDescent="0.35">
      <c r="A11" t="str">
        <f>IFERROR(INDEX(装备库!$A$2:$Y$1047,MATCH(ROW()-1,装备库!$AO$2:$AO$1046,0),COLUMN()),"")</f>
        <v>暗器</v>
      </c>
      <c r="B11" t="str">
        <f>IFERROR(INDEX(装备库!$A$2:$Y$1047,MATCH(ROW()-1,装备库!$AO$2:$AO$1046,0),COLUMN()),"")</f>
        <v>无封囊</v>
      </c>
      <c r="C11">
        <f>IFERROR(INDEX(装备库!$A$2:$Y$1047,MATCH(ROW()-1,装备库!$AO$2:$AO$1046,0),COLUMN()),"")</f>
        <v>9100</v>
      </c>
      <c r="D11" t="str">
        <f>IFERROR(INDEX(装备库!$A$2:$Y$1047,MATCH(ROW()-1,装备库!$AO$2:$AO$1046,0),COLUMN()),"")</f>
        <v>无封囊(9100精简攻会会招)</v>
      </c>
      <c r="E11">
        <f>IFERROR(INDEX(装备库!$A$2:$Y$1047,MATCH(ROW()-1,装备库!$AO$2:$AO$1046,0),COLUMN()),"")</f>
        <v>0</v>
      </c>
      <c r="F11">
        <f>IFERROR(INDEX(装备库!$A$2:$Y$1047,MATCH(ROW()-1,装备库!$AO$2:$AO$1046,0),COLUMN()),"")</f>
        <v>1380</v>
      </c>
      <c r="G11">
        <f>IFERROR(INDEX(装备库!$A$2:$Y$1047,MATCH(ROW()-1,装备库!$AO$2:$AO$1046,0),COLUMN()),"")</f>
        <v>2019</v>
      </c>
      <c r="H11">
        <f>IFERROR(INDEX(装备库!$A$2:$Y$1047,MATCH(ROW()-1,装备库!$AO$2:$AO$1046,0),COLUMN()),"")</f>
        <v>1063</v>
      </c>
      <c r="I11">
        <f>IFERROR(INDEX(装备库!$A$2:$Y$1047,MATCH(ROW()-1,装备库!$AO$2:$AO$1046,0),COLUMN()),"")</f>
        <v>0</v>
      </c>
      <c r="J11">
        <f>IFERROR(INDEX(装备库!$A$2:$Y$1047,MATCH(ROW()-1,装备库!$AO$2:$AO$1046,0),COLUMN()),"")</f>
        <v>1063</v>
      </c>
      <c r="K11">
        <f>IFERROR(INDEX(装备库!$A$2:$Y$1047,MATCH(ROW()-1,装备库!$AO$2:$AO$1046,0),COLUMN()),"")</f>
        <v>0</v>
      </c>
      <c r="L11">
        <f>IFERROR(INDEX(装备库!$A$2:$Y$1047,MATCH(ROW()-1,装备库!$AO$2:$AO$1046,0),COLUMN()),"")</f>
        <v>0</v>
      </c>
      <c r="M11">
        <f>IFERROR(INDEX(装备库!$A$2:$Y$1047,MATCH(ROW()-1,装备库!$AO$2:$AO$1046,0),COLUMN()),"")</f>
        <v>0</v>
      </c>
      <c r="N11">
        <f>IFERROR(INDEX(装备库!$A$2:$Y$1047,MATCH(ROW()-1,装备库!$AO$2:$AO$1046,0),COLUMN()),"")</f>
        <v>0</v>
      </c>
      <c r="O11">
        <f>IFERROR(INDEX(装备库!$A$2:$Y$1047,MATCH(ROW()-1,装备库!$AO$2:$AO$1046,0),COLUMN()),"")</f>
        <v>0</v>
      </c>
      <c r="P11">
        <f>IFERROR(INDEX(装备库!$A$2:$Y$1047,MATCH(ROW()-1,装备库!$AO$2:$AO$1046,0),COLUMN()),"")</f>
        <v>0</v>
      </c>
      <c r="Q11">
        <f>IFERROR(INDEX(装备库!$A$2:$Y$1047,MATCH(ROW()-1,装备库!$AO$2:$AO$1046,0),COLUMN()),"")</f>
        <v>0</v>
      </c>
      <c r="R11">
        <f>IFERROR(INDEX(装备库!$A$2:$Y$1047,MATCH(ROW()-1,装备库!$AO$2:$AO$1046,0),COLUMN()),"")</f>
        <v>0</v>
      </c>
      <c r="S11">
        <f>IFERROR(INDEX(装备库!$A$2:$Y$1047,MATCH(ROW()-1,装备库!$AO$2:$AO$1046,0),COLUMN()),"")</f>
        <v>1</v>
      </c>
      <c r="T11">
        <f>IFERROR(INDEX(装备库!$A$2:$Y$1047,MATCH(ROW()-1,装备库!$AO$2:$AO$1046,0),COLUMN()),"")</f>
        <v>0</v>
      </c>
      <c r="U11">
        <f>IFERROR(INDEX(装备库!$A$2:$Y$1047,MATCH(ROW()-1,装备库!$AO$2:$AO$1046,0),COLUMN()),"")</f>
        <v>0</v>
      </c>
      <c r="V11">
        <f>IFERROR(INDEX(装备库!$A$2:$Y$1047,MATCH(ROW()-1,装备库!$AO$2:$AO$1046,0),COLUMN()),"")</f>
        <v>0</v>
      </c>
      <c r="W11" t="str">
        <f>IFERROR(INDEX(装备库!$A$2:$Y$1047,MATCH(ROW()-1,装备库!$AO$2:$AO$1046,0),COLUMN()),"")</f>
        <v>精简攻会会招</v>
      </c>
      <c r="X11">
        <f>IFERROR(INDEX(装备库!$A$2:$Y$1047,MATCH(ROW()-1,装备库!$AO$2:$AO$1046,0),COLUMN()),"")</f>
        <v>3</v>
      </c>
      <c r="Y11" t="str">
        <f>IFERROR(INDEX(装备库!$A$2:$Y$1047,MATCH(ROW()-1,装备库!$AO$2:$AO$1046,0),COLUMN()),"")</f>
        <v>活动</v>
      </c>
      <c r="AA11" s="34" t="s">
        <v>456</v>
      </c>
      <c r="AB11" s="5">
        <f>IFERROR(MATCH(AA11,$A$2:$A$2000,0),AB6)</f>
        <v>596</v>
      </c>
      <c r="AC11" s="5">
        <f>COUNTIF($A$2:$A$2665,AA11)</f>
        <v>46</v>
      </c>
    </row>
    <row r="12" spans="1:29" x14ac:dyDescent="0.35">
      <c r="A12" t="str">
        <f>IFERROR(INDEX(装备库!$A$2:$Y$1047,MATCH(ROW()-1,装备库!$AO$2:$AO$1046,0),COLUMN()),"")</f>
        <v>暗器</v>
      </c>
      <c r="B12" t="str">
        <f>IFERROR(INDEX(装备库!$A$2:$Y$1047,MATCH(ROW()-1,装备库!$AO$2:$AO$1046,0),COLUMN()),"")</f>
        <v>无封囊</v>
      </c>
      <c r="C12">
        <f>IFERROR(INDEX(装备库!$A$2:$Y$1047,MATCH(ROW()-1,装备库!$AO$2:$AO$1046,0),COLUMN()),"")</f>
        <v>9100</v>
      </c>
      <c r="D12" t="str">
        <f>IFERROR(INDEX(装备库!$A$2:$Y$1047,MATCH(ROW()-1,装备库!$AO$2:$AO$1046,0),COLUMN()),"")</f>
        <v>无封囊(9100精简攻会会)</v>
      </c>
      <c r="E12">
        <f>IFERROR(INDEX(装备库!$A$2:$Y$1047,MATCH(ROW()-1,装备库!$AO$2:$AO$1046,0),COLUMN()),"")</f>
        <v>0</v>
      </c>
      <c r="F12">
        <f>IFERROR(INDEX(装备库!$A$2:$Y$1047,MATCH(ROW()-1,装备库!$AO$2:$AO$1046,0),COLUMN()),"")</f>
        <v>1380</v>
      </c>
      <c r="G12">
        <f>IFERROR(INDEX(装备库!$A$2:$Y$1047,MATCH(ROW()-1,装备库!$AO$2:$AO$1046,0),COLUMN()),"")</f>
        <v>2551</v>
      </c>
      <c r="H12">
        <f>IFERROR(INDEX(装备库!$A$2:$Y$1047,MATCH(ROW()-1,装备库!$AO$2:$AO$1046,0),COLUMN()),"")</f>
        <v>1594</v>
      </c>
      <c r="I12">
        <f>IFERROR(INDEX(装备库!$A$2:$Y$1047,MATCH(ROW()-1,装备库!$AO$2:$AO$1046,0),COLUMN()),"")</f>
        <v>0</v>
      </c>
      <c r="J12">
        <f>IFERROR(INDEX(装备库!$A$2:$Y$1047,MATCH(ROW()-1,装备库!$AO$2:$AO$1046,0),COLUMN()),"")</f>
        <v>0</v>
      </c>
      <c r="K12">
        <f>IFERROR(INDEX(装备库!$A$2:$Y$1047,MATCH(ROW()-1,装备库!$AO$2:$AO$1046,0),COLUMN()),"")</f>
        <v>0</v>
      </c>
      <c r="L12">
        <f>IFERROR(INDEX(装备库!$A$2:$Y$1047,MATCH(ROW()-1,装备库!$AO$2:$AO$1046,0),COLUMN()),"")</f>
        <v>0</v>
      </c>
      <c r="M12">
        <f>IFERROR(INDEX(装备库!$A$2:$Y$1047,MATCH(ROW()-1,装备库!$AO$2:$AO$1046,0),COLUMN()),"")</f>
        <v>0</v>
      </c>
      <c r="N12">
        <f>IFERROR(INDEX(装备库!$A$2:$Y$1047,MATCH(ROW()-1,装备库!$AO$2:$AO$1046,0),COLUMN()),"")</f>
        <v>0</v>
      </c>
      <c r="O12">
        <f>IFERROR(INDEX(装备库!$A$2:$Y$1047,MATCH(ROW()-1,装备库!$AO$2:$AO$1046,0),COLUMN()),"")</f>
        <v>0</v>
      </c>
      <c r="P12">
        <f>IFERROR(INDEX(装备库!$A$2:$Y$1047,MATCH(ROW()-1,装备库!$AO$2:$AO$1046,0),COLUMN()),"")</f>
        <v>0</v>
      </c>
      <c r="Q12">
        <f>IFERROR(INDEX(装备库!$A$2:$Y$1047,MATCH(ROW()-1,装备库!$AO$2:$AO$1046,0),COLUMN()),"")</f>
        <v>0</v>
      </c>
      <c r="R12">
        <f>IFERROR(INDEX(装备库!$A$2:$Y$1047,MATCH(ROW()-1,装备库!$AO$2:$AO$1046,0),COLUMN()),"")</f>
        <v>0</v>
      </c>
      <c r="S12">
        <f>IFERROR(INDEX(装备库!$A$2:$Y$1047,MATCH(ROW()-1,装备库!$AO$2:$AO$1046,0),COLUMN()),"")</f>
        <v>1</v>
      </c>
      <c r="T12">
        <f>IFERROR(INDEX(装备库!$A$2:$Y$1047,MATCH(ROW()-1,装备库!$AO$2:$AO$1046,0),COLUMN()),"")</f>
        <v>0</v>
      </c>
      <c r="U12">
        <f>IFERROR(INDEX(装备库!$A$2:$Y$1047,MATCH(ROW()-1,装备库!$AO$2:$AO$1046,0),COLUMN()),"")</f>
        <v>0</v>
      </c>
      <c r="V12">
        <f>IFERROR(INDEX(装备库!$A$2:$Y$1047,MATCH(ROW()-1,装备库!$AO$2:$AO$1046,0),COLUMN()),"")</f>
        <v>0</v>
      </c>
      <c r="W12" t="str">
        <f>IFERROR(INDEX(装备库!$A$2:$Y$1047,MATCH(ROW()-1,装备库!$AO$2:$AO$1046,0),COLUMN()),"")</f>
        <v>精简攻会会</v>
      </c>
      <c r="X12">
        <f>IFERROR(INDEX(装备库!$A$2:$Y$1047,MATCH(ROW()-1,装备库!$AO$2:$AO$1046,0),COLUMN()),"")</f>
        <v>3</v>
      </c>
      <c r="Y12" t="str">
        <f>IFERROR(INDEX(装备库!$A$2:$Y$1047,MATCH(ROW()-1,装备库!$AO$2:$AO$1046,0),COLUMN()),"")</f>
        <v>活动</v>
      </c>
    </row>
    <row r="13" spans="1:29" x14ac:dyDescent="0.35">
      <c r="A13" t="str">
        <f>IFERROR(INDEX(装备库!$A$2:$Y$1047,MATCH(ROW()-1,装备库!$AO$2:$AO$1046,0),COLUMN()),"")</f>
        <v>暗器</v>
      </c>
      <c r="B13" t="str">
        <f>IFERROR(INDEX(装备库!$A$2:$Y$1047,MATCH(ROW()-1,装备库!$AO$2:$AO$1046,0),COLUMN()),"")</f>
        <v>无封囊</v>
      </c>
      <c r="C13">
        <f>IFERROR(INDEX(装备库!$A$2:$Y$1047,MATCH(ROW()-1,装备库!$AO$2:$AO$1046,0),COLUMN()),"")</f>
        <v>9400</v>
      </c>
      <c r="D13" t="str">
        <f>IFERROR(INDEX(装备库!$A$2:$Y$1047,MATCH(ROW()-1,装备库!$AO$2:$AO$1046,0),COLUMN()),"")</f>
        <v>无封囊(9400精简攻招破)</v>
      </c>
      <c r="E13">
        <f>IFERROR(INDEX(装备库!$A$2:$Y$1047,MATCH(ROW()-1,装备库!$AO$2:$AO$1046,0),COLUMN()),"")</f>
        <v>0</v>
      </c>
      <c r="F13">
        <f>IFERROR(INDEX(装备库!$A$2:$Y$1047,MATCH(ROW()-1,装备库!$AO$2:$AO$1046,0),COLUMN()),"")</f>
        <v>1425</v>
      </c>
      <c r="G13">
        <f>IFERROR(INDEX(装备库!$A$2:$Y$1047,MATCH(ROW()-1,装备库!$AO$2:$AO$1046,0),COLUMN()),"")</f>
        <v>0</v>
      </c>
      <c r="H13">
        <f>IFERROR(INDEX(装备库!$A$2:$Y$1047,MATCH(ROW()-1,装备库!$AO$2:$AO$1046,0),COLUMN()),"")</f>
        <v>0</v>
      </c>
      <c r="I13">
        <f>IFERROR(INDEX(装备库!$A$2:$Y$1047,MATCH(ROW()-1,装备库!$AO$2:$AO$1046,0),COLUMN()),"")</f>
        <v>2305</v>
      </c>
      <c r="J13">
        <f>IFERROR(INDEX(装备库!$A$2:$Y$1047,MATCH(ROW()-1,装备库!$AO$2:$AO$1046,0),COLUMN()),"")</f>
        <v>2086</v>
      </c>
      <c r="K13">
        <f>IFERROR(INDEX(装备库!$A$2:$Y$1047,MATCH(ROW()-1,装备库!$AO$2:$AO$1046,0),COLUMN()),"")</f>
        <v>0</v>
      </c>
      <c r="L13">
        <f>IFERROR(INDEX(装备库!$A$2:$Y$1047,MATCH(ROW()-1,装备库!$AO$2:$AO$1046,0),COLUMN()),"")</f>
        <v>0</v>
      </c>
      <c r="M13">
        <f>IFERROR(INDEX(装备库!$A$2:$Y$1047,MATCH(ROW()-1,装备库!$AO$2:$AO$1046,0),COLUMN()),"")</f>
        <v>0</v>
      </c>
      <c r="N13">
        <f>IFERROR(INDEX(装备库!$A$2:$Y$1047,MATCH(ROW()-1,装备库!$AO$2:$AO$1046,0),COLUMN()),"")</f>
        <v>0</v>
      </c>
      <c r="O13">
        <f>IFERROR(INDEX(装备库!$A$2:$Y$1047,MATCH(ROW()-1,装备库!$AO$2:$AO$1046,0),COLUMN()),"")</f>
        <v>0</v>
      </c>
      <c r="P13">
        <f>IFERROR(INDEX(装备库!$A$2:$Y$1047,MATCH(ROW()-1,装备库!$AO$2:$AO$1046,0),COLUMN()),"")</f>
        <v>0</v>
      </c>
      <c r="Q13">
        <f>IFERROR(INDEX(装备库!$A$2:$Y$1047,MATCH(ROW()-1,装备库!$AO$2:$AO$1046,0),COLUMN()),"")</f>
        <v>1</v>
      </c>
      <c r="R13">
        <f>IFERROR(INDEX(装备库!$A$2:$Y$1047,MATCH(ROW()-1,装备库!$AO$2:$AO$1046,0),COLUMN()),"")</f>
        <v>0</v>
      </c>
      <c r="S13">
        <f>IFERROR(INDEX(装备库!$A$2:$Y$1047,MATCH(ROW()-1,装备库!$AO$2:$AO$1046,0),COLUMN()),"")</f>
        <v>0</v>
      </c>
      <c r="T13">
        <f>IFERROR(INDEX(装备库!$A$2:$Y$1047,MATCH(ROW()-1,装备库!$AO$2:$AO$1046,0),COLUMN()),"")</f>
        <v>0</v>
      </c>
      <c r="U13">
        <f>IFERROR(INDEX(装备库!$A$2:$Y$1047,MATCH(ROW()-1,装备库!$AO$2:$AO$1046,0),COLUMN()),"")</f>
        <v>0</v>
      </c>
      <c r="V13">
        <f>IFERROR(INDEX(装备库!$A$2:$Y$1047,MATCH(ROW()-1,装备库!$AO$2:$AO$1046,0),COLUMN()),"")</f>
        <v>0</v>
      </c>
      <c r="W13" t="str">
        <f>IFERROR(INDEX(装备库!$A$2:$Y$1047,MATCH(ROW()-1,装备库!$AO$2:$AO$1046,0),COLUMN()),"")</f>
        <v>精简攻招破</v>
      </c>
      <c r="X13">
        <f>IFERROR(INDEX(装备库!$A$2:$Y$1047,MATCH(ROW()-1,装备库!$AO$2:$AO$1046,0),COLUMN()),"")</f>
        <v>3</v>
      </c>
      <c r="Y13" t="str">
        <f>IFERROR(INDEX(装备库!$A$2:$Y$1047,MATCH(ROW()-1,装备库!$AO$2:$AO$1046,0),COLUMN()),"")</f>
        <v>活动</v>
      </c>
    </row>
    <row r="14" spans="1:29" x14ac:dyDescent="0.35">
      <c r="A14" t="str">
        <f>IFERROR(INDEX(装备库!$A$2:$Y$1047,MATCH(ROW()-1,装备库!$AO$2:$AO$1046,0),COLUMN()),"")</f>
        <v>暗器</v>
      </c>
      <c r="B14" t="str">
        <f>IFERROR(INDEX(装备库!$A$2:$Y$1047,MATCH(ROW()-1,装备库!$AO$2:$AO$1046,0),COLUMN()),"")</f>
        <v>无封囊</v>
      </c>
      <c r="C14">
        <f>IFERROR(INDEX(装备库!$A$2:$Y$1047,MATCH(ROW()-1,装备库!$AO$2:$AO$1046,0),COLUMN()),"")</f>
        <v>9400</v>
      </c>
      <c r="D14" t="str">
        <f>IFERROR(INDEX(装备库!$A$2:$Y$1047,MATCH(ROW()-1,装备库!$AO$2:$AO$1046,0),COLUMN()),"")</f>
        <v>无封囊(9400精简攻会招破)</v>
      </c>
      <c r="E14">
        <f>IFERROR(INDEX(装备库!$A$2:$Y$1047,MATCH(ROW()-1,装备库!$AO$2:$AO$1046,0),COLUMN()),"")</f>
        <v>0</v>
      </c>
      <c r="F14">
        <f>IFERROR(INDEX(装备库!$A$2:$Y$1047,MATCH(ROW()-1,装备库!$AO$2:$AO$1046,0),COLUMN()),"")</f>
        <v>1573</v>
      </c>
      <c r="G14">
        <f>IFERROR(INDEX(装备库!$A$2:$Y$1047,MATCH(ROW()-1,装备库!$AO$2:$AO$1046,0),COLUMN()),"")</f>
        <v>1427</v>
      </c>
      <c r="H14">
        <f>IFERROR(INDEX(装备库!$A$2:$Y$1047,MATCH(ROW()-1,装备库!$AO$2:$AO$1046,0),COLUMN()),"")</f>
        <v>0</v>
      </c>
      <c r="I14">
        <f>IFERROR(INDEX(装备库!$A$2:$Y$1047,MATCH(ROW()-1,装备库!$AO$2:$AO$1046,0),COLUMN()),"")</f>
        <v>1427</v>
      </c>
      <c r="J14">
        <f>IFERROR(INDEX(装备库!$A$2:$Y$1047,MATCH(ROW()-1,装备库!$AO$2:$AO$1046,0),COLUMN()),"")</f>
        <v>1208</v>
      </c>
      <c r="K14">
        <f>IFERROR(INDEX(装备库!$A$2:$Y$1047,MATCH(ROW()-1,装备库!$AO$2:$AO$1046,0),COLUMN()),"")</f>
        <v>0</v>
      </c>
      <c r="L14">
        <f>IFERROR(INDEX(装备库!$A$2:$Y$1047,MATCH(ROW()-1,装备库!$AO$2:$AO$1046,0),COLUMN()),"")</f>
        <v>0</v>
      </c>
      <c r="M14">
        <f>IFERROR(INDEX(装备库!$A$2:$Y$1047,MATCH(ROW()-1,装备库!$AO$2:$AO$1046,0),COLUMN()),"")</f>
        <v>0</v>
      </c>
      <c r="N14">
        <f>IFERROR(INDEX(装备库!$A$2:$Y$1047,MATCH(ROW()-1,装备库!$AO$2:$AO$1046,0),COLUMN()),"")</f>
        <v>0</v>
      </c>
      <c r="O14">
        <f>IFERROR(INDEX(装备库!$A$2:$Y$1047,MATCH(ROW()-1,装备库!$AO$2:$AO$1046,0),COLUMN()),"")</f>
        <v>0</v>
      </c>
      <c r="P14">
        <f>IFERROR(INDEX(装备库!$A$2:$Y$1047,MATCH(ROW()-1,装备库!$AO$2:$AO$1046,0),COLUMN()),"")</f>
        <v>0</v>
      </c>
      <c r="Q14">
        <f>IFERROR(INDEX(装备库!$A$2:$Y$1047,MATCH(ROW()-1,装备库!$AO$2:$AO$1046,0),COLUMN()),"")</f>
        <v>0</v>
      </c>
      <c r="R14">
        <f>IFERROR(INDEX(装备库!$A$2:$Y$1047,MATCH(ROW()-1,装备库!$AO$2:$AO$1046,0),COLUMN()),"")</f>
        <v>1</v>
      </c>
      <c r="S14">
        <f>IFERROR(INDEX(装备库!$A$2:$Y$1047,MATCH(ROW()-1,装备库!$AO$2:$AO$1046,0),COLUMN()),"")</f>
        <v>0</v>
      </c>
      <c r="T14">
        <f>IFERROR(INDEX(装备库!$A$2:$Y$1047,MATCH(ROW()-1,装备库!$AO$2:$AO$1046,0),COLUMN()),"")</f>
        <v>0</v>
      </c>
      <c r="U14">
        <f>IFERROR(INDEX(装备库!$A$2:$Y$1047,MATCH(ROW()-1,装备库!$AO$2:$AO$1046,0),COLUMN()),"")</f>
        <v>0</v>
      </c>
      <c r="V14">
        <f>IFERROR(INDEX(装备库!$A$2:$Y$1047,MATCH(ROW()-1,装备库!$AO$2:$AO$1046,0),COLUMN()),"")</f>
        <v>0</v>
      </c>
      <c r="W14" t="str">
        <f>IFERROR(INDEX(装备库!$A$2:$Y$1047,MATCH(ROW()-1,装备库!$AO$2:$AO$1046,0),COLUMN()),"")</f>
        <v>精简攻会招破</v>
      </c>
      <c r="X14">
        <f>IFERROR(INDEX(装备库!$A$2:$Y$1047,MATCH(ROW()-1,装备库!$AO$2:$AO$1046,0),COLUMN()),"")</f>
        <v>3</v>
      </c>
      <c r="Y14" t="str">
        <f>IFERROR(INDEX(装备库!$A$2:$Y$1047,MATCH(ROW()-1,装备库!$AO$2:$AO$1046,0),COLUMN()),"")</f>
        <v>活动</v>
      </c>
    </row>
    <row r="15" spans="1:29" x14ac:dyDescent="0.35">
      <c r="A15" t="str">
        <f>IFERROR(INDEX(装备库!$A$2:$Y$1047,MATCH(ROW()-1,装备库!$AO$2:$AO$1046,0),COLUMN()),"")</f>
        <v>暗器</v>
      </c>
      <c r="B15" t="str">
        <f>IFERROR(INDEX(装备库!$A$2:$Y$1047,MATCH(ROW()-1,装备库!$AO$2:$AO$1046,0),COLUMN()),"")</f>
        <v>无封囊</v>
      </c>
      <c r="C15">
        <f>IFERROR(INDEX(装备库!$A$2:$Y$1047,MATCH(ROW()-1,装备库!$AO$2:$AO$1046,0),COLUMN()),"")</f>
        <v>9400</v>
      </c>
      <c r="D15" t="str">
        <f>IFERROR(INDEX(装备库!$A$2:$Y$1047,MATCH(ROW()-1,装备库!$AO$2:$AO$1046,0),COLUMN()),"")</f>
        <v>无封囊(9400精简攻会)</v>
      </c>
      <c r="E15">
        <f>IFERROR(INDEX(装备库!$A$2:$Y$1047,MATCH(ROW()-1,装备库!$AO$2:$AO$1046,0),COLUMN()),"")</f>
        <v>0</v>
      </c>
      <c r="F15">
        <f>IFERROR(INDEX(装备库!$A$2:$Y$1047,MATCH(ROW()-1,装备库!$AO$2:$AO$1046,0),COLUMN()),"")</f>
        <v>1671</v>
      </c>
      <c r="G15">
        <f>IFERROR(INDEX(装备库!$A$2:$Y$1047,MATCH(ROW()-1,装备库!$AO$2:$AO$1046,0),COLUMN()),"")</f>
        <v>3787</v>
      </c>
      <c r="H15">
        <f>IFERROR(INDEX(装备库!$A$2:$Y$1047,MATCH(ROW()-1,装备库!$AO$2:$AO$1046,0),COLUMN()),"")</f>
        <v>0</v>
      </c>
      <c r="I15">
        <f>IFERROR(INDEX(装备库!$A$2:$Y$1047,MATCH(ROW()-1,装备库!$AO$2:$AO$1046,0),COLUMN()),"")</f>
        <v>0</v>
      </c>
      <c r="J15">
        <f>IFERROR(INDEX(装备库!$A$2:$Y$1047,MATCH(ROW()-1,装备库!$AO$2:$AO$1046,0),COLUMN()),"")</f>
        <v>0</v>
      </c>
      <c r="K15">
        <f>IFERROR(INDEX(装备库!$A$2:$Y$1047,MATCH(ROW()-1,装备库!$AO$2:$AO$1046,0),COLUMN()),"")</f>
        <v>0</v>
      </c>
      <c r="L15">
        <f>IFERROR(INDEX(装备库!$A$2:$Y$1047,MATCH(ROW()-1,装备库!$AO$2:$AO$1046,0),COLUMN()),"")</f>
        <v>0</v>
      </c>
      <c r="M15">
        <f>IFERROR(INDEX(装备库!$A$2:$Y$1047,MATCH(ROW()-1,装备库!$AO$2:$AO$1046,0),COLUMN()),"")</f>
        <v>0</v>
      </c>
      <c r="N15">
        <f>IFERROR(INDEX(装备库!$A$2:$Y$1047,MATCH(ROW()-1,装备库!$AO$2:$AO$1046,0),COLUMN()),"")</f>
        <v>0</v>
      </c>
      <c r="O15">
        <f>IFERROR(INDEX(装备库!$A$2:$Y$1047,MATCH(ROW()-1,装备库!$AO$2:$AO$1046,0),COLUMN()),"")</f>
        <v>0</v>
      </c>
      <c r="P15">
        <f>IFERROR(INDEX(装备库!$A$2:$Y$1047,MATCH(ROW()-1,装备库!$AO$2:$AO$1046,0),COLUMN()),"")</f>
        <v>0</v>
      </c>
      <c r="Q15">
        <f>IFERROR(INDEX(装备库!$A$2:$Y$1047,MATCH(ROW()-1,装备库!$AO$2:$AO$1046,0),COLUMN()),"")</f>
        <v>0</v>
      </c>
      <c r="R15">
        <f>IFERROR(INDEX(装备库!$A$2:$Y$1047,MATCH(ROW()-1,装备库!$AO$2:$AO$1046,0),COLUMN()),"")</f>
        <v>1</v>
      </c>
      <c r="S15">
        <f>IFERROR(INDEX(装备库!$A$2:$Y$1047,MATCH(ROW()-1,装备库!$AO$2:$AO$1046,0),COLUMN()),"")</f>
        <v>0</v>
      </c>
      <c r="T15">
        <f>IFERROR(INDEX(装备库!$A$2:$Y$1047,MATCH(ROW()-1,装备库!$AO$2:$AO$1046,0),COLUMN()),"")</f>
        <v>0</v>
      </c>
      <c r="U15">
        <f>IFERROR(INDEX(装备库!$A$2:$Y$1047,MATCH(ROW()-1,装备库!$AO$2:$AO$1046,0),COLUMN()),"")</f>
        <v>0</v>
      </c>
      <c r="V15">
        <f>IFERROR(INDEX(装备库!$A$2:$Y$1047,MATCH(ROW()-1,装备库!$AO$2:$AO$1046,0),COLUMN()),"")</f>
        <v>0</v>
      </c>
      <c r="W15" t="str">
        <f>IFERROR(INDEX(装备库!$A$2:$Y$1047,MATCH(ROW()-1,装备库!$AO$2:$AO$1046,0),COLUMN()),"")</f>
        <v>精简攻会</v>
      </c>
      <c r="X15">
        <f>IFERROR(INDEX(装备库!$A$2:$Y$1047,MATCH(ROW()-1,装备库!$AO$2:$AO$1046,0),COLUMN()),"")</f>
        <v>3</v>
      </c>
      <c r="Y15" t="str">
        <f>IFERROR(INDEX(装备库!$A$2:$Y$1047,MATCH(ROW()-1,装备库!$AO$2:$AO$1046,0),COLUMN()),"")</f>
        <v>活动</v>
      </c>
    </row>
    <row r="16" spans="1:29" x14ac:dyDescent="0.35">
      <c r="A16" t="str">
        <f>IFERROR(INDEX(装备库!$A$2:$Y$1047,MATCH(ROW()-1,装备库!$AO$2:$AO$1046,0),COLUMN()),"")</f>
        <v>暗器</v>
      </c>
      <c r="B16" t="str">
        <f>IFERROR(INDEX(装备库!$A$2:$Y$1047,MATCH(ROW()-1,装备库!$AO$2:$AO$1046,0),COLUMN()),"")</f>
        <v>临掣囊</v>
      </c>
      <c r="C16">
        <f>IFERROR(INDEX(装备库!$A$2:$Y$1047,MATCH(ROW()-1,装备库!$AO$2:$AO$1046,0),COLUMN()),"")</f>
        <v>9450</v>
      </c>
      <c r="D16" t="str">
        <f>IFERROR(INDEX(装备库!$A$2:$Y$1047,MATCH(ROW()-1,装备库!$AO$2:$AO$1046,0),COLUMN()),"")</f>
        <v>临掣囊(9450会无)</v>
      </c>
      <c r="E16">
        <f>IFERROR(INDEX(装备库!$A$2:$Y$1047,MATCH(ROW()-1,装备库!$AO$2:$AO$1046,0),COLUMN()),"")</f>
        <v>396</v>
      </c>
      <c r="F16">
        <f>IFERROR(INDEX(装备库!$A$2:$Y$1047,MATCH(ROW()-1,装备库!$AO$2:$AO$1046,0),COLUMN()),"")</f>
        <v>642</v>
      </c>
      <c r="G16">
        <f>IFERROR(INDEX(装备库!$A$2:$Y$1047,MATCH(ROW()-1,装备库!$AO$2:$AO$1046,0),COLUMN()),"")</f>
        <v>1987</v>
      </c>
      <c r="H16">
        <f>IFERROR(INDEX(装备库!$A$2:$Y$1047,MATCH(ROW()-1,装备库!$AO$2:$AO$1046,0),COLUMN()),"")</f>
        <v>0</v>
      </c>
      <c r="I16">
        <f>IFERROR(INDEX(装备库!$A$2:$Y$1047,MATCH(ROW()-1,装备库!$AO$2:$AO$1046,0),COLUMN()),"")</f>
        <v>0</v>
      </c>
      <c r="J16">
        <f>IFERROR(INDEX(装备库!$A$2:$Y$1047,MATCH(ROW()-1,装备库!$AO$2:$AO$1046,0),COLUMN()),"")</f>
        <v>0</v>
      </c>
      <c r="K16">
        <f>IFERROR(INDEX(装备库!$A$2:$Y$1047,MATCH(ROW()-1,装备库!$AO$2:$AO$1046,0),COLUMN()),"")</f>
        <v>1766</v>
      </c>
      <c r="L16">
        <f>IFERROR(INDEX(装备库!$A$2:$Y$1047,MATCH(ROW()-1,装备库!$AO$2:$AO$1046,0),COLUMN()),"")</f>
        <v>0</v>
      </c>
      <c r="M16">
        <f>IFERROR(INDEX(装备库!$A$2:$Y$1047,MATCH(ROW()-1,装备库!$AO$2:$AO$1046,0),COLUMN()),"")</f>
        <v>0</v>
      </c>
      <c r="N16">
        <f>IFERROR(INDEX(装备库!$A$2:$Y$1047,MATCH(ROW()-1,装备库!$AO$2:$AO$1046,0),COLUMN()),"")</f>
        <v>0</v>
      </c>
      <c r="O16">
        <f>IFERROR(INDEX(装备库!$A$2:$Y$1047,MATCH(ROW()-1,装备库!$AO$2:$AO$1046,0),COLUMN()),"")</f>
        <v>0</v>
      </c>
      <c r="P16">
        <f>IFERROR(INDEX(装备库!$A$2:$Y$1047,MATCH(ROW()-1,装备库!$AO$2:$AO$1046,0),COLUMN()),"")</f>
        <v>0</v>
      </c>
      <c r="Q16">
        <f>IFERROR(INDEX(装备库!$A$2:$Y$1047,MATCH(ROW()-1,装备库!$AO$2:$AO$1046,0),COLUMN()),"")</f>
        <v>1</v>
      </c>
      <c r="R16">
        <f>IFERROR(INDEX(装备库!$A$2:$Y$1047,MATCH(ROW()-1,装备库!$AO$2:$AO$1046,0),COLUMN()),"")</f>
        <v>0</v>
      </c>
      <c r="S16">
        <f>IFERROR(INDEX(装备库!$A$2:$Y$1047,MATCH(ROW()-1,装备库!$AO$2:$AO$1046,0),COLUMN()),"")</f>
        <v>0</v>
      </c>
      <c r="T16">
        <f>IFERROR(INDEX(装备库!$A$2:$Y$1047,MATCH(ROW()-1,装备库!$AO$2:$AO$1046,0),COLUMN()),"")</f>
        <v>0</v>
      </c>
      <c r="U16">
        <f>IFERROR(INDEX(装备库!$A$2:$Y$1047,MATCH(ROW()-1,装备库!$AO$2:$AO$1046,0),COLUMN()),"")</f>
        <v>0</v>
      </c>
      <c r="V16">
        <f>IFERROR(INDEX(装备库!$A$2:$Y$1047,MATCH(ROW()-1,装备库!$AO$2:$AO$1046,0),COLUMN()),"")</f>
        <v>0</v>
      </c>
      <c r="W16" t="str">
        <f>IFERROR(INDEX(装备库!$A$2:$Y$1047,MATCH(ROW()-1,装备库!$AO$2:$AO$1046,0),COLUMN()),"")</f>
        <v>会无</v>
      </c>
      <c r="X16">
        <f>IFERROR(INDEX(装备库!$A$2:$Y$1047,MATCH(ROW()-1,装备库!$AO$2:$AO$1046,0),COLUMN()),"")</f>
        <v>6</v>
      </c>
      <c r="Y16" t="str">
        <f>IFERROR(INDEX(装备库!$A$2:$Y$1047,MATCH(ROW()-1,装备库!$AO$2:$AO$1046,0),COLUMN()),"")</f>
        <v>声望</v>
      </c>
    </row>
    <row r="17" spans="1:25" x14ac:dyDescent="0.35">
      <c r="A17" t="str">
        <f>IFERROR(INDEX(装备库!$A$2:$Y$1047,MATCH(ROW()-1,装备库!$AO$2:$AO$1046,0),COLUMN()),"")</f>
        <v>暗器</v>
      </c>
      <c r="B17" t="str">
        <f>IFERROR(INDEX(装备库!$A$2:$Y$1047,MATCH(ROW()-1,装备库!$AO$2:$AO$1046,0),COLUMN()),"")</f>
        <v>静山囊</v>
      </c>
      <c r="C17">
        <f>IFERROR(INDEX(装备库!$A$2:$Y$1047,MATCH(ROW()-1,装备库!$AO$2:$AO$1046,0),COLUMN()),"")</f>
        <v>9500</v>
      </c>
      <c r="D17" t="str">
        <f>IFERROR(INDEX(装备库!$A$2:$Y$1047,MATCH(ROW()-1,装备库!$AO$2:$AO$1046,0),COLUMN()),"")</f>
        <v>静山囊(9500破无)</v>
      </c>
      <c r="E17">
        <f>IFERROR(INDEX(装备库!$A$2:$Y$1047,MATCH(ROW()-1,装备库!$AO$2:$AO$1046,0),COLUMN()),"")</f>
        <v>398</v>
      </c>
      <c r="F17">
        <f>IFERROR(INDEX(装备库!$A$2:$Y$1047,MATCH(ROW()-1,装备库!$AO$2:$AO$1046,0),COLUMN()),"")</f>
        <v>646</v>
      </c>
      <c r="G17">
        <f>IFERROR(INDEX(装备库!$A$2:$Y$1047,MATCH(ROW()-1,装备库!$AO$2:$AO$1046,0),COLUMN()),"")</f>
        <v>0</v>
      </c>
      <c r="H17">
        <f>IFERROR(INDEX(装备库!$A$2:$Y$1047,MATCH(ROW()-1,装备库!$AO$2:$AO$1046,0),COLUMN()),"")</f>
        <v>0</v>
      </c>
      <c r="I17">
        <f>IFERROR(INDEX(装备库!$A$2:$Y$1047,MATCH(ROW()-1,装备库!$AO$2:$AO$1046,0),COLUMN()),"")</f>
        <v>1997</v>
      </c>
      <c r="J17">
        <f>IFERROR(INDEX(装备库!$A$2:$Y$1047,MATCH(ROW()-1,装备库!$AO$2:$AO$1046,0),COLUMN()),"")</f>
        <v>0</v>
      </c>
      <c r="K17">
        <f>IFERROR(INDEX(装备库!$A$2:$Y$1047,MATCH(ROW()-1,装备库!$AO$2:$AO$1046,0),COLUMN()),"")</f>
        <v>1775</v>
      </c>
      <c r="L17">
        <f>IFERROR(INDEX(装备库!$A$2:$Y$1047,MATCH(ROW()-1,装备库!$AO$2:$AO$1046,0),COLUMN()),"")</f>
        <v>0</v>
      </c>
      <c r="M17">
        <f>IFERROR(INDEX(装备库!$A$2:$Y$1047,MATCH(ROW()-1,装备库!$AO$2:$AO$1046,0),COLUMN()),"")</f>
        <v>0</v>
      </c>
      <c r="N17">
        <f>IFERROR(INDEX(装备库!$A$2:$Y$1047,MATCH(ROW()-1,装备库!$AO$2:$AO$1046,0),COLUMN()),"")</f>
        <v>0</v>
      </c>
      <c r="O17">
        <f>IFERROR(INDEX(装备库!$A$2:$Y$1047,MATCH(ROW()-1,装备库!$AO$2:$AO$1046,0),COLUMN()),"")</f>
        <v>0</v>
      </c>
      <c r="P17">
        <f>IFERROR(INDEX(装备库!$A$2:$Y$1047,MATCH(ROW()-1,装备库!$AO$2:$AO$1046,0),COLUMN()),"")</f>
        <v>1</v>
      </c>
      <c r="Q17">
        <f>IFERROR(INDEX(装备库!$A$2:$Y$1047,MATCH(ROW()-1,装备库!$AO$2:$AO$1046,0),COLUMN()),"")</f>
        <v>0</v>
      </c>
      <c r="R17">
        <f>IFERROR(INDEX(装备库!$A$2:$Y$1047,MATCH(ROW()-1,装备库!$AO$2:$AO$1046,0),COLUMN()),"")</f>
        <v>0</v>
      </c>
      <c r="S17">
        <f>IFERROR(INDEX(装备库!$A$2:$Y$1047,MATCH(ROW()-1,装备库!$AO$2:$AO$1046,0),COLUMN()),"")</f>
        <v>0</v>
      </c>
      <c r="T17">
        <f>IFERROR(INDEX(装备库!$A$2:$Y$1047,MATCH(ROW()-1,装备库!$AO$2:$AO$1046,0),COLUMN()),"")</f>
        <v>0</v>
      </c>
      <c r="U17">
        <f>IFERROR(INDEX(装备库!$A$2:$Y$1047,MATCH(ROW()-1,装备库!$AO$2:$AO$1046,0),COLUMN()),"")</f>
        <v>0</v>
      </c>
      <c r="V17">
        <f>IFERROR(INDEX(装备库!$A$2:$Y$1047,MATCH(ROW()-1,装备库!$AO$2:$AO$1046,0),COLUMN()),"")</f>
        <v>0</v>
      </c>
      <c r="W17" t="str">
        <f>IFERROR(INDEX(装备库!$A$2:$Y$1047,MATCH(ROW()-1,装备库!$AO$2:$AO$1046,0),COLUMN()),"")</f>
        <v>破无</v>
      </c>
      <c r="X17">
        <f>IFERROR(INDEX(装备库!$A$2:$Y$1047,MATCH(ROW()-1,装备库!$AO$2:$AO$1046,0),COLUMN()),"")</f>
        <v>6</v>
      </c>
      <c r="Y17" t="str">
        <f>IFERROR(INDEX(装备库!$A$2:$Y$1047,MATCH(ROW()-1,装备库!$AO$2:$AO$1046,0),COLUMN()),"")</f>
        <v>声望</v>
      </c>
    </row>
    <row r="18" spans="1:25" x14ac:dyDescent="0.35">
      <c r="A18" t="str">
        <f>IFERROR(INDEX(装备库!$A$2:$Y$1047,MATCH(ROW()-1,装备库!$AO$2:$AO$1046,0),COLUMN()),"")</f>
        <v>暗器</v>
      </c>
      <c r="B18" t="str">
        <f>IFERROR(INDEX(装备库!$A$2:$Y$1047,MATCH(ROW()-1,装备库!$AO$2:$AO$1046,0),COLUMN()),"")</f>
        <v>荒陌囊</v>
      </c>
      <c r="C18">
        <f>IFERROR(INDEX(装备库!$A$2:$Y$1047,MATCH(ROW()-1,装备库!$AO$2:$AO$1046,0),COLUMN()),"")</f>
        <v>9600</v>
      </c>
      <c r="D18" t="str">
        <f>IFERROR(INDEX(装备库!$A$2:$Y$1047,MATCH(ROW()-1,装备库!$AO$2:$AO$1046,0),COLUMN()),"")</f>
        <v>荒陌囊(9600招破)</v>
      </c>
      <c r="E18">
        <f>IFERROR(INDEX(装备库!$A$2:$Y$1047,MATCH(ROW()-1,装备库!$AO$2:$AO$1046,0),COLUMN()),"")</f>
        <v>402</v>
      </c>
      <c r="F18">
        <f>IFERROR(INDEX(装备库!$A$2:$Y$1047,MATCH(ROW()-1,装备库!$AO$2:$AO$1046,0),COLUMN()),"")</f>
        <v>652</v>
      </c>
      <c r="G18">
        <f>IFERROR(INDEX(装备库!$A$2:$Y$1047,MATCH(ROW()-1,装备库!$AO$2:$AO$1046,0),COLUMN()),"")</f>
        <v>0</v>
      </c>
      <c r="H18">
        <f>IFERROR(INDEX(装备库!$A$2:$Y$1047,MATCH(ROW()-1,装备库!$AO$2:$AO$1046,0),COLUMN()),"")</f>
        <v>0</v>
      </c>
      <c r="I18">
        <f>IFERROR(INDEX(装备库!$A$2:$Y$1047,MATCH(ROW()-1,装备库!$AO$2:$AO$1046,0),COLUMN()),"")</f>
        <v>2018</v>
      </c>
      <c r="J18">
        <f>IFERROR(INDEX(装备库!$A$2:$Y$1047,MATCH(ROW()-1,装备库!$AO$2:$AO$1046,0),COLUMN()),"")</f>
        <v>1794</v>
      </c>
      <c r="K18">
        <f>IFERROR(INDEX(装备库!$A$2:$Y$1047,MATCH(ROW()-1,装备库!$AO$2:$AO$1046,0),COLUMN()),"")</f>
        <v>0</v>
      </c>
      <c r="L18">
        <f>IFERROR(INDEX(装备库!$A$2:$Y$1047,MATCH(ROW()-1,装备库!$AO$2:$AO$1046,0),COLUMN()),"")</f>
        <v>0</v>
      </c>
      <c r="M18">
        <f>IFERROR(INDEX(装备库!$A$2:$Y$1047,MATCH(ROW()-1,装备库!$AO$2:$AO$1046,0),COLUMN()),"")</f>
        <v>0</v>
      </c>
      <c r="N18">
        <f>IFERROR(INDEX(装备库!$A$2:$Y$1047,MATCH(ROW()-1,装备库!$AO$2:$AO$1046,0),COLUMN()),"")</f>
        <v>0</v>
      </c>
      <c r="O18">
        <f>IFERROR(INDEX(装备库!$A$2:$Y$1047,MATCH(ROW()-1,装备库!$AO$2:$AO$1046,0),COLUMN()),"")</f>
        <v>1</v>
      </c>
      <c r="P18">
        <f>IFERROR(INDEX(装备库!$A$2:$Y$1047,MATCH(ROW()-1,装备库!$AO$2:$AO$1046,0),COLUMN()),"")</f>
        <v>0</v>
      </c>
      <c r="Q18">
        <f>IFERROR(INDEX(装备库!$A$2:$Y$1047,MATCH(ROW()-1,装备库!$AO$2:$AO$1046,0),COLUMN()),"")</f>
        <v>0</v>
      </c>
      <c r="R18">
        <f>IFERROR(INDEX(装备库!$A$2:$Y$1047,MATCH(ROW()-1,装备库!$AO$2:$AO$1046,0),COLUMN()),"")</f>
        <v>0</v>
      </c>
      <c r="S18">
        <f>IFERROR(INDEX(装备库!$A$2:$Y$1047,MATCH(ROW()-1,装备库!$AO$2:$AO$1046,0),COLUMN()),"")</f>
        <v>0</v>
      </c>
      <c r="T18">
        <f>IFERROR(INDEX(装备库!$A$2:$Y$1047,MATCH(ROW()-1,装备库!$AO$2:$AO$1046,0),COLUMN()),"")</f>
        <v>0</v>
      </c>
      <c r="U18">
        <f>IFERROR(INDEX(装备库!$A$2:$Y$1047,MATCH(ROW()-1,装备库!$AO$2:$AO$1046,0),COLUMN()),"")</f>
        <v>0</v>
      </c>
      <c r="V18">
        <f>IFERROR(INDEX(装备库!$A$2:$Y$1047,MATCH(ROW()-1,装备库!$AO$2:$AO$1046,0),COLUMN()),"")</f>
        <v>0</v>
      </c>
      <c r="W18" t="str">
        <f>IFERROR(INDEX(装备库!$A$2:$Y$1047,MATCH(ROW()-1,装备库!$AO$2:$AO$1046,0),COLUMN()),"")</f>
        <v>招破</v>
      </c>
      <c r="X18">
        <f>IFERROR(INDEX(装备库!$A$2:$Y$1047,MATCH(ROW()-1,装备库!$AO$2:$AO$1046,0),COLUMN()),"")</f>
        <v>6</v>
      </c>
      <c r="Y18" t="str">
        <f>IFERROR(INDEX(装备库!$A$2:$Y$1047,MATCH(ROW()-1,装备库!$AO$2:$AO$1046,0),COLUMN()),"")</f>
        <v>任务</v>
      </c>
    </row>
    <row r="19" spans="1:25" x14ac:dyDescent="0.35">
      <c r="A19" t="str">
        <f>IFERROR(INDEX(装备库!$A$2:$Y$1047,MATCH(ROW()-1,装备库!$AO$2:$AO$1046,0),COLUMN()),"")</f>
        <v>暗器</v>
      </c>
      <c r="B19" t="str">
        <f>IFERROR(INDEX(装备库!$A$2:$Y$1047,MATCH(ROW()-1,装备库!$AO$2:$AO$1046,0),COLUMN()),"")</f>
        <v>女义囊</v>
      </c>
      <c r="C19">
        <f>IFERROR(INDEX(装备库!$A$2:$Y$1047,MATCH(ROW()-1,装备库!$AO$2:$AO$1046,0),COLUMN()),"")</f>
        <v>9600</v>
      </c>
      <c r="D19" t="str">
        <f>IFERROR(INDEX(装备库!$A$2:$Y$1047,MATCH(ROW()-1,装备库!$AO$2:$AO$1046,0),COLUMN()),"")</f>
        <v>女义囊(9600会招)</v>
      </c>
      <c r="E19">
        <f>IFERROR(INDEX(装备库!$A$2:$Y$1047,MATCH(ROW()-1,装备库!$AO$2:$AO$1046,0),COLUMN()),"")</f>
        <v>402</v>
      </c>
      <c r="F19">
        <f>IFERROR(INDEX(装备库!$A$2:$Y$1047,MATCH(ROW()-1,装备库!$AO$2:$AO$1046,0),COLUMN()),"")</f>
        <v>652</v>
      </c>
      <c r="G19">
        <f>IFERROR(INDEX(装备库!$A$2:$Y$1047,MATCH(ROW()-1,装备库!$AO$2:$AO$1046,0),COLUMN()),"")</f>
        <v>2018</v>
      </c>
      <c r="H19">
        <f>IFERROR(INDEX(装备库!$A$2:$Y$1047,MATCH(ROW()-1,装备库!$AO$2:$AO$1046,0),COLUMN()),"")</f>
        <v>0</v>
      </c>
      <c r="I19">
        <f>IFERROR(INDEX(装备库!$A$2:$Y$1047,MATCH(ROW()-1,装备库!$AO$2:$AO$1046,0),COLUMN()),"")</f>
        <v>0</v>
      </c>
      <c r="J19">
        <f>IFERROR(INDEX(装备库!$A$2:$Y$1047,MATCH(ROW()-1,装备库!$AO$2:$AO$1046,0),COLUMN()),"")</f>
        <v>1794</v>
      </c>
      <c r="K19">
        <f>IFERROR(INDEX(装备库!$A$2:$Y$1047,MATCH(ROW()-1,装备库!$AO$2:$AO$1046,0),COLUMN()),"")</f>
        <v>0</v>
      </c>
      <c r="L19">
        <f>IFERROR(INDEX(装备库!$A$2:$Y$1047,MATCH(ROW()-1,装备库!$AO$2:$AO$1046,0),COLUMN()),"")</f>
        <v>0</v>
      </c>
      <c r="M19">
        <f>IFERROR(INDEX(装备库!$A$2:$Y$1047,MATCH(ROW()-1,装备库!$AO$2:$AO$1046,0),COLUMN()),"")</f>
        <v>0</v>
      </c>
      <c r="N19">
        <f>IFERROR(INDEX(装备库!$A$2:$Y$1047,MATCH(ROW()-1,装备库!$AO$2:$AO$1046,0),COLUMN()),"")</f>
        <v>0</v>
      </c>
      <c r="O19">
        <f>IFERROR(INDEX(装备库!$A$2:$Y$1047,MATCH(ROW()-1,装备库!$AO$2:$AO$1046,0),COLUMN()),"")</f>
        <v>1</v>
      </c>
      <c r="P19">
        <f>IFERROR(INDEX(装备库!$A$2:$Y$1047,MATCH(ROW()-1,装备库!$AO$2:$AO$1046,0),COLUMN()),"")</f>
        <v>0</v>
      </c>
      <c r="Q19">
        <f>IFERROR(INDEX(装备库!$A$2:$Y$1047,MATCH(ROW()-1,装备库!$AO$2:$AO$1046,0),COLUMN()),"")</f>
        <v>0</v>
      </c>
      <c r="R19">
        <f>IFERROR(INDEX(装备库!$A$2:$Y$1047,MATCH(ROW()-1,装备库!$AO$2:$AO$1046,0),COLUMN()),"")</f>
        <v>0</v>
      </c>
      <c r="S19">
        <f>IFERROR(INDEX(装备库!$A$2:$Y$1047,MATCH(ROW()-1,装备库!$AO$2:$AO$1046,0),COLUMN()),"")</f>
        <v>0</v>
      </c>
      <c r="T19">
        <f>IFERROR(INDEX(装备库!$A$2:$Y$1047,MATCH(ROW()-1,装备库!$AO$2:$AO$1046,0),COLUMN()),"")</f>
        <v>0</v>
      </c>
      <c r="U19">
        <f>IFERROR(INDEX(装备库!$A$2:$Y$1047,MATCH(ROW()-1,装备库!$AO$2:$AO$1046,0),COLUMN()),"")</f>
        <v>0</v>
      </c>
      <c r="V19">
        <f>IFERROR(INDEX(装备库!$A$2:$Y$1047,MATCH(ROW()-1,装备库!$AO$2:$AO$1046,0),COLUMN()),"")</f>
        <v>0</v>
      </c>
      <c r="W19" t="str">
        <f>IFERROR(INDEX(装备库!$A$2:$Y$1047,MATCH(ROW()-1,装备库!$AO$2:$AO$1046,0),COLUMN()),"")</f>
        <v>会招</v>
      </c>
      <c r="X19">
        <f>IFERROR(INDEX(装备库!$A$2:$Y$1047,MATCH(ROW()-1,装备库!$AO$2:$AO$1046,0),COLUMN()),"")</f>
        <v>6</v>
      </c>
      <c r="Y19" t="str">
        <f>IFERROR(INDEX(装备库!$A$2:$Y$1047,MATCH(ROW()-1,装备库!$AO$2:$AO$1046,0),COLUMN()),"")</f>
        <v>侠义值</v>
      </c>
    </row>
    <row r="20" spans="1:25" x14ac:dyDescent="0.35">
      <c r="A20" t="str">
        <f>IFERROR(INDEX(装备库!$A$2:$Y$1047,MATCH(ROW()-1,装备库!$AO$2:$AO$1046,0),COLUMN()),"")</f>
        <v>暗器</v>
      </c>
      <c r="B20" t="str">
        <f>IFERROR(INDEX(装备库!$A$2:$Y$1047,MATCH(ROW()-1,装备库!$AO$2:$AO$1046,0),COLUMN()),"")</f>
        <v>无封囊</v>
      </c>
      <c r="C20">
        <f>IFERROR(INDEX(装备库!$A$2:$Y$1047,MATCH(ROW()-1,装备库!$AO$2:$AO$1046,0),COLUMN()),"")</f>
        <v>9700</v>
      </c>
      <c r="D20" t="str">
        <f>IFERROR(INDEX(装备库!$A$2:$Y$1047,MATCH(ROW()-1,装备库!$AO$2:$AO$1046,0),COLUMN()),"")</f>
        <v>无封囊(9700精简攻无)</v>
      </c>
      <c r="E20">
        <f>IFERROR(INDEX(装备库!$A$2:$Y$1047,MATCH(ROW()-1,装备库!$AO$2:$AO$1046,0),COLUMN()),"")</f>
        <v>0</v>
      </c>
      <c r="F20">
        <f>IFERROR(INDEX(装备库!$A$2:$Y$1047,MATCH(ROW()-1,装备库!$AO$2:$AO$1046,0),COLUMN()),"")</f>
        <v>1724</v>
      </c>
      <c r="G20">
        <f>IFERROR(INDEX(装备库!$A$2:$Y$1047,MATCH(ROW()-1,装备库!$AO$2:$AO$1046,0),COLUMN()),"")</f>
        <v>0</v>
      </c>
      <c r="H20">
        <f>IFERROR(INDEX(装备库!$A$2:$Y$1047,MATCH(ROW()-1,装备库!$AO$2:$AO$1046,0),COLUMN()),"")</f>
        <v>0</v>
      </c>
      <c r="I20">
        <f>IFERROR(INDEX(装备库!$A$2:$Y$1047,MATCH(ROW()-1,装备库!$AO$2:$AO$1046,0),COLUMN()),"")</f>
        <v>0</v>
      </c>
      <c r="J20">
        <f>IFERROR(INDEX(装备库!$A$2:$Y$1047,MATCH(ROW()-1,装备库!$AO$2:$AO$1046,0),COLUMN()),"")</f>
        <v>0</v>
      </c>
      <c r="K20">
        <f>IFERROR(INDEX(装备库!$A$2:$Y$1047,MATCH(ROW()-1,装备库!$AO$2:$AO$1046,0),COLUMN()),"")</f>
        <v>3908</v>
      </c>
      <c r="L20">
        <f>IFERROR(INDEX(装备库!$A$2:$Y$1047,MATCH(ROW()-1,装备库!$AO$2:$AO$1046,0),COLUMN()),"")</f>
        <v>0</v>
      </c>
      <c r="M20">
        <f>IFERROR(INDEX(装备库!$A$2:$Y$1047,MATCH(ROW()-1,装备库!$AO$2:$AO$1046,0),COLUMN()),"")</f>
        <v>0</v>
      </c>
      <c r="N20">
        <f>IFERROR(INDEX(装备库!$A$2:$Y$1047,MATCH(ROW()-1,装备库!$AO$2:$AO$1046,0),COLUMN()),"")</f>
        <v>0</v>
      </c>
      <c r="O20">
        <f>IFERROR(INDEX(装备库!$A$2:$Y$1047,MATCH(ROW()-1,装备库!$AO$2:$AO$1046,0),COLUMN()),"")</f>
        <v>0</v>
      </c>
      <c r="P20">
        <f>IFERROR(INDEX(装备库!$A$2:$Y$1047,MATCH(ROW()-1,装备库!$AO$2:$AO$1046,0),COLUMN()),"")</f>
        <v>0</v>
      </c>
      <c r="Q20">
        <f>IFERROR(INDEX(装备库!$A$2:$Y$1047,MATCH(ROW()-1,装备库!$AO$2:$AO$1046,0),COLUMN()),"")</f>
        <v>0</v>
      </c>
      <c r="R20">
        <f>IFERROR(INDEX(装备库!$A$2:$Y$1047,MATCH(ROW()-1,装备库!$AO$2:$AO$1046,0),COLUMN()),"")</f>
        <v>0</v>
      </c>
      <c r="S20">
        <f>IFERROR(INDEX(装备库!$A$2:$Y$1047,MATCH(ROW()-1,装备库!$AO$2:$AO$1046,0),COLUMN()),"")</f>
        <v>1</v>
      </c>
      <c r="T20">
        <f>IFERROR(INDEX(装备库!$A$2:$Y$1047,MATCH(ROW()-1,装备库!$AO$2:$AO$1046,0),COLUMN()),"")</f>
        <v>0</v>
      </c>
      <c r="U20">
        <f>IFERROR(INDEX(装备库!$A$2:$Y$1047,MATCH(ROW()-1,装备库!$AO$2:$AO$1046,0),COLUMN()),"")</f>
        <v>0</v>
      </c>
      <c r="V20">
        <f>IFERROR(INDEX(装备库!$A$2:$Y$1047,MATCH(ROW()-1,装备库!$AO$2:$AO$1046,0),COLUMN()),"")</f>
        <v>0</v>
      </c>
      <c r="W20" t="str">
        <f>IFERROR(INDEX(装备库!$A$2:$Y$1047,MATCH(ROW()-1,装备库!$AO$2:$AO$1046,0),COLUMN()),"")</f>
        <v>精简攻无</v>
      </c>
      <c r="X20">
        <f>IFERROR(INDEX(装备库!$A$2:$Y$1047,MATCH(ROW()-1,装备库!$AO$2:$AO$1046,0),COLUMN()),"")</f>
        <v>3</v>
      </c>
      <c r="Y20" t="str">
        <f>IFERROR(INDEX(装备库!$A$2:$Y$1047,MATCH(ROW()-1,装备库!$AO$2:$AO$1046,0),COLUMN()),"")</f>
        <v>活动</v>
      </c>
    </row>
    <row r="21" spans="1:25" x14ac:dyDescent="0.35">
      <c r="A21" t="str">
        <f>IFERROR(INDEX(装备库!$A$2:$Y$1047,MATCH(ROW()-1,装备库!$AO$2:$AO$1046,0),COLUMN()),"")</f>
        <v>暗器</v>
      </c>
      <c r="B21" t="str">
        <f>IFERROR(INDEX(装备库!$A$2:$Y$1047,MATCH(ROW()-1,装备库!$AO$2:$AO$1046,0),COLUMN()),"")</f>
        <v>无封囊</v>
      </c>
      <c r="C21">
        <f>IFERROR(INDEX(装备库!$A$2:$Y$1047,MATCH(ROW()-1,装备库!$AO$2:$AO$1046,0),COLUMN()),"")</f>
        <v>9700</v>
      </c>
      <c r="D21" t="str">
        <f>IFERROR(INDEX(装备库!$A$2:$Y$1047,MATCH(ROW()-1,装备库!$AO$2:$AO$1046,0),COLUMN()),"")</f>
        <v>无封囊(9700精简攻会招)</v>
      </c>
      <c r="E21">
        <f>IFERROR(INDEX(装备库!$A$2:$Y$1047,MATCH(ROW()-1,装备库!$AO$2:$AO$1046,0),COLUMN()),"")</f>
        <v>0</v>
      </c>
      <c r="F21">
        <f>IFERROR(INDEX(装备库!$A$2:$Y$1047,MATCH(ROW()-1,装备库!$AO$2:$AO$1046,0),COLUMN()),"")</f>
        <v>1471</v>
      </c>
      <c r="G21">
        <f>IFERROR(INDEX(装备库!$A$2:$Y$1047,MATCH(ROW()-1,装备库!$AO$2:$AO$1046,0),COLUMN()),"")</f>
        <v>2266</v>
      </c>
      <c r="H21">
        <f>IFERROR(INDEX(装备库!$A$2:$Y$1047,MATCH(ROW()-1,装备库!$AO$2:$AO$1046,0),COLUMN()),"")</f>
        <v>0</v>
      </c>
      <c r="I21">
        <f>IFERROR(INDEX(装备库!$A$2:$Y$1047,MATCH(ROW()-1,装备库!$AO$2:$AO$1046,0),COLUMN()),"")</f>
        <v>0</v>
      </c>
      <c r="J21">
        <f>IFERROR(INDEX(装备库!$A$2:$Y$1047,MATCH(ROW()-1,装备库!$AO$2:$AO$1046,0),COLUMN()),"")</f>
        <v>2266</v>
      </c>
      <c r="K21">
        <f>IFERROR(INDEX(装备库!$A$2:$Y$1047,MATCH(ROW()-1,装备库!$AO$2:$AO$1046,0),COLUMN()),"")</f>
        <v>0</v>
      </c>
      <c r="L21">
        <f>IFERROR(INDEX(装备库!$A$2:$Y$1047,MATCH(ROW()-1,装备库!$AO$2:$AO$1046,0),COLUMN()),"")</f>
        <v>0</v>
      </c>
      <c r="M21">
        <f>IFERROR(INDEX(装备库!$A$2:$Y$1047,MATCH(ROW()-1,装备库!$AO$2:$AO$1046,0),COLUMN()),"")</f>
        <v>0</v>
      </c>
      <c r="N21">
        <f>IFERROR(INDEX(装备库!$A$2:$Y$1047,MATCH(ROW()-1,装备库!$AO$2:$AO$1046,0),COLUMN()),"")</f>
        <v>0</v>
      </c>
      <c r="O21">
        <f>IFERROR(INDEX(装备库!$A$2:$Y$1047,MATCH(ROW()-1,装备库!$AO$2:$AO$1046,0),COLUMN()),"")</f>
        <v>0</v>
      </c>
      <c r="P21">
        <f>IFERROR(INDEX(装备库!$A$2:$Y$1047,MATCH(ROW()-1,装备库!$AO$2:$AO$1046,0),COLUMN()),"")</f>
        <v>0</v>
      </c>
      <c r="Q21">
        <f>IFERROR(INDEX(装备库!$A$2:$Y$1047,MATCH(ROW()-1,装备库!$AO$2:$AO$1046,0),COLUMN()),"")</f>
        <v>0</v>
      </c>
      <c r="R21">
        <f>IFERROR(INDEX(装备库!$A$2:$Y$1047,MATCH(ROW()-1,装备库!$AO$2:$AO$1046,0),COLUMN()),"")</f>
        <v>1</v>
      </c>
      <c r="S21">
        <f>IFERROR(INDEX(装备库!$A$2:$Y$1047,MATCH(ROW()-1,装备库!$AO$2:$AO$1046,0),COLUMN()),"")</f>
        <v>0</v>
      </c>
      <c r="T21">
        <f>IFERROR(INDEX(装备库!$A$2:$Y$1047,MATCH(ROW()-1,装备库!$AO$2:$AO$1046,0),COLUMN()),"")</f>
        <v>0</v>
      </c>
      <c r="U21">
        <f>IFERROR(INDEX(装备库!$A$2:$Y$1047,MATCH(ROW()-1,装备库!$AO$2:$AO$1046,0),COLUMN()),"")</f>
        <v>0</v>
      </c>
      <c r="V21">
        <f>IFERROR(INDEX(装备库!$A$2:$Y$1047,MATCH(ROW()-1,装备库!$AO$2:$AO$1046,0),COLUMN()),"")</f>
        <v>0</v>
      </c>
      <c r="W21" t="str">
        <f>IFERROR(INDEX(装备库!$A$2:$Y$1047,MATCH(ROW()-1,装备库!$AO$2:$AO$1046,0),COLUMN()),"")</f>
        <v>精简攻会招</v>
      </c>
      <c r="X21">
        <f>IFERROR(INDEX(装备库!$A$2:$Y$1047,MATCH(ROW()-1,装备库!$AO$2:$AO$1046,0),COLUMN()),"")</f>
        <v>3</v>
      </c>
      <c r="Y21" t="str">
        <f>IFERROR(INDEX(装备库!$A$2:$Y$1047,MATCH(ROW()-1,装备库!$AO$2:$AO$1046,0),COLUMN()),"")</f>
        <v>活动</v>
      </c>
    </row>
    <row r="22" spans="1:25" x14ac:dyDescent="0.35">
      <c r="A22" t="str">
        <f>IFERROR(INDEX(装备库!$A$2:$Y$1047,MATCH(ROW()-1,装备库!$AO$2:$AO$1046,0),COLUMN()),"")</f>
        <v>暗器</v>
      </c>
      <c r="B22" t="str">
        <f>IFERROR(INDEX(装备库!$A$2:$Y$1047,MATCH(ROW()-1,装备库!$AO$2:$AO$1046,0),COLUMN()),"")</f>
        <v>无封囊</v>
      </c>
      <c r="C22">
        <f>IFERROR(INDEX(装备库!$A$2:$Y$1047,MATCH(ROW()-1,装备库!$AO$2:$AO$1046,0),COLUMN()),"")</f>
        <v>9700</v>
      </c>
      <c r="D22" t="str">
        <f>IFERROR(INDEX(装备库!$A$2:$Y$1047,MATCH(ROW()-1,装备库!$AO$2:$AO$1046,0),COLUMN()),"")</f>
        <v>无封囊(9700精简攻会会破)</v>
      </c>
      <c r="E22">
        <f>IFERROR(INDEX(装备库!$A$2:$Y$1047,MATCH(ROW()-1,装备库!$AO$2:$AO$1046,0),COLUMN()),"")</f>
        <v>0</v>
      </c>
      <c r="F22">
        <f>IFERROR(INDEX(装备库!$A$2:$Y$1047,MATCH(ROW()-1,装备库!$AO$2:$AO$1046,0),COLUMN()),"")</f>
        <v>1471</v>
      </c>
      <c r="G22">
        <f>IFERROR(INDEX(装备库!$A$2:$Y$1047,MATCH(ROW()-1,装备库!$AO$2:$AO$1046,0),COLUMN()),"")</f>
        <v>1699</v>
      </c>
      <c r="H22">
        <f>IFERROR(INDEX(装备库!$A$2:$Y$1047,MATCH(ROW()-1,装备库!$AO$2:$AO$1046,0),COLUMN()),"")</f>
        <v>1133</v>
      </c>
      <c r="I22">
        <f>IFERROR(INDEX(装备库!$A$2:$Y$1047,MATCH(ROW()-1,装备库!$AO$2:$AO$1046,0),COLUMN()),"")</f>
        <v>1586</v>
      </c>
      <c r="J22">
        <f>IFERROR(INDEX(装备库!$A$2:$Y$1047,MATCH(ROW()-1,装备库!$AO$2:$AO$1046,0),COLUMN()),"")</f>
        <v>0</v>
      </c>
      <c r="K22">
        <f>IFERROR(INDEX(装备库!$A$2:$Y$1047,MATCH(ROW()-1,装备库!$AO$2:$AO$1046,0),COLUMN()),"")</f>
        <v>0</v>
      </c>
      <c r="L22">
        <f>IFERROR(INDEX(装备库!$A$2:$Y$1047,MATCH(ROW()-1,装备库!$AO$2:$AO$1046,0),COLUMN()),"")</f>
        <v>0</v>
      </c>
      <c r="M22">
        <f>IFERROR(INDEX(装备库!$A$2:$Y$1047,MATCH(ROW()-1,装备库!$AO$2:$AO$1046,0),COLUMN()),"")</f>
        <v>0</v>
      </c>
      <c r="N22">
        <f>IFERROR(INDEX(装备库!$A$2:$Y$1047,MATCH(ROW()-1,装备库!$AO$2:$AO$1046,0),COLUMN()),"")</f>
        <v>0</v>
      </c>
      <c r="O22">
        <f>IFERROR(INDEX(装备库!$A$2:$Y$1047,MATCH(ROW()-1,装备库!$AO$2:$AO$1046,0),COLUMN()),"")</f>
        <v>0</v>
      </c>
      <c r="P22">
        <f>IFERROR(INDEX(装备库!$A$2:$Y$1047,MATCH(ROW()-1,装备库!$AO$2:$AO$1046,0),COLUMN()),"")</f>
        <v>0</v>
      </c>
      <c r="Q22">
        <f>IFERROR(INDEX(装备库!$A$2:$Y$1047,MATCH(ROW()-1,装备库!$AO$2:$AO$1046,0),COLUMN()),"")</f>
        <v>0</v>
      </c>
      <c r="R22">
        <f>IFERROR(INDEX(装备库!$A$2:$Y$1047,MATCH(ROW()-1,装备库!$AO$2:$AO$1046,0),COLUMN()),"")</f>
        <v>0</v>
      </c>
      <c r="S22">
        <f>IFERROR(INDEX(装备库!$A$2:$Y$1047,MATCH(ROW()-1,装备库!$AO$2:$AO$1046,0),COLUMN()),"")</f>
        <v>0</v>
      </c>
      <c r="T22">
        <f>IFERROR(INDEX(装备库!$A$2:$Y$1047,MATCH(ROW()-1,装备库!$AO$2:$AO$1046,0),COLUMN()),"")</f>
        <v>1</v>
      </c>
      <c r="U22">
        <f>IFERROR(INDEX(装备库!$A$2:$Y$1047,MATCH(ROW()-1,装备库!$AO$2:$AO$1046,0),COLUMN()),"")</f>
        <v>0</v>
      </c>
      <c r="V22">
        <f>IFERROR(INDEX(装备库!$A$2:$Y$1047,MATCH(ROW()-1,装备库!$AO$2:$AO$1046,0),COLUMN()),"")</f>
        <v>0</v>
      </c>
      <c r="W22" t="str">
        <f>IFERROR(INDEX(装备库!$A$2:$Y$1047,MATCH(ROW()-1,装备库!$AO$2:$AO$1046,0),COLUMN()),"")</f>
        <v>精简攻会会破</v>
      </c>
      <c r="X22">
        <f>IFERROR(INDEX(装备库!$A$2:$Y$1047,MATCH(ROW()-1,装备库!$AO$2:$AO$1046,0),COLUMN()),"")</f>
        <v>3</v>
      </c>
      <c r="Y22" t="str">
        <f>IFERROR(INDEX(装备库!$A$2:$Y$1047,MATCH(ROW()-1,装备库!$AO$2:$AO$1046,0),COLUMN()),"")</f>
        <v>活动</v>
      </c>
    </row>
    <row r="23" spans="1:25" x14ac:dyDescent="0.35">
      <c r="A23" t="str">
        <f>IFERROR(INDEX(装备库!$A$2:$Y$1047,MATCH(ROW()-1,装备库!$AO$2:$AO$1046,0),COLUMN()),"")</f>
        <v>暗器</v>
      </c>
      <c r="B23" t="str">
        <f>IFERROR(INDEX(装备库!$A$2:$Y$1047,MATCH(ROW()-1,装备库!$AO$2:$AO$1046,0),COLUMN()),"")</f>
        <v>羡双囊</v>
      </c>
      <c r="C23">
        <f>IFERROR(INDEX(装备库!$A$2:$Y$1047,MATCH(ROW()-1,装备库!$AO$2:$AO$1046,0),COLUMN()),"")</f>
        <v>10000</v>
      </c>
      <c r="D23" t="str">
        <f>IFERROR(INDEX(装备库!$A$2:$Y$1047,MATCH(ROW()-1,装备库!$AO$2:$AO$1046,0),COLUMN()),"")</f>
        <v>羡双囊(10000招无)</v>
      </c>
      <c r="E23">
        <f>IFERROR(INDEX(装备库!$A$2:$Y$1047,MATCH(ROW()-1,装备库!$AO$2:$AO$1046,0),COLUMN()),"")</f>
        <v>419</v>
      </c>
      <c r="F23">
        <f>IFERROR(INDEX(装备库!$A$2:$Y$1047,MATCH(ROW()-1,装备库!$AO$2:$AO$1046,0),COLUMN()),"")</f>
        <v>680</v>
      </c>
      <c r="G23">
        <f>IFERROR(INDEX(装备库!$A$2:$Y$1047,MATCH(ROW()-1,装备库!$AO$2:$AO$1046,0),COLUMN()),"")</f>
        <v>0</v>
      </c>
      <c r="H23">
        <f>IFERROR(INDEX(装备库!$A$2:$Y$1047,MATCH(ROW()-1,装备库!$AO$2:$AO$1046,0),COLUMN()),"")</f>
        <v>0</v>
      </c>
      <c r="I23">
        <f>IFERROR(INDEX(装备库!$A$2:$Y$1047,MATCH(ROW()-1,装备库!$AO$2:$AO$1046,0),COLUMN()),"")</f>
        <v>0</v>
      </c>
      <c r="J23">
        <f>IFERROR(INDEX(装备库!$A$2:$Y$1047,MATCH(ROW()-1,装备库!$AO$2:$AO$1046,0),COLUMN()),"")</f>
        <v>2102</v>
      </c>
      <c r="K23">
        <f>IFERROR(INDEX(装备库!$A$2:$Y$1047,MATCH(ROW()-1,装备库!$AO$2:$AO$1046,0),COLUMN()),"")</f>
        <v>1869</v>
      </c>
      <c r="L23">
        <f>IFERROR(INDEX(装备库!$A$2:$Y$1047,MATCH(ROW()-1,装备库!$AO$2:$AO$1046,0),COLUMN()),"")</f>
        <v>0</v>
      </c>
      <c r="M23">
        <f>IFERROR(INDEX(装备库!$A$2:$Y$1047,MATCH(ROW()-1,装备库!$AO$2:$AO$1046,0),COLUMN()),"")</f>
        <v>0</v>
      </c>
      <c r="N23">
        <f>IFERROR(INDEX(装备库!$A$2:$Y$1047,MATCH(ROW()-1,装备库!$AO$2:$AO$1046,0),COLUMN()),"")</f>
        <v>0</v>
      </c>
      <c r="O23">
        <f>IFERROR(INDEX(装备库!$A$2:$Y$1047,MATCH(ROW()-1,装备库!$AO$2:$AO$1046,0),COLUMN()),"")</f>
        <v>0</v>
      </c>
      <c r="P23">
        <f>IFERROR(INDEX(装备库!$A$2:$Y$1047,MATCH(ROW()-1,装备库!$AO$2:$AO$1046,0),COLUMN()),"")</f>
        <v>0</v>
      </c>
      <c r="Q23">
        <f>IFERROR(INDEX(装备库!$A$2:$Y$1047,MATCH(ROW()-1,装备库!$AO$2:$AO$1046,0),COLUMN()),"")</f>
        <v>0</v>
      </c>
      <c r="R23">
        <f>IFERROR(INDEX(装备库!$A$2:$Y$1047,MATCH(ROW()-1,装备库!$AO$2:$AO$1046,0),COLUMN()),"")</f>
        <v>0</v>
      </c>
      <c r="S23">
        <f>IFERROR(INDEX(装备库!$A$2:$Y$1047,MATCH(ROW()-1,装备库!$AO$2:$AO$1046,0),COLUMN()),"")</f>
        <v>0</v>
      </c>
      <c r="T23">
        <f>IFERROR(INDEX(装备库!$A$2:$Y$1047,MATCH(ROW()-1,装备库!$AO$2:$AO$1046,0),COLUMN()),"")</f>
        <v>0</v>
      </c>
      <c r="U23">
        <f>IFERROR(INDEX(装备库!$A$2:$Y$1047,MATCH(ROW()-1,装备库!$AO$2:$AO$1046,0),COLUMN()),"")</f>
        <v>1</v>
      </c>
      <c r="V23">
        <f>IFERROR(INDEX(装备库!$A$2:$Y$1047,MATCH(ROW()-1,装备库!$AO$2:$AO$1046,0),COLUMN()),"")</f>
        <v>0</v>
      </c>
      <c r="W23" t="str">
        <f>IFERROR(INDEX(装备库!$A$2:$Y$1047,MATCH(ROW()-1,装备库!$AO$2:$AO$1046,0),COLUMN()),"")</f>
        <v>招无</v>
      </c>
      <c r="X23">
        <f>IFERROR(INDEX(装备库!$A$2:$Y$1047,MATCH(ROW()-1,装备库!$AO$2:$AO$1046,0),COLUMN()),"")</f>
        <v>6</v>
      </c>
      <c r="Y23" t="str">
        <f>IFERROR(INDEX(装备库!$A$2:$Y$1047,MATCH(ROW()-1,装备库!$AO$2:$AO$1046,0),COLUMN()),"")</f>
        <v>副本</v>
      </c>
    </row>
    <row r="24" spans="1:25" x14ac:dyDescent="0.35">
      <c r="A24" t="str">
        <f>IFERROR(INDEX(装备库!$A$2:$Y$1047,MATCH(ROW()-1,装备库!$AO$2:$AO$1046,0),COLUMN()),"")</f>
        <v>暗器</v>
      </c>
      <c r="B24" t="str">
        <f>IFERROR(INDEX(装备库!$A$2:$Y$1047,MATCH(ROW()-1,装备库!$AO$2:$AO$1046,0),COLUMN()),"")</f>
        <v>重关囊</v>
      </c>
      <c r="C24">
        <f>IFERROR(INDEX(装备库!$A$2:$Y$1047,MATCH(ROW()-1,装备库!$AO$2:$AO$1046,0),COLUMN()),"")</f>
        <v>10000</v>
      </c>
      <c r="D24" t="str">
        <f>IFERROR(INDEX(装备库!$A$2:$Y$1047,MATCH(ROW()-1,装备库!$AO$2:$AO$1046,0),COLUMN()),"")</f>
        <v>重关囊(10000招破)</v>
      </c>
      <c r="E24">
        <f>IFERROR(INDEX(装备库!$A$2:$Y$1047,MATCH(ROW()-1,装备库!$AO$2:$AO$1046,0),COLUMN()),"")</f>
        <v>419</v>
      </c>
      <c r="F24">
        <f>IFERROR(INDEX(装备库!$A$2:$Y$1047,MATCH(ROW()-1,装备库!$AO$2:$AO$1046,0),COLUMN()),"")</f>
        <v>680</v>
      </c>
      <c r="G24">
        <f>IFERROR(INDEX(装备库!$A$2:$Y$1047,MATCH(ROW()-1,装备库!$AO$2:$AO$1046,0),COLUMN()),"")</f>
        <v>0</v>
      </c>
      <c r="H24">
        <f>IFERROR(INDEX(装备库!$A$2:$Y$1047,MATCH(ROW()-1,装备库!$AO$2:$AO$1046,0),COLUMN()),"")</f>
        <v>0</v>
      </c>
      <c r="I24">
        <f>IFERROR(INDEX(装备库!$A$2:$Y$1047,MATCH(ROW()-1,装备库!$AO$2:$AO$1046,0),COLUMN()),"")</f>
        <v>2102</v>
      </c>
      <c r="J24">
        <f>IFERROR(INDEX(装备库!$A$2:$Y$1047,MATCH(ROW()-1,装备库!$AO$2:$AO$1046,0),COLUMN()),"")</f>
        <v>1869</v>
      </c>
      <c r="K24">
        <f>IFERROR(INDEX(装备库!$A$2:$Y$1047,MATCH(ROW()-1,装备库!$AO$2:$AO$1046,0),COLUMN()),"")</f>
        <v>0</v>
      </c>
      <c r="L24">
        <f>IFERROR(INDEX(装备库!$A$2:$Y$1047,MATCH(ROW()-1,装备库!$AO$2:$AO$1046,0),COLUMN()),"")</f>
        <v>0</v>
      </c>
      <c r="M24">
        <f>IFERROR(INDEX(装备库!$A$2:$Y$1047,MATCH(ROW()-1,装备库!$AO$2:$AO$1046,0),COLUMN()),"")</f>
        <v>0</v>
      </c>
      <c r="N24">
        <f>IFERROR(INDEX(装备库!$A$2:$Y$1047,MATCH(ROW()-1,装备库!$AO$2:$AO$1046,0),COLUMN()),"")</f>
        <v>0</v>
      </c>
      <c r="O24">
        <f>IFERROR(INDEX(装备库!$A$2:$Y$1047,MATCH(ROW()-1,装备库!$AO$2:$AO$1046,0),COLUMN()),"")</f>
        <v>1</v>
      </c>
      <c r="P24">
        <f>IFERROR(INDEX(装备库!$A$2:$Y$1047,MATCH(ROW()-1,装备库!$AO$2:$AO$1046,0),COLUMN()),"")</f>
        <v>0</v>
      </c>
      <c r="Q24">
        <f>IFERROR(INDEX(装备库!$A$2:$Y$1047,MATCH(ROW()-1,装备库!$AO$2:$AO$1046,0),COLUMN()),"")</f>
        <v>0</v>
      </c>
      <c r="R24">
        <f>IFERROR(INDEX(装备库!$A$2:$Y$1047,MATCH(ROW()-1,装备库!$AO$2:$AO$1046,0),COLUMN()),"")</f>
        <v>0</v>
      </c>
      <c r="S24">
        <f>IFERROR(INDEX(装备库!$A$2:$Y$1047,MATCH(ROW()-1,装备库!$AO$2:$AO$1046,0),COLUMN()),"")</f>
        <v>0</v>
      </c>
      <c r="T24">
        <f>IFERROR(INDEX(装备库!$A$2:$Y$1047,MATCH(ROW()-1,装备库!$AO$2:$AO$1046,0),COLUMN()),"")</f>
        <v>0</v>
      </c>
      <c r="U24">
        <f>IFERROR(INDEX(装备库!$A$2:$Y$1047,MATCH(ROW()-1,装备库!$AO$2:$AO$1046,0),COLUMN()),"")</f>
        <v>0</v>
      </c>
      <c r="V24">
        <f>IFERROR(INDEX(装备库!$A$2:$Y$1047,MATCH(ROW()-1,装备库!$AO$2:$AO$1046,0),COLUMN()),"")</f>
        <v>0</v>
      </c>
      <c r="W24" t="str">
        <f>IFERROR(INDEX(装备库!$A$2:$Y$1047,MATCH(ROW()-1,装备库!$AO$2:$AO$1046,0),COLUMN()),"")</f>
        <v>招破</v>
      </c>
      <c r="X24">
        <f>IFERROR(INDEX(装备库!$A$2:$Y$1047,MATCH(ROW()-1,装备库!$AO$2:$AO$1046,0),COLUMN()),"")</f>
        <v>6</v>
      </c>
      <c r="Y24" t="str">
        <f>IFERROR(INDEX(装备库!$A$2:$Y$1047,MATCH(ROW()-1,装备库!$AO$2:$AO$1046,0),COLUMN()),"")</f>
        <v>副本</v>
      </c>
    </row>
    <row r="25" spans="1:25" x14ac:dyDescent="0.35">
      <c r="A25" t="str">
        <f>IFERROR(INDEX(装备库!$A$2:$Y$1047,MATCH(ROW()-1,装备库!$AO$2:$AO$1046,0),COLUMN()),"")</f>
        <v>暗器</v>
      </c>
      <c r="B25" t="str">
        <f>IFERROR(INDEX(装备库!$A$2:$Y$1047,MATCH(ROW()-1,装备库!$AO$2:$AO$1046,0),COLUMN()),"")</f>
        <v>曲郦囊</v>
      </c>
      <c r="C25">
        <f>IFERROR(INDEX(装备库!$A$2:$Y$1047,MATCH(ROW()-1,装备库!$AO$2:$AO$1046,0),COLUMN()),"")</f>
        <v>10000</v>
      </c>
      <c r="D25" t="str">
        <f>IFERROR(INDEX(装备库!$A$2:$Y$1047,MATCH(ROW()-1,装备库!$AO$2:$AO$1046,0),COLUMN()),"")</f>
        <v>曲郦囊(10000招破)</v>
      </c>
      <c r="E25">
        <f>IFERROR(INDEX(装备库!$A$2:$Y$1047,MATCH(ROW()-1,装备库!$AO$2:$AO$1046,0),COLUMN()),"")</f>
        <v>419</v>
      </c>
      <c r="F25">
        <f>IFERROR(INDEX(装备库!$A$2:$Y$1047,MATCH(ROW()-1,装备库!$AO$2:$AO$1046,0),COLUMN()),"")</f>
        <v>680</v>
      </c>
      <c r="G25">
        <f>IFERROR(INDEX(装备库!$A$2:$Y$1047,MATCH(ROW()-1,装备库!$AO$2:$AO$1046,0),COLUMN()),"")</f>
        <v>0</v>
      </c>
      <c r="H25">
        <f>IFERROR(INDEX(装备库!$A$2:$Y$1047,MATCH(ROW()-1,装备库!$AO$2:$AO$1046,0),COLUMN()),"")</f>
        <v>0</v>
      </c>
      <c r="I25">
        <f>IFERROR(INDEX(装备库!$A$2:$Y$1047,MATCH(ROW()-1,装备库!$AO$2:$AO$1046,0),COLUMN()),"")</f>
        <v>2102</v>
      </c>
      <c r="J25">
        <f>IFERROR(INDEX(装备库!$A$2:$Y$1047,MATCH(ROW()-1,装备库!$AO$2:$AO$1046,0),COLUMN()),"")</f>
        <v>1869</v>
      </c>
      <c r="K25">
        <f>IFERROR(INDEX(装备库!$A$2:$Y$1047,MATCH(ROW()-1,装备库!$AO$2:$AO$1046,0),COLUMN()),"")</f>
        <v>0</v>
      </c>
      <c r="L25">
        <f>IFERROR(INDEX(装备库!$A$2:$Y$1047,MATCH(ROW()-1,装备库!$AO$2:$AO$1046,0),COLUMN()),"")</f>
        <v>0</v>
      </c>
      <c r="M25">
        <f>IFERROR(INDEX(装备库!$A$2:$Y$1047,MATCH(ROW()-1,装备库!$AO$2:$AO$1046,0),COLUMN()),"")</f>
        <v>0</v>
      </c>
      <c r="N25">
        <f>IFERROR(INDEX(装备库!$A$2:$Y$1047,MATCH(ROW()-1,装备库!$AO$2:$AO$1046,0),COLUMN()),"")</f>
        <v>0</v>
      </c>
      <c r="O25">
        <f>IFERROR(INDEX(装备库!$A$2:$Y$1047,MATCH(ROW()-1,装备库!$AO$2:$AO$1046,0),COLUMN()),"")</f>
        <v>1</v>
      </c>
      <c r="P25">
        <f>IFERROR(INDEX(装备库!$A$2:$Y$1047,MATCH(ROW()-1,装备库!$AO$2:$AO$1046,0),COLUMN()),"")</f>
        <v>0</v>
      </c>
      <c r="Q25">
        <f>IFERROR(INDEX(装备库!$A$2:$Y$1047,MATCH(ROW()-1,装备库!$AO$2:$AO$1046,0),COLUMN()),"")</f>
        <v>0</v>
      </c>
      <c r="R25">
        <f>IFERROR(INDEX(装备库!$A$2:$Y$1047,MATCH(ROW()-1,装备库!$AO$2:$AO$1046,0),COLUMN()),"")</f>
        <v>0</v>
      </c>
      <c r="S25">
        <f>IFERROR(INDEX(装备库!$A$2:$Y$1047,MATCH(ROW()-1,装备库!$AO$2:$AO$1046,0),COLUMN()),"")</f>
        <v>0</v>
      </c>
      <c r="T25">
        <f>IFERROR(INDEX(装备库!$A$2:$Y$1047,MATCH(ROW()-1,装备库!$AO$2:$AO$1046,0),COLUMN()),"")</f>
        <v>0</v>
      </c>
      <c r="U25">
        <f>IFERROR(INDEX(装备库!$A$2:$Y$1047,MATCH(ROW()-1,装备库!$AO$2:$AO$1046,0),COLUMN()),"")</f>
        <v>0</v>
      </c>
      <c r="V25">
        <f>IFERROR(INDEX(装备库!$A$2:$Y$1047,MATCH(ROW()-1,装备库!$AO$2:$AO$1046,0),COLUMN()),"")</f>
        <v>0</v>
      </c>
      <c r="W25" t="str">
        <f>IFERROR(INDEX(装备库!$A$2:$Y$1047,MATCH(ROW()-1,装备库!$AO$2:$AO$1046,0),COLUMN()),"")</f>
        <v>招破</v>
      </c>
      <c r="X25">
        <f>IFERROR(INDEX(装备库!$A$2:$Y$1047,MATCH(ROW()-1,装备库!$AO$2:$AO$1046,0),COLUMN()),"")</f>
        <v>6</v>
      </c>
      <c r="Y25" t="str">
        <f>IFERROR(INDEX(装备库!$A$2:$Y$1047,MATCH(ROW()-1,装备库!$AO$2:$AO$1046,0),COLUMN()),"")</f>
        <v>副本</v>
      </c>
    </row>
    <row r="26" spans="1:25" x14ac:dyDescent="0.35">
      <c r="A26" t="str">
        <f>IFERROR(INDEX(装备库!$A$2:$Y$1047,MATCH(ROW()-1,装备库!$AO$2:$AO$1046,0),COLUMN()),"")</f>
        <v>暗器</v>
      </c>
      <c r="B26" t="str">
        <f>IFERROR(INDEX(装备库!$A$2:$Y$1047,MATCH(ROW()-1,装备库!$AO$2:$AO$1046,0),COLUMN()),"")</f>
        <v>项昌囊</v>
      </c>
      <c r="C26">
        <f>IFERROR(INDEX(装备库!$A$2:$Y$1047,MATCH(ROW()-1,装备库!$AO$2:$AO$1046,0),COLUMN()),"")</f>
        <v>10000</v>
      </c>
      <c r="D26" t="str">
        <f>IFERROR(INDEX(装备库!$A$2:$Y$1047,MATCH(ROW()-1,装备库!$AO$2:$AO$1046,0),COLUMN()),"")</f>
        <v>项昌囊(10000速无)</v>
      </c>
      <c r="E26">
        <f>IFERROR(INDEX(装备库!$A$2:$Y$1047,MATCH(ROW()-1,装备库!$AO$2:$AO$1046,0),COLUMN()),"")</f>
        <v>419</v>
      </c>
      <c r="F26">
        <f>IFERROR(INDEX(装备库!$A$2:$Y$1047,MATCH(ROW()-1,装备库!$AO$2:$AO$1046,0),COLUMN()),"")</f>
        <v>680</v>
      </c>
      <c r="G26">
        <f>IFERROR(INDEX(装备库!$A$2:$Y$1047,MATCH(ROW()-1,装备库!$AO$2:$AO$1046,0),COLUMN()),"")</f>
        <v>0</v>
      </c>
      <c r="H26">
        <f>IFERROR(INDEX(装备库!$A$2:$Y$1047,MATCH(ROW()-1,装备库!$AO$2:$AO$1046,0),COLUMN()),"")</f>
        <v>0</v>
      </c>
      <c r="I26">
        <f>IFERROR(INDEX(装备库!$A$2:$Y$1047,MATCH(ROW()-1,装备库!$AO$2:$AO$1046,0),COLUMN()),"")</f>
        <v>0</v>
      </c>
      <c r="J26">
        <f>IFERROR(INDEX(装备库!$A$2:$Y$1047,MATCH(ROW()-1,装备库!$AO$2:$AO$1046,0),COLUMN()),"")</f>
        <v>0</v>
      </c>
      <c r="K26">
        <f>IFERROR(INDEX(装备库!$A$2:$Y$1047,MATCH(ROW()-1,装备库!$AO$2:$AO$1046,0),COLUMN()),"")</f>
        <v>1869</v>
      </c>
      <c r="L26">
        <f>IFERROR(INDEX(装备库!$A$2:$Y$1047,MATCH(ROW()-1,装备库!$AO$2:$AO$1046,0),COLUMN()),"")</f>
        <v>2102</v>
      </c>
      <c r="M26">
        <f>IFERROR(INDEX(装备库!$A$2:$Y$1047,MATCH(ROW()-1,装备库!$AO$2:$AO$1046,0),COLUMN()),"")</f>
        <v>0</v>
      </c>
      <c r="N26">
        <f>IFERROR(INDEX(装备库!$A$2:$Y$1047,MATCH(ROW()-1,装备库!$AO$2:$AO$1046,0),COLUMN()),"")</f>
        <v>0</v>
      </c>
      <c r="O26">
        <f>IFERROR(INDEX(装备库!$A$2:$Y$1047,MATCH(ROW()-1,装备库!$AO$2:$AO$1046,0),COLUMN()),"")</f>
        <v>1</v>
      </c>
      <c r="P26">
        <f>IFERROR(INDEX(装备库!$A$2:$Y$1047,MATCH(ROW()-1,装备库!$AO$2:$AO$1046,0),COLUMN()),"")</f>
        <v>0</v>
      </c>
      <c r="Q26">
        <f>IFERROR(INDEX(装备库!$A$2:$Y$1047,MATCH(ROW()-1,装备库!$AO$2:$AO$1046,0),COLUMN()),"")</f>
        <v>0</v>
      </c>
      <c r="R26">
        <f>IFERROR(INDEX(装备库!$A$2:$Y$1047,MATCH(ROW()-1,装备库!$AO$2:$AO$1046,0),COLUMN()),"")</f>
        <v>0</v>
      </c>
      <c r="S26">
        <f>IFERROR(INDEX(装备库!$A$2:$Y$1047,MATCH(ROW()-1,装备库!$AO$2:$AO$1046,0),COLUMN()),"")</f>
        <v>0</v>
      </c>
      <c r="T26">
        <f>IFERROR(INDEX(装备库!$A$2:$Y$1047,MATCH(ROW()-1,装备库!$AO$2:$AO$1046,0),COLUMN()),"")</f>
        <v>0</v>
      </c>
      <c r="U26">
        <f>IFERROR(INDEX(装备库!$A$2:$Y$1047,MATCH(ROW()-1,装备库!$AO$2:$AO$1046,0),COLUMN()),"")</f>
        <v>0</v>
      </c>
      <c r="V26">
        <f>IFERROR(INDEX(装备库!$A$2:$Y$1047,MATCH(ROW()-1,装备库!$AO$2:$AO$1046,0),COLUMN()),"")</f>
        <v>0</v>
      </c>
      <c r="W26" t="str">
        <f>IFERROR(INDEX(装备库!$A$2:$Y$1047,MATCH(ROW()-1,装备库!$AO$2:$AO$1046,0),COLUMN()),"")</f>
        <v>速无</v>
      </c>
      <c r="X26">
        <f>IFERROR(INDEX(装备库!$A$2:$Y$1047,MATCH(ROW()-1,装备库!$AO$2:$AO$1046,0),COLUMN()),"")</f>
        <v>6</v>
      </c>
      <c r="Y26" t="str">
        <f>IFERROR(INDEX(装备库!$A$2:$Y$1047,MATCH(ROW()-1,装备库!$AO$2:$AO$1046,0),COLUMN()),"")</f>
        <v>副本</v>
      </c>
    </row>
    <row r="27" spans="1:25" x14ac:dyDescent="0.35">
      <c r="A27" t="str">
        <f>IFERROR(INDEX(装备库!$A$2:$Y$1047,MATCH(ROW()-1,装备库!$AO$2:$AO$1046,0),COLUMN()),"")</f>
        <v>暗器</v>
      </c>
      <c r="B27" t="str">
        <f>IFERROR(INDEX(装备库!$A$2:$Y$1047,MATCH(ROW()-1,装备库!$AO$2:$AO$1046,0),COLUMN()),"")</f>
        <v>垣翰囊</v>
      </c>
      <c r="C27">
        <f>IFERROR(INDEX(装备库!$A$2:$Y$1047,MATCH(ROW()-1,装备库!$AO$2:$AO$1046,0),COLUMN()),"")</f>
        <v>10000</v>
      </c>
      <c r="D27" t="str">
        <f>IFERROR(INDEX(装备库!$A$2:$Y$1047,MATCH(ROW()-1,装备库!$AO$2:$AO$1046,0),COLUMN()),"")</f>
        <v>垣翰囊(10000破无)</v>
      </c>
      <c r="E27">
        <f>IFERROR(INDEX(装备库!$A$2:$Y$1047,MATCH(ROW()-1,装备库!$AO$2:$AO$1046,0),COLUMN()),"")</f>
        <v>419</v>
      </c>
      <c r="F27">
        <f>IFERROR(INDEX(装备库!$A$2:$Y$1047,MATCH(ROW()-1,装备库!$AO$2:$AO$1046,0),COLUMN()),"")</f>
        <v>680</v>
      </c>
      <c r="G27">
        <f>IFERROR(INDEX(装备库!$A$2:$Y$1047,MATCH(ROW()-1,装备库!$AO$2:$AO$1046,0),COLUMN()),"")</f>
        <v>0</v>
      </c>
      <c r="H27">
        <f>IFERROR(INDEX(装备库!$A$2:$Y$1047,MATCH(ROW()-1,装备库!$AO$2:$AO$1046,0),COLUMN()),"")</f>
        <v>0</v>
      </c>
      <c r="I27">
        <f>IFERROR(INDEX(装备库!$A$2:$Y$1047,MATCH(ROW()-1,装备库!$AO$2:$AO$1046,0),COLUMN()),"")</f>
        <v>2102</v>
      </c>
      <c r="J27">
        <f>IFERROR(INDEX(装备库!$A$2:$Y$1047,MATCH(ROW()-1,装备库!$AO$2:$AO$1046,0),COLUMN()),"")</f>
        <v>0</v>
      </c>
      <c r="K27">
        <f>IFERROR(INDEX(装备库!$A$2:$Y$1047,MATCH(ROW()-1,装备库!$AO$2:$AO$1046,0),COLUMN()),"")</f>
        <v>1869</v>
      </c>
      <c r="L27">
        <f>IFERROR(INDEX(装备库!$A$2:$Y$1047,MATCH(ROW()-1,装备库!$AO$2:$AO$1046,0),COLUMN()),"")</f>
        <v>0</v>
      </c>
      <c r="M27">
        <f>IFERROR(INDEX(装备库!$A$2:$Y$1047,MATCH(ROW()-1,装备库!$AO$2:$AO$1046,0),COLUMN()),"")</f>
        <v>0</v>
      </c>
      <c r="N27">
        <f>IFERROR(INDEX(装备库!$A$2:$Y$1047,MATCH(ROW()-1,装备库!$AO$2:$AO$1046,0),COLUMN()),"")</f>
        <v>0</v>
      </c>
      <c r="O27">
        <f>IFERROR(INDEX(装备库!$A$2:$Y$1047,MATCH(ROW()-1,装备库!$AO$2:$AO$1046,0),COLUMN()),"")</f>
        <v>0</v>
      </c>
      <c r="P27">
        <f>IFERROR(INDEX(装备库!$A$2:$Y$1047,MATCH(ROW()-1,装备库!$AO$2:$AO$1046,0),COLUMN()),"")</f>
        <v>1</v>
      </c>
      <c r="Q27">
        <f>IFERROR(INDEX(装备库!$A$2:$Y$1047,MATCH(ROW()-1,装备库!$AO$2:$AO$1046,0),COLUMN()),"")</f>
        <v>0</v>
      </c>
      <c r="R27">
        <f>IFERROR(INDEX(装备库!$A$2:$Y$1047,MATCH(ROW()-1,装备库!$AO$2:$AO$1046,0),COLUMN()),"")</f>
        <v>0</v>
      </c>
      <c r="S27">
        <f>IFERROR(INDEX(装备库!$A$2:$Y$1047,MATCH(ROW()-1,装备库!$AO$2:$AO$1046,0),COLUMN()),"")</f>
        <v>0</v>
      </c>
      <c r="T27">
        <f>IFERROR(INDEX(装备库!$A$2:$Y$1047,MATCH(ROW()-1,装备库!$AO$2:$AO$1046,0),COLUMN()),"")</f>
        <v>0</v>
      </c>
      <c r="U27">
        <f>IFERROR(INDEX(装备库!$A$2:$Y$1047,MATCH(ROW()-1,装备库!$AO$2:$AO$1046,0),COLUMN()),"")</f>
        <v>0</v>
      </c>
      <c r="V27">
        <f>IFERROR(INDEX(装备库!$A$2:$Y$1047,MATCH(ROW()-1,装备库!$AO$2:$AO$1046,0),COLUMN()),"")</f>
        <v>0</v>
      </c>
      <c r="W27" t="str">
        <f>IFERROR(INDEX(装备库!$A$2:$Y$1047,MATCH(ROW()-1,装备库!$AO$2:$AO$1046,0),COLUMN()),"")</f>
        <v>破无</v>
      </c>
      <c r="X27">
        <f>IFERROR(INDEX(装备库!$A$2:$Y$1047,MATCH(ROW()-1,装备库!$AO$2:$AO$1046,0),COLUMN()),"")</f>
        <v>6</v>
      </c>
      <c r="Y27" t="str">
        <f>IFERROR(INDEX(装备库!$A$2:$Y$1047,MATCH(ROW()-1,装备库!$AO$2:$AO$1046,0),COLUMN()),"")</f>
        <v>副本</v>
      </c>
    </row>
    <row r="28" spans="1:25" x14ac:dyDescent="0.35">
      <c r="A28" t="str">
        <f>IFERROR(INDEX(装备库!$A$2:$Y$1047,MATCH(ROW()-1,装备库!$AO$2:$AO$1046,0),COLUMN()),"")</f>
        <v>暗器</v>
      </c>
      <c r="B28" t="str">
        <f>IFERROR(INDEX(装备库!$A$2:$Y$1047,MATCH(ROW()-1,装备库!$AO$2:$AO$1046,0),COLUMN()),"")</f>
        <v>拭江囊</v>
      </c>
      <c r="C28">
        <f>IFERROR(INDEX(装备库!$A$2:$Y$1047,MATCH(ROW()-1,装备库!$AO$2:$AO$1046,0),COLUMN()),"")</f>
        <v>10000</v>
      </c>
      <c r="D28" t="str">
        <f>IFERROR(INDEX(装备库!$A$2:$Y$1047,MATCH(ROW()-1,装备库!$AO$2:$AO$1046,0),COLUMN()),"")</f>
        <v>拭江囊(10000破无)</v>
      </c>
      <c r="E28">
        <f>IFERROR(INDEX(装备库!$A$2:$Y$1047,MATCH(ROW()-1,装备库!$AO$2:$AO$1046,0),COLUMN()),"")</f>
        <v>419</v>
      </c>
      <c r="F28">
        <f>IFERROR(INDEX(装备库!$A$2:$Y$1047,MATCH(ROW()-1,装备库!$AO$2:$AO$1046,0),COLUMN()),"")</f>
        <v>680</v>
      </c>
      <c r="G28">
        <f>IFERROR(INDEX(装备库!$A$2:$Y$1047,MATCH(ROW()-1,装备库!$AO$2:$AO$1046,0),COLUMN()),"")</f>
        <v>0</v>
      </c>
      <c r="H28">
        <f>IFERROR(INDEX(装备库!$A$2:$Y$1047,MATCH(ROW()-1,装备库!$AO$2:$AO$1046,0),COLUMN()),"")</f>
        <v>0</v>
      </c>
      <c r="I28">
        <f>IFERROR(INDEX(装备库!$A$2:$Y$1047,MATCH(ROW()-1,装备库!$AO$2:$AO$1046,0),COLUMN()),"")</f>
        <v>2102</v>
      </c>
      <c r="J28">
        <f>IFERROR(INDEX(装备库!$A$2:$Y$1047,MATCH(ROW()-1,装备库!$AO$2:$AO$1046,0),COLUMN()),"")</f>
        <v>0</v>
      </c>
      <c r="K28">
        <f>IFERROR(INDEX(装备库!$A$2:$Y$1047,MATCH(ROW()-1,装备库!$AO$2:$AO$1046,0),COLUMN()),"")</f>
        <v>1869</v>
      </c>
      <c r="L28">
        <f>IFERROR(INDEX(装备库!$A$2:$Y$1047,MATCH(ROW()-1,装备库!$AO$2:$AO$1046,0),COLUMN()),"")</f>
        <v>0</v>
      </c>
      <c r="M28">
        <f>IFERROR(INDEX(装备库!$A$2:$Y$1047,MATCH(ROW()-1,装备库!$AO$2:$AO$1046,0),COLUMN()),"")</f>
        <v>0</v>
      </c>
      <c r="N28">
        <f>IFERROR(INDEX(装备库!$A$2:$Y$1047,MATCH(ROW()-1,装备库!$AO$2:$AO$1046,0),COLUMN()),"")</f>
        <v>0</v>
      </c>
      <c r="O28">
        <f>IFERROR(INDEX(装备库!$A$2:$Y$1047,MATCH(ROW()-1,装备库!$AO$2:$AO$1046,0),COLUMN()),"")</f>
        <v>0</v>
      </c>
      <c r="P28">
        <f>IFERROR(INDEX(装备库!$A$2:$Y$1047,MATCH(ROW()-1,装备库!$AO$2:$AO$1046,0),COLUMN()),"")</f>
        <v>1</v>
      </c>
      <c r="Q28">
        <f>IFERROR(INDEX(装备库!$A$2:$Y$1047,MATCH(ROW()-1,装备库!$AO$2:$AO$1046,0),COLUMN()),"")</f>
        <v>0</v>
      </c>
      <c r="R28">
        <f>IFERROR(INDEX(装备库!$A$2:$Y$1047,MATCH(ROW()-1,装备库!$AO$2:$AO$1046,0),COLUMN()),"")</f>
        <v>0</v>
      </c>
      <c r="S28">
        <f>IFERROR(INDEX(装备库!$A$2:$Y$1047,MATCH(ROW()-1,装备库!$AO$2:$AO$1046,0),COLUMN()),"")</f>
        <v>0</v>
      </c>
      <c r="T28">
        <f>IFERROR(INDEX(装备库!$A$2:$Y$1047,MATCH(ROW()-1,装备库!$AO$2:$AO$1046,0),COLUMN()),"")</f>
        <v>0</v>
      </c>
      <c r="U28">
        <f>IFERROR(INDEX(装备库!$A$2:$Y$1047,MATCH(ROW()-1,装备库!$AO$2:$AO$1046,0),COLUMN()),"")</f>
        <v>0</v>
      </c>
      <c r="V28">
        <f>IFERROR(INDEX(装备库!$A$2:$Y$1047,MATCH(ROW()-1,装备库!$AO$2:$AO$1046,0),COLUMN()),"")</f>
        <v>0</v>
      </c>
      <c r="W28" t="str">
        <f>IFERROR(INDEX(装备库!$A$2:$Y$1047,MATCH(ROW()-1,装备库!$AO$2:$AO$1046,0),COLUMN()),"")</f>
        <v>破无</v>
      </c>
      <c r="X28">
        <f>IFERROR(INDEX(装备库!$A$2:$Y$1047,MATCH(ROW()-1,装备库!$AO$2:$AO$1046,0),COLUMN()),"")</f>
        <v>6</v>
      </c>
      <c r="Y28" t="str">
        <f>IFERROR(INDEX(装备库!$A$2:$Y$1047,MATCH(ROW()-1,装备库!$AO$2:$AO$1046,0),COLUMN()),"")</f>
        <v>副本</v>
      </c>
    </row>
    <row r="29" spans="1:25" x14ac:dyDescent="0.35">
      <c r="A29" t="str">
        <f>IFERROR(INDEX(装备库!$A$2:$Y$1047,MATCH(ROW()-1,装备库!$AO$2:$AO$1046,0),COLUMN()),"")</f>
        <v>暗器</v>
      </c>
      <c r="B29" t="str">
        <f>IFERROR(INDEX(装备库!$A$2:$Y$1047,MATCH(ROW()-1,装备库!$AO$2:$AO$1046,0),COLUMN()),"")</f>
        <v>忆敬囊</v>
      </c>
      <c r="C29">
        <f>IFERROR(INDEX(装备库!$A$2:$Y$1047,MATCH(ROW()-1,装备库!$AO$2:$AO$1046,0),COLUMN()),"")</f>
        <v>10000</v>
      </c>
      <c r="D29" t="str">
        <f>IFERROR(INDEX(装备库!$A$2:$Y$1047,MATCH(ROW()-1,装备库!$AO$2:$AO$1046,0),COLUMN()),"")</f>
        <v>忆敬囊(10000会招)</v>
      </c>
      <c r="E29">
        <f>IFERROR(INDEX(装备库!$A$2:$Y$1047,MATCH(ROW()-1,装备库!$AO$2:$AO$1046,0),COLUMN()),"")</f>
        <v>419</v>
      </c>
      <c r="F29">
        <f>IFERROR(INDEX(装备库!$A$2:$Y$1047,MATCH(ROW()-1,装备库!$AO$2:$AO$1046,0),COLUMN()),"")</f>
        <v>680</v>
      </c>
      <c r="G29">
        <f>IFERROR(INDEX(装备库!$A$2:$Y$1047,MATCH(ROW()-1,装备库!$AO$2:$AO$1046,0),COLUMN()),"")</f>
        <v>2102</v>
      </c>
      <c r="H29">
        <f>IFERROR(INDEX(装备库!$A$2:$Y$1047,MATCH(ROW()-1,装备库!$AO$2:$AO$1046,0),COLUMN()),"")</f>
        <v>0</v>
      </c>
      <c r="I29">
        <f>IFERROR(INDEX(装备库!$A$2:$Y$1047,MATCH(ROW()-1,装备库!$AO$2:$AO$1046,0),COLUMN()),"")</f>
        <v>0</v>
      </c>
      <c r="J29">
        <f>IFERROR(INDEX(装备库!$A$2:$Y$1047,MATCH(ROW()-1,装备库!$AO$2:$AO$1046,0),COLUMN()),"")</f>
        <v>1869</v>
      </c>
      <c r="K29">
        <f>IFERROR(INDEX(装备库!$A$2:$Y$1047,MATCH(ROW()-1,装备库!$AO$2:$AO$1046,0),COLUMN()),"")</f>
        <v>0</v>
      </c>
      <c r="L29">
        <f>IFERROR(INDEX(装备库!$A$2:$Y$1047,MATCH(ROW()-1,装备库!$AO$2:$AO$1046,0),COLUMN()),"")</f>
        <v>0</v>
      </c>
      <c r="M29">
        <f>IFERROR(INDEX(装备库!$A$2:$Y$1047,MATCH(ROW()-1,装备库!$AO$2:$AO$1046,0),COLUMN()),"")</f>
        <v>0</v>
      </c>
      <c r="N29">
        <f>IFERROR(INDEX(装备库!$A$2:$Y$1047,MATCH(ROW()-1,装备库!$AO$2:$AO$1046,0),COLUMN()),"")</f>
        <v>0</v>
      </c>
      <c r="O29">
        <f>IFERROR(INDEX(装备库!$A$2:$Y$1047,MATCH(ROW()-1,装备库!$AO$2:$AO$1046,0),COLUMN()),"")</f>
        <v>1</v>
      </c>
      <c r="P29">
        <f>IFERROR(INDEX(装备库!$A$2:$Y$1047,MATCH(ROW()-1,装备库!$AO$2:$AO$1046,0),COLUMN()),"")</f>
        <v>0</v>
      </c>
      <c r="Q29">
        <f>IFERROR(INDEX(装备库!$A$2:$Y$1047,MATCH(ROW()-1,装备库!$AO$2:$AO$1046,0),COLUMN()),"")</f>
        <v>0</v>
      </c>
      <c r="R29">
        <f>IFERROR(INDEX(装备库!$A$2:$Y$1047,MATCH(ROW()-1,装备库!$AO$2:$AO$1046,0),COLUMN()),"")</f>
        <v>0</v>
      </c>
      <c r="S29">
        <f>IFERROR(INDEX(装备库!$A$2:$Y$1047,MATCH(ROW()-1,装备库!$AO$2:$AO$1046,0),COLUMN()),"")</f>
        <v>0</v>
      </c>
      <c r="T29">
        <f>IFERROR(INDEX(装备库!$A$2:$Y$1047,MATCH(ROW()-1,装备库!$AO$2:$AO$1046,0),COLUMN()),"")</f>
        <v>0</v>
      </c>
      <c r="U29">
        <f>IFERROR(INDEX(装备库!$A$2:$Y$1047,MATCH(ROW()-1,装备库!$AO$2:$AO$1046,0),COLUMN()),"")</f>
        <v>0</v>
      </c>
      <c r="V29">
        <f>IFERROR(INDEX(装备库!$A$2:$Y$1047,MATCH(ROW()-1,装备库!$AO$2:$AO$1046,0),COLUMN()),"")</f>
        <v>0</v>
      </c>
      <c r="W29" t="str">
        <f>IFERROR(INDEX(装备库!$A$2:$Y$1047,MATCH(ROW()-1,装备库!$AO$2:$AO$1046,0),COLUMN()),"")</f>
        <v>会招</v>
      </c>
      <c r="X29">
        <f>IFERROR(INDEX(装备库!$A$2:$Y$1047,MATCH(ROW()-1,装备库!$AO$2:$AO$1046,0),COLUMN()),"")</f>
        <v>6</v>
      </c>
      <c r="Y29" t="str">
        <f>IFERROR(INDEX(装备库!$A$2:$Y$1047,MATCH(ROW()-1,装备库!$AO$2:$AO$1046,0),COLUMN()),"")</f>
        <v>副本</v>
      </c>
    </row>
    <row r="30" spans="1:25" x14ac:dyDescent="0.35">
      <c r="A30" t="str">
        <f>IFERROR(INDEX(装备库!$A$2:$Y$1047,MATCH(ROW()-1,装备库!$AO$2:$AO$1046,0),COLUMN()),"")</f>
        <v>暗器</v>
      </c>
      <c r="B30" t="str">
        <f>IFERROR(INDEX(装备库!$A$2:$Y$1047,MATCH(ROW()-1,装备库!$AO$2:$AO$1046,0),COLUMN()),"")</f>
        <v>宸风</v>
      </c>
      <c r="C30">
        <f>IFERROR(INDEX(装备库!$A$2:$Y$1047,MATCH(ROW()-1,装备库!$AO$2:$AO$1046,0),COLUMN()),"")</f>
        <v>10000</v>
      </c>
      <c r="D30" t="str">
        <f>IFERROR(INDEX(装备库!$A$2:$Y$1047,MATCH(ROW()-1,装备库!$AO$2:$AO$1046,0),COLUMN()),"")</f>
        <v>宸风(10000会无)</v>
      </c>
      <c r="E30">
        <f>IFERROR(INDEX(装备库!$A$2:$Y$1047,MATCH(ROW()-1,装备库!$AO$2:$AO$1046,0),COLUMN()),"")</f>
        <v>419</v>
      </c>
      <c r="F30">
        <f>IFERROR(INDEX(装备库!$A$2:$Y$1047,MATCH(ROW()-1,装备库!$AO$2:$AO$1046,0),COLUMN()),"")</f>
        <v>680</v>
      </c>
      <c r="G30">
        <f>IFERROR(INDEX(装备库!$A$2:$Y$1047,MATCH(ROW()-1,装备库!$AO$2:$AO$1046,0),COLUMN()),"")</f>
        <v>2102</v>
      </c>
      <c r="H30">
        <f>IFERROR(INDEX(装备库!$A$2:$Y$1047,MATCH(ROW()-1,装备库!$AO$2:$AO$1046,0),COLUMN()),"")</f>
        <v>0</v>
      </c>
      <c r="I30">
        <f>IFERROR(INDEX(装备库!$A$2:$Y$1047,MATCH(ROW()-1,装备库!$AO$2:$AO$1046,0),COLUMN()),"")</f>
        <v>0</v>
      </c>
      <c r="J30">
        <f>IFERROR(INDEX(装备库!$A$2:$Y$1047,MATCH(ROW()-1,装备库!$AO$2:$AO$1046,0),COLUMN()),"")</f>
        <v>0</v>
      </c>
      <c r="K30">
        <f>IFERROR(INDEX(装备库!$A$2:$Y$1047,MATCH(ROW()-1,装备库!$AO$2:$AO$1046,0),COLUMN()),"")</f>
        <v>1869</v>
      </c>
      <c r="L30">
        <f>IFERROR(INDEX(装备库!$A$2:$Y$1047,MATCH(ROW()-1,装备库!$AO$2:$AO$1046,0),COLUMN()),"")</f>
        <v>0</v>
      </c>
      <c r="M30">
        <f>IFERROR(INDEX(装备库!$A$2:$Y$1047,MATCH(ROW()-1,装备库!$AO$2:$AO$1046,0),COLUMN()),"")</f>
        <v>0</v>
      </c>
      <c r="N30">
        <f>IFERROR(INDEX(装备库!$A$2:$Y$1047,MATCH(ROW()-1,装备库!$AO$2:$AO$1046,0),COLUMN()),"")</f>
        <v>0</v>
      </c>
      <c r="O30">
        <f>IFERROR(INDEX(装备库!$A$2:$Y$1047,MATCH(ROW()-1,装备库!$AO$2:$AO$1046,0),COLUMN()),"")</f>
        <v>0</v>
      </c>
      <c r="P30">
        <f>IFERROR(INDEX(装备库!$A$2:$Y$1047,MATCH(ROW()-1,装备库!$AO$2:$AO$1046,0),COLUMN()),"")</f>
        <v>0</v>
      </c>
      <c r="Q30">
        <f>IFERROR(INDEX(装备库!$A$2:$Y$1047,MATCH(ROW()-1,装备库!$AO$2:$AO$1046,0),COLUMN()),"")</f>
        <v>1</v>
      </c>
      <c r="R30">
        <f>IFERROR(INDEX(装备库!$A$2:$Y$1047,MATCH(ROW()-1,装备库!$AO$2:$AO$1046,0),COLUMN()),"")</f>
        <v>0</v>
      </c>
      <c r="S30">
        <f>IFERROR(INDEX(装备库!$A$2:$Y$1047,MATCH(ROW()-1,装备库!$AO$2:$AO$1046,0),COLUMN()),"")</f>
        <v>0</v>
      </c>
      <c r="T30">
        <f>IFERROR(INDEX(装备库!$A$2:$Y$1047,MATCH(ROW()-1,装备库!$AO$2:$AO$1046,0),COLUMN()),"")</f>
        <v>0</v>
      </c>
      <c r="U30">
        <f>IFERROR(INDEX(装备库!$A$2:$Y$1047,MATCH(ROW()-1,装备库!$AO$2:$AO$1046,0),COLUMN()),"")</f>
        <v>0</v>
      </c>
      <c r="V30">
        <f>IFERROR(INDEX(装备库!$A$2:$Y$1047,MATCH(ROW()-1,装备库!$AO$2:$AO$1046,0),COLUMN()),"")</f>
        <v>0</v>
      </c>
      <c r="W30" t="str">
        <f>IFERROR(INDEX(装备库!$A$2:$Y$1047,MATCH(ROW()-1,装备库!$AO$2:$AO$1046,0),COLUMN()),"")</f>
        <v>会无</v>
      </c>
      <c r="X30">
        <f>IFERROR(INDEX(装备库!$A$2:$Y$1047,MATCH(ROW()-1,装备库!$AO$2:$AO$1046,0),COLUMN()),"")</f>
        <v>6</v>
      </c>
      <c r="Y30" t="str">
        <f>IFERROR(INDEX(装备库!$A$2:$Y$1047,MATCH(ROW()-1,装备库!$AO$2:$AO$1046,0),COLUMN()),"")</f>
        <v>副本</v>
      </c>
    </row>
    <row r="31" spans="1:25" x14ac:dyDescent="0.35">
      <c r="A31" t="str">
        <f>IFERROR(INDEX(装备库!$A$2:$Y$1047,MATCH(ROW()-1,装备库!$AO$2:$AO$1046,0),COLUMN()),"")</f>
        <v>暗器</v>
      </c>
      <c r="B31" t="str">
        <f>IFERROR(INDEX(装备库!$A$2:$Y$1047,MATCH(ROW()-1,装备库!$AO$2:$AO$1046,0),COLUMN()),"")</f>
        <v>沉龙荡波·淘浪囊</v>
      </c>
      <c r="C31">
        <f>IFERROR(INDEX(装备库!$A$2:$Y$1047,MATCH(ROW()-1,装备库!$AO$2:$AO$1046,0),COLUMN()),"")</f>
        <v>10000</v>
      </c>
      <c r="D31" t="str">
        <f>IFERROR(INDEX(装备库!$A$2:$Y$1047,MATCH(ROW()-1,装备库!$AO$2:$AO$1046,0),COLUMN()),"")</f>
        <v>沉龙荡波·淘浪囊(10000会无)</v>
      </c>
      <c r="E31">
        <f>IFERROR(INDEX(装备库!$A$2:$Y$1047,MATCH(ROW()-1,装备库!$AO$2:$AO$1046,0),COLUMN()),"")</f>
        <v>419</v>
      </c>
      <c r="F31">
        <f>IFERROR(INDEX(装备库!$A$2:$Y$1047,MATCH(ROW()-1,装备库!$AO$2:$AO$1046,0),COLUMN()),"")</f>
        <v>680</v>
      </c>
      <c r="G31">
        <f>IFERROR(INDEX(装备库!$A$2:$Y$1047,MATCH(ROW()-1,装备库!$AO$2:$AO$1046,0),COLUMN()),"")</f>
        <v>2102</v>
      </c>
      <c r="H31">
        <f>IFERROR(INDEX(装备库!$A$2:$Y$1047,MATCH(ROW()-1,装备库!$AO$2:$AO$1046,0),COLUMN()),"")</f>
        <v>0</v>
      </c>
      <c r="I31">
        <f>IFERROR(INDEX(装备库!$A$2:$Y$1047,MATCH(ROW()-1,装备库!$AO$2:$AO$1046,0),COLUMN()),"")</f>
        <v>0</v>
      </c>
      <c r="J31">
        <f>IFERROR(INDEX(装备库!$A$2:$Y$1047,MATCH(ROW()-1,装备库!$AO$2:$AO$1046,0),COLUMN()),"")</f>
        <v>0</v>
      </c>
      <c r="K31">
        <f>IFERROR(INDEX(装备库!$A$2:$Y$1047,MATCH(ROW()-1,装备库!$AO$2:$AO$1046,0),COLUMN()),"")</f>
        <v>1869</v>
      </c>
      <c r="L31">
        <f>IFERROR(INDEX(装备库!$A$2:$Y$1047,MATCH(ROW()-1,装备库!$AO$2:$AO$1046,0),COLUMN()),"")</f>
        <v>0</v>
      </c>
      <c r="M31">
        <f>IFERROR(INDEX(装备库!$A$2:$Y$1047,MATCH(ROW()-1,装备库!$AO$2:$AO$1046,0),COLUMN()),"")</f>
        <v>0</v>
      </c>
      <c r="N31">
        <f>IFERROR(INDEX(装备库!$A$2:$Y$1047,MATCH(ROW()-1,装备库!$AO$2:$AO$1046,0),COLUMN()),"")</f>
        <v>0</v>
      </c>
      <c r="O31">
        <f>IFERROR(INDEX(装备库!$A$2:$Y$1047,MATCH(ROW()-1,装备库!$AO$2:$AO$1046,0),COLUMN()),"")</f>
        <v>0</v>
      </c>
      <c r="P31">
        <f>IFERROR(INDEX(装备库!$A$2:$Y$1047,MATCH(ROW()-1,装备库!$AO$2:$AO$1046,0),COLUMN()),"")</f>
        <v>0</v>
      </c>
      <c r="Q31">
        <f>IFERROR(INDEX(装备库!$A$2:$Y$1047,MATCH(ROW()-1,装备库!$AO$2:$AO$1046,0),COLUMN()),"")</f>
        <v>1</v>
      </c>
      <c r="R31">
        <f>IFERROR(INDEX(装备库!$A$2:$Y$1047,MATCH(ROW()-1,装备库!$AO$2:$AO$1046,0),COLUMN()),"")</f>
        <v>0</v>
      </c>
      <c r="S31">
        <f>IFERROR(INDEX(装备库!$A$2:$Y$1047,MATCH(ROW()-1,装备库!$AO$2:$AO$1046,0),COLUMN()),"")</f>
        <v>0</v>
      </c>
      <c r="T31">
        <f>IFERROR(INDEX(装备库!$A$2:$Y$1047,MATCH(ROW()-1,装备库!$AO$2:$AO$1046,0),COLUMN()),"")</f>
        <v>0</v>
      </c>
      <c r="U31">
        <f>IFERROR(INDEX(装备库!$A$2:$Y$1047,MATCH(ROW()-1,装备库!$AO$2:$AO$1046,0),COLUMN()),"")</f>
        <v>0</v>
      </c>
      <c r="V31">
        <f>IFERROR(INDEX(装备库!$A$2:$Y$1047,MATCH(ROW()-1,装备库!$AO$2:$AO$1046,0),COLUMN()),"")</f>
        <v>0</v>
      </c>
      <c r="W31" t="str">
        <f>IFERROR(INDEX(装备库!$A$2:$Y$1047,MATCH(ROW()-1,装备库!$AO$2:$AO$1046,0),COLUMN()),"")</f>
        <v>会无</v>
      </c>
      <c r="X31">
        <f>IFERROR(INDEX(装备库!$A$2:$Y$1047,MATCH(ROW()-1,装备库!$AO$2:$AO$1046,0),COLUMN()),"")</f>
        <v>6</v>
      </c>
      <c r="Y31" t="str">
        <f>IFERROR(INDEX(装备库!$A$2:$Y$1047,MATCH(ROW()-1,装备库!$AO$2:$AO$1046,0),COLUMN()),"")</f>
        <v>飞沙令</v>
      </c>
    </row>
    <row r="32" spans="1:25" x14ac:dyDescent="0.35">
      <c r="A32" t="str">
        <f>IFERROR(INDEX(装备库!$A$2:$Y$1047,MATCH(ROW()-1,装备库!$AO$2:$AO$1046,0),COLUMN()),"")</f>
        <v>暗器</v>
      </c>
      <c r="B32" t="str">
        <f>IFERROR(INDEX(装备库!$A$2:$Y$1047,MATCH(ROW()-1,装备库!$AO$2:$AO$1046,0),COLUMN()),"")</f>
        <v>无封囊</v>
      </c>
      <c r="C32">
        <f>IFERROR(INDEX(装备库!$A$2:$Y$1047,MATCH(ROW()-1,装备库!$AO$2:$AO$1046,0),COLUMN()),"")</f>
        <v>10000</v>
      </c>
      <c r="D32" t="str">
        <f>IFERROR(INDEX(装备库!$A$2:$Y$1047,MATCH(ROW()-1,装备库!$AO$2:$AO$1046,0),COLUMN()),"")</f>
        <v>无封囊(10000精简攻破)</v>
      </c>
      <c r="E32">
        <f>IFERROR(INDEX(装备库!$A$2:$Y$1047,MATCH(ROW()-1,装备库!$AO$2:$AO$1046,0),COLUMN()),"")</f>
        <v>0</v>
      </c>
      <c r="F32">
        <f>IFERROR(INDEX(装备库!$A$2:$Y$1047,MATCH(ROW()-1,装备库!$AO$2:$AO$1046,0),COLUMN()),"")</f>
        <v>1778</v>
      </c>
      <c r="G32">
        <f>IFERROR(INDEX(装备库!$A$2:$Y$1047,MATCH(ROW()-1,装备库!$AO$2:$AO$1046,0),COLUMN()),"")</f>
        <v>0</v>
      </c>
      <c r="H32">
        <f>IFERROR(INDEX(装备库!$A$2:$Y$1047,MATCH(ROW()-1,装备库!$AO$2:$AO$1046,0),COLUMN()),"")</f>
        <v>0</v>
      </c>
      <c r="I32">
        <f>IFERROR(INDEX(装备库!$A$2:$Y$1047,MATCH(ROW()-1,装备库!$AO$2:$AO$1046,0),COLUMN()),"")</f>
        <v>4029</v>
      </c>
      <c r="J32">
        <f>IFERROR(INDEX(装备库!$A$2:$Y$1047,MATCH(ROW()-1,装备库!$AO$2:$AO$1046,0),COLUMN()),"")</f>
        <v>0</v>
      </c>
      <c r="K32">
        <f>IFERROR(INDEX(装备库!$A$2:$Y$1047,MATCH(ROW()-1,装备库!$AO$2:$AO$1046,0),COLUMN()),"")</f>
        <v>0</v>
      </c>
      <c r="L32">
        <f>IFERROR(INDEX(装备库!$A$2:$Y$1047,MATCH(ROW()-1,装备库!$AO$2:$AO$1046,0),COLUMN()),"")</f>
        <v>0</v>
      </c>
      <c r="M32">
        <f>IFERROR(INDEX(装备库!$A$2:$Y$1047,MATCH(ROW()-1,装备库!$AO$2:$AO$1046,0),COLUMN()),"")</f>
        <v>0</v>
      </c>
      <c r="N32">
        <f>IFERROR(INDEX(装备库!$A$2:$Y$1047,MATCH(ROW()-1,装备库!$AO$2:$AO$1046,0),COLUMN()),"")</f>
        <v>0</v>
      </c>
      <c r="O32">
        <f>IFERROR(INDEX(装备库!$A$2:$Y$1047,MATCH(ROW()-1,装备库!$AO$2:$AO$1046,0),COLUMN()),"")</f>
        <v>0</v>
      </c>
      <c r="P32">
        <f>IFERROR(INDEX(装备库!$A$2:$Y$1047,MATCH(ROW()-1,装备库!$AO$2:$AO$1046,0),COLUMN()),"")</f>
        <v>0</v>
      </c>
      <c r="Q32">
        <f>IFERROR(INDEX(装备库!$A$2:$Y$1047,MATCH(ROW()-1,装备库!$AO$2:$AO$1046,0),COLUMN()),"")</f>
        <v>0</v>
      </c>
      <c r="R32">
        <f>IFERROR(INDEX(装备库!$A$2:$Y$1047,MATCH(ROW()-1,装备库!$AO$2:$AO$1046,0),COLUMN()),"")</f>
        <v>0</v>
      </c>
      <c r="S32">
        <f>IFERROR(INDEX(装备库!$A$2:$Y$1047,MATCH(ROW()-1,装备库!$AO$2:$AO$1046,0),COLUMN()),"")</f>
        <v>0</v>
      </c>
      <c r="T32">
        <f>IFERROR(INDEX(装备库!$A$2:$Y$1047,MATCH(ROW()-1,装备库!$AO$2:$AO$1046,0),COLUMN()),"")</f>
        <v>1</v>
      </c>
      <c r="U32">
        <f>IFERROR(INDEX(装备库!$A$2:$Y$1047,MATCH(ROW()-1,装备库!$AO$2:$AO$1046,0),COLUMN()),"")</f>
        <v>0</v>
      </c>
      <c r="V32">
        <f>IFERROR(INDEX(装备库!$A$2:$Y$1047,MATCH(ROW()-1,装备库!$AO$2:$AO$1046,0),COLUMN()),"")</f>
        <v>0</v>
      </c>
      <c r="W32" t="str">
        <f>IFERROR(INDEX(装备库!$A$2:$Y$1047,MATCH(ROW()-1,装备库!$AO$2:$AO$1046,0),COLUMN()),"")</f>
        <v>精简攻破</v>
      </c>
      <c r="X32">
        <f>IFERROR(INDEX(装备库!$A$2:$Y$1047,MATCH(ROW()-1,装备库!$AO$2:$AO$1046,0),COLUMN()),"")</f>
        <v>3</v>
      </c>
      <c r="Y32" t="str">
        <f>IFERROR(INDEX(装备库!$A$2:$Y$1047,MATCH(ROW()-1,装备库!$AO$2:$AO$1046,0),COLUMN()),"")</f>
        <v>活动</v>
      </c>
    </row>
    <row r="33" spans="1:25" x14ac:dyDescent="0.35">
      <c r="A33" t="str">
        <f>IFERROR(INDEX(装备库!$A$2:$Y$1047,MATCH(ROW()-1,装备库!$AO$2:$AO$1046,0),COLUMN()),"")</f>
        <v>暗器</v>
      </c>
      <c r="B33" t="str">
        <f>IFERROR(INDEX(装备库!$A$2:$Y$1047,MATCH(ROW()-1,装备库!$AO$2:$AO$1046,0),COLUMN()),"")</f>
        <v>无封囊</v>
      </c>
      <c r="C33">
        <f>IFERROR(INDEX(装备库!$A$2:$Y$1047,MATCH(ROW()-1,装备库!$AO$2:$AO$1046,0),COLUMN()),"")</f>
        <v>10000</v>
      </c>
      <c r="D33" t="str">
        <f>IFERROR(INDEX(装备库!$A$2:$Y$1047,MATCH(ROW()-1,装备库!$AO$2:$AO$1046,0),COLUMN()),"")</f>
        <v>无封囊(10000精简攻会会招)</v>
      </c>
      <c r="E33">
        <f>IFERROR(INDEX(装备库!$A$2:$Y$1047,MATCH(ROW()-1,装备库!$AO$2:$AO$1046,0),COLUMN()),"")</f>
        <v>0</v>
      </c>
      <c r="F33">
        <f>IFERROR(INDEX(装备库!$A$2:$Y$1047,MATCH(ROW()-1,装备库!$AO$2:$AO$1046,0),COLUMN()),"")</f>
        <v>1516</v>
      </c>
      <c r="G33">
        <f>IFERROR(INDEX(装备库!$A$2:$Y$1047,MATCH(ROW()-1,装备库!$AO$2:$AO$1046,0),COLUMN()),"")</f>
        <v>2219</v>
      </c>
      <c r="H33">
        <f>IFERROR(INDEX(装备库!$A$2:$Y$1047,MATCH(ROW()-1,装备库!$AO$2:$AO$1046,0),COLUMN()),"")</f>
        <v>1168</v>
      </c>
      <c r="I33">
        <f>IFERROR(INDEX(装备库!$A$2:$Y$1047,MATCH(ROW()-1,装备库!$AO$2:$AO$1046,0),COLUMN()),"")</f>
        <v>0</v>
      </c>
      <c r="J33">
        <f>IFERROR(INDEX(装备库!$A$2:$Y$1047,MATCH(ROW()-1,装备库!$AO$2:$AO$1046,0),COLUMN()),"")</f>
        <v>1168</v>
      </c>
      <c r="K33">
        <f>IFERROR(INDEX(装备库!$A$2:$Y$1047,MATCH(ROW()-1,装备库!$AO$2:$AO$1046,0),COLUMN()),"")</f>
        <v>0</v>
      </c>
      <c r="L33">
        <f>IFERROR(INDEX(装备库!$A$2:$Y$1047,MATCH(ROW()-1,装备库!$AO$2:$AO$1046,0),COLUMN()),"")</f>
        <v>0</v>
      </c>
      <c r="M33">
        <f>IFERROR(INDEX(装备库!$A$2:$Y$1047,MATCH(ROW()-1,装备库!$AO$2:$AO$1046,0),COLUMN()),"")</f>
        <v>0</v>
      </c>
      <c r="N33">
        <f>IFERROR(INDEX(装备库!$A$2:$Y$1047,MATCH(ROW()-1,装备库!$AO$2:$AO$1046,0),COLUMN()),"")</f>
        <v>0</v>
      </c>
      <c r="O33">
        <f>IFERROR(INDEX(装备库!$A$2:$Y$1047,MATCH(ROW()-1,装备库!$AO$2:$AO$1046,0),COLUMN()),"")</f>
        <v>0</v>
      </c>
      <c r="P33">
        <f>IFERROR(INDEX(装备库!$A$2:$Y$1047,MATCH(ROW()-1,装备库!$AO$2:$AO$1046,0),COLUMN()),"")</f>
        <v>0</v>
      </c>
      <c r="Q33">
        <f>IFERROR(INDEX(装备库!$A$2:$Y$1047,MATCH(ROW()-1,装备库!$AO$2:$AO$1046,0),COLUMN()),"")</f>
        <v>0</v>
      </c>
      <c r="R33">
        <f>IFERROR(INDEX(装备库!$A$2:$Y$1047,MATCH(ROW()-1,装备库!$AO$2:$AO$1046,0),COLUMN()),"")</f>
        <v>0</v>
      </c>
      <c r="S33">
        <f>IFERROR(INDEX(装备库!$A$2:$Y$1047,MATCH(ROW()-1,装备库!$AO$2:$AO$1046,0),COLUMN()),"")</f>
        <v>1</v>
      </c>
      <c r="T33">
        <f>IFERROR(INDEX(装备库!$A$2:$Y$1047,MATCH(ROW()-1,装备库!$AO$2:$AO$1046,0),COLUMN()),"")</f>
        <v>0</v>
      </c>
      <c r="U33">
        <f>IFERROR(INDEX(装备库!$A$2:$Y$1047,MATCH(ROW()-1,装备库!$AO$2:$AO$1046,0),COLUMN()),"")</f>
        <v>0</v>
      </c>
      <c r="V33">
        <f>IFERROR(INDEX(装备库!$A$2:$Y$1047,MATCH(ROW()-1,装备库!$AO$2:$AO$1046,0),COLUMN()),"")</f>
        <v>0</v>
      </c>
      <c r="W33" t="str">
        <f>IFERROR(INDEX(装备库!$A$2:$Y$1047,MATCH(ROW()-1,装备库!$AO$2:$AO$1046,0),COLUMN()),"")</f>
        <v>精简攻会会招</v>
      </c>
      <c r="X33">
        <f>IFERROR(INDEX(装备库!$A$2:$Y$1047,MATCH(ROW()-1,装备库!$AO$2:$AO$1046,0),COLUMN()),"")</f>
        <v>3</v>
      </c>
      <c r="Y33" t="str">
        <f>IFERROR(INDEX(装备库!$A$2:$Y$1047,MATCH(ROW()-1,装备库!$AO$2:$AO$1046,0),COLUMN()),"")</f>
        <v>活动</v>
      </c>
    </row>
    <row r="34" spans="1:25" x14ac:dyDescent="0.35">
      <c r="A34" t="str">
        <f>IFERROR(INDEX(装备库!$A$2:$Y$1047,MATCH(ROW()-1,装备库!$AO$2:$AO$1046,0),COLUMN()),"")</f>
        <v>暗器</v>
      </c>
      <c r="B34" t="str">
        <f>IFERROR(INDEX(装备库!$A$2:$Y$1047,MATCH(ROW()-1,装备库!$AO$2:$AO$1046,0),COLUMN()),"")</f>
        <v>无封囊</v>
      </c>
      <c r="C34">
        <f>IFERROR(INDEX(装备库!$A$2:$Y$1047,MATCH(ROW()-1,装备库!$AO$2:$AO$1046,0),COLUMN()),"")</f>
        <v>10000</v>
      </c>
      <c r="D34" t="str">
        <f>IFERROR(INDEX(装备库!$A$2:$Y$1047,MATCH(ROW()-1,装备库!$AO$2:$AO$1046,0),COLUMN()),"")</f>
        <v>无封囊(10000精简攻会会)</v>
      </c>
      <c r="E34">
        <f>IFERROR(INDEX(装备库!$A$2:$Y$1047,MATCH(ROW()-1,装备库!$AO$2:$AO$1046,0),COLUMN()),"")</f>
        <v>0</v>
      </c>
      <c r="F34">
        <f>IFERROR(INDEX(装备库!$A$2:$Y$1047,MATCH(ROW()-1,装备库!$AO$2:$AO$1046,0),COLUMN()),"")</f>
        <v>1516</v>
      </c>
      <c r="G34">
        <f>IFERROR(INDEX(装备库!$A$2:$Y$1047,MATCH(ROW()-1,装备库!$AO$2:$AO$1046,0),COLUMN()),"")</f>
        <v>2803</v>
      </c>
      <c r="H34">
        <f>IFERROR(INDEX(装备库!$A$2:$Y$1047,MATCH(ROW()-1,装备库!$AO$2:$AO$1046,0),COLUMN()),"")</f>
        <v>1752</v>
      </c>
      <c r="I34">
        <f>IFERROR(INDEX(装备库!$A$2:$Y$1047,MATCH(ROW()-1,装备库!$AO$2:$AO$1046,0),COLUMN()),"")</f>
        <v>0</v>
      </c>
      <c r="J34">
        <f>IFERROR(INDEX(装备库!$A$2:$Y$1047,MATCH(ROW()-1,装备库!$AO$2:$AO$1046,0),COLUMN()),"")</f>
        <v>0</v>
      </c>
      <c r="K34">
        <f>IFERROR(INDEX(装备库!$A$2:$Y$1047,MATCH(ROW()-1,装备库!$AO$2:$AO$1046,0),COLUMN()),"")</f>
        <v>0</v>
      </c>
      <c r="L34">
        <f>IFERROR(INDEX(装备库!$A$2:$Y$1047,MATCH(ROW()-1,装备库!$AO$2:$AO$1046,0),COLUMN()),"")</f>
        <v>0</v>
      </c>
      <c r="M34">
        <f>IFERROR(INDEX(装备库!$A$2:$Y$1047,MATCH(ROW()-1,装备库!$AO$2:$AO$1046,0),COLUMN()),"")</f>
        <v>0</v>
      </c>
      <c r="N34">
        <f>IFERROR(INDEX(装备库!$A$2:$Y$1047,MATCH(ROW()-1,装备库!$AO$2:$AO$1046,0),COLUMN()),"")</f>
        <v>0</v>
      </c>
      <c r="O34">
        <f>IFERROR(INDEX(装备库!$A$2:$Y$1047,MATCH(ROW()-1,装备库!$AO$2:$AO$1046,0),COLUMN()),"")</f>
        <v>0</v>
      </c>
      <c r="P34">
        <f>IFERROR(INDEX(装备库!$A$2:$Y$1047,MATCH(ROW()-1,装备库!$AO$2:$AO$1046,0),COLUMN()),"")</f>
        <v>0</v>
      </c>
      <c r="Q34">
        <f>IFERROR(INDEX(装备库!$A$2:$Y$1047,MATCH(ROW()-1,装备库!$AO$2:$AO$1046,0),COLUMN()),"")</f>
        <v>0</v>
      </c>
      <c r="R34">
        <f>IFERROR(INDEX(装备库!$A$2:$Y$1047,MATCH(ROW()-1,装备库!$AO$2:$AO$1046,0),COLUMN()),"")</f>
        <v>0</v>
      </c>
      <c r="S34">
        <f>IFERROR(INDEX(装备库!$A$2:$Y$1047,MATCH(ROW()-1,装备库!$AO$2:$AO$1046,0),COLUMN()),"")</f>
        <v>1</v>
      </c>
      <c r="T34">
        <f>IFERROR(INDEX(装备库!$A$2:$Y$1047,MATCH(ROW()-1,装备库!$AO$2:$AO$1046,0),COLUMN()),"")</f>
        <v>0</v>
      </c>
      <c r="U34">
        <f>IFERROR(INDEX(装备库!$A$2:$Y$1047,MATCH(ROW()-1,装备库!$AO$2:$AO$1046,0),COLUMN()),"")</f>
        <v>0</v>
      </c>
      <c r="V34">
        <f>IFERROR(INDEX(装备库!$A$2:$Y$1047,MATCH(ROW()-1,装备库!$AO$2:$AO$1046,0),COLUMN()),"")</f>
        <v>0</v>
      </c>
      <c r="W34" t="str">
        <f>IFERROR(INDEX(装备库!$A$2:$Y$1047,MATCH(ROW()-1,装备库!$AO$2:$AO$1046,0),COLUMN()),"")</f>
        <v>精简攻会会</v>
      </c>
      <c r="X34">
        <f>IFERROR(INDEX(装备库!$A$2:$Y$1047,MATCH(ROW()-1,装备库!$AO$2:$AO$1046,0),COLUMN()),"")</f>
        <v>3</v>
      </c>
      <c r="Y34" t="str">
        <f>IFERROR(INDEX(装备库!$A$2:$Y$1047,MATCH(ROW()-1,装备库!$AO$2:$AO$1046,0),COLUMN()),"")</f>
        <v>活动</v>
      </c>
    </row>
    <row r="35" spans="1:25" x14ac:dyDescent="0.35">
      <c r="A35" t="str">
        <f>IFERROR(INDEX(装备库!$A$2:$Y$1047,MATCH(ROW()-1,装备库!$AO$2:$AO$1046,0),COLUMN()),"")</f>
        <v>暗器</v>
      </c>
      <c r="B35" t="str">
        <f>IFERROR(INDEX(装备库!$A$2:$Y$1047,MATCH(ROW()-1,装备库!$AO$2:$AO$1046,0),COLUMN()),"")</f>
        <v>静山囊</v>
      </c>
      <c r="C35">
        <f>IFERROR(INDEX(装备库!$A$2:$Y$1047,MATCH(ROW()-1,装备库!$AO$2:$AO$1046,0),COLUMN()),"")</f>
        <v>10100</v>
      </c>
      <c r="D35" t="str">
        <f>IFERROR(INDEX(装备库!$A$2:$Y$1047,MATCH(ROW()-1,装备库!$AO$2:$AO$1046,0),COLUMN()),"")</f>
        <v>静山囊(10100破无)</v>
      </c>
      <c r="E35">
        <f>IFERROR(INDEX(装备库!$A$2:$Y$1047,MATCH(ROW()-1,装备库!$AO$2:$AO$1046,0),COLUMN()),"")</f>
        <v>423</v>
      </c>
      <c r="F35">
        <f>IFERROR(INDEX(装备库!$A$2:$Y$1047,MATCH(ROW()-1,装备库!$AO$2:$AO$1046,0),COLUMN()),"")</f>
        <v>686</v>
      </c>
      <c r="G35">
        <f>IFERROR(INDEX(装备库!$A$2:$Y$1047,MATCH(ROW()-1,装备库!$AO$2:$AO$1046,0),COLUMN()),"")</f>
        <v>0</v>
      </c>
      <c r="H35">
        <f>IFERROR(INDEX(装备库!$A$2:$Y$1047,MATCH(ROW()-1,装备库!$AO$2:$AO$1046,0),COLUMN()),"")</f>
        <v>0</v>
      </c>
      <c r="I35">
        <f>IFERROR(INDEX(装备库!$A$2:$Y$1047,MATCH(ROW()-1,装备库!$AO$2:$AO$1046,0),COLUMN()),"")</f>
        <v>2123</v>
      </c>
      <c r="J35">
        <f>IFERROR(INDEX(装备库!$A$2:$Y$1047,MATCH(ROW()-1,装备库!$AO$2:$AO$1046,0),COLUMN()),"")</f>
        <v>0</v>
      </c>
      <c r="K35">
        <f>IFERROR(INDEX(装备库!$A$2:$Y$1047,MATCH(ROW()-1,装备库!$AO$2:$AO$1046,0),COLUMN()),"")</f>
        <v>1887</v>
      </c>
      <c r="L35">
        <f>IFERROR(INDEX(装备库!$A$2:$Y$1047,MATCH(ROW()-1,装备库!$AO$2:$AO$1046,0),COLUMN()),"")</f>
        <v>0</v>
      </c>
      <c r="M35">
        <f>IFERROR(INDEX(装备库!$A$2:$Y$1047,MATCH(ROW()-1,装备库!$AO$2:$AO$1046,0),COLUMN()),"")</f>
        <v>0</v>
      </c>
      <c r="N35">
        <f>IFERROR(INDEX(装备库!$A$2:$Y$1047,MATCH(ROW()-1,装备库!$AO$2:$AO$1046,0),COLUMN()),"")</f>
        <v>0</v>
      </c>
      <c r="O35">
        <f>IFERROR(INDEX(装备库!$A$2:$Y$1047,MATCH(ROW()-1,装备库!$AO$2:$AO$1046,0),COLUMN()),"")</f>
        <v>0</v>
      </c>
      <c r="P35">
        <f>IFERROR(INDEX(装备库!$A$2:$Y$1047,MATCH(ROW()-1,装备库!$AO$2:$AO$1046,0),COLUMN()),"")</f>
        <v>1</v>
      </c>
      <c r="Q35">
        <f>IFERROR(INDEX(装备库!$A$2:$Y$1047,MATCH(ROW()-1,装备库!$AO$2:$AO$1046,0),COLUMN()),"")</f>
        <v>0</v>
      </c>
      <c r="R35">
        <f>IFERROR(INDEX(装备库!$A$2:$Y$1047,MATCH(ROW()-1,装备库!$AO$2:$AO$1046,0),COLUMN()),"")</f>
        <v>0</v>
      </c>
      <c r="S35">
        <f>IFERROR(INDEX(装备库!$A$2:$Y$1047,MATCH(ROW()-1,装备库!$AO$2:$AO$1046,0),COLUMN()),"")</f>
        <v>0</v>
      </c>
      <c r="T35">
        <f>IFERROR(INDEX(装备库!$A$2:$Y$1047,MATCH(ROW()-1,装备库!$AO$2:$AO$1046,0),COLUMN()),"")</f>
        <v>0</v>
      </c>
      <c r="U35">
        <f>IFERROR(INDEX(装备库!$A$2:$Y$1047,MATCH(ROW()-1,装备库!$AO$2:$AO$1046,0),COLUMN()),"")</f>
        <v>0</v>
      </c>
      <c r="V35">
        <f>IFERROR(INDEX(装备库!$A$2:$Y$1047,MATCH(ROW()-1,装备库!$AO$2:$AO$1046,0),COLUMN()),"")</f>
        <v>0</v>
      </c>
      <c r="W35" t="str">
        <f>IFERROR(INDEX(装备库!$A$2:$Y$1047,MATCH(ROW()-1,装备库!$AO$2:$AO$1046,0),COLUMN()),"")</f>
        <v>破无</v>
      </c>
      <c r="X35">
        <f>IFERROR(INDEX(装备库!$A$2:$Y$1047,MATCH(ROW()-1,装备库!$AO$2:$AO$1046,0),COLUMN()),"")</f>
        <v>6</v>
      </c>
      <c r="Y35" t="str">
        <f>IFERROR(INDEX(装备库!$A$2:$Y$1047,MATCH(ROW()-1,装备库!$AO$2:$AO$1046,0),COLUMN()),"")</f>
        <v>声望</v>
      </c>
    </row>
    <row r="36" spans="1:25" x14ac:dyDescent="0.35">
      <c r="A36" t="str">
        <f>IFERROR(INDEX(装备库!$A$2:$Y$1047,MATCH(ROW()-1,装备库!$AO$2:$AO$1046,0),COLUMN()),"")</f>
        <v>暗器</v>
      </c>
      <c r="B36" t="str">
        <f>IFERROR(INDEX(装备库!$A$2:$Y$1047,MATCH(ROW()-1,装备库!$AO$2:$AO$1046,0),COLUMN()),"")</f>
        <v>临掣囊</v>
      </c>
      <c r="C36">
        <f>IFERROR(INDEX(装备库!$A$2:$Y$1047,MATCH(ROW()-1,装备库!$AO$2:$AO$1046,0),COLUMN()),"")</f>
        <v>10100</v>
      </c>
      <c r="D36" t="str">
        <f>IFERROR(INDEX(装备库!$A$2:$Y$1047,MATCH(ROW()-1,装备库!$AO$2:$AO$1046,0),COLUMN()),"")</f>
        <v>临掣囊(10100会无)</v>
      </c>
      <c r="E36">
        <f>IFERROR(INDEX(装备库!$A$2:$Y$1047,MATCH(ROW()-1,装备库!$AO$2:$AO$1046,0),COLUMN()),"")</f>
        <v>423</v>
      </c>
      <c r="F36">
        <f>IFERROR(INDEX(装备库!$A$2:$Y$1047,MATCH(ROW()-1,装备库!$AO$2:$AO$1046,0),COLUMN()),"")</f>
        <v>686</v>
      </c>
      <c r="G36">
        <f>IFERROR(INDEX(装备库!$A$2:$Y$1047,MATCH(ROW()-1,装备库!$AO$2:$AO$1046,0),COLUMN()),"")</f>
        <v>2123</v>
      </c>
      <c r="H36">
        <f>IFERROR(INDEX(装备库!$A$2:$Y$1047,MATCH(ROW()-1,装备库!$AO$2:$AO$1046,0),COLUMN()),"")</f>
        <v>0</v>
      </c>
      <c r="I36">
        <f>IFERROR(INDEX(装备库!$A$2:$Y$1047,MATCH(ROW()-1,装备库!$AO$2:$AO$1046,0),COLUMN()),"")</f>
        <v>0</v>
      </c>
      <c r="J36">
        <f>IFERROR(INDEX(装备库!$A$2:$Y$1047,MATCH(ROW()-1,装备库!$AO$2:$AO$1046,0),COLUMN()),"")</f>
        <v>0</v>
      </c>
      <c r="K36">
        <f>IFERROR(INDEX(装备库!$A$2:$Y$1047,MATCH(ROW()-1,装备库!$AO$2:$AO$1046,0),COLUMN()),"")</f>
        <v>1887</v>
      </c>
      <c r="L36">
        <f>IFERROR(INDEX(装备库!$A$2:$Y$1047,MATCH(ROW()-1,装备库!$AO$2:$AO$1046,0),COLUMN()),"")</f>
        <v>0</v>
      </c>
      <c r="M36">
        <f>IFERROR(INDEX(装备库!$A$2:$Y$1047,MATCH(ROW()-1,装备库!$AO$2:$AO$1046,0),COLUMN()),"")</f>
        <v>0</v>
      </c>
      <c r="N36">
        <f>IFERROR(INDEX(装备库!$A$2:$Y$1047,MATCH(ROW()-1,装备库!$AO$2:$AO$1046,0),COLUMN()),"")</f>
        <v>0</v>
      </c>
      <c r="O36">
        <f>IFERROR(INDEX(装备库!$A$2:$Y$1047,MATCH(ROW()-1,装备库!$AO$2:$AO$1046,0),COLUMN()),"")</f>
        <v>0</v>
      </c>
      <c r="P36">
        <f>IFERROR(INDEX(装备库!$A$2:$Y$1047,MATCH(ROW()-1,装备库!$AO$2:$AO$1046,0),COLUMN()),"")</f>
        <v>0</v>
      </c>
      <c r="Q36">
        <f>IFERROR(INDEX(装备库!$A$2:$Y$1047,MATCH(ROW()-1,装备库!$AO$2:$AO$1046,0),COLUMN()),"")</f>
        <v>1</v>
      </c>
      <c r="R36">
        <f>IFERROR(INDEX(装备库!$A$2:$Y$1047,MATCH(ROW()-1,装备库!$AO$2:$AO$1046,0),COLUMN()),"")</f>
        <v>0</v>
      </c>
      <c r="S36">
        <f>IFERROR(INDEX(装备库!$A$2:$Y$1047,MATCH(ROW()-1,装备库!$AO$2:$AO$1046,0),COLUMN()),"")</f>
        <v>0</v>
      </c>
      <c r="T36">
        <f>IFERROR(INDEX(装备库!$A$2:$Y$1047,MATCH(ROW()-1,装备库!$AO$2:$AO$1046,0),COLUMN()),"")</f>
        <v>0</v>
      </c>
      <c r="U36">
        <f>IFERROR(INDEX(装备库!$A$2:$Y$1047,MATCH(ROW()-1,装备库!$AO$2:$AO$1046,0),COLUMN()),"")</f>
        <v>0</v>
      </c>
      <c r="V36">
        <f>IFERROR(INDEX(装备库!$A$2:$Y$1047,MATCH(ROW()-1,装备库!$AO$2:$AO$1046,0),COLUMN()),"")</f>
        <v>0</v>
      </c>
      <c r="W36" t="str">
        <f>IFERROR(INDEX(装备库!$A$2:$Y$1047,MATCH(ROW()-1,装备库!$AO$2:$AO$1046,0),COLUMN()),"")</f>
        <v>会无</v>
      </c>
      <c r="X36">
        <f>IFERROR(INDEX(装备库!$A$2:$Y$1047,MATCH(ROW()-1,装备库!$AO$2:$AO$1046,0),COLUMN()),"")</f>
        <v>6</v>
      </c>
      <c r="Y36" t="str">
        <f>IFERROR(INDEX(装备库!$A$2:$Y$1047,MATCH(ROW()-1,装备库!$AO$2:$AO$1046,0),COLUMN()),"")</f>
        <v>声望</v>
      </c>
    </row>
    <row r="37" spans="1:25" x14ac:dyDescent="0.35">
      <c r="A37" t="str">
        <f>IFERROR(INDEX(装备库!$A$2:$Y$1047,MATCH(ROW()-1,装备库!$AO$2:$AO$1046,0),COLUMN()),"")</f>
        <v>暗器</v>
      </c>
      <c r="B37" t="str">
        <f>IFERROR(INDEX(装备库!$A$2:$Y$1047,MATCH(ROW()-1,装备库!$AO$2:$AO$1046,0),COLUMN()),"")</f>
        <v>玄卢囊</v>
      </c>
      <c r="C37">
        <f>IFERROR(INDEX(装备库!$A$2:$Y$1047,MATCH(ROW()-1,装备库!$AO$2:$AO$1046,0),COLUMN()),"")</f>
        <v>10150</v>
      </c>
      <c r="D37" t="str">
        <f>IFERROR(INDEX(装备库!$A$2:$Y$1047,MATCH(ROW()-1,装备库!$AO$2:$AO$1046,0),COLUMN()),"")</f>
        <v>玄卢囊(10150速招)</v>
      </c>
      <c r="E37">
        <f>IFERROR(INDEX(装备库!$A$2:$Y$1047,MATCH(ROW()-1,装备库!$AO$2:$AO$1046,0),COLUMN()),"")</f>
        <v>425</v>
      </c>
      <c r="F37">
        <f>IFERROR(INDEX(装备库!$A$2:$Y$1047,MATCH(ROW()-1,装备库!$AO$2:$AO$1046,0),COLUMN()),"")</f>
        <v>690</v>
      </c>
      <c r="G37">
        <f>IFERROR(INDEX(装备库!$A$2:$Y$1047,MATCH(ROW()-1,装备库!$AO$2:$AO$1046,0),COLUMN()),"")</f>
        <v>0</v>
      </c>
      <c r="H37">
        <f>IFERROR(INDEX(装备库!$A$2:$Y$1047,MATCH(ROW()-1,装备库!$AO$2:$AO$1046,0),COLUMN()),"")</f>
        <v>0</v>
      </c>
      <c r="I37">
        <f>IFERROR(INDEX(装备库!$A$2:$Y$1047,MATCH(ROW()-1,装备库!$AO$2:$AO$1046,0),COLUMN()),"")</f>
        <v>0</v>
      </c>
      <c r="J37">
        <f>IFERROR(INDEX(装备库!$A$2:$Y$1047,MATCH(ROW()-1,装备库!$AO$2:$AO$1046,0),COLUMN()),"")</f>
        <v>1897</v>
      </c>
      <c r="K37">
        <f>IFERROR(INDEX(装备库!$A$2:$Y$1047,MATCH(ROW()-1,装备库!$AO$2:$AO$1046,0),COLUMN()),"")</f>
        <v>0</v>
      </c>
      <c r="L37">
        <f>IFERROR(INDEX(装备库!$A$2:$Y$1047,MATCH(ROW()-1,装备库!$AO$2:$AO$1046,0),COLUMN()),"")</f>
        <v>2134</v>
      </c>
      <c r="M37">
        <f>IFERROR(INDEX(装备库!$A$2:$Y$1047,MATCH(ROW()-1,装备库!$AO$2:$AO$1046,0),COLUMN()),"")</f>
        <v>0</v>
      </c>
      <c r="N37">
        <f>IFERROR(INDEX(装备库!$A$2:$Y$1047,MATCH(ROW()-1,装备库!$AO$2:$AO$1046,0),COLUMN()),"")</f>
        <v>0</v>
      </c>
      <c r="O37">
        <f>IFERROR(INDEX(装备库!$A$2:$Y$1047,MATCH(ROW()-1,装备库!$AO$2:$AO$1046,0),COLUMN()),"")</f>
        <v>1</v>
      </c>
      <c r="P37">
        <f>IFERROR(INDEX(装备库!$A$2:$Y$1047,MATCH(ROW()-1,装备库!$AO$2:$AO$1046,0),COLUMN()),"")</f>
        <v>0</v>
      </c>
      <c r="Q37">
        <f>IFERROR(INDEX(装备库!$A$2:$Y$1047,MATCH(ROW()-1,装备库!$AO$2:$AO$1046,0),COLUMN()),"")</f>
        <v>0</v>
      </c>
      <c r="R37">
        <f>IFERROR(INDEX(装备库!$A$2:$Y$1047,MATCH(ROW()-1,装备库!$AO$2:$AO$1046,0),COLUMN()),"")</f>
        <v>0</v>
      </c>
      <c r="S37">
        <f>IFERROR(INDEX(装备库!$A$2:$Y$1047,MATCH(ROW()-1,装备库!$AO$2:$AO$1046,0),COLUMN()),"")</f>
        <v>0</v>
      </c>
      <c r="T37">
        <f>IFERROR(INDEX(装备库!$A$2:$Y$1047,MATCH(ROW()-1,装备库!$AO$2:$AO$1046,0),COLUMN()),"")</f>
        <v>0</v>
      </c>
      <c r="U37">
        <f>IFERROR(INDEX(装备库!$A$2:$Y$1047,MATCH(ROW()-1,装备库!$AO$2:$AO$1046,0),COLUMN()),"")</f>
        <v>0</v>
      </c>
      <c r="V37">
        <f>IFERROR(INDEX(装备库!$A$2:$Y$1047,MATCH(ROW()-1,装备库!$AO$2:$AO$1046,0),COLUMN()),"")</f>
        <v>0</v>
      </c>
      <c r="W37" t="str">
        <f>IFERROR(INDEX(装备库!$A$2:$Y$1047,MATCH(ROW()-1,装备库!$AO$2:$AO$1046,0),COLUMN()),"")</f>
        <v>速招</v>
      </c>
      <c r="X37">
        <f>IFERROR(INDEX(装备库!$A$2:$Y$1047,MATCH(ROW()-1,装备库!$AO$2:$AO$1046,0),COLUMN()),"")</f>
        <v>6</v>
      </c>
      <c r="Y37" t="str">
        <f>IFERROR(INDEX(装备库!$A$2:$Y$1047,MATCH(ROW()-1,装备库!$AO$2:$AO$1046,0),COLUMN()),"")</f>
        <v>副本</v>
      </c>
    </row>
    <row r="38" spans="1:25" x14ac:dyDescent="0.35">
      <c r="A38" t="str">
        <f>IFERROR(INDEX(装备库!$A$2:$Y$1047,MATCH(ROW()-1,装备库!$AO$2:$AO$1046,0),COLUMN()),"")</f>
        <v>暗器</v>
      </c>
      <c r="B38" t="str">
        <f>IFERROR(INDEX(装备库!$A$2:$Y$1047,MATCH(ROW()-1,装备库!$AO$2:$AO$1046,0),COLUMN()),"")</f>
        <v>闲月囊</v>
      </c>
      <c r="C38">
        <f>IFERROR(INDEX(装备库!$A$2:$Y$1047,MATCH(ROW()-1,装备库!$AO$2:$AO$1046,0),COLUMN()),"")</f>
        <v>10150</v>
      </c>
      <c r="D38" t="str">
        <f>IFERROR(INDEX(装备库!$A$2:$Y$1047,MATCH(ROW()-1,装备库!$AO$2:$AO$1046,0),COLUMN()),"")</f>
        <v>闲月囊(10150会无)</v>
      </c>
      <c r="E38">
        <f>IFERROR(INDEX(装备库!$A$2:$Y$1047,MATCH(ROW()-1,装备库!$AO$2:$AO$1046,0),COLUMN()),"")</f>
        <v>425</v>
      </c>
      <c r="F38">
        <f>IFERROR(INDEX(装备库!$A$2:$Y$1047,MATCH(ROW()-1,装备库!$AO$2:$AO$1046,0),COLUMN()),"")</f>
        <v>690</v>
      </c>
      <c r="G38">
        <f>IFERROR(INDEX(装备库!$A$2:$Y$1047,MATCH(ROW()-1,装备库!$AO$2:$AO$1046,0),COLUMN()),"")</f>
        <v>2134</v>
      </c>
      <c r="H38">
        <f>IFERROR(INDEX(装备库!$A$2:$Y$1047,MATCH(ROW()-1,装备库!$AO$2:$AO$1046,0),COLUMN()),"")</f>
        <v>0</v>
      </c>
      <c r="I38">
        <f>IFERROR(INDEX(装备库!$A$2:$Y$1047,MATCH(ROW()-1,装备库!$AO$2:$AO$1046,0),COLUMN()),"")</f>
        <v>0</v>
      </c>
      <c r="J38">
        <f>IFERROR(INDEX(装备库!$A$2:$Y$1047,MATCH(ROW()-1,装备库!$AO$2:$AO$1046,0),COLUMN()),"")</f>
        <v>0</v>
      </c>
      <c r="K38">
        <f>IFERROR(INDEX(装备库!$A$2:$Y$1047,MATCH(ROW()-1,装备库!$AO$2:$AO$1046,0),COLUMN()),"")</f>
        <v>1897</v>
      </c>
      <c r="L38">
        <f>IFERROR(INDEX(装备库!$A$2:$Y$1047,MATCH(ROW()-1,装备库!$AO$2:$AO$1046,0),COLUMN()),"")</f>
        <v>0</v>
      </c>
      <c r="M38">
        <f>IFERROR(INDEX(装备库!$A$2:$Y$1047,MATCH(ROW()-1,装备库!$AO$2:$AO$1046,0),COLUMN()),"")</f>
        <v>0</v>
      </c>
      <c r="N38">
        <f>IFERROR(INDEX(装备库!$A$2:$Y$1047,MATCH(ROW()-1,装备库!$AO$2:$AO$1046,0),COLUMN()),"")</f>
        <v>0</v>
      </c>
      <c r="O38">
        <f>IFERROR(INDEX(装备库!$A$2:$Y$1047,MATCH(ROW()-1,装备库!$AO$2:$AO$1046,0),COLUMN()),"")</f>
        <v>0</v>
      </c>
      <c r="P38">
        <f>IFERROR(INDEX(装备库!$A$2:$Y$1047,MATCH(ROW()-1,装备库!$AO$2:$AO$1046,0),COLUMN()),"")</f>
        <v>0</v>
      </c>
      <c r="Q38">
        <f>IFERROR(INDEX(装备库!$A$2:$Y$1047,MATCH(ROW()-1,装备库!$AO$2:$AO$1046,0),COLUMN()),"")</f>
        <v>1</v>
      </c>
      <c r="R38">
        <f>IFERROR(INDEX(装备库!$A$2:$Y$1047,MATCH(ROW()-1,装备库!$AO$2:$AO$1046,0),COLUMN()),"")</f>
        <v>0</v>
      </c>
      <c r="S38">
        <f>IFERROR(INDEX(装备库!$A$2:$Y$1047,MATCH(ROW()-1,装备库!$AO$2:$AO$1046,0),COLUMN()),"")</f>
        <v>0</v>
      </c>
      <c r="T38">
        <f>IFERROR(INDEX(装备库!$A$2:$Y$1047,MATCH(ROW()-1,装备库!$AO$2:$AO$1046,0),COLUMN()),"")</f>
        <v>0</v>
      </c>
      <c r="U38">
        <f>IFERROR(INDEX(装备库!$A$2:$Y$1047,MATCH(ROW()-1,装备库!$AO$2:$AO$1046,0),COLUMN()),"")</f>
        <v>0</v>
      </c>
      <c r="V38">
        <f>IFERROR(INDEX(装备库!$A$2:$Y$1047,MATCH(ROW()-1,装备库!$AO$2:$AO$1046,0),COLUMN()),"")</f>
        <v>0</v>
      </c>
      <c r="W38" t="str">
        <f>IFERROR(INDEX(装备库!$A$2:$Y$1047,MATCH(ROW()-1,装备库!$AO$2:$AO$1046,0),COLUMN()),"")</f>
        <v>会无</v>
      </c>
      <c r="X38">
        <f>IFERROR(INDEX(装备库!$A$2:$Y$1047,MATCH(ROW()-1,装备库!$AO$2:$AO$1046,0),COLUMN()),"")</f>
        <v>6</v>
      </c>
      <c r="Y38" t="str">
        <f>IFERROR(INDEX(装备库!$A$2:$Y$1047,MATCH(ROW()-1,装备库!$AO$2:$AO$1046,0),COLUMN()),"")</f>
        <v>副本</v>
      </c>
    </row>
    <row r="39" spans="1:25" x14ac:dyDescent="0.35">
      <c r="A39" t="str">
        <f>IFERROR(INDEX(装备库!$A$2:$Y$1047,MATCH(ROW()-1,装备库!$AO$2:$AO$1046,0),COLUMN()),"")</f>
        <v>暗器</v>
      </c>
      <c r="B39" t="str">
        <f>IFERROR(INDEX(装备库!$A$2:$Y$1047,MATCH(ROW()-1,装备库!$AO$2:$AO$1046,0),COLUMN()),"")</f>
        <v>无封囊</v>
      </c>
      <c r="C39">
        <f>IFERROR(INDEX(装备库!$A$2:$Y$1047,MATCH(ROW()-1,装备库!$AO$2:$AO$1046,0),COLUMN()),"")</f>
        <v>10300</v>
      </c>
      <c r="D39" t="str">
        <f>IFERROR(INDEX(装备库!$A$2:$Y$1047,MATCH(ROW()-1,装备库!$AO$2:$AO$1046,0),COLUMN()),"")</f>
        <v>无封囊(10300精简攻招破)</v>
      </c>
      <c r="E39">
        <f>IFERROR(INDEX(装备库!$A$2:$Y$1047,MATCH(ROW()-1,装备库!$AO$2:$AO$1046,0),COLUMN()),"")</f>
        <v>0</v>
      </c>
      <c r="F39">
        <f>IFERROR(INDEX(装备库!$A$2:$Y$1047,MATCH(ROW()-1,装备库!$AO$2:$AO$1046,0),COLUMN()),"")</f>
        <v>1562</v>
      </c>
      <c r="G39">
        <f>IFERROR(INDEX(装备库!$A$2:$Y$1047,MATCH(ROW()-1,装备库!$AO$2:$AO$1046,0),COLUMN()),"")</f>
        <v>0</v>
      </c>
      <c r="H39">
        <f>IFERROR(INDEX(装备库!$A$2:$Y$1047,MATCH(ROW()-1,装备库!$AO$2:$AO$1046,0),COLUMN()),"")</f>
        <v>0</v>
      </c>
      <c r="I39">
        <f>IFERROR(INDEX(装备库!$A$2:$Y$1047,MATCH(ROW()-1,装备库!$AO$2:$AO$1046,0),COLUMN()),"")</f>
        <v>2526</v>
      </c>
      <c r="J39">
        <f>IFERROR(INDEX(装备库!$A$2:$Y$1047,MATCH(ROW()-1,装备库!$AO$2:$AO$1046,0),COLUMN()),"")</f>
        <v>2286</v>
      </c>
      <c r="K39">
        <f>IFERROR(INDEX(装备库!$A$2:$Y$1047,MATCH(ROW()-1,装备库!$AO$2:$AO$1046,0),COLUMN()),"")</f>
        <v>0</v>
      </c>
      <c r="L39">
        <f>IFERROR(INDEX(装备库!$A$2:$Y$1047,MATCH(ROW()-1,装备库!$AO$2:$AO$1046,0),COLUMN()),"")</f>
        <v>0</v>
      </c>
      <c r="M39">
        <f>IFERROR(INDEX(装备库!$A$2:$Y$1047,MATCH(ROW()-1,装备库!$AO$2:$AO$1046,0),COLUMN()),"")</f>
        <v>0</v>
      </c>
      <c r="N39">
        <f>IFERROR(INDEX(装备库!$A$2:$Y$1047,MATCH(ROW()-1,装备库!$AO$2:$AO$1046,0),COLUMN()),"")</f>
        <v>0</v>
      </c>
      <c r="O39">
        <f>IFERROR(INDEX(装备库!$A$2:$Y$1047,MATCH(ROW()-1,装备库!$AO$2:$AO$1046,0),COLUMN()),"")</f>
        <v>0</v>
      </c>
      <c r="P39">
        <f>IFERROR(INDEX(装备库!$A$2:$Y$1047,MATCH(ROW()-1,装备库!$AO$2:$AO$1046,0),COLUMN()),"")</f>
        <v>0</v>
      </c>
      <c r="Q39">
        <f>IFERROR(INDEX(装备库!$A$2:$Y$1047,MATCH(ROW()-1,装备库!$AO$2:$AO$1046,0),COLUMN()),"")</f>
        <v>1</v>
      </c>
      <c r="R39">
        <f>IFERROR(INDEX(装备库!$A$2:$Y$1047,MATCH(ROW()-1,装备库!$AO$2:$AO$1046,0),COLUMN()),"")</f>
        <v>0</v>
      </c>
      <c r="S39">
        <f>IFERROR(INDEX(装备库!$A$2:$Y$1047,MATCH(ROW()-1,装备库!$AO$2:$AO$1046,0),COLUMN()),"")</f>
        <v>0</v>
      </c>
      <c r="T39">
        <f>IFERROR(INDEX(装备库!$A$2:$Y$1047,MATCH(ROW()-1,装备库!$AO$2:$AO$1046,0),COLUMN()),"")</f>
        <v>0</v>
      </c>
      <c r="U39">
        <f>IFERROR(INDEX(装备库!$A$2:$Y$1047,MATCH(ROW()-1,装备库!$AO$2:$AO$1046,0),COLUMN()),"")</f>
        <v>0</v>
      </c>
      <c r="V39">
        <f>IFERROR(INDEX(装备库!$A$2:$Y$1047,MATCH(ROW()-1,装备库!$AO$2:$AO$1046,0),COLUMN()),"")</f>
        <v>0</v>
      </c>
      <c r="W39" t="str">
        <f>IFERROR(INDEX(装备库!$A$2:$Y$1047,MATCH(ROW()-1,装备库!$AO$2:$AO$1046,0),COLUMN()),"")</f>
        <v>精简攻招破</v>
      </c>
      <c r="X39">
        <f>IFERROR(INDEX(装备库!$A$2:$Y$1047,MATCH(ROW()-1,装备库!$AO$2:$AO$1046,0),COLUMN()),"")</f>
        <v>3</v>
      </c>
      <c r="Y39" t="str">
        <f>IFERROR(INDEX(装备库!$A$2:$Y$1047,MATCH(ROW()-1,装备库!$AO$2:$AO$1046,0),COLUMN()),"")</f>
        <v>活动</v>
      </c>
    </row>
    <row r="40" spans="1:25" x14ac:dyDescent="0.35">
      <c r="A40" t="str">
        <f>IFERROR(INDEX(装备库!$A$2:$Y$1047,MATCH(ROW()-1,装备库!$AO$2:$AO$1046,0),COLUMN()),"")</f>
        <v>暗器</v>
      </c>
      <c r="B40" t="str">
        <f>IFERROR(INDEX(装备库!$A$2:$Y$1047,MATCH(ROW()-1,装备库!$AO$2:$AO$1046,0),COLUMN()),"")</f>
        <v>无封囊</v>
      </c>
      <c r="C40">
        <f>IFERROR(INDEX(装备库!$A$2:$Y$1047,MATCH(ROW()-1,装备库!$AO$2:$AO$1046,0),COLUMN()),"")</f>
        <v>10300</v>
      </c>
      <c r="D40" t="str">
        <f>IFERROR(INDEX(装备库!$A$2:$Y$1047,MATCH(ROW()-1,装备库!$AO$2:$AO$1046,0),COLUMN()),"")</f>
        <v>无封囊(10300精简攻会招破)</v>
      </c>
      <c r="E40">
        <f>IFERROR(INDEX(装备库!$A$2:$Y$1047,MATCH(ROW()-1,装备库!$AO$2:$AO$1046,0),COLUMN()),"")</f>
        <v>0</v>
      </c>
      <c r="F40">
        <f>IFERROR(INDEX(装备库!$A$2:$Y$1047,MATCH(ROW()-1,装备库!$AO$2:$AO$1046,0),COLUMN()),"")</f>
        <v>1723</v>
      </c>
      <c r="G40">
        <f>IFERROR(INDEX(装备库!$A$2:$Y$1047,MATCH(ROW()-1,装备库!$AO$2:$AO$1046,0),COLUMN()),"")</f>
        <v>1564</v>
      </c>
      <c r="H40">
        <f>IFERROR(INDEX(装备库!$A$2:$Y$1047,MATCH(ROW()-1,装备库!$AO$2:$AO$1046,0),COLUMN()),"")</f>
        <v>0</v>
      </c>
      <c r="I40">
        <f>IFERROR(INDEX(装备库!$A$2:$Y$1047,MATCH(ROW()-1,装备库!$AO$2:$AO$1046,0),COLUMN()),"")</f>
        <v>1564</v>
      </c>
      <c r="J40">
        <f>IFERROR(INDEX(装备库!$A$2:$Y$1047,MATCH(ROW()-1,装备库!$AO$2:$AO$1046,0),COLUMN()),"")</f>
        <v>1323</v>
      </c>
      <c r="K40">
        <f>IFERROR(INDEX(装备库!$A$2:$Y$1047,MATCH(ROW()-1,装备库!$AO$2:$AO$1046,0),COLUMN()),"")</f>
        <v>0</v>
      </c>
      <c r="L40">
        <f>IFERROR(INDEX(装备库!$A$2:$Y$1047,MATCH(ROW()-1,装备库!$AO$2:$AO$1046,0),COLUMN()),"")</f>
        <v>0</v>
      </c>
      <c r="M40">
        <f>IFERROR(INDEX(装备库!$A$2:$Y$1047,MATCH(ROW()-1,装备库!$AO$2:$AO$1046,0),COLUMN()),"")</f>
        <v>0</v>
      </c>
      <c r="N40">
        <f>IFERROR(INDEX(装备库!$A$2:$Y$1047,MATCH(ROW()-1,装备库!$AO$2:$AO$1046,0),COLUMN()),"")</f>
        <v>0</v>
      </c>
      <c r="O40">
        <f>IFERROR(INDEX(装备库!$A$2:$Y$1047,MATCH(ROW()-1,装备库!$AO$2:$AO$1046,0),COLUMN()),"")</f>
        <v>0</v>
      </c>
      <c r="P40">
        <f>IFERROR(INDEX(装备库!$A$2:$Y$1047,MATCH(ROW()-1,装备库!$AO$2:$AO$1046,0),COLUMN()),"")</f>
        <v>0</v>
      </c>
      <c r="Q40">
        <f>IFERROR(INDEX(装备库!$A$2:$Y$1047,MATCH(ROW()-1,装备库!$AO$2:$AO$1046,0),COLUMN()),"")</f>
        <v>0</v>
      </c>
      <c r="R40">
        <f>IFERROR(INDEX(装备库!$A$2:$Y$1047,MATCH(ROW()-1,装备库!$AO$2:$AO$1046,0),COLUMN()),"")</f>
        <v>1</v>
      </c>
      <c r="S40">
        <f>IFERROR(INDEX(装备库!$A$2:$Y$1047,MATCH(ROW()-1,装备库!$AO$2:$AO$1046,0),COLUMN()),"")</f>
        <v>0</v>
      </c>
      <c r="T40">
        <f>IFERROR(INDEX(装备库!$A$2:$Y$1047,MATCH(ROW()-1,装备库!$AO$2:$AO$1046,0),COLUMN()),"")</f>
        <v>0</v>
      </c>
      <c r="U40">
        <f>IFERROR(INDEX(装备库!$A$2:$Y$1047,MATCH(ROW()-1,装备库!$AO$2:$AO$1046,0),COLUMN()),"")</f>
        <v>0</v>
      </c>
      <c r="V40">
        <f>IFERROR(INDEX(装备库!$A$2:$Y$1047,MATCH(ROW()-1,装备库!$AO$2:$AO$1046,0),COLUMN()),"")</f>
        <v>0</v>
      </c>
      <c r="W40" t="str">
        <f>IFERROR(INDEX(装备库!$A$2:$Y$1047,MATCH(ROW()-1,装备库!$AO$2:$AO$1046,0),COLUMN()),"")</f>
        <v>精简攻会招破</v>
      </c>
      <c r="X40">
        <f>IFERROR(INDEX(装备库!$A$2:$Y$1047,MATCH(ROW()-1,装备库!$AO$2:$AO$1046,0),COLUMN()),"")</f>
        <v>3</v>
      </c>
      <c r="Y40" t="str">
        <f>IFERROR(INDEX(装备库!$A$2:$Y$1047,MATCH(ROW()-1,装备库!$AO$2:$AO$1046,0),COLUMN()),"")</f>
        <v>活动</v>
      </c>
    </row>
    <row r="41" spans="1:25" x14ac:dyDescent="0.35">
      <c r="A41" t="str">
        <f>IFERROR(INDEX(装备库!$A$2:$Y$1047,MATCH(ROW()-1,装备库!$AO$2:$AO$1046,0),COLUMN()),"")</f>
        <v>暗器</v>
      </c>
      <c r="B41" t="str">
        <f>IFERROR(INDEX(装备库!$A$2:$Y$1047,MATCH(ROW()-1,装备库!$AO$2:$AO$1046,0),COLUMN()),"")</f>
        <v>无封囊</v>
      </c>
      <c r="C41">
        <f>IFERROR(INDEX(装备库!$A$2:$Y$1047,MATCH(ROW()-1,装备库!$AO$2:$AO$1046,0),COLUMN()),"")</f>
        <v>10300</v>
      </c>
      <c r="D41" t="str">
        <f>IFERROR(INDEX(装备库!$A$2:$Y$1047,MATCH(ROW()-1,装备库!$AO$2:$AO$1046,0),COLUMN()),"")</f>
        <v>无封囊(10300精简攻会)</v>
      </c>
      <c r="E41">
        <f>IFERROR(INDEX(装备库!$A$2:$Y$1047,MATCH(ROW()-1,装备库!$AO$2:$AO$1046,0),COLUMN()),"")</f>
        <v>0</v>
      </c>
      <c r="F41">
        <f>IFERROR(INDEX(装备库!$A$2:$Y$1047,MATCH(ROW()-1,装备库!$AO$2:$AO$1046,0),COLUMN()),"")</f>
        <v>1831</v>
      </c>
      <c r="G41">
        <f>IFERROR(INDEX(装备库!$A$2:$Y$1047,MATCH(ROW()-1,装备库!$AO$2:$AO$1046,0),COLUMN()),"")</f>
        <v>4150</v>
      </c>
      <c r="H41">
        <f>IFERROR(INDEX(装备库!$A$2:$Y$1047,MATCH(ROW()-1,装备库!$AO$2:$AO$1046,0),COLUMN()),"")</f>
        <v>0</v>
      </c>
      <c r="I41">
        <f>IFERROR(INDEX(装备库!$A$2:$Y$1047,MATCH(ROW()-1,装备库!$AO$2:$AO$1046,0),COLUMN()),"")</f>
        <v>0</v>
      </c>
      <c r="J41">
        <f>IFERROR(INDEX(装备库!$A$2:$Y$1047,MATCH(ROW()-1,装备库!$AO$2:$AO$1046,0),COLUMN()),"")</f>
        <v>0</v>
      </c>
      <c r="K41">
        <f>IFERROR(INDEX(装备库!$A$2:$Y$1047,MATCH(ROW()-1,装备库!$AO$2:$AO$1046,0),COLUMN()),"")</f>
        <v>0</v>
      </c>
      <c r="L41">
        <f>IFERROR(INDEX(装备库!$A$2:$Y$1047,MATCH(ROW()-1,装备库!$AO$2:$AO$1046,0),COLUMN()),"")</f>
        <v>0</v>
      </c>
      <c r="M41">
        <f>IFERROR(INDEX(装备库!$A$2:$Y$1047,MATCH(ROW()-1,装备库!$AO$2:$AO$1046,0),COLUMN()),"")</f>
        <v>0</v>
      </c>
      <c r="N41">
        <f>IFERROR(INDEX(装备库!$A$2:$Y$1047,MATCH(ROW()-1,装备库!$AO$2:$AO$1046,0),COLUMN()),"")</f>
        <v>0</v>
      </c>
      <c r="O41">
        <f>IFERROR(INDEX(装备库!$A$2:$Y$1047,MATCH(ROW()-1,装备库!$AO$2:$AO$1046,0),COLUMN()),"")</f>
        <v>0</v>
      </c>
      <c r="P41">
        <f>IFERROR(INDEX(装备库!$A$2:$Y$1047,MATCH(ROW()-1,装备库!$AO$2:$AO$1046,0),COLUMN()),"")</f>
        <v>0</v>
      </c>
      <c r="Q41">
        <f>IFERROR(INDEX(装备库!$A$2:$Y$1047,MATCH(ROW()-1,装备库!$AO$2:$AO$1046,0),COLUMN()),"")</f>
        <v>0</v>
      </c>
      <c r="R41">
        <f>IFERROR(INDEX(装备库!$A$2:$Y$1047,MATCH(ROW()-1,装备库!$AO$2:$AO$1046,0),COLUMN()),"")</f>
        <v>1</v>
      </c>
      <c r="S41">
        <f>IFERROR(INDEX(装备库!$A$2:$Y$1047,MATCH(ROW()-1,装备库!$AO$2:$AO$1046,0),COLUMN()),"")</f>
        <v>0</v>
      </c>
      <c r="T41">
        <f>IFERROR(INDEX(装备库!$A$2:$Y$1047,MATCH(ROW()-1,装备库!$AO$2:$AO$1046,0),COLUMN()),"")</f>
        <v>0</v>
      </c>
      <c r="U41">
        <f>IFERROR(INDEX(装备库!$A$2:$Y$1047,MATCH(ROW()-1,装备库!$AO$2:$AO$1046,0),COLUMN()),"")</f>
        <v>0</v>
      </c>
      <c r="V41">
        <f>IFERROR(INDEX(装备库!$A$2:$Y$1047,MATCH(ROW()-1,装备库!$AO$2:$AO$1046,0),COLUMN()),"")</f>
        <v>0</v>
      </c>
      <c r="W41" t="str">
        <f>IFERROR(INDEX(装备库!$A$2:$Y$1047,MATCH(ROW()-1,装备库!$AO$2:$AO$1046,0),COLUMN()),"")</f>
        <v>精简攻会</v>
      </c>
      <c r="X41">
        <f>IFERROR(INDEX(装备库!$A$2:$Y$1047,MATCH(ROW()-1,装备库!$AO$2:$AO$1046,0),COLUMN()),"")</f>
        <v>3</v>
      </c>
      <c r="Y41" t="str">
        <f>IFERROR(INDEX(装备库!$A$2:$Y$1047,MATCH(ROW()-1,装备库!$AO$2:$AO$1046,0),COLUMN()),"")</f>
        <v>活动</v>
      </c>
    </row>
    <row r="42" spans="1:25" x14ac:dyDescent="0.35">
      <c r="A42" t="str">
        <f>IFERROR(INDEX(装备库!$A$2:$Y$1047,MATCH(ROW()-1,装备库!$AO$2:$AO$1046,0),COLUMN()),"")</f>
        <v>暗器</v>
      </c>
      <c r="B42" t="str">
        <f>IFERROR(INDEX(装备库!$A$2:$Y$1047,MATCH(ROW()-1,装备库!$AO$2:$AO$1046,0),COLUMN()),"")</f>
        <v>虚韵囊</v>
      </c>
      <c r="C42">
        <f>IFERROR(INDEX(装备库!$A$2:$Y$1047,MATCH(ROW()-1,装备库!$AO$2:$AO$1046,0),COLUMN()),"")</f>
        <v>10400</v>
      </c>
      <c r="D42" t="str">
        <f>IFERROR(INDEX(装备库!$A$2:$Y$1047,MATCH(ROW()-1,装备库!$AO$2:$AO$1046,0),COLUMN()),"")</f>
        <v>虚韵囊(10400会招)</v>
      </c>
      <c r="E42">
        <f>IFERROR(INDEX(装备库!$A$2:$Y$1047,MATCH(ROW()-1,装备库!$AO$2:$AO$1046,0),COLUMN()),"")</f>
        <v>436</v>
      </c>
      <c r="F42">
        <f>IFERROR(INDEX(装备库!$A$2:$Y$1047,MATCH(ROW()-1,装备库!$AO$2:$AO$1046,0),COLUMN()),"")</f>
        <v>707</v>
      </c>
      <c r="G42">
        <f>IFERROR(INDEX(装备库!$A$2:$Y$1047,MATCH(ROW()-1,装备库!$AO$2:$AO$1046,0),COLUMN()),"")</f>
        <v>2186</v>
      </c>
      <c r="H42">
        <f>IFERROR(INDEX(装备库!$A$2:$Y$1047,MATCH(ROW()-1,装备库!$AO$2:$AO$1046,0),COLUMN()),"")</f>
        <v>0</v>
      </c>
      <c r="I42">
        <f>IFERROR(INDEX(装备库!$A$2:$Y$1047,MATCH(ROW()-1,装备库!$AO$2:$AO$1046,0),COLUMN()),"")</f>
        <v>0</v>
      </c>
      <c r="J42">
        <f>IFERROR(INDEX(装备库!$A$2:$Y$1047,MATCH(ROW()-1,装备库!$AO$2:$AO$1046,0),COLUMN()),"")</f>
        <v>1943</v>
      </c>
      <c r="K42">
        <f>IFERROR(INDEX(装备库!$A$2:$Y$1047,MATCH(ROW()-1,装备库!$AO$2:$AO$1046,0),COLUMN()),"")</f>
        <v>0</v>
      </c>
      <c r="L42">
        <f>IFERROR(INDEX(装备库!$A$2:$Y$1047,MATCH(ROW()-1,装备库!$AO$2:$AO$1046,0),COLUMN()),"")</f>
        <v>0</v>
      </c>
      <c r="M42">
        <f>IFERROR(INDEX(装备库!$A$2:$Y$1047,MATCH(ROW()-1,装备库!$AO$2:$AO$1046,0),COLUMN()),"")</f>
        <v>0</v>
      </c>
      <c r="N42">
        <f>IFERROR(INDEX(装备库!$A$2:$Y$1047,MATCH(ROW()-1,装备库!$AO$2:$AO$1046,0),COLUMN()),"")</f>
        <v>0</v>
      </c>
      <c r="O42">
        <f>IFERROR(INDEX(装备库!$A$2:$Y$1047,MATCH(ROW()-1,装备库!$AO$2:$AO$1046,0),COLUMN()),"")</f>
        <v>1</v>
      </c>
      <c r="P42">
        <f>IFERROR(INDEX(装备库!$A$2:$Y$1047,MATCH(ROW()-1,装备库!$AO$2:$AO$1046,0),COLUMN()),"")</f>
        <v>0</v>
      </c>
      <c r="Q42">
        <f>IFERROR(INDEX(装备库!$A$2:$Y$1047,MATCH(ROW()-1,装备库!$AO$2:$AO$1046,0),COLUMN()),"")</f>
        <v>0</v>
      </c>
      <c r="R42">
        <f>IFERROR(INDEX(装备库!$A$2:$Y$1047,MATCH(ROW()-1,装备库!$AO$2:$AO$1046,0),COLUMN()),"")</f>
        <v>0</v>
      </c>
      <c r="S42">
        <f>IFERROR(INDEX(装备库!$A$2:$Y$1047,MATCH(ROW()-1,装备库!$AO$2:$AO$1046,0),COLUMN()),"")</f>
        <v>0</v>
      </c>
      <c r="T42">
        <f>IFERROR(INDEX(装备库!$A$2:$Y$1047,MATCH(ROW()-1,装备库!$AO$2:$AO$1046,0),COLUMN()),"")</f>
        <v>0</v>
      </c>
      <c r="U42">
        <f>IFERROR(INDEX(装备库!$A$2:$Y$1047,MATCH(ROW()-1,装备库!$AO$2:$AO$1046,0),COLUMN()),"")</f>
        <v>0</v>
      </c>
      <c r="V42">
        <f>IFERROR(INDEX(装备库!$A$2:$Y$1047,MATCH(ROW()-1,装备库!$AO$2:$AO$1046,0),COLUMN()),"")</f>
        <v>0</v>
      </c>
      <c r="W42" t="str">
        <f>IFERROR(INDEX(装备库!$A$2:$Y$1047,MATCH(ROW()-1,装备库!$AO$2:$AO$1046,0),COLUMN()),"")</f>
        <v>会招</v>
      </c>
      <c r="X42">
        <f>IFERROR(INDEX(装备库!$A$2:$Y$1047,MATCH(ROW()-1,装备库!$AO$2:$AO$1046,0),COLUMN()),"")</f>
        <v>6</v>
      </c>
      <c r="Y42" t="str">
        <f>IFERROR(INDEX(装备库!$A$2:$Y$1047,MATCH(ROW()-1,装备库!$AO$2:$AO$1046,0),COLUMN()),"")</f>
        <v>侠义值</v>
      </c>
    </row>
    <row r="43" spans="1:25" x14ac:dyDescent="0.35">
      <c r="A43" t="str">
        <f>IFERROR(INDEX(装备库!$A$2:$Y$1047,MATCH(ROW()-1,装备库!$AO$2:$AO$1046,0),COLUMN()),"")</f>
        <v>暗器</v>
      </c>
      <c r="B43" t="str">
        <f>IFERROR(INDEX(装备库!$A$2:$Y$1047,MATCH(ROW()-1,装备库!$AO$2:$AO$1046,0),COLUMN()),"")</f>
        <v>无封囊</v>
      </c>
      <c r="C43">
        <f>IFERROR(INDEX(装备库!$A$2:$Y$1047,MATCH(ROW()-1,装备库!$AO$2:$AO$1046,0),COLUMN()),"")</f>
        <v>10600</v>
      </c>
      <c r="D43" t="str">
        <f>IFERROR(INDEX(装备库!$A$2:$Y$1047,MATCH(ROW()-1,装备库!$AO$2:$AO$1046,0),COLUMN()),"")</f>
        <v>无封囊(10600精简攻无)</v>
      </c>
      <c r="E43">
        <f>IFERROR(INDEX(装备库!$A$2:$Y$1047,MATCH(ROW()-1,装备库!$AO$2:$AO$1046,0),COLUMN()),"")</f>
        <v>0</v>
      </c>
      <c r="F43">
        <f>IFERROR(INDEX(装备库!$A$2:$Y$1047,MATCH(ROW()-1,装备库!$AO$2:$AO$1046,0),COLUMN()),"")</f>
        <v>1884</v>
      </c>
      <c r="G43">
        <f>IFERROR(INDEX(装备库!$A$2:$Y$1047,MATCH(ROW()-1,装备库!$AO$2:$AO$1046,0),COLUMN()),"")</f>
        <v>0</v>
      </c>
      <c r="H43">
        <f>IFERROR(INDEX(装备库!$A$2:$Y$1047,MATCH(ROW()-1,装备库!$AO$2:$AO$1046,0),COLUMN()),"")</f>
        <v>0</v>
      </c>
      <c r="I43">
        <f>IFERROR(INDEX(装备库!$A$2:$Y$1047,MATCH(ROW()-1,装备库!$AO$2:$AO$1046,0),COLUMN()),"")</f>
        <v>0</v>
      </c>
      <c r="J43">
        <f>IFERROR(INDEX(装备库!$A$2:$Y$1047,MATCH(ROW()-1,装备库!$AO$2:$AO$1046,0),COLUMN()),"")</f>
        <v>0</v>
      </c>
      <c r="K43">
        <f>IFERROR(INDEX(装备库!$A$2:$Y$1047,MATCH(ROW()-1,装备库!$AO$2:$AO$1046,0),COLUMN()),"")</f>
        <v>4271</v>
      </c>
      <c r="L43">
        <f>IFERROR(INDEX(装备库!$A$2:$Y$1047,MATCH(ROW()-1,装备库!$AO$2:$AO$1046,0),COLUMN()),"")</f>
        <v>0</v>
      </c>
      <c r="M43">
        <f>IFERROR(INDEX(装备库!$A$2:$Y$1047,MATCH(ROW()-1,装备库!$AO$2:$AO$1046,0),COLUMN()),"")</f>
        <v>0</v>
      </c>
      <c r="N43">
        <f>IFERROR(INDEX(装备库!$A$2:$Y$1047,MATCH(ROW()-1,装备库!$AO$2:$AO$1046,0),COLUMN()),"")</f>
        <v>0</v>
      </c>
      <c r="O43">
        <f>IFERROR(INDEX(装备库!$A$2:$Y$1047,MATCH(ROW()-1,装备库!$AO$2:$AO$1046,0),COLUMN()),"")</f>
        <v>0</v>
      </c>
      <c r="P43">
        <f>IFERROR(INDEX(装备库!$A$2:$Y$1047,MATCH(ROW()-1,装备库!$AO$2:$AO$1046,0),COLUMN()),"")</f>
        <v>0</v>
      </c>
      <c r="Q43">
        <f>IFERROR(INDEX(装备库!$A$2:$Y$1047,MATCH(ROW()-1,装备库!$AO$2:$AO$1046,0),COLUMN()),"")</f>
        <v>0</v>
      </c>
      <c r="R43">
        <f>IFERROR(INDEX(装备库!$A$2:$Y$1047,MATCH(ROW()-1,装备库!$AO$2:$AO$1046,0),COLUMN()),"")</f>
        <v>0</v>
      </c>
      <c r="S43">
        <f>IFERROR(INDEX(装备库!$A$2:$Y$1047,MATCH(ROW()-1,装备库!$AO$2:$AO$1046,0),COLUMN()),"")</f>
        <v>1</v>
      </c>
      <c r="T43">
        <f>IFERROR(INDEX(装备库!$A$2:$Y$1047,MATCH(ROW()-1,装备库!$AO$2:$AO$1046,0),COLUMN()),"")</f>
        <v>0</v>
      </c>
      <c r="U43">
        <f>IFERROR(INDEX(装备库!$A$2:$Y$1047,MATCH(ROW()-1,装备库!$AO$2:$AO$1046,0),COLUMN()),"")</f>
        <v>0</v>
      </c>
      <c r="V43">
        <f>IFERROR(INDEX(装备库!$A$2:$Y$1047,MATCH(ROW()-1,装备库!$AO$2:$AO$1046,0),COLUMN()),"")</f>
        <v>0</v>
      </c>
      <c r="W43" t="str">
        <f>IFERROR(INDEX(装备库!$A$2:$Y$1047,MATCH(ROW()-1,装备库!$AO$2:$AO$1046,0),COLUMN()),"")</f>
        <v>精简攻无</v>
      </c>
      <c r="X43">
        <f>IFERROR(INDEX(装备库!$A$2:$Y$1047,MATCH(ROW()-1,装备库!$AO$2:$AO$1046,0),COLUMN()),"")</f>
        <v>3</v>
      </c>
      <c r="Y43" t="str">
        <f>IFERROR(INDEX(装备库!$A$2:$Y$1047,MATCH(ROW()-1,装备库!$AO$2:$AO$1046,0),COLUMN()),"")</f>
        <v>活动</v>
      </c>
    </row>
    <row r="44" spans="1:25" x14ac:dyDescent="0.35">
      <c r="A44" t="str">
        <f>IFERROR(INDEX(装备库!$A$2:$Y$1047,MATCH(ROW()-1,装备库!$AO$2:$AO$1046,0),COLUMN()),"")</f>
        <v>暗器</v>
      </c>
      <c r="B44" t="str">
        <f>IFERROR(INDEX(装备库!$A$2:$Y$1047,MATCH(ROW()-1,装备库!$AO$2:$AO$1046,0),COLUMN()),"")</f>
        <v>无封囊</v>
      </c>
      <c r="C44">
        <f>IFERROR(INDEX(装备库!$A$2:$Y$1047,MATCH(ROW()-1,装备库!$AO$2:$AO$1046,0),COLUMN()),"")</f>
        <v>10600</v>
      </c>
      <c r="D44" t="str">
        <f>IFERROR(INDEX(装备库!$A$2:$Y$1047,MATCH(ROW()-1,装备库!$AO$2:$AO$1046,0),COLUMN()),"")</f>
        <v>无封囊(10600精简攻会招)</v>
      </c>
      <c r="E44">
        <f>IFERROR(INDEX(装备库!$A$2:$Y$1047,MATCH(ROW()-1,装备库!$AO$2:$AO$1046,0),COLUMN()),"")</f>
        <v>0</v>
      </c>
      <c r="F44">
        <f>IFERROR(INDEX(装备库!$A$2:$Y$1047,MATCH(ROW()-1,装备库!$AO$2:$AO$1046,0),COLUMN()),"")</f>
        <v>1607</v>
      </c>
      <c r="G44">
        <f>IFERROR(INDEX(装备库!$A$2:$Y$1047,MATCH(ROW()-1,装备库!$AO$2:$AO$1046,0),COLUMN()),"")</f>
        <v>2476</v>
      </c>
      <c r="H44">
        <f>IFERROR(INDEX(装备库!$A$2:$Y$1047,MATCH(ROW()-1,装备库!$AO$2:$AO$1046,0),COLUMN()),"")</f>
        <v>0</v>
      </c>
      <c r="I44">
        <f>IFERROR(INDEX(装备库!$A$2:$Y$1047,MATCH(ROW()-1,装备库!$AO$2:$AO$1046,0),COLUMN()),"")</f>
        <v>0</v>
      </c>
      <c r="J44">
        <f>IFERROR(INDEX(装备库!$A$2:$Y$1047,MATCH(ROW()-1,装备库!$AO$2:$AO$1046,0),COLUMN()),"")</f>
        <v>2476</v>
      </c>
      <c r="K44">
        <f>IFERROR(INDEX(装备库!$A$2:$Y$1047,MATCH(ROW()-1,装备库!$AO$2:$AO$1046,0),COLUMN()),"")</f>
        <v>0</v>
      </c>
      <c r="L44">
        <f>IFERROR(INDEX(装备库!$A$2:$Y$1047,MATCH(ROW()-1,装备库!$AO$2:$AO$1046,0),COLUMN()),"")</f>
        <v>0</v>
      </c>
      <c r="M44">
        <f>IFERROR(INDEX(装备库!$A$2:$Y$1047,MATCH(ROW()-1,装备库!$AO$2:$AO$1046,0),COLUMN()),"")</f>
        <v>0</v>
      </c>
      <c r="N44">
        <f>IFERROR(INDEX(装备库!$A$2:$Y$1047,MATCH(ROW()-1,装备库!$AO$2:$AO$1046,0),COLUMN()),"")</f>
        <v>0</v>
      </c>
      <c r="O44">
        <f>IFERROR(INDEX(装备库!$A$2:$Y$1047,MATCH(ROW()-1,装备库!$AO$2:$AO$1046,0),COLUMN()),"")</f>
        <v>0</v>
      </c>
      <c r="P44">
        <f>IFERROR(INDEX(装备库!$A$2:$Y$1047,MATCH(ROW()-1,装备库!$AO$2:$AO$1046,0),COLUMN()),"")</f>
        <v>0</v>
      </c>
      <c r="Q44">
        <f>IFERROR(INDEX(装备库!$A$2:$Y$1047,MATCH(ROW()-1,装备库!$AO$2:$AO$1046,0),COLUMN()),"")</f>
        <v>0</v>
      </c>
      <c r="R44">
        <f>IFERROR(INDEX(装备库!$A$2:$Y$1047,MATCH(ROW()-1,装备库!$AO$2:$AO$1046,0),COLUMN()),"")</f>
        <v>1</v>
      </c>
      <c r="S44">
        <f>IFERROR(INDEX(装备库!$A$2:$Y$1047,MATCH(ROW()-1,装备库!$AO$2:$AO$1046,0),COLUMN()),"")</f>
        <v>0</v>
      </c>
      <c r="T44">
        <f>IFERROR(INDEX(装备库!$A$2:$Y$1047,MATCH(ROW()-1,装备库!$AO$2:$AO$1046,0),COLUMN()),"")</f>
        <v>0</v>
      </c>
      <c r="U44">
        <f>IFERROR(INDEX(装备库!$A$2:$Y$1047,MATCH(ROW()-1,装备库!$AO$2:$AO$1046,0),COLUMN()),"")</f>
        <v>0</v>
      </c>
      <c r="V44">
        <f>IFERROR(INDEX(装备库!$A$2:$Y$1047,MATCH(ROW()-1,装备库!$AO$2:$AO$1046,0),COLUMN()),"")</f>
        <v>0</v>
      </c>
      <c r="W44" t="str">
        <f>IFERROR(INDEX(装备库!$A$2:$Y$1047,MATCH(ROW()-1,装备库!$AO$2:$AO$1046,0),COLUMN()),"")</f>
        <v>精简攻会招</v>
      </c>
      <c r="X44">
        <f>IFERROR(INDEX(装备库!$A$2:$Y$1047,MATCH(ROW()-1,装备库!$AO$2:$AO$1046,0),COLUMN()),"")</f>
        <v>3</v>
      </c>
      <c r="Y44" t="str">
        <f>IFERROR(INDEX(装备库!$A$2:$Y$1047,MATCH(ROW()-1,装备库!$AO$2:$AO$1046,0),COLUMN()),"")</f>
        <v>活动</v>
      </c>
    </row>
    <row r="45" spans="1:25" x14ac:dyDescent="0.35">
      <c r="A45" t="str">
        <f>IFERROR(INDEX(装备库!$A$2:$Y$1047,MATCH(ROW()-1,装备库!$AO$2:$AO$1046,0),COLUMN()),"")</f>
        <v>暗器</v>
      </c>
      <c r="B45" t="str">
        <f>IFERROR(INDEX(装备库!$A$2:$Y$1047,MATCH(ROW()-1,装备库!$AO$2:$AO$1046,0),COLUMN()),"")</f>
        <v>无封囊</v>
      </c>
      <c r="C45">
        <f>IFERROR(INDEX(装备库!$A$2:$Y$1047,MATCH(ROW()-1,装备库!$AO$2:$AO$1046,0),COLUMN()),"")</f>
        <v>10600</v>
      </c>
      <c r="D45" t="str">
        <f>IFERROR(INDEX(装备库!$A$2:$Y$1047,MATCH(ROW()-1,装备库!$AO$2:$AO$1046,0),COLUMN()),"")</f>
        <v>无封囊(10600精简攻会会破)</v>
      </c>
      <c r="E45">
        <f>IFERROR(INDEX(装备库!$A$2:$Y$1047,MATCH(ROW()-1,装备库!$AO$2:$AO$1046,0),COLUMN()),"")</f>
        <v>0</v>
      </c>
      <c r="F45">
        <f>IFERROR(INDEX(装备库!$A$2:$Y$1047,MATCH(ROW()-1,装备库!$AO$2:$AO$1046,0),COLUMN()),"")</f>
        <v>1607</v>
      </c>
      <c r="G45">
        <f>IFERROR(INDEX(装备库!$A$2:$Y$1047,MATCH(ROW()-1,装备库!$AO$2:$AO$1046,0),COLUMN()),"")</f>
        <v>1857</v>
      </c>
      <c r="H45">
        <f>IFERROR(INDEX(装备库!$A$2:$Y$1047,MATCH(ROW()-1,装备库!$AO$2:$AO$1046,0),COLUMN()),"")</f>
        <v>1238</v>
      </c>
      <c r="I45">
        <f>IFERROR(INDEX(装备库!$A$2:$Y$1047,MATCH(ROW()-1,装备库!$AO$2:$AO$1046,0),COLUMN()),"")</f>
        <v>1733</v>
      </c>
      <c r="J45">
        <f>IFERROR(INDEX(装备库!$A$2:$Y$1047,MATCH(ROW()-1,装备库!$AO$2:$AO$1046,0),COLUMN()),"")</f>
        <v>0</v>
      </c>
      <c r="K45">
        <f>IFERROR(INDEX(装备库!$A$2:$Y$1047,MATCH(ROW()-1,装备库!$AO$2:$AO$1046,0),COLUMN()),"")</f>
        <v>0</v>
      </c>
      <c r="L45">
        <f>IFERROR(INDEX(装备库!$A$2:$Y$1047,MATCH(ROW()-1,装备库!$AO$2:$AO$1046,0),COLUMN()),"")</f>
        <v>0</v>
      </c>
      <c r="M45">
        <f>IFERROR(INDEX(装备库!$A$2:$Y$1047,MATCH(ROW()-1,装备库!$AO$2:$AO$1046,0),COLUMN()),"")</f>
        <v>0</v>
      </c>
      <c r="N45">
        <f>IFERROR(INDEX(装备库!$A$2:$Y$1047,MATCH(ROW()-1,装备库!$AO$2:$AO$1046,0),COLUMN()),"")</f>
        <v>0</v>
      </c>
      <c r="O45">
        <f>IFERROR(INDEX(装备库!$A$2:$Y$1047,MATCH(ROW()-1,装备库!$AO$2:$AO$1046,0),COLUMN()),"")</f>
        <v>0</v>
      </c>
      <c r="P45">
        <f>IFERROR(INDEX(装备库!$A$2:$Y$1047,MATCH(ROW()-1,装备库!$AO$2:$AO$1046,0),COLUMN()),"")</f>
        <v>0</v>
      </c>
      <c r="Q45">
        <f>IFERROR(INDEX(装备库!$A$2:$Y$1047,MATCH(ROW()-1,装备库!$AO$2:$AO$1046,0),COLUMN()),"")</f>
        <v>0</v>
      </c>
      <c r="R45">
        <f>IFERROR(INDEX(装备库!$A$2:$Y$1047,MATCH(ROW()-1,装备库!$AO$2:$AO$1046,0),COLUMN()),"")</f>
        <v>0</v>
      </c>
      <c r="S45">
        <f>IFERROR(INDEX(装备库!$A$2:$Y$1047,MATCH(ROW()-1,装备库!$AO$2:$AO$1046,0),COLUMN()),"")</f>
        <v>0</v>
      </c>
      <c r="T45">
        <f>IFERROR(INDEX(装备库!$A$2:$Y$1047,MATCH(ROW()-1,装备库!$AO$2:$AO$1046,0),COLUMN()),"")</f>
        <v>1</v>
      </c>
      <c r="U45">
        <f>IFERROR(INDEX(装备库!$A$2:$Y$1047,MATCH(ROW()-1,装备库!$AO$2:$AO$1046,0),COLUMN()),"")</f>
        <v>0</v>
      </c>
      <c r="V45">
        <f>IFERROR(INDEX(装备库!$A$2:$Y$1047,MATCH(ROW()-1,装备库!$AO$2:$AO$1046,0),COLUMN()),"")</f>
        <v>0</v>
      </c>
      <c r="W45" t="str">
        <f>IFERROR(INDEX(装备库!$A$2:$Y$1047,MATCH(ROW()-1,装备库!$AO$2:$AO$1046,0),COLUMN()),"")</f>
        <v>精简攻会会破</v>
      </c>
      <c r="X45">
        <f>IFERROR(INDEX(装备库!$A$2:$Y$1047,MATCH(ROW()-1,装备库!$AO$2:$AO$1046,0),COLUMN()),"")</f>
        <v>3</v>
      </c>
      <c r="Y45" t="str">
        <f>IFERROR(INDEX(装备库!$A$2:$Y$1047,MATCH(ROW()-1,装备库!$AO$2:$AO$1046,0),COLUMN()),"")</f>
        <v>活动</v>
      </c>
    </row>
    <row r="46" spans="1:25" x14ac:dyDescent="0.35">
      <c r="A46" t="str">
        <f>IFERROR(INDEX(装备库!$A$2:$Y$1047,MATCH(ROW()-1,装备库!$AO$2:$AO$1046,0),COLUMN()),"")</f>
        <v>暗器</v>
      </c>
      <c r="B46" t="str">
        <f>IFERROR(INDEX(装备库!$A$2:$Y$1047,MATCH(ROW()-1,装备库!$AO$2:$AO$1046,0),COLUMN()),"")</f>
        <v>静山囊</v>
      </c>
      <c r="C46">
        <f>IFERROR(INDEX(装备库!$A$2:$Y$1047,MATCH(ROW()-1,装备库!$AO$2:$AO$1046,0),COLUMN()),"")</f>
        <v>10700</v>
      </c>
      <c r="D46" t="str">
        <f>IFERROR(INDEX(装备库!$A$2:$Y$1047,MATCH(ROW()-1,装备库!$AO$2:$AO$1046,0),COLUMN()),"")</f>
        <v>静山囊(10700破无)</v>
      </c>
      <c r="E46">
        <f>IFERROR(INDEX(装备库!$A$2:$Y$1047,MATCH(ROW()-1,装备库!$AO$2:$AO$1046,0),COLUMN()),"")</f>
        <v>448</v>
      </c>
      <c r="F46">
        <f>IFERROR(INDEX(装备库!$A$2:$Y$1047,MATCH(ROW()-1,装备库!$AO$2:$AO$1046,0),COLUMN()),"")</f>
        <v>727</v>
      </c>
      <c r="G46">
        <f>IFERROR(INDEX(装备库!$A$2:$Y$1047,MATCH(ROW()-1,装备库!$AO$2:$AO$1046,0),COLUMN()),"")</f>
        <v>0</v>
      </c>
      <c r="H46">
        <f>IFERROR(INDEX(装备库!$A$2:$Y$1047,MATCH(ROW()-1,装备库!$AO$2:$AO$1046,0),COLUMN()),"")</f>
        <v>0</v>
      </c>
      <c r="I46">
        <f>IFERROR(INDEX(装备库!$A$2:$Y$1047,MATCH(ROW()-1,装备库!$AO$2:$AO$1046,0),COLUMN()),"")</f>
        <v>2249</v>
      </c>
      <c r="J46">
        <f>IFERROR(INDEX(装备库!$A$2:$Y$1047,MATCH(ROW()-1,装备库!$AO$2:$AO$1046,0),COLUMN()),"")</f>
        <v>0</v>
      </c>
      <c r="K46">
        <f>IFERROR(INDEX(装备库!$A$2:$Y$1047,MATCH(ROW()-1,装备库!$AO$2:$AO$1046,0),COLUMN()),"")</f>
        <v>1999</v>
      </c>
      <c r="L46">
        <f>IFERROR(INDEX(装备库!$A$2:$Y$1047,MATCH(ROW()-1,装备库!$AO$2:$AO$1046,0),COLUMN()),"")</f>
        <v>0</v>
      </c>
      <c r="M46">
        <f>IFERROR(INDEX(装备库!$A$2:$Y$1047,MATCH(ROW()-1,装备库!$AO$2:$AO$1046,0),COLUMN()),"")</f>
        <v>0</v>
      </c>
      <c r="N46">
        <f>IFERROR(INDEX(装备库!$A$2:$Y$1047,MATCH(ROW()-1,装备库!$AO$2:$AO$1046,0),COLUMN()),"")</f>
        <v>0</v>
      </c>
      <c r="O46">
        <f>IFERROR(INDEX(装备库!$A$2:$Y$1047,MATCH(ROW()-1,装备库!$AO$2:$AO$1046,0),COLUMN()),"")</f>
        <v>0</v>
      </c>
      <c r="P46">
        <f>IFERROR(INDEX(装备库!$A$2:$Y$1047,MATCH(ROW()-1,装备库!$AO$2:$AO$1046,0),COLUMN()),"")</f>
        <v>1</v>
      </c>
      <c r="Q46">
        <f>IFERROR(INDEX(装备库!$A$2:$Y$1047,MATCH(ROW()-1,装备库!$AO$2:$AO$1046,0),COLUMN()),"")</f>
        <v>0</v>
      </c>
      <c r="R46">
        <f>IFERROR(INDEX(装备库!$A$2:$Y$1047,MATCH(ROW()-1,装备库!$AO$2:$AO$1046,0),COLUMN()),"")</f>
        <v>0</v>
      </c>
      <c r="S46">
        <f>IFERROR(INDEX(装备库!$A$2:$Y$1047,MATCH(ROW()-1,装备库!$AO$2:$AO$1046,0),COLUMN()),"")</f>
        <v>0</v>
      </c>
      <c r="T46">
        <f>IFERROR(INDEX(装备库!$A$2:$Y$1047,MATCH(ROW()-1,装备库!$AO$2:$AO$1046,0),COLUMN()),"")</f>
        <v>0</v>
      </c>
      <c r="U46">
        <f>IFERROR(INDEX(装备库!$A$2:$Y$1047,MATCH(ROW()-1,装备库!$AO$2:$AO$1046,0),COLUMN()),"")</f>
        <v>0</v>
      </c>
      <c r="V46">
        <f>IFERROR(INDEX(装备库!$A$2:$Y$1047,MATCH(ROW()-1,装备库!$AO$2:$AO$1046,0),COLUMN()),"")</f>
        <v>0</v>
      </c>
      <c r="W46" t="str">
        <f>IFERROR(INDEX(装备库!$A$2:$Y$1047,MATCH(ROW()-1,装备库!$AO$2:$AO$1046,0),COLUMN()),"")</f>
        <v>破无</v>
      </c>
      <c r="X46">
        <f>IFERROR(INDEX(装备库!$A$2:$Y$1047,MATCH(ROW()-1,装备库!$AO$2:$AO$1046,0),COLUMN()),"")</f>
        <v>6</v>
      </c>
      <c r="Y46" t="str">
        <f>IFERROR(INDEX(装备库!$A$2:$Y$1047,MATCH(ROW()-1,装备库!$AO$2:$AO$1046,0),COLUMN()),"")</f>
        <v>声望</v>
      </c>
    </row>
    <row r="47" spans="1:25" x14ac:dyDescent="0.35">
      <c r="A47" t="str">
        <f>IFERROR(INDEX(装备库!$A$2:$Y$1047,MATCH(ROW()-1,装备库!$AO$2:$AO$1046,0),COLUMN()),"")</f>
        <v>暗器</v>
      </c>
      <c r="B47" t="str">
        <f>IFERROR(INDEX(装备库!$A$2:$Y$1047,MATCH(ROW()-1,装备库!$AO$2:$AO$1046,0),COLUMN()),"")</f>
        <v>择逸录·扶</v>
      </c>
      <c r="C47">
        <f>IFERROR(INDEX(装备库!$A$2:$Y$1047,MATCH(ROW()-1,装备库!$AO$2:$AO$1046,0),COLUMN()),"")</f>
        <v>10800</v>
      </c>
      <c r="D47" t="str">
        <f>IFERROR(INDEX(装备库!$A$2:$Y$1047,MATCH(ROW()-1,装备库!$AO$2:$AO$1046,0),COLUMN()),"")</f>
        <v>择逸录·扶(10800招破)</v>
      </c>
      <c r="E47">
        <f>IFERROR(INDEX(装备库!$A$2:$Y$1047,MATCH(ROW()-1,装备库!$AO$2:$AO$1046,0),COLUMN()),"")</f>
        <v>452</v>
      </c>
      <c r="F47">
        <f>IFERROR(INDEX(装备库!$A$2:$Y$1047,MATCH(ROW()-1,装备库!$AO$2:$AO$1046,0),COLUMN()),"")</f>
        <v>734</v>
      </c>
      <c r="G47">
        <f>IFERROR(INDEX(装备库!$A$2:$Y$1047,MATCH(ROW()-1,装备库!$AO$2:$AO$1046,0),COLUMN()),"")</f>
        <v>0</v>
      </c>
      <c r="H47">
        <f>IFERROR(INDEX(装备库!$A$2:$Y$1047,MATCH(ROW()-1,装备库!$AO$2:$AO$1046,0),COLUMN()),"")</f>
        <v>0</v>
      </c>
      <c r="I47">
        <f>IFERROR(INDEX(装备库!$A$2:$Y$1047,MATCH(ROW()-1,装备库!$AO$2:$AO$1046,0),COLUMN()),"")</f>
        <v>2270</v>
      </c>
      <c r="J47">
        <f>IFERROR(INDEX(装备库!$A$2:$Y$1047,MATCH(ROW()-1,装备库!$AO$2:$AO$1046,0),COLUMN()),"")</f>
        <v>2018</v>
      </c>
      <c r="K47">
        <f>IFERROR(INDEX(装备库!$A$2:$Y$1047,MATCH(ROW()-1,装备库!$AO$2:$AO$1046,0),COLUMN()),"")</f>
        <v>0</v>
      </c>
      <c r="L47">
        <f>IFERROR(INDEX(装备库!$A$2:$Y$1047,MATCH(ROW()-1,装备库!$AO$2:$AO$1046,0),COLUMN()),"")</f>
        <v>0</v>
      </c>
      <c r="M47">
        <f>IFERROR(INDEX(装备库!$A$2:$Y$1047,MATCH(ROW()-1,装备库!$AO$2:$AO$1046,0),COLUMN()),"")</f>
        <v>0</v>
      </c>
      <c r="N47">
        <f>IFERROR(INDEX(装备库!$A$2:$Y$1047,MATCH(ROW()-1,装备库!$AO$2:$AO$1046,0),COLUMN()),"")</f>
        <v>0</v>
      </c>
      <c r="O47">
        <f>IFERROR(INDEX(装备库!$A$2:$Y$1047,MATCH(ROW()-1,装备库!$AO$2:$AO$1046,0),COLUMN()),"")</f>
        <v>1</v>
      </c>
      <c r="P47">
        <f>IFERROR(INDEX(装备库!$A$2:$Y$1047,MATCH(ROW()-1,装备库!$AO$2:$AO$1046,0),COLUMN()),"")</f>
        <v>0</v>
      </c>
      <c r="Q47">
        <f>IFERROR(INDEX(装备库!$A$2:$Y$1047,MATCH(ROW()-1,装备库!$AO$2:$AO$1046,0),COLUMN()),"")</f>
        <v>0</v>
      </c>
      <c r="R47">
        <f>IFERROR(INDEX(装备库!$A$2:$Y$1047,MATCH(ROW()-1,装备库!$AO$2:$AO$1046,0),COLUMN()),"")</f>
        <v>0</v>
      </c>
      <c r="S47">
        <f>IFERROR(INDEX(装备库!$A$2:$Y$1047,MATCH(ROW()-1,装备库!$AO$2:$AO$1046,0),COLUMN()),"")</f>
        <v>0</v>
      </c>
      <c r="T47">
        <f>IFERROR(INDEX(装备库!$A$2:$Y$1047,MATCH(ROW()-1,装备库!$AO$2:$AO$1046,0),COLUMN()),"")</f>
        <v>0</v>
      </c>
      <c r="U47">
        <f>IFERROR(INDEX(装备库!$A$2:$Y$1047,MATCH(ROW()-1,装备库!$AO$2:$AO$1046,0),COLUMN()),"")</f>
        <v>0</v>
      </c>
      <c r="V47">
        <f>IFERROR(INDEX(装备库!$A$2:$Y$1047,MATCH(ROW()-1,装备库!$AO$2:$AO$1046,0),COLUMN()),"")</f>
        <v>0</v>
      </c>
      <c r="W47" t="str">
        <f>IFERROR(INDEX(装备库!$A$2:$Y$1047,MATCH(ROW()-1,装备库!$AO$2:$AO$1046,0),COLUMN()),"")</f>
        <v>招破</v>
      </c>
      <c r="X47">
        <f>IFERROR(INDEX(装备库!$A$2:$Y$1047,MATCH(ROW()-1,装备库!$AO$2:$AO$1046,0),COLUMN()),"")</f>
        <v>6</v>
      </c>
      <c r="Y47" t="str">
        <f>IFERROR(INDEX(装备库!$A$2:$Y$1047,MATCH(ROW()-1,装备库!$AO$2:$AO$1046,0),COLUMN()),"")</f>
        <v>活动</v>
      </c>
    </row>
    <row r="48" spans="1:25" x14ac:dyDescent="0.35">
      <c r="A48" t="str">
        <f>IFERROR(INDEX(装备库!$A$2:$Y$1047,MATCH(ROW()-1,装备库!$AO$2:$AO$1046,0),COLUMN()),"")</f>
        <v>暗器</v>
      </c>
      <c r="B48" t="str">
        <f>IFERROR(INDEX(装备库!$A$2:$Y$1047,MATCH(ROW()-1,装备库!$AO$2:$AO$1046,0),COLUMN()),"")</f>
        <v>无封囊</v>
      </c>
      <c r="C48">
        <f>IFERROR(INDEX(装备库!$A$2:$Y$1047,MATCH(ROW()-1,装备库!$AO$2:$AO$1046,0),COLUMN()),"")</f>
        <v>10900</v>
      </c>
      <c r="D48" t="str">
        <f>IFERROR(INDEX(装备库!$A$2:$Y$1047,MATCH(ROW()-1,装备库!$AO$2:$AO$1046,0),COLUMN()),"")</f>
        <v>无封囊(10900精简攻破)</v>
      </c>
      <c r="E48">
        <f>IFERROR(INDEX(装备库!$A$2:$Y$1047,MATCH(ROW()-1,装备库!$AO$2:$AO$1046,0),COLUMN()),"")</f>
        <v>0</v>
      </c>
      <c r="F48">
        <f>IFERROR(INDEX(装备库!$A$2:$Y$1047,MATCH(ROW()-1,装备库!$AO$2:$AO$1046,0),COLUMN()),"")</f>
        <v>1938</v>
      </c>
      <c r="G48">
        <f>IFERROR(INDEX(装备库!$A$2:$Y$1047,MATCH(ROW()-1,装备库!$AO$2:$AO$1046,0),COLUMN()),"")</f>
        <v>0</v>
      </c>
      <c r="H48">
        <f>IFERROR(INDEX(装备库!$A$2:$Y$1047,MATCH(ROW()-1,装备库!$AO$2:$AO$1046,0),COLUMN()),"")</f>
        <v>0</v>
      </c>
      <c r="I48">
        <f>IFERROR(INDEX(装备库!$A$2:$Y$1047,MATCH(ROW()-1,装备库!$AO$2:$AO$1046,0),COLUMN()),"")</f>
        <v>4392</v>
      </c>
      <c r="J48">
        <f>IFERROR(INDEX(装备库!$A$2:$Y$1047,MATCH(ROW()-1,装备库!$AO$2:$AO$1046,0),COLUMN()),"")</f>
        <v>0</v>
      </c>
      <c r="K48">
        <f>IFERROR(INDEX(装备库!$A$2:$Y$1047,MATCH(ROW()-1,装备库!$AO$2:$AO$1046,0),COLUMN()),"")</f>
        <v>0</v>
      </c>
      <c r="L48">
        <f>IFERROR(INDEX(装备库!$A$2:$Y$1047,MATCH(ROW()-1,装备库!$AO$2:$AO$1046,0),COLUMN()),"")</f>
        <v>0</v>
      </c>
      <c r="M48">
        <f>IFERROR(INDEX(装备库!$A$2:$Y$1047,MATCH(ROW()-1,装备库!$AO$2:$AO$1046,0),COLUMN()),"")</f>
        <v>0</v>
      </c>
      <c r="N48">
        <f>IFERROR(INDEX(装备库!$A$2:$Y$1047,MATCH(ROW()-1,装备库!$AO$2:$AO$1046,0),COLUMN()),"")</f>
        <v>0</v>
      </c>
      <c r="O48">
        <f>IFERROR(INDEX(装备库!$A$2:$Y$1047,MATCH(ROW()-1,装备库!$AO$2:$AO$1046,0),COLUMN()),"")</f>
        <v>0</v>
      </c>
      <c r="P48">
        <f>IFERROR(INDEX(装备库!$A$2:$Y$1047,MATCH(ROW()-1,装备库!$AO$2:$AO$1046,0),COLUMN()),"")</f>
        <v>0</v>
      </c>
      <c r="Q48">
        <f>IFERROR(INDEX(装备库!$A$2:$Y$1047,MATCH(ROW()-1,装备库!$AO$2:$AO$1046,0),COLUMN()),"")</f>
        <v>0</v>
      </c>
      <c r="R48">
        <f>IFERROR(INDEX(装备库!$A$2:$Y$1047,MATCH(ROW()-1,装备库!$AO$2:$AO$1046,0),COLUMN()),"")</f>
        <v>0</v>
      </c>
      <c r="S48">
        <f>IFERROR(INDEX(装备库!$A$2:$Y$1047,MATCH(ROW()-1,装备库!$AO$2:$AO$1046,0),COLUMN()),"")</f>
        <v>0</v>
      </c>
      <c r="T48">
        <f>IFERROR(INDEX(装备库!$A$2:$Y$1047,MATCH(ROW()-1,装备库!$AO$2:$AO$1046,0),COLUMN()),"")</f>
        <v>1</v>
      </c>
      <c r="U48">
        <f>IFERROR(INDEX(装备库!$A$2:$Y$1047,MATCH(ROW()-1,装备库!$AO$2:$AO$1046,0),COLUMN()),"")</f>
        <v>0</v>
      </c>
      <c r="V48">
        <f>IFERROR(INDEX(装备库!$A$2:$Y$1047,MATCH(ROW()-1,装备库!$AO$2:$AO$1046,0),COLUMN()),"")</f>
        <v>0</v>
      </c>
      <c r="W48" t="str">
        <f>IFERROR(INDEX(装备库!$A$2:$Y$1047,MATCH(ROW()-1,装备库!$AO$2:$AO$1046,0),COLUMN()),"")</f>
        <v>精简攻破</v>
      </c>
      <c r="X48">
        <f>IFERROR(INDEX(装备库!$A$2:$Y$1047,MATCH(ROW()-1,装备库!$AO$2:$AO$1046,0),COLUMN()),"")</f>
        <v>3</v>
      </c>
      <c r="Y48" t="str">
        <f>IFERROR(INDEX(装备库!$A$2:$Y$1047,MATCH(ROW()-1,装备库!$AO$2:$AO$1046,0),COLUMN()),"")</f>
        <v>活动</v>
      </c>
    </row>
    <row r="49" spans="1:25" x14ac:dyDescent="0.35">
      <c r="A49" t="str">
        <f>IFERROR(INDEX(装备库!$A$2:$Y$1047,MATCH(ROW()-1,装备库!$AO$2:$AO$1046,0),COLUMN()),"")</f>
        <v>暗器</v>
      </c>
      <c r="B49" t="str">
        <f>IFERROR(INDEX(装备库!$A$2:$Y$1047,MATCH(ROW()-1,装备库!$AO$2:$AO$1046,0),COLUMN()),"")</f>
        <v>无封囊</v>
      </c>
      <c r="C49">
        <f>IFERROR(INDEX(装备库!$A$2:$Y$1047,MATCH(ROW()-1,装备库!$AO$2:$AO$1046,0),COLUMN()),"")</f>
        <v>10900</v>
      </c>
      <c r="D49" t="str">
        <f>IFERROR(INDEX(装备库!$A$2:$Y$1047,MATCH(ROW()-1,装备库!$AO$2:$AO$1046,0),COLUMN()),"")</f>
        <v>无封囊(10900精简攻会会招)</v>
      </c>
      <c r="E49">
        <f>IFERROR(INDEX(装备库!$A$2:$Y$1047,MATCH(ROW()-1,装备库!$AO$2:$AO$1046,0),COLUMN()),"")</f>
        <v>0</v>
      </c>
      <c r="F49">
        <f>IFERROR(INDEX(装备库!$A$2:$Y$1047,MATCH(ROW()-1,装备库!$AO$2:$AO$1046,0),COLUMN()),"")</f>
        <v>1653</v>
      </c>
      <c r="G49">
        <f>IFERROR(INDEX(装备库!$A$2:$Y$1047,MATCH(ROW()-1,装备库!$AO$2:$AO$1046,0),COLUMN()),"")</f>
        <v>2419</v>
      </c>
      <c r="H49">
        <f>IFERROR(INDEX(装备库!$A$2:$Y$1047,MATCH(ROW()-1,装备库!$AO$2:$AO$1046,0),COLUMN()),"")</f>
        <v>1273</v>
      </c>
      <c r="I49">
        <f>IFERROR(INDEX(装备库!$A$2:$Y$1047,MATCH(ROW()-1,装备库!$AO$2:$AO$1046,0),COLUMN()),"")</f>
        <v>0</v>
      </c>
      <c r="J49">
        <f>IFERROR(INDEX(装备库!$A$2:$Y$1047,MATCH(ROW()-1,装备库!$AO$2:$AO$1046,0),COLUMN()),"")</f>
        <v>1273</v>
      </c>
      <c r="K49">
        <f>IFERROR(INDEX(装备库!$A$2:$Y$1047,MATCH(ROW()-1,装备库!$AO$2:$AO$1046,0),COLUMN()),"")</f>
        <v>0</v>
      </c>
      <c r="L49">
        <f>IFERROR(INDEX(装备库!$A$2:$Y$1047,MATCH(ROW()-1,装备库!$AO$2:$AO$1046,0),COLUMN()),"")</f>
        <v>0</v>
      </c>
      <c r="M49">
        <f>IFERROR(INDEX(装备库!$A$2:$Y$1047,MATCH(ROW()-1,装备库!$AO$2:$AO$1046,0),COLUMN()),"")</f>
        <v>0</v>
      </c>
      <c r="N49">
        <f>IFERROR(INDEX(装备库!$A$2:$Y$1047,MATCH(ROW()-1,装备库!$AO$2:$AO$1046,0),COLUMN()),"")</f>
        <v>0</v>
      </c>
      <c r="O49">
        <f>IFERROR(INDEX(装备库!$A$2:$Y$1047,MATCH(ROW()-1,装备库!$AO$2:$AO$1046,0),COLUMN()),"")</f>
        <v>0</v>
      </c>
      <c r="P49">
        <f>IFERROR(INDEX(装备库!$A$2:$Y$1047,MATCH(ROW()-1,装备库!$AO$2:$AO$1046,0),COLUMN()),"")</f>
        <v>0</v>
      </c>
      <c r="Q49">
        <f>IFERROR(INDEX(装备库!$A$2:$Y$1047,MATCH(ROW()-1,装备库!$AO$2:$AO$1046,0),COLUMN()),"")</f>
        <v>0</v>
      </c>
      <c r="R49">
        <f>IFERROR(INDEX(装备库!$A$2:$Y$1047,MATCH(ROW()-1,装备库!$AO$2:$AO$1046,0),COLUMN()),"")</f>
        <v>0</v>
      </c>
      <c r="S49">
        <f>IFERROR(INDEX(装备库!$A$2:$Y$1047,MATCH(ROW()-1,装备库!$AO$2:$AO$1046,0),COLUMN()),"")</f>
        <v>1</v>
      </c>
      <c r="T49">
        <f>IFERROR(INDEX(装备库!$A$2:$Y$1047,MATCH(ROW()-1,装备库!$AO$2:$AO$1046,0),COLUMN()),"")</f>
        <v>0</v>
      </c>
      <c r="U49">
        <f>IFERROR(INDEX(装备库!$A$2:$Y$1047,MATCH(ROW()-1,装备库!$AO$2:$AO$1046,0),COLUMN()),"")</f>
        <v>0</v>
      </c>
      <c r="V49">
        <f>IFERROR(INDEX(装备库!$A$2:$Y$1047,MATCH(ROW()-1,装备库!$AO$2:$AO$1046,0),COLUMN()),"")</f>
        <v>0</v>
      </c>
      <c r="W49" t="str">
        <f>IFERROR(INDEX(装备库!$A$2:$Y$1047,MATCH(ROW()-1,装备库!$AO$2:$AO$1046,0),COLUMN()),"")</f>
        <v>精简攻会会招</v>
      </c>
      <c r="X49">
        <f>IFERROR(INDEX(装备库!$A$2:$Y$1047,MATCH(ROW()-1,装备库!$AO$2:$AO$1046,0),COLUMN()),"")</f>
        <v>3</v>
      </c>
      <c r="Y49" t="str">
        <f>IFERROR(INDEX(装备库!$A$2:$Y$1047,MATCH(ROW()-1,装备库!$AO$2:$AO$1046,0),COLUMN()),"")</f>
        <v>活动</v>
      </c>
    </row>
    <row r="50" spans="1:25" x14ac:dyDescent="0.35">
      <c r="A50" t="str">
        <f>IFERROR(INDEX(装备库!$A$2:$Y$1047,MATCH(ROW()-1,装备库!$AO$2:$AO$1046,0),COLUMN()),"")</f>
        <v>暗器</v>
      </c>
      <c r="B50" t="str">
        <f>IFERROR(INDEX(装备库!$A$2:$Y$1047,MATCH(ROW()-1,装备库!$AO$2:$AO$1046,0),COLUMN()),"")</f>
        <v>无封囊</v>
      </c>
      <c r="C50">
        <f>IFERROR(INDEX(装备库!$A$2:$Y$1047,MATCH(ROW()-1,装备库!$AO$2:$AO$1046,0),COLUMN()),"")</f>
        <v>10900</v>
      </c>
      <c r="D50" t="str">
        <f>IFERROR(INDEX(装备库!$A$2:$Y$1047,MATCH(ROW()-1,装备库!$AO$2:$AO$1046,0),COLUMN()),"")</f>
        <v>无封囊(10900精简攻会会)</v>
      </c>
      <c r="E50">
        <f>IFERROR(INDEX(装备库!$A$2:$Y$1047,MATCH(ROW()-1,装备库!$AO$2:$AO$1046,0),COLUMN()),"")</f>
        <v>0</v>
      </c>
      <c r="F50">
        <f>IFERROR(INDEX(装备库!$A$2:$Y$1047,MATCH(ROW()-1,装备库!$AO$2:$AO$1046,0),COLUMN()),"")</f>
        <v>1653</v>
      </c>
      <c r="G50">
        <f>IFERROR(INDEX(装备库!$A$2:$Y$1047,MATCH(ROW()-1,装备库!$AO$2:$AO$1046,0),COLUMN()),"")</f>
        <v>3055</v>
      </c>
      <c r="H50">
        <f>IFERROR(INDEX(装备库!$A$2:$Y$1047,MATCH(ROW()-1,装备库!$AO$2:$AO$1046,0),COLUMN()),"")</f>
        <v>1909</v>
      </c>
      <c r="I50">
        <f>IFERROR(INDEX(装备库!$A$2:$Y$1047,MATCH(ROW()-1,装备库!$AO$2:$AO$1046,0),COLUMN()),"")</f>
        <v>0</v>
      </c>
      <c r="J50">
        <f>IFERROR(INDEX(装备库!$A$2:$Y$1047,MATCH(ROW()-1,装备库!$AO$2:$AO$1046,0),COLUMN()),"")</f>
        <v>0</v>
      </c>
      <c r="K50">
        <f>IFERROR(INDEX(装备库!$A$2:$Y$1047,MATCH(ROW()-1,装备库!$AO$2:$AO$1046,0),COLUMN()),"")</f>
        <v>0</v>
      </c>
      <c r="L50">
        <f>IFERROR(INDEX(装备库!$A$2:$Y$1047,MATCH(ROW()-1,装备库!$AO$2:$AO$1046,0),COLUMN()),"")</f>
        <v>0</v>
      </c>
      <c r="M50">
        <f>IFERROR(INDEX(装备库!$A$2:$Y$1047,MATCH(ROW()-1,装备库!$AO$2:$AO$1046,0),COLUMN()),"")</f>
        <v>0</v>
      </c>
      <c r="N50">
        <f>IFERROR(INDEX(装备库!$A$2:$Y$1047,MATCH(ROW()-1,装备库!$AO$2:$AO$1046,0),COLUMN()),"")</f>
        <v>0</v>
      </c>
      <c r="O50">
        <f>IFERROR(INDEX(装备库!$A$2:$Y$1047,MATCH(ROW()-1,装备库!$AO$2:$AO$1046,0),COLUMN()),"")</f>
        <v>0</v>
      </c>
      <c r="P50">
        <f>IFERROR(INDEX(装备库!$A$2:$Y$1047,MATCH(ROW()-1,装备库!$AO$2:$AO$1046,0),COLUMN()),"")</f>
        <v>0</v>
      </c>
      <c r="Q50">
        <f>IFERROR(INDEX(装备库!$A$2:$Y$1047,MATCH(ROW()-1,装备库!$AO$2:$AO$1046,0),COLUMN()),"")</f>
        <v>0</v>
      </c>
      <c r="R50">
        <f>IFERROR(INDEX(装备库!$A$2:$Y$1047,MATCH(ROW()-1,装备库!$AO$2:$AO$1046,0),COLUMN()),"")</f>
        <v>0</v>
      </c>
      <c r="S50">
        <f>IFERROR(INDEX(装备库!$A$2:$Y$1047,MATCH(ROW()-1,装备库!$AO$2:$AO$1046,0),COLUMN()),"")</f>
        <v>1</v>
      </c>
      <c r="T50">
        <f>IFERROR(INDEX(装备库!$A$2:$Y$1047,MATCH(ROW()-1,装备库!$AO$2:$AO$1046,0),COLUMN()),"")</f>
        <v>0</v>
      </c>
      <c r="U50">
        <f>IFERROR(INDEX(装备库!$A$2:$Y$1047,MATCH(ROW()-1,装备库!$AO$2:$AO$1046,0),COLUMN()),"")</f>
        <v>0</v>
      </c>
      <c r="V50">
        <f>IFERROR(INDEX(装备库!$A$2:$Y$1047,MATCH(ROW()-1,装备库!$AO$2:$AO$1046,0),COLUMN()),"")</f>
        <v>0</v>
      </c>
      <c r="W50" t="str">
        <f>IFERROR(INDEX(装备库!$A$2:$Y$1047,MATCH(ROW()-1,装备库!$AO$2:$AO$1046,0),COLUMN()),"")</f>
        <v>精简攻会会</v>
      </c>
      <c r="X50">
        <f>IFERROR(INDEX(装备库!$A$2:$Y$1047,MATCH(ROW()-1,装备库!$AO$2:$AO$1046,0),COLUMN()),"")</f>
        <v>3</v>
      </c>
      <c r="Y50" t="str">
        <f>IFERROR(INDEX(装备库!$A$2:$Y$1047,MATCH(ROW()-1,装备库!$AO$2:$AO$1046,0),COLUMN()),"")</f>
        <v>活动</v>
      </c>
    </row>
    <row r="51" spans="1:25" x14ac:dyDescent="0.35">
      <c r="A51" t="str">
        <f>IFERROR(INDEX(装备库!$A$2:$Y$1047,MATCH(ROW()-1,装备库!$AO$2:$AO$1046,0),COLUMN()),"")</f>
        <v>暗器</v>
      </c>
      <c r="B51" t="str">
        <f>IFERROR(INDEX(装备库!$A$2:$Y$1047,MATCH(ROW()-1,装备库!$AO$2:$AO$1046,0),COLUMN()),"")</f>
        <v>风销残烟·承平囊</v>
      </c>
      <c r="C51">
        <f>IFERROR(INDEX(装备库!$A$2:$Y$1047,MATCH(ROW()-1,装备库!$AO$2:$AO$1046,0),COLUMN()),"")</f>
        <v>11000</v>
      </c>
      <c r="D51" t="str">
        <f>IFERROR(INDEX(装备库!$A$2:$Y$1047,MATCH(ROW()-1,装备库!$AO$2:$AO$1046,0),COLUMN()),"")</f>
        <v>风销残烟·承平囊(11000会无)</v>
      </c>
      <c r="E51">
        <f>IFERROR(INDEX(装备库!$A$2:$Y$1047,MATCH(ROW()-1,装备库!$AO$2:$AO$1046,0),COLUMN()),"")</f>
        <v>461</v>
      </c>
      <c r="F51">
        <f>IFERROR(INDEX(装备库!$A$2:$Y$1047,MATCH(ROW()-1,装备库!$AO$2:$AO$1046,0),COLUMN()),"")</f>
        <v>748</v>
      </c>
      <c r="G51">
        <f>IFERROR(INDEX(装备库!$A$2:$Y$1047,MATCH(ROW()-1,装备库!$AO$2:$AO$1046,0),COLUMN()),"")</f>
        <v>2312</v>
      </c>
      <c r="H51">
        <f>IFERROR(INDEX(装备库!$A$2:$Y$1047,MATCH(ROW()-1,装备库!$AO$2:$AO$1046,0),COLUMN()),"")</f>
        <v>0</v>
      </c>
      <c r="I51">
        <f>IFERROR(INDEX(装备库!$A$2:$Y$1047,MATCH(ROW()-1,装备库!$AO$2:$AO$1046,0),COLUMN()),"")</f>
        <v>0</v>
      </c>
      <c r="J51">
        <f>IFERROR(INDEX(装备库!$A$2:$Y$1047,MATCH(ROW()-1,装备库!$AO$2:$AO$1046,0),COLUMN()),"")</f>
        <v>0</v>
      </c>
      <c r="K51">
        <f>IFERROR(INDEX(装备库!$A$2:$Y$1047,MATCH(ROW()-1,装备库!$AO$2:$AO$1046,0),COLUMN()),"")</f>
        <v>2055</v>
      </c>
      <c r="L51">
        <f>IFERROR(INDEX(装备库!$A$2:$Y$1047,MATCH(ROW()-1,装备库!$AO$2:$AO$1046,0),COLUMN()),"")</f>
        <v>0</v>
      </c>
      <c r="M51">
        <f>IFERROR(INDEX(装备库!$A$2:$Y$1047,MATCH(ROW()-1,装备库!$AO$2:$AO$1046,0),COLUMN()),"")</f>
        <v>0</v>
      </c>
      <c r="N51">
        <f>IFERROR(INDEX(装备库!$A$2:$Y$1047,MATCH(ROW()-1,装备库!$AO$2:$AO$1046,0),COLUMN()),"")</f>
        <v>0</v>
      </c>
      <c r="O51">
        <f>IFERROR(INDEX(装备库!$A$2:$Y$1047,MATCH(ROW()-1,装备库!$AO$2:$AO$1046,0),COLUMN()),"")</f>
        <v>0</v>
      </c>
      <c r="P51">
        <f>IFERROR(INDEX(装备库!$A$2:$Y$1047,MATCH(ROW()-1,装备库!$AO$2:$AO$1046,0),COLUMN()),"")</f>
        <v>0</v>
      </c>
      <c r="Q51">
        <f>IFERROR(INDEX(装备库!$A$2:$Y$1047,MATCH(ROW()-1,装备库!$AO$2:$AO$1046,0),COLUMN()),"")</f>
        <v>1</v>
      </c>
      <c r="R51">
        <f>IFERROR(INDEX(装备库!$A$2:$Y$1047,MATCH(ROW()-1,装备库!$AO$2:$AO$1046,0),COLUMN()),"")</f>
        <v>0</v>
      </c>
      <c r="S51">
        <f>IFERROR(INDEX(装备库!$A$2:$Y$1047,MATCH(ROW()-1,装备库!$AO$2:$AO$1046,0),COLUMN()),"")</f>
        <v>0</v>
      </c>
      <c r="T51">
        <f>IFERROR(INDEX(装备库!$A$2:$Y$1047,MATCH(ROW()-1,装备库!$AO$2:$AO$1046,0),COLUMN()),"")</f>
        <v>0</v>
      </c>
      <c r="U51">
        <f>IFERROR(INDEX(装备库!$A$2:$Y$1047,MATCH(ROW()-1,装备库!$AO$2:$AO$1046,0),COLUMN()),"")</f>
        <v>0</v>
      </c>
      <c r="V51">
        <f>IFERROR(INDEX(装备库!$A$2:$Y$1047,MATCH(ROW()-1,装备库!$AO$2:$AO$1046,0),COLUMN()),"")</f>
        <v>0</v>
      </c>
      <c r="W51" t="str">
        <f>IFERROR(INDEX(装备库!$A$2:$Y$1047,MATCH(ROW()-1,装备库!$AO$2:$AO$1046,0),COLUMN()),"")</f>
        <v>会无</v>
      </c>
      <c r="X51">
        <f>IFERROR(INDEX(装备库!$A$2:$Y$1047,MATCH(ROW()-1,装备库!$AO$2:$AO$1046,0),COLUMN()),"")</f>
        <v>6</v>
      </c>
      <c r="Y51" t="str">
        <f>IFERROR(INDEX(装备库!$A$2:$Y$1047,MATCH(ROW()-1,装备库!$AO$2:$AO$1046,0),COLUMN()),"")</f>
        <v>飞沙令</v>
      </c>
    </row>
    <row r="52" spans="1:25" x14ac:dyDescent="0.35">
      <c r="A52" t="str">
        <f>IFERROR(INDEX(装备库!$A$2:$Y$1047,MATCH(ROW()-1,装备库!$AO$2:$AO$1046,0),COLUMN()),"")</f>
        <v>暗器</v>
      </c>
      <c r="B52" t="str">
        <f>IFERROR(INDEX(装备库!$A$2:$Y$1047,MATCH(ROW()-1,装备库!$AO$2:$AO$1046,0),COLUMN()),"")</f>
        <v>度飞囊</v>
      </c>
      <c r="C52">
        <f>IFERROR(INDEX(装备库!$A$2:$Y$1047,MATCH(ROW()-1,装备库!$AO$2:$AO$1046,0),COLUMN()),"")</f>
        <v>11150</v>
      </c>
      <c r="D52" t="str">
        <f>IFERROR(INDEX(装备库!$A$2:$Y$1047,MATCH(ROW()-1,装备库!$AO$2:$AO$1046,0),COLUMN()),"")</f>
        <v>度飞囊(11150招破)</v>
      </c>
      <c r="E52">
        <f>IFERROR(INDEX(装备库!$A$2:$Y$1047,MATCH(ROW()-1,装备库!$AO$2:$AO$1046,0),COLUMN()),"")</f>
        <v>467</v>
      </c>
      <c r="F52">
        <f>IFERROR(INDEX(装备库!$A$2:$Y$1047,MATCH(ROW()-1,装备库!$AO$2:$AO$1046,0),COLUMN()),"")</f>
        <v>758</v>
      </c>
      <c r="G52">
        <f>IFERROR(INDEX(装备库!$A$2:$Y$1047,MATCH(ROW()-1,装备库!$AO$2:$AO$1046,0),COLUMN()),"")</f>
        <v>0</v>
      </c>
      <c r="H52">
        <f>IFERROR(INDEX(装备库!$A$2:$Y$1047,MATCH(ROW()-1,装备库!$AO$2:$AO$1046,0),COLUMN()),"")</f>
        <v>0</v>
      </c>
      <c r="I52">
        <f>IFERROR(INDEX(装备库!$A$2:$Y$1047,MATCH(ROW()-1,装备库!$AO$2:$AO$1046,0),COLUMN()),"")</f>
        <v>2344</v>
      </c>
      <c r="J52">
        <f>IFERROR(INDEX(装备库!$A$2:$Y$1047,MATCH(ROW()-1,装备库!$AO$2:$AO$1046,0),COLUMN()),"")</f>
        <v>2083</v>
      </c>
      <c r="K52">
        <f>IFERROR(INDEX(装备库!$A$2:$Y$1047,MATCH(ROW()-1,装备库!$AO$2:$AO$1046,0),COLUMN()),"")</f>
        <v>0</v>
      </c>
      <c r="L52">
        <f>IFERROR(INDEX(装备库!$A$2:$Y$1047,MATCH(ROW()-1,装备库!$AO$2:$AO$1046,0),COLUMN()),"")</f>
        <v>0</v>
      </c>
      <c r="M52">
        <f>IFERROR(INDEX(装备库!$A$2:$Y$1047,MATCH(ROW()-1,装备库!$AO$2:$AO$1046,0),COLUMN()),"")</f>
        <v>0</v>
      </c>
      <c r="N52">
        <f>IFERROR(INDEX(装备库!$A$2:$Y$1047,MATCH(ROW()-1,装备库!$AO$2:$AO$1046,0),COLUMN()),"")</f>
        <v>0</v>
      </c>
      <c r="O52">
        <f>IFERROR(INDEX(装备库!$A$2:$Y$1047,MATCH(ROW()-1,装备库!$AO$2:$AO$1046,0),COLUMN()),"")</f>
        <v>1</v>
      </c>
      <c r="P52">
        <f>IFERROR(INDEX(装备库!$A$2:$Y$1047,MATCH(ROW()-1,装备库!$AO$2:$AO$1046,0),COLUMN()),"")</f>
        <v>0</v>
      </c>
      <c r="Q52">
        <f>IFERROR(INDEX(装备库!$A$2:$Y$1047,MATCH(ROW()-1,装备库!$AO$2:$AO$1046,0),COLUMN()),"")</f>
        <v>0</v>
      </c>
      <c r="R52">
        <f>IFERROR(INDEX(装备库!$A$2:$Y$1047,MATCH(ROW()-1,装备库!$AO$2:$AO$1046,0),COLUMN()),"")</f>
        <v>0</v>
      </c>
      <c r="S52">
        <f>IFERROR(INDEX(装备库!$A$2:$Y$1047,MATCH(ROW()-1,装备库!$AO$2:$AO$1046,0),COLUMN()),"")</f>
        <v>0</v>
      </c>
      <c r="T52">
        <f>IFERROR(INDEX(装备库!$A$2:$Y$1047,MATCH(ROW()-1,装备库!$AO$2:$AO$1046,0),COLUMN()),"")</f>
        <v>0</v>
      </c>
      <c r="U52">
        <f>IFERROR(INDEX(装备库!$A$2:$Y$1047,MATCH(ROW()-1,装备库!$AO$2:$AO$1046,0),COLUMN()),"")</f>
        <v>0</v>
      </c>
      <c r="V52">
        <f>IFERROR(INDEX(装备库!$A$2:$Y$1047,MATCH(ROW()-1,装备库!$AO$2:$AO$1046,0),COLUMN()),"")</f>
        <v>0</v>
      </c>
      <c r="W52" t="str">
        <f>IFERROR(INDEX(装备库!$A$2:$Y$1047,MATCH(ROW()-1,装备库!$AO$2:$AO$1046,0),COLUMN()),"")</f>
        <v>招破</v>
      </c>
      <c r="X52">
        <f>IFERROR(INDEX(装备库!$A$2:$Y$1047,MATCH(ROW()-1,装备库!$AO$2:$AO$1046,0),COLUMN()),"")</f>
        <v>6</v>
      </c>
      <c r="Y52" t="str">
        <f>IFERROR(INDEX(装备库!$A$2:$Y$1047,MATCH(ROW()-1,装备库!$AO$2:$AO$1046,0),COLUMN()),"")</f>
        <v>副本</v>
      </c>
    </row>
    <row r="53" spans="1:25" x14ac:dyDescent="0.35">
      <c r="A53" t="str">
        <f>IFERROR(INDEX(装备库!$A$2:$Y$1047,MATCH(ROW()-1,装备库!$AO$2:$AO$1046,0),COLUMN()),"")</f>
        <v>暗器</v>
      </c>
      <c r="B53" t="str">
        <f>IFERROR(INDEX(装备库!$A$2:$Y$1047,MATCH(ROW()-1,装备库!$AO$2:$AO$1046,0),COLUMN()),"")</f>
        <v>旋山箭囊</v>
      </c>
      <c r="C53">
        <f>IFERROR(INDEX(装备库!$A$2:$Y$1047,MATCH(ROW()-1,装备库!$AO$2:$AO$1046,0),COLUMN()),"")</f>
        <v>11150</v>
      </c>
      <c r="D53" t="str">
        <f>IFERROR(INDEX(装备库!$A$2:$Y$1047,MATCH(ROW()-1,装备库!$AO$2:$AO$1046,0),COLUMN()),"")</f>
        <v>旋山箭囊(11150速招)</v>
      </c>
      <c r="E53">
        <f>IFERROR(INDEX(装备库!$A$2:$Y$1047,MATCH(ROW()-1,装备库!$AO$2:$AO$1046,0),COLUMN()),"")</f>
        <v>467</v>
      </c>
      <c r="F53">
        <f>IFERROR(INDEX(装备库!$A$2:$Y$1047,MATCH(ROW()-1,装备库!$AO$2:$AO$1046,0),COLUMN()),"")</f>
        <v>758</v>
      </c>
      <c r="G53">
        <f>IFERROR(INDEX(装备库!$A$2:$Y$1047,MATCH(ROW()-1,装备库!$AO$2:$AO$1046,0),COLUMN()),"")</f>
        <v>0</v>
      </c>
      <c r="H53">
        <f>IFERROR(INDEX(装备库!$A$2:$Y$1047,MATCH(ROW()-1,装备库!$AO$2:$AO$1046,0),COLUMN()),"")</f>
        <v>0</v>
      </c>
      <c r="I53">
        <f>IFERROR(INDEX(装备库!$A$2:$Y$1047,MATCH(ROW()-1,装备库!$AO$2:$AO$1046,0),COLUMN()),"")</f>
        <v>0</v>
      </c>
      <c r="J53">
        <f>IFERROR(INDEX(装备库!$A$2:$Y$1047,MATCH(ROW()-1,装备库!$AO$2:$AO$1046,0),COLUMN()),"")</f>
        <v>2083</v>
      </c>
      <c r="K53">
        <f>IFERROR(INDEX(装备库!$A$2:$Y$1047,MATCH(ROW()-1,装备库!$AO$2:$AO$1046,0),COLUMN()),"")</f>
        <v>0</v>
      </c>
      <c r="L53">
        <f>IFERROR(INDEX(装备库!$A$2:$Y$1047,MATCH(ROW()-1,装备库!$AO$2:$AO$1046,0),COLUMN()),"")</f>
        <v>2344</v>
      </c>
      <c r="M53">
        <f>IFERROR(INDEX(装备库!$A$2:$Y$1047,MATCH(ROW()-1,装备库!$AO$2:$AO$1046,0),COLUMN()),"")</f>
        <v>0</v>
      </c>
      <c r="N53">
        <f>IFERROR(INDEX(装备库!$A$2:$Y$1047,MATCH(ROW()-1,装备库!$AO$2:$AO$1046,0),COLUMN()),"")</f>
        <v>0</v>
      </c>
      <c r="O53">
        <f>IFERROR(INDEX(装备库!$A$2:$Y$1047,MATCH(ROW()-1,装备库!$AO$2:$AO$1046,0),COLUMN()),"")</f>
        <v>1</v>
      </c>
      <c r="P53">
        <f>IFERROR(INDEX(装备库!$A$2:$Y$1047,MATCH(ROW()-1,装备库!$AO$2:$AO$1046,0),COLUMN()),"")</f>
        <v>0</v>
      </c>
      <c r="Q53">
        <f>IFERROR(INDEX(装备库!$A$2:$Y$1047,MATCH(ROW()-1,装备库!$AO$2:$AO$1046,0),COLUMN()),"")</f>
        <v>0</v>
      </c>
      <c r="R53">
        <f>IFERROR(INDEX(装备库!$A$2:$Y$1047,MATCH(ROW()-1,装备库!$AO$2:$AO$1046,0),COLUMN()),"")</f>
        <v>0</v>
      </c>
      <c r="S53">
        <f>IFERROR(INDEX(装备库!$A$2:$Y$1047,MATCH(ROW()-1,装备库!$AO$2:$AO$1046,0),COLUMN()),"")</f>
        <v>0</v>
      </c>
      <c r="T53">
        <f>IFERROR(INDEX(装备库!$A$2:$Y$1047,MATCH(ROW()-1,装备库!$AO$2:$AO$1046,0),COLUMN()),"")</f>
        <v>0</v>
      </c>
      <c r="U53">
        <f>IFERROR(INDEX(装备库!$A$2:$Y$1047,MATCH(ROW()-1,装备库!$AO$2:$AO$1046,0),COLUMN()),"")</f>
        <v>0</v>
      </c>
      <c r="V53">
        <f>IFERROR(INDEX(装备库!$A$2:$Y$1047,MATCH(ROW()-1,装备库!$AO$2:$AO$1046,0),COLUMN()),"")</f>
        <v>0</v>
      </c>
      <c r="W53" t="str">
        <f>IFERROR(INDEX(装备库!$A$2:$Y$1047,MATCH(ROW()-1,装备库!$AO$2:$AO$1046,0),COLUMN()),"")</f>
        <v>速招</v>
      </c>
      <c r="X53">
        <f>IFERROR(INDEX(装备库!$A$2:$Y$1047,MATCH(ROW()-1,装备库!$AO$2:$AO$1046,0),COLUMN()),"")</f>
        <v>6</v>
      </c>
      <c r="Y53" t="str">
        <f>IFERROR(INDEX(装备库!$A$2:$Y$1047,MATCH(ROW()-1,装备库!$AO$2:$AO$1046,0),COLUMN()),"")</f>
        <v>副本</v>
      </c>
    </row>
    <row r="54" spans="1:25" x14ac:dyDescent="0.35">
      <c r="A54" t="str">
        <f>IFERROR(INDEX(装备库!$A$2:$Y$1047,MATCH(ROW()-1,装备库!$AO$2:$AO$1046,0),COLUMN()),"")</f>
        <v>暗器</v>
      </c>
      <c r="B54" t="str">
        <f>IFERROR(INDEX(装备库!$A$2:$Y$1047,MATCH(ROW()-1,装备库!$AO$2:$AO$1046,0),COLUMN()),"")</f>
        <v>湘灿囊</v>
      </c>
      <c r="C54">
        <f>IFERROR(INDEX(装备库!$A$2:$Y$1047,MATCH(ROW()-1,装备库!$AO$2:$AO$1046,0),COLUMN()),"")</f>
        <v>11150</v>
      </c>
      <c r="D54" t="str">
        <f>IFERROR(INDEX(装备库!$A$2:$Y$1047,MATCH(ROW()-1,装备库!$AO$2:$AO$1046,0),COLUMN()),"")</f>
        <v>湘灿囊(11150会招)</v>
      </c>
      <c r="E54">
        <f>IFERROR(INDEX(装备库!$A$2:$Y$1047,MATCH(ROW()-1,装备库!$AO$2:$AO$1046,0),COLUMN()),"")</f>
        <v>467</v>
      </c>
      <c r="F54">
        <f>IFERROR(INDEX(装备库!$A$2:$Y$1047,MATCH(ROW()-1,装备库!$AO$2:$AO$1046,0),COLUMN()),"")</f>
        <v>758</v>
      </c>
      <c r="G54">
        <f>IFERROR(INDEX(装备库!$A$2:$Y$1047,MATCH(ROW()-1,装备库!$AO$2:$AO$1046,0),COLUMN()),"")</f>
        <v>2344</v>
      </c>
      <c r="H54">
        <f>IFERROR(INDEX(装备库!$A$2:$Y$1047,MATCH(ROW()-1,装备库!$AO$2:$AO$1046,0),COLUMN()),"")</f>
        <v>0</v>
      </c>
      <c r="I54">
        <f>IFERROR(INDEX(装备库!$A$2:$Y$1047,MATCH(ROW()-1,装备库!$AO$2:$AO$1046,0),COLUMN()),"")</f>
        <v>0</v>
      </c>
      <c r="J54">
        <f>IFERROR(INDEX(装备库!$A$2:$Y$1047,MATCH(ROW()-1,装备库!$AO$2:$AO$1046,0),COLUMN()),"")</f>
        <v>2083</v>
      </c>
      <c r="K54">
        <f>IFERROR(INDEX(装备库!$A$2:$Y$1047,MATCH(ROW()-1,装备库!$AO$2:$AO$1046,0),COLUMN()),"")</f>
        <v>0</v>
      </c>
      <c r="L54">
        <f>IFERROR(INDEX(装备库!$A$2:$Y$1047,MATCH(ROW()-1,装备库!$AO$2:$AO$1046,0),COLUMN()),"")</f>
        <v>0</v>
      </c>
      <c r="M54">
        <f>IFERROR(INDEX(装备库!$A$2:$Y$1047,MATCH(ROW()-1,装备库!$AO$2:$AO$1046,0),COLUMN()),"")</f>
        <v>0</v>
      </c>
      <c r="N54">
        <f>IFERROR(INDEX(装备库!$A$2:$Y$1047,MATCH(ROW()-1,装备库!$AO$2:$AO$1046,0),COLUMN()),"")</f>
        <v>0</v>
      </c>
      <c r="O54">
        <f>IFERROR(INDEX(装备库!$A$2:$Y$1047,MATCH(ROW()-1,装备库!$AO$2:$AO$1046,0),COLUMN()),"")</f>
        <v>1</v>
      </c>
      <c r="P54">
        <f>IFERROR(INDEX(装备库!$A$2:$Y$1047,MATCH(ROW()-1,装备库!$AO$2:$AO$1046,0),COLUMN()),"")</f>
        <v>0</v>
      </c>
      <c r="Q54">
        <f>IFERROR(INDEX(装备库!$A$2:$Y$1047,MATCH(ROW()-1,装备库!$AO$2:$AO$1046,0),COLUMN()),"")</f>
        <v>0</v>
      </c>
      <c r="R54">
        <f>IFERROR(INDEX(装备库!$A$2:$Y$1047,MATCH(ROW()-1,装备库!$AO$2:$AO$1046,0),COLUMN()),"")</f>
        <v>0</v>
      </c>
      <c r="S54">
        <f>IFERROR(INDEX(装备库!$A$2:$Y$1047,MATCH(ROW()-1,装备库!$AO$2:$AO$1046,0),COLUMN()),"")</f>
        <v>0</v>
      </c>
      <c r="T54">
        <f>IFERROR(INDEX(装备库!$A$2:$Y$1047,MATCH(ROW()-1,装备库!$AO$2:$AO$1046,0),COLUMN()),"")</f>
        <v>0</v>
      </c>
      <c r="U54">
        <f>IFERROR(INDEX(装备库!$A$2:$Y$1047,MATCH(ROW()-1,装备库!$AO$2:$AO$1046,0),COLUMN()),"")</f>
        <v>0</v>
      </c>
      <c r="V54">
        <f>IFERROR(INDEX(装备库!$A$2:$Y$1047,MATCH(ROW()-1,装备库!$AO$2:$AO$1046,0),COLUMN()),"")</f>
        <v>0</v>
      </c>
      <c r="W54" t="str">
        <f>IFERROR(INDEX(装备库!$A$2:$Y$1047,MATCH(ROW()-1,装备库!$AO$2:$AO$1046,0),COLUMN()),"")</f>
        <v>会招</v>
      </c>
      <c r="X54">
        <f>IFERROR(INDEX(装备库!$A$2:$Y$1047,MATCH(ROW()-1,装备库!$AO$2:$AO$1046,0),COLUMN()),"")</f>
        <v>6</v>
      </c>
      <c r="Y54" t="str">
        <f>IFERROR(INDEX(装备库!$A$2:$Y$1047,MATCH(ROW()-1,装备库!$AO$2:$AO$1046,0),COLUMN()),"")</f>
        <v>世界BOSS</v>
      </c>
    </row>
    <row r="55" spans="1:25" x14ac:dyDescent="0.35">
      <c r="A55" t="str">
        <f>IFERROR(INDEX(装备库!$A$2:$Y$1047,MATCH(ROW()-1,装备库!$AO$2:$AO$1046,0),COLUMN()),"")</f>
        <v>暗器</v>
      </c>
      <c r="B55" t="str">
        <f>IFERROR(INDEX(装备库!$A$2:$Y$1047,MATCH(ROW()-1,装备库!$AO$2:$AO$1046,0),COLUMN()),"")</f>
        <v>烟梦囊</v>
      </c>
      <c r="C55">
        <f>IFERROR(INDEX(装备库!$A$2:$Y$1047,MATCH(ROW()-1,装备库!$AO$2:$AO$1046,0),COLUMN()),"")</f>
        <v>11150</v>
      </c>
      <c r="D55" t="str">
        <f>IFERROR(INDEX(装备库!$A$2:$Y$1047,MATCH(ROW()-1,装备库!$AO$2:$AO$1046,0),COLUMN()),"")</f>
        <v>烟梦囊(11150会无)</v>
      </c>
      <c r="E55">
        <f>IFERROR(INDEX(装备库!$A$2:$Y$1047,MATCH(ROW()-1,装备库!$AO$2:$AO$1046,0),COLUMN()),"")</f>
        <v>467</v>
      </c>
      <c r="F55">
        <f>IFERROR(INDEX(装备库!$A$2:$Y$1047,MATCH(ROW()-1,装备库!$AO$2:$AO$1046,0),COLUMN()),"")</f>
        <v>758</v>
      </c>
      <c r="G55">
        <f>IFERROR(INDEX(装备库!$A$2:$Y$1047,MATCH(ROW()-1,装备库!$AO$2:$AO$1046,0),COLUMN()),"")</f>
        <v>2344</v>
      </c>
      <c r="H55">
        <f>IFERROR(INDEX(装备库!$A$2:$Y$1047,MATCH(ROW()-1,装备库!$AO$2:$AO$1046,0),COLUMN()),"")</f>
        <v>0</v>
      </c>
      <c r="I55">
        <f>IFERROR(INDEX(装备库!$A$2:$Y$1047,MATCH(ROW()-1,装备库!$AO$2:$AO$1046,0),COLUMN()),"")</f>
        <v>0</v>
      </c>
      <c r="J55">
        <f>IFERROR(INDEX(装备库!$A$2:$Y$1047,MATCH(ROW()-1,装备库!$AO$2:$AO$1046,0),COLUMN()),"")</f>
        <v>0</v>
      </c>
      <c r="K55">
        <f>IFERROR(INDEX(装备库!$A$2:$Y$1047,MATCH(ROW()-1,装备库!$AO$2:$AO$1046,0),COLUMN()),"")</f>
        <v>2083</v>
      </c>
      <c r="L55">
        <f>IFERROR(INDEX(装备库!$A$2:$Y$1047,MATCH(ROW()-1,装备库!$AO$2:$AO$1046,0),COLUMN()),"")</f>
        <v>0</v>
      </c>
      <c r="M55">
        <f>IFERROR(INDEX(装备库!$A$2:$Y$1047,MATCH(ROW()-1,装备库!$AO$2:$AO$1046,0),COLUMN()),"")</f>
        <v>0</v>
      </c>
      <c r="N55">
        <f>IFERROR(INDEX(装备库!$A$2:$Y$1047,MATCH(ROW()-1,装备库!$AO$2:$AO$1046,0),COLUMN()),"")</f>
        <v>0</v>
      </c>
      <c r="O55">
        <f>IFERROR(INDEX(装备库!$A$2:$Y$1047,MATCH(ROW()-1,装备库!$AO$2:$AO$1046,0),COLUMN()),"")</f>
        <v>0</v>
      </c>
      <c r="P55">
        <f>IFERROR(INDEX(装备库!$A$2:$Y$1047,MATCH(ROW()-1,装备库!$AO$2:$AO$1046,0),COLUMN()),"")</f>
        <v>0</v>
      </c>
      <c r="Q55">
        <f>IFERROR(INDEX(装备库!$A$2:$Y$1047,MATCH(ROW()-1,装备库!$AO$2:$AO$1046,0),COLUMN()),"")</f>
        <v>1</v>
      </c>
      <c r="R55">
        <f>IFERROR(INDEX(装备库!$A$2:$Y$1047,MATCH(ROW()-1,装备库!$AO$2:$AO$1046,0),COLUMN()),"")</f>
        <v>0</v>
      </c>
      <c r="S55">
        <f>IFERROR(INDEX(装备库!$A$2:$Y$1047,MATCH(ROW()-1,装备库!$AO$2:$AO$1046,0),COLUMN()),"")</f>
        <v>0</v>
      </c>
      <c r="T55">
        <f>IFERROR(INDEX(装备库!$A$2:$Y$1047,MATCH(ROW()-1,装备库!$AO$2:$AO$1046,0),COLUMN()),"")</f>
        <v>0</v>
      </c>
      <c r="U55">
        <f>IFERROR(INDEX(装备库!$A$2:$Y$1047,MATCH(ROW()-1,装备库!$AO$2:$AO$1046,0),COLUMN()),"")</f>
        <v>0</v>
      </c>
      <c r="V55">
        <f>IFERROR(INDEX(装备库!$A$2:$Y$1047,MATCH(ROW()-1,装备库!$AO$2:$AO$1046,0),COLUMN()),"")</f>
        <v>0</v>
      </c>
      <c r="W55" t="str">
        <f>IFERROR(INDEX(装备库!$A$2:$Y$1047,MATCH(ROW()-1,装备库!$AO$2:$AO$1046,0),COLUMN()),"")</f>
        <v>会无</v>
      </c>
      <c r="X55">
        <f>IFERROR(INDEX(装备库!$A$2:$Y$1047,MATCH(ROW()-1,装备库!$AO$2:$AO$1046,0),COLUMN()),"")</f>
        <v>6</v>
      </c>
      <c r="Y55" t="str">
        <f>IFERROR(INDEX(装备库!$A$2:$Y$1047,MATCH(ROW()-1,装备库!$AO$2:$AO$1046,0),COLUMN()),"")</f>
        <v>副本</v>
      </c>
    </row>
    <row r="56" spans="1:25" x14ac:dyDescent="0.35">
      <c r="A56" t="str">
        <f>IFERROR(INDEX(装备库!$A$2:$Y$1047,MATCH(ROW()-1,装备库!$AO$2:$AO$1046,0),COLUMN()),"")</f>
        <v>暗器</v>
      </c>
      <c r="B56" t="str">
        <f>IFERROR(INDEX(装备库!$A$2:$Y$1047,MATCH(ROW()-1,装备库!$AO$2:$AO$1046,0),COLUMN()),"")</f>
        <v>静山囊</v>
      </c>
      <c r="C56">
        <f>IFERROR(INDEX(装备库!$A$2:$Y$1047,MATCH(ROW()-1,装备库!$AO$2:$AO$1046,0),COLUMN()),"")</f>
        <v>11300</v>
      </c>
      <c r="D56" t="str">
        <f>IFERROR(INDEX(装备库!$A$2:$Y$1047,MATCH(ROW()-1,装备库!$AO$2:$AO$1046,0),COLUMN()),"")</f>
        <v>静山囊(11300破无)</v>
      </c>
      <c r="E56">
        <f>IFERROR(INDEX(装备库!$A$2:$Y$1047,MATCH(ROW()-1,装备库!$AO$2:$AO$1046,0),COLUMN()),"")</f>
        <v>473</v>
      </c>
      <c r="F56">
        <f>IFERROR(INDEX(装备库!$A$2:$Y$1047,MATCH(ROW()-1,装备库!$AO$2:$AO$1046,0),COLUMN()),"")</f>
        <v>768</v>
      </c>
      <c r="G56">
        <f>IFERROR(INDEX(装备库!$A$2:$Y$1047,MATCH(ROW()-1,装备库!$AO$2:$AO$1046,0),COLUMN()),"")</f>
        <v>0</v>
      </c>
      <c r="H56">
        <f>IFERROR(INDEX(装备库!$A$2:$Y$1047,MATCH(ROW()-1,装备库!$AO$2:$AO$1046,0),COLUMN()),"")</f>
        <v>0</v>
      </c>
      <c r="I56">
        <f>IFERROR(INDEX(装备库!$A$2:$Y$1047,MATCH(ROW()-1,装备库!$AO$2:$AO$1046,0),COLUMN()),"")</f>
        <v>2375</v>
      </c>
      <c r="J56">
        <f>IFERROR(INDEX(装备库!$A$2:$Y$1047,MATCH(ROW()-1,装备库!$AO$2:$AO$1046,0),COLUMN()),"")</f>
        <v>0</v>
      </c>
      <c r="K56">
        <f>IFERROR(INDEX(装备库!$A$2:$Y$1047,MATCH(ROW()-1,装备库!$AO$2:$AO$1046,0),COLUMN()),"")</f>
        <v>2112</v>
      </c>
      <c r="L56">
        <f>IFERROR(INDEX(装备库!$A$2:$Y$1047,MATCH(ROW()-1,装备库!$AO$2:$AO$1046,0),COLUMN()),"")</f>
        <v>0</v>
      </c>
      <c r="M56">
        <f>IFERROR(INDEX(装备库!$A$2:$Y$1047,MATCH(ROW()-1,装备库!$AO$2:$AO$1046,0),COLUMN()),"")</f>
        <v>0</v>
      </c>
      <c r="N56">
        <f>IFERROR(INDEX(装备库!$A$2:$Y$1047,MATCH(ROW()-1,装备库!$AO$2:$AO$1046,0),COLUMN()),"")</f>
        <v>0</v>
      </c>
      <c r="O56">
        <f>IFERROR(INDEX(装备库!$A$2:$Y$1047,MATCH(ROW()-1,装备库!$AO$2:$AO$1046,0),COLUMN()),"")</f>
        <v>0</v>
      </c>
      <c r="P56">
        <f>IFERROR(INDEX(装备库!$A$2:$Y$1047,MATCH(ROW()-1,装备库!$AO$2:$AO$1046,0),COLUMN()),"")</f>
        <v>1</v>
      </c>
      <c r="Q56">
        <f>IFERROR(INDEX(装备库!$A$2:$Y$1047,MATCH(ROW()-1,装备库!$AO$2:$AO$1046,0),COLUMN()),"")</f>
        <v>0</v>
      </c>
      <c r="R56">
        <f>IFERROR(INDEX(装备库!$A$2:$Y$1047,MATCH(ROW()-1,装备库!$AO$2:$AO$1046,0),COLUMN()),"")</f>
        <v>0</v>
      </c>
      <c r="S56">
        <f>IFERROR(INDEX(装备库!$A$2:$Y$1047,MATCH(ROW()-1,装备库!$AO$2:$AO$1046,0),COLUMN()),"")</f>
        <v>0</v>
      </c>
      <c r="T56">
        <f>IFERROR(INDEX(装备库!$A$2:$Y$1047,MATCH(ROW()-1,装备库!$AO$2:$AO$1046,0),COLUMN()),"")</f>
        <v>0</v>
      </c>
      <c r="U56">
        <f>IFERROR(INDEX(装备库!$A$2:$Y$1047,MATCH(ROW()-1,装备库!$AO$2:$AO$1046,0),COLUMN()),"")</f>
        <v>0</v>
      </c>
      <c r="V56">
        <f>IFERROR(INDEX(装备库!$A$2:$Y$1047,MATCH(ROW()-1,装备库!$AO$2:$AO$1046,0),COLUMN()),"")</f>
        <v>0</v>
      </c>
      <c r="W56" t="str">
        <f>IFERROR(INDEX(装备库!$A$2:$Y$1047,MATCH(ROW()-1,装备库!$AO$2:$AO$1046,0),COLUMN()),"")</f>
        <v>破无</v>
      </c>
      <c r="X56">
        <f>IFERROR(INDEX(装备库!$A$2:$Y$1047,MATCH(ROW()-1,装备库!$AO$2:$AO$1046,0),COLUMN()),"")</f>
        <v>6</v>
      </c>
      <c r="Y56" t="str">
        <f>IFERROR(INDEX(装备库!$A$2:$Y$1047,MATCH(ROW()-1,装备库!$AO$2:$AO$1046,0),COLUMN()),"")</f>
        <v>声望</v>
      </c>
    </row>
    <row r="57" spans="1:25" x14ac:dyDescent="0.35">
      <c r="A57" t="str">
        <f>IFERROR(INDEX(装备库!$A$2:$Y$1047,MATCH(ROW()-1,装备库!$AO$2:$AO$1046,0),COLUMN()),"")</f>
        <v>暗器</v>
      </c>
      <c r="B57" t="str">
        <f>IFERROR(INDEX(装备库!$A$2:$Y$1047,MATCH(ROW()-1,装备库!$AO$2:$AO$1046,0),COLUMN()),"")</f>
        <v>无封囊</v>
      </c>
      <c r="C57">
        <f>IFERROR(INDEX(装备库!$A$2:$Y$1047,MATCH(ROW()-1,装备库!$AO$2:$AO$1046,0),COLUMN()),"")</f>
        <v>11500</v>
      </c>
      <c r="D57" t="str">
        <f>IFERROR(INDEX(装备库!$A$2:$Y$1047,MATCH(ROW()-1,装备库!$AO$2:$AO$1046,0),COLUMN()),"")</f>
        <v>无封囊(11500精简攻招破)</v>
      </c>
      <c r="E57">
        <f>IFERROR(INDEX(装备库!$A$2:$Y$1047,MATCH(ROW()-1,装备库!$AO$2:$AO$1046,0),COLUMN()),"")</f>
        <v>0</v>
      </c>
      <c r="F57">
        <f>IFERROR(INDEX(装备库!$A$2:$Y$1047,MATCH(ROW()-1,装备库!$AO$2:$AO$1046,0),COLUMN()),"")</f>
        <v>1744</v>
      </c>
      <c r="G57">
        <f>IFERROR(INDEX(装备库!$A$2:$Y$1047,MATCH(ROW()-1,装备库!$AO$2:$AO$1046,0),COLUMN()),"")</f>
        <v>0</v>
      </c>
      <c r="H57">
        <f>IFERROR(INDEX(装备库!$A$2:$Y$1047,MATCH(ROW()-1,装备库!$AO$2:$AO$1046,0),COLUMN()),"")</f>
        <v>0</v>
      </c>
      <c r="I57">
        <f>IFERROR(INDEX(装备库!$A$2:$Y$1047,MATCH(ROW()-1,装备库!$AO$2:$AO$1046,0),COLUMN()),"")</f>
        <v>2820</v>
      </c>
      <c r="J57">
        <f>IFERROR(INDEX(装备库!$A$2:$Y$1047,MATCH(ROW()-1,装备库!$AO$2:$AO$1046,0),COLUMN()),"")</f>
        <v>2686</v>
      </c>
      <c r="K57">
        <f>IFERROR(INDEX(装备库!$A$2:$Y$1047,MATCH(ROW()-1,装备库!$AO$2:$AO$1046,0),COLUMN()),"")</f>
        <v>0</v>
      </c>
      <c r="L57">
        <f>IFERROR(INDEX(装备库!$A$2:$Y$1047,MATCH(ROW()-1,装备库!$AO$2:$AO$1046,0),COLUMN()),"")</f>
        <v>0</v>
      </c>
      <c r="M57">
        <f>IFERROR(INDEX(装备库!$A$2:$Y$1047,MATCH(ROW()-1,装备库!$AO$2:$AO$1046,0),COLUMN()),"")</f>
        <v>0</v>
      </c>
      <c r="N57">
        <f>IFERROR(INDEX(装备库!$A$2:$Y$1047,MATCH(ROW()-1,装备库!$AO$2:$AO$1046,0),COLUMN()),"")</f>
        <v>0</v>
      </c>
      <c r="O57">
        <f>IFERROR(INDEX(装备库!$A$2:$Y$1047,MATCH(ROW()-1,装备库!$AO$2:$AO$1046,0),COLUMN()),"")</f>
        <v>0</v>
      </c>
      <c r="P57">
        <f>IFERROR(INDEX(装备库!$A$2:$Y$1047,MATCH(ROW()-1,装备库!$AO$2:$AO$1046,0),COLUMN()),"")</f>
        <v>0</v>
      </c>
      <c r="Q57">
        <f>IFERROR(INDEX(装备库!$A$2:$Y$1047,MATCH(ROW()-1,装备库!$AO$2:$AO$1046,0),COLUMN()),"")</f>
        <v>1</v>
      </c>
      <c r="R57">
        <f>IFERROR(INDEX(装备库!$A$2:$Y$1047,MATCH(ROW()-1,装备库!$AO$2:$AO$1046,0),COLUMN()),"")</f>
        <v>0</v>
      </c>
      <c r="S57">
        <f>IFERROR(INDEX(装备库!$A$2:$Y$1047,MATCH(ROW()-1,装备库!$AO$2:$AO$1046,0),COLUMN()),"")</f>
        <v>0</v>
      </c>
      <c r="T57">
        <f>IFERROR(INDEX(装备库!$A$2:$Y$1047,MATCH(ROW()-1,装备库!$AO$2:$AO$1046,0),COLUMN()),"")</f>
        <v>0</v>
      </c>
      <c r="U57">
        <f>IFERROR(INDEX(装备库!$A$2:$Y$1047,MATCH(ROW()-1,装备库!$AO$2:$AO$1046,0),COLUMN()),"")</f>
        <v>0</v>
      </c>
      <c r="V57">
        <f>IFERROR(INDEX(装备库!$A$2:$Y$1047,MATCH(ROW()-1,装备库!$AO$2:$AO$1046,0),COLUMN()),"")</f>
        <v>0</v>
      </c>
      <c r="W57" t="str">
        <f>IFERROR(INDEX(装备库!$A$2:$Y$1047,MATCH(ROW()-1,装备库!$AO$2:$AO$1046,0),COLUMN()),"")</f>
        <v>精简攻招破</v>
      </c>
      <c r="X57">
        <f>IFERROR(INDEX(装备库!$A$2:$Y$1047,MATCH(ROW()-1,装备库!$AO$2:$AO$1046,0),COLUMN()),"")</f>
        <v>3</v>
      </c>
      <c r="Y57" t="str">
        <f>IFERROR(INDEX(装备库!$A$2:$Y$1047,MATCH(ROW()-1,装备库!$AO$2:$AO$1046,0),COLUMN()),"")</f>
        <v>活动</v>
      </c>
    </row>
    <row r="58" spans="1:25" x14ac:dyDescent="0.35">
      <c r="A58" t="str">
        <f>IFERROR(INDEX(装备库!$A$2:$Y$1047,MATCH(ROW()-1,装备库!$AO$2:$AO$1046,0),COLUMN()),"")</f>
        <v>暗器</v>
      </c>
      <c r="B58" t="str">
        <f>IFERROR(INDEX(装备库!$A$2:$Y$1047,MATCH(ROW()-1,装备库!$AO$2:$AO$1046,0),COLUMN()),"")</f>
        <v>无封囊</v>
      </c>
      <c r="C58">
        <f>IFERROR(INDEX(装备库!$A$2:$Y$1047,MATCH(ROW()-1,装备库!$AO$2:$AO$1046,0),COLUMN()),"")</f>
        <v>11500</v>
      </c>
      <c r="D58" t="str">
        <f>IFERROR(INDEX(装备库!$A$2:$Y$1047,MATCH(ROW()-1,装备库!$AO$2:$AO$1046,0),COLUMN()),"")</f>
        <v>无封囊(11500精简攻会招破)</v>
      </c>
      <c r="E58">
        <f>IFERROR(INDEX(装备库!$A$2:$Y$1047,MATCH(ROW()-1,装备库!$AO$2:$AO$1046,0),COLUMN()),"")</f>
        <v>0</v>
      </c>
      <c r="F58">
        <f>IFERROR(INDEX(装备库!$A$2:$Y$1047,MATCH(ROW()-1,装备库!$AO$2:$AO$1046,0),COLUMN()),"")</f>
        <v>1924</v>
      </c>
      <c r="G58">
        <f>IFERROR(INDEX(装备库!$A$2:$Y$1047,MATCH(ROW()-1,装备库!$AO$2:$AO$1046,0),COLUMN()),"")</f>
        <v>1746</v>
      </c>
      <c r="H58">
        <f>IFERROR(INDEX(装备库!$A$2:$Y$1047,MATCH(ROW()-1,装备库!$AO$2:$AO$1046,0),COLUMN()),"")</f>
        <v>0</v>
      </c>
      <c r="I58">
        <f>IFERROR(INDEX(装备库!$A$2:$Y$1047,MATCH(ROW()-1,装备库!$AO$2:$AO$1046,0),COLUMN()),"")</f>
        <v>1746</v>
      </c>
      <c r="J58">
        <f>IFERROR(INDEX(装备库!$A$2:$Y$1047,MATCH(ROW()-1,装备库!$AO$2:$AO$1046,0),COLUMN()),"")</f>
        <v>1612</v>
      </c>
      <c r="K58">
        <f>IFERROR(INDEX(装备库!$A$2:$Y$1047,MATCH(ROW()-1,装备库!$AO$2:$AO$1046,0),COLUMN()),"")</f>
        <v>0</v>
      </c>
      <c r="L58">
        <f>IFERROR(INDEX(装备库!$A$2:$Y$1047,MATCH(ROW()-1,装备库!$AO$2:$AO$1046,0),COLUMN()),"")</f>
        <v>0</v>
      </c>
      <c r="M58">
        <f>IFERROR(INDEX(装备库!$A$2:$Y$1047,MATCH(ROW()-1,装备库!$AO$2:$AO$1046,0),COLUMN()),"")</f>
        <v>0</v>
      </c>
      <c r="N58">
        <f>IFERROR(INDEX(装备库!$A$2:$Y$1047,MATCH(ROW()-1,装备库!$AO$2:$AO$1046,0),COLUMN()),"")</f>
        <v>0</v>
      </c>
      <c r="O58">
        <f>IFERROR(INDEX(装备库!$A$2:$Y$1047,MATCH(ROW()-1,装备库!$AO$2:$AO$1046,0),COLUMN()),"")</f>
        <v>0</v>
      </c>
      <c r="P58">
        <f>IFERROR(INDEX(装备库!$A$2:$Y$1047,MATCH(ROW()-1,装备库!$AO$2:$AO$1046,0),COLUMN()),"")</f>
        <v>0</v>
      </c>
      <c r="Q58">
        <f>IFERROR(INDEX(装备库!$A$2:$Y$1047,MATCH(ROW()-1,装备库!$AO$2:$AO$1046,0),COLUMN()),"")</f>
        <v>0</v>
      </c>
      <c r="R58">
        <f>IFERROR(INDEX(装备库!$A$2:$Y$1047,MATCH(ROW()-1,装备库!$AO$2:$AO$1046,0),COLUMN()),"")</f>
        <v>1</v>
      </c>
      <c r="S58">
        <f>IFERROR(INDEX(装备库!$A$2:$Y$1047,MATCH(ROW()-1,装备库!$AO$2:$AO$1046,0),COLUMN()),"")</f>
        <v>0</v>
      </c>
      <c r="T58">
        <f>IFERROR(INDEX(装备库!$A$2:$Y$1047,MATCH(ROW()-1,装备库!$AO$2:$AO$1046,0),COLUMN()),"")</f>
        <v>0</v>
      </c>
      <c r="U58">
        <f>IFERROR(INDEX(装备库!$A$2:$Y$1047,MATCH(ROW()-1,装备库!$AO$2:$AO$1046,0),COLUMN()),"")</f>
        <v>0</v>
      </c>
      <c r="V58">
        <f>IFERROR(INDEX(装备库!$A$2:$Y$1047,MATCH(ROW()-1,装备库!$AO$2:$AO$1046,0),COLUMN()),"")</f>
        <v>0</v>
      </c>
      <c r="W58" t="str">
        <f>IFERROR(INDEX(装备库!$A$2:$Y$1047,MATCH(ROW()-1,装备库!$AO$2:$AO$1046,0),COLUMN()),"")</f>
        <v>精简攻会招破</v>
      </c>
      <c r="X58">
        <f>IFERROR(INDEX(装备库!$A$2:$Y$1047,MATCH(ROW()-1,装备库!$AO$2:$AO$1046,0),COLUMN()),"")</f>
        <v>3</v>
      </c>
      <c r="Y58" t="str">
        <f>IFERROR(INDEX(装备库!$A$2:$Y$1047,MATCH(ROW()-1,装备库!$AO$2:$AO$1046,0),COLUMN()),"")</f>
        <v>活动</v>
      </c>
    </row>
    <row r="59" spans="1:25" x14ac:dyDescent="0.35">
      <c r="A59" t="str">
        <f>IFERROR(INDEX(装备库!$A$2:$Y$1047,MATCH(ROW()-1,装备库!$AO$2:$AO$1046,0),COLUMN()),"")</f>
        <v>暗器</v>
      </c>
      <c r="B59" t="str">
        <f>IFERROR(INDEX(装备库!$A$2:$Y$1047,MATCH(ROW()-1,装备库!$AO$2:$AO$1046,0),COLUMN()),"")</f>
        <v>无封囊</v>
      </c>
      <c r="C59">
        <f>IFERROR(INDEX(装备库!$A$2:$Y$1047,MATCH(ROW()-1,装备库!$AO$2:$AO$1046,0),COLUMN()),"")</f>
        <v>11500</v>
      </c>
      <c r="D59" t="str">
        <f>IFERROR(INDEX(装备库!$A$2:$Y$1047,MATCH(ROW()-1,装备库!$AO$2:$AO$1046,0),COLUMN()),"")</f>
        <v>无封囊(11500精简攻会)</v>
      </c>
      <c r="E59">
        <f>IFERROR(INDEX(装备库!$A$2:$Y$1047,MATCH(ROW()-1,装备库!$AO$2:$AO$1046,0),COLUMN()),"")</f>
        <v>0</v>
      </c>
      <c r="F59">
        <f>IFERROR(INDEX(装备库!$A$2:$Y$1047,MATCH(ROW()-1,装备库!$AO$2:$AO$1046,0),COLUMN()),"")</f>
        <v>2044</v>
      </c>
      <c r="G59">
        <f>IFERROR(INDEX(装备库!$A$2:$Y$1047,MATCH(ROW()-1,装备库!$AO$2:$AO$1046,0),COLUMN()),"")</f>
        <v>4768</v>
      </c>
      <c r="H59">
        <f>IFERROR(INDEX(装备库!$A$2:$Y$1047,MATCH(ROW()-1,装备库!$AO$2:$AO$1046,0),COLUMN()),"")</f>
        <v>0</v>
      </c>
      <c r="I59">
        <f>IFERROR(INDEX(装备库!$A$2:$Y$1047,MATCH(ROW()-1,装备库!$AO$2:$AO$1046,0),COLUMN()),"")</f>
        <v>0</v>
      </c>
      <c r="J59">
        <f>IFERROR(INDEX(装备库!$A$2:$Y$1047,MATCH(ROW()-1,装备库!$AO$2:$AO$1046,0),COLUMN()),"")</f>
        <v>0</v>
      </c>
      <c r="K59">
        <f>IFERROR(INDEX(装备库!$A$2:$Y$1047,MATCH(ROW()-1,装备库!$AO$2:$AO$1046,0),COLUMN()),"")</f>
        <v>0</v>
      </c>
      <c r="L59">
        <f>IFERROR(INDEX(装备库!$A$2:$Y$1047,MATCH(ROW()-1,装备库!$AO$2:$AO$1046,0),COLUMN()),"")</f>
        <v>0</v>
      </c>
      <c r="M59">
        <f>IFERROR(INDEX(装备库!$A$2:$Y$1047,MATCH(ROW()-1,装备库!$AO$2:$AO$1046,0),COLUMN()),"")</f>
        <v>0</v>
      </c>
      <c r="N59">
        <f>IFERROR(INDEX(装备库!$A$2:$Y$1047,MATCH(ROW()-1,装备库!$AO$2:$AO$1046,0),COLUMN()),"")</f>
        <v>0</v>
      </c>
      <c r="O59">
        <f>IFERROR(INDEX(装备库!$A$2:$Y$1047,MATCH(ROW()-1,装备库!$AO$2:$AO$1046,0),COLUMN()),"")</f>
        <v>0</v>
      </c>
      <c r="P59">
        <f>IFERROR(INDEX(装备库!$A$2:$Y$1047,MATCH(ROW()-1,装备库!$AO$2:$AO$1046,0),COLUMN()),"")</f>
        <v>0</v>
      </c>
      <c r="Q59">
        <f>IFERROR(INDEX(装备库!$A$2:$Y$1047,MATCH(ROW()-1,装备库!$AO$2:$AO$1046,0),COLUMN()),"")</f>
        <v>0</v>
      </c>
      <c r="R59">
        <f>IFERROR(INDEX(装备库!$A$2:$Y$1047,MATCH(ROW()-1,装备库!$AO$2:$AO$1046,0),COLUMN()),"")</f>
        <v>1</v>
      </c>
      <c r="S59">
        <f>IFERROR(INDEX(装备库!$A$2:$Y$1047,MATCH(ROW()-1,装备库!$AO$2:$AO$1046,0),COLUMN()),"")</f>
        <v>0</v>
      </c>
      <c r="T59">
        <f>IFERROR(INDEX(装备库!$A$2:$Y$1047,MATCH(ROW()-1,装备库!$AO$2:$AO$1046,0),COLUMN()),"")</f>
        <v>0</v>
      </c>
      <c r="U59">
        <f>IFERROR(INDEX(装备库!$A$2:$Y$1047,MATCH(ROW()-1,装备库!$AO$2:$AO$1046,0),COLUMN()),"")</f>
        <v>0</v>
      </c>
      <c r="V59">
        <f>IFERROR(INDEX(装备库!$A$2:$Y$1047,MATCH(ROW()-1,装备库!$AO$2:$AO$1046,0),COLUMN()),"")</f>
        <v>0</v>
      </c>
      <c r="W59" t="str">
        <f>IFERROR(INDEX(装备库!$A$2:$Y$1047,MATCH(ROW()-1,装备库!$AO$2:$AO$1046,0),COLUMN()),"")</f>
        <v>精简攻会</v>
      </c>
      <c r="X59">
        <f>IFERROR(INDEX(装备库!$A$2:$Y$1047,MATCH(ROW()-1,装备库!$AO$2:$AO$1046,0),COLUMN()),"")</f>
        <v>3</v>
      </c>
      <c r="Y59" t="str">
        <f>IFERROR(INDEX(装备库!$A$2:$Y$1047,MATCH(ROW()-1,装备库!$AO$2:$AO$1046,0),COLUMN()),"")</f>
        <v>活动</v>
      </c>
    </row>
    <row r="60" spans="1:25" x14ac:dyDescent="0.35">
      <c r="A60" t="str">
        <f>IFERROR(INDEX(装备库!$A$2:$Y$1047,MATCH(ROW()-1,装备库!$AO$2:$AO$1046,0),COLUMN()),"")</f>
        <v>暗器</v>
      </c>
      <c r="B60" t="str">
        <f>IFERROR(INDEX(装备库!$A$2:$Y$1047,MATCH(ROW()-1,装备库!$AO$2:$AO$1046,0),COLUMN()),"")</f>
        <v>无封囊</v>
      </c>
      <c r="C60">
        <f>IFERROR(INDEX(装备库!$A$2:$Y$1047,MATCH(ROW()-1,装备库!$AO$2:$AO$1046,0),COLUMN()),"")</f>
        <v>12100</v>
      </c>
      <c r="D60" t="str">
        <f>IFERROR(INDEX(装备库!$A$2:$Y$1047,MATCH(ROW()-1,装备库!$AO$2:$AO$1046,0),COLUMN()),"")</f>
        <v>无封囊(12100精简攻无)</v>
      </c>
      <c r="E60">
        <f>IFERROR(INDEX(装备库!$A$2:$Y$1047,MATCH(ROW()-1,装备库!$AO$2:$AO$1046,0),COLUMN()),"")</f>
        <v>0</v>
      </c>
      <c r="F60">
        <f>IFERROR(INDEX(装备库!$A$2:$Y$1047,MATCH(ROW()-1,装备库!$AO$2:$AO$1046,0),COLUMN()),"")</f>
        <v>2151</v>
      </c>
      <c r="G60">
        <f>IFERROR(INDEX(装备库!$A$2:$Y$1047,MATCH(ROW()-1,装备库!$AO$2:$AO$1046,0),COLUMN()),"")</f>
        <v>0</v>
      </c>
      <c r="H60">
        <f>IFERROR(INDEX(装备库!$A$2:$Y$1047,MATCH(ROW()-1,装备库!$AO$2:$AO$1046,0),COLUMN()),"")</f>
        <v>0</v>
      </c>
      <c r="I60">
        <f>IFERROR(INDEX(装备库!$A$2:$Y$1047,MATCH(ROW()-1,装备库!$AO$2:$AO$1046,0),COLUMN()),"")</f>
        <v>0</v>
      </c>
      <c r="J60">
        <f>IFERROR(INDEX(装备库!$A$2:$Y$1047,MATCH(ROW()-1,装备库!$AO$2:$AO$1046,0),COLUMN()),"")</f>
        <v>0</v>
      </c>
      <c r="K60">
        <f>IFERROR(INDEX(装备库!$A$2:$Y$1047,MATCH(ROW()-1,装备库!$AO$2:$AO$1046,0),COLUMN()),"")</f>
        <v>5017</v>
      </c>
      <c r="L60">
        <f>IFERROR(INDEX(装备库!$A$2:$Y$1047,MATCH(ROW()-1,装备库!$AO$2:$AO$1046,0),COLUMN()),"")</f>
        <v>0</v>
      </c>
      <c r="M60">
        <f>IFERROR(INDEX(装备库!$A$2:$Y$1047,MATCH(ROW()-1,装备库!$AO$2:$AO$1046,0),COLUMN()),"")</f>
        <v>0</v>
      </c>
      <c r="N60">
        <f>IFERROR(INDEX(装备库!$A$2:$Y$1047,MATCH(ROW()-1,装备库!$AO$2:$AO$1046,0),COLUMN()),"")</f>
        <v>0</v>
      </c>
      <c r="O60">
        <f>IFERROR(INDEX(装备库!$A$2:$Y$1047,MATCH(ROW()-1,装备库!$AO$2:$AO$1046,0),COLUMN()),"")</f>
        <v>0</v>
      </c>
      <c r="P60">
        <f>IFERROR(INDEX(装备库!$A$2:$Y$1047,MATCH(ROW()-1,装备库!$AO$2:$AO$1046,0),COLUMN()),"")</f>
        <v>0</v>
      </c>
      <c r="Q60">
        <f>IFERROR(INDEX(装备库!$A$2:$Y$1047,MATCH(ROW()-1,装备库!$AO$2:$AO$1046,0),COLUMN()),"")</f>
        <v>0</v>
      </c>
      <c r="R60">
        <f>IFERROR(INDEX(装备库!$A$2:$Y$1047,MATCH(ROW()-1,装备库!$AO$2:$AO$1046,0),COLUMN()),"")</f>
        <v>0</v>
      </c>
      <c r="S60">
        <f>IFERROR(INDEX(装备库!$A$2:$Y$1047,MATCH(ROW()-1,装备库!$AO$2:$AO$1046,0),COLUMN()),"")</f>
        <v>1</v>
      </c>
      <c r="T60">
        <f>IFERROR(INDEX(装备库!$A$2:$Y$1047,MATCH(ROW()-1,装备库!$AO$2:$AO$1046,0),COLUMN()),"")</f>
        <v>0</v>
      </c>
      <c r="U60">
        <f>IFERROR(INDEX(装备库!$A$2:$Y$1047,MATCH(ROW()-1,装备库!$AO$2:$AO$1046,0),COLUMN()),"")</f>
        <v>0</v>
      </c>
      <c r="V60">
        <f>IFERROR(INDEX(装备库!$A$2:$Y$1047,MATCH(ROW()-1,装备库!$AO$2:$AO$1046,0),COLUMN()),"")</f>
        <v>0</v>
      </c>
      <c r="W60" t="str">
        <f>IFERROR(INDEX(装备库!$A$2:$Y$1047,MATCH(ROW()-1,装备库!$AO$2:$AO$1046,0),COLUMN()),"")</f>
        <v>精简攻无</v>
      </c>
      <c r="X60">
        <f>IFERROR(INDEX(装备库!$A$2:$Y$1047,MATCH(ROW()-1,装备库!$AO$2:$AO$1046,0),COLUMN()),"")</f>
        <v>3</v>
      </c>
      <c r="Y60" t="str">
        <f>IFERROR(INDEX(装备库!$A$2:$Y$1047,MATCH(ROW()-1,装备库!$AO$2:$AO$1046,0),COLUMN()),"")</f>
        <v>活动</v>
      </c>
    </row>
    <row r="61" spans="1:25" x14ac:dyDescent="0.35">
      <c r="A61" t="str">
        <f>IFERROR(INDEX(装备库!$A$2:$Y$1047,MATCH(ROW()-1,装备库!$AO$2:$AO$1046,0),COLUMN()),"")</f>
        <v>暗器</v>
      </c>
      <c r="B61" t="str">
        <f>IFERROR(INDEX(装备库!$A$2:$Y$1047,MATCH(ROW()-1,装备库!$AO$2:$AO$1046,0),COLUMN()),"")</f>
        <v>无封囊</v>
      </c>
      <c r="C61">
        <f>IFERROR(INDEX(装备库!$A$2:$Y$1047,MATCH(ROW()-1,装备库!$AO$2:$AO$1046,0),COLUMN()),"")</f>
        <v>12100</v>
      </c>
      <c r="D61" t="str">
        <f>IFERROR(INDEX(装备库!$A$2:$Y$1047,MATCH(ROW()-1,装备库!$AO$2:$AO$1046,0),COLUMN()),"")</f>
        <v>无封囊(12100精简攻会招)</v>
      </c>
      <c r="E61">
        <f>IFERROR(INDEX(装备库!$A$2:$Y$1047,MATCH(ROW()-1,装备库!$AO$2:$AO$1046,0),COLUMN()),"")</f>
        <v>0</v>
      </c>
      <c r="F61">
        <f>IFERROR(INDEX(装备库!$A$2:$Y$1047,MATCH(ROW()-1,装备库!$AO$2:$AO$1046,0),COLUMN()),"")</f>
        <v>1835</v>
      </c>
      <c r="G61">
        <f>IFERROR(INDEX(装备库!$A$2:$Y$1047,MATCH(ROW()-1,装备库!$AO$2:$AO$1046,0),COLUMN()),"")</f>
        <v>2826</v>
      </c>
      <c r="H61">
        <f>IFERROR(INDEX(装备库!$A$2:$Y$1047,MATCH(ROW()-1,装备库!$AO$2:$AO$1046,0),COLUMN()),"")</f>
        <v>0</v>
      </c>
      <c r="I61">
        <f>IFERROR(INDEX(装备库!$A$2:$Y$1047,MATCH(ROW()-1,装备库!$AO$2:$AO$1046,0),COLUMN()),"")</f>
        <v>0</v>
      </c>
      <c r="J61">
        <f>IFERROR(INDEX(装备库!$A$2:$Y$1047,MATCH(ROW()-1,装备库!$AO$2:$AO$1046,0),COLUMN()),"")</f>
        <v>2968</v>
      </c>
      <c r="K61">
        <f>IFERROR(INDEX(装备库!$A$2:$Y$1047,MATCH(ROW()-1,装备库!$AO$2:$AO$1046,0),COLUMN()),"")</f>
        <v>0</v>
      </c>
      <c r="L61">
        <f>IFERROR(INDEX(装备库!$A$2:$Y$1047,MATCH(ROW()-1,装备库!$AO$2:$AO$1046,0),COLUMN()),"")</f>
        <v>0</v>
      </c>
      <c r="M61">
        <f>IFERROR(INDEX(装备库!$A$2:$Y$1047,MATCH(ROW()-1,装备库!$AO$2:$AO$1046,0),COLUMN()),"")</f>
        <v>0</v>
      </c>
      <c r="N61">
        <f>IFERROR(INDEX(装备库!$A$2:$Y$1047,MATCH(ROW()-1,装备库!$AO$2:$AO$1046,0),COLUMN()),"")</f>
        <v>0</v>
      </c>
      <c r="O61">
        <f>IFERROR(INDEX(装备库!$A$2:$Y$1047,MATCH(ROW()-1,装备库!$AO$2:$AO$1046,0),COLUMN()),"")</f>
        <v>0</v>
      </c>
      <c r="P61">
        <f>IFERROR(INDEX(装备库!$A$2:$Y$1047,MATCH(ROW()-1,装备库!$AO$2:$AO$1046,0),COLUMN()),"")</f>
        <v>0</v>
      </c>
      <c r="Q61">
        <f>IFERROR(INDEX(装备库!$A$2:$Y$1047,MATCH(ROW()-1,装备库!$AO$2:$AO$1046,0),COLUMN()),"")</f>
        <v>0</v>
      </c>
      <c r="R61">
        <f>IFERROR(INDEX(装备库!$A$2:$Y$1047,MATCH(ROW()-1,装备库!$AO$2:$AO$1046,0),COLUMN()),"")</f>
        <v>1</v>
      </c>
      <c r="S61">
        <f>IFERROR(INDEX(装备库!$A$2:$Y$1047,MATCH(ROW()-1,装备库!$AO$2:$AO$1046,0),COLUMN()),"")</f>
        <v>0</v>
      </c>
      <c r="T61">
        <f>IFERROR(INDEX(装备库!$A$2:$Y$1047,MATCH(ROW()-1,装备库!$AO$2:$AO$1046,0),COLUMN()),"")</f>
        <v>0</v>
      </c>
      <c r="U61">
        <f>IFERROR(INDEX(装备库!$A$2:$Y$1047,MATCH(ROW()-1,装备库!$AO$2:$AO$1046,0),COLUMN()),"")</f>
        <v>0</v>
      </c>
      <c r="V61">
        <f>IFERROR(INDEX(装备库!$A$2:$Y$1047,MATCH(ROW()-1,装备库!$AO$2:$AO$1046,0),COLUMN()),"")</f>
        <v>0</v>
      </c>
      <c r="W61" t="str">
        <f>IFERROR(INDEX(装备库!$A$2:$Y$1047,MATCH(ROW()-1,装备库!$AO$2:$AO$1046,0),COLUMN()),"")</f>
        <v>精简攻会招</v>
      </c>
      <c r="X61">
        <f>IFERROR(INDEX(装备库!$A$2:$Y$1047,MATCH(ROW()-1,装备库!$AO$2:$AO$1046,0),COLUMN()),"")</f>
        <v>3</v>
      </c>
      <c r="Y61" t="str">
        <f>IFERROR(INDEX(装备库!$A$2:$Y$1047,MATCH(ROW()-1,装备库!$AO$2:$AO$1046,0),COLUMN()),"")</f>
        <v>活动</v>
      </c>
    </row>
    <row r="62" spans="1:25" x14ac:dyDescent="0.35">
      <c r="A62" t="str">
        <f>IFERROR(INDEX(装备库!$A$2:$Y$1047,MATCH(ROW()-1,装备库!$AO$2:$AO$1046,0),COLUMN()),"")</f>
        <v>暗器</v>
      </c>
      <c r="B62" t="str">
        <f>IFERROR(INDEX(装备库!$A$2:$Y$1047,MATCH(ROW()-1,装备库!$AO$2:$AO$1046,0),COLUMN()),"")</f>
        <v>无封囊</v>
      </c>
      <c r="C62">
        <f>IFERROR(INDEX(装备库!$A$2:$Y$1047,MATCH(ROW()-1,装备库!$AO$2:$AO$1046,0),COLUMN()),"")</f>
        <v>12100</v>
      </c>
      <c r="D62" t="str">
        <f>IFERROR(INDEX(装备库!$A$2:$Y$1047,MATCH(ROW()-1,装备库!$AO$2:$AO$1046,0),COLUMN()),"")</f>
        <v>无封囊(12100精简攻会会破)</v>
      </c>
      <c r="E62">
        <f>IFERROR(INDEX(装备库!$A$2:$Y$1047,MATCH(ROW()-1,装备库!$AO$2:$AO$1046,0),COLUMN()),"")</f>
        <v>0</v>
      </c>
      <c r="F62">
        <f>IFERROR(INDEX(装备库!$A$2:$Y$1047,MATCH(ROW()-1,装备库!$AO$2:$AO$1046,0),COLUMN()),"")</f>
        <v>1835</v>
      </c>
      <c r="G62">
        <f>IFERROR(INDEX(装备库!$A$2:$Y$1047,MATCH(ROW()-1,装备库!$AO$2:$AO$1046,0),COLUMN()),"")</f>
        <v>2190</v>
      </c>
      <c r="H62">
        <f>IFERROR(INDEX(装备库!$A$2:$Y$1047,MATCH(ROW()-1,装备库!$AO$2:$AO$1046,0),COLUMN()),"")</f>
        <v>1413</v>
      </c>
      <c r="I62">
        <f>IFERROR(INDEX(装备库!$A$2:$Y$1047,MATCH(ROW()-1,装备库!$AO$2:$AO$1046,0),COLUMN()),"")</f>
        <v>2049</v>
      </c>
      <c r="J62">
        <f>IFERROR(INDEX(装备库!$A$2:$Y$1047,MATCH(ROW()-1,装备库!$AO$2:$AO$1046,0),COLUMN()),"")</f>
        <v>0</v>
      </c>
      <c r="K62">
        <f>IFERROR(INDEX(装备库!$A$2:$Y$1047,MATCH(ROW()-1,装备库!$AO$2:$AO$1046,0),COLUMN()),"")</f>
        <v>0</v>
      </c>
      <c r="L62">
        <f>IFERROR(INDEX(装备库!$A$2:$Y$1047,MATCH(ROW()-1,装备库!$AO$2:$AO$1046,0),COLUMN()),"")</f>
        <v>0</v>
      </c>
      <c r="M62">
        <f>IFERROR(INDEX(装备库!$A$2:$Y$1047,MATCH(ROW()-1,装备库!$AO$2:$AO$1046,0),COLUMN()),"")</f>
        <v>0</v>
      </c>
      <c r="N62">
        <f>IFERROR(INDEX(装备库!$A$2:$Y$1047,MATCH(ROW()-1,装备库!$AO$2:$AO$1046,0),COLUMN()),"")</f>
        <v>0</v>
      </c>
      <c r="O62">
        <f>IFERROR(INDEX(装备库!$A$2:$Y$1047,MATCH(ROW()-1,装备库!$AO$2:$AO$1046,0),COLUMN()),"")</f>
        <v>0</v>
      </c>
      <c r="P62">
        <f>IFERROR(INDEX(装备库!$A$2:$Y$1047,MATCH(ROW()-1,装备库!$AO$2:$AO$1046,0),COLUMN()),"")</f>
        <v>0</v>
      </c>
      <c r="Q62">
        <f>IFERROR(INDEX(装备库!$A$2:$Y$1047,MATCH(ROW()-1,装备库!$AO$2:$AO$1046,0),COLUMN()),"")</f>
        <v>0</v>
      </c>
      <c r="R62">
        <f>IFERROR(INDEX(装备库!$A$2:$Y$1047,MATCH(ROW()-1,装备库!$AO$2:$AO$1046,0),COLUMN()),"")</f>
        <v>0</v>
      </c>
      <c r="S62">
        <f>IFERROR(INDEX(装备库!$A$2:$Y$1047,MATCH(ROW()-1,装备库!$AO$2:$AO$1046,0),COLUMN()),"")</f>
        <v>0</v>
      </c>
      <c r="T62">
        <f>IFERROR(INDEX(装备库!$A$2:$Y$1047,MATCH(ROW()-1,装备库!$AO$2:$AO$1046,0),COLUMN()),"")</f>
        <v>1</v>
      </c>
      <c r="U62">
        <f>IFERROR(INDEX(装备库!$A$2:$Y$1047,MATCH(ROW()-1,装备库!$AO$2:$AO$1046,0),COLUMN()),"")</f>
        <v>0</v>
      </c>
      <c r="V62">
        <f>IFERROR(INDEX(装备库!$A$2:$Y$1047,MATCH(ROW()-1,装备库!$AO$2:$AO$1046,0),COLUMN()),"")</f>
        <v>0</v>
      </c>
      <c r="W62" t="str">
        <f>IFERROR(INDEX(装备库!$A$2:$Y$1047,MATCH(ROW()-1,装备库!$AO$2:$AO$1046,0),COLUMN()),"")</f>
        <v>精简攻会会破</v>
      </c>
      <c r="X62">
        <f>IFERROR(INDEX(装备库!$A$2:$Y$1047,MATCH(ROW()-1,装备库!$AO$2:$AO$1046,0),COLUMN()),"")</f>
        <v>3</v>
      </c>
      <c r="Y62" t="str">
        <f>IFERROR(INDEX(装备库!$A$2:$Y$1047,MATCH(ROW()-1,装备库!$AO$2:$AO$1046,0),COLUMN()),"")</f>
        <v>活动</v>
      </c>
    </row>
    <row r="63" spans="1:25" x14ac:dyDescent="0.35">
      <c r="A63" t="str">
        <f>IFERROR(INDEX(装备库!$A$2:$Y$1047,MATCH(ROW()-1,装备库!$AO$2:$AO$1046,0),COLUMN()),"")</f>
        <v>暗器</v>
      </c>
      <c r="B63" t="str">
        <f>IFERROR(INDEX(装备库!$A$2:$Y$1047,MATCH(ROW()-1,装备库!$AO$2:$AO$1046,0),COLUMN()),"")</f>
        <v>微花囊</v>
      </c>
      <c r="C63">
        <f>IFERROR(INDEX(装备库!$A$2:$Y$1047,MATCH(ROW()-1,装备库!$AO$2:$AO$1046,0),COLUMN()),"")</f>
        <v>12450</v>
      </c>
      <c r="D63" t="str">
        <f>IFERROR(INDEX(装备库!$A$2:$Y$1047,MATCH(ROW()-1,装备库!$AO$2:$AO$1046,0),COLUMN()),"")</f>
        <v>微花囊(12450招破)</v>
      </c>
      <c r="E63">
        <f>IFERROR(INDEX(装备库!$A$2:$Y$1047,MATCH(ROW()-1,装备库!$AO$2:$AO$1046,0),COLUMN()),"")</f>
        <v>522</v>
      </c>
      <c r="F63">
        <f>IFERROR(INDEX(装备库!$A$2:$Y$1047,MATCH(ROW()-1,装备库!$AO$2:$AO$1046,0),COLUMN()),"")</f>
        <v>846</v>
      </c>
      <c r="G63">
        <f>IFERROR(INDEX(装备库!$A$2:$Y$1047,MATCH(ROW()-1,装备库!$AO$2:$AO$1046,0),COLUMN()),"")</f>
        <v>0</v>
      </c>
      <c r="H63">
        <f>IFERROR(INDEX(装备库!$A$2:$Y$1047,MATCH(ROW()-1,装备库!$AO$2:$AO$1046,0),COLUMN()),"")</f>
        <v>0</v>
      </c>
      <c r="I63">
        <f>IFERROR(INDEX(装备库!$A$2:$Y$1047,MATCH(ROW()-1,装备库!$AO$2:$AO$1046,0),COLUMN()),"")</f>
        <v>2617</v>
      </c>
      <c r="J63">
        <f>IFERROR(INDEX(装备库!$A$2:$Y$1047,MATCH(ROW()-1,装备库!$AO$2:$AO$1046,0),COLUMN()),"")</f>
        <v>2326</v>
      </c>
      <c r="K63">
        <f>IFERROR(INDEX(装备库!$A$2:$Y$1047,MATCH(ROW()-1,装备库!$AO$2:$AO$1046,0),COLUMN()),"")</f>
        <v>0</v>
      </c>
      <c r="L63">
        <f>IFERROR(INDEX(装备库!$A$2:$Y$1047,MATCH(ROW()-1,装备库!$AO$2:$AO$1046,0),COLUMN()),"")</f>
        <v>0</v>
      </c>
      <c r="M63">
        <f>IFERROR(INDEX(装备库!$A$2:$Y$1047,MATCH(ROW()-1,装备库!$AO$2:$AO$1046,0),COLUMN()),"")</f>
        <v>0</v>
      </c>
      <c r="N63">
        <f>IFERROR(INDEX(装备库!$A$2:$Y$1047,MATCH(ROW()-1,装备库!$AO$2:$AO$1046,0),COLUMN()),"")</f>
        <v>0</v>
      </c>
      <c r="O63">
        <f>IFERROR(INDEX(装备库!$A$2:$Y$1047,MATCH(ROW()-1,装备库!$AO$2:$AO$1046,0),COLUMN()),"")</f>
        <v>1</v>
      </c>
      <c r="P63">
        <f>IFERROR(INDEX(装备库!$A$2:$Y$1047,MATCH(ROW()-1,装备库!$AO$2:$AO$1046,0),COLUMN()),"")</f>
        <v>0</v>
      </c>
      <c r="Q63">
        <f>IFERROR(INDEX(装备库!$A$2:$Y$1047,MATCH(ROW()-1,装备库!$AO$2:$AO$1046,0),COLUMN()),"")</f>
        <v>0</v>
      </c>
      <c r="R63">
        <f>IFERROR(INDEX(装备库!$A$2:$Y$1047,MATCH(ROW()-1,装备库!$AO$2:$AO$1046,0),COLUMN()),"")</f>
        <v>0</v>
      </c>
      <c r="S63">
        <f>IFERROR(INDEX(装备库!$A$2:$Y$1047,MATCH(ROW()-1,装备库!$AO$2:$AO$1046,0),COLUMN()),"")</f>
        <v>0</v>
      </c>
      <c r="T63">
        <f>IFERROR(INDEX(装备库!$A$2:$Y$1047,MATCH(ROW()-1,装备库!$AO$2:$AO$1046,0),COLUMN()),"")</f>
        <v>0</v>
      </c>
      <c r="U63">
        <f>IFERROR(INDEX(装备库!$A$2:$Y$1047,MATCH(ROW()-1,装备库!$AO$2:$AO$1046,0),COLUMN()),"")</f>
        <v>0</v>
      </c>
      <c r="V63">
        <f>IFERROR(INDEX(装备库!$A$2:$Y$1047,MATCH(ROW()-1,装备库!$AO$2:$AO$1046,0),COLUMN()),"")</f>
        <v>0</v>
      </c>
      <c r="W63" t="str">
        <f>IFERROR(INDEX(装备库!$A$2:$Y$1047,MATCH(ROW()-1,装备库!$AO$2:$AO$1046,0),COLUMN()),"")</f>
        <v>招破</v>
      </c>
      <c r="X63">
        <f>IFERROR(INDEX(装备库!$A$2:$Y$1047,MATCH(ROW()-1,装备库!$AO$2:$AO$1046,0),COLUMN()),"")</f>
        <v>6</v>
      </c>
      <c r="Y63" t="str">
        <f>IFERROR(INDEX(装备库!$A$2:$Y$1047,MATCH(ROW()-1,装备库!$AO$2:$AO$1046,0),COLUMN()),"")</f>
        <v>副本</v>
      </c>
    </row>
    <row r="64" spans="1:25" x14ac:dyDescent="0.35">
      <c r="A64" t="str">
        <f>IFERROR(INDEX(装备库!$A$2:$Y$1047,MATCH(ROW()-1,装备库!$AO$2:$AO$1046,0),COLUMN()),"")</f>
        <v>暗器</v>
      </c>
      <c r="B64" t="str">
        <f>IFERROR(INDEX(装备库!$A$2:$Y$1047,MATCH(ROW()-1,装备库!$AO$2:$AO$1046,0),COLUMN()),"")</f>
        <v>安衿囊</v>
      </c>
      <c r="C64">
        <f>IFERROR(INDEX(装备库!$A$2:$Y$1047,MATCH(ROW()-1,装备库!$AO$2:$AO$1046,0),COLUMN()),"")</f>
        <v>12450</v>
      </c>
      <c r="D64" t="str">
        <f>IFERROR(INDEX(装备库!$A$2:$Y$1047,MATCH(ROW()-1,装备库!$AO$2:$AO$1046,0),COLUMN()),"")</f>
        <v>安衿囊(12450速招)</v>
      </c>
      <c r="E64">
        <f>IFERROR(INDEX(装备库!$A$2:$Y$1047,MATCH(ROW()-1,装备库!$AO$2:$AO$1046,0),COLUMN()),"")</f>
        <v>522</v>
      </c>
      <c r="F64">
        <f>IFERROR(INDEX(装备库!$A$2:$Y$1047,MATCH(ROW()-1,装备库!$AO$2:$AO$1046,0),COLUMN()),"")</f>
        <v>846</v>
      </c>
      <c r="G64">
        <f>IFERROR(INDEX(装备库!$A$2:$Y$1047,MATCH(ROW()-1,装备库!$AO$2:$AO$1046,0),COLUMN()),"")</f>
        <v>0</v>
      </c>
      <c r="H64">
        <f>IFERROR(INDEX(装备库!$A$2:$Y$1047,MATCH(ROW()-1,装备库!$AO$2:$AO$1046,0),COLUMN()),"")</f>
        <v>0</v>
      </c>
      <c r="I64">
        <f>IFERROR(INDEX(装备库!$A$2:$Y$1047,MATCH(ROW()-1,装备库!$AO$2:$AO$1046,0),COLUMN()),"")</f>
        <v>0</v>
      </c>
      <c r="J64">
        <f>IFERROR(INDEX(装备库!$A$2:$Y$1047,MATCH(ROW()-1,装备库!$AO$2:$AO$1046,0),COLUMN()),"")</f>
        <v>2326</v>
      </c>
      <c r="K64">
        <f>IFERROR(INDEX(装备库!$A$2:$Y$1047,MATCH(ROW()-1,装备库!$AO$2:$AO$1046,0),COLUMN()),"")</f>
        <v>0</v>
      </c>
      <c r="L64">
        <f>IFERROR(INDEX(装备库!$A$2:$Y$1047,MATCH(ROW()-1,装备库!$AO$2:$AO$1046,0),COLUMN()),"")</f>
        <v>2617</v>
      </c>
      <c r="M64">
        <f>IFERROR(INDEX(装备库!$A$2:$Y$1047,MATCH(ROW()-1,装备库!$AO$2:$AO$1046,0),COLUMN()),"")</f>
        <v>0</v>
      </c>
      <c r="N64">
        <f>IFERROR(INDEX(装备库!$A$2:$Y$1047,MATCH(ROW()-1,装备库!$AO$2:$AO$1046,0),COLUMN()),"")</f>
        <v>0</v>
      </c>
      <c r="O64">
        <f>IFERROR(INDEX(装备库!$A$2:$Y$1047,MATCH(ROW()-1,装备库!$AO$2:$AO$1046,0),COLUMN()),"")</f>
        <v>1</v>
      </c>
      <c r="P64">
        <f>IFERROR(INDEX(装备库!$A$2:$Y$1047,MATCH(ROW()-1,装备库!$AO$2:$AO$1046,0),COLUMN()),"")</f>
        <v>0</v>
      </c>
      <c r="Q64">
        <f>IFERROR(INDEX(装备库!$A$2:$Y$1047,MATCH(ROW()-1,装备库!$AO$2:$AO$1046,0),COLUMN()),"")</f>
        <v>0</v>
      </c>
      <c r="R64">
        <f>IFERROR(INDEX(装备库!$A$2:$Y$1047,MATCH(ROW()-1,装备库!$AO$2:$AO$1046,0),COLUMN()),"")</f>
        <v>0</v>
      </c>
      <c r="S64">
        <f>IFERROR(INDEX(装备库!$A$2:$Y$1047,MATCH(ROW()-1,装备库!$AO$2:$AO$1046,0),COLUMN()),"")</f>
        <v>0</v>
      </c>
      <c r="T64">
        <f>IFERROR(INDEX(装备库!$A$2:$Y$1047,MATCH(ROW()-1,装备库!$AO$2:$AO$1046,0),COLUMN()),"")</f>
        <v>0</v>
      </c>
      <c r="U64">
        <f>IFERROR(INDEX(装备库!$A$2:$Y$1047,MATCH(ROW()-1,装备库!$AO$2:$AO$1046,0),COLUMN()),"")</f>
        <v>0</v>
      </c>
      <c r="V64">
        <f>IFERROR(INDEX(装备库!$A$2:$Y$1047,MATCH(ROW()-1,装备库!$AO$2:$AO$1046,0),COLUMN()),"")</f>
        <v>0</v>
      </c>
      <c r="W64" t="str">
        <f>IFERROR(INDEX(装备库!$A$2:$Y$1047,MATCH(ROW()-1,装备库!$AO$2:$AO$1046,0),COLUMN()),"")</f>
        <v>速招</v>
      </c>
      <c r="X64">
        <f>IFERROR(INDEX(装备库!$A$2:$Y$1047,MATCH(ROW()-1,装备库!$AO$2:$AO$1046,0),COLUMN()),"")</f>
        <v>6</v>
      </c>
      <c r="Y64" t="str">
        <f>IFERROR(INDEX(装备库!$A$2:$Y$1047,MATCH(ROW()-1,装备库!$AO$2:$AO$1046,0),COLUMN()),"")</f>
        <v>副本</v>
      </c>
    </row>
    <row r="65" spans="1:25" x14ac:dyDescent="0.35">
      <c r="A65" t="str">
        <f>IFERROR(INDEX(装备库!$A$2:$Y$1047,MATCH(ROW()-1,装备库!$AO$2:$AO$1046,0),COLUMN()),"")</f>
        <v>暗器</v>
      </c>
      <c r="B65" t="str">
        <f>IFERROR(INDEX(装备库!$A$2:$Y$1047,MATCH(ROW()-1,装备库!$AO$2:$AO$1046,0),COLUMN()),"")</f>
        <v>湖静囊</v>
      </c>
      <c r="C65">
        <f>IFERROR(INDEX(装备库!$A$2:$Y$1047,MATCH(ROW()-1,装备库!$AO$2:$AO$1046,0),COLUMN()),"")</f>
        <v>12450</v>
      </c>
      <c r="D65" t="str">
        <f>IFERROR(INDEX(装备库!$A$2:$Y$1047,MATCH(ROW()-1,装备库!$AO$2:$AO$1046,0),COLUMN()),"")</f>
        <v>湖静囊(12450会招)</v>
      </c>
      <c r="E65">
        <f>IFERROR(INDEX(装备库!$A$2:$Y$1047,MATCH(ROW()-1,装备库!$AO$2:$AO$1046,0),COLUMN()),"")</f>
        <v>522</v>
      </c>
      <c r="F65">
        <f>IFERROR(INDEX(装备库!$A$2:$Y$1047,MATCH(ROW()-1,装备库!$AO$2:$AO$1046,0),COLUMN()),"")</f>
        <v>846</v>
      </c>
      <c r="G65">
        <f>IFERROR(INDEX(装备库!$A$2:$Y$1047,MATCH(ROW()-1,装备库!$AO$2:$AO$1046,0),COLUMN()),"")</f>
        <v>2617</v>
      </c>
      <c r="H65">
        <f>IFERROR(INDEX(装备库!$A$2:$Y$1047,MATCH(ROW()-1,装备库!$AO$2:$AO$1046,0),COLUMN()),"")</f>
        <v>0</v>
      </c>
      <c r="I65">
        <f>IFERROR(INDEX(装备库!$A$2:$Y$1047,MATCH(ROW()-1,装备库!$AO$2:$AO$1046,0),COLUMN()),"")</f>
        <v>0</v>
      </c>
      <c r="J65">
        <f>IFERROR(INDEX(装备库!$A$2:$Y$1047,MATCH(ROW()-1,装备库!$AO$2:$AO$1046,0),COLUMN()),"")</f>
        <v>2326</v>
      </c>
      <c r="K65">
        <f>IFERROR(INDEX(装备库!$A$2:$Y$1047,MATCH(ROW()-1,装备库!$AO$2:$AO$1046,0),COLUMN()),"")</f>
        <v>0</v>
      </c>
      <c r="L65">
        <f>IFERROR(INDEX(装备库!$A$2:$Y$1047,MATCH(ROW()-1,装备库!$AO$2:$AO$1046,0),COLUMN()),"")</f>
        <v>0</v>
      </c>
      <c r="M65">
        <f>IFERROR(INDEX(装备库!$A$2:$Y$1047,MATCH(ROW()-1,装备库!$AO$2:$AO$1046,0),COLUMN()),"")</f>
        <v>0</v>
      </c>
      <c r="N65">
        <f>IFERROR(INDEX(装备库!$A$2:$Y$1047,MATCH(ROW()-1,装备库!$AO$2:$AO$1046,0),COLUMN()),"")</f>
        <v>0</v>
      </c>
      <c r="O65">
        <f>IFERROR(INDEX(装备库!$A$2:$Y$1047,MATCH(ROW()-1,装备库!$AO$2:$AO$1046,0),COLUMN()),"")</f>
        <v>1</v>
      </c>
      <c r="P65">
        <f>IFERROR(INDEX(装备库!$A$2:$Y$1047,MATCH(ROW()-1,装备库!$AO$2:$AO$1046,0),COLUMN()),"")</f>
        <v>0</v>
      </c>
      <c r="Q65">
        <f>IFERROR(INDEX(装备库!$A$2:$Y$1047,MATCH(ROW()-1,装备库!$AO$2:$AO$1046,0),COLUMN()),"")</f>
        <v>0</v>
      </c>
      <c r="R65">
        <f>IFERROR(INDEX(装备库!$A$2:$Y$1047,MATCH(ROW()-1,装备库!$AO$2:$AO$1046,0),COLUMN()),"")</f>
        <v>0</v>
      </c>
      <c r="S65">
        <f>IFERROR(INDEX(装备库!$A$2:$Y$1047,MATCH(ROW()-1,装备库!$AO$2:$AO$1046,0),COLUMN()),"")</f>
        <v>0</v>
      </c>
      <c r="T65">
        <f>IFERROR(INDEX(装备库!$A$2:$Y$1047,MATCH(ROW()-1,装备库!$AO$2:$AO$1046,0),COLUMN()),"")</f>
        <v>0</v>
      </c>
      <c r="U65">
        <f>IFERROR(INDEX(装备库!$A$2:$Y$1047,MATCH(ROW()-1,装备库!$AO$2:$AO$1046,0),COLUMN()),"")</f>
        <v>0</v>
      </c>
      <c r="V65">
        <f>IFERROR(INDEX(装备库!$A$2:$Y$1047,MATCH(ROW()-1,装备库!$AO$2:$AO$1046,0),COLUMN()),"")</f>
        <v>0</v>
      </c>
      <c r="W65" t="str">
        <f>IFERROR(INDEX(装备库!$A$2:$Y$1047,MATCH(ROW()-1,装备库!$AO$2:$AO$1046,0),COLUMN()),"")</f>
        <v>会招</v>
      </c>
      <c r="X65">
        <f>IFERROR(INDEX(装备库!$A$2:$Y$1047,MATCH(ROW()-1,装备库!$AO$2:$AO$1046,0),COLUMN()),"")</f>
        <v>6</v>
      </c>
      <c r="Y65" t="str">
        <f>IFERROR(INDEX(装备库!$A$2:$Y$1047,MATCH(ROW()-1,装备库!$AO$2:$AO$1046,0),COLUMN()),"")</f>
        <v>世界BOSS</v>
      </c>
    </row>
    <row r="66" spans="1:25" x14ac:dyDescent="0.35">
      <c r="A66" t="str">
        <f>IFERROR(INDEX(装备库!$A$2:$Y$1047,MATCH(ROW()-1,装备库!$AO$2:$AO$1046,0),COLUMN()),"")</f>
        <v>暗器</v>
      </c>
      <c r="B66" t="str">
        <f>IFERROR(INDEX(装备库!$A$2:$Y$1047,MATCH(ROW()-1,装备库!$AO$2:$AO$1046,0),COLUMN()),"")</f>
        <v>温刃囊</v>
      </c>
      <c r="C66">
        <f>IFERROR(INDEX(装备库!$A$2:$Y$1047,MATCH(ROW()-1,装备库!$AO$2:$AO$1046,0),COLUMN()),"")</f>
        <v>12450</v>
      </c>
      <c r="D66" t="str">
        <f>IFERROR(INDEX(装备库!$A$2:$Y$1047,MATCH(ROW()-1,装备库!$AO$2:$AO$1046,0),COLUMN()),"")</f>
        <v>温刃囊(12450会无)</v>
      </c>
      <c r="E66">
        <f>IFERROR(INDEX(装备库!$A$2:$Y$1047,MATCH(ROW()-1,装备库!$AO$2:$AO$1046,0),COLUMN()),"")</f>
        <v>522</v>
      </c>
      <c r="F66">
        <f>IFERROR(INDEX(装备库!$A$2:$Y$1047,MATCH(ROW()-1,装备库!$AO$2:$AO$1046,0),COLUMN()),"")</f>
        <v>846</v>
      </c>
      <c r="G66">
        <f>IFERROR(INDEX(装备库!$A$2:$Y$1047,MATCH(ROW()-1,装备库!$AO$2:$AO$1046,0),COLUMN()),"")</f>
        <v>2617</v>
      </c>
      <c r="H66">
        <f>IFERROR(INDEX(装备库!$A$2:$Y$1047,MATCH(ROW()-1,装备库!$AO$2:$AO$1046,0),COLUMN()),"")</f>
        <v>0</v>
      </c>
      <c r="I66">
        <f>IFERROR(INDEX(装备库!$A$2:$Y$1047,MATCH(ROW()-1,装备库!$AO$2:$AO$1046,0),COLUMN()),"")</f>
        <v>0</v>
      </c>
      <c r="J66">
        <f>IFERROR(INDEX(装备库!$A$2:$Y$1047,MATCH(ROW()-1,装备库!$AO$2:$AO$1046,0),COLUMN()),"")</f>
        <v>0</v>
      </c>
      <c r="K66">
        <f>IFERROR(INDEX(装备库!$A$2:$Y$1047,MATCH(ROW()-1,装备库!$AO$2:$AO$1046,0),COLUMN()),"")</f>
        <v>2326</v>
      </c>
      <c r="L66">
        <f>IFERROR(INDEX(装备库!$A$2:$Y$1047,MATCH(ROW()-1,装备库!$AO$2:$AO$1046,0),COLUMN()),"")</f>
        <v>0</v>
      </c>
      <c r="M66">
        <f>IFERROR(INDEX(装备库!$A$2:$Y$1047,MATCH(ROW()-1,装备库!$AO$2:$AO$1046,0),COLUMN()),"")</f>
        <v>0</v>
      </c>
      <c r="N66">
        <f>IFERROR(INDEX(装备库!$A$2:$Y$1047,MATCH(ROW()-1,装备库!$AO$2:$AO$1046,0),COLUMN()),"")</f>
        <v>0</v>
      </c>
      <c r="O66">
        <f>IFERROR(INDEX(装备库!$A$2:$Y$1047,MATCH(ROW()-1,装备库!$AO$2:$AO$1046,0),COLUMN()),"")</f>
        <v>0</v>
      </c>
      <c r="P66">
        <f>IFERROR(INDEX(装备库!$A$2:$Y$1047,MATCH(ROW()-1,装备库!$AO$2:$AO$1046,0),COLUMN()),"")</f>
        <v>0</v>
      </c>
      <c r="Q66">
        <f>IFERROR(INDEX(装备库!$A$2:$Y$1047,MATCH(ROW()-1,装备库!$AO$2:$AO$1046,0),COLUMN()),"")</f>
        <v>1</v>
      </c>
      <c r="R66">
        <f>IFERROR(INDEX(装备库!$A$2:$Y$1047,MATCH(ROW()-1,装备库!$AO$2:$AO$1046,0),COLUMN()),"")</f>
        <v>0</v>
      </c>
      <c r="S66">
        <f>IFERROR(INDEX(装备库!$A$2:$Y$1047,MATCH(ROW()-1,装备库!$AO$2:$AO$1046,0),COLUMN()),"")</f>
        <v>0</v>
      </c>
      <c r="T66">
        <f>IFERROR(INDEX(装备库!$A$2:$Y$1047,MATCH(ROW()-1,装备库!$AO$2:$AO$1046,0),COLUMN()),"")</f>
        <v>0</v>
      </c>
      <c r="U66">
        <f>IFERROR(INDEX(装备库!$A$2:$Y$1047,MATCH(ROW()-1,装备库!$AO$2:$AO$1046,0),COLUMN()),"")</f>
        <v>0</v>
      </c>
      <c r="V66">
        <f>IFERROR(INDEX(装备库!$A$2:$Y$1047,MATCH(ROW()-1,装备库!$AO$2:$AO$1046,0),COLUMN()),"")</f>
        <v>0</v>
      </c>
      <c r="W66" t="str">
        <f>IFERROR(INDEX(装备库!$A$2:$Y$1047,MATCH(ROW()-1,装备库!$AO$2:$AO$1046,0),COLUMN()),"")</f>
        <v>会无</v>
      </c>
      <c r="X66">
        <f>IFERROR(INDEX(装备库!$A$2:$Y$1047,MATCH(ROW()-1,装备库!$AO$2:$AO$1046,0),COLUMN()),"")</f>
        <v>6</v>
      </c>
      <c r="Y66" t="str">
        <f>IFERROR(INDEX(装备库!$A$2:$Y$1047,MATCH(ROW()-1,装备库!$AO$2:$AO$1046,0),COLUMN()),"")</f>
        <v>副本</v>
      </c>
    </row>
    <row r="67" spans="1:25" x14ac:dyDescent="0.35">
      <c r="A67" t="str">
        <f>IFERROR(INDEX(装备库!$A$2:$Y$1047,MATCH(ROW()-1,装备库!$AO$2:$AO$1046,0),COLUMN()),"")</f>
        <v>护手</v>
      </c>
      <c r="B67" t="str">
        <f>IFERROR(INDEX(装备库!$A$2:$Y$1047,MATCH(ROW()-1,装备库!$AO$2:$AO$1046,0),COLUMN()),"")</f>
        <v>浅梦护手</v>
      </c>
      <c r="C67">
        <f>IFERROR(INDEX(装备库!$A$2:$Y$1047,MATCH(ROW()-1,装备库!$AO$2:$AO$1046,0),COLUMN()),"")</f>
        <v>8000</v>
      </c>
      <c r="D67" t="str">
        <f>IFERROR(INDEX(装备库!$A$2:$Y$1047,MATCH(ROW()-1,装备库!$AO$2:$AO$1046,0),COLUMN()),"")</f>
        <v>浅梦护手(8000招破)</v>
      </c>
      <c r="E67">
        <f>IFERROR(INDEX(装备库!$A$2:$Y$1047,MATCH(ROW()-1,装备库!$AO$2:$AO$1046,0),COLUMN()),"")</f>
        <v>391</v>
      </c>
      <c r="F67">
        <f>IFERROR(INDEX(装备库!$A$2:$Y$1047,MATCH(ROW()-1,装备库!$AO$2:$AO$1046,0),COLUMN()),"")</f>
        <v>634</v>
      </c>
      <c r="G67">
        <f>IFERROR(INDEX(装备库!$A$2:$Y$1047,MATCH(ROW()-1,装备库!$AO$2:$AO$1046,0),COLUMN()),"")</f>
        <v>0</v>
      </c>
      <c r="H67">
        <f>IFERROR(INDEX(装备库!$A$2:$Y$1047,MATCH(ROW()-1,装备库!$AO$2:$AO$1046,0),COLUMN()),"")</f>
        <v>0</v>
      </c>
      <c r="I67">
        <f>IFERROR(INDEX(装备库!$A$2:$Y$1047,MATCH(ROW()-1,装备库!$AO$2:$AO$1046,0),COLUMN()),"")</f>
        <v>1962</v>
      </c>
      <c r="J67">
        <f>IFERROR(INDEX(装备库!$A$2:$Y$1047,MATCH(ROW()-1,装备库!$AO$2:$AO$1046,0),COLUMN()),"")</f>
        <v>1744</v>
      </c>
      <c r="K67">
        <f>IFERROR(INDEX(装备库!$A$2:$Y$1047,MATCH(ROW()-1,装备库!$AO$2:$AO$1046,0),COLUMN()),"")</f>
        <v>0</v>
      </c>
      <c r="L67">
        <f>IFERROR(INDEX(装备库!$A$2:$Y$1047,MATCH(ROW()-1,装备库!$AO$2:$AO$1046,0),COLUMN()),"")</f>
        <v>0</v>
      </c>
      <c r="M67">
        <f>IFERROR(INDEX(装备库!$A$2:$Y$1047,MATCH(ROW()-1,装备库!$AO$2:$AO$1046,0),COLUMN()),"")</f>
        <v>0</v>
      </c>
      <c r="N67">
        <f>IFERROR(INDEX(装备库!$A$2:$Y$1047,MATCH(ROW()-1,装备库!$AO$2:$AO$1046,0),COLUMN()),"")</f>
        <v>0</v>
      </c>
      <c r="O67">
        <f>IFERROR(INDEX(装备库!$A$2:$Y$1047,MATCH(ROW()-1,装备库!$AO$2:$AO$1046,0),COLUMN()),"")</f>
        <v>0</v>
      </c>
      <c r="P67">
        <f>IFERROR(INDEX(装备库!$A$2:$Y$1047,MATCH(ROW()-1,装备库!$AO$2:$AO$1046,0),COLUMN()),"")</f>
        <v>1</v>
      </c>
      <c r="Q67">
        <f>IFERROR(INDEX(装备库!$A$2:$Y$1047,MATCH(ROW()-1,装备库!$AO$2:$AO$1046,0),COLUMN()),"")</f>
        <v>0</v>
      </c>
      <c r="R67">
        <f>IFERROR(INDEX(装备库!$A$2:$Y$1047,MATCH(ROW()-1,装备库!$AO$2:$AO$1046,0),COLUMN()),"")</f>
        <v>0</v>
      </c>
      <c r="S67">
        <f>IFERROR(INDEX(装备库!$A$2:$Y$1047,MATCH(ROW()-1,装备库!$AO$2:$AO$1046,0),COLUMN()),"")</f>
        <v>1</v>
      </c>
      <c r="T67">
        <f>IFERROR(INDEX(装备库!$A$2:$Y$1047,MATCH(ROW()-1,装备库!$AO$2:$AO$1046,0),COLUMN()),"")</f>
        <v>0</v>
      </c>
      <c r="U67">
        <f>IFERROR(INDEX(装备库!$A$2:$Y$1047,MATCH(ROW()-1,装备库!$AO$2:$AO$1046,0),COLUMN()),"")</f>
        <v>0</v>
      </c>
      <c r="V67">
        <f>IFERROR(INDEX(装备库!$A$2:$Y$1047,MATCH(ROW()-1,装备库!$AO$2:$AO$1046,0),COLUMN()),"")</f>
        <v>0</v>
      </c>
      <c r="W67" t="str">
        <f>IFERROR(INDEX(装备库!$A$2:$Y$1047,MATCH(ROW()-1,装备库!$AO$2:$AO$1046,0),COLUMN()),"")</f>
        <v>招破</v>
      </c>
      <c r="X67">
        <f>IFERROR(INDEX(装备库!$A$2:$Y$1047,MATCH(ROW()-1,装备库!$AO$2:$AO$1046,0),COLUMN()),"")</f>
        <v>6</v>
      </c>
      <c r="Y67" t="str">
        <f>IFERROR(INDEX(装备库!$A$2:$Y$1047,MATCH(ROW()-1,装备库!$AO$2:$AO$1046,0),COLUMN()),"")</f>
        <v>副本</v>
      </c>
    </row>
    <row r="68" spans="1:25" x14ac:dyDescent="0.35">
      <c r="A68" t="str">
        <f>IFERROR(INDEX(装备库!$A$2:$Y$1047,MATCH(ROW()-1,装备库!$AO$2:$AO$1046,0),COLUMN()),"")</f>
        <v>护手</v>
      </c>
      <c r="B68" t="str">
        <f>IFERROR(INDEX(装备库!$A$2:$Y$1047,MATCH(ROW()-1,装备库!$AO$2:$AO$1046,0),COLUMN()),"")</f>
        <v>崇月护手</v>
      </c>
      <c r="C68">
        <f>IFERROR(INDEX(装备库!$A$2:$Y$1047,MATCH(ROW()-1,装备库!$AO$2:$AO$1046,0),COLUMN()),"")</f>
        <v>8100</v>
      </c>
      <c r="D68" t="str">
        <f>IFERROR(INDEX(装备库!$A$2:$Y$1047,MATCH(ROW()-1,装备库!$AO$2:$AO$1046,0),COLUMN()),"")</f>
        <v>崇月护手(8100招破)</v>
      </c>
      <c r="E68">
        <f>IFERROR(INDEX(装备库!$A$2:$Y$1047,MATCH(ROW()-1,装备库!$AO$2:$AO$1046,0),COLUMN()),"")</f>
        <v>396</v>
      </c>
      <c r="F68">
        <f>IFERROR(INDEX(装备库!$A$2:$Y$1047,MATCH(ROW()-1,装备库!$AO$2:$AO$1046,0),COLUMN()),"")</f>
        <v>642</v>
      </c>
      <c r="G68">
        <f>IFERROR(INDEX(装备库!$A$2:$Y$1047,MATCH(ROW()-1,装备库!$AO$2:$AO$1046,0),COLUMN()),"")</f>
        <v>0</v>
      </c>
      <c r="H68">
        <f>IFERROR(INDEX(装备库!$A$2:$Y$1047,MATCH(ROW()-1,装备库!$AO$2:$AO$1046,0),COLUMN()),"")</f>
        <v>0</v>
      </c>
      <c r="I68">
        <f>IFERROR(INDEX(装备库!$A$2:$Y$1047,MATCH(ROW()-1,装备库!$AO$2:$AO$1046,0),COLUMN()),"")</f>
        <v>1987</v>
      </c>
      <c r="J68">
        <f>IFERROR(INDEX(装备库!$A$2:$Y$1047,MATCH(ROW()-1,装备库!$AO$2:$AO$1046,0),COLUMN()),"")</f>
        <v>1766</v>
      </c>
      <c r="K68">
        <f>IFERROR(INDEX(装备库!$A$2:$Y$1047,MATCH(ROW()-1,装备库!$AO$2:$AO$1046,0),COLUMN()),"")</f>
        <v>0</v>
      </c>
      <c r="L68">
        <f>IFERROR(INDEX(装备库!$A$2:$Y$1047,MATCH(ROW()-1,装备库!$AO$2:$AO$1046,0),COLUMN()),"")</f>
        <v>0</v>
      </c>
      <c r="M68">
        <f>IFERROR(INDEX(装备库!$A$2:$Y$1047,MATCH(ROW()-1,装备库!$AO$2:$AO$1046,0),COLUMN()),"")</f>
        <v>0</v>
      </c>
      <c r="N68">
        <f>IFERROR(INDEX(装备库!$A$2:$Y$1047,MATCH(ROW()-1,装备库!$AO$2:$AO$1046,0),COLUMN()),"")</f>
        <v>0</v>
      </c>
      <c r="O68">
        <f>IFERROR(INDEX(装备库!$A$2:$Y$1047,MATCH(ROW()-1,装备库!$AO$2:$AO$1046,0),COLUMN()),"")</f>
        <v>0</v>
      </c>
      <c r="P68">
        <f>IFERROR(INDEX(装备库!$A$2:$Y$1047,MATCH(ROW()-1,装备库!$AO$2:$AO$1046,0),COLUMN()),"")</f>
        <v>0</v>
      </c>
      <c r="Q68">
        <f>IFERROR(INDEX(装备库!$A$2:$Y$1047,MATCH(ROW()-1,装备库!$AO$2:$AO$1046,0),COLUMN()),"")</f>
        <v>0</v>
      </c>
      <c r="R68">
        <f>IFERROR(INDEX(装备库!$A$2:$Y$1047,MATCH(ROW()-1,装备库!$AO$2:$AO$1046,0),COLUMN()),"")</f>
        <v>0</v>
      </c>
      <c r="S68">
        <f>IFERROR(INDEX(装备库!$A$2:$Y$1047,MATCH(ROW()-1,装备库!$AO$2:$AO$1046,0),COLUMN()),"")</f>
        <v>0</v>
      </c>
      <c r="T68">
        <f>IFERROR(INDEX(装备库!$A$2:$Y$1047,MATCH(ROW()-1,装备库!$AO$2:$AO$1046,0),COLUMN()),"")</f>
        <v>0</v>
      </c>
      <c r="U68">
        <f>IFERROR(INDEX(装备库!$A$2:$Y$1047,MATCH(ROW()-1,装备库!$AO$2:$AO$1046,0),COLUMN()),"")</f>
        <v>0</v>
      </c>
      <c r="V68">
        <f>IFERROR(INDEX(装备库!$A$2:$Y$1047,MATCH(ROW()-1,装备库!$AO$2:$AO$1046,0),COLUMN()),"")</f>
        <v>0</v>
      </c>
      <c r="W68" t="str">
        <f>IFERROR(INDEX(装备库!$A$2:$Y$1047,MATCH(ROW()-1,装备库!$AO$2:$AO$1046,0),COLUMN()),"")</f>
        <v>招破</v>
      </c>
      <c r="X68">
        <f>IFERROR(INDEX(装备库!$A$2:$Y$1047,MATCH(ROW()-1,装备库!$AO$2:$AO$1046,0),COLUMN()),"")</f>
        <v>6</v>
      </c>
      <c r="Y68" t="str">
        <f>IFERROR(INDEX(装备库!$A$2:$Y$1047,MATCH(ROW()-1,装备库!$AO$2:$AO$1046,0),COLUMN()),"")</f>
        <v>任务</v>
      </c>
    </row>
    <row r="69" spans="1:25" x14ac:dyDescent="0.35">
      <c r="A69" t="str">
        <f>IFERROR(INDEX(装备库!$A$2:$Y$1047,MATCH(ROW()-1,装备库!$AO$2:$AO$1046,0),COLUMN()),"")</f>
        <v>护手</v>
      </c>
      <c r="B69" t="str">
        <f>IFERROR(INDEX(装备库!$A$2:$Y$1047,MATCH(ROW()-1,装备库!$AO$2:$AO$1046,0),COLUMN()),"")</f>
        <v>画楼袖</v>
      </c>
      <c r="C69">
        <f>IFERROR(INDEX(装备库!$A$2:$Y$1047,MATCH(ROW()-1,装备库!$AO$2:$AO$1046,0),COLUMN()),"")</f>
        <v>8100</v>
      </c>
      <c r="D69" t="str">
        <f>IFERROR(INDEX(装备库!$A$2:$Y$1047,MATCH(ROW()-1,装备库!$AO$2:$AO$1046,0),COLUMN()),"")</f>
        <v>画楼袖(8100招破)</v>
      </c>
      <c r="E69">
        <f>IFERROR(INDEX(装备库!$A$2:$Y$1047,MATCH(ROW()-1,装备库!$AO$2:$AO$1046,0),COLUMN()),"")</f>
        <v>396</v>
      </c>
      <c r="F69">
        <f>IFERROR(INDEX(装备库!$A$2:$Y$1047,MATCH(ROW()-1,装备库!$AO$2:$AO$1046,0),COLUMN()),"")</f>
        <v>642</v>
      </c>
      <c r="G69">
        <f>IFERROR(INDEX(装备库!$A$2:$Y$1047,MATCH(ROW()-1,装备库!$AO$2:$AO$1046,0),COLUMN()),"")</f>
        <v>0</v>
      </c>
      <c r="H69">
        <f>IFERROR(INDEX(装备库!$A$2:$Y$1047,MATCH(ROW()-1,装备库!$AO$2:$AO$1046,0),COLUMN()),"")</f>
        <v>0</v>
      </c>
      <c r="I69">
        <f>IFERROR(INDEX(装备库!$A$2:$Y$1047,MATCH(ROW()-1,装备库!$AO$2:$AO$1046,0),COLUMN()),"")</f>
        <v>1987</v>
      </c>
      <c r="J69">
        <f>IFERROR(INDEX(装备库!$A$2:$Y$1047,MATCH(ROW()-1,装备库!$AO$2:$AO$1046,0),COLUMN()),"")</f>
        <v>1766</v>
      </c>
      <c r="K69">
        <f>IFERROR(INDEX(装备库!$A$2:$Y$1047,MATCH(ROW()-1,装备库!$AO$2:$AO$1046,0),COLUMN()),"")</f>
        <v>0</v>
      </c>
      <c r="L69">
        <f>IFERROR(INDEX(装备库!$A$2:$Y$1047,MATCH(ROW()-1,装备库!$AO$2:$AO$1046,0),COLUMN()),"")</f>
        <v>0</v>
      </c>
      <c r="M69">
        <f>IFERROR(INDEX(装备库!$A$2:$Y$1047,MATCH(ROW()-1,装备库!$AO$2:$AO$1046,0),COLUMN()),"")</f>
        <v>0</v>
      </c>
      <c r="N69">
        <f>IFERROR(INDEX(装备库!$A$2:$Y$1047,MATCH(ROW()-1,装备库!$AO$2:$AO$1046,0),COLUMN()),"")</f>
        <v>0</v>
      </c>
      <c r="O69">
        <f>IFERROR(INDEX(装备库!$A$2:$Y$1047,MATCH(ROW()-1,装备库!$AO$2:$AO$1046,0),COLUMN()),"")</f>
        <v>0</v>
      </c>
      <c r="P69">
        <f>IFERROR(INDEX(装备库!$A$2:$Y$1047,MATCH(ROW()-1,装备库!$AO$2:$AO$1046,0),COLUMN()),"")</f>
        <v>1</v>
      </c>
      <c r="Q69">
        <f>IFERROR(INDEX(装备库!$A$2:$Y$1047,MATCH(ROW()-1,装备库!$AO$2:$AO$1046,0),COLUMN()),"")</f>
        <v>0</v>
      </c>
      <c r="R69">
        <f>IFERROR(INDEX(装备库!$A$2:$Y$1047,MATCH(ROW()-1,装备库!$AO$2:$AO$1046,0),COLUMN()),"")</f>
        <v>0</v>
      </c>
      <c r="S69">
        <f>IFERROR(INDEX(装备库!$A$2:$Y$1047,MATCH(ROW()-1,装备库!$AO$2:$AO$1046,0),COLUMN()),"")</f>
        <v>1</v>
      </c>
      <c r="T69">
        <f>IFERROR(INDEX(装备库!$A$2:$Y$1047,MATCH(ROW()-1,装备库!$AO$2:$AO$1046,0),COLUMN()),"")</f>
        <v>0</v>
      </c>
      <c r="U69">
        <f>IFERROR(INDEX(装备库!$A$2:$Y$1047,MATCH(ROW()-1,装备库!$AO$2:$AO$1046,0),COLUMN()),"")</f>
        <v>0</v>
      </c>
      <c r="V69">
        <f>IFERROR(INDEX(装备库!$A$2:$Y$1047,MATCH(ROW()-1,装备库!$AO$2:$AO$1046,0),COLUMN()),"")</f>
        <v>0</v>
      </c>
      <c r="W69" t="str">
        <f>IFERROR(INDEX(装备库!$A$2:$Y$1047,MATCH(ROW()-1,装备库!$AO$2:$AO$1046,0),COLUMN()),"")</f>
        <v>招破</v>
      </c>
      <c r="X69">
        <f>IFERROR(INDEX(装备库!$A$2:$Y$1047,MATCH(ROW()-1,装备库!$AO$2:$AO$1046,0),COLUMN()),"")</f>
        <v>6</v>
      </c>
      <c r="Y69" t="str">
        <f>IFERROR(INDEX(装备库!$A$2:$Y$1047,MATCH(ROW()-1,装备库!$AO$2:$AO$1046,0),COLUMN()),"")</f>
        <v>任务</v>
      </c>
    </row>
    <row r="70" spans="1:25" x14ac:dyDescent="0.35">
      <c r="A70" t="str">
        <f>IFERROR(INDEX(装备库!$A$2:$Y$1047,MATCH(ROW()-1,装备库!$AO$2:$AO$1046,0),COLUMN()),"")</f>
        <v>护手</v>
      </c>
      <c r="B70" t="str">
        <f>IFERROR(INDEX(装备库!$A$2:$Y$1047,MATCH(ROW()-1,装备库!$AO$2:$AO$1046,0),COLUMN()),"")</f>
        <v>临英护手</v>
      </c>
      <c r="C70">
        <f>IFERROR(INDEX(装备库!$A$2:$Y$1047,MATCH(ROW()-1,装备库!$AO$2:$AO$1046,0),COLUMN()),"")</f>
        <v>8150</v>
      </c>
      <c r="D70" t="str">
        <f>IFERROR(INDEX(装备库!$A$2:$Y$1047,MATCH(ROW()-1,装备库!$AO$2:$AO$1046,0),COLUMN()),"")</f>
        <v>临英护手(8150会招)</v>
      </c>
      <c r="E70">
        <f>IFERROR(INDEX(装备库!$A$2:$Y$1047,MATCH(ROW()-1,装备库!$AO$2:$AO$1046,0),COLUMN()),"")</f>
        <v>398</v>
      </c>
      <c r="F70">
        <f>IFERROR(INDEX(装备库!$A$2:$Y$1047,MATCH(ROW()-1,装备库!$AO$2:$AO$1046,0),COLUMN()),"")</f>
        <v>646</v>
      </c>
      <c r="G70">
        <f>IFERROR(INDEX(装备库!$A$2:$Y$1047,MATCH(ROW()-1,装备库!$AO$2:$AO$1046,0),COLUMN()),"")</f>
        <v>1999</v>
      </c>
      <c r="H70">
        <f>IFERROR(INDEX(装备库!$A$2:$Y$1047,MATCH(ROW()-1,装备库!$AO$2:$AO$1046,0),COLUMN()),"")</f>
        <v>0</v>
      </c>
      <c r="I70">
        <f>IFERROR(INDEX(装备库!$A$2:$Y$1047,MATCH(ROW()-1,装备库!$AO$2:$AO$1046,0),COLUMN()),"")</f>
        <v>0</v>
      </c>
      <c r="J70">
        <f>IFERROR(INDEX(装备库!$A$2:$Y$1047,MATCH(ROW()-1,装备库!$AO$2:$AO$1046,0),COLUMN()),"")</f>
        <v>1777</v>
      </c>
      <c r="K70">
        <f>IFERROR(INDEX(装备库!$A$2:$Y$1047,MATCH(ROW()-1,装备库!$AO$2:$AO$1046,0),COLUMN()),"")</f>
        <v>0</v>
      </c>
      <c r="L70">
        <f>IFERROR(INDEX(装备库!$A$2:$Y$1047,MATCH(ROW()-1,装备库!$AO$2:$AO$1046,0),COLUMN()),"")</f>
        <v>0</v>
      </c>
      <c r="M70">
        <f>IFERROR(INDEX(装备库!$A$2:$Y$1047,MATCH(ROW()-1,装备库!$AO$2:$AO$1046,0),COLUMN()),"")</f>
        <v>0</v>
      </c>
      <c r="N70">
        <f>IFERROR(INDEX(装备库!$A$2:$Y$1047,MATCH(ROW()-1,装备库!$AO$2:$AO$1046,0),COLUMN()),"")</f>
        <v>0</v>
      </c>
      <c r="O70">
        <f>IFERROR(INDEX(装备库!$A$2:$Y$1047,MATCH(ROW()-1,装备库!$AO$2:$AO$1046,0),COLUMN()),"")</f>
        <v>1</v>
      </c>
      <c r="P70">
        <f>IFERROR(INDEX(装备库!$A$2:$Y$1047,MATCH(ROW()-1,装备库!$AO$2:$AO$1046,0),COLUMN()),"")</f>
        <v>1</v>
      </c>
      <c r="Q70">
        <f>IFERROR(INDEX(装备库!$A$2:$Y$1047,MATCH(ROW()-1,装备库!$AO$2:$AO$1046,0),COLUMN()),"")</f>
        <v>0</v>
      </c>
      <c r="R70">
        <f>IFERROR(INDEX(装备库!$A$2:$Y$1047,MATCH(ROW()-1,装备库!$AO$2:$AO$1046,0),COLUMN()),"")</f>
        <v>0</v>
      </c>
      <c r="S70">
        <f>IFERROR(INDEX(装备库!$A$2:$Y$1047,MATCH(ROW()-1,装备库!$AO$2:$AO$1046,0),COLUMN()),"")</f>
        <v>0</v>
      </c>
      <c r="T70">
        <f>IFERROR(INDEX(装备库!$A$2:$Y$1047,MATCH(ROW()-1,装备库!$AO$2:$AO$1046,0),COLUMN()),"")</f>
        <v>0</v>
      </c>
      <c r="U70">
        <f>IFERROR(INDEX(装备库!$A$2:$Y$1047,MATCH(ROW()-1,装备库!$AO$2:$AO$1046,0),COLUMN()),"")</f>
        <v>0</v>
      </c>
      <c r="V70">
        <f>IFERROR(INDEX(装备库!$A$2:$Y$1047,MATCH(ROW()-1,装备库!$AO$2:$AO$1046,0),COLUMN()),"")</f>
        <v>0</v>
      </c>
      <c r="W70" t="str">
        <f>IFERROR(INDEX(装备库!$A$2:$Y$1047,MATCH(ROW()-1,装备库!$AO$2:$AO$1046,0),COLUMN()),"")</f>
        <v>会招</v>
      </c>
      <c r="X70">
        <f>IFERROR(INDEX(装备库!$A$2:$Y$1047,MATCH(ROW()-1,装备库!$AO$2:$AO$1046,0),COLUMN()),"")</f>
        <v>6</v>
      </c>
      <c r="Y70" t="str">
        <f>IFERROR(INDEX(装备库!$A$2:$Y$1047,MATCH(ROW()-1,装备库!$AO$2:$AO$1046,0),COLUMN()),"")</f>
        <v>声望</v>
      </c>
    </row>
    <row r="71" spans="1:25" x14ac:dyDescent="0.35">
      <c r="A71" t="str">
        <f>IFERROR(INDEX(装备库!$A$2:$Y$1047,MATCH(ROW()-1,装备库!$AO$2:$AO$1046,0),COLUMN()),"")</f>
        <v>护手</v>
      </c>
      <c r="B71" t="str">
        <f>IFERROR(INDEX(装备库!$A$2:$Y$1047,MATCH(ROW()-1,装备库!$AO$2:$AO$1046,0),COLUMN()),"")</f>
        <v>少雪袖</v>
      </c>
      <c r="C71">
        <f>IFERROR(INDEX(装备库!$A$2:$Y$1047,MATCH(ROW()-1,装备库!$AO$2:$AO$1046,0),COLUMN()),"")</f>
        <v>8600</v>
      </c>
      <c r="D71" t="str">
        <f>IFERROR(INDEX(装备库!$A$2:$Y$1047,MATCH(ROW()-1,装备库!$AO$2:$AO$1046,0),COLUMN()),"")</f>
        <v>少雪袖(8600力道纯会)</v>
      </c>
      <c r="E71">
        <f>IFERROR(INDEX(装备库!$A$2:$Y$1047,MATCH(ROW()-1,装备库!$AO$2:$AO$1046,0),COLUMN()),"")</f>
        <v>525</v>
      </c>
      <c r="F71">
        <f>IFERROR(INDEX(装备库!$A$2:$Y$1047,MATCH(ROW()-1,装备库!$AO$2:$AO$1046,0),COLUMN()),"")</f>
        <v>1049</v>
      </c>
      <c r="G71">
        <f>IFERROR(INDEX(装备库!$A$2:$Y$1047,MATCH(ROW()-1,装备库!$AO$2:$AO$1046,0),COLUMN()),"")</f>
        <v>2695</v>
      </c>
      <c r="H71">
        <f>IFERROR(INDEX(装备库!$A$2:$Y$1047,MATCH(ROW()-1,装备库!$AO$2:$AO$1046,0),COLUMN()),"")</f>
        <v>0</v>
      </c>
      <c r="I71">
        <f>IFERROR(INDEX(装备库!$A$2:$Y$1047,MATCH(ROW()-1,装备库!$AO$2:$AO$1046,0),COLUMN()),"")</f>
        <v>0</v>
      </c>
      <c r="J71">
        <f>IFERROR(INDEX(装备库!$A$2:$Y$1047,MATCH(ROW()-1,装备库!$AO$2:$AO$1046,0),COLUMN()),"")</f>
        <v>0</v>
      </c>
      <c r="K71">
        <f>IFERROR(INDEX(装备库!$A$2:$Y$1047,MATCH(ROW()-1,装备库!$AO$2:$AO$1046,0),COLUMN()),"")</f>
        <v>0</v>
      </c>
      <c r="L71">
        <f>IFERROR(INDEX(装备库!$A$2:$Y$1047,MATCH(ROW()-1,装备库!$AO$2:$AO$1046,0),COLUMN()),"")</f>
        <v>0</v>
      </c>
      <c r="M71">
        <f>IFERROR(INDEX(装备库!$A$2:$Y$1047,MATCH(ROW()-1,装备库!$AO$2:$AO$1046,0),COLUMN()),"")</f>
        <v>0</v>
      </c>
      <c r="N71">
        <f>IFERROR(INDEX(装备库!$A$2:$Y$1047,MATCH(ROW()-1,装备库!$AO$2:$AO$1046,0),COLUMN()),"")</f>
        <v>0</v>
      </c>
      <c r="O71">
        <f>IFERROR(INDEX(装备库!$A$2:$Y$1047,MATCH(ROW()-1,装备库!$AO$2:$AO$1046,0),COLUMN()),"")</f>
        <v>0</v>
      </c>
      <c r="P71">
        <f>IFERROR(INDEX(装备库!$A$2:$Y$1047,MATCH(ROW()-1,装备库!$AO$2:$AO$1046,0),COLUMN()),"")</f>
        <v>0</v>
      </c>
      <c r="Q71">
        <f>IFERROR(INDEX(装备库!$A$2:$Y$1047,MATCH(ROW()-1,装备库!$AO$2:$AO$1046,0),COLUMN()),"")</f>
        <v>1</v>
      </c>
      <c r="R71">
        <f>IFERROR(INDEX(装备库!$A$2:$Y$1047,MATCH(ROW()-1,装备库!$AO$2:$AO$1046,0),COLUMN()),"")</f>
        <v>1</v>
      </c>
      <c r="S71">
        <f>IFERROR(INDEX(装备库!$A$2:$Y$1047,MATCH(ROW()-1,装备库!$AO$2:$AO$1046,0),COLUMN()),"")</f>
        <v>0</v>
      </c>
      <c r="T71">
        <f>IFERROR(INDEX(装备库!$A$2:$Y$1047,MATCH(ROW()-1,装备库!$AO$2:$AO$1046,0),COLUMN()),"")</f>
        <v>0</v>
      </c>
      <c r="U71">
        <f>IFERROR(INDEX(装备库!$A$2:$Y$1047,MATCH(ROW()-1,装备库!$AO$2:$AO$1046,0),COLUMN()),"")</f>
        <v>0</v>
      </c>
      <c r="V71">
        <f>IFERROR(INDEX(装备库!$A$2:$Y$1047,MATCH(ROW()-1,装备库!$AO$2:$AO$1046,0),COLUMN()),"")</f>
        <v>0</v>
      </c>
      <c r="W71" t="str">
        <f>IFERROR(INDEX(装备库!$A$2:$Y$1047,MATCH(ROW()-1,装备库!$AO$2:$AO$1046,0),COLUMN()),"")</f>
        <v>力道纯会</v>
      </c>
      <c r="X71">
        <f>IFERROR(INDEX(装备库!$A$2:$Y$1047,MATCH(ROW()-1,装备库!$AO$2:$AO$1046,0),COLUMN()),"")</f>
        <v>6</v>
      </c>
      <c r="Y71" t="str">
        <f>IFERROR(INDEX(装备库!$A$2:$Y$1047,MATCH(ROW()-1,装备库!$AO$2:$AO$1046,0),COLUMN()),"")</f>
        <v>精英怪</v>
      </c>
    </row>
    <row r="72" spans="1:25" x14ac:dyDescent="0.35">
      <c r="A72" t="str">
        <f>IFERROR(INDEX(装备库!$A$2:$Y$1047,MATCH(ROW()-1,装备库!$AO$2:$AO$1046,0),COLUMN()),"")</f>
        <v>护手</v>
      </c>
      <c r="B72" t="str">
        <f>IFERROR(INDEX(装备库!$A$2:$Y$1047,MATCH(ROW()-1,装备库!$AO$2:$AO$1046,0),COLUMN()),"")</f>
        <v>画楼袖</v>
      </c>
      <c r="C72">
        <f>IFERROR(INDEX(装备库!$A$2:$Y$1047,MATCH(ROW()-1,装备库!$AO$2:$AO$1046,0),COLUMN()),"")</f>
        <v>8800</v>
      </c>
      <c r="D72" t="str">
        <f>IFERROR(INDEX(装备库!$A$2:$Y$1047,MATCH(ROW()-1,装备库!$AO$2:$AO$1046,0),COLUMN()),"")</f>
        <v>画楼袖(8800招破)</v>
      </c>
      <c r="E72">
        <f>IFERROR(INDEX(装备库!$A$2:$Y$1047,MATCH(ROW()-1,装备库!$AO$2:$AO$1046,0),COLUMN()),"")</f>
        <v>430</v>
      </c>
      <c r="F72">
        <f>IFERROR(INDEX(装备库!$A$2:$Y$1047,MATCH(ROW()-1,装备库!$AO$2:$AO$1046,0),COLUMN()),"")</f>
        <v>698</v>
      </c>
      <c r="G72">
        <f>IFERROR(INDEX(装备库!$A$2:$Y$1047,MATCH(ROW()-1,装备库!$AO$2:$AO$1046,0),COLUMN()),"")</f>
        <v>0</v>
      </c>
      <c r="H72">
        <f>IFERROR(INDEX(装备库!$A$2:$Y$1047,MATCH(ROW()-1,装备库!$AO$2:$AO$1046,0),COLUMN()),"")</f>
        <v>0</v>
      </c>
      <c r="I72">
        <f>IFERROR(INDEX(装备库!$A$2:$Y$1047,MATCH(ROW()-1,装备库!$AO$2:$AO$1046,0),COLUMN()),"")</f>
        <v>2158</v>
      </c>
      <c r="J72">
        <f>IFERROR(INDEX(装备库!$A$2:$Y$1047,MATCH(ROW()-1,装备库!$AO$2:$AO$1046,0),COLUMN()),"")</f>
        <v>1918</v>
      </c>
      <c r="K72">
        <f>IFERROR(INDEX(装备库!$A$2:$Y$1047,MATCH(ROW()-1,装备库!$AO$2:$AO$1046,0),COLUMN()),"")</f>
        <v>0</v>
      </c>
      <c r="L72">
        <f>IFERROR(INDEX(装备库!$A$2:$Y$1047,MATCH(ROW()-1,装备库!$AO$2:$AO$1046,0),COLUMN()),"")</f>
        <v>0</v>
      </c>
      <c r="M72">
        <f>IFERROR(INDEX(装备库!$A$2:$Y$1047,MATCH(ROW()-1,装备库!$AO$2:$AO$1046,0),COLUMN()),"")</f>
        <v>0</v>
      </c>
      <c r="N72">
        <f>IFERROR(INDEX(装备库!$A$2:$Y$1047,MATCH(ROW()-1,装备库!$AO$2:$AO$1046,0),COLUMN()),"")</f>
        <v>0</v>
      </c>
      <c r="O72">
        <f>IFERROR(INDEX(装备库!$A$2:$Y$1047,MATCH(ROW()-1,装备库!$AO$2:$AO$1046,0),COLUMN()),"")</f>
        <v>0</v>
      </c>
      <c r="P72">
        <f>IFERROR(INDEX(装备库!$A$2:$Y$1047,MATCH(ROW()-1,装备库!$AO$2:$AO$1046,0),COLUMN()),"")</f>
        <v>1</v>
      </c>
      <c r="Q72">
        <f>IFERROR(INDEX(装备库!$A$2:$Y$1047,MATCH(ROW()-1,装备库!$AO$2:$AO$1046,0),COLUMN()),"")</f>
        <v>0</v>
      </c>
      <c r="R72">
        <f>IFERROR(INDEX(装备库!$A$2:$Y$1047,MATCH(ROW()-1,装备库!$AO$2:$AO$1046,0),COLUMN()),"")</f>
        <v>0</v>
      </c>
      <c r="S72">
        <f>IFERROR(INDEX(装备库!$A$2:$Y$1047,MATCH(ROW()-1,装备库!$AO$2:$AO$1046,0),COLUMN()),"")</f>
        <v>1</v>
      </c>
      <c r="T72">
        <f>IFERROR(INDEX(装备库!$A$2:$Y$1047,MATCH(ROW()-1,装备库!$AO$2:$AO$1046,0),COLUMN()),"")</f>
        <v>0</v>
      </c>
      <c r="U72">
        <f>IFERROR(INDEX(装备库!$A$2:$Y$1047,MATCH(ROW()-1,装备库!$AO$2:$AO$1046,0),COLUMN()),"")</f>
        <v>0</v>
      </c>
      <c r="V72">
        <f>IFERROR(INDEX(装备库!$A$2:$Y$1047,MATCH(ROW()-1,装备库!$AO$2:$AO$1046,0),COLUMN()),"")</f>
        <v>0</v>
      </c>
      <c r="W72" t="str">
        <f>IFERROR(INDEX(装备库!$A$2:$Y$1047,MATCH(ROW()-1,装备库!$AO$2:$AO$1046,0),COLUMN()),"")</f>
        <v>招破</v>
      </c>
      <c r="X72">
        <f>IFERROR(INDEX(装备库!$A$2:$Y$1047,MATCH(ROW()-1,装备库!$AO$2:$AO$1046,0),COLUMN()),"")</f>
        <v>6</v>
      </c>
      <c r="Y72" t="str">
        <f>IFERROR(INDEX(装备库!$A$2:$Y$1047,MATCH(ROW()-1,装备库!$AO$2:$AO$1046,0),COLUMN()),"")</f>
        <v>任务</v>
      </c>
    </row>
    <row r="73" spans="1:25" x14ac:dyDescent="0.35">
      <c r="A73" t="str">
        <f>IFERROR(INDEX(装备库!$A$2:$Y$1047,MATCH(ROW()-1,装备库!$AO$2:$AO$1046,0),COLUMN()),"")</f>
        <v>护手</v>
      </c>
      <c r="B73" t="str">
        <f>IFERROR(INDEX(装备库!$A$2:$Y$1047,MATCH(ROW()-1,装备库!$AO$2:$AO$1046,0),COLUMN()),"")</f>
        <v>临英护手</v>
      </c>
      <c r="C73">
        <f>IFERROR(INDEX(装备库!$A$2:$Y$1047,MATCH(ROW()-1,装备库!$AO$2:$AO$1046,0),COLUMN()),"")</f>
        <v>8800</v>
      </c>
      <c r="D73" t="str">
        <f>IFERROR(INDEX(装备库!$A$2:$Y$1047,MATCH(ROW()-1,装备库!$AO$2:$AO$1046,0),COLUMN()),"")</f>
        <v>临英护手(8800会招)</v>
      </c>
      <c r="E73">
        <f>IFERROR(INDEX(装备库!$A$2:$Y$1047,MATCH(ROW()-1,装备库!$AO$2:$AO$1046,0),COLUMN()),"")</f>
        <v>430</v>
      </c>
      <c r="F73">
        <f>IFERROR(INDEX(装备库!$A$2:$Y$1047,MATCH(ROW()-1,装备库!$AO$2:$AO$1046,0),COLUMN()),"")</f>
        <v>698</v>
      </c>
      <c r="G73">
        <f>IFERROR(INDEX(装备库!$A$2:$Y$1047,MATCH(ROW()-1,装备库!$AO$2:$AO$1046,0),COLUMN()),"")</f>
        <v>2158</v>
      </c>
      <c r="H73">
        <f>IFERROR(INDEX(装备库!$A$2:$Y$1047,MATCH(ROW()-1,装备库!$AO$2:$AO$1046,0),COLUMN()),"")</f>
        <v>0</v>
      </c>
      <c r="I73">
        <f>IFERROR(INDEX(装备库!$A$2:$Y$1047,MATCH(ROW()-1,装备库!$AO$2:$AO$1046,0),COLUMN()),"")</f>
        <v>0</v>
      </c>
      <c r="J73">
        <f>IFERROR(INDEX(装备库!$A$2:$Y$1047,MATCH(ROW()-1,装备库!$AO$2:$AO$1046,0),COLUMN()),"")</f>
        <v>1918</v>
      </c>
      <c r="K73">
        <f>IFERROR(INDEX(装备库!$A$2:$Y$1047,MATCH(ROW()-1,装备库!$AO$2:$AO$1046,0),COLUMN()),"")</f>
        <v>0</v>
      </c>
      <c r="L73">
        <f>IFERROR(INDEX(装备库!$A$2:$Y$1047,MATCH(ROW()-1,装备库!$AO$2:$AO$1046,0),COLUMN()),"")</f>
        <v>0</v>
      </c>
      <c r="M73">
        <f>IFERROR(INDEX(装备库!$A$2:$Y$1047,MATCH(ROW()-1,装备库!$AO$2:$AO$1046,0),COLUMN()),"")</f>
        <v>0</v>
      </c>
      <c r="N73">
        <f>IFERROR(INDEX(装备库!$A$2:$Y$1047,MATCH(ROW()-1,装备库!$AO$2:$AO$1046,0),COLUMN()),"")</f>
        <v>0</v>
      </c>
      <c r="O73">
        <f>IFERROR(INDEX(装备库!$A$2:$Y$1047,MATCH(ROW()-1,装备库!$AO$2:$AO$1046,0),COLUMN()),"")</f>
        <v>1</v>
      </c>
      <c r="P73">
        <f>IFERROR(INDEX(装备库!$A$2:$Y$1047,MATCH(ROW()-1,装备库!$AO$2:$AO$1046,0),COLUMN()),"")</f>
        <v>1</v>
      </c>
      <c r="Q73">
        <f>IFERROR(INDEX(装备库!$A$2:$Y$1047,MATCH(ROW()-1,装备库!$AO$2:$AO$1046,0),COLUMN()),"")</f>
        <v>0</v>
      </c>
      <c r="R73">
        <f>IFERROR(INDEX(装备库!$A$2:$Y$1047,MATCH(ROW()-1,装备库!$AO$2:$AO$1046,0),COLUMN()),"")</f>
        <v>0</v>
      </c>
      <c r="S73">
        <f>IFERROR(INDEX(装备库!$A$2:$Y$1047,MATCH(ROW()-1,装备库!$AO$2:$AO$1046,0),COLUMN()),"")</f>
        <v>0</v>
      </c>
      <c r="T73">
        <f>IFERROR(INDEX(装备库!$A$2:$Y$1047,MATCH(ROW()-1,装备库!$AO$2:$AO$1046,0),COLUMN()),"")</f>
        <v>0</v>
      </c>
      <c r="U73">
        <f>IFERROR(INDEX(装备库!$A$2:$Y$1047,MATCH(ROW()-1,装备库!$AO$2:$AO$1046,0),COLUMN()),"")</f>
        <v>0</v>
      </c>
      <c r="V73">
        <f>IFERROR(INDEX(装备库!$A$2:$Y$1047,MATCH(ROW()-1,装备库!$AO$2:$AO$1046,0),COLUMN()),"")</f>
        <v>0</v>
      </c>
      <c r="W73" t="str">
        <f>IFERROR(INDEX(装备库!$A$2:$Y$1047,MATCH(ROW()-1,装备库!$AO$2:$AO$1046,0),COLUMN()),"")</f>
        <v>会招</v>
      </c>
      <c r="X73">
        <f>IFERROR(INDEX(装备库!$A$2:$Y$1047,MATCH(ROW()-1,装备库!$AO$2:$AO$1046,0),COLUMN()),"")</f>
        <v>6</v>
      </c>
      <c r="Y73" t="str">
        <f>IFERROR(INDEX(装备库!$A$2:$Y$1047,MATCH(ROW()-1,装备库!$AO$2:$AO$1046,0),COLUMN()),"")</f>
        <v>声望</v>
      </c>
    </row>
    <row r="74" spans="1:25" x14ac:dyDescent="0.35">
      <c r="A74" t="str">
        <f>IFERROR(INDEX(装备库!$A$2:$Y$1047,MATCH(ROW()-1,装备库!$AO$2:$AO$1046,0),COLUMN()),"")</f>
        <v>护手</v>
      </c>
      <c r="B74" t="str">
        <f>IFERROR(INDEX(装备库!$A$2:$Y$1047,MATCH(ROW()-1,装备库!$AO$2:$AO$1046,0),COLUMN()),"")</f>
        <v>分石护手</v>
      </c>
      <c r="C74">
        <f>IFERROR(INDEX(装备库!$A$2:$Y$1047,MATCH(ROW()-1,装备库!$AO$2:$AO$1046,0),COLUMN()),"")</f>
        <v>9100</v>
      </c>
      <c r="D74" t="str">
        <f>IFERROR(INDEX(装备库!$A$2:$Y$1047,MATCH(ROW()-1,装备库!$AO$2:$AO$1046,0),COLUMN()),"")</f>
        <v>分石护手(9100速无)</v>
      </c>
      <c r="E74">
        <f>IFERROR(INDEX(装备库!$A$2:$Y$1047,MATCH(ROW()-1,装备库!$AO$2:$AO$1046,0),COLUMN()),"")</f>
        <v>445</v>
      </c>
      <c r="F74">
        <f>IFERROR(INDEX(装备库!$A$2:$Y$1047,MATCH(ROW()-1,装备库!$AO$2:$AO$1046,0),COLUMN()),"")</f>
        <v>722</v>
      </c>
      <c r="G74">
        <f>IFERROR(INDEX(装备库!$A$2:$Y$1047,MATCH(ROW()-1,装备库!$AO$2:$AO$1046,0),COLUMN()),"")</f>
        <v>0</v>
      </c>
      <c r="H74">
        <f>IFERROR(INDEX(装备库!$A$2:$Y$1047,MATCH(ROW()-1,装备库!$AO$2:$AO$1046,0),COLUMN()),"")</f>
        <v>0</v>
      </c>
      <c r="I74">
        <f>IFERROR(INDEX(装备库!$A$2:$Y$1047,MATCH(ROW()-1,装备库!$AO$2:$AO$1046,0),COLUMN()),"")</f>
        <v>0</v>
      </c>
      <c r="J74">
        <f>IFERROR(INDEX(装备库!$A$2:$Y$1047,MATCH(ROW()-1,装备库!$AO$2:$AO$1046,0),COLUMN()),"")</f>
        <v>0</v>
      </c>
      <c r="K74">
        <f>IFERROR(INDEX(装备库!$A$2:$Y$1047,MATCH(ROW()-1,装备库!$AO$2:$AO$1046,0),COLUMN()),"")</f>
        <v>1984</v>
      </c>
      <c r="L74">
        <f>IFERROR(INDEX(装备库!$A$2:$Y$1047,MATCH(ROW()-1,装备库!$AO$2:$AO$1046,0),COLUMN()),"")</f>
        <v>2232</v>
      </c>
      <c r="M74">
        <f>IFERROR(INDEX(装备库!$A$2:$Y$1047,MATCH(ROW()-1,装备库!$AO$2:$AO$1046,0),COLUMN()),"")</f>
        <v>0</v>
      </c>
      <c r="N74">
        <f>IFERROR(INDEX(装备库!$A$2:$Y$1047,MATCH(ROW()-1,装备库!$AO$2:$AO$1046,0),COLUMN()),"")</f>
        <v>0</v>
      </c>
      <c r="O74">
        <f>IFERROR(INDEX(装备库!$A$2:$Y$1047,MATCH(ROW()-1,装备库!$AO$2:$AO$1046,0),COLUMN()),"")</f>
        <v>1</v>
      </c>
      <c r="P74">
        <f>IFERROR(INDEX(装备库!$A$2:$Y$1047,MATCH(ROW()-1,装备库!$AO$2:$AO$1046,0),COLUMN()),"")</f>
        <v>0</v>
      </c>
      <c r="Q74">
        <f>IFERROR(INDEX(装备库!$A$2:$Y$1047,MATCH(ROW()-1,装备库!$AO$2:$AO$1046,0),COLUMN()),"")</f>
        <v>0</v>
      </c>
      <c r="R74">
        <f>IFERROR(INDEX(装备库!$A$2:$Y$1047,MATCH(ROW()-1,装备库!$AO$2:$AO$1046,0),COLUMN()),"")</f>
        <v>0</v>
      </c>
      <c r="S74">
        <f>IFERROR(INDEX(装备库!$A$2:$Y$1047,MATCH(ROW()-1,装备库!$AO$2:$AO$1046,0),COLUMN()),"")</f>
        <v>1</v>
      </c>
      <c r="T74">
        <f>IFERROR(INDEX(装备库!$A$2:$Y$1047,MATCH(ROW()-1,装备库!$AO$2:$AO$1046,0),COLUMN()),"")</f>
        <v>0</v>
      </c>
      <c r="U74">
        <f>IFERROR(INDEX(装备库!$A$2:$Y$1047,MATCH(ROW()-1,装备库!$AO$2:$AO$1046,0),COLUMN()),"")</f>
        <v>0</v>
      </c>
      <c r="V74">
        <f>IFERROR(INDEX(装备库!$A$2:$Y$1047,MATCH(ROW()-1,装备库!$AO$2:$AO$1046,0),COLUMN()),"")</f>
        <v>0</v>
      </c>
      <c r="W74" t="str">
        <f>IFERROR(INDEX(装备库!$A$2:$Y$1047,MATCH(ROW()-1,装备库!$AO$2:$AO$1046,0),COLUMN()),"")</f>
        <v>速无</v>
      </c>
      <c r="X74">
        <f>IFERROR(INDEX(装备库!$A$2:$Y$1047,MATCH(ROW()-1,装备库!$AO$2:$AO$1046,0),COLUMN()),"")</f>
        <v>6</v>
      </c>
      <c r="Y74" t="str">
        <f>IFERROR(INDEX(装备库!$A$2:$Y$1047,MATCH(ROW()-1,装备库!$AO$2:$AO$1046,0),COLUMN()),"")</f>
        <v>副本</v>
      </c>
    </row>
    <row r="75" spans="1:25" x14ac:dyDescent="0.35">
      <c r="A75" t="str">
        <f>IFERROR(INDEX(装备库!$A$2:$Y$1047,MATCH(ROW()-1,装备库!$AO$2:$AO$1046,0),COLUMN()),"")</f>
        <v>护手</v>
      </c>
      <c r="B75" t="str">
        <f>IFERROR(INDEX(装备库!$A$2:$Y$1047,MATCH(ROW()-1,装备库!$AO$2:$AO$1046,0),COLUMN()),"")</f>
        <v>无封护臂</v>
      </c>
      <c r="C75">
        <f>IFERROR(INDEX(装备库!$A$2:$Y$1047,MATCH(ROW()-1,装备库!$AO$2:$AO$1046,0),COLUMN()),"")</f>
        <v>9100</v>
      </c>
      <c r="D75" t="str">
        <f>IFERROR(INDEX(装备库!$A$2:$Y$1047,MATCH(ROW()-1,装备库!$AO$2:$AO$1046,0),COLUMN()),"")</f>
        <v>无封护臂(9100精简攻会破)</v>
      </c>
      <c r="E75">
        <f>IFERROR(INDEX(装备库!$A$2:$Y$1047,MATCH(ROW()-1,装备库!$AO$2:$AO$1046,0),COLUMN()),"")</f>
        <v>0</v>
      </c>
      <c r="F75">
        <f>IFERROR(INDEX(装备库!$A$2:$Y$1047,MATCH(ROW()-1,装备库!$AO$2:$AO$1046,0),COLUMN()),"")</f>
        <v>1610</v>
      </c>
      <c r="G75">
        <f>IFERROR(INDEX(装备库!$A$2:$Y$1047,MATCH(ROW()-1,装备库!$AO$2:$AO$1046,0),COLUMN()),"")</f>
        <v>2480</v>
      </c>
      <c r="H75">
        <f>IFERROR(INDEX(装备库!$A$2:$Y$1047,MATCH(ROW()-1,装备库!$AO$2:$AO$1046,0),COLUMN()),"")</f>
        <v>0</v>
      </c>
      <c r="I75">
        <f>IFERROR(INDEX(装备库!$A$2:$Y$1047,MATCH(ROW()-1,装备库!$AO$2:$AO$1046,0),COLUMN()),"")</f>
        <v>2480</v>
      </c>
      <c r="J75">
        <f>IFERROR(INDEX(装备库!$A$2:$Y$1047,MATCH(ROW()-1,装备库!$AO$2:$AO$1046,0),COLUMN()),"")</f>
        <v>0</v>
      </c>
      <c r="K75">
        <f>IFERROR(INDEX(装备库!$A$2:$Y$1047,MATCH(ROW()-1,装备库!$AO$2:$AO$1046,0),COLUMN()),"")</f>
        <v>0</v>
      </c>
      <c r="L75">
        <f>IFERROR(INDEX(装备库!$A$2:$Y$1047,MATCH(ROW()-1,装备库!$AO$2:$AO$1046,0),COLUMN()),"")</f>
        <v>0</v>
      </c>
      <c r="M75">
        <f>IFERROR(INDEX(装备库!$A$2:$Y$1047,MATCH(ROW()-1,装备库!$AO$2:$AO$1046,0),COLUMN()),"")</f>
        <v>0</v>
      </c>
      <c r="N75">
        <f>IFERROR(INDEX(装备库!$A$2:$Y$1047,MATCH(ROW()-1,装备库!$AO$2:$AO$1046,0),COLUMN()),"")</f>
        <v>0</v>
      </c>
      <c r="O75">
        <f>IFERROR(INDEX(装备库!$A$2:$Y$1047,MATCH(ROW()-1,装备库!$AO$2:$AO$1046,0),COLUMN()),"")</f>
        <v>0</v>
      </c>
      <c r="P75">
        <f>IFERROR(INDEX(装备库!$A$2:$Y$1047,MATCH(ROW()-1,装备库!$AO$2:$AO$1046,0),COLUMN()),"")</f>
        <v>1</v>
      </c>
      <c r="Q75">
        <f>IFERROR(INDEX(装备库!$A$2:$Y$1047,MATCH(ROW()-1,装备库!$AO$2:$AO$1046,0),COLUMN()),"")</f>
        <v>0</v>
      </c>
      <c r="R75">
        <f>IFERROR(INDEX(装备库!$A$2:$Y$1047,MATCH(ROW()-1,装备库!$AO$2:$AO$1046,0),COLUMN()),"")</f>
        <v>0</v>
      </c>
      <c r="S75">
        <f>IFERROR(INDEX(装备库!$A$2:$Y$1047,MATCH(ROW()-1,装备库!$AO$2:$AO$1046,0),COLUMN()),"")</f>
        <v>0</v>
      </c>
      <c r="T75">
        <f>IFERROR(INDEX(装备库!$A$2:$Y$1047,MATCH(ROW()-1,装备库!$AO$2:$AO$1046,0),COLUMN()),"")</f>
        <v>1</v>
      </c>
      <c r="U75">
        <f>IFERROR(INDEX(装备库!$A$2:$Y$1047,MATCH(ROW()-1,装备库!$AO$2:$AO$1046,0),COLUMN()),"")</f>
        <v>0</v>
      </c>
      <c r="V75">
        <f>IFERROR(INDEX(装备库!$A$2:$Y$1047,MATCH(ROW()-1,装备库!$AO$2:$AO$1046,0),COLUMN()),"")</f>
        <v>0</v>
      </c>
      <c r="W75" t="str">
        <f>IFERROR(INDEX(装备库!$A$2:$Y$1047,MATCH(ROW()-1,装备库!$AO$2:$AO$1046,0),COLUMN()),"")</f>
        <v>精简攻会破</v>
      </c>
      <c r="X75">
        <f>IFERROR(INDEX(装备库!$A$2:$Y$1047,MATCH(ROW()-1,装备库!$AO$2:$AO$1046,0),COLUMN()),"")</f>
        <v>3</v>
      </c>
      <c r="Y75" t="str">
        <f>IFERROR(INDEX(装备库!$A$2:$Y$1047,MATCH(ROW()-1,装备库!$AO$2:$AO$1046,0),COLUMN()),"")</f>
        <v>活动</v>
      </c>
    </row>
    <row r="76" spans="1:25" x14ac:dyDescent="0.35">
      <c r="A76" t="str">
        <f>IFERROR(INDEX(装备库!$A$2:$Y$1047,MATCH(ROW()-1,装备库!$AO$2:$AO$1046,0),COLUMN()),"")</f>
        <v>护手</v>
      </c>
      <c r="B76" t="str">
        <f>IFERROR(INDEX(装备库!$A$2:$Y$1047,MATCH(ROW()-1,装备库!$AO$2:$AO$1046,0),COLUMN()),"")</f>
        <v>无封护臂</v>
      </c>
      <c r="C76">
        <f>IFERROR(INDEX(装备库!$A$2:$Y$1047,MATCH(ROW()-1,装备库!$AO$2:$AO$1046,0),COLUMN()),"")</f>
        <v>9100</v>
      </c>
      <c r="D76" t="str">
        <f>IFERROR(INDEX(装备库!$A$2:$Y$1047,MATCH(ROW()-1,装备库!$AO$2:$AO$1046,0),COLUMN()),"")</f>
        <v>无封护臂(9100精简攻会会破)</v>
      </c>
      <c r="E76">
        <f>IFERROR(INDEX(装备库!$A$2:$Y$1047,MATCH(ROW()-1,装备库!$AO$2:$AO$1046,0),COLUMN()),"")</f>
        <v>0</v>
      </c>
      <c r="F76">
        <f>IFERROR(INDEX(装备库!$A$2:$Y$1047,MATCH(ROW()-1,装备库!$AO$2:$AO$1046,0),COLUMN()),"")</f>
        <v>1610</v>
      </c>
      <c r="G76">
        <f>IFERROR(INDEX(装备库!$A$2:$Y$1047,MATCH(ROW()-1,装备库!$AO$2:$AO$1046,0),COLUMN()),"")</f>
        <v>1860</v>
      </c>
      <c r="H76">
        <f>IFERROR(INDEX(装备库!$A$2:$Y$1047,MATCH(ROW()-1,装备库!$AO$2:$AO$1046,0),COLUMN()),"")</f>
        <v>1240</v>
      </c>
      <c r="I76">
        <f>IFERROR(INDEX(装备库!$A$2:$Y$1047,MATCH(ROW()-1,装备库!$AO$2:$AO$1046,0),COLUMN()),"")</f>
        <v>1736</v>
      </c>
      <c r="J76">
        <f>IFERROR(INDEX(装备库!$A$2:$Y$1047,MATCH(ROW()-1,装备库!$AO$2:$AO$1046,0),COLUMN()),"")</f>
        <v>0</v>
      </c>
      <c r="K76">
        <f>IFERROR(INDEX(装备库!$A$2:$Y$1047,MATCH(ROW()-1,装备库!$AO$2:$AO$1046,0),COLUMN()),"")</f>
        <v>0</v>
      </c>
      <c r="L76">
        <f>IFERROR(INDEX(装备库!$A$2:$Y$1047,MATCH(ROW()-1,装备库!$AO$2:$AO$1046,0),COLUMN()),"")</f>
        <v>0</v>
      </c>
      <c r="M76">
        <f>IFERROR(INDEX(装备库!$A$2:$Y$1047,MATCH(ROW()-1,装备库!$AO$2:$AO$1046,0),COLUMN()),"")</f>
        <v>0</v>
      </c>
      <c r="N76">
        <f>IFERROR(INDEX(装备库!$A$2:$Y$1047,MATCH(ROW()-1,装备库!$AO$2:$AO$1046,0),COLUMN()),"")</f>
        <v>0</v>
      </c>
      <c r="O76">
        <f>IFERROR(INDEX(装备库!$A$2:$Y$1047,MATCH(ROW()-1,装备库!$AO$2:$AO$1046,0),COLUMN()),"")</f>
        <v>0</v>
      </c>
      <c r="P76">
        <f>IFERROR(INDEX(装备库!$A$2:$Y$1047,MATCH(ROW()-1,装备库!$AO$2:$AO$1046,0),COLUMN()),"")</f>
        <v>0</v>
      </c>
      <c r="Q76">
        <f>IFERROR(INDEX(装备库!$A$2:$Y$1047,MATCH(ROW()-1,装备库!$AO$2:$AO$1046,0),COLUMN()),"")</f>
        <v>0</v>
      </c>
      <c r="R76">
        <f>IFERROR(INDEX(装备库!$A$2:$Y$1047,MATCH(ROW()-1,装备库!$AO$2:$AO$1046,0),COLUMN()),"")</f>
        <v>0</v>
      </c>
      <c r="S76">
        <f>IFERROR(INDEX(装备库!$A$2:$Y$1047,MATCH(ROW()-1,装备库!$AO$2:$AO$1046,0),COLUMN()),"")</f>
        <v>1</v>
      </c>
      <c r="T76">
        <f>IFERROR(INDEX(装备库!$A$2:$Y$1047,MATCH(ROW()-1,装备库!$AO$2:$AO$1046,0),COLUMN()),"")</f>
        <v>1</v>
      </c>
      <c r="U76">
        <f>IFERROR(INDEX(装备库!$A$2:$Y$1047,MATCH(ROW()-1,装备库!$AO$2:$AO$1046,0),COLUMN()),"")</f>
        <v>0</v>
      </c>
      <c r="V76">
        <f>IFERROR(INDEX(装备库!$A$2:$Y$1047,MATCH(ROW()-1,装备库!$AO$2:$AO$1046,0),COLUMN()),"")</f>
        <v>0</v>
      </c>
      <c r="W76" t="str">
        <f>IFERROR(INDEX(装备库!$A$2:$Y$1047,MATCH(ROW()-1,装备库!$AO$2:$AO$1046,0),COLUMN()),"")</f>
        <v>精简攻会会破</v>
      </c>
      <c r="X76">
        <f>IFERROR(INDEX(装备库!$A$2:$Y$1047,MATCH(ROW()-1,装备库!$AO$2:$AO$1046,0),COLUMN()),"")</f>
        <v>3</v>
      </c>
      <c r="Y76" t="str">
        <f>IFERROR(INDEX(装备库!$A$2:$Y$1047,MATCH(ROW()-1,装备库!$AO$2:$AO$1046,0),COLUMN()),"")</f>
        <v>活动</v>
      </c>
    </row>
    <row r="77" spans="1:25" x14ac:dyDescent="0.35">
      <c r="A77" t="str">
        <f>IFERROR(INDEX(装备库!$A$2:$Y$1047,MATCH(ROW()-1,装备库!$AO$2:$AO$1046,0),COLUMN()),"")</f>
        <v>护手</v>
      </c>
      <c r="B77" t="str">
        <f>IFERROR(INDEX(装备库!$A$2:$Y$1047,MATCH(ROW()-1,装备库!$AO$2:$AO$1046,0),COLUMN()),"")</f>
        <v>无封护臂</v>
      </c>
      <c r="C77">
        <f>IFERROR(INDEX(装备库!$A$2:$Y$1047,MATCH(ROW()-1,装备库!$AO$2:$AO$1046,0),COLUMN()),"")</f>
        <v>9100</v>
      </c>
      <c r="D77" t="str">
        <f>IFERROR(INDEX(装备库!$A$2:$Y$1047,MATCH(ROW()-1,装备库!$AO$2:$AO$1046,0),COLUMN()),"")</f>
        <v>无封护臂(9100精简攻会)</v>
      </c>
      <c r="E77">
        <f>IFERROR(INDEX(装备库!$A$2:$Y$1047,MATCH(ROW()-1,装备库!$AO$2:$AO$1046,0),COLUMN()),"")</f>
        <v>0</v>
      </c>
      <c r="F77">
        <f>IFERROR(INDEX(装备库!$A$2:$Y$1047,MATCH(ROW()-1,装备库!$AO$2:$AO$1046,0),COLUMN()),"")</f>
        <v>1887</v>
      </c>
      <c r="G77">
        <f>IFERROR(INDEX(装备库!$A$2:$Y$1047,MATCH(ROW()-1,装备库!$AO$2:$AO$1046,0),COLUMN()),"")</f>
        <v>4278</v>
      </c>
      <c r="H77">
        <f>IFERROR(INDEX(装备库!$A$2:$Y$1047,MATCH(ROW()-1,装备库!$AO$2:$AO$1046,0),COLUMN()),"")</f>
        <v>0</v>
      </c>
      <c r="I77">
        <f>IFERROR(INDEX(装备库!$A$2:$Y$1047,MATCH(ROW()-1,装备库!$AO$2:$AO$1046,0),COLUMN()),"")</f>
        <v>0</v>
      </c>
      <c r="J77">
        <f>IFERROR(INDEX(装备库!$A$2:$Y$1047,MATCH(ROW()-1,装备库!$AO$2:$AO$1046,0),COLUMN()),"")</f>
        <v>0</v>
      </c>
      <c r="K77">
        <f>IFERROR(INDEX(装备库!$A$2:$Y$1047,MATCH(ROW()-1,装备库!$AO$2:$AO$1046,0),COLUMN()),"")</f>
        <v>0</v>
      </c>
      <c r="L77">
        <f>IFERROR(INDEX(装备库!$A$2:$Y$1047,MATCH(ROW()-1,装备库!$AO$2:$AO$1046,0),COLUMN()),"")</f>
        <v>0</v>
      </c>
      <c r="M77">
        <f>IFERROR(INDEX(装备库!$A$2:$Y$1047,MATCH(ROW()-1,装备库!$AO$2:$AO$1046,0),COLUMN()),"")</f>
        <v>0</v>
      </c>
      <c r="N77">
        <f>IFERROR(INDEX(装备库!$A$2:$Y$1047,MATCH(ROW()-1,装备库!$AO$2:$AO$1046,0),COLUMN()),"")</f>
        <v>0</v>
      </c>
      <c r="O77">
        <f>IFERROR(INDEX(装备库!$A$2:$Y$1047,MATCH(ROW()-1,装备库!$AO$2:$AO$1046,0),COLUMN()),"")</f>
        <v>0</v>
      </c>
      <c r="P77">
        <f>IFERROR(INDEX(装备库!$A$2:$Y$1047,MATCH(ROW()-1,装备库!$AO$2:$AO$1046,0),COLUMN()),"")</f>
        <v>0</v>
      </c>
      <c r="Q77">
        <f>IFERROR(INDEX(装备库!$A$2:$Y$1047,MATCH(ROW()-1,装备库!$AO$2:$AO$1046,0),COLUMN()),"")</f>
        <v>1</v>
      </c>
      <c r="R77">
        <f>IFERROR(INDEX(装备库!$A$2:$Y$1047,MATCH(ROW()-1,装备库!$AO$2:$AO$1046,0),COLUMN()),"")</f>
        <v>1</v>
      </c>
      <c r="S77">
        <f>IFERROR(INDEX(装备库!$A$2:$Y$1047,MATCH(ROW()-1,装备库!$AO$2:$AO$1046,0),COLUMN()),"")</f>
        <v>0</v>
      </c>
      <c r="T77">
        <f>IFERROR(INDEX(装备库!$A$2:$Y$1047,MATCH(ROW()-1,装备库!$AO$2:$AO$1046,0),COLUMN()),"")</f>
        <v>0</v>
      </c>
      <c r="U77">
        <f>IFERROR(INDEX(装备库!$A$2:$Y$1047,MATCH(ROW()-1,装备库!$AO$2:$AO$1046,0),COLUMN()),"")</f>
        <v>0</v>
      </c>
      <c r="V77">
        <f>IFERROR(INDEX(装备库!$A$2:$Y$1047,MATCH(ROW()-1,装备库!$AO$2:$AO$1046,0),COLUMN()),"")</f>
        <v>0</v>
      </c>
      <c r="W77" t="str">
        <f>IFERROR(INDEX(装备库!$A$2:$Y$1047,MATCH(ROW()-1,装备库!$AO$2:$AO$1046,0),COLUMN()),"")</f>
        <v>精简攻会</v>
      </c>
      <c r="X77">
        <f>IFERROR(INDEX(装备库!$A$2:$Y$1047,MATCH(ROW()-1,装备库!$AO$2:$AO$1046,0),COLUMN()),"")</f>
        <v>3</v>
      </c>
      <c r="Y77" t="str">
        <f>IFERROR(INDEX(装备库!$A$2:$Y$1047,MATCH(ROW()-1,装备库!$AO$2:$AO$1046,0),COLUMN()),"")</f>
        <v>活动</v>
      </c>
    </row>
    <row r="78" spans="1:25" x14ac:dyDescent="0.35">
      <c r="A78" t="str">
        <f>IFERROR(INDEX(装备库!$A$2:$Y$1047,MATCH(ROW()-1,装备库!$AO$2:$AO$1046,0),COLUMN()),"")</f>
        <v>护手</v>
      </c>
      <c r="B78" t="str">
        <f>IFERROR(INDEX(装备库!$A$2:$Y$1047,MATCH(ROW()-1,装备库!$AO$2:$AO$1046,0),COLUMN()),"")</f>
        <v>无封护臂</v>
      </c>
      <c r="C78">
        <f>IFERROR(INDEX(装备库!$A$2:$Y$1047,MATCH(ROW()-1,装备库!$AO$2:$AO$1046,0),COLUMN()),"")</f>
        <v>9400</v>
      </c>
      <c r="D78" t="str">
        <f>IFERROR(INDEX(装备库!$A$2:$Y$1047,MATCH(ROW()-1,装备库!$AO$2:$AO$1046,0),COLUMN()),"")</f>
        <v>无封护臂(9400精简攻破)</v>
      </c>
      <c r="E78">
        <f>IFERROR(INDEX(装备库!$A$2:$Y$1047,MATCH(ROW()-1,装备库!$AO$2:$AO$1046,0),COLUMN()),"")</f>
        <v>0</v>
      </c>
      <c r="F78">
        <f>IFERROR(INDEX(装备库!$A$2:$Y$1047,MATCH(ROW()-1,装备库!$AO$2:$AO$1046,0),COLUMN()),"")</f>
        <v>1949</v>
      </c>
      <c r="G78">
        <f>IFERROR(INDEX(装备库!$A$2:$Y$1047,MATCH(ROW()-1,装备库!$AO$2:$AO$1046,0),COLUMN()),"")</f>
        <v>0</v>
      </c>
      <c r="H78">
        <f>IFERROR(INDEX(装备库!$A$2:$Y$1047,MATCH(ROW()-1,装备库!$AO$2:$AO$1046,0),COLUMN()),"")</f>
        <v>0</v>
      </c>
      <c r="I78">
        <f>IFERROR(INDEX(装备库!$A$2:$Y$1047,MATCH(ROW()-1,装备库!$AO$2:$AO$1046,0),COLUMN()),"")</f>
        <v>4419</v>
      </c>
      <c r="J78">
        <f>IFERROR(INDEX(装备库!$A$2:$Y$1047,MATCH(ROW()-1,装备库!$AO$2:$AO$1046,0),COLUMN()),"")</f>
        <v>0</v>
      </c>
      <c r="K78">
        <f>IFERROR(INDEX(装备库!$A$2:$Y$1047,MATCH(ROW()-1,装备库!$AO$2:$AO$1046,0),COLUMN()),"")</f>
        <v>0</v>
      </c>
      <c r="L78">
        <f>IFERROR(INDEX(装备库!$A$2:$Y$1047,MATCH(ROW()-1,装备库!$AO$2:$AO$1046,0),COLUMN()),"")</f>
        <v>0</v>
      </c>
      <c r="M78">
        <f>IFERROR(INDEX(装备库!$A$2:$Y$1047,MATCH(ROW()-1,装备库!$AO$2:$AO$1046,0),COLUMN()),"")</f>
        <v>0</v>
      </c>
      <c r="N78">
        <f>IFERROR(INDEX(装备库!$A$2:$Y$1047,MATCH(ROW()-1,装备库!$AO$2:$AO$1046,0),COLUMN()),"")</f>
        <v>0</v>
      </c>
      <c r="O78">
        <f>IFERROR(INDEX(装备库!$A$2:$Y$1047,MATCH(ROW()-1,装备库!$AO$2:$AO$1046,0),COLUMN()),"")</f>
        <v>0</v>
      </c>
      <c r="P78">
        <f>IFERROR(INDEX(装备库!$A$2:$Y$1047,MATCH(ROW()-1,装备库!$AO$2:$AO$1046,0),COLUMN()),"")</f>
        <v>1</v>
      </c>
      <c r="Q78">
        <f>IFERROR(INDEX(装备库!$A$2:$Y$1047,MATCH(ROW()-1,装备库!$AO$2:$AO$1046,0),COLUMN()),"")</f>
        <v>0</v>
      </c>
      <c r="R78">
        <f>IFERROR(INDEX(装备库!$A$2:$Y$1047,MATCH(ROW()-1,装备库!$AO$2:$AO$1046,0),COLUMN()),"")</f>
        <v>0</v>
      </c>
      <c r="S78">
        <f>IFERROR(INDEX(装备库!$A$2:$Y$1047,MATCH(ROW()-1,装备库!$AO$2:$AO$1046,0),COLUMN()),"")</f>
        <v>0</v>
      </c>
      <c r="T78">
        <f>IFERROR(INDEX(装备库!$A$2:$Y$1047,MATCH(ROW()-1,装备库!$AO$2:$AO$1046,0),COLUMN()),"")</f>
        <v>1</v>
      </c>
      <c r="U78">
        <f>IFERROR(INDEX(装备库!$A$2:$Y$1047,MATCH(ROW()-1,装备库!$AO$2:$AO$1046,0),COLUMN()),"")</f>
        <v>0</v>
      </c>
      <c r="V78">
        <f>IFERROR(INDEX(装备库!$A$2:$Y$1047,MATCH(ROW()-1,装备库!$AO$2:$AO$1046,0),COLUMN()),"")</f>
        <v>0</v>
      </c>
      <c r="W78" t="str">
        <f>IFERROR(INDEX(装备库!$A$2:$Y$1047,MATCH(ROW()-1,装备库!$AO$2:$AO$1046,0),COLUMN()),"")</f>
        <v>精简攻破</v>
      </c>
      <c r="X78">
        <f>IFERROR(INDEX(装备库!$A$2:$Y$1047,MATCH(ROW()-1,装备库!$AO$2:$AO$1046,0),COLUMN()),"")</f>
        <v>3</v>
      </c>
      <c r="Y78" t="str">
        <f>IFERROR(INDEX(装备库!$A$2:$Y$1047,MATCH(ROW()-1,装备库!$AO$2:$AO$1046,0),COLUMN()),"")</f>
        <v>活动</v>
      </c>
    </row>
    <row r="79" spans="1:25" x14ac:dyDescent="0.35">
      <c r="A79" t="str">
        <f>IFERROR(INDEX(装备库!$A$2:$Y$1047,MATCH(ROW()-1,装备库!$AO$2:$AO$1046,0),COLUMN()),"")</f>
        <v>护手</v>
      </c>
      <c r="B79" t="str">
        <f>IFERROR(INDEX(装备库!$A$2:$Y$1047,MATCH(ROW()-1,装备库!$AO$2:$AO$1046,0),COLUMN()),"")</f>
        <v>无封护臂</v>
      </c>
      <c r="C79">
        <f>IFERROR(INDEX(装备库!$A$2:$Y$1047,MATCH(ROW()-1,装备库!$AO$2:$AO$1046,0),COLUMN()),"")</f>
        <v>9400</v>
      </c>
      <c r="D79" t="str">
        <f>IFERROR(INDEX(装备库!$A$2:$Y$1047,MATCH(ROW()-1,装备库!$AO$2:$AO$1046,0),COLUMN()),"")</f>
        <v>无封护臂(9400精简攻会会招)</v>
      </c>
      <c r="E79">
        <f>IFERROR(INDEX(装备库!$A$2:$Y$1047,MATCH(ROW()-1,装备库!$AO$2:$AO$1046,0),COLUMN()),"")</f>
        <v>0</v>
      </c>
      <c r="F79">
        <f>IFERROR(INDEX(装备库!$A$2:$Y$1047,MATCH(ROW()-1,装备库!$AO$2:$AO$1046,0),COLUMN()),"")</f>
        <v>1663</v>
      </c>
      <c r="G79">
        <f>IFERROR(INDEX(装备库!$A$2:$Y$1047,MATCH(ROW()-1,装备库!$AO$2:$AO$1046,0),COLUMN()),"")</f>
        <v>2433</v>
      </c>
      <c r="H79">
        <f>IFERROR(INDEX(装备库!$A$2:$Y$1047,MATCH(ROW()-1,装备库!$AO$2:$AO$1046,0),COLUMN()),"")</f>
        <v>1281</v>
      </c>
      <c r="I79">
        <f>IFERROR(INDEX(装备库!$A$2:$Y$1047,MATCH(ROW()-1,装备库!$AO$2:$AO$1046,0),COLUMN()),"")</f>
        <v>0</v>
      </c>
      <c r="J79">
        <f>IFERROR(INDEX(装备库!$A$2:$Y$1047,MATCH(ROW()-1,装备库!$AO$2:$AO$1046,0),COLUMN()),"")</f>
        <v>1281</v>
      </c>
      <c r="K79">
        <f>IFERROR(INDEX(装备库!$A$2:$Y$1047,MATCH(ROW()-1,装备库!$AO$2:$AO$1046,0),COLUMN()),"")</f>
        <v>0</v>
      </c>
      <c r="L79">
        <f>IFERROR(INDEX(装备库!$A$2:$Y$1047,MATCH(ROW()-1,装备库!$AO$2:$AO$1046,0),COLUMN()),"")</f>
        <v>0</v>
      </c>
      <c r="M79">
        <f>IFERROR(INDEX(装备库!$A$2:$Y$1047,MATCH(ROW()-1,装备库!$AO$2:$AO$1046,0),COLUMN()),"")</f>
        <v>0</v>
      </c>
      <c r="N79">
        <f>IFERROR(INDEX(装备库!$A$2:$Y$1047,MATCH(ROW()-1,装备库!$AO$2:$AO$1046,0),COLUMN()),"")</f>
        <v>0</v>
      </c>
      <c r="O79">
        <f>IFERROR(INDEX(装备库!$A$2:$Y$1047,MATCH(ROW()-1,装备库!$AO$2:$AO$1046,0),COLUMN()),"")</f>
        <v>0</v>
      </c>
      <c r="P79">
        <f>IFERROR(INDEX(装备库!$A$2:$Y$1047,MATCH(ROW()-1,装备库!$AO$2:$AO$1046,0),COLUMN()),"")</f>
        <v>1</v>
      </c>
      <c r="Q79">
        <f>IFERROR(INDEX(装备库!$A$2:$Y$1047,MATCH(ROW()-1,装备库!$AO$2:$AO$1046,0),COLUMN()),"")</f>
        <v>0</v>
      </c>
      <c r="R79">
        <f>IFERROR(INDEX(装备库!$A$2:$Y$1047,MATCH(ROW()-1,装备库!$AO$2:$AO$1046,0),COLUMN()),"")</f>
        <v>0</v>
      </c>
      <c r="S79">
        <f>IFERROR(INDEX(装备库!$A$2:$Y$1047,MATCH(ROW()-1,装备库!$AO$2:$AO$1046,0),COLUMN()),"")</f>
        <v>1</v>
      </c>
      <c r="T79">
        <f>IFERROR(INDEX(装备库!$A$2:$Y$1047,MATCH(ROW()-1,装备库!$AO$2:$AO$1046,0),COLUMN()),"")</f>
        <v>0</v>
      </c>
      <c r="U79">
        <f>IFERROR(INDEX(装备库!$A$2:$Y$1047,MATCH(ROW()-1,装备库!$AO$2:$AO$1046,0),COLUMN()),"")</f>
        <v>0</v>
      </c>
      <c r="V79">
        <f>IFERROR(INDEX(装备库!$A$2:$Y$1047,MATCH(ROW()-1,装备库!$AO$2:$AO$1046,0),COLUMN()),"")</f>
        <v>0</v>
      </c>
      <c r="W79" t="str">
        <f>IFERROR(INDEX(装备库!$A$2:$Y$1047,MATCH(ROW()-1,装备库!$AO$2:$AO$1046,0),COLUMN()),"")</f>
        <v>精简攻会会招</v>
      </c>
      <c r="X79">
        <f>IFERROR(INDEX(装备库!$A$2:$Y$1047,MATCH(ROW()-1,装备库!$AO$2:$AO$1046,0),COLUMN()),"")</f>
        <v>3</v>
      </c>
      <c r="Y79" t="str">
        <f>IFERROR(INDEX(装备库!$A$2:$Y$1047,MATCH(ROW()-1,装备库!$AO$2:$AO$1046,0),COLUMN()),"")</f>
        <v>活动</v>
      </c>
    </row>
    <row r="80" spans="1:25" x14ac:dyDescent="0.35">
      <c r="A80" t="str">
        <f>IFERROR(INDEX(装备库!$A$2:$Y$1047,MATCH(ROW()-1,装备库!$AO$2:$AO$1046,0),COLUMN()),"")</f>
        <v>护手</v>
      </c>
      <c r="B80" t="str">
        <f>IFERROR(INDEX(装备库!$A$2:$Y$1047,MATCH(ROW()-1,装备库!$AO$2:$AO$1046,0),COLUMN()),"")</f>
        <v>无封护臂</v>
      </c>
      <c r="C80">
        <f>IFERROR(INDEX(装备库!$A$2:$Y$1047,MATCH(ROW()-1,装备库!$AO$2:$AO$1046,0),COLUMN()),"")</f>
        <v>9400</v>
      </c>
      <c r="D80" t="str">
        <f>IFERROR(INDEX(装备库!$A$2:$Y$1047,MATCH(ROW()-1,装备库!$AO$2:$AO$1046,0),COLUMN()),"")</f>
        <v>无封护臂(9400精简攻会会)</v>
      </c>
      <c r="E80">
        <f>IFERROR(INDEX(装备库!$A$2:$Y$1047,MATCH(ROW()-1,装备库!$AO$2:$AO$1046,0),COLUMN()),"")</f>
        <v>0</v>
      </c>
      <c r="F80">
        <f>IFERROR(INDEX(装备库!$A$2:$Y$1047,MATCH(ROW()-1,装备库!$AO$2:$AO$1046,0),COLUMN()),"")</f>
        <v>1663</v>
      </c>
      <c r="G80">
        <f>IFERROR(INDEX(装备库!$A$2:$Y$1047,MATCH(ROW()-1,装备库!$AO$2:$AO$1046,0),COLUMN()),"")</f>
        <v>3074</v>
      </c>
      <c r="H80">
        <f>IFERROR(INDEX(装备库!$A$2:$Y$1047,MATCH(ROW()-1,装备库!$AO$2:$AO$1046,0),COLUMN()),"")</f>
        <v>1921</v>
      </c>
      <c r="I80">
        <f>IFERROR(INDEX(装备库!$A$2:$Y$1047,MATCH(ROW()-1,装备库!$AO$2:$AO$1046,0),COLUMN()),"")</f>
        <v>0</v>
      </c>
      <c r="J80">
        <f>IFERROR(INDEX(装备库!$A$2:$Y$1047,MATCH(ROW()-1,装备库!$AO$2:$AO$1046,0),COLUMN()),"")</f>
        <v>0</v>
      </c>
      <c r="K80">
        <f>IFERROR(INDEX(装备库!$A$2:$Y$1047,MATCH(ROW()-1,装备库!$AO$2:$AO$1046,0),COLUMN()),"")</f>
        <v>0</v>
      </c>
      <c r="L80">
        <f>IFERROR(INDEX(装备库!$A$2:$Y$1047,MATCH(ROW()-1,装备库!$AO$2:$AO$1046,0),COLUMN()),"")</f>
        <v>0</v>
      </c>
      <c r="M80">
        <f>IFERROR(INDEX(装备库!$A$2:$Y$1047,MATCH(ROW()-1,装备库!$AO$2:$AO$1046,0),COLUMN()),"")</f>
        <v>0</v>
      </c>
      <c r="N80">
        <f>IFERROR(INDEX(装备库!$A$2:$Y$1047,MATCH(ROW()-1,装备库!$AO$2:$AO$1046,0),COLUMN()),"")</f>
        <v>0</v>
      </c>
      <c r="O80">
        <f>IFERROR(INDEX(装备库!$A$2:$Y$1047,MATCH(ROW()-1,装备库!$AO$2:$AO$1046,0),COLUMN()),"")</f>
        <v>0</v>
      </c>
      <c r="P80">
        <f>IFERROR(INDEX(装备库!$A$2:$Y$1047,MATCH(ROW()-1,装备库!$AO$2:$AO$1046,0),COLUMN()),"")</f>
        <v>1</v>
      </c>
      <c r="Q80">
        <f>IFERROR(INDEX(装备库!$A$2:$Y$1047,MATCH(ROW()-1,装备库!$AO$2:$AO$1046,0),COLUMN()),"")</f>
        <v>0</v>
      </c>
      <c r="R80">
        <f>IFERROR(INDEX(装备库!$A$2:$Y$1047,MATCH(ROW()-1,装备库!$AO$2:$AO$1046,0),COLUMN()),"")</f>
        <v>0</v>
      </c>
      <c r="S80">
        <f>IFERROR(INDEX(装备库!$A$2:$Y$1047,MATCH(ROW()-1,装备库!$AO$2:$AO$1046,0),COLUMN()),"")</f>
        <v>1</v>
      </c>
      <c r="T80">
        <f>IFERROR(INDEX(装备库!$A$2:$Y$1047,MATCH(ROW()-1,装备库!$AO$2:$AO$1046,0),COLUMN()),"")</f>
        <v>0</v>
      </c>
      <c r="U80">
        <f>IFERROR(INDEX(装备库!$A$2:$Y$1047,MATCH(ROW()-1,装备库!$AO$2:$AO$1046,0),COLUMN()),"")</f>
        <v>0</v>
      </c>
      <c r="V80">
        <f>IFERROR(INDEX(装备库!$A$2:$Y$1047,MATCH(ROW()-1,装备库!$AO$2:$AO$1046,0),COLUMN()),"")</f>
        <v>0</v>
      </c>
      <c r="W80" t="str">
        <f>IFERROR(INDEX(装备库!$A$2:$Y$1047,MATCH(ROW()-1,装备库!$AO$2:$AO$1046,0),COLUMN()),"")</f>
        <v>精简攻会会</v>
      </c>
      <c r="X80">
        <f>IFERROR(INDEX(装备库!$A$2:$Y$1047,MATCH(ROW()-1,装备库!$AO$2:$AO$1046,0),COLUMN()),"")</f>
        <v>3</v>
      </c>
      <c r="Y80" t="str">
        <f>IFERROR(INDEX(装备库!$A$2:$Y$1047,MATCH(ROW()-1,装备库!$AO$2:$AO$1046,0),COLUMN()),"")</f>
        <v>活动</v>
      </c>
    </row>
    <row r="81" spans="1:25" x14ac:dyDescent="0.35">
      <c r="A81" t="str">
        <f>IFERROR(INDEX(装备库!$A$2:$Y$1047,MATCH(ROW()-1,装备库!$AO$2:$AO$1046,0),COLUMN()),"")</f>
        <v>护手</v>
      </c>
      <c r="B81" t="str">
        <f>IFERROR(INDEX(装备库!$A$2:$Y$1047,MATCH(ROW()-1,装备库!$AO$2:$AO$1046,0),COLUMN()),"")</f>
        <v>临英护手</v>
      </c>
      <c r="C81">
        <f>IFERROR(INDEX(装备库!$A$2:$Y$1047,MATCH(ROW()-1,装备库!$AO$2:$AO$1046,0),COLUMN()),"")</f>
        <v>9450</v>
      </c>
      <c r="D81" t="str">
        <f>IFERROR(INDEX(装备库!$A$2:$Y$1047,MATCH(ROW()-1,装备库!$AO$2:$AO$1046,0),COLUMN()),"")</f>
        <v>临英护手(9450会招)</v>
      </c>
      <c r="E81">
        <f>IFERROR(INDEX(装备库!$A$2:$Y$1047,MATCH(ROW()-1,装备库!$AO$2:$AO$1046,0),COLUMN()),"")</f>
        <v>462</v>
      </c>
      <c r="F81">
        <f>IFERROR(INDEX(装备库!$A$2:$Y$1047,MATCH(ROW()-1,装备库!$AO$2:$AO$1046,0),COLUMN()),"")</f>
        <v>749</v>
      </c>
      <c r="G81">
        <f>IFERROR(INDEX(装备库!$A$2:$Y$1047,MATCH(ROW()-1,装备库!$AO$2:$AO$1046,0),COLUMN()),"")</f>
        <v>2318</v>
      </c>
      <c r="H81">
        <f>IFERROR(INDEX(装备库!$A$2:$Y$1047,MATCH(ROW()-1,装备库!$AO$2:$AO$1046,0),COLUMN()),"")</f>
        <v>0</v>
      </c>
      <c r="I81">
        <f>IFERROR(INDEX(装备库!$A$2:$Y$1047,MATCH(ROW()-1,装备库!$AO$2:$AO$1046,0),COLUMN()),"")</f>
        <v>0</v>
      </c>
      <c r="J81">
        <f>IFERROR(INDEX(装备库!$A$2:$Y$1047,MATCH(ROW()-1,装备库!$AO$2:$AO$1046,0),COLUMN()),"")</f>
        <v>2060</v>
      </c>
      <c r="K81">
        <f>IFERROR(INDEX(装备库!$A$2:$Y$1047,MATCH(ROW()-1,装备库!$AO$2:$AO$1046,0),COLUMN()),"")</f>
        <v>0</v>
      </c>
      <c r="L81">
        <f>IFERROR(INDEX(装备库!$A$2:$Y$1047,MATCH(ROW()-1,装备库!$AO$2:$AO$1046,0),COLUMN()),"")</f>
        <v>0</v>
      </c>
      <c r="M81">
        <f>IFERROR(INDEX(装备库!$A$2:$Y$1047,MATCH(ROW()-1,装备库!$AO$2:$AO$1046,0),COLUMN()),"")</f>
        <v>0</v>
      </c>
      <c r="N81">
        <f>IFERROR(INDEX(装备库!$A$2:$Y$1047,MATCH(ROW()-1,装备库!$AO$2:$AO$1046,0),COLUMN()),"")</f>
        <v>0</v>
      </c>
      <c r="O81">
        <f>IFERROR(INDEX(装备库!$A$2:$Y$1047,MATCH(ROW()-1,装备库!$AO$2:$AO$1046,0),COLUMN()),"")</f>
        <v>1</v>
      </c>
      <c r="P81">
        <f>IFERROR(INDEX(装备库!$A$2:$Y$1047,MATCH(ROW()-1,装备库!$AO$2:$AO$1046,0),COLUMN()),"")</f>
        <v>1</v>
      </c>
      <c r="Q81">
        <f>IFERROR(INDEX(装备库!$A$2:$Y$1047,MATCH(ROW()-1,装备库!$AO$2:$AO$1046,0),COLUMN()),"")</f>
        <v>0</v>
      </c>
      <c r="R81">
        <f>IFERROR(INDEX(装备库!$A$2:$Y$1047,MATCH(ROW()-1,装备库!$AO$2:$AO$1046,0),COLUMN()),"")</f>
        <v>0</v>
      </c>
      <c r="S81">
        <f>IFERROR(INDEX(装备库!$A$2:$Y$1047,MATCH(ROW()-1,装备库!$AO$2:$AO$1046,0),COLUMN()),"")</f>
        <v>0</v>
      </c>
      <c r="T81">
        <f>IFERROR(INDEX(装备库!$A$2:$Y$1047,MATCH(ROW()-1,装备库!$AO$2:$AO$1046,0),COLUMN()),"")</f>
        <v>0</v>
      </c>
      <c r="U81">
        <f>IFERROR(INDEX(装备库!$A$2:$Y$1047,MATCH(ROW()-1,装备库!$AO$2:$AO$1046,0),COLUMN()),"")</f>
        <v>0</v>
      </c>
      <c r="V81">
        <f>IFERROR(INDEX(装备库!$A$2:$Y$1047,MATCH(ROW()-1,装备库!$AO$2:$AO$1046,0),COLUMN()),"")</f>
        <v>0</v>
      </c>
      <c r="W81" t="str">
        <f>IFERROR(INDEX(装备库!$A$2:$Y$1047,MATCH(ROW()-1,装备库!$AO$2:$AO$1046,0),COLUMN()),"")</f>
        <v>会招</v>
      </c>
      <c r="X81">
        <f>IFERROR(INDEX(装备库!$A$2:$Y$1047,MATCH(ROW()-1,装备库!$AO$2:$AO$1046,0),COLUMN()),"")</f>
        <v>6</v>
      </c>
      <c r="Y81" t="str">
        <f>IFERROR(INDEX(装备库!$A$2:$Y$1047,MATCH(ROW()-1,装备库!$AO$2:$AO$1046,0),COLUMN()),"")</f>
        <v>声望</v>
      </c>
    </row>
    <row r="82" spans="1:25" x14ac:dyDescent="0.35">
      <c r="A82" t="str">
        <f>IFERROR(INDEX(装备库!$A$2:$Y$1047,MATCH(ROW()-1,装备库!$AO$2:$AO$1046,0),COLUMN()),"")</f>
        <v>护手</v>
      </c>
      <c r="B82" t="str">
        <f>IFERROR(INDEX(装备库!$A$2:$Y$1047,MATCH(ROW()-1,装备库!$AO$2:$AO$1046,0),COLUMN()),"")</f>
        <v>寻踪觅宝·遮澜袖</v>
      </c>
      <c r="C82">
        <f>IFERROR(INDEX(装备库!$A$2:$Y$1047,MATCH(ROW()-1,装备库!$AO$2:$AO$1046,0),COLUMN()),"")</f>
        <v>9600</v>
      </c>
      <c r="D82" t="str">
        <f>IFERROR(INDEX(装备库!$A$2:$Y$1047,MATCH(ROW()-1,装备库!$AO$2:$AO$1046,0),COLUMN()),"")</f>
        <v>寻踪觅宝·遮澜袖(9600招破)</v>
      </c>
      <c r="E82">
        <f>IFERROR(INDEX(装备库!$A$2:$Y$1047,MATCH(ROW()-1,装备库!$AO$2:$AO$1046,0),COLUMN()),"")</f>
        <v>469</v>
      </c>
      <c r="F82">
        <f>IFERROR(INDEX(装备库!$A$2:$Y$1047,MATCH(ROW()-1,装备库!$AO$2:$AO$1046,0),COLUMN()),"")</f>
        <v>761</v>
      </c>
      <c r="G82">
        <f>IFERROR(INDEX(装备库!$A$2:$Y$1047,MATCH(ROW()-1,装备库!$AO$2:$AO$1046,0),COLUMN()),"")</f>
        <v>0</v>
      </c>
      <c r="H82">
        <f>IFERROR(INDEX(装备库!$A$2:$Y$1047,MATCH(ROW()-1,装备库!$AO$2:$AO$1046,0),COLUMN()),"")</f>
        <v>0</v>
      </c>
      <c r="I82">
        <f>IFERROR(INDEX(装备库!$A$2:$Y$1047,MATCH(ROW()-1,装备库!$AO$2:$AO$1046,0),COLUMN()),"")</f>
        <v>2354</v>
      </c>
      <c r="J82">
        <f>IFERROR(INDEX(装备库!$A$2:$Y$1047,MATCH(ROW()-1,装备库!$AO$2:$AO$1046,0),COLUMN()),"")</f>
        <v>2093</v>
      </c>
      <c r="K82">
        <f>IFERROR(INDEX(装备库!$A$2:$Y$1047,MATCH(ROW()-1,装备库!$AO$2:$AO$1046,0),COLUMN()),"")</f>
        <v>0</v>
      </c>
      <c r="L82">
        <f>IFERROR(INDEX(装备库!$A$2:$Y$1047,MATCH(ROW()-1,装备库!$AO$2:$AO$1046,0),COLUMN()),"")</f>
        <v>0</v>
      </c>
      <c r="M82">
        <f>IFERROR(INDEX(装备库!$A$2:$Y$1047,MATCH(ROW()-1,装备库!$AO$2:$AO$1046,0),COLUMN()),"")</f>
        <v>0</v>
      </c>
      <c r="N82">
        <f>IFERROR(INDEX(装备库!$A$2:$Y$1047,MATCH(ROW()-1,装备库!$AO$2:$AO$1046,0),COLUMN()),"")</f>
        <v>0</v>
      </c>
      <c r="O82">
        <f>IFERROR(INDEX(装备库!$A$2:$Y$1047,MATCH(ROW()-1,装备库!$AO$2:$AO$1046,0),COLUMN()),"")</f>
        <v>0</v>
      </c>
      <c r="P82">
        <f>IFERROR(INDEX(装备库!$A$2:$Y$1047,MATCH(ROW()-1,装备库!$AO$2:$AO$1046,0),COLUMN()),"")</f>
        <v>1</v>
      </c>
      <c r="Q82">
        <f>IFERROR(INDEX(装备库!$A$2:$Y$1047,MATCH(ROW()-1,装备库!$AO$2:$AO$1046,0),COLUMN()),"")</f>
        <v>0</v>
      </c>
      <c r="R82">
        <f>IFERROR(INDEX(装备库!$A$2:$Y$1047,MATCH(ROW()-1,装备库!$AO$2:$AO$1046,0),COLUMN()),"")</f>
        <v>0</v>
      </c>
      <c r="S82">
        <f>IFERROR(INDEX(装备库!$A$2:$Y$1047,MATCH(ROW()-1,装备库!$AO$2:$AO$1046,0),COLUMN()),"")</f>
        <v>1</v>
      </c>
      <c r="T82">
        <f>IFERROR(INDEX(装备库!$A$2:$Y$1047,MATCH(ROW()-1,装备库!$AO$2:$AO$1046,0),COLUMN()),"")</f>
        <v>0</v>
      </c>
      <c r="U82">
        <f>IFERROR(INDEX(装备库!$A$2:$Y$1047,MATCH(ROW()-1,装备库!$AO$2:$AO$1046,0),COLUMN()),"")</f>
        <v>0</v>
      </c>
      <c r="V82">
        <f>IFERROR(INDEX(装备库!$A$2:$Y$1047,MATCH(ROW()-1,装备库!$AO$2:$AO$1046,0),COLUMN()),"")</f>
        <v>0</v>
      </c>
      <c r="W82" t="str">
        <f>IFERROR(INDEX(装备库!$A$2:$Y$1047,MATCH(ROW()-1,装备库!$AO$2:$AO$1046,0),COLUMN()),"")</f>
        <v>招破</v>
      </c>
      <c r="X82">
        <f>IFERROR(INDEX(装备库!$A$2:$Y$1047,MATCH(ROW()-1,装备库!$AO$2:$AO$1046,0),COLUMN()),"")</f>
        <v>6</v>
      </c>
      <c r="Y82" t="str">
        <f>IFERROR(INDEX(装备库!$A$2:$Y$1047,MATCH(ROW()-1,装备库!$AO$2:$AO$1046,0),COLUMN()),"")</f>
        <v>挖宝</v>
      </c>
    </row>
    <row r="83" spans="1:25" x14ac:dyDescent="0.35">
      <c r="A83" t="str">
        <f>IFERROR(INDEX(装备库!$A$2:$Y$1047,MATCH(ROW()-1,装备库!$AO$2:$AO$1046,0),COLUMN()),"")</f>
        <v>护手</v>
      </c>
      <c r="B83" t="str">
        <f>IFERROR(INDEX(装备库!$A$2:$Y$1047,MATCH(ROW()-1,装备库!$AO$2:$AO$1046,0),COLUMN()),"")</f>
        <v>女义袖</v>
      </c>
      <c r="C83">
        <f>IFERROR(INDEX(装备库!$A$2:$Y$1047,MATCH(ROW()-1,装备库!$AO$2:$AO$1046,0),COLUMN()),"")</f>
        <v>9600</v>
      </c>
      <c r="D83" t="str">
        <f>IFERROR(INDEX(装备库!$A$2:$Y$1047,MATCH(ROW()-1,装备库!$AO$2:$AO$1046,0),COLUMN()),"")</f>
        <v>女义袖(9600会无)</v>
      </c>
      <c r="E83">
        <f>IFERROR(INDEX(装备库!$A$2:$Y$1047,MATCH(ROW()-1,装备库!$AO$2:$AO$1046,0),COLUMN()),"")</f>
        <v>469</v>
      </c>
      <c r="F83">
        <f>IFERROR(INDEX(装备库!$A$2:$Y$1047,MATCH(ROW()-1,装备库!$AO$2:$AO$1046,0),COLUMN()),"")</f>
        <v>761</v>
      </c>
      <c r="G83">
        <f>IFERROR(INDEX(装备库!$A$2:$Y$1047,MATCH(ROW()-1,装备库!$AO$2:$AO$1046,0),COLUMN()),"")</f>
        <v>2354</v>
      </c>
      <c r="H83">
        <f>IFERROR(INDEX(装备库!$A$2:$Y$1047,MATCH(ROW()-1,装备库!$AO$2:$AO$1046,0),COLUMN()),"")</f>
        <v>0</v>
      </c>
      <c r="I83">
        <f>IFERROR(INDEX(装备库!$A$2:$Y$1047,MATCH(ROW()-1,装备库!$AO$2:$AO$1046,0),COLUMN()),"")</f>
        <v>0</v>
      </c>
      <c r="J83">
        <f>IFERROR(INDEX(装备库!$A$2:$Y$1047,MATCH(ROW()-1,装备库!$AO$2:$AO$1046,0),COLUMN()),"")</f>
        <v>0</v>
      </c>
      <c r="K83">
        <f>IFERROR(INDEX(装备库!$A$2:$Y$1047,MATCH(ROW()-1,装备库!$AO$2:$AO$1046,0),COLUMN()),"")</f>
        <v>2093</v>
      </c>
      <c r="L83">
        <f>IFERROR(INDEX(装备库!$A$2:$Y$1047,MATCH(ROW()-1,装备库!$AO$2:$AO$1046,0),COLUMN()),"")</f>
        <v>0</v>
      </c>
      <c r="M83">
        <f>IFERROR(INDEX(装备库!$A$2:$Y$1047,MATCH(ROW()-1,装备库!$AO$2:$AO$1046,0),COLUMN()),"")</f>
        <v>0</v>
      </c>
      <c r="N83">
        <f>IFERROR(INDEX(装备库!$A$2:$Y$1047,MATCH(ROW()-1,装备库!$AO$2:$AO$1046,0),COLUMN()),"")</f>
        <v>0</v>
      </c>
      <c r="O83">
        <f>IFERROR(INDEX(装备库!$A$2:$Y$1047,MATCH(ROW()-1,装备库!$AO$2:$AO$1046,0),COLUMN()),"")</f>
        <v>0</v>
      </c>
      <c r="P83">
        <f>IFERROR(INDEX(装备库!$A$2:$Y$1047,MATCH(ROW()-1,装备库!$AO$2:$AO$1046,0),COLUMN()),"")</f>
        <v>1</v>
      </c>
      <c r="Q83">
        <f>IFERROR(INDEX(装备库!$A$2:$Y$1047,MATCH(ROW()-1,装备库!$AO$2:$AO$1046,0),COLUMN()),"")</f>
        <v>1</v>
      </c>
      <c r="R83">
        <f>IFERROR(INDEX(装备库!$A$2:$Y$1047,MATCH(ROW()-1,装备库!$AO$2:$AO$1046,0),COLUMN()),"")</f>
        <v>0</v>
      </c>
      <c r="S83">
        <f>IFERROR(INDEX(装备库!$A$2:$Y$1047,MATCH(ROW()-1,装备库!$AO$2:$AO$1046,0),COLUMN()),"")</f>
        <v>0</v>
      </c>
      <c r="T83">
        <f>IFERROR(INDEX(装备库!$A$2:$Y$1047,MATCH(ROW()-1,装备库!$AO$2:$AO$1046,0),COLUMN()),"")</f>
        <v>0</v>
      </c>
      <c r="U83">
        <f>IFERROR(INDEX(装备库!$A$2:$Y$1047,MATCH(ROW()-1,装备库!$AO$2:$AO$1046,0),COLUMN()),"")</f>
        <v>0</v>
      </c>
      <c r="V83">
        <f>IFERROR(INDEX(装备库!$A$2:$Y$1047,MATCH(ROW()-1,装备库!$AO$2:$AO$1046,0),COLUMN()),"")</f>
        <v>0</v>
      </c>
      <c r="W83" t="str">
        <f>IFERROR(INDEX(装备库!$A$2:$Y$1047,MATCH(ROW()-1,装备库!$AO$2:$AO$1046,0),COLUMN()),"")</f>
        <v>会无</v>
      </c>
      <c r="X83">
        <f>IFERROR(INDEX(装备库!$A$2:$Y$1047,MATCH(ROW()-1,装备库!$AO$2:$AO$1046,0),COLUMN()),"")</f>
        <v>6</v>
      </c>
      <c r="Y83" t="str">
        <f>IFERROR(INDEX(装备库!$A$2:$Y$1047,MATCH(ROW()-1,装备库!$AO$2:$AO$1046,0),COLUMN()),"")</f>
        <v>侠义值</v>
      </c>
    </row>
    <row r="84" spans="1:25" x14ac:dyDescent="0.35">
      <c r="A84" t="str">
        <f>IFERROR(INDEX(装备库!$A$2:$Y$1047,MATCH(ROW()-1,装备库!$AO$2:$AO$1046,0),COLUMN()),"")</f>
        <v>护手</v>
      </c>
      <c r="B84" t="str">
        <f>IFERROR(INDEX(装备库!$A$2:$Y$1047,MATCH(ROW()-1,装备库!$AO$2:$AO$1046,0),COLUMN()),"")</f>
        <v>无封护臂</v>
      </c>
      <c r="C84">
        <f>IFERROR(INDEX(装备库!$A$2:$Y$1047,MATCH(ROW()-1,装备库!$AO$2:$AO$1046,0),COLUMN()),"")</f>
        <v>9700</v>
      </c>
      <c r="D84" t="str">
        <f>IFERROR(INDEX(装备库!$A$2:$Y$1047,MATCH(ROW()-1,装备库!$AO$2:$AO$1046,0),COLUMN()),"")</f>
        <v>无封护臂(9700精简攻招破)</v>
      </c>
      <c r="E84">
        <f>IFERROR(INDEX(装备库!$A$2:$Y$1047,MATCH(ROW()-1,装备库!$AO$2:$AO$1046,0),COLUMN()),"")</f>
        <v>0</v>
      </c>
      <c r="F84">
        <f>IFERROR(INDEX(装备库!$A$2:$Y$1047,MATCH(ROW()-1,装备库!$AO$2:$AO$1046,0),COLUMN()),"")</f>
        <v>1716</v>
      </c>
      <c r="G84">
        <f>IFERROR(INDEX(装备库!$A$2:$Y$1047,MATCH(ROW()-1,装备库!$AO$2:$AO$1046,0),COLUMN()),"")</f>
        <v>0</v>
      </c>
      <c r="H84">
        <f>IFERROR(INDEX(装备库!$A$2:$Y$1047,MATCH(ROW()-1,装备库!$AO$2:$AO$1046,0),COLUMN()),"")</f>
        <v>0</v>
      </c>
      <c r="I84">
        <f>IFERROR(INDEX(装备库!$A$2:$Y$1047,MATCH(ROW()-1,装备库!$AO$2:$AO$1046,0),COLUMN()),"")</f>
        <v>2775</v>
      </c>
      <c r="J84">
        <f>IFERROR(INDEX(装备库!$A$2:$Y$1047,MATCH(ROW()-1,装备库!$AO$2:$AO$1046,0),COLUMN()),"")</f>
        <v>2511</v>
      </c>
      <c r="K84">
        <f>IFERROR(INDEX(装备库!$A$2:$Y$1047,MATCH(ROW()-1,装备库!$AO$2:$AO$1046,0),COLUMN()),"")</f>
        <v>0</v>
      </c>
      <c r="L84">
        <f>IFERROR(INDEX(装备库!$A$2:$Y$1047,MATCH(ROW()-1,装备库!$AO$2:$AO$1046,0),COLUMN()),"")</f>
        <v>0</v>
      </c>
      <c r="M84">
        <f>IFERROR(INDEX(装备库!$A$2:$Y$1047,MATCH(ROW()-1,装备库!$AO$2:$AO$1046,0),COLUMN()),"")</f>
        <v>0</v>
      </c>
      <c r="N84">
        <f>IFERROR(INDEX(装备库!$A$2:$Y$1047,MATCH(ROW()-1,装备库!$AO$2:$AO$1046,0),COLUMN()),"")</f>
        <v>0</v>
      </c>
      <c r="O84">
        <f>IFERROR(INDEX(装备库!$A$2:$Y$1047,MATCH(ROW()-1,装备库!$AO$2:$AO$1046,0),COLUMN()),"")</f>
        <v>0</v>
      </c>
      <c r="P84">
        <f>IFERROR(INDEX(装备库!$A$2:$Y$1047,MATCH(ROW()-1,装备库!$AO$2:$AO$1046,0),COLUMN()),"")</f>
        <v>0</v>
      </c>
      <c r="Q84">
        <f>IFERROR(INDEX(装备库!$A$2:$Y$1047,MATCH(ROW()-1,装备库!$AO$2:$AO$1046,0),COLUMN()),"")</f>
        <v>1</v>
      </c>
      <c r="R84">
        <f>IFERROR(INDEX(装备库!$A$2:$Y$1047,MATCH(ROW()-1,装备库!$AO$2:$AO$1046,0),COLUMN()),"")</f>
        <v>0</v>
      </c>
      <c r="S84">
        <f>IFERROR(INDEX(装备库!$A$2:$Y$1047,MATCH(ROW()-1,装备库!$AO$2:$AO$1046,0),COLUMN()),"")</f>
        <v>0</v>
      </c>
      <c r="T84">
        <f>IFERROR(INDEX(装备库!$A$2:$Y$1047,MATCH(ROW()-1,装备库!$AO$2:$AO$1046,0),COLUMN()),"")</f>
        <v>1</v>
      </c>
      <c r="U84">
        <f>IFERROR(INDEX(装备库!$A$2:$Y$1047,MATCH(ROW()-1,装备库!$AO$2:$AO$1046,0),COLUMN()),"")</f>
        <v>0</v>
      </c>
      <c r="V84">
        <f>IFERROR(INDEX(装备库!$A$2:$Y$1047,MATCH(ROW()-1,装备库!$AO$2:$AO$1046,0),COLUMN()),"")</f>
        <v>0</v>
      </c>
      <c r="W84" t="str">
        <f>IFERROR(INDEX(装备库!$A$2:$Y$1047,MATCH(ROW()-1,装备库!$AO$2:$AO$1046,0),COLUMN()),"")</f>
        <v>精简攻招破</v>
      </c>
      <c r="X84">
        <f>IFERROR(INDEX(装备库!$A$2:$Y$1047,MATCH(ROW()-1,装备库!$AO$2:$AO$1046,0),COLUMN()),"")</f>
        <v>3</v>
      </c>
      <c r="Y84" t="str">
        <f>IFERROR(INDEX(装备库!$A$2:$Y$1047,MATCH(ROW()-1,装备库!$AO$2:$AO$1046,0),COLUMN()),"")</f>
        <v>活动</v>
      </c>
    </row>
    <row r="85" spans="1:25" x14ac:dyDescent="0.35">
      <c r="A85" t="str">
        <f>IFERROR(INDEX(装备库!$A$2:$Y$1047,MATCH(ROW()-1,装备库!$AO$2:$AO$1046,0),COLUMN()),"")</f>
        <v>护手</v>
      </c>
      <c r="B85" t="str">
        <f>IFERROR(INDEX(装备库!$A$2:$Y$1047,MATCH(ROW()-1,装备库!$AO$2:$AO$1046,0),COLUMN()),"")</f>
        <v>无封护臂</v>
      </c>
      <c r="C85">
        <f>IFERROR(INDEX(装备库!$A$2:$Y$1047,MATCH(ROW()-1,装备库!$AO$2:$AO$1046,0),COLUMN()),"")</f>
        <v>9700</v>
      </c>
      <c r="D85" t="str">
        <f>IFERROR(INDEX(装备库!$A$2:$Y$1047,MATCH(ROW()-1,装备库!$AO$2:$AO$1046,0),COLUMN()),"")</f>
        <v>无封护臂(9700精简攻无)</v>
      </c>
      <c r="E85">
        <f>IFERROR(INDEX(装备库!$A$2:$Y$1047,MATCH(ROW()-1,装备库!$AO$2:$AO$1046,0),COLUMN()),"")</f>
        <v>0</v>
      </c>
      <c r="F85">
        <f>IFERROR(INDEX(装备库!$A$2:$Y$1047,MATCH(ROW()-1,装备库!$AO$2:$AO$1046,0),COLUMN()),"")</f>
        <v>2012</v>
      </c>
      <c r="G85">
        <f>IFERROR(INDEX(装备库!$A$2:$Y$1047,MATCH(ROW()-1,装备库!$AO$2:$AO$1046,0),COLUMN()),"")</f>
        <v>0</v>
      </c>
      <c r="H85">
        <f>IFERROR(INDEX(装备库!$A$2:$Y$1047,MATCH(ROW()-1,装备库!$AO$2:$AO$1046,0),COLUMN()),"")</f>
        <v>0</v>
      </c>
      <c r="I85">
        <f>IFERROR(INDEX(装备库!$A$2:$Y$1047,MATCH(ROW()-1,装备库!$AO$2:$AO$1046,0),COLUMN()),"")</f>
        <v>0</v>
      </c>
      <c r="J85">
        <f>IFERROR(INDEX(装备库!$A$2:$Y$1047,MATCH(ROW()-1,装备库!$AO$2:$AO$1046,0),COLUMN()),"")</f>
        <v>0</v>
      </c>
      <c r="K85">
        <f>IFERROR(INDEX(装备库!$A$2:$Y$1047,MATCH(ROW()-1,装备库!$AO$2:$AO$1046,0),COLUMN()),"")</f>
        <v>4560</v>
      </c>
      <c r="L85">
        <f>IFERROR(INDEX(装备库!$A$2:$Y$1047,MATCH(ROW()-1,装备库!$AO$2:$AO$1046,0),COLUMN()),"")</f>
        <v>0</v>
      </c>
      <c r="M85">
        <f>IFERROR(INDEX(装备库!$A$2:$Y$1047,MATCH(ROW()-1,装备库!$AO$2:$AO$1046,0),COLUMN()),"")</f>
        <v>0</v>
      </c>
      <c r="N85">
        <f>IFERROR(INDEX(装备库!$A$2:$Y$1047,MATCH(ROW()-1,装备库!$AO$2:$AO$1046,0),COLUMN()),"")</f>
        <v>0</v>
      </c>
      <c r="O85">
        <f>IFERROR(INDEX(装备库!$A$2:$Y$1047,MATCH(ROW()-1,装备库!$AO$2:$AO$1046,0),COLUMN()),"")</f>
        <v>0</v>
      </c>
      <c r="P85">
        <f>IFERROR(INDEX(装备库!$A$2:$Y$1047,MATCH(ROW()-1,装备库!$AO$2:$AO$1046,0),COLUMN()),"")</f>
        <v>0</v>
      </c>
      <c r="Q85">
        <f>IFERROR(INDEX(装备库!$A$2:$Y$1047,MATCH(ROW()-1,装备库!$AO$2:$AO$1046,0),COLUMN()),"")</f>
        <v>0</v>
      </c>
      <c r="R85">
        <f>IFERROR(INDEX(装备库!$A$2:$Y$1047,MATCH(ROW()-1,装备库!$AO$2:$AO$1046,0),COLUMN()),"")</f>
        <v>0</v>
      </c>
      <c r="S85">
        <f>IFERROR(INDEX(装备库!$A$2:$Y$1047,MATCH(ROW()-1,装备库!$AO$2:$AO$1046,0),COLUMN()),"")</f>
        <v>1</v>
      </c>
      <c r="T85">
        <f>IFERROR(INDEX(装备库!$A$2:$Y$1047,MATCH(ROW()-1,装备库!$AO$2:$AO$1046,0),COLUMN()),"")</f>
        <v>0</v>
      </c>
      <c r="U85">
        <f>IFERROR(INDEX(装备库!$A$2:$Y$1047,MATCH(ROW()-1,装备库!$AO$2:$AO$1046,0),COLUMN()),"")</f>
        <v>1</v>
      </c>
      <c r="V85">
        <f>IFERROR(INDEX(装备库!$A$2:$Y$1047,MATCH(ROW()-1,装备库!$AO$2:$AO$1046,0),COLUMN()),"")</f>
        <v>0</v>
      </c>
      <c r="W85" t="str">
        <f>IFERROR(INDEX(装备库!$A$2:$Y$1047,MATCH(ROW()-1,装备库!$AO$2:$AO$1046,0),COLUMN()),"")</f>
        <v>精简攻无</v>
      </c>
      <c r="X85">
        <f>IFERROR(INDEX(装备库!$A$2:$Y$1047,MATCH(ROW()-1,装备库!$AO$2:$AO$1046,0),COLUMN()),"")</f>
        <v>3</v>
      </c>
      <c r="Y85" t="str">
        <f>IFERROR(INDEX(装备库!$A$2:$Y$1047,MATCH(ROW()-1,装备库!$AO$2:$AO$1046,0),COLUMN()),"")</f>
        <v>活动</v>
      </c>
    </row>
    <row r="86" spans="1:25" x14ac:dyDescent="0.35">
      <c r="A86" t="str">
        <f>IFERROR(INDEX(装备库!$A$2:$Y$1047,MATCH(ROW()-1,装备库!$AO$2:$AO$1046,0),COLUMN()),"")</f>
        <v>护手</v>
      </c>
      <c r="B86" t="str">
        <f>IFERROR(INDEX(装备库!$A$2:$Y$1047,MATCH(ROW()-1,装备库!$AO$2:$AO$1046,0),COLUMN()),"")</f>
        <v>无封护臂</v>
      </c>
      <c r="C86">
        <f>IFERROR(INDEX(装备库!$A$2:$Y$1047,MATCH(ROW()-1,装备库!$AO$2:$AO$1046,0),COLUMN()),"")</f>
        <v>9700</v>
      </c>
      <c r="D86" t="str">
        <f>IFERROR(INDEX(装备库!$A$2:$Y$1047,MATCH(ROW()-1,装备库!$AO$2:$AO$1046,0),COLUMN()),"")</f>
        <v>无封护臂(9700精简攻会会无)</v>
      </c>
      <c r="E86">
        <f>IFERROR(INDEX(装备库!$A$2:$Y$1047,MATCH(ROW()-1,装备库!$AO$2:$AO$1046,0),COLUMN()),"")</f>
        <v>0</v>
      </c>
      <c r="F86">
        <f>IFERROR(INDEX(装备库!$A$2:$Y$1047,MATCH(ROW()-1,装备库!$AO$2:$AO$1046,0),COLUMN()),"")</f>
        <v>1716</v>
      </c>
      <c r="G86">
        <f>IFERROR(INDEX(装备库!$A$2:$Y$1047,MATCH(ROW()-1,装备库!$AO$2:$AO$1046,0),COLUMN()),"")</f>
        <v>2511</v>
      </c>
      <c r="H86">
        <f>IFERROR(INDEX(装备库!$A$2:$Y$1047,MATCH(ROW()-1,装备库!$AO$2:$AO$1046,0),COLUMN()),"")</f>
        <v>1322</v>
      </c>
      <c r="I86">
        <f>IFERROR(INDEX(装备库!$A$2:$Y$1047,MATCH(ROW()-1,装备库!$AO$2:$AO$1046,0),COLUMN()),"")</f>
        <v>0</v>
      </c>
      <c r="J86">
        <f>IFERROR(INDEX(装备库!$A$2:$Y$1047,MATCH(ROW()-1,装备库!$AO$2:$AO$1046,0),COLUMN()),"")</f>
        <v>0</v>
      </c>
      <c r="K86">
        <f>IFERROR(INDEX(装备库!$A$2:$Y$1047,MATCH(ROW()-1,装备库!$AO$2:$AO$1046,0),COLUMN()),"")</f>
        <v>1322</v>
      </c>
      <c r="L86">
        <f>IFERROR(INDEX(装备库!$A$2:$Y$1047,MATCH(ROW()-1,装备库!$AO$2:$AO$1046,0),COLUMN()),"")</f>
        <v>0</v>
      </c>
      <c r="M86">
        <f>IFERROR(INDEX(装备库!$A$2:$Y$1047,MATCH(ROW()-1,装备库!$AO$2:$AO$1046,0),COLUMN()),"")</f>
        <v>0</v>
      </c>
      <c r="N86">
        <f>IFERROR(INDEX(装备库!$A$2:$Y$1047,MATCH(ROW()-1,装备库!$AO$2:$AO$1046,0),COLUMN()),"")</f>
        <v>0</v>
      </c>
      <c r="O86">
        <f>IFERROR(INDEX(装备库!$A$2:$Y$1047,MATCH(ROW()-1,装备库!$AO$2:$AO$1046,0),COLUMN()),"")</f>
        <v>0</v>
      </c>
      <c r="P86">
        <f>IFERROR(INDEX(装备库!$A$2:$Y$1047,MATCH(ROW()-1,装备库!$AO$2:$AO$1046,0),COLUMN()),"")</f>
        <v>0</v>
      </c>
      <c r="Q86">
        <f>IFERROR(INDEX(装备库!$A$2:$Y$1047,MATCH(ROW()-1,装备库!$AO$2:$AO$1046,0),COLUMN()),"")</f>
        <v>0</v>
      </c>
      <c r="R86">
        <f>IFERROR(INDEX(装备库!$A$2:$Y$1047,MATCH(ROW()-1,装备库!$AO$2:$AO$1046,0),COLUMN()),"")</f>
        <v>0</v>
      </c>
      <c r="S86">
        <f>IFERROR(INDEX(装备库!$A$2:$Y$1047,MATCH(ROW()-1,装备库!$AO$2:$AO$1046,0),COLUMN()),"")</f>
        <v>1</v>
      </c>
      <c r="T86">
        <f>IFERROR(INDEX(装备库!$A$2:$Y$1047,MATCH(ROW()-1,装备库!$AO$2:$AO$1046,0),COLUMN()),"")</f>
        <v>0</v>
      </c>
      <c r="U86">
        <f>IFERROR(INDEX(装备库!$A$2:$Y$1047,MATCH(ROW()-1,装备库!$AO$2:$AO$1046,0),COLUMN()),"")</f>
        <v>1</v>
      </c>
      <c r="V86">
        <f>IFERROR(INDEX(装备库!$A$2:$Y$1047,MATCH(ROW()-1,装备库!$AO$2:$AO$1046,0),COLUMN()),"")</f>
        <v>0</v>
      </c>
      <c r="W86" t="str">
        <f>IFERROR(INDEX(装备库!$A$2:$Y$1047,MATCH(ROW()-1,装备库!$AO$2:$AO$1046,0),COLUMN()),"")</f>
        <v>精简攻会会无</v>
      </c>
      <c r="X86">
        <f>IFERROR(INDEX(装备库!$A$2:$Y$1047,MATCH(ROW()-1,装备库!$AO$2:$AO$1046,0),COLUMN()),"")</f>
        <v>3</v>
      </c>
      <c r="Y86" t="str">
        <f>IFERROR(INDEX(装备库!$A$2:$Y$1047,MATCH(ROW()-1,装备库!$AO$2:$AO$1046,0),COLUMN()),"")</f>
        <v>活动</v>
      </c>
    </row>
    <row r="87" spans="1:25" x14ac:dyDescent="0.35">
      <c r="A87" t="str">
        <f>IFERROR(INDEX(装备库!$A$2:$Y$1047,MATCH(ROW()-1,装备库!$AO$2:$AO$1046,0),COLUMN()),"")</f>
        <v>护手</v>
      </c>
      <c r="B87" t="str">
        <f>IFERROR(INDEX(装备库!$A$2:$Y$1047,MATCH(ROW()-1,装备库!$AO$2:$AO$1046,0),COLUMN()),"")</f>
        <v>垣翰袖</v>
      </c>
      <c r="C87">
        <f>IFERROR(INDEX(装备库!$A$2:$Y$1047,MATCH(ROW()-1,装备库!$AO$2:$AO$1046,0),COLUMN()),"")</f>
        <v>10000</v>
      </c>
      <c r="D87" t="str">
        <f>IFERROR(INDEX(装备库!$A$2:$Y$1047,MATCH(ROW()-1,装备库!$AO$2:$AO$1046,0),COLUMN()),"")</f>
        <v>垣翰袖(10000招无)</v>
      </c>
      <c r="E87">
        <f>IFERROR(INDEX(装备库!$A$2:$Y$1047,MATCH(ROW()-1,装备库!$AO$2:$AO$1046,0),COLUMN()),"")</f>
        <v>489</v>
      </c>
      <c r="F87">
        <f>IFERROR(INDEX(装备库!$A$2:$Y$1047,MATCH(ROW()-1,装备库!$AO$2:$AO$1046,0),COLUMN()),"")</f>
        <v>793</v>
      </c>
      <c r="G87">
        <f>IFERROR(INDEX(装备库!$A$2:$Y$1047,MATCH(ROW()-1,装备库!$AO$2:$AO$1046,0),COLUMN()),"")</f>
        <v>0</v>
      </c>
      <c r="H87">
        <f>IFERROR(INDEX(装备库!$A$2:$Y$1047,MATCH(ROW()-1,装备库!$AO$2:$AO$1046,0),COLUMN()),"")</f>
        <v>0</v>
      </c>
      <c r="I87">
        <f>IFERROR(INDEX(装备库!$A$2:$Y$1047,MATCH(ROW()-1,装备库!$AO$2:$AO$1046,0),COLUMN()),"")</f>
        <v>0</v>
      </c>
      <c r="J87">
        <f>IFERROR(INDEX(装备库!$A$2:$Y$1047,MATCH(ROW()-1,装备库!$AO$2:$AO$1046,0),COLUMN()),"")</f>
        <v>2453</v>
      </c>
      <c r="K87">
        <f>IFERROR(INDEX(装备库!$A$2:$Y$1047,MATCH(ROW()-1,装备库!$AO$2:$AO$1046,0),COLUMN()),"")</f>
        <v>2180</v>
      </c>
      <c r="L87">
        <f>IFERROR(INDEX(装备库!$A$2:$Y$1047,MATCH(ROW()-1,装备库!$AO$2:$AO$1046,0),COLUMN()),"")</f>
        <v>0</v>
      </c>
      <c r="M87">
        <f>IFERROR(INDEX(装备库!$A$2:$Y$1047,MATCH(ROW()-1,装备库!$AO$2:$AO$1046,0),COLUMN()),"")</f>
        <v>0</v>
      </c>
      <c r="N87">
        <f>IFERROR(INDEX(装备库!$A$2:$Y$1047,MATCH(ROW()-1,装备库!$AO$2:$AO$1046,0),COLUMN()),"")</f>
        <v>0</v>
      </c>
      <c r="O87">
        <f>IFERROR(INDEX(装备库!$A$2:$Y$1047,MATCH(ROW()-1,装备库!$AO$2:$AO$1046,0),COLUMN()),"")</f>
        <v>0</v>
      </c>
      <c r="P87">
        <f>IFERROR(INDEX(装备库!$A$2:$Y$1047,MATCH(ROW()-1,装备库!$AO$2:$AO$1046,0),COLUMN()),"")</f>
        <v>0</v>
      </c>
      <c r="Q87">
        <f>IFERROR(INDEX(装备库!$A$2:$Y$1047,MATCH(ROW()-1,装备库!$AO$2:$AO$1046,0),COLUMN()),"")</f>
        <v>0</v>
      </c>
      <c r="R87">
        <f>IFERROR(INDEX(装备库!$A$2:$Y$1047,MATCH(ROW()-1,装备库!$AO$2:$AO$1046,0),COLUMN()),"")</f>
        <v>0</v>
      </c>
      <c r="S87">
        <f>IFERROR(INDEX(装备库!$A$2:$Y$1047,MATCH(ROW()-1,装备库!$AO$2:$AO$1046,0),COLUMN()),"")</f>
        <v>1</v>
      </c>
      <c r="T87">
        <f>IFERROR(INDEX(装备库!$A$2:$Y$1047,MATCH(ROW()-1,装备库!$AO$2:$AO$1046,0),COLUMN()),"")</f>
        <v>1</v>
      </c>
      <c r="U87">
        <f>IFERROR(INDEX(装备库!$A$2:$Y$1047,MATCH(ROW()-1,装备库!$AO$2:$AO$1046,0),COLUMN()),"")</f>
        <v>0</v>
      </c>
      <c r="V87">
        <f>IFERROR(INDEX(装备库!$A$2:$Y$1047,MATCH(ROW()-1,装备库!$AO$2:$AO$1046,0),COLUMN()),"")</f>
        <v>0</v>
      </c>
      <c r="W87" t="str">
        <f>IFERROR(INDEX(装备库!$A$2:$Y$1047,MATCH(ROW()-1,装备库!$AO$2:$AO$1046,0),COLUMN()),"")</f>
        <v>招无</v>
      </c>
      <c r="X87">
        <f>IFERROR(INDEX(装备库!$A$2:$Y$1047,MATCH(ROW()-1,装备库!$AO$2:$AO$1046,0),COLUMN()),"")</f>
        <v>6</v>
      </c>
      <c r="Y87" t="str">
        <f>IFERROR(INDEX(装备库!$A$2:$Y$1047,MATCH(ROW()-1,装备库!$AO$2:$AO$1046,0),COLUMN()),"")</f>
        <v>副本</v>
      </c>
    </row>
    <row r="88" spans="1:25" x14ac:dyDescent="0.35">
      <c r="A88" t="str">
        <f>IFERROR(INDEX(装备库!$A$2:$Y$1047,MATCH(ROW()-1,装备库!$AO$2:$AO$1046,0),COLUMN()),"")</f>
        <v>护手</v>
      </c>
      <c r="B88" t="str">
        <f>IFERROR(INDEX(装备库!$A$2:$Y$1047,MATCH(ROW()-1,装备库!$AO$2:$AO$1046,0),COLUMN()),"")</f>
        <v>曲郦护手</v>
      </c>
      <c r="C88">
        <f>IFERROR(INDEX(装备库!$A$2:$Y$1047,MATCH(ROW()-1,装备库!$AO$2:$AO$1046,0),COLUMN()),"")</f>
        <v>10000</v>
      </c>
      <c r="D88" t="str">
        <f>IFERROR(INDEX(装备库!$A$2:$Y$1047,MATCH(ROW()-1,装备库!$AO$2:$AO$1046,0),COLUMN()),"")</f>
        <v>曲郦护手(10000招破)</v>
      </c>
      <c r="E88">
        <f>IFERROR(INDEX(装备库!$A$2:$Y$1047,MATCH(ROW()-1,装备库!$AO$2:$AO$1046,0),COLUMN()),"")</f>
        <v>489</v>
      </c>
      <c r="F88">
        <f>IFERROR(INDEX(装备库!$A$2:$Y$1047,MATCH(ROW()-1,装备库!$AO$2:$AO$1046,0),COLUMN()),"")</f>
        <v>793</v>
      </c>
      <c r="G88">
        <f>IFERROR(INDEX(装备库!$A$2:$Y$1047,MATCH(ROW()-1,装备库!$AO$2:$AO$1046,0),COLUMN()),"")</f>
        <v>0</v>
      </c>
      <c r="H88">
        <f>IFERROR(INDEX(装备库!$A$2:$Y$1047,MATCH(ROW()-1,装备库!$AO$2:$AO$1046,0),COLUMN()),"")</f>
        <v>0</v>
      </c>
      <c r="I88">
        <f>IFERROR(INDEX(装备库!$A$2:$Y$1047,MATCH(ROW()-1,装备库!$AO$2:$AO$1046,0),COLUMN()),"")</f>
        <v>2453</v>
      </c>
      <c r="J88">
        <f>IFERROR(INDEX(装备库!$A$2:$Y$1047,MATCH(ROW()-1,装备库!$AO$2:$AO$1046,0),COLUMN()),"")</f>
        <v>2180</v>
      </c>
      <c r="K88">
        <f>IFERROR(INDEX(装备库!$A$2:$Y$1047,MATCH(ROW()-1,装备库!$AO$2:$AO$1046,0),COLUMN()),"")</f>
        <v>0</v>
      </c>
      <c r="L88">
        <f>IFERROR(INDEX(装备库!$A$2:$Y$1047,MATCH(ROW()-1,装备库!$AO$2:$AO$1046,0),COLUMN()),"")</f>
        <v>0</v>
      </c>
      <c r="M88">
        <f>IFERROR(INDEX(装备库!$A$2:$Y$1047,MATCH(ROW()-1,装备库!$AO$2:$AO$1046,0),COLUMN()),"")</f>
        <v>0</v>
      </c>
      <c r="N88">
        <f>IFERROR(INDEX(装备库!$A$2:$Y$1047,MATCH(ROW()-1,装备库!$AO$2:$AO$1046,0),COLUMN()),"")</f>
        <v>0</v>
      </c>
      <c r="O88">
        <f>IFERROR(INDEX(装备库!$A$2:$Y$1047,MATCH(ROW()-1,装备库!$AO$2:$AO$1046,0),COLUMN()),"")</f>
        <v>0</v>
      </c>
      <c r="P88">
        <f>IFERROR(INDEX(装备库!$A$2:$Y$1047,MATCH(ROW()-1,装备库!$AO$2:$AO$1046,0),COLUMN()),"")</f>
        <v>1</v>
      </c>
      <c r="Q88">
        <f>IFERROR(INDEX(装备库!$A$2:$Y$1047,MATCH(ROW()-1,装备库!$AO$2:$AO$1046,0),COLUMN()),"")</f>
        <v>0</v>
      </c>
      <c r="R88">
        <f>IFERROR(INDEX(装备库!$A$2:$Y$1047,MATCH(ROW()-1,装备库!$AO$2:$AO$1046,0),COLUMN()),"")</f>
        <v>0</v>
      </c>
      <c r="S88">
        <f>IFERROR(INDEX(装备库!$A$2:$Y$1047,MATCH(ROW()-1,装备库!$AO$2:$AO$1046,0),COLUMN()),"")</f>
        <v>1</v>
      </c>
      <c r="T88">
        <f>IFERROR(INDEX(装备库!$A$2:$Y$1047,MATCH(ROW()-1,装备库!$AO$2:$AO$1046,0),COLUMN()),"")</f>
        <v>0</v>
      </c>
      <c r="U88">
        <f>IFERROR(INDEX(装备库!$A$2:$Y$1047,MATCH(ROW()-1,装备库!$AO$2:$AO$1046,0),COLUMN()),"")</f>
        <v>0</v>
      </c>
      <c r="V88">
        <f>IFERROR(INDEX(装备库!$A$2:$Y$1047,MATCH(ROW()-1,装备库!$AO$2:$AO$1046,0),COLUMN()),"")</f>
        <v>0</v>
      </c>
      <c r="W88" t="str">
        <f>IFERROR(INDEX(装备库!$A$2:$Y$1047,MATCH(ROW()-1,装备库!$AO$2:$AO$1046,0),COLUMN()),"")</f>
        <v>招破</v>
      </c>
      <c r="X88">
        <f>IFERROR(INDEX(装备库!$A$2:$Y$1047,MATCH(ROW()-1,装备库!$AO$2:$AO$1046,0),COLUMN()),"")</f>
        <v>6</v>
      </c>
      <c r="Y88" t="str">
        <f>IFERROR(INDEX(装备库!$A$2:$Y$1047,MATCH(ROW()-1,装备库!$AO$2:$AO$1046,0),COLUMN()),"")</f>
        <v>副本</v>
      </c>
    </row>
    <row r="89" spans="1:25" x14ac:dyDescent="0.35">
      <c r="A89" t="str">
        <f>IFERROR(INDEX(装备库!$A$2:$Y$1047,MATCH(ROW()-1,装备库!$AO$2:$AO$1046,0),COLUMN()),"")</f>
        <v>护手</v>
      </c>
      <c r="B89" t="str">
        <f>IFERROR(INDEX(装备库!$A$2:$Y$1047,MATCH(ROW()-1,装备库!$AO$2:$AO$1046,0),COLUMN()),"")</f>
        <v>寻踪觅宝·光熙袖</v>
      </c>
      <c r="C89">
        <f>IFERROR(INDEX(装备库!$A$2:$Y$1047,MATCH(ROW()-1,装备库!$AO$2:$AO$1046,0),COLUMN()),"")</f>
        <v>10000</v>
      </c>
      <c r="D89" t="str">
        <f>IFERROR(INDEX(装备库!$A$2:$Y$1047,MATCH(ROW()-1,装备库!$AO$2:$AO$1046,0),COLUMN()),"")</f>
        <v>寻踪觅宝·光熙袖(10000招破)</v>
      </c>
      <c r="E89">
        <f>IFERROR(INDEX(装备库!$A$2:$Y$1047,MATCH(ROW()-1,装备库!$AO$2:$AO$1046,0),COLUMN()),"")</f>
        <v>489</v>
      </c>
      <c r="F89">
        <f>IFERROR(INDEX(装备库!$A$2:$Y$1047,MATCH(ROW()-1,装备库!$AO$2:$AO$1046,0),COLUMN()),"")</f>
        <v>793</v>
      </c>
      <c r="G89">
        <f>IFERROR(INDEX(装备库!$A$2:$Y$1047,MATCH(ROW()-1,装备库!$AO$2:$AO$1046,0),COLUMN()),"")</f>
        <v>0</v>
      </c>
      <c r="H89">
        <f>IFERROR(INDEX(装备库!$A$2:$Y$1047,MATCH(ROW()-1,装备库!$AO$2:$AO$1046,0),COLUMN()),"")</f>
        <v>0</v>
      </c>
      <c r="I89">
        <f>IFERROR(INDEX(装备库!$A$2:$Y$1047,MATCH(ROW()-1,装备库!$AO$2:$AO$1046,0),COLUMN()),"")</f>
        <v>2453</v>
      </c>
      <c r="J89">
        <f>IFERROR(INDEX(装备库!$A$2:$Y$1047,MATCH(ROW()-1,装备库!$AO$2:$AO$1046,0),COLUMN()),"")</f>
        <v>2180</v>
      </c>
      <c r="K89">
        <f>IFERROR(INDEX(装备库!$A$2:$Y$1047,MATCH(ROW()-1,装备库!$AO$2:$AO$1046,0),COLUMN()),"")</f>
        <v>0</v>
      </c>
      <c r="L89">
        <f>IFERROR(INDEX(装备库!$A$2:$Y$1047,MATCH(ROW()-1,装备库!$AO$2:$AO$1046,0),COLUMN()),"")</f>
        <v>0</v>
      </c>
      <c r="M89">
        <f>IFERROR(INDEX(装备库!$A$2:$Y$1047,MATCH(ROW()-1,装备库!$AO$2:$AO$1046,0),COLUMN()),"")</f>
        <v>0</v>
      </c>
      <c r="N89">
        <f>IFERROR(INDEX(装备库!$A$2:$Y$1047,MATCH(ROW()-1,装备库!$AO$2:$AO$1046,0),COLUMN()),"")</f>
        <v>0</v>
      </c>
      <c r="O89">
        <f>IFERROR(INDEX(装备库!$A$2:$Y$1047,MATCH(ROW()-1,装备库!$AO$2:$AO$1046,0),COLUMN()),"")</f>
        <v>0</v>
      </c>
      <c r="P89">
        <f>IFERROR(INDEX(装备库!$A$2:$Y$1047,MATCH(ROW()-1,装备库!$AO$2:$AO$1046,0),COLUMN()),"")</f>
        <v>1</v>
      </c>
      <c r="Q89">
        <f>IFERROR(INDEX(装备库!$A$2:$Y$1047,MATCH(ROW()-1,装备库!$AO$2:$AO$1046,0),COLUMN()),"")</f>
        <v>0</v>
      </c>
      <c r="R89">
        <f>IFERROR(INDEX(装备库!$A$2:$Y$1047,MATCH(ROW()-1,装备库!$AO$2:$AO$1046,0),COLUMN()),"")</f>
        <v>0</v>
      </c>
      <c r="S89">
        <f>IFERROR(INDEX(装备库!$A$2:$Y$1047,MATCH(ROW()-1,装备库!$AO$2:$AO$1046,0),COLUMN()),"")</f>
        <v>1</v>
      </c>
      <c r="T89">
        <f>IFERROR(INDEX(装备库!$A$2:$Y$1047,MATCH(ROW()-1,装备库!$AO$2:$AO$1046,0),COLUMN()),"")</f>
        <v>0</v>
      </c>
      <c r="U89">
        <f>IFERROR(INDEX(装备库!$A$2:$Y$1047,MATCH(ROW()-1,装备库!$AO$2:$AO$1046,0),COLUMN()),"")</f>
        <v>0</v>
      </c>
      <c r="V89">
        <f>IFERROR(INDEX(装备库!$A$2:$Y$1047,MATCH(ROW()-1,装备库!$AO$2:$AO$1046,0),COLUMN()),"")</f>
        <v>0</v>
      </c>
      <c r="W89" t="str">
        <f>IFERROR(INDEX(装备库!$A$2:$Y$1047,MATCH(ROW()-1,装备库!$AO$2:$AO$1046,0),COLUMN()),"")</f>
        <v>招破</v>
      </c>
      <c r="X89">
        <f>IFERROR(INDEX(装备库!$A$2:$Y$1047,MATCH(ROW()-1,装备库!$AO$2:$AO$1046,0),COLUMN()),"")</f>
        <v>6</v>
      </c>
      <c r="Y89" t="str">
        <f>IFERROR(INDEX(装备库!$A$2:$Y$1047,MATCH(ROW()-1,装备库!$AO$2:$AO$1046,0),COLUMN()),"")</f>
        <v>挖宝</v>
      </c>
    </row>
    <row r="90" spans="1:25" x14ac:dyDescent="0.35">
      <c r="A90" t="str">
        <f>IFERROR(INDEX(装备库!$A$2:$Y$1047,MATCH(ROW()-1,装备库!$AO$2:$AO$1046,0),COLUMN()),"")</f>
        <v>护手</v>
      </c>
      <c r="B90" t="str">
        <f>IFERROR(INDEX(装备库!$A$2:$Y$1047,MATCH(ROW()-1,装备库!$AO$2:$AO$1046,0),COLUMN()),"")</f>
        <v>重关袖</v>
      </c>
      <c r="C90">
        <f>IFERROR(INDEX(装备库!$A$2:$Y$1047,MATCH(ROW()-1,装备库!$AO$2:$AO$1046,0),COLUMN()),"")</f>
        <v>10000</v>
      </c>
      <c r="D90" t="str">
        <f>IFERROR(INDEX(装备库!$A$2:$Y$1047,MATCH(ROW()-1,装备库!$AO$2:$AO$1046,0),COLUMN()),"")</f>
        <v>重关袖(10000速招)</v>
      </c>
      <c r="E90">
        <f>IFERROR(INDEX(装备库!$A$2:$Y$1047,MATCH(ROW()-1,装备库!$AO$2:$AO$1046,0),COLUMN()),"")</f>
        <v>489</v>
      </c>
      <c r="F90">
        <f>IFERROR(INDEX(装备库!$A$2:$Y$1047,MATCH(ROW()-1,装备库!$AO$2:$AO$1046,0),COLUMN()),"")</f>
        <v>793</v>
      </c>
      <c r="G90">
        <f>IFERROR(INDEX(装备库!$A$2:$Y$1047,MATCH(ROW()-1,装备库!$AO$2:$AO$1046,0),COLUMN()),"")</f>
        <v>0</v>
      </c>
      <c r="H90">
        <f>IFERROR(INDEX(装备库!$A$2:$Y$1047,MATCH(ROW()-1,装备库!$AO$2:$AO$1046,0),COLUMN()),"")</f>
        <v>0</v>
      </c>
      <c r="I90">
        <f>IFERROR(INDEX(装备库!$A$2:$Y$1047,MATCH(ROW()-1,装备库!$AO$2:$AO$1046,0),COLUMN()),"")</f>
        <v>0</v>
      </c>
      <c r="J90">
        <f>IFERROR(INDEX(装备库!$A$2:$Y$1047,MATCH(ROW()-1,装备库!$AO$2:$AO$1046,0),COLUMN()),"")</f>
        <v>2180</v>
      </c>
      <c r="K90">
        <f>IFERROR(INDEX(装备库!$A$2:$Y$1047,MATCH(ROW()-1,装备库!$AO$2:$AO$1046,0),COLUMN()),"")</f>
        <v>0</v>
      </c>
      <c r="L90">
        <f>IFERROR(INDEX(装备库!$A$2:$Y$1047,MATCH(ROW()-1,装备库!$AO$2:$AO$1046,0),COLUMN()),"")</f>
        <v>2453</v>
      </c>
      <c r="M90">
        <f>IFERROR(INDEX(装备库!$A$2:$Y$1047,MATCH(ROW()-1,装备库!$AO$2:$AO$1046,0),COLUMN()),"")</f>
        <v>0</v>
      </c>
      <c r="N90">
        <f>IFERROR(INDEX(装备库!$A$2:$Y$1047,MATCH(ROW()-1,装备库!$AO$2:$AO$1046,0),COLUMN()),"")</f>
        <v>0</v>
      </c>
      <c r="O90">
        <f>IFERROR(INDEX(装备库!$A$2:$Y$1047,MATCH(ROW()-1,装备库!$AO$2:$AO$1046,0),COLUMN()),"")</f>
        <v>0</v>
      </c>
      <c r="P90">
        <f>IFERROR(INDEX(装备库!$A$2:$Y$1047,MATCH(ROW()-1,装备库!$AO$2:$AO$1046,0),COLUMN()),"")</f>
        <v>1</v>
      </c>
      <c r="Q90">
        <f>IFERROR(INDEX(装备库!$A$2:$Y$1047,MATCH(ROW()-1,装备库!$AO$2:$AO$1046,0),COLUMN()),"")</f>
        <v>1</v>
      </c>
      <c r="R90">
        <f>IFERROR(INDEX(装备库!$A$2:$Y$1047,MATCH(ROW()-1,装备库!$AO$2:$AO$1046,0),COLUMN()),"")</f>
        <v>0</v>
      </c>
      <c r="S90">
        <f>IFERROR(INDEX(装备库!$A$2:$Y$1047,MATCH(ROW()-1,装备库!$AO$2:$AO$1046,0),COLUMN()),"")</f>
        <v>0</v>
      </c>
      <c r="T90">
        <f>IFERROR(INDEX(装备库!$A$2:$Y$1047,MATCH(ROW()-1,装备库!$AO$2:$AO$1046,0),COLUMN()),"")</f>
        <v>0</v>
      </c>
      <c r="U90">
        <f>IFERROR(INDEX(装备库!$A$2:$Y$1047,MATCH(ROW()-1,装备库!$AO$2:$AO$1046,0),COLUMN()),"")</f>
        <v>0</v>
      </c>
      <c r="V90">
        <f>IFERROR(INDEX(装备库!$A$2:$Y$1047,MATCH(ROW()-1,装备库!$AO$2:$AO$1046,0),COLUMN()),"")</f>
        <v>0</v>
      </c>
      <c r="W90" t="str">
        <f>IFERROR(INDEX(装备库!$A$2:$Y$1047,MATCH(ROW()-1,装备库!$AO$2:$AO$1046,0),COLUMN()),"")</f>
        <v>速招</v>
      </c>
      <c r="X90">
        <f>IFERROR(INDEX(装备库!$A$2:$Y$1047,MATCH(ROW()-1,装备库!$AO$2:$AO$1046,0),COLUMN()),"")</f>
        <v>6</v>
      </c>
      <c r="Y90" t="str">
        <f>IFERROR(INDEX(装备库!$A$2:$Y$1047,MATCH(ROW()-1,装备库!$AO$2:$AO$1046,0),COLUMN()),"")</f>
        <v>副本</v>
      </c>
    </row>
    <row r="91" spans="1:25" x14ac:dyDescent="0.35">
      <c r="A91" t="str">
        <f>IFERROR(INDEX(装备库!$A$2:$Y$1047,MATCH(ROW()-1,装备库!$AO$2:$AO$1046,0),COLUMN()),"")</f>
        <v>护手</v>
      </c>
      <c r="B91" t="str">
        <f>IFERROR(INDEX(装备库!$A$2:$Y$1047,MATCH(ROW()-1,装备库!$AO$2:$AO$1046,0),COLUMN()),"")</f>
        <v>羡双护手</v>
      </c>
      <c r="C91">
        <f>IFERROR(INDEX(装备库!$A$2:$Y$1047,MATCH(ROW()-1,装备库!$AO$2:$AO$1046,0),COLUMN()),"")</f>
        <v>10000</v>
      </c>
      <c r="D91" t="str">
        <f>IFERROR(INDEX(装备库!$A$2:$Y$1047,MATCH(ROW()-1,装备库!$AO$2:$AO$1046,0),COLUMN()),"")</f>
        <v>羡双护手(10000速无)</v>
      </c>
      <c r="E91">
        <f>IFERROR(INDEX(装备库!$A$2:$Y$1047,MATCH(ROW()-1,装备库!$AO$2:$AO$1046,0),COLUMN()),"")</f>
        <v>489</v>
      </c>
      <c r="F91">
        <f>IFERROR(INDEX(装备库!$A$2:$Y$1047,MATCH(ROW()-1,装备库!$AO$2:$AO$1046,0),COLUMN()),"")</f>
        <v>793</v>
      </c>
      <c r="G91">
        <f>IFERROR(INDEX(装备库!$A$2:$Y$1047,MATCH(ROW()-1,装备库!$AO$2:$AO$1046,0),COLUMN()),"")</f>
        <v>0</v>
      </c>
      <c r="H91">
        <f>IFERROR(INDEX(装备库!$A$2:$Y$1047,MATCH(ROW()-1,装备库!$AO$2:$AO$1046,0),COLUMN()),"")</f>
        <v>0</v>
      </c>
      <c r="I91">
        <f>IFERROR(INDEX(装备库!$A$2:$Y$1047,MATCH(ROW()-1,装备库!$AO$2:$AO$1046,0),COLUMN()),"")</f>
        <v>0</v>
      </c>
      <c r="J91">
        <f>IFERROR(INDEX(装备库!$A$2:$Y$1047,MATCH(ROW()-1,装备库!$AO$2:$AO$1046,0),COLUMN()),"")</f>
        <v>0</v>
      </c>
      <c r="K91">
        <f>IFERROR(INDEX(装备库!$A$2:$Y$1047,MATCH(ROW()-1,装备库!$AO$2:$AO$1046,0),COLUMN()),"")</f>
        <v>2180</v>
      </c>
      <c r="L91">
        <f>IFERROR(INDEX(装备库!$A$2:$Y$1047,MATCH(ROW()-1,装备库!$AO$2:$AO$1046,0),COLUMN()),"")</f>
        <v>2453</v>
      </c>
      <c r="M91">
        <f>IFERROR(INDEX(装备库!$A$2:$Y$1047,MATCH(ROW()-1,装备库!$AO$2:$AO$1046,0),COLUMN()),"")</f>
        <v>0</v>
      </c>
      <c r="N91">
        <f>IFERROR(INDEX(装备库!$A$2:$Y$1047,MATCH(ROW()-1,装备库!$AO$2:$AO$1046,0),COLUMN()),"")</f>
        <v>0</v>
      </c>
      <c r="O91">
        <f>IFERROR(INDEX(装备库!$A$2:$Y$1047,MATCH(ROW()-1,装备库!$AO$2:$AO$1046,0),COLUMN()),"")</f>
        <v>1</v>
      </c>
      <c r="P91">
        <f>IFERROR(INDEX(装备库!$A$2:$Y$1047,MATCH(ROW()-1,装备库!$AO$2:$AO$1046,0),COLUMN()),"")</f>
        <v>0</v>
      </c>
      <c r="Q91">
        <f>IFERROR(INDEX(装备库!$A$2:$Y$1047,MATCH(ROW()-1,装备库!$AO$2:$AO$1046,0),COLUMN()),"")</f>
        <v>0</v>
      </c>
      <c r="R91">
        <f>IFERROR(INDEX(装备库!$A$2:$Y$1047,MATCH(ROW()-1,装备库!$AO$2:$AO$1046,0),COLUMN()),"")</f>
        <v>0</v>
      </c>
      <c r="S91">
        <f>IFERROR(INDEX(装备库!$A$2:$Y$1047,MATCH(ROW()-1,装备库!$AO$2:$AO$1046,0),COLUMN()),"")</f>
        <v>1</v>
      </c>
      <c r="T91">
        <f>IFERROR(INDEX(装备库!$A$2:$Y$1047,MATCH(ROW()-1,装备库!$AO$2:$AO$1046,0),COLUMN()),"")</f>
        <v>0</v>
      </c>
      <c r="U91">
        <f>IFERROR(INDEX(装备库!$A$2:$Y$1047,MATCH(ROW()-1,装备库!$AO$2:$AO$1046,0),COLUMN()),"")</f>
        <v>0</v>
      </c>
      <c r="V91">
        <f>IFERROR(INDEX(装备库!$A$2:$Y$1047,MATCH(ROW()-1,装备库!$AO$2:$AO$1046,0),COLUMN()),"")</f>
        <v>0</v>
      </c>
      <c r="W91" t="str">
        <f>IFERROR(INDEX(装备库!$A$2:$Y$1047,MATCH(ROW()-1,装备库!$AO$2:$AO$1046,0),COLUMN()),"")</f>
        <v>速无</v>
      </c>
      <c r="X91">
        <f>IFERROR(INDEX(装备库!$A$2:$Y$1047,MATCH(ROW()-1,装备库!$AO$2:$AO$1046,0),COLUMN()),"")</f>
        <v>6</v>
      </c>
      <c r="Y91" t="str">
        <f>IFERROR(INDEX(装备库!$A$2:$Y$1047,MATCH(ROW()-1,装备库!$AO$2:$AO$1046,0),COLUMN()),"")</f>
        <v>副本</v>
      </c>
    </row>
    <row r="92" spans="1:25" x14ac:dyDescent="0.35">
      <c r="A92" t="str">
        <f>IFERROR(INDEX(装备库!$A$2:$Y$1047,MATCH(ROW()-1,装备库!$AO$2:$AO$1046,0),COLUMN()),"")</f>
        <v>护手</v>
      </c>
      <c r="B92" t="str">
        <f>IFERROR(INDEX(装备库!$A$2:$Y$1047,MATCH(ROW()-1,装备库!$AO$2:$AO$1046,0),COLUMN()),"")</f>
        <v>忆敬护手</v>
      </c>
      <c r="C92">
        <f>IFERROR(INDEX(装备库!$A$2:$Y$1047,MATCH(ROW()-1,装备库!$AO$2:$AO$1046,0),COLUMN()),"")</f>
        <v>10000</v>
      </c>
      <c r="D92" t="str">
        <f>IFERROR(INDEX(装备库!$A$2:$Y$1047,MATCH(ROW()-1,装备库!$AO$2:$AO$1046,0),COLUMN()),"")</f>
        <v>忆敬护手(10000破无)</v>
      </c>
      <c r="E92">
        <f>IFERROR(INDEX(装备库!$A$2:$Y$1047,MATCH(ROW()-1,装备库!$AO$2:$AO$1046,0),COLUMN()),"")</f>
        <v>489</v>
      </c>
      <c r="F92">
        <f>IFERROR(INDEX(装备库!$A$2:$Y$1047,MATCH(ROW()-1,装备库!$AO$2:$AO$1046,0),COLUMN()),"")</f>
        <v>793</v>
      </c>
      <c r="G92">
        <f>IFERROR(INDEX(装备库!$A$2:$Y$1047,MATCH(ROW()-1,装备库!$AO$2:$AO$1046,0),COLUMN()),"")</f>
        <v>0</v>
      </c>
      <c r="H92">
        <f>IFERROR(INDEX(装备库!$A$2:$Y$1047,MATCH(ROW()-1,装备库!$AO$2:$AO$1046,0),COLUMN()),"")</f>
        <v>0</v>
      </c>
      <c r="I92">
        <f>IFERROR(INDEX(装备库!$A$2:$Y$1047,MATCH(ROW()-1,装备库!$AO$2:$AO$1046,0),COLUMN()),"")</f>
        <v>2453</v>
      </c>
      <c r="J92">
        <f>IFERROR(INDEX(装备库!$A$2:$Y$1047,MATCH(ROW()-1,装备库!$AO$2:$AO$1046,0),COLUMN()),"")</f>
        <v>0</v>
      </c>
      <c r="K92">
        <f>IFERROR(INDEX(装备库!$A$2:$Y$1047,MATCH(ROW()-1,装备库!$AO$2:$AO$1046,0),COLUMN()),"")</f>
        <v>2180</v>
      </c>
      <c r="L92">
        <f>IFERROR(INDEX(装备库!$A$2:$Y$1047,MATCH(ROW()-1,装备库!$AO$2:$AO$1046,0),COLUMN()),"")</f>
        <v>0</v>
      </c>
      <c r="M92">
        <f>IFERROR(INDEX(装备库!$A$2:$Y$1047,MATCH(ROW()-1,装备库!$AO$2:$AO$1046,0),COLUMN()),"")</f>
        <v>0</v>
      </c>
      <c r="N92">
        <f>IFERROR(INDEX(装备库!$A$2:$Y$1047,MATCH(ROW()-1,装备库!$AO$2:$AO$1046,0),COLUMN()),"")</f>
        <v>0</v>
      </c>
      <c r="O92">
        <f>IFERROR(INDEX(装备库!$A$2:$Y$1047,MATCH(ROW()-1,装备库!$AO$2:$AO$1046,0),COLUMN()),"")</f>
        <v>1</v>
      </c>
      <c r="P92">
        <f>IFERROR(INDEX(装备库!$A$2:$Y$1047,MATCH(ROW()-1,装备库!$AO$2:$AO$1046,0),COLUMN()),"")</f>
        <v>0</v>
      </c>
      <c r="Q92">
        <f>IFERROR(INDEX(装备库!$A$2:$Y$1047,MATCH(ROW()-1,装备库!$AO$2:$AO$1046,0),COLUMN()),"")</f>
        <v>0</v>
      </c>
      <c r="R92">
        <f>IFERROR(INDEX(装备库!$A$2:$Y$1047,MATCH(ROW()-1,装备库!$AO$2:$AO$1046,0),COLUMN()),"")</f>
        <v>0</v>
      </c>
      <c r="S92">
        <f>IFERROR(INDEX(装备库!$A$2:$Y$1047,MATCH(ROW()-1,装备库!$AO$2:$AO$1046,0),COLUMN()),"")</f>
        <v>0</v>
      </c>
      <c r="T92">
        <f>IFERROR(INDEX(装备库!$A$2:$Y$1047,MATCH(ROW()-1,装备库!$AO$2:$AO$1046,0),COLUMN()),"")</f>
        <v>0</v>
      </c>
      <c r="U92">
        <f>IFERROR(INDEX(装备库!$A$2:$Y$1047,MATCH(ROW()-1,装备库!$AO$2:$AO$1046,0),COLUMN()),"")</f>
        <v>1</v>
      </c>
      <c r="V92">
        <f>IFERROR(INDEX(装备库!$A$2:$Y$1047,MATCH(ROW()-1,装备库!$AO$2:$AO$1046,0),COLUMN()),"")</f>
        <v>0</v>
      </c>
      <c r="W92" t="str">
        <f>IFERROR(INDEX(装备库!$A$2:$Y$1047,MATCH(ROW()-1,装备库!$AO$2:$AO$1046,0),COLUMN()),"")</f>
        <v>破无</v>
      </c>
      <c r="X92">
        <f>IFERROR(INDEX(装备库!$A$2:$Y$1047,MATCH(ROW()-1,装备库!$AO$2:$AO$1046,0),COLUMN()),"")</f>
        <v>6</v>
      </c>
      <c r="Y92" t="str">
        <f>IFERROR(INDEX(装备库!$A$2:$Y$1047,MATCH(ROW()-1,装备库!$AO$2:$AO$1046,0),COLUMN()),"")</f>
        <v>副本</v>
      </c>
    </row>
    <row r="93" spans="1:25" x14ac:dyDescent="0.35">
      <c r="A93" t="str">
        <f>IFERROR(INDEX(装备库!$A$2:$Y$1047,MATCH(ROW()-1,装备库!$AO$2:$AO$1046,0),COLUMN()),"")</f>
        <v>护手</v>
      </c>
      <c r="B93" t="str">
        <f>IFERROR(INDEX(装备库!$A$2:$Y$1047,MATCH(ROW()-1,装备库!$AO$2:$AO$1046,0),COLUMN()),"")</f>
        <v>拭江袖</v>
      </c>
      <c r="C93">
        <f>IFERROR(INDEX(装备库!$A$2:$Y$1047,MATCH(ROW()-1,装备库!$AO$2:$AO$1046,0),COLUMN()),"")</f>
        <v>10000</v>
      </c>
      <c r="D93" t="str">
        <f>IFERROR(INDEX(装备库!$A$2:$Y$1047,MATCH(ROW()-1,装备库!$AO$2:$AO$1046,0),COLUMN()),"")</f>
        <v>拭江袖(10000破无)</v>
      </c>
      <c r="E93">
        <f>IFERROR(INDEX(装备库!$A$2:$Y$1047,MATCH(ROW()-1,装备库!$AO$2:$AO$1046,0),COLUMN()),"")</f>
        <v>489</v>
      </c>
      <c r="F93">
        <f>IFERROR(INDEX(装备库!$A$2:$Y$1047,MATCH(ROW()-1,装备库!$AO$2:$AO$1046,0),COLUMN()),"")</f>
        <v>793</v>
      </c>
      <c r="G93">
        <f>IFERROR(INDEX(装备库!$A$2:$Y$1047,MATCH(ROW()-1,装备库!$AO$2:$AO$1046,0),COLUMN()),"")</f>
        <v>0</v>
      </c>
      <c r="H93">
        <f>IFERROR(INDEX(装备库!$A$2:$Y$1047,MATCH(ROW()-1,装备库!$AO$2:$AO$1046,0),COLUMN()),"")</f>
        <v>0</v>
      </c>
      <c r="I93">
        <f>IFERROR(INDEX(装备库!$A$2:$Y$1047,MATCH(ROW()-1,装备库!$AO$2:$AO$1046,0),COLUMN()),"")</f>
        <v>2453</v>
      </c>
      <c r="J93">
        <f>IFERROR(INDEX(装备库!$A$2:$Y$1047,MATCH(ROW()-1,装备库!$AO$2:$AO$1046,0),COLUMN()),"")</f>
        <v>0</v>
      </c>
      <c r="K93">
        <f>IFERROR(INDEX(装备库!$A$2:$Y$1047,MATCH(ROW()-1,装备库!$AO$2:$AO$1046,0),COLUMN()),"")</f>
        <v>2180</v>
      </c>
      <c r="L93">
        <f>IFERROR(INDEX(装备库!$A$2:$Y$1047,MATCH(ROW()-1,装备库!$AO$2:$AO$1046,0),COLUMN()),"")</f>
        <v>0</v>
      </c>
      <c r="M93">
        <f>IFERROR(INDEX(装备库!$A$2:$Y$1047,MATCH(ROW()-1,装备库!$AO$2:$AO$1046,0),COLUMN()),"")</f>
        <v>0</v>
      </c>
      <c r="N93">
        <f>IFERROR(INDEX(装备库!$A$2:$Y$1047,MATCH(ROW()-1,装备库!$AO$2:$AO$1046,0),COLUMN()),"")</f>
        <v>0</v>
      </c>
      <c r="O93">
        <f>IFERROR(INDEX(装备库!$A$2:$Y$1047,MATCH(ROW()-1,装备库!$AO$2:$AO$1046,0),COLUMN()),"")</f>
        <v>1</v>
      </c>
      <c r="P93">
        <f>IFERROR(INDEX(装备库!$A$2:$Y$1047,MATCH(ROW()-1,装备库!$AO$2:$AO$1046,0),COLUMN()),"")</f>
        <v>0</v>
      </c>
      <c r="Q93">
        <f>IFERROR(INDEX(装备库!$A$2:$Y$1047,MATCH(ROW()-1,装备库!$AO$2:$AO$1046,0),COLUMN()),"")</f>
        <v>0</v>
      </c>
      <c r="R93">
        <f>IFERROR(INDEX(装备库!$A$2:$Y$1047,MATCH(ROW()-1,装备库!$AO$2:$AO$1046,0),COLUMN()),"")</f>
        <v>0</v>
      </c>
      <c r="S93">
        <f>IFERROR(INDEX(装备库!$A$2:$Y$1047,MATCH(ROW()-1,装备库!$AO$2:$AO$1046,0),COLUMN()),"")</f>
        <v>0</v>
      </c>
      <c r="T93">
        <f>IFERROR(INDEX(装备库!$A$2:$Y$1047,MATCH(ROW()-1,装备库!$AO$2:$AO$1046,0),COLUMN()),"")</f>
        <v>0</v>
      </c>
      <c r="U93">
        <f>IFERROR(INDEX(装备库!$A$2:$Y$1047,MATCH(ROW()-1,装备库!$AO$2:$AO$1046,0),COLUMN()),"")</f>
        <v>1</v>
      </c>
      <c r="V93">
        <f>IFERROR(INDEX(装备库!$A$2:$Y$1047,MATCH(ROW()-1,装备库!$AO$2:$AO$1046,0),COLUMN()),"")</f>
        <v>0</v>
      </c>
      <c r="W93" t="str">
        <f>IFERROR(INDEX(装备库!$A$2:$Y$1047,MATCH(ROW()-1,装备库!$AO$2:$AO$1046,0),COLUMN()),"")</f>
        <v>破无</v>
      </c>
      <c r="X93">
        <f>IFERROR(INDEX(装备库!$A$2:$Y$1047,MATCH(ROW()-1,装备库!$AO$2:$AO$1046,0),COLUMN()),"")</f>
        <v>6</v>
      </c>
      <c r="Y93" t="str">
        <f>IFERROR(INDEX(装备库!$A$2:$Y$1047,MATCH(ROW()-1,装备库!$AO$2:$AO$1046,0),COLUMN()),"")</f>
        <v>副本</v>
      </c>
    </row>
    <row r="94" spans="1:25" x14ac:dyDescent="0.35">
      <c r="A94" t="str">
        <f>IFERROR(INDEX(装备库!$A$2:$Y$1047,MATCH(ROW()-1,装备库!$AO$2:$AO$1046,0),COLUMN()),"")</f>
        <v>护手</v>
      </c>
      <c r="B94" t="str">
        <f>IFERROR(INDEX(装备库!$A$2:$Y$1047,MATCH(ROW()-1,装备库!$AO$2:$AO$1046,0),COLUMN()),"")</f>
        <v>【门派套装】展锋·望云护手</v>
      </c>
      <c r="C94">
        <f>IFERROR(INDEX(装备库!$A$2:$Y$1047,MATCH(ROW()-1,装备库!$AO$2:$AO$1046,0),COLUMN()),"")</f>
        <v>10000</v>
      </c>
      <c r="D94" t="str">
        <f>IFERROR(INDEX(装备库!$A$2:$Y$1047,MATCH(ROW()-1,装备库!$AO$2:$AO$1046,0),COLUMN()),"")</f>
        <v>【门派套装】展锋·望云护手(10000会招)</v>
      </c>
      <c r="E94">
        <f>IFERROR(INDEX(装备库!$A$2:$Y$1047,MATCH(ROW()-1,装备库!$AO$2:$AO$1046,0),COLUMN()),"")</f>
        <v>489</v>
      </c>
      <c r="F94">
        <f>IFERROR(INDEX(装备库!$A$2:$Y$1047,MATCH(ROW()-1,装备库!$AO$2:$AO$1046,0),COLUMN()),"")</f>
        <v>793</v>
      </c>
      <c r="G94">
        <f>IFERROR(INDEX(装备库!$A$2:$Y$1047,MATCH(ROW()-1,装备库!$AO$2:$AO$1046,0),COLUMN()),"")</f>
        <v>2453</v>
      </c>
      <c r="H94">
        <f>IFERROR(INDEX(装备库!$A$2:$Y$1047,MATCH(ROW()-1,装备库!$AO$2:$AO$1046,0),COLUMN()),"")</f>
        <v>0</v>
      </c>
      <c r="I94">
        <f>IFERROR(INDEX(装备库!$A$2:$Y$1047,MATCH(ROW()-1,装备库!$AO$2:$AO$1046,0),COLUMN()),"")</f>
        <v>0</v>
      </c>
      <c r="J94">
        <f>IFERROR(INDEX(装备库!$A$2:$Y$1047,MATCH(ROW()-1,装备库!$AO$2:$AO$1046,0),COLUMN()),"")</f>
        <v>2180</v>
      </c>
      <c r="K94">
        <f>IFERROR(INDEX(装备库!$A$2:$Y$1047,MATCH(ROW()-1,装备库!$AO$2:$AO$1046,0),COLUMN()),"")</f>
        <v>0</v>
      </c>
      <c r="L94">
        <f>IFERROR(INDEX(装备库!$A$2:$Y$1047,MATCH(ROW()-1,装备库!$AO$2:$AO$1046,0),COLUMN()),"")</f>
        <v>0</v>
      </c>
      <c r="M94">
        <f>IFERROR(INDEX(装备库!$A$2:$Y$1047,MATCH(ROW()-1,装备库!$AO$2:$AO$1046,0),COLUMN()),"")</f>
        <v>0</v>
      </c>
      <c r="N94">
        <f>IFERROR(INDEX(装备库!$A$2:$Y$1047,MATCH(ROW()-1,装备库!$AO$2:$AO$1046,0),COLUMN()),"")</f>
        <v>0</v>
      </c>
      <c r="O94">
        <f>IFERROR(INDEX(装备库!$A$2:$Y$1047,MATCH(ROW()-1,装备库!$AO$2:$AO$1046,0),COLUMN()),"")</f>
        <v>1</v>
      </c>
      <c r="P94">
        <f>IFERROR(INDEX(装备库!$A$2:$Y$1047,MATCH(ROW()-1,装备库!$AO$2:$AO$1046,0),COLUMN()),"")</f>
        <v>1</v>
      </c>
      <c r="Q94">
        <f>IFERROR(INDEX(装备库!$A$2:$Y$1047,MATCH(ROW()-1,装备库!$AO$2:$AO$1046,0),COLUMN()),"")</f>
        <v>0</v>
      </c>
      <c r="R94">
        <f>IFERROR(INDEX(装备库!$A$2:$Y$1047,MATCH(ROW()-1,装备库!$AO$2:$AO$1046,0),COLUMN()),"")</f>
        <v>0</v>
      </c>
      <c r="S94">
        <f>IFERROR(INDEX(装备库!$A$2:$Y$1047,MATCH(ROW()-1,装备库!$AO$2:$AO$1046,0),COLUMN()),"")</f>
        <v>0</v>
      </c>
      <c r="T94">
        <f>IFERROR(INDEX(装备库!$A$2:$Y$1047,MATCH(ROW()-1,装备库!$AO$2:$AO$1046,0),COLUMN()),"")</f>
        <v>0</v>
      </c>
      <c r="U94">
        <f>IFERROR(INDEX(装备库!$A$2:$Y$1047,MATCH(ROW()-1,装备库!$AO$2:$AO$1046,0),COLUMN()),"")</f>
        <v>0</v>
      </c>
      <c r="V94">
        <f>IFERROR(INDEX(装备库!$A$2:$Y$1047,MATCH(ROW()-1,装备库!$AO$2:$AO$1046,0),COLUMN()),"")</f>
        <v>0</v>
      </c>
      <c r="W94" t="str">
        <f>IFERROR(INDEX(装备库!$A$2:$Y$1047,MATCH(ROW()-1,装备库!$AO$2:$AO$1046,0),COLUMN()),"")</f>
        <v>会招</v>
      </c>
      <c r="X94">
        <f>IFERROR(INDEX(装备库!$A$2:$Y$1047,MATCH(ROW()-1,装备库!$AO$2:$AO$1046,0),COLUMN()),"")</f>
        <v>6</v>
      </c>
      <c r="Y94" t="str">
        <f>IFERROR(INDEX(装备库!$A$2:$Y$1047,MATCH(ROW()-1,装备库!$AO$2:$AO$1046,0),COLUMN()),"")</f>
        <v>兑换牌</v>
      </c>
    </row>
    <row r="95" spans="1:25" x14ac:dyDescent="0.35">
      <c r="A95" t="str">
        <f>IFERROR(INDEX(装备库!$A$2:$Y$1047,MATCH(ROW()-1,装备库!$AO$2:$AO$1046,0),COLUMN()),"")</f>
        <v>护手</v>
      </c>
      <c r="B95" t="str">
        <f>IFERROR(INDEX(装备库!$A$2:$Y$1047,MATCH(ROW()-1,装备库!$AO$2:$AO$1046,0),COLUMN()),"")</f>
        <v>沉龙荡波·淘浪护手</v>
      </c>
      <c r="C95">
        <f>IFERROR(INDEX(装备库!$A$2:$Y$1047,MATCH(ROW()-1,装备库!$AO$2:$AO$1046,0),COLUMN()),"")</f>
        <v>10000</v>
      </c>
      <c r="D95" t="str">
        <f>IFERROR(INDEX(装备库!$A$2:$Y$1047,MATCH(ROW()-1,装备库!$AO$2:$AO$1046,0),COLUMN()),"")</f>
        <v>沉龙荡波·淘浪护手(10000会招)</v>
      </c>
      <c r="E95">
        <f>IFERROR(INDEX(装备库!$A$2:$Y$1047,MATCH(ROW()-1,装备库!$AO$2:$AO$1046,0),COLUMN()),"")</f>
        <v>489</v>
      </c>
      <c r="F95">
        <f>IFERROR(INDEX(装备库!$A$2:$Y$1047,MATCH(ROW()-1,装备库!$AO$2:$AO$1046,0),COLUMN()),"")</f>
        <v>793</v>
      </c>
      <c r="G95">
        <f>IFERROR(INDEX(装备库!$A$2:$Y$1047,MATCH(ROW()-1,装备库!$AO$2:$AO$1046,0),COLUMN()),"")</f>
        <v>2453</v>
      </c>
      <c r="H95">
        <f>IFERROR(INDEX(装备库!$A$2:$Y$1047,MATCH(ROW()-1,装备库!$AO$2:$AO$1046,0),COLUMN()),"")</f>
        <v>0</v>
      </c>
      <c r="I95">
        <f>IFERROR(INDEX(装备库!$A$2:$Y$1047,MATCH(ROW()-1,装备库!$AO$2:$AO$1046,0),COLUMN()),"")</f>
        <v>0</v>
      </c>
      <c r="J95">
        <f>IFERROR(INDEX(装备库!$A$2:$Y$1047,MATCH(ROW()-1,装备库!$AO$2:$AO$1046,0),COLUMN()),"")</f>
        <v>2180</v>
      </c>
      <c r="K95">
        <f>IFERROR(INDEX(装备库!$A$2:$Y$1047,MATCH(ROW()-1,装备库!$AO$2:$AO$1046,0),COLUMN()),"")</f>
        <v>0</v>
      </c>
      <c r="L95">
        <f>IFERROR(INDEX(装备库!$A$2:$Y$1047,MATCH(ROW()-1,装备库!$AO$2:$AO$1046,0),COLUMN()),"")</f>
        <v>0</v>
      </c>
      <c r="M95">
        <f>IFERROR(INDEX(装备库!$A$2:$Y$1047,MATCH(ROW()-1,装备库!$AO$2:$AO$1046,0),COLUMN()),"")</f>
        <v>0</v>
      </c>
      <c r="N95">
        <f>IFERROR(INDEX(装备库!$A$2:$Y$1047,MATCH(ROW()-1,装备库!$AO$2:$AO$1046,0),COLUMN()),"")</f>
        <v>0</v>
      </c>
      <c r="O95">
        <f>IFERROR(INDEX(装备库!$A$2:$Y$1047,MATCH(ROW()-1,装备库!$AO$2:$AO$1046,0),COLUMN()),"")</f>
        <v>1</v>
      </c>
      <c r="P95">
        <f>IFERROR(INDEX(装备库!$A$2:$Y$1047,MATCH(ROW()-1,装备库!$AO$2:$AO$1046,0),COLUMN()),"")</f>
        <v>1</v>
      </c>
      <c r="Q95">
        <f>IFERROR(INDEX(装备库!$A$2:$Y$1047,MATCH(ROW()-1,装备库!$AO$2:$AO$1046,0),COLUMN()),"")</f>
        <v>0</v>
      </c>
      <c r="R95">
        <f>IFERROR(INDEX(装备库!$A$2:$Y$1047,MATCH(ROW()-1,装备库!$AO$2:$AO$1046,0),COLUMN()),"")</f>
        <v>0</v>
      </c>
      <c r="S95">
        <f>IFERROR(INDEX(装备库!$A$2:$Y$1047,MATCH(ROW()-1,装备库!$AO$2:$AO$1046,0),COLUMN()),"")</f>
        <v>0</v>
      </c>
      <c r="T95">
        <f>IFERROR(INDEX(装备库!$A$2:$Y$1047,MATCH(ROW()-1,装备库!$AO$2:$AO$1046,0),COLUMN()),"")</f>
        <v>0</v>
      </c>
      <c r="U95">
        <f>IFERROR(INDEX(装备库!$A$2:$Y$1047,MATCH(ROW()-1,装备库!$AO$2:$AO$1046,0),COLUMN()),"")</f>
        <v>0</v>
      </c>
      <c r="V95">
        <f>IFERROR(INDEX(装备库!$A$2:$Y$1047,MATCH(ROW()-1,装备库!$AO$2:$AO$1046,0),COLUMN()),"")</f>
        <v>0</v>
      </c>
      <c r="W95" t="str">
        <f>IFERROR(INDEX(装备库!$A$2:$Y$1047,MATCH(ROW()-1,装备库!$AO$2:$AO$1046,0),COLUMN()),"")</f>
        <v>会招</v>
      </c>
      <c r="X95">
        <f>IFERROR(INDEX(装备库!$A$2:$Y$1047,MATCH(ROW()-1,装备库!$AO$2:$AO$1046,0),COLUMN()),"")</f>
        <v>6</v>
      </c>
      <c r="Y95" t="str">
        <f>IFERROR(INDEX(装备库!$A$2:$Y$1047,MATCH(ROW()-1,装备库!$AO$2:$AO$1046,0),COLUMN()),"")</f>
        <v>飞沙令</v>
      </c>
    </row>
    <row r="96" spans="1:25" x14ac:dyDescent="0.35">
      <c r="A96" t="str">
        <f>IFERROR(INDEX(装备库!$A$2:$Y$1047,MATCH(ROW()-1,装备库!$AO$2:$AO$1046,0),COLUMN()),"")</f>
        <v>护手</v>
      </c>
      <c r="B96" t="str">
        <f>IFERROR(INDEX(装备库!$A$2:$Y$1047,MATCH(ROW()-1,装备库!$AO$2:$AO$1046,0),COLUMN()),"")</f>
        <v>项昌袖</v>
      </c>
      <c r="C96">
        <f>IFERROR(INDEX(装备库!$A$2:$Y$1047,MATCH(ROW()-1,装备库!$AO$2:$AO$1046,0),COLUMN()),"")</f>
        <v>10000</v>
      </c>
      <c r="D96" t="str">
        <f>IFERROR(INDEX(装备库!$A$2:$Y$1047,MATCH(ROW()-1,装备库!$AO$2:$AO$1046,0),COLUMN()),"")</f>
        <v>项昌袖(10000会无)</v>
      </c>
      <c r="E96">
        <f>IFERROR(INDEX(装备库!$A$2:$Y$1047,MATCH(ROW()-1,装备库!$AO$2:$AO$1046,0),COLUMN()),"")</f>
        <v>489</v>
      </c>
      <c r="F96">
        <f>IFERROR(INDEX(装备库!$A$2:$Y$1047,MATCH(ROW()-1,装备库!$AO$2:$AO$1046,0),COLUMN()),"")</f>
        <v>793</v>
      </c>
      <c r="G96">
        <f>IFERROR(INDEX(装备库!$A$2:$Y$1047,MATCH(ROW()-1,装备库!$AO$2:$AO$1046,0),COLUMN()),"")</f>
        <v>2453</v>
      </c>
      <c r="H96">
        <f>IFERROR(INDEX(装备库!$A$2:$Y$1047,MATCH(ROW()-1,装备库!$AO$2:$AO$1046,0),COLUMN()),"")</f>
        <v>0</v>
      </c>
      <c r="I96">
        <f>IFERROR(INDEX(装备库!$A$2:$Y$1047,MATCH(ROW()-1,装备库!$AO$2:$AO$1046,0),COLUMN()),"")</f>
        <v>0</v>
      </c>
      <c r="J96">
        <f>IFERROR(INDEX(装备库!$A$2:$Y$1047,MATCH(ROW()-1,装备库!$AO$2:$AO$1046,0),COLUMN()),"")</f>
        <v>0</v>
      </c>
      <c r="K96">
        <f>IFERROR(INDEX(装备库!$A$2:$Y$1047,MATCH(ROW()-1,装备库!$AO$2:$AO$1046,0),COLUMN()),"")</f>
        <v>2180</v>
      </c>
      <c r="L96">
        <f>IFERROR(INDEX(装备库!$A$2:$Y$1047,MATCH(ROW()-1,装备库!$AO$2:$AO$1046,0),COLUMN()),"")</f>
        <v>0</v>
      </c>
      <c r="M96">
        <f>IFERROR(INDEX(装备库!$A$2:$Y$1047,MATCH(ROW()-1,装备库!$AO$2:$AO$1046,0),COLUMN()),"")</f>
        <v>0</v>
      </c>
      <c r="N96">
        <f>IFERROR(INDEX(装备库!$A$2:$Y$1047,MATCH(ROW()-1,装备库!$AO$2:$AO$1046,0),COLUMN()),"")</f>
        <v>0</v>
      </c>
      <c r="O96">
        <f>IFERROR(INDEX(装备库!$A$2:$Y$1047,MATCH(ROW()-1,装备库!$AO$2:$AO$1046,0),COLUMN()),"")</f>
        <v>0</v>
      </c>
      <c r="P96">
        <f>IFERROR(INDEX(装备库!$A$2:$Y$1047,MATCH(ROW()-1,装备库!$AO$2:$AO$1046,0),COLUMN()),"")</f>
        <v>1</v>
      </c>
      <c r="Q96">
        <f>IFERROR(INDEX(装备库!$A$2:$Y$1047,MATCH(ROW()-1,装备库!$AO$2:$AO$1046,0),COLUMN()),"")</f>
        <v>1</v>
      </c>
      <c r="R96">
        <f>IFERROR(INDEX(装备库!$A$2:$Y$1047,MATCH(ROW()-1,装备库!$AO$2:$AO$1046,0),COLUMN()),"")</f>
        <v>0</v>
      </c>
      <c r="S96">
        <f>IFERROR(INDEX(装备库!$A$2:$Y$1047,MATCH(ROW()-1,装备库!$AO$2:$AO$1046,0),COLUMN()),"")</f>
        <v>0</v>
      </c>
      <c r="T96">
        <f>IFERROR(INDEX(装备库!$A$2:$Y$1047,MATCH(ROW()-1,装备库!$AO$2:$AO$1046,0),COLUMN()),"")</f>
        <v>0</v>
      </c>
      <c r="U96">
        <f>IFERROR(INDEX(装备库!$A$2:$Y$1047,MATCH(ROW()-1,装备库!$AO$2:$AO$1046,0),COLUMN()),"")</f>
        <v>0</v>
      </c>
      <c r="V96">
        <f>IFERROR(INDEX(装备库!$A$2:$Y$1047,MATCH(ROW()-1,装备库!$AO$2:$AO$1046,0),COLUMN()),"")</f>
        <v>0</v>
      </c>
      <c r="W96" t="str">
        <f>IFERROR(INDEX(装备库!$A$2:$Y$1047,MATCH(ROW()-1,装备库!$AO$2:$AO$1046,0),COLUMN()),"")</f>
        <v>会无</v>
      </c>
      <c r="X96">
        <f>IFERROR(INDEX(装备库!$A$2:$Y$1047,MATCH(ROW()-1,装备库!$AO$2:$AO$1046,0),COLUMN()),"")</f>
        <v>6</v>
      </c>
      <c r="Y96" t="str">
        <f>IFERROR(INDEX(装备库!$A$2:$Y$1047,MATCH(ROW()-1,装备库!$AO$2:$AO$1046,0),COLUMN()),"")</f>
        <v>副本</v>
      </c>
    </row>
    <row r="97" spans="1:25" x14ac:dyDescent="0.35">
      <c r="A97" t="str">
        <f>IFERROR(INDEX(装备库!$A$2:$Y$1047,MATCH(ROW()-1,装备库!$AO$2:$AO$1046,0),COLUMN()),"")</f>
        <v>护手</v>
      </c>
      <c r="B97" t="str">
        <f>IFERROR(INDEX(装备库!$A$2:$Y$1047,MATCH(ROW()-1,装备库!$AO$2:$AO$1046,0),COLUMN()),"")</f>
        <v>无封护臂</v>
      </c>
      <c r="C97">
        <f>IFERROR(INDEX(装备库!$A$2:$Y$1047,MATCH(ROW()-1,装备库!$AO$2:$AO$1046,0),COLUMN()),"")</f>
        <v>10000</v>
      </c>
      <c r="D97" t="str">
        <f>IFERROR(INDEX(装备库!$A$2:$Y$1047,MATCH(ROW()-1,装备库!$AO$2:$AO$1046,0),COLUMN()),"")</f>
        <v>无封护臂(10000精简攻会破)</v>
      </c>
      <c r="E97">
        <f>IFERROR(INDEX(装备库!$A$2:$Y$1047,MATCH(ROW()-1,装备库!$AO$2:$AO$1046,0),COLUMN()),"")</f>
        <v>0</v>
      </c>
      <c r="F97">
        <f>IFERROR(INDEX(装备库!$A$2:$Y$1047,MATCH(ROW()-1,装备库!$AO$2:$AO$1046,0),COLUMN()),"")</f>
        <v>1769</v>
      </c>
      <c r="G97">
        <f>IFERROR(INDEX(装备库!$A$2:$Y$1047,MATCH(ROW()-1,装备库!$AO$2:$AO$1046,0),COLUMN()),"")</f>
        <v>2725</v>
      </c>
      <c r="H97">
        <f>IFERROR(INDEX(装备库!$A$2:$Y$1047,MATCH(ROW()-1,装备库!$AO$2:$AO$1046,0),COLUMN()),"")</f>
        <v>0</v>
      </c>
      <c r="I97">
        <f>IFERROR(INDEX(装备库!$A$2:$Y$1047,MATCH(ROW()-1,装备库!$AO$2:$AO$1046,0),COLUMN()),"")</f>
        <v>2725</v>
      </c>
      <c r="J97">
        <f>IFERROR(INDEX(装备库!$A$2:$Y$1047,MATCH(ROW()-1,装备库!$AO$2:$AO$1046,0),COLUMN()),"")</f>
        <v>0</v>
      </c>
      <c r="K97">
        <f>IFERROR(INDEX(装备库!$A$2:$Y$1047,MATCH(ROW()-1,装备库!$AO$2:$AO$1046,0),COLUMN()),"")</f>
        <v>0</v>
      </c>
      <c r="L97">
        <f>IFERROR(INDEX(装备库!$A$2:$Y$1047,MATCH(ROW()-1,装备库!$AO$2:$AO$1046,0),COLUMN()),"")</f>
        <v>0</v>
      </c>
      <c r="M97">
        <f>IFERROR(INDEX(装备库!$A$2:$Y$1047,MATCH(ROW()-1,装备库!$AO$2:$AO$1046,0),COLUMN()),"")</f>
        <v>0</v>
      </c>
      <c r="N97">
        <f>IFERROR(INDEX(装备库!$A$2:$Y$1047,MATCH(ROW()-1,装备库!$AO$2:$AO$1046,0),COLUMN()),"")</f>
        <v>0</v>
      </c>
      <c r="O97">
        <f>IFERROR(INDEX(装备库!$A$2:$Y$1047,MATCH(ROW()-1,装备库!$AO$2:$AO$1046,0),COLUMN()),"")</f>
        <v>0</v>
      </c>
      <c r="P97">
        <f>IFERROR(INDEX(装备库!$A$2:$Y$1047,MATCH(ROW()-1,装备库!$AO$2:$AO$1046,0),COLUMN()),"")</f>
        <v>1</v>
      </c>
      <c r="Q97">
        <f>IFERROR(INDEX(装备库!$A$2:$Y$1047,MATCH(ROW()-1,装备库!$AO$2:$AO$1046,0),COLUMN()),"")</f>
        <v>0</v>
      </c>
      <c r="R97">
        <f>IFERROR(INDEX(装备库!$A$2:$Y$1047,MATCH(ROW()-1,装备库!$AO$2:$AO$1046,0),COLUMN()),"")</f>
        <v>0</v>
      </c>
      <c r="S97">
        <f>IFERROR(INDEX(装备库!$A$2:$Y$1047,MATCH(ROW()-1,装备库!$AO$2:$AO$1046,0),COLUMN()),"")</f>
        <v>0</v>
      </c>
      <c r="T97">
        <f>IFERROR(INDEX(装备库!$A$2:$Y$1047,MATCH(ROW()-1,装备库!$AO$2:$AO$1046,0),COLUMN()),"")</f>
        <v>1</v>
      </c>
      <c r="U97">
        <f>IFERROR(INDEX(装备库!$A$2:$Y$1047,MATCH(ROW()-1,装备库!$AO$2:$AO$1046,0),COLUMN()),"")</f>
        <v>0</v>
      </c>
      <c r="V97">
        <f>IFERROR(INDEX(装备库!$A$2:$Y$1047,MATCH(ROW()-1,装备库!$AO$2:$AO$1046,0),COLUMN()),"")</f>
        <v>0</v>
      </c>
      <c r="W97" t="str">
        <f>IFERROR(INDEX(装备库!$A$2:$Y$1047,MATCH(ROW()-1,装备库!$AO$2:$AO$1046,0),COLUMN()),"")</f>
        <v>精简攻会破</v>
      </c>
      <c r="X97">
        <f>IFERROR(INDEX(装备库!$A$2:$Y$1047,MATCH(ROW()-1,装备库!$AO$2:$AO$1046,0),COLUMN()),"")</f>
        <v>3</v>
      </c>
      <c r="Y97" t="str">
        <f>IFERROR(INDEX(装备库!$A$2:$Y$1047,MATCH(ROW()-1,装备库!$AO$2:$AO$1046,0),COLUMN()),"")</f>
        <v>活动</v>
      </c>
    </row>
    <row r="98" spans="1:25" x14ac:dyDescent="0.35">
      <c r="A98" t="str">
        <f>IFERROR(INDEX(装备库!$A$2:$Y$1047,MATCH(ROW()-1,装备库!$AO$2:$AO$1046,0),COLUMN()),"")</f>
        <v>护手</v>
      </c>
      <c r="B98" t="str">
        <f>IFERROR(INDEX(装备库!$A$2:$Y$1047,MATCH(ROW()-1,装备库!$AO$2:$AO$1046,0),COLUMN()),"")</f>
        <v>无封护臂</v>
      </c>
      <c r="C98">
        <f>IFERROR(INDEX(装备库!$A$2:$Y$1047,MATCH(ROW()-1,装备库!$AO$2:$AO$1046,0),COLUMN()),"")</f>
        <v>10000</v>
      </c>
      <c r="D98" t="str">
        <f>IFERROR(INDEX(装备库!$A$2:$Y$1047,MATCH(ROW()-1,装备库!$AO$2:$AO$1046,0),COLUMN()),"")</f>
        <v>无封护臂(10000精简攻会会破)</v>
      </c>
      <c r="E98">
        <f>IFERROR(INDEX(装备库!$A$2:$Y$1047,MATCH(ROW()-1,装备库!$AO$2:$AO$1046,0),COLUMN()),"")</f>
        <v>0</v>
      </c>
      <c r="F98">
        <f>IFERROR(INDEX(装备库!$A$2:$Y$1047,MATCH(ROW()-1,装备库!$AO$2:$AO$1046,0),COLUMN()),"")</f>
        <v>1769</v>
      </c>
      <c r="G98">
        <f>IFERROR(INDEX(装备库!$A$2:$Y$1047,MATCH(ROW()-1,装备库!$AO$2:$AO$1046,0),COLUMN()),"")</f>
        <v>2044</v>
      </c>
      <c r="H98">
        <f>IFERROR(INDEX(装备库!$A$2:$Y$1047,MATCH(ROW()-1,装备库!$AO$2:$AO$1046,0),COLUMN()),"")</f>
        <v>1363</v>
      </c>
      <c r="I98">
        <f>IFERROR(INDEX(装备库!$A$2:$Y$1047,MATCH(ROW()-1,装备库!$AO$2:$AO$1046,0),COLUMN()),"")</f>
        <v>1908</v>
      </c>
      <c r="J98">
        <f>IFERROR(INDEX(装备库!$A$2:$Y$1047,MATCH(ROW()-1,装备库!$AO$2:$AO$1046,0),COLUMN()),"")</f>
        <v>0</v>
      </c>
      <c r="K98">
        <f>IFERROR(INDEX(装备库!$A$2:$Y$1047,MATCH(ROW()-1,装备库!$AO$2:$AO$1046,0),COLUMN()),"")</f>
        <v>0</v>
      </c>
      <c r="L98">
        <f>IFERROR(INDEX(装备库!$A$2:$Y$1047,MATCH(ROW()-1,装备库!$AO$2:$AO$1046,0),COLUMN()),"")</f>
        <v>0</v>
      </c>
      <c r="M98">
        <f>IFERROR(INDEX(装备库!$A$2:$Y$1047,MATCH(ROW()-1,装备库!$AO$2:$AO$1046,0),COLUMN()),"")</f>
        <v>0</v>
      </c>
      <c r="N98">
        <f>IFERROR(INDEX(装备库!$A$2:$Y$1047,MATCH(ROW()-1,装备库!$AO$2:$AO$1046,0),COLUMN()),"")</f>
        <v>0</v>
      </c>
      <c r="O98">
        <f>IFERROR(INDEX(装备库!$A$2:$Y$1047,MATCH(ROW()-1,装备库!$AO$2:$AO$1046,0),COLUMN()),"")</f>
        <v>0</v>
      </c>
      <c r="P98">
        <f>IFERROR(INDEX(装备库!$A$2:$Y$1047,MATCH(ROW()-1,装备库!$AO$2:$AO$1046,0),COLUMN()),"")</f>
        <v>0</v>
      </c>
      <c r="Q98">
        <f>IFERROR(INDEX(装备库!$A$2:$Y$1047,MATCH(ROW()-1,装备库!$AO$2:$AO$1046,0),COLUMN()),"")</f>
        <v>0</v>
      </c>
      <c r="R98">
        <f>IFERROR(INDEX(装备库!$A$2:$Y$1047,MATCH(ROW()-1,装备库!$AO$2:$AO$1046,0),COLUMN()),"")</f>
        <v>0</v>
      </c>
      <c r="S98">
        <f>IFERROR(INDEX(装备库!$A$2:$Y$1047,MATCH(ROW()-1,装备库!$AO$2:$AO$1046,0),COLUMN()),"")</f>
        <v>1</v>
      </c>
      <c r="T98">
        <f>IFERROR(INDEX(装备库!$A$2:$Y$1047,MATCH(ROW()-1,装备库!$AO$2:$AO$1046,0),COLUMN()),"")</f>
        <v>1</v>
      </c>
      <c r="U98">
        <f>IFERROR(INDEX(装备库!$A$2:$Y$1047,MATCH(ROW()-1,装备库!$AO$2:$AO$1046,0),COLUMN()),"")</f>
        <v>0</v>
      </c>
      <c r="V98">
        <f>IFERROR(INDEX(装备库!$A$2:$Y$1047,MATCH(ROW()-1,装备库!$AO$2:$AO$1046,0),COLUMN()),"")</f>
        <v>0</v>
      </c>
      <c r="W98" t="str">
        <f>IFERROR(INDEX(装备库!$A$2:$Y$1047,MATCH(ROW()-1,装备库!$AO$2:$AO$1046,0),COLUMN()),"")</f>
        <v>精简攻会会破</v>
      </c>
      <c r="X98">
        <f>IFERROR(INDEX(装备库!$A$2:$Y$1047,MATCH(ROW()-1,装备库!$AO$2:$AO$1046,0),COLUMN()),"")</f>
        <v>3</v>
      </c>
      <c r="Y98" t="str">
        <f>IFERROR(INDEX(装备库!$A$2:$Y$1047,MATCH(ROW()-1,装备库!$AO$2:$AO$1046,0),COLUMN()),"")</f>
        <v>活动</v>
      </c>
    </row>
    <row r="99" spans="1:25" x14ac:dyDescent="0.35">
      <c r="A99" t="str">
        <f>IFERROR(INDEX(装备库!$A$2:$Y$1047,MATCH(ROW()-1,装备库!$AO$2:$AO$1046,0),COLUMN()),"")</f>
        <v>护手</v>
      </c>
      <c r="B99" t="str">
        <f>IFERROR(INDEX(装备库!$A$2:$Y$1047,MATCH(ROW()-1,装备库!$AO$2:$AO$1046,0),COLUMN()),"")</f>
        <v>无封护臂</v>
      </c>
      <c r="C99">
        <f>IFERROR(INDEX(装备库!$A$2:$Y$1047,MATCH(ROW()-1,装备库!$AO$2:$AO$1046,0),COLUMN()),"")</f>
        <v>10000</v>
      </c>
      <c r="D99" t="str">
        <f>IFERROR(INDEX(装备库!$A$2:$Y$1047,MATCH(ROW()-1,装备库!$AO$2:$AO$1046,0),COLUMN()),"")</f>
        <v>无封护臂(10000精简攻会)</v>
      </c>
      <c r="E99">
        <f>IFERROR(INDEX(装备库!$A$2:$Y$1047,MATCH(ROW()-1,装备库!$AO$2:$AO$1046,0),COLUMN()),"")</f>
        <v>0</v>
      </c>
      <c r="F99">
        <f>IFERROR(INDEX(装备库!$A$2:$Y$1047,MATCH(ROW()-1,装备库!$AO$2:$AO$1046,0),COLUMN()),"")</f>
        <v>2074</v>
      </c>
      <c r="G99">
        <f>IFERROR(INDEX(装备库!$A$2:$Y$1047,MATCH(ROW()-1,装备库!$AO$2:$AO$1046,0),COLUMN()),"")</f>
        <v>4701</v>
      </c>
      <c r="H99">
        <f>IFERROR(INDEX(装备库!$A$2:$Y$1047,MATCH(ROW()-1,装备库!$AO$2:$AO$1046,0),COLUMN()),"")</f>
        <v>0</v>
      </c>
      <c r="I99">
        <f>IFERROR(INDEX(装备库!$A$2:$Y$1047,MATCH(ROW()-1,装备库!$AO$2:$AO$1046,0),COLUMN()),"")</f>
        <v>0</v>
      </c>
      <c r="J99">
        <f>IFERROR(INDEX(装备库!$A$2:$Y$1047,MATCH(ROW()-1,装备库!$AO$2:$AO$1046,0),COLUMN()),"")</f>
        <v>0</v>
      </c>
      <c r="K99">
        <f>IFERROR(INDEX(装备库!$A$2:$Y$1047,MATCH(ROW()-1,装备库!$AO$2:$AO$1046,0),COLUMN()),"")</f>
        <v>0</v>
      </c>
      <c r="L99">
        <f>IFERROR(INDEX(装备库!$A$2:$Y$1047,MATCH(ROW()-1,装备库!$AO$2:$AO$1046,0),COLUMN()),"")</f>
        <v>0</v>
      </c>
      <c r="M99">
        <f>IFERROR(INDEX(装备库!$A$2:$Y$1047,MATCH(ROW()-1,装备库!$AO$2:$AO$1046,0),COLUMN()),"")</f>
        <v>0</v>
      </c>
      <c r="N99">
        <f>IFERROR(INDEX(装备库!$A$2:$Y$1047,MATCH(ROW()-1,装备库!$AO$2:$AO$1046,0),COLUMN()),"")</f>
        <v>0</v>
      </c>
      <c r="O99">
        <f>IFERROR(INDEX(装备库!$A$2:$Y$1047,MATCH(ROW()-1,装备库!$AO$2:$AO$1046,0),COLUMN()),"")</f>
        <v>0</v>
      </c>
      <c r="P99">
        <f>IFERROR(INDEX(装备库!$A$2:$Y$1047,MATCH(ROW()-1,装备库!$AO$2:$AO$1046,0),COLUMN()),"")</f>
        <v>0</v>
      </c>
      <c r="Q99">
        <f>IFERROR(INDEX(装备库!$A$2:$Y$1047,MATCH(ROW()-1,装备库!$AO$2:$AO$1046,0),COLUMN()),"")</f>
        <v>1</v>
      </c>
      <c r="R99">
        <f>IFERROR(INDEX(装备库!$A$2:$Y$1047,MATCH(ROW()-1,装备库!$AO$2:$AO$1046,0),COLUMN()),"")</f>
        <v>1</v>
      </c>
      <c r="S99">
        <f>IFERROR(INDEX(装备库!$A$2:$Y$1047,MATCH(ROW()-1,装备库!$AO$2:$AO$1046,0),COLUMN()),"")</f>
        <v>0</v>
      </c>
      <c r="T99">
        <f>IFERROR(INDEX(装备库!$A$2:$Y$1047,MATCH(ROW()-1,装备库!$AO$2:$AO$1046,0),COLUMN()),"")</f>
        <v>0</v>
      </c>
      <c r="U99">
        <f>IFERROR(INDEX(装备库!$A$2:$Y$1047,MATCH(ROW()-1,装备库!$AO$2:$AO$1046,0),COLUMN()),"")</f>
        <v>0</v>
      </c>
      <c r="V99">
        <f>IFERROR(INDEX(装备库!$A$2:$Y$1047,MATCH(ROW()-1,装备库!$AO$2:$AO$1046,0),COLUMN()),"")</f>
        <v>0</v>
      </c>
      <c r="W99" t="str">
        <f>IFERROR(INDEX(装备库!$A$2:$Y$1047,MATCH(ROW()-1,装备库!$AO$2:$AO$1046,0),COLUMN()),"")</f>
        <v>精简攻会</v>
      </c>
      <c r="X99">
        <f>IFERROR(INDEX(装备库!$A$2:$Y$1047,MATCH(ROW()-1,装备库!$AO$2:$AO$1046,0),COLUMN()),"")</f>
        <v>3</v>
      </c>
      <c r="Y99" t="str">
        <f>IFERROR(INDEX(装备库!$A$2:$Y$1047,MATCH(ROW()-1,装备库!$AO$2:$AO$1046,0),COLUMN()),"")</f>
        <v>活动</v>
      </c>
    </row>
    <row r="100" spans="1:25" x14ac:dyDescent="0.35">
      <c r="A100" t="str">
        <f>IFERROR(INDEX(装备库!$A$2:$Y$1047,MATCH(ROW()-1,装备库!$AO$2:$AO$1046,0),COLUMN()),"")</f>
        <v>护手</v>
      </c>
      <c r="B100" t="str">
        <f>IFERROR(INDEX(装备库!$A$2:$Y$1047,MATCH(ROW()-1,装备库!$AO$2:$AO$1046,0),COLUMN()),"")</f>
        <v>临英护手</v>
      </c>
      <c r="C100">
        <f>IFERROR(INDEX(装备库!$A$2:$Y$1047,MATCH(ROW()-1,装备库!$AO$2:$AO$1046,0),COLUMN()),"")</f>
        <v>10100</v>
      </c>
      <c r="D100" t="str">
        <f>IFERROR(INDEX(装备库!$A$2:$Y$1047,MATCH(ROW()-1,装备库!$AO$2:$AO$1046,0),COLUMN()),"")</f>
        <v>临英护手(10100会招)</v>
      </c>
      <c r="E100">
        <f>IFERROR(INDEX(装备库!$A$2:$Y$1047,MATCH(ROW()-1,装备库!$AO$2:$AO$1046,0),COLUMN()),"")</f>
        <v>494</v>
      </c>
      <c r="F100">
        <f>IFERROR(INDEX(装备库!$A$2:$Y$1047,MATCH(ROW()-1,装备库!$AO$2:$AO$1046,0),COLUMN()),"")</f>
        <v>801</v>
      </c>
      <c r="G100">
        <f>IFERROR(INDEX(装备库!$A$2:$Y$1047,MATCH(ROW()-1,装备库!$AO$2:$AO$1046,0),COLUMN()),"")</f>
        <v>2477</v>
      </c>
      <c r="H100">
        <f>IFERROR(INDEX(装备库!$A$2:$Y$1047,MATCH(ROW()-1,装备库!$AO$2:$AO$1046,0),COLUMN()),"")</f>
        <v>0</v>
      </c>
      <c r="I100">
        <f>IFERROR(INDEX(装备库!$A$2:$Y$1047,MATCH(ROW()-1,装备库!$AO$2:$AO$1046,0),COLUMN()),"")</f>
        <v>0</v>
      </c>
      <c r="J100">
        <f>IFERROR(INDEX(装备库!$A$2:$Y$1047,MATCH(ROW()-1,装备库!$AO$2:$AO$1046,0),COLUMN()),"")</f>
        <v>2202</v>
      </c>
      <c r="K100">
        <f>IFERROR(INDEX(装备库!$A$2:$Y$1047,MATCH(ROW()-1,装备库!$AO$2:$AO$1046,0),COLUMN()),"")</f>
        <v>0</v>
      </c>
      <c r="L100">
        <f>IFERROR(INDEX(装备库!$A$2:$Y$1047,MATCH(ROW()-1,装备库!$AO$2:$AO$1046,0),COLUMN()),"")</f>
        <v>0</v>
      </c>
      <c r="M100">
        <f>IFERROR(INDEX(装备库!$A$2:$Y$1047,MATCH(ROW()-1,装备库!$AO$2:$AO$1046,0),COLUMN()),"")</f>
        <v>0</v>
      </c>
      <c r="N100">
        <f>IFERROR(INDEX(装备库!$A$2:$Y$1047,MATCH(ROW()-1,装备库!$AO$2:$AO$1046,0),COLUMN()),"")</f>
        <v>0</v>
      </c>
      <c r="O100">
        <f>IFERROR(INDEX(装备库!$A$2:$Y$1047,MATCH(ROW()-1,装备库!$AO$2:$AO$1046,0),COLUMN()),"")</f>
        <v>1</v>
      </c>
      <c r="P100">
        <f>IFERROR(INDEX(装备库!$A$2:$Y$1047,MATCH(ROW()-1,装备库!$AO$2:$AO$1046,0),COLUMN()),"")</f>
        <v>1</v>
      </c>
      <c r="Q100">
        <f>IFERROR(INDEX(装备库!$A$2:$Y$1047,MATCH(ROW()-1,装备库!$AO$2:$AO$1046,0),COLUMN()),"")</f>
        <v>0</v>
      </c>
      <c r="R100">
        <f>IFERROR(INDEX(装备库!$A$2:$Y$1047,MATCH(ROW()-1,装备库!$AO$2:$AO$1046,0),COLUMN()),"")</f>
        <v>0</v>
      </c>
      <c r="S100">
        <f>IFERROR(INDEX(装备库!$A$2:$Y$1047,MATCH(ROW()-1,装备库!$AO$2:$AO$1046,0),COLUMN()),"")</f>
        <v>0</v>
      </c>
      <c r="T100">
        <f>IFERROR(INDEX(装备库!$A$2:$Y$1047,MATCH(ROW()-1,装备库!$AO$2:$AO$1046,0),COLUMN()),"")</f>
        <v>0</v>
      </c>
      <c r="U100">
        <f>IFERROR(INDEX(装备库!$A$2:$Y$1047,MATCH(ROW()-1,装备库!$AO$2:$AO$1046,0),COLUMN()),"")</f>
        <v>0</v>
      </c>
      <c r="V100">
        <f>IFERROR(INDEX(装备库!$A$2:$Y$1047,MATCH(ROW()-1,装备库!$AO$2:$AO$1046,0),COLUMN()),"")</f>
        <v>0</v>
      </c>
      <c r="W100" t="str">
        <f>IFERROR(INDEX(装备库!$A$2:$Y$1047,MATCH(ROW()-1,装备库!$AO$2:$AO$1046,0),COLUMN()),"")</f>
        <v>会招</v>
      </c>
      <c r="X100">
        <f>IFERROR(INDEX(装备库!$A$2:$Y$1047,MATCH(ROW()-1,装备库!$AO$2:$AO$1046,0),COLUMN()),"")</f>
        <v>6</v>
      </c>
      <c r="Y100" t="str">
        <f>IFERROR(INDEX(装备库!$A$2:$Y$1047,MATCH(ROW()-1,装备库!$AO$2:$AO$1046,0),COLUMN()),"")</f>
        <v>声望</v>
      </c>
    </row>
    <row r="101" spans="1:25" x14ac:dyDescent="0.35">
      <c r="A101" t="str">
        <f>IFERROR(INDEX(装备库!$A$2:$Y$1047,MATCH(ROW()-1,装备库!$AO$2:$AO$1046,0),COLUMN()),"")</f>
        <v>护手</v>
      </c>
      <c r="B101" t="str">
        <f>IFERROR(INDEX(装备库!$A$2:$Y$1047,MATCH(ROW()-1,装备库!$AO$2:$AO$1046,0),COLUMN()),"")</f>
        <v>客行江湖·近楼护手</v>
      </c>
      <c r="C101">
        <f>IFERROR(INDEX(装备库!$A$2:$Y$1047,MATCH(ROW()-1,装备库!$AO$2:$AO$1046,0),COLUMN()),"")</f>
        <v>10150</v>
      </c>
      <c r="D101" t="str">
        <f>IFERROR(INDEX(装备库!$A$2:$Y$1047,MATCH(ROW()-1,装备库!$AO$2:$AO$1046,0),COLUMN()),"")</f>
        <v>客行江湖·近楼护手(10150招破)</v>
      </c>
      <c r="E101">
        <f>IFERROR(INDEX(装备库!$A$2:$Y$1047,MATCH(ROW()-1,装备库!$AO$2:$AO$1046,0),COLUMN()),"")</f>
        <v>496</v>
      </c>
      <c r="F101">
        <f>IFERROR(INDEX(装备库!$A$2:$Y$1047,MATCH(ROW()-1,装备库!$AO$2:$AO$1046,0),COLUMN()),"")</f>
        <v>805</v>
      </c>
      <c r="G101">
        <f>IFERROR(INDEX(装备库!$A$2:$Y$1047,MATCH(ROW()-1,装备库!$AO$2:$AO$1046,0),COLUMN()),"")</f>
        <v>0</v>
      </c>
      <c r="H101">
        <f>IFERROR(INDEX(装备库!$A$2:$Y$1047,MATCH(ROW()-1,装备库!$AO$2:$AO$1046,0),COLUMN()),"")</f>
        <v>0</v>
      </c>
      <c r="I101">
        <f>IFERROR(INDEX(装备库!$A$2:$Y$1047,MATCH(ROW()-1,装备库!$AO$2:$AO$1046,0),COLUMN()),"")</f>
        <v>2489</v>
      </c>
      <c r="J101">
        <f>IFERROR(INDEX(装备库!$A$2:$Y$1047,MATCH(ROW()-1,装备库!$AO$2:$AO$1046,0),COLUMN()),"")</f>
        <v>2213</v>
      </c>
      <c r="K101">
        <f>IFERROR(INDEX(装备库!$A$2:$Y$1047,MATCH(ROW()-1,装备库!$AO$2:$AO$1046,0),COLUMN()),"")</f>
        <v>0</v>
      </c>
      <c r="L101">
        <f>IFERROR(INDEX(装备库!$A$2:$Y$1047,MATCH(ROW()-1,装备库!$AO$2:$AO$1046,0),COLUMN()),"")</f>
        <v>0</v>
      </c>
      <c r="M101">
        <f>IFERROR(INDEX(装备库!$A$2:$Y$1047,MATCH(ROW()-1,装备库!$AO$2:$AO$1046,0),COLUMN()),"")</f>
        <v>0</v>
      </c>
      <c r="N101">
        <f>IFERROR(INDEX(装备库!$A$2:$Y$1047,MATCH(ROW()-1,装备库!$AO$2:$AO$1046,0),COLUMN()),"")</f>
        <v>0</v>
      </c>
      <c r="O101">
        <f>IFERROR(INDEX(装备库!$A$2:$Y$1047,MATCH(ROW()-1,装备库!$AO$2:$AO$1046,0),COLUMN()),"")</f>
        <v>0</v>
      </c>
      <c r="P101">
        <f>IFERROR(INDEX(装备库!$A$2:$Y$1047,MATCH(ROW()-1,装备库!$AO$2:$AO$1046,0),COLUMN()),"")</f>
        <v>1</v>
      </c>
      <c r="Q101">
        <f>IFERROR(INDEX(装备库!$A$2:$Y$1047,MATCH(ROW()-1,装备库!$AO$2:$AO$1046,0),COLUMN()),"")</f>
        <v>0</v>
      </c>
      <c r="R101">
        <f>IFERROR(INDEX(装备库!$A$2:$Y$1047,MATCH(ROW()-1,装备库!$AO$2:$AO$1046,0),COLUMN()),"")</f>
        <v>0</v>
      </c>
      <c r="S101">
        <f>IFERROR(INDEX(装备库!$A$2:$Y$1047,MATCH(ROW()-1,装备库!$AO$2:$AO$1046,0),COLUMN()),"")</f>
        <v>1</v>
      </c>
      <c r="T101">
        <f>IFERROR(INDEX(装备库!$A$2:$Y$1047,MATCH(ROW()-1,装备库!$AO$2:$AO$1046,0),COLUMN()),"")</f>
        <v>0</v>
      </c>
      <c r="U101">
        <f>IFERROR(INDEX(装备库!$A$2:$Y$1047,MATCH(ROW()-1,装备库!$AO$2:$AO$1046,0),COLUMN()),"")</f>
        <v>0</v>
      </c>
      <c r="V101">
        <f>IFERROR(INDEX(装备库!$A$2:$Y$1047,MATCH(ROW()-1,装备库!$AO$2:$AO$1046,0),COLUMN()),"")</f>
        <v>0</v>
      </c>
      <c r="W101" t="str">
        <f>IFERROR(INDEX(装备库!$A$2:$Y$1047,MATCH(ROW()-1,装备库!$AO$2:$AO$1046,0),COLUMN()),"")</f>
        <v>招破</v>
      </c>
      <c r="X101">
        <f>IFERROR(INDEX(装备库!$A$2:$Y$1047,MATCH(ROW()-1,装备库!$AO$2:$AO$1046,0),COLUMN()),"")</f>
        <v>6</v>
      </c>
      <c r="Y101" t="str">
        <f>IFERROR(INDEX(装备库!$A$2:$Y$1047,MATCH(ROW()-1,装备库!$AO$2:$AO$1046,0),COLUMN()),"")</f>
        <v>浪客笺</v>
      </c>
    </row>
    <row r="102" spans="1:25" x14ac:dyDescent="0.35">
      <c r="A102" t="str">
        <f>IFERROR(INDEX(装备库!$A$2:$Y$1047,MATCH(ROW()-1,装备库!$AO$2:$AO$1046,0),COLUMN()),"")</f>
        <v>护手</v>
      </c>
      <c r="B102" t="str">
        <f>IFERROR(INDEX(装备库!$A$2:$Y$1047,MATCH(ROW()-1,装备库!$AO$2:$AO$1046,0),COLUMN()),"")</f>
        <v>闲月护手</v>
      </c>
      <c r="C102">
        <f>IFERROR(INDEX(装备库!$A$2:$Y$1047,MATCH(ROW()-1,装备库!$AO$2:$AO$1046,0),COLUMN()),"")</f>
        <v>10150</v>
      </c>
      <c r="D102" t="str">
        <f>IFERROR(INDEX(装备库!$A$2:$Y$1047,MATCH(ROW()-1,装备库!$AO$2:$AO$1046,0),COLUMN()),"")</f>
        <v>闲月护手(10150破无)</v>
      </c>
      <c r="E102">
        <f>IFERROR(INDEX(装备库!$A$2:$Y$1047,MATCH(ROW()-1,装备库!$AO$2:$AO$1046,0),COLUMN()),"")</f>
        <v>496</v>
      </c>
      <c r="F102">
        <f>IFERROR(INDEX(装备库!$A$2:$Y$1047,MATCH(ROW()-1,装备库!$AO$2:$AO$1046,0),COLUMN()),"")</f>
        <v>805</v>
      </c>
      <c r="G102">
        <f>IFERROR(INDEX(装备库!$A$2:$Y$1047,MATCH(ROW()-1,装备库!$AO$2:$AO$1046,0),COLUMN()),"")</f>
        <v>0</v>
      </c>
      <c r="H102">
        <f>IFERROR(INDEX(装备库!$A$2:$Y$1047,MATCH(ROW()-1,装备库!$AO$2:$AO$1046,0),COLUMN()),"")</f>
        <v>0</v>
      </c>
      <c r="I102">
        <f>IFERROR(INDEX(装备库!$A$2:$Y$1047,MATCH(ROW()-1,装备库!$AO$2:$AO$1046,0),COLUMN()),"")</f>
        <v>2489</v>
      </c>
      <c r="J102">
        <f>IFERROR(INDEX(装备库!$A$2:$Y$1047,MATCH(ROW()-1,装备库!$AO$2:$AO$1046,0),COLUMN()),"")</f>
        <v>0</v>
      </c>
      <c r="K102">
        <f>IFERROR(INDEX(装备库!$A$2:$Y$1047,MATCH(ROW()-1,装备库!$AO$2:$AO$1046,0),COLUMN()),"")</f>
        <v>2213</v>
      </c>
      <c r="L102">
        <f>IFERROR(INDEX(装备库!$A$2:$Y$1047,MATCH(ROW()-1,装备库!$AO$2:$AO$1046,0),COLUMN()),"")</f>
        <v>0</v>
      </c>
      <c r="M102">
        <f>IFERROR(INDEX(装备库!$A$2:$Y$1047,MATCH(ROW()-1,装备库!$AO$2:$AO$1046,0),COLUMN()),"")</f>
        <v>0</v>
      </c>
      <c r="N102">
        <f>IFERROR(INDEX(装备库!$A$2:$Y$1047,MATCH(ROW()-1,装备库!$AO$2:$AO$1046,0),COLUMN()),"")</f>
        <v>0</v>
      </c>
      <c r="O102">
        <f>IFERROR(INDEX(装备库!$A$2:$Y$1047,MATCH(ROW()-1,装备库!$AO$2:$AO$1046,0),COLUMN()),"")</f>
        <v>1</v>
      </c>
      <c r="P102">
        <f>IFERROR(INDEX(装备库!$A$2:$Y$1047,MATCH(ROW()-1,装备库!$AO$2:$AO$1046,0),COLUMN()),"")</f>
        <v>0</v>
      </c>
      <c r="Q102">
        <f>IFERROR(INDEX(装备库!$A$2:$Y$1047,MATCH(ROW()-1,装备库!$AO$2:$AO$1046,0),COLUMN()),"")</f>
        <v>0</v>
      </c>
      <c r="R102">
        <f>IFERROR(INDEX(装备库!$A$2:$Y$1047,MATCH(ROW()-1,装备库!$AO$2:$AO$1046,0),COLUMN()),"")</f>
        <v>0</v>
      </c>
      <c r="S102">
        <f>IFERROR(INDEX(装备库!$A$2:$Y$1047,MATCH(ROW()-1,装备库!$AO$2:$AO$1046,0),COLUMN()),"")</f>
        <v>0</v>
      </c>
      <c r="T102">
        <f>IFERROR(INDEX(装备库!$A$2:$Y$1047,MATCH(ROW()-1,装备库!$AO$2:$AO$1046,0),COLUMN()),"")</f>
        <v>0</v>
      </c>
      <c r="U102">
        <f>IFERROR(INDEX(装备库!$A$2:$Y$1047,MATCH(ROW()-1,装备库!$AO$2:$AO$1046,0),COLUMN()),"")</f>
        <v>1</v>
      </c>
      <c r="V102">
        <f>IFERROR(INDEX(装备库!$A$2:$Y$1047,MATCH(ROW()-1,装备库!$AO$2:$AO$1046,0),COLUMN()),"")</f>
        <v>0</v>
      </c>
      <c r="W102" t="str">
        <f>IFERROR(INDEX(装备库!$A$2:$Y$1047,MATCH(ROW()-1,装备库!$AO$2:$AO$1046,0),COLUMN()),"")</f>
        <v>破无</v>
      </c>
      <c r="X102">
        <f>IFERROR(INDEX(装备库!$A$2:$Y$1047,MATCH(ROW()-1,装备库!$AO$2:$AO$1046,0),COLUMN()),"")</f>
        <v>6</v>
      </c>
      <c r="Y102" t="str">
        <f>IFERROR(INDEX(装备库!$A$2:$Y$1047,MATCH(ROW()-1,装备库!$AO$2:$AO$1046,0),COLUMN()),"")</f>
        <v>副本</v>
      </c>
    </row>
    <row r="103" spans="1:25" x14ac:dyDescent="0.35">
      <c r="A103" t="str">
        <f>IFERROR(INDEX(装备库!$A$2:$Y$1047,MATCH(ROW()-1,装备库!$AO$2:$AO$1046,0),COLUMN()),"")</f>
        <v>护手</v>
      </c>
      <c r="B103" t="str">
        <f>IFERROR(INDEX(装备库!$A$2:$Y$1047,MATCH(ROW()-1,装备库!$AO$2:$AO$1046,0),COLUMN()),"")</f>
        <v>玄卢护手</v>
      </c>
      <c r="C103">
        <f>IFERROR(INDEX(装备库!$A$2:$Y$1047,MATCH(ROW()-1,装备库!$AO$2:$AO$1046,0),COLUMN()),"")</f>
        <v>10150</v>
      </c>
      <c r="D103" t="str">
        <f>IFERROR(INDEX(装备库!$A$2:$Y$1047,MATCH(ROW()-1,装备库!$AO$2:$AO$1046,0),COLUMN()),"")</f>
        <v>玄卢护手(10150会无)</v>
      </c>
      <c r="E103">
        <f>IFERROR(INDEX(装备库!$A$2:$Y$1047,MATCH(ROW()-1,装备库!$AO$2:$AO$1046,0),COLUMN()),"")</f>
        <v>496</v>
      </c>
      <c r="F103">
        <f>IFERROR(INDEX(装备库!$A$2:$Y$1047,MATCH(ROW()-1,装备库!$AO$2:$AO$1046,0),COLUMN()),"")</f>
        <v>805</v>
      </c>
      <c r="G103">
        <f>IFERROR(INDEX(装备库!$A$2:$Y$1047,MATCH(ROW()-1,装备库!$AO$2:$AO$1046,0),COLUMN()),"")</f>
        <v>2489</v>
      </c>
      <c r="H103">
        <f>IFERROR(INDEX(装备库!$A$2:$Y$1047,MATCH(ROW()-1,装备库!$AO$2:$AO$1046,0),COLUMN()),"")</f>
        <v>0</v>
      </c>
      <c r="I103">
        <f>IFERROR(INDEX(装备库!$A$2:$Y$1047,MATCH(ROW()-1,装备库!$AO$2:$AO$1046,0),COLUMN()),"")</f>
        <v>0</v>
      </c>
      <c r="J103">
        <f>IFERROR(INDEX(装备库!$A$2:$Y$1047,MATCH(ROW()-1,装备库!$AO$2:$AO$1046,0),COLUMN()),"")</f>
        <v>0</v>
      </c>
      <c r="K103">
        <f>IFERROR(INDEX(装备库!$A$2:$Y$1047,MATCH(ROW()-1,装备库!$AO$2:$AO$1046,0),COLUMN()),"")</f>
        <v>2213</v>
      </c>
      <c r="L103">
        <f>IFERROR(INDEX(装备库!$A$2:$Y$1047,MATCH(ROW()-1,装备库!$AO$2:$AO$1046,0),COLUMN()),"")</f>
        <v>0</v>
      </c>
      <c r="M103">
        <f>IFERROR(INDEX(装备库!$A$2:$Y$1047,MATCH(ROW()-1,装备库!$AO$2:$AO$1046,0),COLUMN()),"")</f>
        <v>0</v>
      </c>
      <c r="N103">
        <f>IFERROR(INDEX(装备库!$A$2:$Y$1047,MATCH(ROW()-1,装备库!$AO$2:$AO$1046,0),COLUMN()),"")</f>
        <v>0</v>
      </c>
      <c r="O103">
        <f>IFERROR(INDEX(装备库!$A$2:$Y$1047,MATCH(ROW()-1,装备库!$AO$2:$AO$1046,0),COLUMN()),"")</f>
        <v>0</v>
      </c>
      <c r="P103">
        <f>IFERROR(INDEX(装备库!$A$2:$Y$1047,MATCH(ROW()-1,装备库!$AO$2:$AO$1046,0),COLUMN()),"")</f>
        <v>1</v>
      </c>
      <c r="Q103">
        <f>IFERROR(INDEX(装备库!$A$2:$Y$1047,MATCH(ROW()-1,装备库!$AO$2:$AO$1046,0),COLUMN()),"")</f>
        <v>1</v>
      </c>
      <c r="R103">
        <f>IFERROR(INDEX(装备库!$A$2:$Y$1047,MATCH(ROW()-1,装备库!$AO$2:$AO$1046,0),COLUMN()),"")</f>
        <v>0</v>
      </c>
      <c r="S103">
        <f>IFERROR(INDEX(装备库!$A$2:$Y$1047,MATCH(ROW()-1,装备库!$AO$2:$AO$1046,0),COLUMN()),"")</f>
        <v>0</v>
      </c>
      <c r="T103">
        <f>IFERROR(INDEX(装备库!$A$2:$Y$1047,MATCH(ROW()-1,装备库!$AO$2:$AO$1046,0),COLUMN()),"")</f>
        <v>0</v>
      </c>
      <c r="U103">
        <f>IFERROR(INDEX(装备库!$A$2:$Y$1047,MATCH(ROW()-1,装备库!$AO$2:$AO$1046,0),COLUMN()),"")</f>
        <v>0</v>
      </c>
      <c r="V103">
        <f>IFERROR(INDEX(装备库!$A$2:$Y$1047,MATCH(ROW()-1,装备库!$AO$2:$AO$1046,0),COLUMN()),"")</f>
        <v>0</v>
      </c>
      <c r="W103" t="str">
        <f>IFERROR(INDEX(装备库!$A$2:$Y$1047,MATCH(ROW()-1,装备库!$AO$2:$AO$1046,0),COLUMN()),"")</f>
        <v>会无</v>
      </c>
      <c r="X103">
        <f>IFERROR(INDEX(装备库!$A$2:$Y$1047,MATCH(ROW()-1,装备库!$AO$2:$AO$1046,0),COLUMN()),"")</f>
        <v>6</v>
      </c>
      <c r="Y103" t="str">
        <f>IFERROR(INDEX(装备库!$A$2:$Y$1047,MATCH(ROW()-1,装备库!$AO$2:$AO$1046,0),COLUMN()),"")</f>
        <v>副本</v>
      </c>
    </row>
    <row r="104" spans="1:25" x14ac:dyDescent="0.35">
      <c r="A104" t="str">
        <f>IFERROR(INDEX(装备库!$A$2:$Y$1047,MATCH(ROW()-1,装备库!$AO$2:$AO$1046,0),COLUMN()),"")</f>
        <v>护手</v>
      </c>
      <c r="B104" t="str">
        <f>IFERROR(INDEX(装备库!$A$2:$Y$1047,MATCH(ROW()-1,装备库!$AO$2:$AO$1046,0),COLUMN()),"")</f>
        <v>无封护臂</v>
      </c>
      <c r="C104">
        <f>IFERROR(INDEX(装备库!$A$2:$Y$1047,MATCH(ROW()-1,装备库!$AO$2:$AO$1046,0),COLUMN()),"")</f>
        <v>10300</v>
      </c>
      <c r="D104" t="str">
        <f>IFERROR(INDEX(装备库!$A$2:$Y$1047,MATCH(ROW()-1,装备库!$AO$2:$AO$1046,0),COLUMN()),"")</f>
        <v>无封护臂(10300精简攻破)</v>
      </c>
      <c r="E104">
        <f>IFERROR(INDEX(装备库!$A$2:$Y$1047,MATCH(ROW()-1,装备库!$AO$2:$AO$1046,0),COLUMN()),"")</f>
        <v>0</v>
      </c>
      <c r="F104">
        <f>IFERROR(INDEX(装备库!$A$2:$Y$1047,MATCH(ROW()-1,装备库!$AO$2:$AO$1046,0),COLUMN()),"")</f>
        <v>2136</v>
      </c>
      <c r="G104">
        <f>IFERROR(INDEX(装备库!$A$2:$Y$1047,MATCH(ROW()-1,装备库!$AO$2:$AO$1046,0),COLUMN()),"")</f>
        <v>0</v>
      </c>
      <c r="H104">
        <f>IFERROR(INDEX(装备库!$A$2:$Y$1047,MATCH(ROW()-1,装备库!$AO$2:$AO$1046,0),COLUMN()),"")</f>
        <v>0</v>
      </c>
      <c r="I104">
        <f>IFERROR(INDEX(装备库!$A$2:$Y$1047,MATCH(ROW()-1,装备库!$AO$2:$AO$1046,0),COLUMN()),"")</f>
        <v>4842</v>
      </c>
      <c r="J104">
        <f>IFERROR(INDEX(装备库!$A$2:$Y$1047,MATCH(ROW()-1,装备库!$AO$2:$AO$1046,0),COLUMN()),"")</f>
        <v>0</v>
      </c>
      <c r="K104">
        <f>IFERROR(INDEX(装备库!$A$2:$Y$1047,MATCH(ROW()-1,装备库!$AO$2:$AO$1046,0),COLUMN()),"")</f>
        <v>0</v>
      </c>
      <c r="L104">
        <f>IFERROR(INDEX(装备库!$A$2:$Y$1047,MATCH(ROW()-1,装备库!$AO$2:$AO$1046,0),COLUMN()),"")</f>
        <v>0</v>
      </c>
      <c r="M104">
        <f>IFERROR(INDEX(装备库!$A$2:$Y$1047,MATCH(ROW()-1,装备库!$AO$2:$AO$1046,0),COLUMN()),"")</f>
        <v>0</v>
      </c>
      <c r="N104">
        <f>IFERROR(INDEX(装备库!$A$2:$Y$1047,MATCH(ROW()-1,装备库!$AO$2:$AO$1046,0),COLUMN()),"")</f>
        <v>0</v>
      </c>
      <c r="O104">
        <f>IFERROR(INDEX(装备库!$A$2:$Y$1047,MATCH(ROW()-1,装备库!$AO$2:$AO$1046,0),COLUMN()),"")</f>
        <v>0</v>
      </c>
      <c r="P104">
        <f>IFERROR(INDEX(装备库!$A$2:$Y$1047,MATCH(ROW()-1,装备库!$AO$2:$AO$1046,0),COLUMN()),"")</f>
        <v>1</v>
      </c>
      <c r="Q104">
        <f>IFERROR(INDEX(装备库!$A$2:$Y$1047,MATCH(ROW()-1,装备库!$AO$2:$AO$1046,0),COLUMN()),"")</f>
        <v>0</v>
      </c>
      <c r="R104">
        <f>IFERROR(INDEX(装备库!$A$2:$Y$1047,MATCH(ROW()-1,装备库!$AO$2:$AO$1046,0),COLUMN()),"")</f>
        <v>0</v>
      </c>
      <c r="S104">
        <f>IFERROR(INDEX(装备库!$A$2:$Y$1047,MATCH(ROW()-1,装备库!$AO$2:$AO$1046,0),COLUMN()),"")</f>
        <v>0</v>
      </c>
      <c r="T104">
        <f>IFERROR(INDEX(装备库!$A$2:$Y$1047,MATCH(ROW()-1,装备库!$AO$2:$AO$1046,0),COLUMN()),"")</f>
        <v>1</v>
      </c>
      <c r="U104">
        <f>IFERROR(INDEX(装备库!$A$2:$Y$1047,MATCH(ROW()-1,装备库!$AO$2:$AO$1046,0),COLUMN()),"")</f>
        <v>0</v>
      </c>
      <c r="V104">
        <f>IFERROR(INDEX(装备库!$A$2:$Y$1047,MATCH(ROW()-1,装备库!$AO$2:$AO$1046,0),COLUMN()),"")</f>
        <v>0</v>
      </c>
      <c r="W104" t="str">
        <f>IFERROR(INDEX(装备库!$A$2:$Y$1047,MATCH(ROW()-1,装备库!$AO$2:$AO$1046,0),COLUMN()),"")</f>
        <v>精简攻破</v>
      </c>
      <c r="X104">
        <f>IFERROR(INDEX(装备库!$A$2:$Y$1047,MATCH(ROW()-1,装备库!$AO$2:$AO$1046,0),COLUMN()),"")</f>
        <v>3</v>
      </c>
      <c r="Y104" t="str">
        <f>IFERROR(INDEX(装备库!$A$2:$Y$1047,MATCH(ROW()-1,装备库!$AO$2:$AO$1046,0),COLUMN()),"")</f>
        <v>活动</v>
      </c>
    </row>
    <row r="105" spans="1:25" x14ac:dyDescent="0.35">
      <c r="A105" t="str">
        <f>IFERROR(INDEX(装备库!$A$2:$Y$1047,MATCH(ROW()-1,装备库!$AO$2:$AO$1046,0),COLUMN()),"")</f>
        <v>护手</v>
      </c>
      <c r="B105" t="str">
        <f>IFERROR(INDEX(装备库!$A$2:$Y$1047,MATCH(ROW()-1,装备库!$AO$2:$AO$1046,0),COLUMN()),"")</f>
        <v>无封护臂</v>
      </c>
      <c r="C105">
        <f>IFERROR(INDEX(装备库!$A$2:$Y$1047,MATCH(ROW()-1,装备库!$AO$2:$AO$1046,0),COLUMN()),"")</f>
        <v>10300</v>
      </c>
      <c r="D105" t="str">
        <f>IFERROR(INDEX(装备库!$A$2:$Y$1047,MATCH(ROW()-1,装备库!$AO$2:$AO$1046,0),COLUMN()),"")</f>
        <v>无封护臂(10300精简攻会会招)</v>
      </c>
      <c r="E105">
        <f>IFERROR(INDEX(装备库!$A$2:$Y$1047,MATCH(ROW()-1,装备库!$AO$2:$AO$1046,0),COLUMN()),"")</f>
        <v>0</v>
      </c>
      <c r="F105">
        <f>IFERROR(INDEX(装备库!$A$2:$Y$1047,MATCH(ROW()-1,装备库!$AO$2:$AO$1046,0),COLUMN()),"")</f>
        <v>1822</v>
      </c>
      <c r="G105">
        <f>IFERROR(INDEX(装备库!$A$2:$Y$1047,MATCH(ROW()-1,装备库!$AO$2:$AO$1046,0),COLUMN()),"")</f>
        <v>2666</v>
      </c>
      <c r="H105">
        <f>IFERROR(INDEX(装备库!$A$2:$Y$1047,MATCH(ROW()-1,装备库!$AO$2:$AO$1046,0),COLUMN()),"")</f>
        <v>1403</v>
      </c>
      <c r="I105">
        <f>IFERROR(INDEX(装备库!$A$2:$Y$1047,MATCH(ROW()-1,装备库!$AO$2:$AO$1046,0),COLUMN()),"")</f>
        <v>0</v>
      </c>
      <c r="J105">
        <f>IFERROR(INDEX(装备库!$A$2:$Y$1047,MATCH(ROW()-1,装备库!$AO$2:$AO$1046,0),COLUMN()),"")</f>
        <v>1403</v>
      </c>
      <c r="K105">
        <f>IFERROR(INDEX(装备库!$A$2:$Y$1047,MATCH(ROW()-1,装备库!$AO$2:$AO$1046,0),COLUMN()),"")</f>
        <v>0</v>
      </c>
      <c r="L105">
        <f>IFERROR(INDEX(装备库!$A$2:$Y$1047,MATCH(ROW()-1,装备库!$AO$2:$AO$1046,0),COLUMN()),"")</f>
        <v>0</v>
      </c>
      <c r="M105">
        <f>IFERROR(INDEX(装备库!$A$2:$Y$1047,MATCH(ROW()-1,装备库!$AO$2:$AO$1046,0),COLUMN()),"")</f>
        <v>0</v>
      </c>
      <c r="N105">
        <f>IFERROR(INDEX(装备库!$A$2:$Y$1047,MATCH(ROW()-1,装备库!$AO$2:$AO$1046,0),COLUMN()),"")</f>
        <v>0</v>
      </c>
      <c r="O105">
        <f>IFERROR(INDEX(装备库!$A$2:$Y$1047,MATCH(ROW()-1,装备库!$AO$2:$AO$1046,0),COLUMN()),"")</f>
        <v>0</v>
      </c>
      <c r="P105">
        <f>IFERROR(INDEX(装备库!$A$2:$Y$1047,MATCH(ROW()-1,装备库!$AO$2:$AO$1046,0),COLUMN()),"")</f>
        <v>1</v>
      </c>
      <c r="Q105">
        <f>IFERROR(INDEX(装备库!$A$2:$Y$1047,MATCH(ROW()-1,装备库!$AO$2:$AO$1046,0),COLUMN()),"")</f>
        <v>0</v>
      </c>
      <c r="R105">
        <f>IFERROR(INDEX(装备库!$A$2:$Y$1047,MATCH(ROW()-1,装备库!$AO$2:$AO$1046,0),COLUMN()),"")</f>
        <v>0</v>
      </c>
      <c r="S105">
        <f>IFERROR(INDEX(装备库!$A$2:$Y$1047,MATCH(ROW()-1,装备库!$AO$2:$AO$1046,0),COLUMN()),"")</f>
        <v>1</v>
      </c>
      <c r="T105">
        <f>IFERROR(INDEX(装备库!$A$2:$Y$1047,MATCH(ROW()-1,装备库!$AO$2:$AO$1046,0),COLUMN()),"")</f>
        <v>0</v>
      </c>
      <c r="U105">
        <f>IFERROR(INDEX(装备库!$A$2:$Y$1047,MATCH(ROW()-1,装备库!$AO$2:$AO$1046,0),COLUMN()),"")</f>
        <v>0</v>
      </c>
      <c r="V105">
        <f>IFERROR(INDEX(装备库!$A$2:$Y$1047,MATCH(ROW()-1,装备库!$AO$2:$AO$1046,0),COLUMN()),"")</f>
        <v>0</v>
      </c>
      <c r="W105" t="str">
        <f>IFERROR(INDEX(装备库!$A$2:$Y$1047,MATCH(ROW()-1,装备库!$AO$2:$AO$1046,0),COLUMN()),"")</f>
        <v>精简攻会会招</v>
      </c>
      <c r="X105">
        <f>IFERROR(INDEX(装备库!$A$2:$Y$1047,MATCH(ROW()-1,装备库!$AO$2:$AO$1046,0),COLUMN()),"")</f>
        <v>3</v>
      </c>
      <c r="Y105" t="str">
        <f>IFERROR(INDEX(装备库!$A$2:$Y$1047,MATCH(ROW()-1,装备库!$AO$2:$AO$1046,0),COLUMN()),"")</f>
        <v>活动</v>
      </c>
    </row>
    <row r="106" spans="1:25" x14ac:dyDescent="0.35">
      <c r="A106" t="str">
        <f>IFERROR(INDEX(装备库!$A$2:$Y$1047,MATCH(ROW()-1,装备库!$AO$2:$AO$1046,0),COLUMN()),"")</f>
        <v>护手</v>
      </c>
      <c r="B106" t="str">
        <f>IFERROR(INDEX(装备库!$A$2:$Y$1047,MATCH(ROW()-1,装备库!$AO$2:$AO$1046,0),COLUMN()),"")</f>
        <v>无封护臂</v>
      </c>
      <c r="C106">
        <f>IFERROR(INDEX(装备库!$A$2:$Y$1047,MATCH(ROW()-1,装备库!$AO$2:$AO$1046,0),COLUMN()),"")</f>
        <v>10300</v>
      </c>
      <c r="D106" t="str">
        <f>IFERROR(INDEX(装备库!$A$2:$Y$1047,MATCH(ROW()-1,装备库!$AO$2:$AO$1046,0),COLUMN()),"")</f>
        <v>无封护臂(10300精简攻会会)</v>
      </c>
      <c r="E106">
        <f>IFERROR(INDEX(装备库!$A$2:$Y$1047,MATCH(ROW()-1,装备库!$AO$2:$AO$1046,0),COLUMN()),"")</f>
        <v>0</v>
      </c>
      <c r="F106">
        <f>IFERROR(INDEX(装备库!$A$2:$Y$1047,MATCH(ROW()-1,装备库!$AO$2:$AO$1046,0),COLUMN()),"")</f>
        <v>1822</v>
      </c>
      <c r="G106">
        <f>IFERROR(INDEX(装备库!$A$2:$Y$1047,MATCH(ROW()-1,装备库!$AO$2:$AO$1046,0),COLUMN()),"")</f>
        <v>3368</v>
      </c>
      <c r="H106">
        <f>IFERROR(INDEX(装备库!$A$2:$Y$1047,MATCH(ROW()-1,装备库!$AO$2:$AO$1046,0),COLUMN()),"")</f>
        <v>2105</v>
      </c>
      <c r="I106">
        <f>IFERROR(INDEX(装备库!$A$2:$Y$1047,MATCH(ROW()-1,装备库!$AO$2:$AO$1046,0),COLUMN()),"")</f>
        <v>0</v>
      </c>
      <c r="J106">
        <f>IFERROR(INDEX(装备库!$A$2:$Y$1047,MATCH(ROW()-1,装备库!$AO$2:$AO$1046,0),COLUMN()),"")</f>
        <v>0</v>
      </c>
      <c r="K106">
        <f>IFERROR(INDEX(装备库!$A$2:$Y$1047,MATCH(ROW()-1,装备库!$AO$2:$AO$1046,0),COLUMN()),"")</f>
        <v>0</v>
      </c>
      <c r="L106">
        <f>IFERROR(INDEX(装备库!$A$2:$Y$1047,MATCH(ROW()-1,装备库!$AO$2:$AO$1046,0),COLUMN()),"")</f>
        <v>0</v>
      </c>
      <c r="M106">
        <f>IFERROR(INDEX(装备库!$A$2:$Y$1047,MATCH(ROW()-1,装备库!$AO$2:$AO$1046,0),COLUMN()),"")</f>
        <v>0</v>
      </c>
      <c r="N106">
        <f>IFERROR(INDEX(装备库!$A$2:$Y$1047,MATCH(ROW()-1,装备库!$AO$2:$AO$1046,0),COLUMN()),"")</f>
        <v>0</v>
      </c>
      <c r="O106">
        <f>IFERROR(INDEX(装备库!$A$2:$Y$1047,MATCH(ROW()-1,装备库!$AO$2:$AO$1046,0),COLUMN()),"")</f>
        <v>0</v>
      </c>
      <c r="P106">
        <f>IFERROR(INDEX(装备库!$A$2:$Y$1047,MATCH(ROW()-1,装备库!$AO$2:$AO$1046,0),COLUMN()),"")</f>
        <v>1</v>
      </c>
      <c r="Q106">
        <f>IFERROR(INDEX(装备库!$A$2:$Y$1047,MATCH(ROW()-1,装备库!$AO$2:$AO$1046,0),COLUMN()),"")</f>
        <v>0</v>
      </c>
      <c r="R106">
        <f>IFERROR(INDEX(装备库!$A$2:$Y$1047,MATCH(ROW()-1,装备库!$AO$2:$AO$1046,0),COLUMN()),"")</f>
        <v>0</v>
      </c>
      <c r="S106">
        <f>IFERROR(INDEX(装备库!$A$2:$Y$1047,MATCH(ROW()-1,装备库!$AO$2:$AO$1046,0),COLUMN()),"")</f>
        <v>1</v>
      </c>
      <c r="T106">
        <f>IFERROR(INDEX(装备库!$A$2:$Y$1047,MATCH(ROW()-1,装备库!$AO$2:$AO$1046,0),COLUMN()),"")</f>
        <v>0</v>
      </c>
      <c r="U106">
        <f>IFERROR(INDEX(装备库!$A$2:$Y$1047,MATCH(ROW()-1,装备库!$AO$2:$AO$1046,0),COLUMN()),"")</f>
        <v>0</v>
      </c>
      <c r="V106">
        <f>IFERROR(INDEX(装备库!$A$2:$Y$1047,MATCH(ROW()-1,装备库!$AO$2:$AO$1046,0),COLUMN()),"")</f>
        <v>0</v>
      </c>
      <c r="W106" t="str">
        <f>IFERROR(INDEX(装备库!$A$2:$Y$1047,MATCH(ROW()-1,装备库!$AO$2:$AO$1046,0),COLUMN()),"")</f>
        <v>精简攻会会</v>
      </c>
      <c r="X106">
        <f>IFERROR(INDEX(装备库!$A$2:$Y$1047,MATCH(ROW()-1,装备库!$AO$2:$AO$1046,0),COLUMN()),"")</f>
        <v>3</v>
      </c>
      <c r="Y106" t="str">
        <f>IFERROR(INDEX(装备库!$A$2:$Y$1047,MATCH(ROW()-1,装备库!$AO$2:$AO$1046,0),COLUMN()),"")</f>
        <v>活动</v>
      </c>
    </row>
    <row r="107" spans="1:25" x14ac:dyDescent="0.35">
      <c r="A107" t="str">
        <f>IFERROR(INDEX(装备库!$A$2:$Y$1047,MATCH(ROW()-1,装备库!$AO$2:$AO$1046,0),COLUMN()),"")</f>
        <v>护手</v>
      </c>
      <c r="B107" t="str">
        <f>IFERROR(INDEX(装备库!$A$2:$Y$1047,MATCH(ROW()-1,装备库!$AO$2:$AO$1046,0),COLUMN()),"")</f>
        <v>无封护臂</v>
      </c>
      <c r="C107">
        <f>IFERROR(INDEX(装备库!$A$2:$Y$1047,MATCH(ROW()-1,装备库!$AO$2:$AO$1046,0),COLUMN()),"")</f>
        <v>10600</v>
      </c>
      <c r="D107" t="str">
        <f>IFERROR(INDEX(装备库!$A$2:$Y$1047,MATCH(ROW()-1,装备库!$AO$2:$AO$1046,0),COLUMN()),"")</f>
        <v>无封护臂(10600精简攻招破)</v>
      </c>
      <c r="E107">
        <f>IFERROR(INDEX(装备库!$A$2:$Y$1047,MATCH(ROW()-1,装备库!$AO$2:$AO$1046,0),COLUMN()),"")</f>
        <v>0</v>
      </c>
      <c r="F107">
        <f>IFERROR(INDEX(装备库!$A$2:$Y$1047,MATCH(ROW()-1,装备库!$AO$2:$AO$1046,0),COLUMN()),"")</f>
        <v>1875</v>
      </c>
      <c r="G107">
        <f>IFERROR(INDEX(装备库!$A$2:$Y$1047,MATCH(ROW()-1,装备库!$AO$2:$AO$1046,0),COLUMN()),"")</f>
        <v>0</v>
      </c>
      <c r="H107">
        <f>IFERROR(INDEX(装备库!$A$2:$Y$1047,MATCH(ROW()-1,装备库!$AO$2:$AO$1046,0),COLUMN()),"")</f>
        <v>0</v>
      </c>
      <c r="I107">
        <f>IFERROR(INDEX(装备库!$A$2:$Y$1047,MATCH(ROW()-1,装备库!$AO$2:$AO$1046,0),COLUMN()),"")</f>
        <v>3033</v>
      </c>
      <c r="J107">
        <f>IFERROR(INDEX(装备库!$A$2:$Y$1047,MATCH(ROW()-1,装备库!$AO$2:$AO$1046,0),COLUMN()),"")</f>
        <v>2744</v>
      </c>
      <c r="K107">
        <f>IFERROR(INDEX(装备库!$A$2:$Y$1047,MATCH(ROW()-1,装备库!$AO$2:$AO$1046,0),COLUMN()),"")</f>
        <v>0</v>
      </c>
      <c r="L107">
        <f>IFERROR(INDEX(装备库!$A$2:$Y$1047,MATCH(ROW()-1,装备库!$AO$2:$AO$1046,0),COLUMN()),"")</f>
        <v>0</v>
      </c>
      <c r="M107">
        <f>IFERROR(INDEX(装备库!$A$2:$Y$1047,MATCH(ROW()-1,装备库!$AO$2:$AO$1046,0),COLUMN()),"")</f>
        <v>0</v>
      </c>
      <c r="N107">
        <f>IFERROR(INDEX(装备库!$A$2:$Y$1047,MATCH(ROW()-1,装备库!$AO$2:$AO$1046,0),COLUMN()),"")</f>
        <v>0</v>
      </c>
      <c r="O107">
        <f>IFERROR(INDEX(装备库!$A$2:$Y$1047,MATCH(ROW()-1,装备库!$AO$2:$AO$1046,0),COLUMN()),"")</f>
        <v>0</v>
      </c>
      <c r="P107">
        <f>IFERROR(INDEX(装备库!$A$2:$Y$1047,MATCH(ROW()-1,装备库!$AO$2:$AO$1046,0),COLUMN()),"")</f>
        <v>0</v>
      </c>
      <c r="Q107">
        <f>IFERROR(INDEX(装备库!$A$2:$Y$1047,MATCH(ROW()-1,装备库!$AO$2:$AO$1046,0),COLUMN()),"")</f>
        <v>1</v>
      </c>
      <c r="R107">
        <f>IFERROR(INDEX(装备库!$A$2:$Y$1047,MATCH(ROW()-1,装备库!$AO$2:$AO$1046,0),COLUMN()),"")</f>
        <v>0</v>
      </c>
      <c r="S107">
        <f>IFERROR(INDEX(装备库!$A$2:$Y$1047,MATCH(ROW()-1,装备库!$AO$2:$AO$1046,0),COLUMN()),"")</f>
        <v>0</v>
      </c>
      <c r="T107">
        <f>IFERROR(INDEX(装备库!$A$2:$Y$1047,MATCH(ROW()-1,装备库!$AO$2:$AO$1046,0),COLUMN()),"")</f>
        <v>1</v>
      </c>
      <c r="U107">
        <f>IFERROR(INDEX(装备库!$A$2:$Y$1047,MATCH(ROW()-1,装备库!$AO$2:$AO$1046,0),COLUMN()),"")</f>
        <v>0</v>
      </c>
      <c r="V107">
        <f>IFERROR(INDEX(装备库!$A$2:$Y$1047,MATCH(ROW()-1,装备库!$AO$2:$AO$1046,0),COLUMN()),"")</f>
        <v>0</v>
      </c>
      <c r="W107" t="str">
        <f>IFERROR(INDEX(装备库!$A$2:$Y$1047,MATCH(ROW()-1,装备库!$AO$2:$AO$1046,0),COLUMN()),"")</f>
        <v>精简攻招破</v>
      </c>
      <c r="X107">
        <f>IFERROR(INDEX(装备库!$A$2:$Y$1047,MATCH(ROW()-1,装备库!$AO$2:$AO$1046,0),COLUMN()),"")</f>
        <v>3</v>
      </c>
      <c r="Y107" t="str">
        <f>IFERROR(INDEX(装备库!$A$2:$Y$1047,MATCH(ROW()-1,装备库!$AO$2:$AO$1046,0),COLUMN()),"")</f>
        <v>活动</v>
      </c>
    </row>
    <row r="108" spans="1:25" x14ac:dyDescent="0.35">
      <c r="A108" t="str">
        <f>IFERROR(INDEX(装备库!$A$2:$Y$1047,MATCH(ROW()-1,装备库!$AO$2:$AO$1046,0),COLUMN()),"")</f>
        <v>护手</v>
      </c>
      <c r="B108" t="str">
        <f>IFERROR(INDEX(装备库!$A$2:$Y$1047,MATCH(ROW()-1,装备库!$AO$2:$AO$1046,0),COLUMN()),"")</f>
        <v>无封护臂</v>
      </c>
      <c r="C108">
        <f>IFERROR(INDEX(装备库!$A$2:$Y$1047,MATCH(ROW()-1,装备库!$AO$2:$AO$1046,0),COLUMN()),"")</f>
        <v>10600</v>
      </c>
      <c r="D108" t="str">
        <f>IFERROR(INDEX(装备库!$A$2:$Y$1047,MATCH(ROW()-1,装备库!$AO$2:$AO$1046,0),COLUMN()),"")</f>
        <v>无封护臂(10600精简攻无)</v>
      </c>
      <c r="E108">
        <f>IFERROR(INDEX(装备库!$A$2:$Y$1047,MATCH(ROW()-1,装备库!$AO$2:$AO$1046,0),COLUMN()),"")</f>
        <v>0</v>
      </c>
      <c r="F108">
        <f>IFERROR(INDEX(装备库!$A$2:$Y$1047,MATCH(ROW()-1,装备库!$AO$2:$AO$1046,0),COLUMN()),"")</f>
        <v>2198</v>
      </c>
      <c r="G108">
        <f>IFERROR(INDEX(装备库!$A$2:$Y$1047,MATCH(ROW()-1,装备库!$AO$2:$AO$1046,0),COLUMN()),"")</f>
        <v>0</v>
      </c>
      <c r="H108">
        <f>IFERROR(INDEX(装备库!$A$2:$Y$1047,MATCH(ROW()-1,装备库!$AO$2:$AO$1046,0),COLUMN()),"")</f>
        <v>0</v>
      </c>
      <c r="I108">
        <f>IFERROR(INDEX(装备库!$A$2:$Y$1047,MATCH(ROW()-1,装备库!$AO$2:$AO$1046,0),COLUMN()),"")</f>
        <v>0</v>
      </c>
      <c r="J108">
        <f>IFERROR(INDEX(装备库!$A$2:$Y$1047,MATCH(ROW()-1,装备库!$AO$2:$AO$1046,0),COLUMN()),"")</f>
        <v>0</v>
      </c>
      <c r="K108">
        <f>IFERROR(INDEX(装备库!$A$2:$Y$1047,MATCH(ROW()-1,装备库!$AO$2:$AO$1046,0),COLUMN()),"")</f>
        <v>4983</v>
      </c>
      <c r="L108">
        <f>IFERROR(INDEX(装备库!$A$2:$Y$1047,MATCH(ROW()-1,装备库!$AO$2:$AO$1046,0),COLUMN()),"")</f>
        <v>0</v>
      </c>
      <c r="M108">
        <f>IFERROR(INDEX(装备库!$A$2:$Y$1047,MATCH(ROW()-1,装备库!$AO$2:$AO$1046,0),COLUMN()),"")</f>
        <v>0</v>
      </c>
      <c r="N108">
        <f>IFERROR(INDEX(装备库!$A$2:$Y$1047,MATCH(ROW()-1,装备库!$AO$2:$AO$1046,0),COLUMN()),"")</f>
        <v>0</v>
      </c>
      <c r="O108">
        <f>IFERROR(INDEX(装备库!$A$2:$Y$1047,MATCH(ROW()-1,装备库!$AO$2:$AO$1046,0),COLUMN()),"")</f>
        <v>0</v>
      </c>
      <c r="P108">
        <f>IFERROR(INDEX(装备库!$A$2:$Y$1047,MATCH(ROW()-1,装备库!$AO$2:$AO$1046,0),COLUMN()),"")</f>
        <v>0</v>
      </c>
      <c r="Q108">
        <f>IFERROR(INDEX(装备库!$A$2:$Y$1047,MATCH(ROW()-1,装备库!$AO$2:$AO$1046,0),COLUMN()),"")</f>
        <v>0</v>
      </c>
      <c r="R108">
        <f>IFERROR(INDEX(装备库!$A$2:$Y$1047,MATCH(ROW()-1,装备库!$AO$2:$AO$1046,0),COLUMN()),"")</f>
        <v>0</v>
      </c>
      <c r="S108">
        <f>IFERROR(INDEX(装备库!$A$2:$Y$1047,MATCH(ROW()-1,装备库!$AO$2:$AO$1046,0),COLUMN()),"")</f>
        <v>1</v>
      </c>
      <c r="T108">
        <f>IFERROR(INDEX(装备库!$A$2:$Y$1047,MATCH(ROW()-1,装备库!$AO$2:$AO$1046,0),COLUMN()),"")</f>
        <v>0</v>
      </c>
      <c r="U108">
        <f>IFERROR(INDEX(装备库!$A$2:$Y$1047,MATCH(ROW()-1,装备库!$AO$2:$AO$1046,0),COLUMN()),"")</f>
        <v>1</v>
      </c>
      <c r="V108">
        <f>IFERROR(INDEX(装备库!$A$2:$Y$1047,MATCH(ROW()-1,装备库!$AO$2:$AO$1046,0),COLUMN()),"")</f>
        <v>0</v>
      </c>
      <c r="W108" t="str">
        <f>IFERROR(INDEX(装备库!$A$2:$Y$1047,MATCH(ROW()-1,装备库!$AO$2:$AO$1046,0),COLUMN()),"")</f>
        <v>精简攻无</v>
      </c>
      <c r="X108">
        <f>IFERROR(INDEX(装备库!$A$2:$Y$1047,MATCH(ROW()-1,装备库!$AO$2:$AO$1046,0),COLUMN()),"")</f>
        <v>3</v>
      </c>
      <c r="Y108" t="str">
        <f>IFERROR(INDEX(装备库!$A$2:$Y$1047,MATCH(ROW()-1,装备库!$AO$2:$AO$1046,0),COLUMN()),"")</f>
        <v>活动</v>
      </c>
    </row>
    <row r="109" spans="1:25" x14ac:dyDescent="0.35">
      <c r="A109" t="str">
        <f>IFERROR(INDEX(装备库!$A$2:$Y$1047,MATCH(ROW()-1,装备库!$AO$2:$AO$1046,0),COLUMN()),"")</f>
        <v>护手</v>
      </c>
      <c r="B109" t="str">
        <f>IFERROR(INDEX(装备库!$A$2:$Y$1047,MATCH(ROW()-1,装备库!$AO$2:$AO$1046,0),COLUMN()),"")</f>
        <v>无封护臂</v>
      </c>
      <c r="C109">
        <f>IFERROR(INDEX(装备库!$A$2:$Y$1047,MATCH(ROW()-1,装备库!$AO$2:$AO$1046,0),COLUMN()),"")</f>
        <v>10600</v>
      </c>
      <c r="D109" t="str">
        <f>IFERROR(INDEX(装备库!$A$2:$Y$1047,MATCH(ROW()-1,装备库!$AO$2:$AO$1046,0),COLUMN()),"")</f>
        <v>无封护臂(10600精简攻会会无)</v>
      </c>
      <c r="E109">
        <f>IFERROR(INDEX(装备库!$A$2:$Y$1047,MATCH(ROW()-1,装备库!$AO$2:$AO$1046,0),COLUMN()),"")</f>
        <v>0</v>
      </c>
      <c r="F109">
        <f>IFERROR(INDEX(装备库!$A$2:$Y$1047,MATCH(ROW()-1,装备库!$AO$2:$AO$1046,0),COLUMN()),"")</f>
        <v>1875</v>
      </c>
      <c r="G109">
        <f>IFERROR(INDEX(装备库!$A$2:$Y$1047,MATCH(ROW()-1,装备库!$AO$2:$AO$1046,0),COLUMN()),"")</f>
        <v>2744</v>
      </c>
      <c r="H109">
        <f>IFERROR(INDEX(装备库!$A$2:$Y$1047,MATCH(ROW()-1,装备库!$AO$2:$AO$1046,0),COLUMN()),"")</f>
        <v>1444</v>
      </c>
      <c r="I109">
        <f>IFERROR(INDEX(装备库!$A$2:$Y$1047,MATCH(ROW()-1,装备库!$AO$2:$AO$1046,0),COLUMN()),"")</f>
        <v>0</v>
      </c>
      <c r="J109">
        <f>IFERROR(INDEX(装备库!$A$2:$Y$1047,MATCH(ROW()-1,装备库!$AO$2:$AO$1046,0),COLUMN()),"")</f>
        <v>0</v>
      </c>
      <c r="K109">
        <f>IFERROR(INDEX(装备库!$A$2:$Y$1047,MATCH(ROW()-1,装备库!$AO$2:$AO$1046,0),COLUMN()),"")</f>
        <v>1444</v>
      </c>
      <c r="L109">
        <f>IFERROR(INDEX(装备库!$A$2:$Y$1047,MATCH(ROW()-1,装备库!$AO$2:$AO$1046,0),COLUMN()),"")</f>
        <v>0</v>
      </c>
      <c r="M109">
        <f>IFERROR(INDEX(装备库!$A$2:$Y$1047,MATCH(ROW()-1,装备库!$AO$2:$AO$1046,0),COLUMN()),"")</f>
        <v>0</v>
      </c>
      <c r="N109">
        <f>IFERROR(INDEX(装备库!$A$2:$Y$1047,MATCH(ROW()-1,装备库!$AO$2:$AO$1046,0),COLUMN()),"")</f>
        <v>0</v>
      </c>
      <c r="O109">
        <f>IFERROR(INDEX(装备库!$A$2:$Y$1047,MATCH(ROW()-1,装备库!$AO$2:$AO$1046,0),COLUMN()),"")</f>
        <v>0</v>
      </c>
      <c r="P109">
        <f>IFERROR(INDEX(装备库!$A$2:$Y$1047,MATCH(ROW()-1,装备库!$AO$2:$AO$1046,0),COLUMN()),"")</f>
        <v>0</v>
      </c>
      <c r="Q109">
        <f>IFERROR(INDEX(装备库!$A$2:$Y$1047,MATCH(ROW()-1,装备库!$AO$2:$AO$1046,0),COLUMN()),"")</f>
        <v>0</v>
      </c>
      <c r="R109">
        <f>IFERROR(INDEX(装备库!$A$2:$Y$1047,MATCH(ROW()-1,装备库!$AO$2:$AO$1046,0),COLUMN()),"")</f>
        <v>0</v>
      </c>
      <c r="S109">
        <f>IFERROR(INDEX(装备库!$A$2:$Y$1047,MATCH(ROW()-1,装备库!$AO$2:$AO$1046,0),COLUMN()),"")</f>
        <v>1</v>
      </c>
      <c r="T109">
        <f>IFERROR(INDEX(装备库!$A$2:$Y$1047,MATCH(ROW()-1,装备库!$AO$2:$AO$1046,0),COLUMN()),"")</f>
        <v>0</v>
      </c>
      <c r="U109">
        <f>IFERROR(INDEX(装备库!$A$2:$Y$1047,MATCH(ROW()-1,装备库!$AO$2:$AO$1046,0),COLUMN()),"")</f>
        <v>1</v>
      </c>
      <c r="V109">
        <f>IFERROR(INDEX(装备库!$A$2:$Y$1047,MATCH(ROW()-1,装备库!$AO$2:$AO$1046,0),COLUMN()),"")</f>
        <v>0</v>
      </c>
      <c r="W109" t="str">
        <f>IFERROR(INDEX(装备库!$A$2:$Y$1047,MATCH(ROW()-1,装备库!$AO$2:$AO$1046,0),COLUMN()),"")</f>
        <v>精简攻会会无</v>
      </c>
      <c r="X109">
        <f>IFERROR(INDEX(装备库!$A$2:$Y$1047,MATCH(ROW()-1,装备库!$AO$2:$AO$1046,0),COLUMN()),"")</f>
        <v>3</v>
      </c>
      <c r="Y109" t="str">
        <f>IFERROR(INDEX(装备库!$A$2:$Y$1047,MATCH(ROW()-1,装备库!$AO$2:$AO$1046,0),COLUMN()),"")</f>
        <v>活动</v>
      </c>
    </row>
    <row r="110" spans="1:25" x14ac:dyDescent="0.35">
      <c r="A110" t="str">
        <f>IFERROR(INDEX(装备库!$A$2:$Y$1047,MATCH(ROW()-1,装备库!$AO$2:$AO$1046,0),COLUMN()),"")</f>
        <v>护手</v>
      </c>
      <c r="B110" t="str">
        <f>IFERROR(INDEX(装备库!$A$2:$Y$1047,MATCH(ROW()-1,装备库!$AO$2:$AO$1046,0),COLUMN()),"")</f>
        <v>无封护臂</v>
      </c>
      <c r="C110">
        <f>IFERROR(INDEX(装备库!$A$2:$Y$1047,MATCH(ROW()-1,装备库!$AO$2:$AO$1046,0),COLUMN()),"")</f>
        <v>10900</v>
      </c>
      <c r="D110" t="str">
        <f>IFERROR(INDEX(装备库!$A$2:$Y$1047,MATCH(ROW()-1,装备库!$AO$2:$AO$1046,0),COLUMN()),"")</f>
        <v>无封护臂(10900精简攻会破)</v>
      </c>
      <c r="E110">
        <f>IFERROR(INDEX(装备库!$A$2:$Y$1047,MATCH(ROW()-1,装备库!$AO$2:$AO$1046,0),COLUMN()),"")</f>
        <v>0</v>
      </c>
      <c r="F110">
        <f>IFERROR(INDEX(装备库!$A$2:$Y$1047,MATCH(ROW()-1,装备库!$AO$2:$AO$1046,0),COLUMN()),"")</f>
        <v>1928</v>
      </c>
      <c r="G110">
        <f>IFERROR(INDEX(装备库!$A$2:$Y$1047,MATCH(ROW()-1,装备库!$AO$2:$AO$1046,0),COLUMN()),"")</f>
        <v>2970</v>
      </c>
      <c r="H110">
        <f>IFERROR(INDEX(装备库!$A$2:$Y$1047,MATCH(ROW()-1,装备库!$AO$2:$AO$1046,0),COLUMN()),"")</f>
        <v>0</v>
      </c>
      <c r="I110">
        <f>IFERROR(INDEX(装备库!$A$2:$Y$1047,MATCH(ROW()-1,装备库!$AO$2:$AO$1046,0),COLUMN()),"")</f>
        <v>2970</v>
      </c>
      <c r="J110">
        <f>IFERROR(INDEX(装备库!$A$2:$Y$1047,MATCH(ROW()-1,装备库!$AO$2:$AO$1046,0),COLUMN()),"")</f>
        <v>0</v>
      </c>
      <c r="K110">
        <f>IFERROR(INDEX(装备库!$A$2:$Y$1047,MATCH(ROW()-1,装备库!$AO$2:$AO$1046,0),COLUMN()),"")</f>
        <v>0</v>
      </c>
      <c r="L110">
        <f>IFERROR(INDEX(装备库!$A$2:$Y$1047,MATCH(ROW()-1,装备库!$AO$2:$AO$1046,0),COLUMN()),"")</f>
        <v>0</v>
      </c>
      <c r="M110">
        <f>IFERROR(INDEX(装备库!$A$2:$Y$1047,MATCH(ROW()-1,装备库!$AO$2:$AO$1046,0),COLUMN()),"")</f>
        <v>0</v>
      </c>
      <c r="N110">
        <f>IFERROR(INDEX(装备库!$A$2:$Y$1047,MATCH(ROW()-1,装备库!$AO$2:$AO$1046,0),COLUMN()),"")</f>
        <v>0</v>
      </c>
      <c r="O110">
        <f>IFERROR(INDEX(装备库!$A$2:$Y$1047,MATCH(ROW()-1,装备库!$AO$2:$AO$1046,0),COLUMN()),"")</f>
        <v>0</v>
      </c>
      <c r="P110">
        <f>IFERROR(INDEX(装备库!$A$2:$Y$1047,MATCH(ROW()-1,装备库!$AO$2:$AO$1046,0),COLUMN()),"")</f>
        <v>1</v>
      </c>
      <c r="Q110">
        <f>IFERROR(INDEX(装备库!$A$2:$Y$1047,MATCH(ROW()-1,装备库!$AO$2:$AO$1046,0),COLUMN()),"")</f>
        <v>0</v>
      </c>
      <c r="R110">
        <f>IFERROR(INDEX(装备库!$A$2:$Y$1047,MATCH(ROW()-1,装备库!$AO$2:$AO$1046,0),COLUMN()),"")</f>
        <v>0</v>
      </c>
      <c r="S110">
        <f>IFERROR(INDEX(装备库!$A$2:$Y$1047,MATCH(ROW()-1,装备库!$AO$2:$AO$1046,0),COLUMN()),"")</f>
        <v>0</v>
      </c>
      <c r="T110">
        <f>IFERROR(INDEX(装备库!$A$2:$Y$1047,MATCH(ROW()-1,装备库!$AO$2:$AO$1046,0),COLUMN()),"")</f>
        <v>1</v>
      </c>
      <c r="U110">
        <f>IFERROR(INDEX(装备库!$A$2:$Y$1047,MATCH(ROW()-1,装备库!$AO$2:$AO$1046,0),COLUMN()),"")</f>
        <v>0</v>
      </c>
      <c r="V110">
        <f>IFERROR(INDEX(装备库!$A$2:$Y$1047,MATCH(ROW()-1,装备库!$AO$2:$AO$1046,0),COLUMN()),"")</f>
        <v>0</v>
      </c>
      <c r="W110" t="str">
        <f>IFERROR(INDEX(装备库!$A$2:$Y$1047,MATCH(ROW()-1,装备库!$AO$2:$AO$1046,0),COLUMN()),"")</f>
        <v>精简攻会破</v>
      </c>
      <c r="X110">
        <f>IFERROR(INDEX(装备库!$A$2:$Y$1047,MATCH(ROW()-1,装备库!$AO$2:$AO$1046,0),COLUMN()),"")</f>
        <v>3</v>
      </c>
      <c r="Y110" t="str">
        <f>IFERROR(INDEX(装备库!$A$2:$Y$1047,MATCH(ROW()-1,装备库!$AO$2:$AO$1046,0),COLUMN()),"")</f>
        <v>活动</v>
      </c>
    </row>
    <row r="111" spans="1:25" x14ac:dyDescent="0.35">
      <c r="A111" t="str">
        <f>IFERROR(INDEX(装备库!$A$2:$Y$1047,MATCH(ROW()-1,装备库!$AO$2:$AO$1046,0),COLUMN()),"")</f>
        <v>护手</v>
      </c>
      <c r="B111" t="str">
        <f>IFERROR(INDEX(装备库!$A$2:$Y$1047,MATCH(ROW()-1,装备库!$AO$2:$AO$1046,0),COLUMN()),"")</f>
        <v>无封护臂</v>
      </c>
      <c r="C111">
        <f>IFERROR(INDEX(装备库!$A$2:$Y$1047,MATCH(ROW()-1,装备库!$AO$2:$AO$1046,0),COLUMN()),"")</f>
        <v>10900</v>
      </c>
      <c r="D111" t="str">
        <f>IFERROR(INDEX(装备库!$A$2:$Y$1047,MATCH(ROW()-1,装备库!$AO$2:$AO$1046,0),COLUMN()),"")</f>
        <v>无封护臂(10900精简攻会会破)</v>
      </c>
      <c r="E111">
        <f>IFERROR(INDEX(装备库!$A$2:$Y$1047,MATCH(ROW()-1,装备库!$AO$2:$AO$1046,0),COLUMN()),"")</f>
        <v>0</v>
      </c>
      <c r="F111">
        <f>IFERROR(INDEX(装备库!$A$2:$Y$1047,MATCH(ROW()-1,装备库!$AO$2:$AO$1046,0),COLUMN()),"")</f>
        <v>1928</v>
      </c>
      <c r="G111">
        <f>IFERROR(INDEX(装备库!$A$2:$Y$1047,MATCH(ROW()-1,装备库!$AO$2:$AO$1046,0),COLUMN()),"")</f>
        <v>2228</v>
      </c>
      <c r="H111">
        <f>IFERROR(INDEX(装备库!$A$2:$Y$1047,MATCH(ROW()-1,装备库!$AO$2:$AO$1046,0),COLUMN()),"")</f>
        <v>1485</v>
      </c>
      <c r="I111">
        <f>IFERROR(INDEX(装备库!$A$2:$Y$1047,MATCH(ROW()-1,装备库!$AO$2:$AO$1046,0),COLUMN()),"")</f>
        <v>2079</v>
      </c>
      <c r="J111">
        <f>IFERROR(INDEX(装备库!$A$2:$Y$1047,MATCH(ROW()-1,装备库!$AO$2:$AO$1046,0),COLUMN()),"")</f>
        <v>0</v>
      </c>
      <c r="K111">
        <f>IFERROR(INDEX(装备库!$A$2:$Y$1047,MATCH(ROW()-1,装备库!$AO$2:$AO$1046,0),COLUMN()),"")</f>
        <v>0</v>
      </c>
      <c r="L111">
        <f>IFERROR(INDEX(装备库!$A$2:$Y$1047,MATCH(ROW()-1,装备库!$AO$2:$AO$1046,0),COLUMN()),"")</f>
        <v>0</v>
      </c>
      <c r="M111">
        <f>IFERROR(INDEX(装备库!$A$2:$Y$1047,MATCH(ROW()-1,装备库!$AO$2:$AO$1046,0),COLUMN()),"")</f>
        <v>0</v>
      </c>
      <c r="N111">
        <f>IFERROR(INDEX(装备库!$A$2:$Y$1047,MATCH(ROW()-1,装备库!$AO$2:$AO$1046,0),COLUMN()),"")</f>
        <v>0</v>
      </c>
      <c r="O111">
        <f>IFERROR(INDEX(装备库!$A$2:$Y$1047,MATCH(ROW()-1,装备库!$AO$2:$AO$1046,0),COLUMN()),"")</f>
        <v>0</v>
      </c>
      <c r="P111">
        <f>IFERROR(INDEX(装备库!$A$2:$Y$1047,MATCH(ROW()-1,装备库!$AO$2:$AO$1046,0),COLUMN()),"")</f>
        <v>0</v>
      </c>
      <c r="Q111">
        <f>IFERROR(INDEX(装备库!$A$2:$Y$1047,MATCH(ROW()-1,装备库!$AO$2:$AO$1046,0),COLUMN()),"")</f>
        <v>0</v>
      </c>
      <c r="R111">
        <f>IFERROR(INDEX(装备库!$A$2:$Y$1047,MATCH(ROW()-1,装备库!$AO$2:$AO$1046,0),COLUMN()),"")</f>
        <v>0</v>
      </c>
      <c r="S111">
        <f>IFERROR(INDEX(装备库!$A$2:$Y$1047,MATCH(ROW()-1,装备库!$AO$2:$AO$1046,0),COLUMN()),"")</f>
        <v>1</v>
      </c>
      <c r="T111">
        <f>IFERROR(INDEX(装备库!$A$2:$Y$1047,MATCH(ROW()-1,装备库!$AO$2:$AO$1046,0),COLUMN()),"")</f>
        <v>1</v>
      </c>
      <c r="U111">
        <f>IFERROR(INDEX(装备库!$A$2:$Y$1047,MATCH(ROW()-1,装备库!$AO$2:$AO$1046,0),COLUMN()),"")</f>
        <v>0</v>
      </c>
      <c r="V111">
        <f>IFERROR(INDEX(装备库!$A$2:$Y$1047,MATCH(ROW()-1,装备库!$AO$2:$AO$1046,0),COLUMN()),"")</f>
        <v>0</v>
      </c>
      <c r="W111" t="str">
        <f>IFERROR(INDEX(装备库!$A$2:$Y$1047,MATCH(ROW()-1,装备库!$AO$2:$AO$1046,0),COLUMN()),"")</f>
        <v>精简攻会会破</v>
      </c>
      <c r="X111">
        <f>IFERROR(INDEX(装备库!$A$2:$Y$1047,MATCH(ROW()-1,装备库!$AO$2:$AO$1046,0),COLUMN()),"")</f>
        <v>3</v>
      </c>
      <c r="Y111" t="str">
        <f>IFERROR(INDEX(装备库!$A$2:$Y$1047,MATCH(ROW()-1,装备库!$AO$2:$AO$1046,0),COLUMN()),"")</f>
        <v>活动</v>
      </c>
    </row>
    <row r="112" spans="1:25" x14ac:dyDescent="0.35">
      <c r="A112" t="str">
        <f>IFERROR(INDEX(装备库!$A$2:$Y$1047,MATCH(ROW()-1,装备库!$AO$2:$AO$1046,0),COLUMN()),"")</f>
        <v>护手</v>
      </c>
      <c r="B112" t="str">
        <f>IFERROR(INDEX(装备库!$A$2:$Y$1047,MATCH(ROW()-1,装备库!$AO$2:$AO$1046,0),COLUMN()),"")</f>
        <v>无封护臂</v>
      </c>
      <c r="C112">
        <f>IFERROR(INDEX(装备库!$A$2:$Y$1047,MATCH(ROW()-1,装备库!$AO$2:$AO$1046,0),COLUMN()),"")</f>
        <v>10900</v>
      </c>
      <c r="D112" t="str">
        <f>IFERROR(INDEX(装备库!$A$2:$Y$1047,MATCH(ROW()-1,装备库!$AO$2:$AO$1046,0),COLUMN()),"")</f>
        <v>无封护臂(10900精简攻会)</v>
      </c>
      <c r="E112">
        <f>IFERROR(INDEX(装备库!$A$2:$Y$1047,MATCH(ROW()-1,装备库!$AO$2:$AO$1046,0),COLUMN()),"")</f>
        <v>0</v>
      </c>
      <c r="F112">
        <f>IFERROR(INDEX(装备库!$A$2:$Y$1047,MATCH(ROW()-1,装备库!$AO$2:$AO$1046,0),COLUMN()),"")</f>
        <v>2260</v>
      </c>
      <c r="G112">
        <f>IFERROR(INDEX(装备库!$A$2:$Y$1047,MATCH(ROW()-1,装备库!$AO$2:$AO$1046,0),COLUMN()),"")</f>
        <v>5124</v>
      </c>
      <c r="H112">
        <f>IFERROR(INDEX(装备库!$A$2:$Y$1047,MATCH(ROW()-1,装备库!$AO$2:$AO$1046,0),COLUMN()),"")</f>
        <v>0</v>
      </c>
      <c r="I112">
        <f>IFERROR(INDEX(装备库!$A$2:$Y$1047,MATCH(ROW()-1,装备库!$AO$2:$AO$1046,0),COLUMN()),"")</f>
        <v>0</v>
      </c>
      <c r="J112">
        <f>IFERROR(INDEX(装备库!$A$2:$Y$1047,MATCH(ROW()-1,装备库!$AO$2:$AO$1046,0),COLUMN()),"")</f>
        <v>0</v>
      </c>
      <c r="K112">
        <f>IFERROR(INDEX(装备库!$A$2:$Y$1047,MATCH(ROW()-1,装备库!$AO$2:$AO$1046,0),COLUMN()),"")</f>
        <v>0</v>
      </c>
      <c r="L112">
        <f>IFERROR(INDEX(装备库!$A$2:$Y$1047,MATCH(ROW()-1,装备库!$AO$2:$AO$1046,0),COLUMN()),"")</f>
        <v>0</v>
      </c>
      <c r="M112">
        <f>IFERROR(INDEX(装备库!$A$2:$Y$1047,MATCH(ROW()-1,装备库!$AO$2:$AO$1046,0),COLUMN()),"")</f>
        <v>0</v>
      </c>
      <c r="N112">
        <f>IFERROR(INDEX(装备库!$A$2:$Y$1047,MATCH(ROW()-1,装备库!$AO$2:$AO$1046,0),COLUMN()),"")</f>
        <v>0</v>
      </c>
      <c r="O112">
        <f>IFERROR(INDEX(装备库!$A$2:$Y$1047,MATCH(ROW()-1,装备库!$AO$2:$AO$1046,0),COLUMN()),"")</f>
        <v>0</v>
      </c>
      <c r="P112">
        <f>IFERROR(INDEX(装备库!$A$2:$Y$1047,MATCH(ROW()-1,装备库!$AO$2:$AO$1046,0),COLUMN()),"")</f>
        <v>0</v>
      </c>
      <c r="Q112">
        <f>IFERROR(INDEX(装备库!$A$2:$Y$1047,MATCH(ROW()-1,装备库!$AO$2:$AO$1046,0),COLUMN()),"")</f>
        <v>1</v>
      </c>
      <c r="R112">
        <f>IFERROR(INDEX(装备库!$A$2:$Y$1047,MATCH(ROW()-1,装备库!$AO$2:$AO$1046,0),COLUMN()),"")</f>
        <v>1</v>
      </c>
      <c r="S112">
        <f>IFERROR(INDEX(装备库!$A$2:$Y$1047,MATCH(ROW()-1,装备库!$AO$2:$AO$1046,0),COLUMN()),"")</f>
        <v>0</v>
      </c>
      <c r="T112">
        <f>IFERROR(INDEX(装备库!$A$2:$Y$1047,MATCH(ROW()-1,装备库!$AO$2:$AO$1046,0),COLUMN()),"")</f>
        <v>0</v>
      </c>
      <c r="U112">
        <f>IFERROR(INDEX(装备库!$A$2:$Y$1047,MATCH(ROW()-1,装备库!$AO$2:$AO$1046,0),COLUMN()),"")</f>
        <v>0</v>
      </c>
      <c r="V112">
        <f>IFERROR(INDEX(装备库!$A$2:$Y$1047,MATCH(ROW()-1,装备库!$AO$2:$AO$1046,0),COLUMN()),"")</f>
        <v>0</v>
      </c>
      <c r="W112" t="str">
        <f>IFERROR(INDEX(装备库!$A$2:$Y$1047,MATCH(ROW()-1,装备库!$AO$2:$AO$1046,0),COLUMN()),"")</f>
        <v>精简攻会</v>
      </c>
      <c r="X112">
        <f>IFERROR(INDEX(装备库!$A$2:$Y$1047,MATCH(ROW()-1,装备库!$AO$2:$AO$1046,0),COLUMN()),"")</f>
        <v>3</v>
      </c>
      <c r="Y112" t="str">
        <f>IFERROR(INDEX(装备库!$A$2:$Y$1047,MATCH(ROW()-1,装备库!$AO$2:$AO$1046,0),COLUMN()),"")</f>
        <v>活动</v>
      </c>
    </row>
    <row r="113" spans="1:25" x14ac:dyDescent="0.35">
      <c r="A113" t="str">
        <f>IFERROR(INDEX(装备库!$A$2:$Y$1047,MATCH(ROW()-1,装备库!$AO$2:$AO$1046,0),COLUMN()),"")</f>
        <v>护手</v>
      </c>
      <c r="B113" t="str">
        <f>IFERROR(INDEX(装备库!$A$2:$Y$1047,MATCH(ROW()-1,装备库!$AO$2:$AO$1046,0),COLUMN()),"")</f>
        <v>寻踪觅宝·盼归袖</v>
      </c>
      <c r="C113">
        <f>IFERROR(INDEX(装备库!$A$2:$Y$1047,MATCH(ROW()-1,装备库!$AO$2:$AO$1046,0),COLUMN()),"")</f>
        <v>11000</v>
      </c>
      <c r="D113" t="str">
        <f>IFERROR(INDEX(装备库!$A$2:$Y$1047,MATCH(ROW()-1,装备库!$AO$2:$AO$1046,0),COLUMN()),"")</f>
        <v>寻踪觅宝·盼归袖(11000招破)</v>
      </c>
      <c r="E113">
        <f>IFERROR(INDEX(装备库!$A$2:$Y$1047,MATCH(ROW()-1,装备库!$AO$2:$AO$1046,0),COLUMN()),"")</f>
        <v>538</v>
      </c>
      <c r="F113">
        <f>IFERROR(INDEX(装备库!$A$2:$Y$1047,MATCH(ROW()-1,装备库!$AO$2:$AO$1046,0),COLUMN()),"")</f>
        <v>872</v>
      </c>
      <c r="G113">
        <f>IFERROR(INDEX(装备库!$A$2:$Y$1047,MATCH(ROW()-1,装备库!$AO$2:$AO$1046,0),COLUMN()),"")</f>
        <v>0</v>
      </c>
      <c r="H113">
        <f>IFERROR(INDEX(装备库!$A$2:$Y$1047,MATCH(ROW()-1,装备库!$AO$2:$AO$1046,0),COLUMN()),"")</f>
        <v>0</v>
      </c>
      <c r="I113">
        <f>IFERROR(INDEX(装备库!$A$2:$Y$1047,MATCH(ROW()-1,装备库!$AO$2:$AO$1046,0),COLUMN()),"")</f>
        <v>2698</v>
      </c>
      <c r="J113">
        <f>IFERROR(INDEX(装备库!$A$2:$Y$1047,MATCH(ROW()-1,装备库!$AO$2:$AO$1046,0),COLUMN()),"")</f>
        <v>2398</v>
      </c>
      <c r="K113">
        <f>IFERROR(INDEX(装备库!$A$2:$Y$1047,MATCH(ROW()-1,装备库!$AO$2:$AO$1046,0),COLUMN()),"")</f>
        <v>0</v>
      </c>
      <c r="L113">
        <f>IFERROR(INDEX(装备库!$A$2:$Y$1047,MATCH(ROW()-1,装备库!$AO$2:$AO$1046,0),COLUMN()),"")</f>
        <v>0</v>
      </c>
      <c r="M113">
        <f>IFERROR(INDEX(装备库!$A$2:$Y$1047,MATCH(ROW()-1,装备库!$AO$2:$AO$1046,0),COLUMN()),"")</f>
        <v>0</v>
      </c>
      <c r="N113">
        <f>IFERROR(INDEX(装备库!$A$2:$Y$1047,MATCH(ROW()-1,装备库!$AO$2:$AO$1046,0),COLUMN()),"")</f>
        <v>0</v>
      </c>
      <c r="O113">
        <f>IFERROR(INDEX(装备库!$A$2:$Y$1047,MATCH(ROW()-1,装备库!$AO$2:$AO$1046,0),COLUMN()),"")</f>
        <v>0</v>
      </c>
      <c r="P113">
        <f>IFERROR(INDEX(装备库!$A$2:$Y$1047,MATCH(ROW()-1,装备库!$AO$2:$AO$1046,0),COLUMN()),"")</f>
        <v>1</v>
      </c>
      <c r="Q113">
        <f>IFERROR(INDEX(装备库!$A$2:$Y$1047,MATCH(ROW()-1,装备库!$AO$2:$AO$1046,0),COLUMN()),"")</f>
        <v>0</v>
      </c>
      <c r="R113">
        <f>IFERROR(INDEX(装备库!$A$2:$Y$1047,MATCH(ROW()-1,装备库!$AO$2:$AO$1046,0),COLUMN()),"")</f>
        <v>0</v>
      </c>
      <c r="S113">
        <f>IFERROR(INDEX(装备库!$A$2:$Y$1047,MATCH(ROW()-1,装备库!$AO$2:$AO$1046,0),COLUMN()),"")</f>
        <v>1</v>
      </c>
      <c r="T113">
        <f>IFERROR(INDEX(装备库!$A$2:$Y$1047,MATCH(ROW()-1,装备库!$AO$2:$AO$1046,0),COLUMN()),"")</f>
        <v>0</v>
      </c>
      <c r="U113">
        <f>IFERROR(INDEX(装备库!$A$2:$Y$1047,MATCH(ROW()-1,装备库!$AO$2:$AO$1046,0),COLUMN()),"")</f>
        <v>0</v>
      </c>
      <c r="V113">
        <f>IFERROR(INDEX(装备库!$A$2:$Y$1047,MATCH(ROW()-1,装备库!$AO$2:$AO$1046,0),COLUMN()),"")</f>
        <v>0</v>
      </c>
      <c r="W113" t="str">
        <f>IFERROR(INDEX(装备库!$A$2:$Y$1047,MATCH(ROW()-1,装备库!$AO$2:$AO$1046,0),COLUMN()),"")</f>
        <v>招破</v>
      </c>
      <c r="X113">
        <f>IFERROR(INDEX(装备库!$A$2:$Y$1047,MATCH(ROW()-1,装备库!$AO$2:$AO$1046,0),COLUMN()),"")</f>
        <v>6</v>
      </c>
      <c r="Y113" t="str">
        <f>IFERROR(INDEX(装备库!$A$2:$Y$1047,MATCH(ROW()-1,装备库!$AO$2:$AO$1046,0),COLUMN()),"")</f>
        <v>挖宝</v>
      </c>
    </row>
    <row r="114" spans="1:25" x14ac:dyDescent="0.35">
      <c r="A114" t="str">
        <f>IFERROR(INDEX(装备库!$A$2:$Y$1047,MATCH(ROW()-1,装备库!$AO$2:$AO$1046,0),COLUMN()),"")</f>
        <v>护手</v>
      </c>
      <c r="B114" t="str">
        <f>IFERROR(INDEX(装备库!$A$2:$Y$1047,MATCH(ROW()-1,装备库!$AO$2:$AO$1046,0),COLUMN()),"")</f>
        <v>【门派套装】揽江·诛翳护手</v>
      </c>
      <c r="C114">
        <f>IFERROR(INDEX(装备库!$A$2:$Y$1047,MATCH(ROW()-1,装备库!$AO$2:$AO$1046,0),COLUMN()),"")</f>
        <v>11000</v>
      </c>
      <c r="D114" t="str">
        <f>IFERROR(INDEX(装备库!$A$2:$Y$1047,MATCH(ROW()-1,装备库!$AO$2:$AO$1046,0),COLUMN()),"")</f>
        <v>【门派套装】揽江·诛翳护手(11000会招)</v>
      </c>
      <c r="E114">
        <f>IFERROR(INDEX(装备库!$A$2:$Y$1047,MATCH(ROW()-1,装备库!$AO$2:$AO$1046,0),COLUMN()),"")</f>
        <v>538</v>
      </c>
      <c r="F114">
        <f>IFERROR(INDEX(装备库!$A$2:$Y$1047,MATCH(ROW()-1,装备库!$AO$2:$AO$1046,0),COLUMN()),"")</f>
        <v>872</v>
      </c>
      <c r="G114">
        <f>IFERROR(INDEX(装备库!$A$2:$Y$1047,MATCH(ROW()-1,装备库!$AO$2:$AO$1046,0),COLUMN()),"")</f>
        <v>2698</v>
      </c>
      <c r="H114">
        <f>IFERROR(INDEX(装备库!$A$2:$Y$1047,MATCH(ROW()-1,装备库!$AO$2:$AO$1046,0),COLUMN()),"")</f>
        <v>0</v>
      </c>
      <c r="I114">
        <f>IFERROR(INDEX(装备库!$A$2:$Y$1047,MATCH(ROW()-1,装备库!$AO$2:$AO$1046,0),COLUMN()),"")</f>
        <v>0</v>
      </c>
      <c r="J114">
        <f>IFERROR(INDEX(装备库!$A$2:$Y$1047,MATCH(ROW()-1,装备库!$AO$2:$AO$1046,0),COLUMN()),"")</f>
        <v>2398</v>
      </c>
      <c r="K114">
        <f>IFERROR(INDEX(装备库!$A$2:$Y$1047,MATCH(ROW()-1,装备库!$AO$2:$AO$1046,0),COLUMN()),"")</f>
        <v>0</v>
      </c>
      <c r="L114">
        <f>IFERROR(INDEX(装备库!$A$2:$Y$1047,MATCH(ROW()-1,装备库!$AO$2:$AO$1046,0),COLUMN()),"")</f>
        <v>0</v>
      </c>
      <c r="M114">
        <f>IFERROR(INDEX(装备库!$A$2:$Y$1047,MATCH(ROW()-1,装备库!$AO$2:$AO$1046,0),COLUMN()),"")</f>
        <v>0</v>
      </c>
      <c r="N114">
        <f>IFERROR(INDEX(装备库!$A$2:$Y$1047,MATCH(ROW()-1,装备库!$AO$2:$AO$1046,0),COLUMN()),"")</f>
        <v>0</v>
      </c>
      <c r="O114">
        <f>IFERROR(INDEX(装备库!$A$2:$Y$1047,MATCH(ROW()-1,装备库!$AO$2:$AO$1046,0),COLUMN()),"")</f>
        <v>1</v>
      </c>
      <c r="P114">
        <f>IFERROR(INDEX(装备库!$A$2:$Y$1047,MATCH(ROW()-1,装备库!$AO$2:$AO$1046,0),COLUMN()),"")</f>
        <v>1</v>
      </c>
      <c r="Q114">
        <f>IFERROR(INDEX(装备库!$A$2:$Y$1047,MATCH(ROW()-1,装备库!$AO$2:$AO$1046,0),COLUMN()),"")</f>
        <v>0</v>
      </c>
      <c r="R114">
        <f>IFERROR(INDEX(装备库!$A$2:$Y$1047,MATCH(ROW()-1,装备库!$AO$2:$AO$1046,0),COLUMN()),"")</f>
        <v>0</v>
      </c>
      <c r="S114">
        <f>IFERROR(INDEX(装备库!$A$2:$Y$1047,MATCH(ROW()-1,装备库!$AO$2:$AO$1046,0),COLUMN()),"")</f>
        <v>0</v>
      </c>
      <c r="T114">
        <f>IFERROR(INDEX(装备库!$A$2:$Y$1047,MATCH(ROW()-1,装备库!$AO$2:$AO$1046,0),COLUMN()),"")</f>
        <v>0</v>
      </c>
      <c r="U114">
        <f>IFERROR(INDEX(装备库!$A$2:$Y$1047,MATCH(ROW()-1,装备库!$AO$2:$AO$1046,0),COLUMN()),"")</f>
        <v>0</v>
      </c>
      <c r="V114">
        <f>IFERROR(INDEX(装备库!$A$2:$Y$1047,MATCH(ROW()-1,装备库!$AO$2:$AO$1046,0),COLUMN()),"")</f>
        <v>0</v>
      </c>
      <c r="W114" t="str">
        <f>IFERROR(INDEX(装备库!$A$2:$Y$1047,MATCH(ROW()-1,装备库!$AO$2:$AO$1046,0),COLUMN()),"")</f>
        <v>会招</v>
      </c>
      <c r="X114">
        <f>IFERROR(INDEX(装备库!$A$2:$Y$1047,MATCH(ROW()-1,装备库!$AO$2:$AO$1046,0),COLUMN()),"")</f>
        <v>6</v>
      </c>
      <c r="Y114" t="str">
        <f>IFERROR(INDEX(装备库!$A$2:$Y$1047,MATCH(ROW()-1,装备库!$AO$2:$AO$1046,0),COLUMN()),"")</f>
        <v>兑换牌</v>
      </c>
    </row>
    <row r="115" spans="1:25" x14ac:dyDescent="0.35">
      <c r="A115" t="str">
        <f>IFERROR(INDEX(装备库!$A$2:$Y$1047,MATCH(ROW()-1,装备库!$AO$2:$AO$1046,0),COLUMN()),"")</f>
        <v>护手</v>
      </c>
      <c r="B115" t="str">
        <f>IFERROR(INDEX(装备库!$A$2:$Y$1047,MATCH(ROW()-1,装备库!$AO$2:$AO$1046,0),COLUMN()),"")</f>
        <v>风销残烟·承平护手</v>
      </c>
      <c r="C115">
        <f>IFERROR(INDEX(装备库!$A$2:$Y$1047,MATCH(ROW()-1,装备库!$AO$2:$AO$1046,0),COLUMN()),"")</f>
        <v>11000</v>
      </c>
      <c r="D115" t="str">
        <f>IFERROR(INDEX(装备库!$A$2:$Y$1047,MATCH(ROW()-1,装备库!$AO$2:$AO$1046,0),COLUMN()),"")</f>
        <v>风销残烟·承平护手(11000会招)</v>
      </c>
      <c r="E115">
        <f>IFERROR(INDEX(装备库!$A$2:$Y$1047,MATCH(ROW()-1,装备库!$AO$2:$AO$1046,0),COLUMN()),"")</f>
        <v>538</v>
      </c>
      <c r="F115">
        <f>IFERROR(INDEX(装备库!$A$2:$Y$1047,MATCH(ROW()-1,装备库!$AO$2:$AO$1046,0),COLUMN()),"")</f>
        <v>872</v>
      </c>
      <c r="G115">
        <f>IFERROR(INDEX(装备库!$A$2:$Y$1047,MATCH(ROW()-1,装备库!$AO$2:$AO$1046,0),COLUMN()),"")</f>
        <v>2698</v>
      </c>
      <c r="H115">
        <f>IFERROR(INDEX(装备库!$A$2:$Y$1047,MATCH(ROW()-1,装备库!$AO$2:$AO$1046,0),COLUMN()),"")</f>
        <v>0</v>
      </c>
      <c r="I115">
        <f>IFERROR(INDEX(装备库!$A$2:$Y$1047,MATCH(ROW()-1,装备库!$AO$2:$AO$1046,0),COLUMN()),"")</f>
        <v>0</v>
      </c>
      <c r="J115">
        <f>IFERROR(INDEX(装备库!$A$2:$Y$1047,MATCH(ROW()-1,装备库!$AO$2:$AO$1046,0),COLUMN()),"")</f>
        <v>2398</v>
      </c>
      <c r="K115">
        <f>IFERROR(INDEX(装备库!$A$2:$Y$1047,MATCH(ROW()-1,装备库!$AO$2:$AO$1046,0),COLUMN()),"")</f>
        <v>0</v>
      </c>
      <c r="L115">
        <f>IFERROR(INDEX(装备库!$A$2:$Y$1047,MATCH(ROW()-1,装备库!$AO$2:$AO$1046,0),COLUMN()),"")</f>
        <v>0</v>
      </c>
      <c r="M115">
        <f>IFERROR(INDEX(装备库!$A$2:$Y$1047,MATCH(ROW()-1,装备库!$AO$2:$AO$1046,0),COLUMN()),"")</f>
        <v>0</v>
      </c>
      <c r="N115">
        <f>IFERROR(INDEX(装备库!$A$2:$Y$1047,MATCH(ROW()-1,装备库!$AO$2:$AO$1046,0),COLUMN()),"")</f>
        <v>0</v>
      </c>
      <c r="O115">
        <f>IFERROR(INDEX(装备库!$A$2:$Y$1047,MATCH(ROW()-1,装备库!$AO$2:$AO$1046,0),COLUMN()),"")</f>
        <v>1</v>
      </c>
      <c r="P115">
        <f>IFERROR(INDEX(装备库!$A$2:$Y$1047,MATCH(ROW()-1,装备库!$AO$2:$AO$1046,0),COLUMN()),"")</f>
        <v>1</v>
      </c>
      <c r="Q115">
        <f>IFERROR(INDEX(装备库!$A$2:$Y$1047,MATCH(ROW()-1,装备库!$AO$2:$AO$1046,0),COLUMN()),"")</f>
        <v>0</v>
      </c>
      <c r="R115">
        <f>IFERROR(INDEX(装备库!$A$2:$Y$1047,MATCH(ROW()-1,装备库!$AO$2:$AO$1046,0),COLUMN()),"")</f>
        <v>0</v>
      </c>
      <c r="S115">
        <f>IFERROR(INDEX(装备库!$A$2:$Y$1047,MATCH(ROW()-1,装备库!$AO$2:$AO$1046,0),COLUMN()),"")</f>
        <v>0</v>
      </c>
      <c r="T115">
        <f>IFERROR(INDEX(装备库!$A$2:$Y$1047,MATCH(ROW()-1,装备库!$AO$2:$AO$1046,0),COLUMN()),"")</f>
        <v>0</v>
      </c>
      <c r="U115">
        <f>IFERROR(INDEX(装备库!$A$2:$Y$1047,MATCH(ROW()-1,装备库!$AO$2:$AO$1046,0),COLUMN()),"")</f>
        <v>0</v>
      </c>
      <c r="V115">
        <f>IFERROR(INDEX(装备库!$A$2:$Y$1047,MATCH(ROW()-1,装备库!$AO$2:$AO$1046,0),COLUMN()),"")</f>
        <v>0</v>
      </c>
      <c r="W115" t="str">
        <f>IFERROR(INDEX(装备库!$A$2:$Y$1047,MATCH(ROW()-1,装备库!$AO$2:$AO$1046,0),COLUMN()),"")</f>
        <v>会招</v>
      </c>
      <c r="X115">
        <f>IFERROR(INDEX(装备库!$A$2:$Y$1047,MATCH(ROW()-1,装备库!$AO$2:$AO$1046,0),COLUMN()),"")</f>
        <v>6</v>
      </c>
      <c r="Y115" t="str">
        <f>IFERROR(INDEX(装备库!$A$2:$Y$1047,MATCH(ROW()-1,装备库!$AO$2:$AO$1046,0),COLUMN()),"")</f>
        <v>飞沙令</v>
      </c>
    </row>
    <row r="116" spans="1:25" x14ac:dyDescent="0.35">
      <c r="A116" t="str">
        <f>IFERROR(INDEX(装备库!$A$2:$Y$1047,MATCH(ROW()-1,装备库!$AO$2:$AO$1046,0),COLUMN()),"")</f>
        <v>护手</v>
      </c>
      <c r="B116" t="str">
        <f>IFERROR(INDEX(装备库!$A$2:$Y$1047,MATCH(ROW()-1,装备库!$AO$2:$AO$1046,0),COLUMN()),"")</f>
        <v>客行江湖·凶炽护手</v>
      </c>
      <c r="C116">
        <f>IFERROR(INDEX(装备库!$A$2:$Y$1047,MATCH(ROW()-1,装备库!$AO$2:$AO$1046,0),COLUMN()),"")</f>
        <v>11150</v>
      </c>
      <c r="D116" t="str">
        <f>IFERROR(INDEX(装备库!$A$2:$Y$1047,MATCH(ROW()-1,装备库!$AO$2:$AO$1046,0),COLUMN()),"")</f>
        <v>客行江湖·凶炽护手(11150招破)</v>
      </c>
      <c r="E116">
        <f>IFERROR(INDEX(装备库!$A$2:$Y$1047,MATCH(ROW()-1,装备库!$AO$2:$AO$1046,0),COLUMN()),"")</f>
        <v>545</v>
      </c>
      <c r="F116">
        <f>IFERROR(INDEX(装备库!$A$2:$Y$1047,MATCH(ROW()-1,装备库!$AO$2:$AO$1046,0),COLUMN()),"")</f>
        <v>884</v>
      </c>
      <c r="G116">
        <f>IFERROR(INDEX(装备库!$A$2:$Y$1047,MATCH(ROW()-1,装备库!$AO$2:$AO$1046,0),COLUMN()),"")</f>
        <v>0</v>
      </c>
      <c r="H116">
        <f>IFERROR(INDEX(装备库!$A$2:$Y$1047,MATCH(ROW()-1,装备库!$AO$2:$AO$1046,0),COLUMN()),"")</f>
        <v>0</v>
      </c>
      <c r="I116">
        <f>IFERROR(INDEX(装备库!$A$2:$Y$1047,MATCH(ROW()-1,装备库!$AO$2:$AO$1046,0),COLUMN()),"")</f>
        <v>2735</v>
      </c>
      <c r="J116">
        <f>IFERROR(INDEX(装备库!$A$2:$Y$1047,MATCH(ROW()-1,装备库!$AO$2:$AO$1046,0),COLUMN()),"")</f>
        <v>2431</v>
      </c>
      <c r="K116">
        <f>IFERROR(INDEX(装备库!$A$2:$Y$1047,MATCH(ROW()-1,装备库!$AO$2:$AO$1046,0),COLUMN()),"")</f>
        <v>0</v>
      </c>
      <c r="L116">
        <f>IFERROR(INDEX(装备库!$A$2:$Y$1047,MATCH(ROW()-1,装备库!$AO$2:$AO$1046,0),COLUMN()),"")</f>
        <v>0</v>
      </c>
      <c r="M116">
        <f>IFERROR(INDEX(装备库!$A$2:$Y$1047,MATCH(ROW()-1,装备库!$AO$2:$AO$1046,0),COLUMN()),"")</f>
        <v>0</v>
      </c>
      <c r="N116">
        <f>IFERROR(INDEX(装备库!$A$2:$Y$1047,MATCH(ROW()-1,装备库!$AO$2:$AO$1046,0),COLUMN()),"")</f>
        <v>0</v>
      </c>
      <c r="O116">
        <f>IFERROR(INDEX(装备库!$A$2:$Y$1047,MATCH(ROW()-1,装备库!$AO$2:$AO$1046,0),COLUMN()),"")</f>
        <v>0</v>
      </c>
      <c r="P116">
        <f>IFERROR(INDEX(装备库!$A$2:$Y$1047,MATCH(ROW()-1,装备库!$AO$2:$AO$1046,0),COLUMN()),"")</f>
        <v>1</v>
      </c>
      <c r="Q116">
        <f>IFERROR(INDEX(装备库!$A$2:$Y$1047,MATCH(ROW()-1,装备库!$AO$2:$AO$1046,0),COLUMN()),"")</f>
        <v>0</v>
      </c>
      <c r="R116">
        <f>IFERROR(INDEX(装备库!$A$2:$Y$1047,MATCH(ROW()-1,装备库!$AO$2:$AO$1046,0),COLUMN()),"")</f>
        <v>0</v>
      </c>
      <c r="S116">
        <f>IFERROR(INDEX(装备库!$A$2:$Y$1047,MATCH(ROW()-1,装备库!$AO$2:$AO$1046,0),COLUMN()),"")</f>
        <v>1</v>
      </c>
      <c r="T116">
        <f>IFERROR(INDEX(装备库!$A$2:$Y$1047,MATCH(ROW()-1,装备库!$AO$2:$AO$1046,0),COLUMN()),"")</f>
        <v>0</v>
      </c>
      <c r="U116">
        <f>IFERROR(INDEX(装备库!$A$2:$Y$1047,MATCH(ROW()-1,装备库!$AO$2:$AO$1046,0),COLUMN()),"")</f>
        <v>0</v>
      </c>
      <c r="V116">
        <f>IFERROR(INDEX(装备库!$A$2:$Y$1047,MATCH(ROW()-1,装备库!$AO$2:$AO$1046,0),COLUMN()),"")</f>
        <v>0</v>
      </c>
      <c r="W116" t="str">
        <f>IFERROR(INDEX(装备库!$A$2:$Y$1047,MATCH(ROW()-1,装备库!$AO$2:$AO$1046,0),COLUMN()),"")</f>
        <v>招破</v>
      </c>
      <c r="X116">
        <f>IFERROR(INDEX(装备库!$A$2:$Y$1047,MATCH(ROW()-1,装备库!$AO$2:$AO$1046,0),COLUMN()),"")</f>
        <v>6</v>
      </c>
      <c r="Y116" t="str">
        <f>IFERROR(INDEX(装备库!$A$2:$Y$1047,MATCH(ROW()-1,装备库!$AO$2:$AO$1046,0),COLUMN()),"")</f>
        <v>浪客笺</v>
      </c>
    </row>
    <row r="117" spans="1:25" x14ac:dyDescent="0.35">
      <c r="A117" t="str">
        <f>IFERROR(INDEX(装备库!$A$2:$Y$1047,MATCH(ROW()-1,装备库!$AO$2:$AO$1046,0),COLUMN()),"")</f>
        <v>护手</v>
      </c>
      <c r="B117" t="str">
        <f>IFERROR(INDEX(装备库!$A$2:$Y$1047,MATCH(ROW()-1,装备库!$AO$2:$AO$1046,0),COLUMN()),"")</f>
        <v>烟梦护手</v>
      </c>
      <c r="C117">
        <f>IFERROR(INDEX(装备库!$A$2:$Y$1047,MATCH(ROW()-1,装备库!$AO$2:$AO$1046,0),COLUMN()),"")</f>
        <v>11150</v>
      </c>
      <c r="D117" t="str">
        <f>IFERROR(INDEX(装备库!$A$2:$Y$1047,MATCH(ROW()-1,装备库!$AO$2:$AO$1046,0),COLUMN()),"")</f>
        <v>烟梦护手(11150破无)</v>
      </c>
      <c r="E117">
        <f>IFERROR(INDEX(装备库!$A$2:$Y$1047,MATCH(ROW()-1,装备库!$AO$2:$AO$1046,0),COLUMN()),"")</f>
        <v>545</v>
      </c>
      <c r="F117">
        <f>IFERROR(INDEX(装备库!$A$2:$Y$1047,MATCH(ROW()-1,装备库!$AO$2:$AO$1046,0),COLUMN()),"")</f>
        <v>884</v>
      </c>
      <c r="G117">
        <f>IFERROR(INDEX(装备库!$A$2:$Y$1047,MATCH(ROW()-1,装备库!$AO$2:$AO$1046,0),COLUMN()),"")</f>
        <v>0</v>
      </c>
      <c r="H117">
        <f>IFERROR(INDEX(装备库!$A$2:$Y$1047,MATCH(ROW()-1,装备库!$AO$2:$AO$1046,0),COLUMN()),"")</f>
        <v>0</v>
      </c>
      <c r="I117">
        <f>IFERROR(INDEX(装备库!$A$2:$Y$1047,MATCH(ROW()-1,装备库!$AO$2:$AO$1046,0),COLUMN()),"")</f>
        <v>2735</v>
      </c>
      <c r="J117">
        <f>IFERROR(INDEX(装备库!$A$2:$Y$1047,MATCH(ROW()-1,装备库!$AO$2:$AO$1046,0),COLUMN()),"")</f>
        <v>0</v>
      </c>
      <c r="K117">
        <f>IFERROR(INDEX(装备库!$A$2:$Y$1047,MATCH(ROW()-1,装备库!$AO$2:$AO$1046,0),COLUMN()),"")</f>
        <v>2431</v>
      </c>
      <c r="L117">
        <f>IFERROR(INDEX(装备库!$A$2:$Y$1047,MATCH(ROW()-1,装备库!$AO$2:$AO$1046,0),COLUMN()),"")</f>
        <v>0</v>
      </c>
      <c r="M117">
        <f>IFERROR(INDEX(装备库!$A$2:$Y$1047,MATCH(ROW()-1,装备库!$AO$2:$AO$1046,0),COLUMN()),"")</f>
        <v>0</v>
      </c>
      <c r="N117">
        <f>IFERROR(INDEX(装备库!$A$2:$Y$1047,MATCH(ROW()-1,装备库!$AO$2:$AO$1046,0),COLUMN()),"")</f>
        <v>0</v>
      </c>
      <c r="O117">
        <f>IFERROR(INDEX(装备库!$A$2:$Y$1047,MATCH(ROW()-1,装备库!$AO$2:$AO$1046,0),COLUMN()),"")</f>
        <v>1</v>
      </c>
      <c r="P117">
        <f>IFERROR(INDEX(装备库!$A$2:$Y$1047,MATCH(ROW()-1,装备库!$AO$2:$AO$1046,0),COLUMN()),"")</f>
        <v>0</v>
      </c>
      <c r="Q117">
        <f>IFERROR(INDEX(装备库!$A$2:$Y$1047,MATCH(ROW()-1,装备库!$AO$2:$AO$1046,0),COLUMN()),"")</f>
        <v>0</v>
      </c>
      <c r="R117">
        <f>IFERROR(INDEX(装备库!$A$2:$Y$1047,MATCH(ROW()-1,装备库!$AO$2:$AO$1046,0),COLUMN()),"")</f>
        <v>0</v>
      </c>
      <c r="S117">
        <f>IFERROR(INDEX(装备库!$A$2:$Y$1047,MATCH(ROW()-1,装备库!$AO$2:$AO$1046,0),COLUMN()),"")</f>
        <v>0</v>
      </c>
      <c r="T117">
        <f>IFERROR(INDEX(装备库!$A$2:$Y$1047,MATCH(ROW()-1,装备库!$AO$2:$AO$1046,0),COLUMN()),"")</f>
        <v>0</v>
      </c>
      <c r="U117">
        <f>IFERROR(INDEX(装备库!$A$2:$Y$1047,MATCH(ROW()-1,装备库!$AO$2:$AO$1046,0),COLUMN()),"")</f>
        <v>1</v>
      </c>
      <c r="V117">
        <f>IFERROR(INDEX(装备库!$A$2:$Y$1047,MATCH(ROW()-1,装备库!$AO$2:$AO$1046,0),COLUMN()),"")</f>
        <v>0</v>
      </c>
      <c r="W117" t="str">
        <f>IFERROR(INDEX(装备库!$A$2:$Y$1047,MATCH(ROW()-1,装备库!$AO$2:$AO$1046,0),COLUMN()),"")</f>
        <v>破无</v>
      </c>
      <c r="X117">
        <f>IFERROR(INDEX(装备库!$A$2:$Y$1047,MATCH(ROW()-1,装备库!$AO$2:$AO$1046,0),COLUMN()),"")</f>
        <v>6</v>
      </c>
      <c r="Y117" t="str">
        <f>IFERROR(INDEX(装备库!$A$2:$Y$1047,MATCH(ROW()-1,装备库!$AO$2:$AO$1046,0),COLUMN()),"")</f>
        <v>副本</v>
      </c>
    </row>
    <row r="118" spans="1:25" x14ac:dyDescent="0.35">
      <c r="A118" t="str">
        <f>IFERROR(INDEX(装备库!$A$2:$Y$1047,MATCH(ROW()-1,装备库!$AO$2:$AO$1046,0),COLUMN()),"")</f>
        <v>护手</v>
      </c>
      <c r="B118" t="str">
        <f>IFERROR(INDEX(装备库!$A$2:$Y$1047,MATCH(ROW()-1,装备库!$AO$2:$AO$1046,0),COLUMN()),"")</f>
        <v>湘灿护手</v>
      </c>
      <c r="C118">
        <f>IFERROR(INDEX(装备库!$A$2:$Y$1047,MATCH(ROW()-1,装备库!$AO$2:$AO$1046,0),COLUMN()),"")</f>
        <v>11150</v>
      </c>
      <c r="D118" t="str">
        <f>IFERROR(INDEX(装备库!$A$2:$Y$1047,MATCH(ROW()-1,装备库!$AO$2:$AO$1046,0),COLUMN()),"")</f>
        <v>湘灿护手(11150会招)</v>
      </c>
      <c r="E118">
        <f>IFERROR(INDEX(装备库!$A$2:$Y$1047,MATCH(ROW()-1,装备库!$AO$2:$AO$1046,0),COLUMN()),"")</f>
        <v>545</v>
      </c>
      <c r="F118">
        <f>IFERROR(INDEX(装备库!$A$2:$Y$1047,MATCH(ROW()-1,装备库!$AO$2:$AO$1046,0),COLUMN()),"")</f>
        <v>884</v>
      </c>
      <c r="G118">
        <f>IFERROR(INDEX(装备库!$A$2:$Y$1047,MATCH(ROW()-1,装备库!$AO$2:$AO$1046,0),COLUMN()),"")</f>
        <v>2735</v>
      </c>
      <c r="H118">
        <f>IFERROR(INDEX(装备库!$A$2:$Y$1047,MATCH(ROW()-1,装备库!$AO$2:$AO$1046,0),COLUMN()),"")</f>
        <v>0</v>
      </c>
      <c r="I118">
        <f>IFERROR(INDEX(装备库!$A$2:$Y$1047,MATCH(ROW()-1,装备库!$AO$2:$AO$1046,0),COLUMN()),"")</f>
        <v>0</v>
      </c>
      <c r="J118">
        <f>IFERROR(INDEX(装备库!$A$2:$Y$1047,MATCH(ROW()-1,装备库!$AO$2:$AO$1046,0),COLUMN()),"")</f>
        <v>2431</v>
      </c>
      <c r="K118">
        <f>IFERROR(INDEX(装备库!$A$2:$Y$1047,MATCH(ROW()-1,装备库!$AO$2:$AO$1046,0),COLUMN()),"")</f>
        <v>0</v>
      </c>
      <c r="L118">
        <f>IFERROR(INDEX(装备库!$A$2:$Y$1047,MATCH(ROW()-1,装备库!$AO$2:$AO$1046,0),COLUMN()),"")</f>
        <v>0</v>
      </c>
      <c r="M118">
        <f>IFERROR(INDEX(装备库!$A$2:$Y$1047,MATCH(ROW()-1,装备库!$AO$2:$AO$1046,0),COLUMN()),"")</f>
        <v>0</v>
      </c>
      <c r="N118">
        <f>IFERROR(INDEX(装备库!$A$2:$Y$1047,MATCH(ROW()-1,装备库!$AO$2:$AO$1046,0),COLUMN()),"")</f>
        <v>0</v>
      </c>
      <c r="O118">
        <f>IFERROR(INDEX(装备库!$A$2:$Y$1047,MATCH(ROW()-1,装备库!$AO$2:$AO$1046,0),COLUMN()),"")</f>
        <v>1</v>
      </c>
      <c r="P118">
        <f>IFERROR(INDEX(装备库!$A$2:$Y$1047,MATCH(ROW()-1,装备库!$AO$2:$AO$1046,0),COLUMN()),"")</f>
        <v>1</v>
      </c>
      <c r="Q118">
        <f>IFERROR(INDEX(装备库!$A$2:$Y$1047,MATCH(ROW()-1,装备库!$AO$2:$AO$1046,0),COLUMN()),"")</f>
        <v>0</v>
      </c>
      <c r="R118">
        <f>IFERROR(INDEX(装备库!$A$2:$Y$1047,MATCH(ROW()-1,装备库!$AO$2:$AO$1046,0),COLUMN()),"")</f>
        <v>0</v>
      </c>
      <c r="S118">
        <f>IFERROR(INDEX(装备库!$A$2:$Y$1047,MATCH(ROW()-1,装备库!$AO$2:$AO$1046,0),COLUMN()),"")</f>
        <v>0</v>
      </c>
      <c r="T118">
        <f>IFERROR(INDEX(装备库!$A$2:$Y$1047,MATCH(ROW()-1,装备库!$AO$2:$AO$1046,0),COLUMN()),"")</f>
        <v>0</v>
      </c>
      <c r="U118">
        <f>IFERROR(INDEX(装备库!$A$2:$Y$1047,MATCH(ROW()-1,装备库!$AO$2:$AO$1046,0),COLUMN()),"")</f>
        <v>0</v>
      </c>
      <c r="V118">
        <f>IFERROR(INDEX(装备库!$A$2:$Y$1047,MATCH(ROW()-1,装备库!$AO$2:$AO$1046,0),COLUMN()),"")</f>
        <v>0</v>
      </c>
      <c r="W118" t="str">
        <f>IFERROR(INDEX(装备库!$A$2:$Y$1047,MATCH(ROW()-1,装备库!$AO$2:$AO$1046,0),COLUMN()),"")</f>
        <v>会招</v>
      </c>
      <c r="X118">
        <f>IFERROR(INDEX(装备库!$A$2:$Y$1047,MATCH(ROW()-1,装备库!$AO$2:$AO$1046,0),COLUMN()),"")</f>
        <v>6</v>
      </c>
      <c r="Y118" t="str">
        <f>IFERROR(INDEX(装备库!$A$2:$Y$1047,MATCH(ROW()-1,装备库!$AO$2:$AO$1046,0),COLUMN()),"")</f>
        <v>世界BOSS</v>
      </c>
    </row>
    <row r="119" spans="1:25" x14ac:dyDescent="0.35">
      <c r="A119" t="str">
        <f>IFERROR(INDEX(装备库!$A$2:$Y$1047,MATCH(ROW()-1,装备库!$AO$2:$AO$1046,0),COLUMN()),"")</f>
        <v>护手</v>
      </c>
      <c r="B119" t="str">
        <f>IFERROR(INDEX(装备库!$A$2:$Y$1047,MATCH(ROW()-1,装备库!$AO$2:$AO$1046,0),COLUMN()),"")</f>
        <v>旋山护手</v>
      </c>
      <c r="C119">
        <f>IFERROR(INDEX(装备库!$A$2:$Y$1047,MATCH(ROW()-1,装备库!$AO$2:$AO$1046,0),COLUMN()),"")</f>
        <v>11150</v>
      </c>
      <c r="D119" t="str">
        <f>IFERROR(INDEX(装备库!$A$2:$Y$1047,MATCH(ROW()-1,装备库!$AO$2:$AO$1046,0),COLUMN()),"")</f>
        <v>旋山护手(11150会无)</v>
      </c>
      <c r="E119">
        <f>IFERROR(INDEX(装备库!$A$2:$Y$1047,MATCH(ROW()-1,装备库!$AO$2:$AO$1046,0),COLUMN()),"")</f>
        <v>545</v>
      </c>
      <c r="F119">
        <f>IFERROR(INDEX(装备库!$A$2:$Y$1047,MATCH(ROW()-1,装备库!$AO$2:$AO$1046,0),COLUMN()),"")</f>
        <v>884</v>
      </c>
      <c r="G119">
        <f>IFERROR(INDEX(装备库!$A$2:$Y$1047,MATCH(ROW()-1,装备库!$AO$2:$AO$1046,0),COLUMN()),"")</f>
        <v>2735</v>
      </c>
      <c r="H119">
        <f>IFERROR(INDEX(装备库!$A$2:$Y$1047,MATCH(ROW()-1,装备库!$AO$2:$AO$1046,0),COLUMN()),"")</f>
        <v>0</v>
      </c>
      <c r="I119">
        <f>IFERROR(INDEX(装备库!$A$2:$Y$1047,MATCH(ROW()-1,装备库!$AO$2:$AO$1046,0),COLUMN()),"")</f>
        <v>0</v>
      </c>
      <c r="J119">
        <f>IFERROR(INDEX(装备库!$A$2:$Y$1047,MATCH(ROW()-1,装备库!$AO$2:$AO$1046,0),COLUMN()),"")</f>
        <v>0</v>
      </c>
      <c r="K119">
        <f>IFERROR(INDEX(装备库!$A$2:$Y$1047,MATCH(ROW()-1,装备库!$AO$2:$AO$1046,0),COLUMN()),"")</f>
        <v>2431</v>
      </c>
      <c r="L119">
        <f>IFERROR(INDEX(装备库!$A$2:$Y$1047,MATCH(ROW()-1,装备库!$AO$2:$AO$1046,0),COLUMN()),"")</f>
        <v>0</v>
      </c>
      <c r="M119">
        <f>IFERROR(INDEX(装备库!$A$2:$Y$1047,MATCH(ROW()-1,装备库!$AO$2:$AO$1046,0),COLUMN()),"")</f>
        <v>0</v>
      </c>
      <c r="N119">
        <f>IFERROR(INDEX(装备库!$A$2:$Y$1047,MATCH(ROW()-1,装备库!$AO$2:$AO$1046,0),COLUMN()),"")</f>
        <v>0</v>
      </c>
      <c r="O119">
        <f>IFERROR(INDEX(装备库!$A$2:$Y$1047,MATCH(ROW()-1,装备库!$AO$2:$AO$1046,0),COLUMN()),"")</f>
        <v>0</v>
      </c>
      <c r="P119">
        <f>IFERROR(INDEX(装备库!$A$2:$Y$1047,MATCH(ROW()-1,装备库!$AO$2:$AO$1046,0),COLUMN()),"")</f>
        <v>1</v>
      </c>
      <c r="Q119">
        <f>IFERROR(INDEX(装备库!$A$2:$Y$1047,MATCH(ROW()-1,装备库!$AO$2:$AO$1046,0),COLUMN()),"")</f>
        <v>1</v>
      </c>
      <c r="R119">
        <f>IFERROR(INDEX(装备库!$A$2:$Y$1047,MATCH(ROW()-1,装备库!$AO$2:$AO$1046,0),COLUMN()),"")</f>
        <v>0</v>
      </c>
      <c r="S119">
        <f>IFERROR(INDEX(装备库!$A$2:$Y$1047,MATCH(ROW()-1,装备库!$AO$2:$AO$1046,0),COLUMN()),"")</f>
        <v>0</v>
      </c>
      <c r="T119">
        <f>IFERROR(INDEX(装备库!$A$2:$Y$1047,MATCH(ROW()-1,装备库!$AO$2:$AO$1046,0),COLUMN()),"")</f>
        <v>0</v>
      </c>
      <c r="U119">
        <f>IFERROR(INDEX(装备库!$A$2:$Y$1047,MATCH(ROW()-1,装备库!$AO$2:$AO$1046,0),COLUMN()),"")</f>
        <v>0</v>
      </c>
      <c r="V119">
        <f>IFERROR(INDEX(装备库!$A$2:$Y$1047,MATCH(ROW()-1,装备库!$AO$2:$AO$1046,0),COLUMN()),"")</f>
        <v>0</v>
      </c>
      <c r="W119" t="str">
        <f>IFERROR(INDEX(装备库!$A$2:$Y$1047,MATCH(ROW()-1,装备库!$AO$2:$AO$1046,0),COLUMN()),"")</f>
        <v>会无</v>
      </c>
      <c r="X119">
        <f>IFERROR(INDEX(装备库!$A$2:$Y$1047,MATCH(ROW()-1,装备库!$AO$2:$AO$1046,0),COLUMN()),"")</f>
        <v>6</v>
      </c>
      <c r="Y119" t="str">
        <f>IFERROR(INDEX(装备库!$A$2:$Y$1047,MATCH(ROW()-1,装备库!$AO$2:$AO$1046,0),COLUMN()),"")</f>
        <v>副本</v>
      </c>
    </row>
    <row r="120" spans="1:25" x14ac:dyDescent="0.35">
      <c r="A120" t="str">
        <f>IFERROR(INDEX(装备库!$A$2:$Y$1047,MATCH(ROW()-1,装备库!$AO$2:$AO$1046,0),COLUMN()),"")</f>
        <v>护手</v>
      </c>
      <c r="B120" t="str">
        <f>IFERROR(INDEX(装备库!$A$2:$Y$1047,MATCH(ROW()-1,装备库!$AO$2:$AO$1046,0),COLUMN()),"")</f>
        <v>摇撼护腕</v>
      </c>
      <c r="C120">
        <f>IFERROR(INDEX(装备库!$A$2:$Y$1047,MATCH(ROW()-1,装备库!$AO$2:$AO$1046,0),COLUMN()),"")</f>
        <v>11150</v>
      </c>
      <c r="D120" t="str">
        <f>IFERROR(INDEX(装备库!$A$2:$Y$1047,MATCH(ROW()-1,装备库!$AO$2:$AO$1046,0),COLUMN()),"")</f>
        <v>摇撼护腕(11150精简体攻招无)</v>
      </c>
      <c r="E120">
        <f>IFERROR(INDEX(装备库!$A$2:$Y$1047,MATCH(ROW()-1,装备库!$AO$2:$AO$1046,0),COLUMN()),"")</f>
        <v>0</v>
      </c>
      <c r="F120">
        <f>IFERROR(INDEX(装备库!$A$2:$Y$1047,MATCH(ROW()-1,装备库!$AO$2:$AO$1046,0),COLUMN()),"")</f>
        <v>1632</v>
      </c>
      <c r="G120">
        <f>IFERROR(INDEX(装备库!$A$2:$Y$1047,MATCH(ROW()-1,装备库!$AO$2:$AO$1046,0),COLUMN()),"")</f>
        <v>0</v>
      </c>
      <c r="H120">
        <f>IFERROR(INDEX(装备库!$A$2:$Y$1047,MATCH(ROW()-1,装备库!$AO$2:$AO$1046,0),COLUMN()),"")</f>
        <v>0</v>
      </c>
      <c r="I120">
        <f>IFERROR(INDEX(装备库!$A$2:$Y$1047,MATCH(ROW()-1,装备库!$AO$2:$AO$1046,0),COLUMN()),"")</f>
        <v>0</v>
      </c>
      <c r="J120">
        <f>IFERROR(INDEX(装备库!$A$2:$Y$1047,MATCH(ROW()-1,装备库!$AO$2:$AO$1046,0),COLUMN()),"")</f>
        <v>1595</v>
      </c>
      <c r="K120">
        <f>IFERROR(INDEX(装备库!$A$2:$Y$1047,MATCH(ROW()-1,装备库!$AO$2:$AO$1046,0),COLUMN()),"")</f>
        <v>4861</v>
      </c>
      <c r="L120">
        <f>IFERROR(INDEX(装备库!$A$2:$Y$1047,MATCH(ROW()-1,装备库!$AO$2:$AO$1046,0),COLUMN()),"")</f>
        <v>0</v>
      </c>
      <c r="M120">
        <f>IFERROR(INDEX(装备库!$A$2:$Y$1047,MATCH(ROW()-1,装备库!$AO$2:$AO$1046,0),COLUMN()),"")</f>
        <v>0</v>
      </c>
      <c r="N120">
        <f>IFERROR(INDEX(装备库!$A$2:$Y$1047,MATCH(ROW()-1,装备库!$AO$2:$AO$1046,0),COLUMN()),"")</f>
        <v>0</v>
      </c>
      <c r="O120">
        <f>IFERROR(INDEX(装备库!$A$2:$Y$1047,MATCH(ROW()-1,装备库!$AO$2:$AO$1046,0),COLUMN()),"")</f>
        <v>0</v>
      </c>
      <c r="P120">
        <f>IFERROR(INDEX(装备库!$A$2:$Y$1047,MATCH(ROW()-1,装备库!$AO$2:$AO$1046,0),COLUMN()),"")</f>
        <v>0</v>
      </c>
      <c r="Q120">
        <f>IFERROR(INDEX(装备库!$A$2:$Y$1047,MATCH(ROW()-1,装备库!$AO$2:$AO$1046,0),COLUMN()),"")</f>
        <v>0</v>
      </c>
      <c r="R120">
        <f>IFERROR(INDEX(装备库!$A$2:$Y$1047,MATCH(ROW()-1,装备库!$AO$2:$AO$1046,0),COLUMN()),"")</f>
        <v>0</v>
      </c>
      <c r="S120">
        <f>IFERROR(INDEX(装备库!$A$2:$Y$1047,MATCH(ROW()-1,装备库!$AO$2:$AO$1046,0),COLUMN()),"")</f>
        <v>1</v>
      </c>
      <c r="T120">
        <f>IFERROR(INDEX(装备库!$A$2:$Y$1047,MATCH(ROW()-1,装备库!$AO$2:$AO$1046,0),COLUMN()),"")</f>
        <v>0</v>
      </c>
      <c r="U120">
        <f>IFERROR(INDEX(装备库!$A$2:$Y$1047,MATCH(ROW()-1,装备库!$AO$2:$AO$1046,0),COLUMN()),"")</f>
        <v>1</v>
      </c>
      <c r="V120">
        <f>IFERROR(INDEX(装备库!$A$2:$Y$1047,MATCH(ROW()-1,装备库!$AO$2:$AO$1046,0),COLUMN()),"")</f>
        <v>0</v>
      </c>
      <c r="W120" t="str">
        <f>IFERROR(INDEX(装备库!$A$2:$Y$1047,MATCH(ROW()-1,装备库!$AO$2:$AO$1046,0),COLUMN()),"")</f>
        <v>精简体攻招无</v>
      </c>
      <c r="X120">
        <f>IFERROR(INDEX(装备库!$A$2:$Y$1047,MATCH(ROW()-1,装备库!$AO$2:$AO$1046,0),COLUMN()),"")</f>
        <v>4</v>
      </c>
      <c r="Y120" t="str">
        <f>IFERROR(INDEX(装备库!$A$2:$Y$1047,MATCH(ROW()-1,装备库!$AO$2:$AO$1046,0),COLUMN()),"")</f>
        <v>副本</v>
      </c>
    </row>
    <row r="121" spans="1:25" x14ac:dyDescent="0.35">
      <c r="A121" t="str">
        <f>IFERROR(INDEX(装备库!$A$2:$Y$1047,MATCH(ROW()-1,装备库!$AO$2:$AO$1046,0),COLUMN()),"")</f>
        <v>护手</v>
      </c>
      <c r="B121" t="str">
        <f>IFERROR(INDEX(装备库!$A$2:$Y$1047,MATCH(ROW()-1,装备库!$AO$2:$AO$1046,0),COLUMN()),"")</f>
        <v>云章护腕</v>
      </c>
      <c r="C121">
        <f>IFERROR(INDEX(装备库!$A$2:$Y$1047,MATCH(ROW()-1,装备库!$AO$2:$AO$1046,0),COLUMN()),"")</f>
        <v>11150</v>
      </c>
      <c r="D121" t="str">
        <f>IFERROR(INDEX(装备库!$A$2:$Y$1047,MATCH(ROW()-1,装备库!$AO$2:$AO$1046,0),COLUMN()),"")</f>
        <v>云章护腕(11150精简体攻招破)</v>
      </c>
      <c r="E121">
        <f>IFERROR(INDEX(装备库!$A$2:$Y$1047,MATCH(ROW()-1,装备库!$AO$2:$AO$1046,0),COLUMN()),"")</f>
        <v>0</v>
      </c>
      <c r="F121">
        <f>IFERROR(INDEX(装备库!$A$2:$Y$1047,MATCH(ROW()-1,装备库!$AO$2:$AO$1046,0),COLUMN()),"")</f>
        <v>1904</v>
      </c>
      <c r="G121">
        <f>IFERROR(INDEX(装备库!$A$2:$Y$1047,MATCH(ROW()-1,装备库!$AO$2:$AO$1046,0),COLUMN()),"")</f>
        <v>0</v>
      </c>
      <c r="H121">
        <f>IFERROR(INDEX(装备库!$A$2:$Y$1047,MATCH(ROW()-1,装备库!$AO$2:$AO$1046,0),COLUMN()),"")</f>
        <v>0</v>
      </c>
      <c r="I121">
        <f>IFERROR(INDEX(装备库!$A$2:$Y$1047,MATCH(ROW()-1,装备库!$AO$2:$AO$1046,0),COLUMN()),"")</f>
        <v>2886</v>
      </c>
      <c r="J121">
        <f>IFERROR(INDEX(装备库!$A$2:$Y$1047,MATCH(ROW()-1,装备库!$AO$2:$AO$1046,0),COLUMN()),"")</f>
        <v>2886</v>
      </c>
      <c r="K121">
        <f>IFERROR(INDEX(装备库!$A$2:$Y$1047,MATCH(ROW()-1,装备库!$AO$2:$AO$1046,0),COLUMN()),"")</f>
        <v>0</v>
      </c>
      <c r="L121">
        <f>IFERROR(INDEX(装备库!$A$2:$Y$1047,MATCH(ROW()-1,装备库!$AO$2:$AO$1046,0),COLUMN()),"")</f>
        <v>0</v>
      </c>
      <c r="M121">
        <f>IFERROR(INDEX(装备库!$A$2:$Y$1047,MATCH(ROW()-1,装备库!$AO$2:$AO$1046,0),COLUMN()),"")</f>
        <v>0</v>
      </c>
      <c r="N121">
        <f>IFERROR(INDEX(装备库!$A$2:$Y$1047,MATCH(ROW()-1,装备库!$AO$2:$AO$1046,0),COLUMN()),"")</f>
        <v>0</v>
      </c>
      <c r="O121">
        <f>IFERROR(INDEX(装备库!$A$2:$Y$1047,MATCH(ROW()-1,装备库!$AO$2:$AO$1046,0),COLUMN()),"")</f>
        <v>0</v>
      </c>
      <c r="P121">
        <f>IFERROR(INDEX(装备库!$A$2:$Y$1047,MATCH(ROW()-1,装备库!$AO$2:$AO$1046,0),COLUMN()),"")</f>
        <v>1</v>
      </c>
      <c r="Q121">
        <f>IFERROR(INDEX(装备库!$A$2:$Y$1047,MATCH(ROW()-1,装备库!$AO$2:$AO$1046,0),COLUMN()),"")</f>
        <v>1</v>
      </c>
      <c r="R121">
        <f>IFERROR(INDEX(装备库!$A$2:$Y$1047,MATCH(ROW()-1,装备库!$AO$2:$AO$1046,0),COLUMN()),"")</f>
        <v>0</v>
      </c>
      <c r="S121">
        <f>IFERROR(INDEX(装备库!$A$2:$Y$1047,MATCH(ROW()-1,装备库!$AO$2:$AO$1046,0),COLUMN()),"")</f>
        <v>0</v>
      </c>
      <c r="T121">
        <f>IFERROR(INDEX(装备库!$A$2:$Y$1047,MATCH(ROW()-1,装备库!$AO$2:$AO$1046,0),COLUMN()),"")</f>
        <v>0</v>
      </c>
      <c r="U121">
        <f>IFERROR(INDEX(装备库!$A$2:$Y$1047,MATCH(ROW()-1,装备库!$AO$2:$AO$1046,0),COLUMN()),"")</f>
        <v>0</v>
      </c>
      <c r="V121">
        <f>IFERROR(INDEX(装备库!$A$2:$Y$1047,MATCH(ROW()-1,装备库!$AO$2:$AO$1046,0),COLUMN()),"")</f>
        <v>0</v>
      </c>
      <c r="W121" t="str">
        <f>IFERROR(INDEX(装备库!$A$2:$Y$1047,MATCH(ROW()-1,装备库!$AO$2:$AO$1046,0),COLUMN()),"")</f>
        <v>精简体攻招破</v>
      </c>
      <c r="X121">
        <f>IFERROR(INDEX(装备库!$A$2:$Y$1047,MATCH(ROW()-1,装备库!$AO$2:$AO$1046,0),COLUMN()),"")</f>
        <v>4</v>
      </c>
      <c r="Y121" t="str">
        <f>IFERROR(INDEX(装备库!$A$2:$Y$1047,MATCH(ROW()-1,装备库!$AO$2:$AO$1046,0),COLUMN()),"")</f>
        <v>副本</v>
      </c>
    </row>
    <row r="122" spans="1:25" x14ac:dyDescent="0.35">
      <c r="A122" t="str">
        <f>IFERROR(INDEX(装备库!$A$2:$Y$1047,MATCH(ROW()-1,装备库!$AO$2:$AO$1046,0),COLUMN()),"")</f>
        <v>护手</v>
      </c>
      <c r="B122" t="str">
        <f>IFERROR(INDEX(装备库!$A$2:$Y$1047,MATCH(ROW()-1,装备库!$AO$2:$AO$1046,0),COLUMN()),"")</f>
        <v>山扉护腕</v>
      </c>
      <c r="C122">
        <f>IFERROR(INDEX(装备库!$A$2:$Y$1047,MATCH(ROW()-1,装备库!$AO$2:$AO$1046,0),COLUMN()),"")</f>
        <v>11150</v>
      </c>
      <c r="D122" t="str">
        <f>IFERROR(INDEX(装备库!$A$2:$Y$1047,MATCH(ROW()-1,装备库!$AO$2:$AO$1046,0),COLUMN()),"")</f>
        <v>山扉护腕(11150精简体攻破无)</v>
      </c>
      <c r="E122">
        <f>IFERROR(INDEX(装备库!$A$2:$Y$1047,MATCH(ROW()-1,装备库!$AO$2:$AO$1046,0),COLUMN()),"")</f>
        <v>0</v>
      </c>
      <c r="F122">
        <f>IFERROR(INDEX(装备库!$A$2:$Y$1047,MATCH(ROW()-1,装备库!$AO$2:$AO$1046,0),COLUMN()),"")</f>
        <v>1632</v>
      </c>
      <c r="G122">
        <f>IFERROR(INDEX(装备库!$A$2:$Y$1047,MATCH(ROW()-1,装备库!$AO$2:$AO$1046,0),COLUMN()),"")</f>
        <v>0</v>
      </c>
      <c r="H122">
        <f>IFERROR(INDEX(装备库!$A$2:$Y$1047,MATCH(ROW()-1,装备库!$AO$2:$AO$1046,0),COLUMN()),"")</f>
        <v>0</v>
      </c>
      <c r="I122">
        <f>IFERROR(INDEX(装备库!$A$2:$Y$1047,MATCH(ROW()-1,装备库!$AO$2:$AO$1046,0),COLUMN()),"")</f>
        <v>1671</v>
      </c>
      <c r="J122">
        <f>IFERROR(INDEX(装备库!$A$2:$Y$1047,MATCH(ROW()-1,装备库!$AO$2:$AO$1046,0),COLUMN()),"")</f>
        <v>0</v>
      </c>
      <c r="K122">
        <f>IFERROR(INDEX(装备库!$A$2:$Y$1047,MATCH(ROW()-1,装备库!$AO$2:$AO$1046,0),COLUMN()),"")</f>
        <v>4861</v>
      </c>
      <c r="L122">
        <f>IFERROR(INDEX(装备库!$A$2:$Y$1047,MATCH(ROW()-1,装备库!$AO$2:$AO$1046,0),COLUMN()),"")</f>
        <v>0</v>
      </c>
      <c r="M122">
        <f>IFERROR(INDEX(装备库!$A$2:$Y$1047,MATCH(ROW()-1,装备库!$AO$2:$AO$1046,0),COLUMN()),"")</f>
        <v>0</v>
      </c>
      <c r="N122">
        <f>IFERROR(INDEX(装备库!$A$2:$Y$1047,MATCH(ROW()-1,装备库!$AO$2:$AO$1046,0),COLUMN()),"")</f>
        <v>0</v>
      </c>
      <c r="O122">
        <f>IFERROR(INDEX(装备库!$A$2:$Y$1047,MATCH(ROW()-1,装备库!$AO$2:$AO$1046,0),COLUMN()),"")</f>
        <v>0</v>
      </c>
      <c r="P122">
        <f>IFERROR(INDEX(装备库!$A$2:$Y$1047,MATCH(ROW()-1,装备库!$AO$2:$AO$1046,0),COLUMN()),"")</f>
        <v>1</v>
      </c>
      <c r="Q122">
        <f>IFERROR(INDEX(装备库!$A$2:$Y$1047,MATCH(ROW()-1,装备库!$AO$2:$AO$1046,0),COLUMN()),"")</f>
        <v>0</v>
      </c>
      <c r="R122">
        <f>IFERROR(INDEX(装备库!$A$2:$Y$1047,MATCH(ROW()-1,装备库!$AO$2:$AO$1046,0),COLUMN()),"")</f>
        <v>0</v>
      </c>
      <c r="S122">
        <f>IFERROR(INDEX(装备库!$A$2:$Y$1047,MATCH(ROW()-1,装备库!$AO$2:$AO$1046,0),COLUMN()),"")</f>
        <v>0</v>
      </c>
      <c r="T122">
        <f>IFERROR(INDEX(装备库!$A$2:$Y$1047,MATCH(ROW()-1,装备库!$AO$2:$AO$1046,0),COLUMN()),"")</f>
        <v>1</v>
      </c>
      <c r="U122">
        <f>IFERROR(INDEX(装备库!$A$2:$Y$1047,MATCH(ROW()-1,装备库!$AO$2:$AO$1046,0),COLUMN()),"")</f>
        <v>0</v>
      </c>
      <c r="V122">
        <f>IFERROR(INDEX(装备库!$A$2:$Y$1047,MATCH(ROW()-1,装备库!$AO$2:$AO$1046,0),COLUMN()),"")</f>
        <v>0</v>
      </c>
      <c r="W122" t="str">
        <f>IFERROR(INDEX(装备库!$A$2:$Y$1047,MATCH(ROW()-1,装备库!$AO$2:$AO$1046,0),COLUMN()),"")</f>
        <v>精简体攻破无</v>
      </c>
      <c r="X122">
        <f>IFERROR(INDEX(装备库!$A$2:$Y$1047,MATCH(ROW()-1,装备库!$AO$2:$AO$1046,0),COLUMN()),"")</f>
        <v>4</v>
      </c>
      <c r="Y122" t="str">
        <f>IFERROR(INDEX(装备库!$A$2:$Y$1047,MATCH(ROW()-1,装备库!$AO$2:$AO$1046,0),COLUMN()),"")</f>
        <v>副本</v>
      </c>
    </row>
    <row r="123" spans="1:25" x14ac:dyDescent="0.35">
      <c r="A123" t="str">
        <f>IFERROR(INDEX(装备库!$A$2:$Y$1047,MATCH(ROW()-1,装备库!$AO$2:$AO$1046,0),COLUMN()),"")</f>
        <v>护手</v>
      </c>
      <c r="B123" t="str">
        <f>IFERROR(INDEX(装备库!$A$2:$Y$1047,MATCH(ROW()-1,装备库!$AO$2:$AO$1046,0),COLUMN()),"")</f>
        <v>克尽护腕</v>
      </c>
      <c r="C123">
        <f>IFERROR(INDEX(装备库!$A$2:$Y$1047,MATCH(ROW()-1,装备库!$AO$2:$AO$1046,0),COLUMN()),"")</f>
        <v>11150</v>
      </c>
      <c r="D123" t="str">
        <f>IFERROR(INDEX(装备库!$A$2:$Y$1047,MATCH(ROW()-1,装备库!$AO$2:$AO$1046,0),COLUMN()),"")</f>
        <v>克尽护腕(11150精简体攻会无)</v>
      </c>
      <c r="E123">
        <f>IFERROR(INDEX(装备库!$A$2:$Y$1047,MATCH(ROW()-1,装备库!$AO$2:$AO$1046,0),COLUMN()),"")</f>
        <v>0</v>
      </c>
      <c r="F123">
        <f>IFERROR(INDEX(装备库!$A$2:$Y$1047,MATCH(ROW()-1,装备库!$AO$2:$AO$1046,0),COLUMN()),"")</f>
        <v>1632</v>
      </c>
      <c r="G123">
        <f>IFERROR(INDEX(装备库!$A$2:$Y$1047,MATCH(ROW()-1,装备库!$AO$2:$AO$1046,0),COLUMN()),"")</f>
        <v>1671</v>
      </c>
      <c r="H123">
        <f>IFERROR(INDEX(装备库!$A$2:$Y$1047,MATCH(ROW()-1,装备库!$AO$2:$AO$1046,0),COLUMN()),"")</f>
        <v>0</v>
      </c>
      <c r="I123">
        <f>IFERROR(INDEX(装备库!$A$2:$Y$1047,MATCH(ROW()-1,装备库!$AO$2:$AO$1046,0),COLUMN()),"")</f>
        <v>0</v>
      </c>
      <c r="J123">
        <f>IFERROR(INDEX(装备库!$A$2:$Y$1047,MATCH(ROW()-1,装备库!$AO$2:$AO$1046,0),COLUMN()),"")</f>
        <v>0</v>
      </c>
      <c r="K123">
        <f>IFERROR(INDEX(装备库!$A$2:$Y$1047,MATCH(ROW()-1,装备库!$AO$2:$AO$1046,0),COLUMN()),"")</f>
        <v>4861</v>
      </c>
      <c r="L123">
        <f>IFERROR(INDEX(装备库!$A$2:$Y$1047,MATCH(ROW()-1,装备库!$AO$2:$AO$1046,0),COLUMN()),"")</f>
        <v>0</v>
      </c>
      <c r="M123">
        <f>IFERROR(INDEX(装备库!$A$2:$Y$1047,MATCH(ROW()-1,装备库!$AO$2:$AO$1046,0),COLUMN()),"")</f>
        <v>0</v>
      </c>
      <c r="N123">
        <f>IFERROR(INDEX(装备库!$A$2:$Y$1047,MATCH(ROW()-1,装备库!$AO$2:$AO$1046,0),COLUMN()),"")</f>
        <v>0</v>
      </c>
      <c r="O123">
        <f>IFERROR(INDEX(装备库!$A$2:$Y$1047,MATCH(ROW()-1,装备库!$AO$2:$AO$1046,0),COLUMN()),"")</f>
        <v>0</v>
      </c>
      <c r="P123">
        <f>IFERROR(INDEX(装备库!$A$2:$Y$1047,MATCH(ROW()-1,装备库!$AO$2:$AO$1046,0),COLUMN()),"")</f>
        <v>1</v>
      </c>
      <c r="Q123">
        <f>IFERROR(INDEX(装备库!$A$2:$Y$1047,MATCH(ROW()-1,装备库!$AO$2:$AO$1046,0),COLUMN()),"")</f>
        <v>0</v>
      </c>
      <c r="R123">
        <f>IFERROR(INDEX(装备库!$A$2:$Y$1047,MATCH(ROW()-1,装备库!$AO$2:$AO$1046,0),COLUMN()),"")</f>
        <v>0</v>
      </c>
      <c r="S123">
        <f>IFERROR(INDEX(装备库!$A$2:$Y$1047,MATCH(ROW()-1,装备库!$AO$2:$AO$1046,0),COLUMN()),"")</f>
        <v>0</v>
      </c>
      <c r="T123">
        <f>IFERROR(INDEX(装备库!$A$2:$Y$1047,MATCH(ROW()-1,装备库!$AO$2:$AO$1046,0),COLUMN()),"")</f>
        <v>1</v>
      </c>
      <c r="U123">
        <f>IFERROR(INDEX(装备库!$A$2:$Y$1047,MATCH(ROW()-1,装备库!$AO$2:$AO$1046,0),COLUMN()),"")</f>
        <v>0</v>
      </c>
      <c r="V123">
        <f>IFERROR(INDEX(装备库!$A$2:$Y$1047,MATCH(ROW()-1,装备库!$AO$2:$AO$1046,0),COLUMN()),"")</f>
        <v>0</v>
      </c>
      <c r="W123" t="str">
        <f>IFERROR(INDEX(装备库!$A$2:$Y$1047,MATCH(ROW()-1,装备库!$AO$2:$AO$1046,0),COLUMN()),"")</f>
        <v>精简体攻会无</v>
      </c>
      <c r="X123">
        <f>IFERROR(INDEX(装备库!$A$2:$Y$1047,MATCH(ROW()-1,装备库!$AO$2:$AO$1046,0),COLUMN()),"")</f>
        <v>4</v>
      </c>
      <c r="Y123" t="str">
        <f>IFERROR(INDEX(装备库!$A$2:$Y$1047,MATCH(ROW()-1,装备库!$AO$2:$AO$1046,0),COLUMN()),"")</f>
        <v>副本</v>
      </c>
    </row>
    <row r="124" spans="1:25" x14ac:dyDescent="0.35">
      <c r="A124" t="str">
        <f>IFERROR(INDEX(装备库!$A$2:$Y$1047,MATCH(ROW()-1,装备库!$AO$2:$AO$1046,0),COLUMN()),"")</f>
        <v>护手</v>
      </c>
      <c r="B124" t="str">
        <f>IFERROR(INDEX(装备库!$A$2:$Y$1047,MATCH(ROW()-1,装备库!$AO$2:$AO$1046,0),COLUMN()),"")</f>
        <v>暮祁袖</v>
      </c>
      <c r="C124">
        <f>IFERROR(INDEX(装备库!$A$2:$Y$1047,MATCH(ROW()-1,装备库!$AO$2:$AO$1046,0),COLUMN()),"")</f>
        <v>11300</v>
      </c>
      <c r="D124" t="str">
        <f>IFERROR(INDEX(装备库!$A$2:$Y$1047,MATCH(ROW()-1,装备库!$AO$2:$AO$1046,0),COLUMN()),"")</f>
        <v>暮祁袖(11300招破)</v>
      </c>
      <c r="E124">
        <f>IFERROR(INDEX(装备库!$A$2:$Y$1047,MATCH(ROW()-1,装备库!$AO$2:$AO$1046,0),COLUMN()),"")</f>
        <v>552</v>
      </c>
      <c r="F124">
        <f>IFERROR(INDEX(装备库!$A$2:$Y$1047,MATCH(ROW()-1,装备库!$AO$2:$AO$1046,0),COLUMN()),"")</f>
        <v>896</v>
      </c>
      <c r="G124">
        <f>IFERROR(INDEX(装备库!$A$2:$Y$1047,MATCH(ROW()-1,装备库!$AO$2:$AO$1046,0),COLUMN()),"")</f>
        <v>0</v>
      </c>
      <c r="H124">
        <f>IFERROR(INDEX(装备库!$A$2:$Y$1047,MATCH(ROW()-1,装备库!$AO$2:$AO$1046,0),COLUMN()),"")</f>
        <v>0</v>
      </c>
      <c r="I124">
        <f>IFERROR(INDEX(装备库!$A$2:$Y$1047,MATCH(ROW()-1,装备库!$AO$2:$AO$1046,0),COLUMN()),"")</f>
        <v>2771</v>
      </c>
      <c r="J124">
        <f>IFERROR(INDEX(装备库!$A$2:$Y$1047,MATCH(ROW()-1,装备库!$AO$2:$AO$1046,0),COLUMN()),"")</f>
        <v>2463</v>
      </c>
      <c r="K124">
        <f>IFERROR(INDEX(装备库!$A$2:$Y$1047,MATCH(ROW()-1,装备库!$AO$2:$AO$1046,0),COLUMN()),"")</f>
        <v>0</v>
      </c>
      <c r="L124">
        <f>IFERROR(INDEX(装备库!$A$2:$Y$1047,MATCH(ROW()-1,装备库!$AO$2:$AO$1046,0),COLUMN()),"")</f>
        <v>0</v>
      </c>
      <c r="M124">
        <f>IFERROR(INDEX(装备库!$A$2:$Y$1047,MATCH(ROW()-1,装备库!$AO$2:$AO$1046,0),COLUMN()),"")</f>
        <v>0</v>
      </c>
      <c r="N124">
        <f>IFERROR(INDEX(装备库!$A$2:$Y$1047,MATCH(ROW()-1,装备库!$AO$2:$AO$1046,0),COLUMN()),"")</f>
        <v>0</v>
      </c>
      <c r="O124">
        <f>IFERROR(INDEX(装备库!$A$2:$Y$1047,MATCH(ROW()-1,装备库!$AO$2:$AO$1046,0),COLUMN()),"")</f>
        <v>0</v>
      </c>
      <c r="P124">
        <f>IFERROR(INDEX(装备库!$A$2:$Y$1047,MATCH(ROW()-1,装备库!$AO$2:$AO$1046,0),COLUMN()),"")</f>
        <v>1</v>
      </c>
      <c r="Q124">
        <f>IFERROR(INDEX(装备库!$A$2:$Y$1047,MATCH(ROW()-1,装备库!$AO$2:$AO$1046,0),COLUMN()),"")</f>
        <v>0</v>
      </c>
      <c r="R124">
        <f>IFERROR(INDEX(装备库!$A$2:$Y$1047,MATCH(ROW()-1,装备库!$AO$2:$AO$1046,0),COLUMN()),"")</f>
        <v>0</v>
      </c>
      <c r="S124">
        <f>IFERROR(INDEX(装备库!$A$2:$Y$1047,MATCH(ROW()-1,装备库!$AO$2:$AO$1046,0),COLUMN()),"")</f>
        <v>1</v>
      </c>
      <c r="T124">
        <f>IFERROR(INDEX(装备库!$A$2:$Y$1047,MATCH(ROW()-1,装备库!$AO$2:$AO$1046,0),COLUMN()),"")</f>
        <v>0</v>
      </c>
      <c r="U124">
        <f>IFERROR(INDEX(装备库!$A$2:$Y$1047,MATCH(ROW()-1,装备库!$AO$2:$AO$1046,0),COLUMN()),"")</f>
        <v>0</v>
      </c>
      <c r="V124">
        <f>IFERROR(INDEX(装备库!$A$2:$Y$1047,MATCH(ROW()-1,装备库!$AO$2:$AO$1046,0),COLUMN()),"")</f>
        <v>0</v>
      </c>
      <c r="W124" t="str">
        <f>IFERROR(INDEX(装备库!$A$2:$Y$1047,MATCH(ROW()-1,装备库!$AO$2:$AO$1046,0),COLUMN()),"")</f>
        <v>招破</v>
      </c>
      <c r="X124">
        <f>IFERROR(INDEX(装备库!$A$2:$Y$1047,MATCH(ROW()-1,装备库!$AO$2:$AO$1046,0),COLUMN()),"")</f>
        <v>6</v>
      </c>
      <c r="Y124" t="str">
        <f>IFERROR(INDEX(装备库!$A$2:$Y$1047,MATCH(ROW()-1,装备库!$AO$2:$AO$1046,0),COLUMN()),"")</f>
        <v>生活技能</v>
      </c>
    </row>
    <row r="125" spans="1:25" x14ac:dyDescent="0.35">
      <c r="A125" t="str">
        <f>IFERROR(INDEX(装备库!$A$2:$Y$1047,MATCH(ROW()-1,装备库!$AO$2:$AO$1046,0),COLUMN()),"")</f>
        <v>护手</v>
      </c>
      <c r="B125" t="str">
        <f>IFERROR(INDEX(装备库!$A$2:$Y$1047,MATCH(ROW()-1,装备库!$AO$2:$AO$1046,0),COLUMN()),"")</f>
        <v>无封护臂</v>
      </c>
      <c r="C125">
        <f>IFERROR(INDEX(装备库!$A$2:$Y$1047,MATCH(ROW()-1,装备库!$AO$2:$AO$1046,0),COLUMN()),"")</f>
        <v>11500</v>
      </c>
      <c r="D125" t="str">
        <f>IFERROR(INDEX(装备库!$A$2:$Y$1047,MATCH(ROW()-1,装备库!$AO$2:$AO$1046,0),COLUMN()),"")</f>
        <v>无封护臂(11500精简攻破)</v>
      </c>
      <c r="E125">
        <f>IFERROR(INDEX(装备库!$A$2:$Y$1047,MATCH(ROW()-1,装备库!$AO$2:$AO$1046,0),COLUMN()),"")</f>
        <v>0</v>
      </c>
      <c r="F125">
        <f>IFERROR(INDEX(装备库!$A$2:$Y$1047,MATCH(ROW()-1,装备库!$AO$2:$AO$1046,0),COLUMN()),"")</f>
        <v>2385</v>
      </c>
      <c r="G125">
        <f>IFERROR(INDEX(装备库!$A$2:$Y$1047,MATCH(ROW()-1,装备库!$AO$2:$AO$1046,0),COLUMN()),"")</f>
        <v>0</v>
      </c>
      <c r="H125">
        <f>IFERROR(INDEX(装备库!$A$2:$Y$1047,MATCH(ROW()-1,装备库!$AO$2:$AO$1046,0),COLUMN()),"")</f>
        <v>0</v>
      </c>
      <c r="I125">
        <f>IFERROR(INDEX(装备库!$A$2:$Y$1047,MATCH(ROW()-1,装备库!$AO$2:$AO$1046,0),COLUMN()),"")</f>
        <v>5562</v>
      </c>
      <c r="J125">
        <f>IFERROR(INDEX(装备库!$A$2:$Y$1047,MATCH(ROW()-1,装备库!$AO$2:$AO$1046,0),COLUMN()),"")</f>
        <v>0</v>
      </c>
      <c r="K125">
        <f>IFERROR(INDEX(装备库!$A$2:$Y$1047,MATCH(ROW()-1,装备库!$AO$2:$AO$1046,0),COLUMN()),"")</f>
        <v>0</v>
      </c>
      <c r="L125">
        <f>IFERROR(INDEX(装备库!$A$2:$Y$1047,MATCH(ROW()-1,装备库!$AO$2:$AO$1046,0),COLUMN()),"")</f>
        <v>0</v>
      </c>
      <c r="M125">
        <f>IFERROR(INDEX(装备库!$A$2:$Y$1047,MATCH(ROW()-1,装备库!$AO$2:$AO$1046,0),COLUMN()),"")</f>
        <v>0</v>
      </c>
      <c r="N125">
        <f>IFERROR(INDEX(装备库!$A$2:$Y$1047,MATCH(ROW()-1,装备库!$AO$2:$AO$1046,0),COLUMN()),"")</f>
        <v>0</v>
      </c>
      <c r="O125">
        <f>IFERROR(INDEX(装备库!$A$2:$Y$1047,MATCH(ROW()-1,装备库!$AO$2:$AO$1046,0),COLUMN()),"")</f>
        <v>0</v>
      </c>
      <c r="P125">
        <f>IFERROR(INDEX(装备库!$A$2:$Y$1047,MATCH(ROW()-1,装备库!$AO$2:$AO$1046,0),COLUMN()),"")</f>
        <v>1</v>
      </c>
      <c r="Q125">
        <f>IFERROR(INDEX(装备库!$A$2:$Y$1047,MATCH(ROW()-1,装备库!$AO$2:$AO$1046,0),COLUMN()),"")</f>
        <v>0</v>
      </c>
      <c r="R125">
        <f>IFERROR(INDEX(装备库!$A$2:$Y$1047,MATCH(ROW()-1,装备库!$AO$2:$AO$1046,0),COLUMN()),"")</f>
        <v>0</v>
      </c>
      <c r="S125">
        <f>IFERROR(INDEX(装备库!$A$2:$Y$1047,MATCH(ROW()-1,装备库!$AO$2:$AO$1046,0),COLUMN()),"")</f>
        <v>0</v>
      </c>
      <c r="T125">
        <f>IFERROR(INDEX(装备库!$A$2:$Y$1047,MATCH(ROW()-1,装备库!$AO$2:$AO$1046,0),COLUMN()),"")</f>
        <v>1</v>
      </c>
      <c r="U125">
        <f>IFERROR(INDEX(装备库!$A$2:$Y$1047,MATCH(ROW()-1,装备库!$AO$2:$AO$1046,0),COLUMN()),"")</f>
        <v>0</v>
      </c>
      <c r="V125">
        <f>IFERROR(INDEX(装备库!$A$2:$Y$1047,MATCH(ROW()-1,装备库!$AO$2:$AO$1046,0),COLUMN()),"")</f>
        <v>0</v>
      </c>
      <c r="W125" t="str">
        <f>IFERROR(INDEX(装备库!$A$2:$Y$1047,MATCH(ROW()-1,装备库!$AO$2:$AO$1046,0),COLUMN()),"")</f>
        <v>精简攻破</v>
      </c>
      <c r="X125">
        <f>IFERROR(INDEX(装备库!$A$2:$Y$1047,MATCH(ROW()-1,装备库!$AO$2:$AO$1046,0),COLUMN()),"")</f>
        <v>3</v>
      </c>
      <c r="Y125" t="str">
        <f>IFERROR(INDEX(装备库!$A$2:$Y$1047,MATCH(ROW()-1,装备库!$AO$2:$AO$1046,0),COLUMN()),"")</f>
        <v>活动</v>
      </c>
    </row>
    <row r="126" spans="1:25" x14ac:dyDescent="0.35">
      <c r="A126" t="str">
        <f>IFERROR(INDEX(装备库!$A$2:$Y$1047,MATCH(ROW()-1,装备库!$AO$2:$AO$1046,0),COLUMN()),"")</f>
        <v>护手</v>
      </c>
      <c r="B126" t="str">
        <f>IFERROR(INDEX(装备库!$A$2:$Y$1047,MATCH(ROW()-1,装备库!$AO$2:$AO$1046,0),COLUMN()),"")</f>
        <v>无封护臂</v>
      </c>
      <c r="C126">
        <f>IFERROR(INDEX(装备库!$A$2:$Y$1047,MATCH(ROW()-1,装备库!$AO$2:$AO$1046,0),COLUMN()),"")</f>
        <v>11500</v>
      </c>
      <c r="D126" t="str">
        <f>IFERROR(INDEX(装备库!$A$2:$Y$1047,MATCH(ROW()-1,装备库!$AO$2:$AO$1046,0),COLUMN()),"")</f>
        <v>无封护臂(11500精简攻会会招)</v>
      </c>
      <c r="E126">
        <f>IFERROR(INDEX(装备库!$A$2:$Y$1047,MATCH(ROW()-1,装备库!$AO$2:$AO$1046,0),COLUMN()),"")</f>
        <v>0</v>
      </c>
      <c r="F126">
        <f>IFERROR(INDEX(装备库!$A$2:$Y$1047,MATCH(ROW()-1,装备库!$AO$2:$AO$1046,0),COLUMN()),"")</f>
        <v>2034</v>
      </c>
      <c r="G126">
        <f>IFERROR(INDEX(装备库!$A$2:$Y$1047,MATCH(ROW()-1,装备库!$AO$2:$AO$1046,0),COLUMN()),"")</f>
        <v>2977</v>
      </c>
      <c r="H126">
        <f>IFERROR(INDEX(装备库!$A$2:$Y$1047,MATCH(ROW()-1,装备库!$AO$2:$AO$1046,0),COLUMN()),"")</f>
        <v>1567</v>
      </c>
      <c r="I126">
        <f>IFERROR(INDEX(装备库!$A$2:$Y$1047,MATCH(ROW()-1,装备库!$AO$2:$AO$1046,0),COLUMN()),"")</f>
        <v>0</v>
      </c>
      <c r="J126">
        <f>IFERROR(INDEX(装备库!$A$2:$Y$1047,MATCH(ROW()-1,装备库!$AO$2:$AO$1046,0),COLUMN()),"")</f>
        <v>1724</v>
      </c>
      <c r="K126">
        <f>IFERROR(INDEX(装备库!$A$2:$Y$1047,MATCH(ROW()-1,装备库!$AO$2:$AO$1046,0),COLUMN()),"")</f>
        <v>0</v>
      </c>
      <c r="L126">
        <f>IFERROR(INDEX(装备库!$A$2:$Y$1047,MATCH(ROW()-1,装备库!$AO$2:$AO$1046,0),COLUMN()),"")</f>
        <v>0</v>
      </c>
      <c r="M126">
        <f>IFERROR(INDEX(装备库!$A$2:$Y$1047,MATCH(ROW()-1,装备库!$AO$2:$AO$1046,0),COLUMN()),"")</f>
        <v>0</v>
      </c>
      <c r="N126">
        <f>IFERROR(INDEX(装备库!$A$2:$Y$1047,MATCH(ROW()-1,装备库!$AO$2:$AO$1046,0),COLUMN()),"")</f>
        <v>0</v>
      </c>
      <c r="O126">
        <f>IFERROR(INDEX(装备库!$A$2:$Y$1047,MATCH(ROW()-1,装备库!$AO$2:$AO$1046,0),COLUMN()),"")</f>
        <v>0</v>
      </c>
      <c r="P126">
        <f>IFERROR(INDEX(装备库!$A$2:$Y$1047,MATCH(ROW()-1,装备库!$AO$2:$AO$1046,0),COLUMN()),"")</f>
        <v>1</v>
      </c>
      <c r="Q126">
        <f>IFERROR(INDEX(装备库!$A$2:$Y$1047,MATCH(ROW()-1,装备库!$AO$2:$AO$1046,0),COLUMN()),"")</f>
        <v>0</v>
      </c>
      <c r="R126">
        <f>IFERROR(INDEX(装备库!$A$2:$Y$1047,MATCH(ROW()-1,装备库!$AO$2:$AO$1046,0),COLUMN()),"")</f>
        <v>0</v>
      </c>
      <c r="S126">
        <f>IFERROR(INDEX(装备库!$A$2:$Y$1047,MATCH(ROW()-1,装备库!$AO$2:$AO$1046,0),COLUMN()),"")</f>
        <v>1</v>
      </c>
      <c r="T126">
        <f>IFERROR(INDEX(装备库!$A$2:$Y$1047,MATCH(ROW()-1,装备库!$AO$2:$AO$1046,0),COLUMN()),"")</f>
        <v>0</v>
      </c>
      <c r="U126">
        <f>IFERROR(INDEX(装备库!$A$2:$Y$1047,MATCH(ROW()-1,装备库!$AO$2:$AO$1046,0),COLUMN()),"")</f>
        <v>0</v>
      </c>
      <c r="V126">
        <f>IFERROR(INDEX(装备库!$A$2:$Y$1047,MATCH(ROW()-1,装备库!$AO$2:$AO$1046,0),COLUMN()),"")</f>
        <v>0</v>
      </c>
      <c r="W126" t="str">
        <f>IFERROR(INDEX(装备库!$A$2:$Y$1047,MATCH(ROW()-1,装备库!$AO$2:$AO$1046,0),COLUMN()),"")</f>
        <v>精简攻会会招</v>
      </c>
      <c r="X126">
        <f>IFERROR(INDEX(装备库!$A$2:$Y$1047,MATCH(ROW()-1,装备库!$AO$2:$AO$1046,0),COLUMN()),"")</f>
        <v>3</v>
      </c>
      <c r="Y126" t="str">
        <f>IFERROR(INDEX(装备库!$A$2:$Y$1047,MATCH(ROW()-1,装备库!$AO$2:$AO$1046,0),COLUMN()),"")</f>
        <v>活动</v>
      </c>
    </row>
    <row r="127" spans="1:25" x14ac:dyDescent="0.35">
      <c r="A127" t="str">
        <f>IFERROR(INDEX(装备库!$A$2:$Y$1047,MATCH(ROW()-1,装备库!$AO$2:$AO$1046,0),COLUMN()),"")</f>
        <v>护手</v>
      </c>
      <c r="B127" t="str">
        <f>IFERROR(INDEX(装备库!$A$2:$Y$1047,MATCH(ROW()-1,装备库!$AO$2:$AO$1046,0),COLUMN()),"")</f>
        <v>无封护臂</v>
      </c>
      <c r="C127">
        <f>IFERROR(INDEX(装备库!$A$2:$Y$1047,MATCH(ROW()-1,装备库!$AO$2:$AO$1046,0),COLUMN()),"")</f>
        <v>11500</v>
      </c>
      <c r="D127" t="str">
        <f>IFERROR(INDEX(装备库!$A$2:$Y$1047,MATCH(ROW()-1,装备库!$AO$2:$AO$1046,0),COLUMN()),"")</f>
        <v>无封护臂(11500精简攻会会)</v>
      </c>
      <c r="E127">
        <f>IFERROR(INDEX(装备库!$A$2:$Y$1047,MATCH(ROW()-1,装备库!$AO$2:$AO$1046,0),COLUMN()),"")</f>
        <v>0</v>
      </c>
      <c r="F127">
        <f>IFERROR(INDEX(装备库!$A$2:$Y$1047,MATCH(ROW()-1,装备库!$AO$2:$AO$1046,0),COLUMN()),"")</f>
        <v>2034</v>
      </c>
      <c r="G127">
        <f>IFERROR(INDEX(装备库!$A$2:$Y$1047,MATCH(ROW()-1,装备库!$AO$2:$AO$1046,0),COLUMN()),"")</f>
        <v>3917</v>
      </c>
      <c r="H127">
        <f>IFERROR(INDEX(装备库!$A$2:$Y$1047,MATCH(ROW()-1,装备库!$AO$2:$AO$1046,0),COLUMN()),"")</f>
        <v>2350</v>
      </c>
      <c r="I127">
        <f>IFERROR(INDEX(装备库!$A$2:$Y$1047,MATCH(ROW()-1,装备库!$AO$2:$AO$1046,0),COLUMN()),"")</f>
        <v>0</v>
      </c>
      <c r="J127">
        <f>IFERROR(INDEX(装备库!$A$2:$Y$1047,MATCH(ROW()-1,装备库!$AO$2:$AO$1046,0),COLUMN()),"")</f>
        <v>0</v>
      </c>
      <c r="K127">
        <f>IFERROR(INDEX(装备库!$A$2:$Y$1047,MATCH(ROW()-1,装备库!$AO$2:$AO$1046,0),COLUMN()),"")</f>
        <v>0</v>
      </c>
      <c r="L127">
        <f>IFERROR(INDEX(装备库!$A$2:$Y$1047,MATCH(ROW()-1,装备库!$AO$2:$AO$1046,0),COLUMN()),"")</f>
        <v>0</v>
      </c>
      <c r="M127">
        <f>IFERROR(INDEX(装备库!$A$2:$Y$1047,MATCH(ROW()-1,装备库!$AO$2:$AO$1046,0),COLUMN()),"")</f>
        <v>0</v>
      </c>
      <c r="N127">
        <f>IFERROR(INDEX(装备库!$A$2:$Y$1047,MATCH(ROW()-1,装备库!$AO$2:$AO$1046,0),COLUMN()),"")</f>
        <v>0</v>
      </c>
      <c r="O127">
        <f>IFERROR(INDEX(装备库!$A$2:$Y$1047,MATCH(ROW()-1,装备库!$AO$2:$AO$1046,0),COLUMN()),"")</f>
        <v>0</v>
      </c>
      <c r="P127">
        <f>IFERROR(INDEX(装备库!$A$2:$Y$1047,MATCH(ROW()-1,装备库!$AO$2:$AO$1046,0),COLUMN()),"")</f>
        <v>1</v>
      </c>
      <c r="Q127">
        <f>IFERROR(INDEX(装备库!$A$2:$Y$1047,MATCH(ROW()-1,装备库!$AO$2:$AO$1046,0),COLUMN()),"")</f>
        <v>0</v>
      </c>
      <c r="R127">
        <f>IFERROR(INDEX(装备库!$A$2:$Y$1047,MATCH(ROW()-1,装备库!$AO$2:$AO$1046,0),COLUMN()),"")</f>
        <v>0</v>
      </c>
      <c r="S127">
        <f>IFERROR(INDEX(装备库!$A$2:$Y$1047,MATCH(ROW()-1,装备库!$AO$2:$AO$1046,0),COLUMN()),"")</f>
        <v>1</v>
      </c>
      <c r="T127">
        <f>IFERROR(INDEX(装备库!$A$2:$Y$1047,MATCH(ROW()-1,装备库!$AO$2:$AO$1046,0),COLUMN()),"")</f>
        <v>0</v>
      </c>
      <c r="U127">
        <f>IFERROR(INDEX(装备库!$A$2:$Y$1047,MATCH(ROW()-1,装备库!$AO$2:$AO$1046,0),COLUMN()),"")</f>
        <v>0</v>
      </c>
      <c r="V127">
        <f>IFERROR(INDEX(装备库!$A$2:$Y$1047,MATCH(ROW()-1,装备库!$AO$2:$AO$1046,0),COLUMN()),"")</f>
        <v>0</v>
      </c>
      <c r="W127" t="str">
        <f>IFERROR(INDEX(装备库!$A$2:$Y$1047,MATCH(ROW()-1,装备库!$AO$2:$AO$1046,0),COLUMN()),"")</f>
        <v>精简攻会会</v>
      </c>
      <c r="X127">
        <f>IFERROR(INDEX(装备库!$A$2:$Y$1047,MATCH(ROW()-1,装备库!$AO$2:$AO$1046,0),COLUMN()),"")</f>
        <v>3</v>
      </c>
      <c r="Y127" t="str">
        <f>IFERROR(INDEX(装备库!$A$2:$Y$1047,MATCH(ROW()-1,装备库!$AO$2:$AO$1046,0),COLUMN()),"")</f>
        <v>活动</v>
      </c>
    </row>
    <row r="128" spans="1:25" x14ac:dyDescent="0.35">
      <c r="A128" t="str">
        <f>IFERROR(INDEX(装备库!$A$2:$Y$1047,MATCH(ROW()-1,装备库!$AO$2:$AO$1046,0),COLUMN()),"")</f>
        <v>护手</v>
      </c>
      <c r="B128" t="str">
        <f>IFERROR(INDEX(装备库!$A$2:$Y$1047,MATCH(ROW()-1,装备库!$AO$2:$AO$1046,0),COLUMN()),"")</f>
        <v>无封护臂</v>
      </c>
      <c r="C128">
        <f>IFERROR(INDEX(装备库!$A$2:$Y$1047,MATCH(ROW()-1,装备库!$AO$2:$AO$1046,0),COLUMN()),"")</f>
        <v>12100</v>
      </c>
      <c r="D128" t="str">
        <f>IFERROR(INDEX(装备库!$A$2:$Y$1047,MATCH(ROW()-1,装备库!$AO$2:$AO$1046,0),COLUMN()),"")</f>
        <v>无封护臂(12100精简攻招破)</v>
      </c>
      <c r="E128">
        <f>IFERROR(INDEX(装备库!$A$2:$Y$1047,MATCH(ROW()-1,装备库!$AO$2:$AO$1046,0),COLUMN()),"")</f>
        <v>0</v>
      </c>
      <c r="F128">
        <f>IFERROR(INDEX(装备库!$A$2:$Y$1047,MATCH(ROW()-1,装备库!$AO$2:$AO$1046,0),COLUMN()),"")</f>
        <v>2140</v>
      </c>
      <c r="G128">
        <f>IFERROR(INDEX(装备库!$A$2:$Y$1047,MATCH(ROW()-1,装备库!$AO$2:$AO$1046,0),COLUMN()),"")</f>
        <v>0</v>
      </c>
      <c r="H128">
        <f>IFERROR(INDEX(装备库!$A$2:$Y$1047,MATCH(ROW()-1,装备库!$AO$2:$AO$1046,0),COLUMN()),"")</f>
        <v>0</v>
      </c>
      <c r="I128">
        <f>IFERROR(INDEX(装备库!$A$2:$Y$1047,MATCH(ROW()-1,装备库!$AO$2:$AO$1046,0),COLUMN()),"")</f>
        <v>3462</v>
      </c>
      <c r="J128">
        <f>IFERROR(INDEX(装备库!$A$2:$Y$1047,MATCH(ROW()-1,装备库!$AO$2:$AO$1046,0),COLUMN()),"")</f>
        <v>3297</v>
      </c>
      <c r="K128">
        <f>IFERROR(INDEX(装备库!$A$2:$Y$1047,MATCH(ROW()-1,装备库!$AO$2:$AO$1046,0),COLUMN()),"")</f>
        <v>0</v>
      </c>
      <c r="L128">
        <f>IFERROR(INDEX(装备库!$A$2:$Y$1047,MATCH(ROW()-1,装备库!$AO$2:$AO$1046,0),COLUMN()),"")</f>
        <v>0</v>
      </c>
      <c r="M128">
        <f>IFERROR(INDEX(装备库!$A$2:$Y$1047,MATCH(ROW()-1,装备库!$AO$2:$AO$1046,0),COLUMN()),"")</f>
        <v>0</v>
      </c>
      <c r="N128">
        <f>IFERROR(INDEX(装备库!$A$2:$Y$1047,MATCH(ROW()-1,装备库!$AO$2:$AO$1046,0),COLUMN()),"")</f>
        <v>0</v>
      </c>
      <c r="O128">
        <f>IFERROR(INDEX(装备库!$A$2:$Y$1047,MATCH(ROW()-1,装备库!$AO$2:$AO$1046,0),COLUMN()),"")</f>
        <v>0</v>
      </c>
      <c r="P128">
        <f>IFERROR(INDEX(装备库!$A$2:$Y$1047,MATCH(ROW()-1,装备库!$AO$2:$AO$1046,0),COLUMN()),"")</f>
        <v>0</v>
      </c>
      <c r="Q128">
        <f>IFERROR(INDEX(装备库!$A$2:$Y$1047,MATCH(ROW()-1,装备库!$AO$2:$AO$1046,0),COLUMN()),"")</f>
        <v>1</v>
      </c>
      <c r="R128">
        <f>IFERROR(INDEX(装备库!$A$2:$Y$1047,MATCH(ROW()-1,装备库!$AO$2:$AO$1046,0),COLUMN()),"")</f>
        <v>0</v>
      </c>
      <c r="S128">
        <f>IFERROR(INDEX(装备库!$A$2:$Y$1047,MATCH(ROW()-1,装备库!$AO$2:$AO$1046,0),COLUMN()),"")</f>
        <v>0</v>
      </c>
      <c r="T128">
        <f>IFERROR(INDEX(装备库!$A$2:$Y$1047,MATCH(ROW()-1,装备库!$AO$2:$AO$1046,0),COLUMN()),"")</f>
        <v>1</v>
      </c>
      <c r="U128">
        <f>IFERROR(INDEX(装备库!$A$2:$Y$1047,MATCH(ROW()-1,装备库!$AO$2:$AO$1046,0),COLUMN()),"")</f>
        <v>0</v>
      </c>
      <c r="V128">
        <f>IFERROR(INDEX(装备库!$A$2:$Y$1047,MATCH(ROW()-1,装备库!$AO$2:$AO$1046,0),COLUMN()),"")</f>
        <v>0</v>
      </c>
      <c r="W128" t="str">
        <f>IFERROR(INDEX(装备库!$A$2:$Y$1047,MATCH(ROW()-1,装备库!$AO$2:$AO$1046,0),COLUMN()),"")</f>
        <v>精简攻招破</v>
      </c>
      <c r="X128">
        <f>IFERROR(INDEX(装备库!$A$2:$Y$1047,MATCH(ROW()-1,装备库!$AO$2:$AO$1046,0),COLUMN()),"")</f>
        <v>3</v>
      </c>
      <c r="Y128" t="str">
        <f>IFERROR(INDEX(装备库!$A$2:$Y$1047,MATCH(ROW()-1,装备库!$AO$2:$AO$1046,0),COLUMN()),"")</f>
        <v>活动</v>
      </c>
    </row>
    <row r="129" spans="1:25" x14ac:dyDescent="0.35">
      <c r="A129" t="str">
        <f>IFERROR(INDEX(装备库!$A$2:$Y$1047,MATCH(ROW()-1,装备库!$AO$2:$AO$1046,0),COLUMN()),"")</f>
        <v>护手</v>
      </c>
      <c r="B129" t="str">
        <f>IFERROR(INDEX(装备库!$A$2:$Y$1047,MATCH(ROW()-1,装备库!$AO$2:$AO$1046,0),COLUMN()),"")</f>
        <v>无封护臂</v>
      </c>
      <c r="C129">
        <f>IFERROR(INDEX(装备库!$A$2:$Y$1047,MATCH(ROW()-1,装备库!$AO$2:$AO$1046,0),COLUMN()),"")</f>
        <v>12100</v>
      </c>
      <c r="D129" t="str">
        <f>IFERROR(INDEX(装备库!$A$2:$Y$1047,MATCH(ROW()-1,装备库!$AO$2:$AO$1046,0),COLUMN()),"")</f>
        <v>无封护臂(12100精简攻无)</v>
      </c>
      <c r="E129">
        <f>IFERROR(INDEX(装备库!$A$2:$Y$1047,MATCH(ROW()-1,装备库!$AO$2:$AO$1046,0),COLUMN()),"")</f>
        <v>0</v>
      </c>
      <c r="F129">
        <f>IFERROR(INDEX(装备库!$A$2:$Y$1047,MATCH(ROW()-1,装备库!$AO$2:$AO$1046,0),COLUMN()),"")</f>
        <v>2509</v>
      </c>
      <c r="G129">
        <f>IFERROR(INDEX(装备库!$A$2:$Y$1047,MATCH(ROW()-1,装备库!$AO$2:$AO$1046,0),COLUMN()),"")</f>
        <v>0</v>
      </c>
      <c r="H129">
        <f>IFERROR(INDEX(装备库!$A$2:$Y$1047,MATCH(ROW()-1,装备库!$AO$2:$AO$1046,0),COLUMN()),"")</f>
        <v>0</v>
      </c>
      <c r="I129">
        <f>IFERROR(INDEX(装备库!$A$2:$Y$1047,MATCH(ROW()-1,装备库!$AO$2:$AO$1046,0),COLUMN()),"")</f>
        <v>0</v>
      </c>
      <c r="J129">
        <f>IFERROR(INDEX(装备库!$A$2:$Y$1047,MATCH(ROW()-1,装备库!$AO$2:$AO$1046,0),COLUMN()),"")</f>
        <v>0</v>
      </c>
      <c r="K129">
        <f>IFERROR(INDEX(装备库!$A$2:$Y$1047,MATCH(ROW()-1,装备库!$AO$2:$AO$1046,0),COLUMN()),"")</f>
        <v>5853</v>
      </c>
      <c r="L129">
        <f>IFERROR(INDEX(装备库!$A$2:$Y$1047,MATCH(ROW()-1,装备库!$AO$2:$AO$1046,0),COLUMN()),"")</f>
        <v>0</v>
      </c>
      <c r="M129">
        <f>IFERROR(INDEX(装备库!$A$2:$Y$1047,MATCH(ROW()-1,装备库!$AO$2:$AO$1046,0),COLUMN()),"")</f>
        <v>0</v>
      </c>
      <c r="N129">
        <f>IFERROR(INDEX(装备库!$A$2:$Y$1047,MATCH(ROW()-1,装备库!$AO$2:$AO$1046,0),COLUMN()),"")</f>
        <v>0</v>
      </c>
      <c r="O129">
        <f>IFERROR(INDEX(装备库!$A$2:$Y$1047,MATCH(ROW()-1,装备库!$AO$2:$AO$1046,0),COLUMN()),"")</f>
        <v>0</v>
      </c>
      <c r="P129">
        <f>IFERROR(INDEX(装备库!$A$2:$Y$1047,MATCH(ROW()-1,装备库!$AO$2:$AO$1046,0),COLUMN()),"")</f>
        <v>0</v>
      </c>
      <c r="Q129">
        <f>IFERROR(INDEX(装备库!$A$2:$Y$1047,MATCH(ROW()-1,装备库!$AO$2:$AO$1046,0),COLUMN()),"")</f>
        <v>0</v>
      </c>
      <c r="R129">
        <f>IFERROR(INDEX(装备库!$A$2:$Y$1047,MATCH(ROW()-1,装备库!$AO$2:$AO$1046,0),COLUMN()),"")</f>
        <v>0</v>
      </c>
      <c r="S129">
        <f>IFERROR(INDEX(装备库!$A$2:$Y$1047,MATCH(ROW()-1,装备库!$AO$2:$AO$1046,0),COLUMN()),"")</f>
        <v>1</v>
      </c>
      <c r="T129">
        <f>IFERROR(INDEX(装备库!$A$2:$Y$1047,MATCH(ROW()-1,装备库!$AO$2:$AO$1046,0),COLUMN()),"")</f>
        <v>0</v>
      </c>
      <c r="U129">
        <f>IFERROR(INDEX(装备库!$A$2:$Y$1047,MATCH(ROW()-1,装备库!$AO$2:$AO$1046,0),COLUMN()),"")</f>
        <v>1</v>
      </c>
      <c r="V129">
        <f>IFERROR(INDEX(装备库!$A$2:$Y$1047,MATCH(ROW()-1,装备库!$AO$2:$AO$1046,0),COLUMN()),"")</f>
        <v>0</v>
      </c>
      <c r="W129" t="str">
        <f>IFERROR(INDEX(装备库!$A$2:$Y$1047,MATCH(ROW()-1,装备库!$AO$2:$AO$1046,0),COLUMN()),"")</f>
        <v>精简攻无</v>
      </c>
      <c r="X129">
        <f>IFERROR(INDEX(装备库!$A$2:$Y$1047,MATCH(ROW()-1,装备库!$AO$2:$AO$1046,0),COLUMN()),"")</f>
        <v>3</v>
      </c>
      <c r="Y129" t="str">
        <f>IFERROR(INDEX(装备库!$A$2:$Y$1047,MATCH(ROW()-1,装备库!$AO$2:$AO$1046,0),COLUMN()),"")</f>
        <v>活动</v>
      </c>
    </row>
    <row r="130" spans="1:25" x14ac:dyDescent="0.35">
      <c r="A130" t="str">
        <f>IFERROR(INDEX(装备库!$A$2:$Y$1047,MATCH(ROW()-1,装备库!$AO$2:$AO$1046,0),COLUMN()),"")</f>
        <v>护手</v>
      </c>
      <c r="B130" t="str">
        <f>IFERROR(INDEX(装备库!$A$2:$Y$1047,MATCH(ROW()-1,装备库!$AO$2:$AO$1046,0),COLUMN()),"")</f>
        <v>无封护臂</v>
      </c>
      <c r="C130">
        <f>IFERROR(INDEX(装备库!$A$2:$Y$1047,MATCH(ROW()-1,装备库!$AO$2:$AO$1046,0),COLUMN()),"")</f>
        <v>12100</v>
      </c>
      <c r="D130" t="str">
        <f>IFERROR(INDEX(装备库!$A$2:$Y$1047,MATCH(ROW()-1,装备库!$AO$2:$AO$1046,0),COLUMN()),"")</f>
        <v>无封护臂(12100精简攻会会无)</v>
      </c>
      <c r="E130">
        <f>IFERROR(INDEX(装备库!$A$2:$Y$1047,MATCH(ROW()-1,装备库!$AO$2:$AO$1046,0),COLUMN()),"")</f>
        <v>0</v>
      </c>
      <c r="F130">
        <f>IFERROR(INDEX(装备库!$A$2:$Y$1047,MATCH(ROW()-1,装备库!$AO$2:$AO$1046,0),COLUMN()),"")</f>
        <v>2140</v>
      </c>
      <c r="G130">
        <f>IFERROR(INDEX(装备库!$A$2:$Y$1047,MATCH(ROW()-1,装备库!$AO$2:$AO$1046,0),COLUMN()),"")</f>
        <v>3132</v>
      </c>
      <c r="H130">
        <f>IFERROR(INDEX(装备库!$A$2:$Y$1047,MATCH(ROW()-1,装备库!$AO$2:$AO$1046,0),COLUMN()),"")</f>
        <v>1649</v>
      </c>
      <c r="I130">
        <f>IFERROR(INDEX(装备库!$A$2:$Y$1047,MATCH(ROW()-1,装备库!$AO$2:$AO$1046,0),COLUMN()),"")</f>
        <v>0</v>
      </c>
      <c r="J130">
        <f>IFERROR(INDEX(装备库!$A$2:$Y$1047,MATCH(ROW()-1,装备库!$AO$2:$AO$1046,0),COLUMN()),"")</f>
        <v>0</v>
      </c>
      <c r="K130">
        <f>IFERROR(INDEX(装备库!$A$2:$Y$1047,MATCH(ROW()-1,装备库!$AO$2:$AO$1046,0),COLUMN()),"")</f>
        <v>1814</v>
      </c>
      <c r="L130">
        <f>IFERROR(INDEX(装备库!$A$2:$Y$1047,MATCH(ROW()-1,装备库!$AO$2:$AO$1046,0),COLUMN()),"")</f>
        <v>0</v>
      </c>
      <c r="M130">
        <f>IFERROR(INDEX(装备库!$A$2:$Y$1047,MATCH(ROW()-1,装备库!$AO$2:$AO$1046,0),COLUMN()),"")</f>
        <v>0</v>
      </c>
      <c r="N130">
        <f>IFERROR(INDEX(装备库!$A$2:$Y$1047,MATCH(ROW()-1,装备库!$AO$2:$AO$1046,0),COLUMN()),"")</f>
        <v>0</v>
      </c>
      <c r="O130">
        <f>IFERROR(INDEX(装备库!$A$2:$Y$1047,MATCH(ROW()-1,装备库!$AO$2:$AO$1046,0),COLUMN()),"")</f>
        <v>0</v>
      </c>
      <c r="P130">
        <f>IFERROR(INDEX(装备库!$A$2:$Y$1047,MATCH(ROW()-1,装备库!$AO$2:$AO$1046,0),COLUMN()),"")</f>
        <v>0</v>
      </c>
      <c r="Q130">
        <f>IFERROR(INDEX(装备库!$A$2:$Y$1047,MATCH(ROW()-1,装备库!$AO$2:$AO$1046,0),COLUMN()),"")</f>
        <v>0</v>
      </c>
      <c r="R130">
        <f>IFERROR(INDEX(装备库!$A$2:$Y$1047,MATCH(ROW()-1,装备库!$AO$2:$AO$1046,0),COLUMN()),"")</f>
        <v>0</v>
      </c>
      <c r="S130">
        <f>IFERROR(INDEX(装备库!$A$2:$Y$1047,MATCH(ROW()-1,装备库!$AO$2:$AO$1046,0),COLUMN()),"")</f>
        <v>1</v>
      </c>
      <c r="T130">
        <f>IFERROR(INDEX(装备库!$A$2:$Y$1047,MATCH(ROW()-1,装备库!$AO$2:$AO$1046,0),COLUMN()),"")</f>
        <v>0</v>
      </c>
      <c r="U130">
        <f>IFERROR(INDEX(装备库!$A$2:$Y$1047,MATCH(ROW()-1,装备库!$AO$2:$AO$1046,0),COLUMN()),"")</f>
        <v>1</v>
      </c>
      <c r="V130">
        <f>IFERROR(INDEX(装备库!$A$2:$Y$1047,MATCH(ROW()-1,装备库!$AO$2:$AO$1046,0),COLUMN()),"")</f>
        <v>0</v>
      </c>
      <c r="W130" t="str">
        <f>IFERROR(INDEX(装备库!$A$2:$Y$1047,MATCH(ROW()-1,装备库!$AO$2:$AO$1046,0),COLUMN()),"")</f>
        <v>精简攻会会无</v>
      </c>
      <c r="X130">
        <f>IFERROR(INDEX(装备库!$A$2:$Y$1047,MATCH(ROW()-1,装备库!$AO$2:$AO$1046,0),COLUMN()),"")</f>
        <v>3</v>
      </c>
      <c r="Y130" t="str">
        <f>IFERROR(INDEX(装备库!$A$2:$Y$1047,MATCH(ROW()-1,装备库!$AO$2:$AO$1046,0),COLUMN()),"")</f>
        <v>活动</v>
      </c>
    </row>
    <row r="131" spans="1:25" x14ac:dyDescent="0.35">
      <c r="A131" t="str">
        <f>IFERROR(INDEX(装备库!$A$2:$Y$1047,MATCH(ROW()-1,装备库!$AO$2:$AO$1046,0),COLUMN()),"")</f>
        <v>护手</v>
      </c>
      <c r="B131" t="str">
        <f>IFERROR(INDEX(装备库!$A$2:$Y$1047,MATCH(ROW()-1,装备库!$AO$2:$AO$1046,0),COLUMN()),"")</f>
        <v>【门派套装】濯心·映寒护手</v>
      </c>
      <c r="C131">
        <f>IFERROR(INDEX(装备库!$A$2:$Y$1047,MATCH(ROW()-1,装备库!$AO$2:$AO$1046,0),COLUMN()),"")</f>
        <v>12300</v>
      </c>
      <c r="D131" t="str">
        <f>IFERROR(INDEX(装备库!$A$2:$Y$1047,MATCH(ROW()-1,装备库!$AO$2:$AO$1046,0),COLUMN()),"")</f>
        <v>【门派套装】濯心·映寒护手(12300会招)</v>
      </c>
      <c r="E131">
        <f>IFERROR(INDEX(装备库!$A$2:$Y$1047,MATCH(ROW()-1,装备库!$AO$2:$AO$1046,0),COLUMN()),"")</f>
        <v>601</v>
      </c>
      <c r="F131">
        <f>IFERROR(INDEX(装备库!$A$2:$Y$1047,MATCH(ROW()-1,装备库!$AO$2:$AO$1046,0),COLUMN()),"")</f>
        <v>975</v>
      </c>
      <c r="G131">
        <f>IFERROR(INDEX(装备库!$A$2:$Y$1047,MATCH(ROW()-1,装备库!$AO$2:$AO$1046,0),COLUMN()),"")</f>
        <v>3017</v>
      </c>
      <c r="H131">
        <f>IFERROR(INDEX(装备库!$A$2:$Y$1047,MATCH(ROW()-1,装备库!$AO$2:$AO$1046,0),COLUMN()),"")</f>
        <v>0</v>
      </c>
      <c r="I131">
        <f>IFERROR(INDEX(装备库!$A$2:$Y$1047,MATCH(ROW()-1,装备库!$AO$2:$AO$1046,0),COLUMN()),"")</f>
        <v>0</v>
      </c>
      <c r="J131">
        <f>IFERROR(INDEX(装备库!$A$2:$Y$1047,MATCH(ROW()-1,装备库!$AO$2:$AO$1046,0),COLUMN()),"")</f>
        <v>2681</v>
      </c>
      <c r="K131">
        <f>IFERROR(INDEX(装备库!$A$2:$Y$1047,MATCH(ROW()-1,装备库!$AO$2:$AO$1046,0),COLUMN()),"")</f>
        <v>0</v>
      </c>
      <c r="L131">
        <f>IFERROR(INDEX(装备库!$A$2:$Y$1047,MATCH(ROW()-1,装备库!$AO$2:$AO$1046,0),COLUMN()),"")</f>
        <v>0</v>
      </c>
      <c r="M131">
        <f>IFERROR(INDEX(装备库!$A$2:$Y$1047,MATCH(ROW()-1,装备库!$AO$2:$AO$1046,0),COLUMN()),"")</f>
        <v>0</v>
      </c>
      <c r="N131">
        <f>IFERROR(INDEX(装备库!$A$2:$Y$1047,MATCH(ROW()-1,装备库!$AO$2:$AO$1046,0),COLUMN()),"")</f>
        <v>0</v>
      </c>
      <c r="O131">
        <f>IFERROR(INDEX(装备库!$A$2:$Y$1047,MATCH(ROW()-1,装备库!$AO$2:$AO$1046,0),COLUMN()),"")</f>
        <v>1</v>
      </c>
      <c r="P131">
        <f>IFERROR(INDEX(装备库!$A$2:$Y$1047,MATCH(ROW()-1,装备库!$AO$2:$AO$1046,0),COLUMN()),"")</f>
        <v>1</v>
      </c>
      <c r="Q131">
        <f>IFERROR(INDEX(装备库!$A$2:$Y$1047,MATCH(ROW()-1,装备库!$AO$2:$AO$1046,0),COLUMN()),"")</f>
        <v>0</v>
      </c>
      <c r="R131">
        <f>IFERROR(INDEX(装备库!$A$2:$Y$1047,MATCH(ROW()-1,装备库!$AO$2:$AO$1046,0),COLUMN()),"")</f>
        <v>0</v>
      </c>
      <c r="S131">
        <f>IFERROR(INDEX(装备库!$A$2:$Y$1047,MATCH(ROW()-1,装备库!$AO$2:$AO$1046,0),COLUMN()),"")</f>
        <v>0</v>
      </c>
      <c r="T131">
        <f>IFERROR(INDEX(装备库!$A$2:$Y$1047,MATCH(ROW()-1,装备库!$AO$2:$AO$1046,0),COLUMN()),"")</f>
        <v>0</v>
      </c>
      <c r="U131">
        <f>IFERROR(INDEX(装备库!$A$2:$Y$1047,MATCH(ROW()-1,装备库!$AO$2:$AO$1046,0),COLUMN()),"")</f>
        <v>0</v>
      </c>
      <c r="V131">
        <f>IFERROR(INDEX(装备库!$A$2:$Y$1047,MATCH(ROW()-1,装备库!$AO$2:$AO$1046,0),COLUMN()),"")</f>
        <v>0</v>
      </c>
      <c r="W131" t="str">
        <f>IFERROR(INDEX(装备库!$A$2:$Y$1047,MATCH(ROW()-1,装备库!$AO$2:$AO$1046,0),COLUMN()),"")</f>
        <v>会招</v>
      </c>
      <c r="X131">
        <f>IFERROR(INDEX(装备库!$A$2:$Y$1047,MATCH(ROW()-1,装备库!$AO$2:$AO$1046,0),COLUMN()),"")</f>
        <v>6</v>
      </c>
      <c r="Y131" t="str">
        <f>IFERROR(INDEX(装备库!$A$2:$Y$1047,MATCH(ROW()-1,装备库!$AO$2:$AO$1046,0),COLUMN()),"")</f>
        <v>兑换牌</v>
      </c>
    </row>
    <row r="132" spans="1:25" x14ac:dyDescent="0.35">
      <c r="A132" t="str">
        <f>IFERROR(INDEX(装备库!$A$2:$Y$1047,MATCH(ROW()-1,装备库!$AO$2:$AO$1046,0),COLUMN()),"")</f>
        <v>护手</v>
      </c>
      <c r="B132" t="str">
        <f>IFERROR(INDEX(装备库!$A$2:$Y$1047,MATCH(ROW()-1,装备库!$AO$2:$AO$1046,0),COLUMN()),"")</f>
        <v>客行江湖·梦花护手</v>
      </c>
      <c r="C132">
        <f>IFERROR(INDEX(装备库!$A$2:$Y$1047,MATCH(ROW()-1,装备库!$AO$2:$AO$1046,0),COLUMN()),"")</f>
        <v>12450</v>
      </c>
      <c r="D132" t="str">
        <f>IFERROR(INDEX(装备库!$A$2:$Y$1047,MATCH(ROW()-1,装备库!$AO$2:$AO$1046,0),COLUMN()),"")</f>
        <v>客行江湖·梦花护手(12450招破)</v>
      </c>
      <c r="E132">
        <f>IFERROR(INDEX(装备库!$A$2:$Y$1047,MATCH(ROW()-1,装备库!$AO$2:$AO$1046,0),COLUMN()),"")</f>
        <v>609</v>
      </c>
      <c r="F132">
        <f>IFERROR(INDEX(装备库!$A$2:$Y$1047,MATCH(ROW()-1,装备库!$AO$2:$AO$1046,0),COLUMN()),"")</f>
        <v>987</v>
      </c>
      <c r="G132">
        <f>IFERROR(INDEX(装备库!$A$2:$Y$1047,MATCH(ROW()-1,装备库!$AO$2:$AO$1046,0),COLUMN()),"")</f>
        <v>0</v>
      </c>
      <c r="H132">
        <f>IFERROR(INDEX(装备库!$A$2:$Y$1047,MATCH(ROW()-1,装备库!$AO$2:$AO$1046,0),COLUMN()),"")</f>
        <v>0</v>
      </c>
      <c r="I132">
        <f>IFERROR(INDEX(装备库!$A$2:$Y$1047,MATCH(ROW()-1,装备库!$AO$2:$AO$1046,0),COLUMN()),"")</f>
        <v>3053</v>
      </c>
      <c r="J132">
        <f>IFERROR(INDEX(装备库!$A$2:$Y$1047,MATCH(ROW()-1,装备库!$AO$2:$AO$1046,0),COLUMN()),"")</f>
        <v>2714</v>
      </c>
      <c r="K132">
        <f>IFERROR(INDEX(装备库!$A$2:$Y$1047,MATCH(ROW()-1,装备库!$AO$2:$AO$1046,0),COLUMN()),"")</f>
        <v>0</v>
      </c>
      <c r="L132">
        <f>IFERROR(INDEX(装备库!$A$2:$Y$1047,MATCH(ROW()-1,装备库!$AO$2:$AO$1046,0),COLUMN()),"")</f>
        <v>0</v>
      </c>
      <c r="M132">
        <f>IFERROR(INDEX(装备库!$A$2:$Y$1047,MATCH(ROW()-1,装备库!$AO$2:$AO$1046,0),COLUMN()),"")</f>
        <v>0</v>
      </c>
      <c r="N132">
        <f>IFERROR(INDEX(装备库!$A$2:$Y$1047,MATCH(ROW()-1,装备库!$AO$2:$AO$1046,0),COLUMN()),"")</f>
        <v>0</v>
      </c>
      <c r="O132">
        <f>IFERROR(INDEX(装备库!$A$2:$Y$1047,MATCH(ROW()-1,装备库!$AO$2:$AO$1046,0),COLUMN()),"")</f>
        <v>0</v>
      </c>
      <c r="P132">
        <f>IFERROR(INDEX(装备库!$A$2:$Y$1047,MATCH(ROW()-1,装备库!$AO$2:$AO$1046,0),COLUMN()),"")</f>
        <v>1</v>
      </c>
      <c r="Q132">
        <f>IFERROR(INDEX(装备库!$A$2:$Y$1047,MATCH(ROW()-1,装备库!$AO$2:$AO$1046,0),COLUMN()),"")</f>
        <v>0</v>
      </c>
      <c r="R132">
        <f>IFERROR(INDEX(装备库!$A$2:$Y$1047,MATCH(ROW()-1,装备库!$AO$2:$AO$1046,0),COLUMN()),"")</f>
        <v>0</v>
      </c>
      <c r="S132">
        <f>IFERROR(INDEX(装备库!$A$2:$Y$1047,MATCH(ROW()-1,装备库!$AO$2:$AO$1046,0),COLUMN()),"")</f>
        <v>1</v>
      </c>
      <c r="T132">
        <f>IFERROR(INDEX(装备库!$A$2:$Y$1047,MATCH(ROW()-1,装备库!$AO$2:$AO$1046,0),COLUMN()),"")</f>
        <v>0</v>
      </c>
      <c r="U132">
        <f>IFERROR(INDEX(装备库!$A$2:$Y$1047,MATCH(ROW()-1,装备库!$AO$2:$AO$1046,0),COLUMN()),"")</f>
        <v>0</v>
      </c>
      <c r="V132">
        <f>IFERROR(INDEX(装备库!$A$2:$Y$1047,MATCH(ROW()-1,装备库!$AO$2:$AO$1046,0),COLUMN()),"")</f>
        <v>0</v>
      </c>
      <c r="W132" t="str">
        <f>IFERROR(INDEX(装备库!$A$2:$Y$1047,MATCH(ROW()-1,装备库!$AO$2:$AO$1046,0),COLUMN()),"")</f>
        <v>招破</v>
      </c>
      <c r="X132">
        <f>IFERROR(INDEX(装备库!$A$2:$Y$1047,MATCH(ROW()-1,装备库!$AO$2:$AO$1046,0),COLUMN()),"")</f>
        <v>6</v>
      </c>
      <c r="Y132" t="str">
        <f>IFERROR(INDEX(装备库!$A$2:$Y$1047,MATCH(ROW()-1,装备库!$AO$2:$AO$1046,0),COLUMN()),"")</f>
        <v>浪客笺</v>
      </c>
    </row>
    <row r="133" spans="1:25" x14ac:dyDescent="0.35">
      <c r="A133" t="str">
        <f>IFERROR(INDEX(装备库!$A$2:$Y$1047,MATCH(ROW()-1,装备库!$AO$2:$AO$1046,0),COLUMN()),"")</f>
        <v>护手</v>
      </c>
      <c r="B133" t="str">
        <f>IFERROR(INDEX(装备库!$A$2:$Y$1047,MATCH(ROW()-1,装备库!$AO$2:$AO$1046,0),COLUMN()),"")</f>
        <v>温刃护手</v>
      </c>
      <c r="C133">
        <f>IFERROR(INDEX(装备库!$A$2:$Y$1047,MATCH(ROW()-1,装备库!$AO$2:$AO$1046,0),COLUMN()),"")</f>
        <v>12450</v>
      </c>
      <c r="D133" t="str">
        <f>IFERROR(INDEX(装备库!$A$2:$Y$1047,MATCH(ROW()-1,装备库!$AO$2:$AO$1046,0),COLUMN()),"")</f>
        <v>温刃护手(12450破无)</v>
      </c>
      <c r="E133">
        <f>IFERROR(INDEX(装备库!$A$2:$Y$1047,MATCH(ROW()-1,装备库!$AO$2:$AO$1046,0),COLUMN()),"")</f>
        <v>609</v>
      </c>
      <c r="F133">
        <f>IFERROR(INDEX(装备库!$A$2:$Y$1047,MATCH(ROW()-1,装备库!$AO$2:$AO$1046,0),COLUMN()),"")</f>
        <v>987</v>
      </c>
      <c r="G133">
        <f>IFERROR(INDEX(装备库!$A$2:$Y$1047,MATCH(ROW()-1,装备库!$AO$2:$AO$1046,0),COLUMN()),"")</f>
        <v>0</v>
      </c>
      <c r="H133">
        <f>IFERROR(INDEX(装备库!$A$2:$Y$1047,MATCH(ROW()-1,装备库!$AO$2:$AO$1046,0),COLUMN()),"")</f>
        <v>0</v>
      </c>
      <c r="I133">
        <f>IFERROR(INDEX(装备库!$A$2:$Y$1047,MATCH(ROW()-1,装备库!$AO$2:$AO$1046,0),COLUMN()),"")</f>
        <v>3053</v>
      </c>
      <c r="J133">
        <f>IFERROR(INDEX(装备库!$A$2:$Y$1047,MATCH(ROW()-1,装备库!$AO$2:$AO$1046,0),COLUMN()),"")</f>
        <v>0</v>
      </c>
      <c r="K133">
        <f>IFERROR(INDEX(装备库!$A$2:$Y$1047,MATCH(ROW()-1,装备库!$AO$2:$AO$1046,0),COLUMN()),"")</f>
        <v>2714</v>
      </c>
      <c r="L133">
        <f>IFERROR(INDEX(装备库!$A$2:$Y$1047,MATCH(ROW()-1,装备库!$AO$2:$AO$1046,0),COLUMN()),"")</f>
        <v>0</v>
      </c>
      <c r="M133">
        <f>IFERROR(INDEX(装备库!$A$2:$Y$1047,MATCH(ROW()-1,装备库!$AO$2:$AO$1046,0),COLUMN()),"")</f>
        <v>0</v>
      </c>
      <c r="N133">
        <f>IFERROR(INDEX(装备库!$A$2:$Y$1047,MATCH(ROW()-1,装备库!$AO$2:$AO$1046,0),COLUMN()),"")</f>
        <v>0</v>
      </c>
      <c r="O133">
        <f>IFERROR(INDEX(装备库!$A$2:$Y$1047,MATCH(ROW()-1,装备库!$AO$2:$AO$1046,0),COLUMN()),"")</f>
        <v>1</v>
      </c>
      <c r="P133">
        <f>IFERROR(INDEX(装备库!$A$2:$Y$1047,MATCH(ROW()-1,装备库!$AO$2:$AO$1046,0),COLUMN()),"")</f>
        <v>0</v>
      </c>
      <c r="Q133">
        <f>IFERROR(INDEX(装备库!$A$2:$Y$1047,MATCH(ROW()-1,装备库!$AO$2:$AO$1046,0),COLUMN()),"")</f>
        <v>0</v>
      </c>
      <c r="R133">
        <f>IFERROR(INDEX(装备库!$A$2:$Y$1047,MATCH(ROW()-1,装备库!$AO$2:$AO$1046,0),COLUMN()),"")</f>
        <v>0</v>
      </c>
      <c r="S133">
        <f>IFERROR(INDEX(装备库!$A$2:$Y$1047,MATCH(ROW()-1,装备库!$AO$2:$AO$1046,0),COLUMN()),"")</f>
        <v>0</v>
      </c>
      <c r="T133">
        <f>IFERROR(INDEX(装备库!$A$2:$Y$1047,MATCH(ROW()-1,装备库!$AO$2:$AO$1046,0),COLUMN()),"")</f>
        <v>0</v>
      </c>
      <c r="U133">
        <f>IFERROR(INDEX(装备库!$A$2:$Y$1047,MATCH(ROW()-1,装备库!$AO$2:$AO$1046,0),COLUMN()),"")</f>
        <v>1</v>
      </c>
      <c r="V133">
        <f>IFERROR(INDEX(装备库!$A$2:$Y$1047,MATCH(ROW()-1,装备库!$AO$2:$AO$1046,0),COLUMN()),"")</f>
        <v>0</v>
      </c>
      <c r="W133" t="str">
        <f>IFERROR(INDEX(装备库!$A$2:$Y$1047,MATCH(ROW()-1,装备库!$AO$2:$AO$1046,0),COLUMN()),"")</f>
        <v>破无</v>
      </c>
      <c r="X133">
        <f>IFERROR(INDEX(装备库!$A$2:$Y$1047,MATCH(ROW()-1,装备库!$AO$2:$AO$1046,0),COLUMN()),"")</f>
        <v>6</v>
      </c>
      <c r="Y133" t="str">
        <f>IFERROR(INDEX(装备库!$A$2:$Y$1047,MATCH(ROW()-1,装备库!$AO$2:$AO$1046,0),COLUMN()),"")</f>
        <v>副本</v>
      </c>
    </row>
    <row r="134" spans="1:25" x14ac:dyDescent="0.35">
      <c r="A134" t="str">
        <f>IFERROR(INDEX(装备库!$A$2:$Y$1047,MATCH(ROW()-1,装备库!$AO$2:$AO$1046,0),COLUMN()),"")</f>
        <v>护手</v>
      </c>
      <c r="B134" t="str">
        <f>IFERROR(INDEX(装备库!$A$2:$Y$1047,MATCH(ROW()-1,装备库!$AO$2:$AO$1046,0),COLUMN()),"")</f>
        <v>湖静护手</v>
      </c>
      <c r="C134">
        <f>IFERROR(INDEX(装备库!$A$2:$Y$1047,MATCH(ROW()-1,装备库!$AO$2:$AO$1046,0),COLUMN()),"")</f>
        <v>12450</v>
      </c>
      <c r="D134" t="str">
        <f>IFERROR(INDEX(装备库!$A$2:$Y$1047,MATCH(ROW()-1,装备库!$AO$2:$AO$1046,0),COLUMN()),"")</f>
        <v>湖静护手(12450会招)</v>
      </c>
      <c r="E134">
        <f>IFERROR(INDEX(装备库!$A$2:$Y$1047,MATCH(ROW()-1,装备库!$AO$2:$AO$1046,0),COLUMN()),"")</f>
        <v>609</v>
      </c>
      <c r="F134">
        <f>IFERROR(INDEX(装备库!$A$2:$Y$1047,MATCH(ROW()-1,装备库!$AO$2:$AO$1046,0),COLUMN()),"")</f>
        <v>987</v>
      </c>
      <c r="G134">
        <f>IFERROR(INDEX(装备库!$A$2:$Y$1047,MATCH(ROW()-1,装备库!$AO$2:$AO$1046,0),COLUMN()),"")</f>
        <v>3053</v>
      </c>
      <c r="H134">
        <f>IFERROR(INDEX(装备库!$A$2:$Y$1047,MATCH(ROW()-1,装备库!$AO$2:$AO$1046,0),COLUMN()),"")</f>
        <v>0</v>
      </c>
      <c r="I134">
        <f>IFERROR(INDEX(装备库!$A$2:$Y$1047,MATCH(ROW()-1,装备库!$AO$2:$AO$1046,0),COLUMN()),"")</f>
        <v>0</v>
      </c>
      <c r="J134">
        <f>IFERROR(INDEX(装备库!$A$2:$Y$1047,MATCH(ROW()-1,装备库!$AO$2:$AO$1046,0),COLUMN()),"")</f>
        <v>2714</v>
      </c>
      <c r="K134">
        <f>IFERROR(INDEX(装备库!$A$2:$Y$1047,MATCH(ROW()-1,装备库!$AO$2:$AO$1046,0),COLUMN()),"")</f>
        <v>0</v>
      </c>
      <c r="L134">
        <f>IFERROR(INDEX(装备库!$A$2:$Y$1047,MATCH(ROW()-1,装备库!$AO$2:$AO$1046,0),COLUMN()),"")</f>
        <v>0</v>
      </c>
      <c r="M134">
        <f>IFERROR(INDEX(装备库!$A$2:$Y$1047,MATCH(ROW()-1,装备库!$AO$2:$AO$1046,0),COLUMN()),"")</f>
        <v>0</v>
      </c>
      <c r="N134">
        <f>IFERROR(INDEX(装备库!$A$2:$Y$1047,MATCH(ROW()-1,装备库!$AO$2:$AO$1046,0),COLUMN()),"")</f>
        <v>0</v>
      </c>
      <c r="O134">
        <f>IFERROR(INDEX(装备库!$A$2:$Y$1047,MATCH(ROW()-1,装备库!$AO$2:$AO$1046,0),COLUMN()),"")</f>
        <v>1</v>
      </c>
      <c r="P134">
        <f>IFERROR(INDEX(装备库!$A$2:$Y$1047,MATCH(ROW()-1,装备库!$AO$2:$AO$1046,0),COLUMN()),"")</f>
        <v>1</v>
      </c>
      <c r="Q134">
        <f>IFERROR(INDEX(装备库!$A$2:$Y$1047,MATCH(ROW()-1,装备库!$AO$2:$AO$1046,0),COLUMN()),"")</f>
        <v>0</v>
      </c>
      <c r="R134">
        <f>IFERROR(INDEX(装备库!$A$2:$Y$1047,MATCH(ROW()-1,装备库!$AO$2:$AO$1046,0),COLUMN()),"")</f>
        <v>0</v>
      </c>
      <c r="S134">
        <f>IFERROR(INDEX(装备库!$A$2:$Y$1047,MATCH(ROW()-1,装备库!$AO$2:$AO$1046,0),COLUMN()),"")</f>
        <v>0</v>
      </c>
      <c r="T134">
        <f>IFERROR(INDEX(装备库!$A$2:$Y$1047,MATCH(ROW()-1,装备库!$AO$2:$AO$1046,0),COLUMN()),"")</f>
        <v>0</v>
      </c>
      <c r="U134">
        <f>IFERROR(INDEX(装备库!$A$2:$Y$1047,MATCH(ROW()-1,装备库!$AO$2:$AO$1046,0),COLUMN()),"")</f>
        <v>0</v>
      </c>
      <c r="V134">
        <f>IFERROR(INDEX(装备库!$A$2:$Y$1047,MATCH(ROW()-1,装备库!$AO$2:$AO$1046,0),COLUMN()),"")</f>
        <v>0</v>
      </c>
      <c r="W134" t="str">
        <f>IFERROR(INDEX(装备库!$A$2:$Y$1047,MATCH(ROW()-1,装备库!$AO$2:$AO$1046,0),COLUMN()),"")</f>
        <v>会招</v>
      </c>
      <c r="X134">
        <f>IFERROR(INDEX(装备库!$A$2:$Y$1047,MATCH(ROW()-1,装备库!$AO$2:$AO$1046,0),COLUMN()),"")</f>
        <v>6</v>
      </c>
      <c r="Y134" t="str">
        <f>IFERROR(INDEX(装备库!$A$2:$Y$1047,MATCH(ROW()-1,装备库!$AO$2:$AO$1046,0),COLUMN()),"")</f>
        <v>世界BOSS</v>
      </c>
    </row>
    <row r="135" spans="1:25" x14ac:dyDescent="0.35">
      <c r="A135" t="str">
        <f>IFERROR(INDEX(装备库!$A$2:$Y$1047,MATCH(ROW()-1,装备库!$AO$2:$AO$1046,0),COLUMN()),"")</f>
        <v>护手</v>
      </c>
      <c r="B135" t="str">
        <f>IFERROR(INDEX(装备库!$A$2:$Y$1047,MATCH(ROW()-1,装备库!$AO$2:$AO$1046,0),COLUMN()),"")</f>
        <v>安衿护手</v>
      </c>
      <c r="C135">
        <f>IFERROR(INDEX(装备库!$A$2:$Y$1047,MATCH(ROW()-1,装备库!$AO$2:$AO$1046,0),COLUMN()),"")</f>
        <v>12450</v>
      </c>
      <c r="D135" t="str">
        <f>IFERROR(INDEX(装备库!$A$2:$Y$1047,MATCH(ROW()-1,装备库!$AO$2:$AO$1046,0),COLUMN()),"")</f>
        <v>安衿护手(12450会无)</v>
      </c>
      <c r="E135">
        <f>IFERROR(INDEX(装备库!$A$2:$Y$1047,MATCH(ROW()-1,装备库!$AO$2:$AO$1046,0),COLUMN()),"")</f>
        <v>609</v>
      </c>
      <c r="F135">
        <f>IFERROR(INDEX(装备库!$A$2:$Y$1047,MATCH(ROW()-1,装备库!$AO$2:$AO$1046,0),COLUMN()),"")</f>
        <v>987</v>
      </c>
      <c r="G135">
        <f>IFERROR(INDEX(装备库!$A$2:$Y$1047,MATCH(ROW()-1,装备库!$AO$2:$AO$1046,0),COLUMN()),"")</f>
        <v>3053</v>
      </c>
      <c r="H135">
        <f>IFERROR(INDEX(装备库!$A$2:$Y$1047,MATCH(ROW()-1,装备库!$AO$2:$AO$1046,0),COLUMN()),"")</f>
        <v>0</v>
      </c>
      <c r="I135">
        <f>IFERROR(INDEX(装备库!$A$2:$Y$1047,MATCH(ROW()-1,装备库!$AO$2:$AO$1046,0),COLUMN()),"")</f>
        <v>0</v>
      </c>
      <c r="J135">
        <f>IFERROR(INDEX(装备库!$A$2:$Y$1047,MATCH(ROW()-1,装备库!$AO$2:$AO$1046,0),COLUMN()),"")</f>
        <v>0</v>
      </c>
      <c r="K135">
        <f>IFERROR(INDEX(装备库!$A$2:$Y$1047,MATCH(ROW()-1,装备库!$AO$2:$AO$1046,0),COLUMN()),"")</f>
        <v>2714</v>
      </c>
      <c r="L135">
        <f>IFERROR(INDEX(装备库!$A$2:$Y$1047,MATCH(ROW()-1,装备库!$AO$2:$AO$1046,0),COLUMN()),"")</f>
        <v>0</v>
      </c>
      <c r="M135">
        <f>IFERROR(INDEX(装备库!$A$2:$Y$1047,MATCH(ROW()-1,装备库!$AO$2:$AO$1046,0),COLUMN()),"")</f>
        <v>0</v>
      </c>
      <c r="N135">
        <f>IFERROR(INDEX(装备库!$A$2:$Y$1047,MATCH(ROW()-1,装备库!$AO$2:$AO$1046,0),COLUMN()),"")</f>
        <v>0</v>
      </c>
      <c r="O135">
        <f>IFERROR(INDEX(装备库!$A$2:$Y$1047,MATCH(ROW()-1,装备库!$AO$2:$AO$1046,0),COLUMN()),"")</f>
        <v>0</v>
      </c>
      <c r="P135">
        <f>IFERROR(INDEX(装备库!$A$2:$Y$1047,MATCH(ROW()-1,装备库!$AO$2:$AO$1046,0),COLUMN()),"")</f>
        <v>1</v>
      </c>
      <c r="Q135">
        <f>IFERROR(INDEX(装备库!$A$2:$Y$1047,MATCH(ROW()-1,装备库!$AO$2:$AO$1046,0),COLUMN()),"")</f>
        <v>1</v>
      </c>
      <c r="R135">
        <f>IFERROR(INDEX(装备库!$A$2:$Y$1047,MATCH(ROW()-1,装备库!$AO$2:$AO$1046,0),COLUMN()),"")</f>
        <v>0</v>
      </c>
      <c r="S135">
        <f>IFERROR(INDEX(装备库!$A$2:$Y$1047,MATCH(ROW()-1,装备库!$AO$2:$AO$1046,0),COLUMN()),"")</f>
        <v>0</v>
      </c>
      <c r="T135">
        <f>IFERROR(INDEX(装备库!$A$2:$Y$1047,MATCH(ROW()-1,装备库!$AO$2:$AO$1046,0),COLUMN()),"")</f>
        <v>0</v>
      </c>
      <c r="U135">
        <f>IFERROR(INDEX(装备库!$A$2:$Y$1047,MATCH(ROW()-1,装备库!$AO$2:$AO$1046,0),COLUMN()),"")</f>
        <v>0</v>
      </c>
      <c r="V135">
        <f>IFERROR(INDEX(装备库!$A$2:$Y$1047,MATCH(ROW()-1,装备库!$AO$2:$AO$1046,0),COLUMN()),"")</f>
        <v>0</v>
      </c>
      <c r="W135" t="str">
        <f>IFERROR(INDEX(装备库!$A$2:$Y$1047,MATCH(ROW()-1,装备库!$AO$2:$AO$1046,0),COLUMN()),"")</f>
        <v>会无</v>
      </c>
      <c r="X135">
        <f>IFERROR(INDEX(装备库!$A$2:$Y$1047,MATCH(ROW()-1,装备库!$AO$2:$AO$1046,0),COLUMN()),"")</f>
        <v>6</v>
      </c>
      <c r="Y135" t="str">
        <f>IFERROR(INDEX(装备库!$A$2:$Y$1047,MATCH(ROW()-1,装备库!$AO$2:$AO$1046,0),COLUMN()),"")</f>
        <v>副本</v>
      </c>
    </row>
    <row r="136" spans="1:25" x14ac:dyDescent="0.35">
      <c r="A136" t="str">
        <f>IFERROR(INDEX(装备库!$A$2:$Y$1047,MATCH(ROW()-1,装备库!$AO$2:$AO$1046,0),COLUMN()),"")</f>
        <v>护手</v>
      </c>
      <c r="B136" t="str">
        <f>IFERROR(INDEX(装备库!$A$2:$Y$1047,MATCH(ROW()-1,装备库!$AO$2:$AO$1046,0),COLUMN()),"")</f>
        <v>雨膏护腕</v>
      </c>
      <c r="C136">
        <f>IFERROR(INDEX(装备库!$A$2:$Y$1047,MATCH(ROW()-1,装备库!$AO$2:$AO$1046,0),COLUMN()),"")</f>
        <v>12450</v>
      </c>
      <c r="D136" t="str">
        <f>IFERROR(INDEX(装备库!$A$2:$Y$1047,MATCH(ROW()-1,装备库!$AO$2:$AO$1046,0),COLUMN()),"")</f>
        <v>雨膏护腕(12450精简体攻招破)</v>
      </c>
      <c r="E136">
        <f>IFERROR(INDEX(装备库!$A$2:$Y$1047,MATCH(ROW()-1,装备库!$AO$2:$AO$1046,0),COLUMN()),"")</f>
        <v>0</v>
      </c>
      <c r="F136">
        <f>IFERROR(INDEX(装备库!$A$2:$Y$1047,MATCH(ROW()-1,装备库!$AO$2:$AO$1046,0),COLUMN()),"")</f>
        <v>2126</v>
      </c>
      <c r="G136">
        <f>IFERROR(INDEX(装备库!$A$2:$Y$1047,MATCH(ROW()-1,装备库!$AO$2:$AO$1046,0),COLUMN()),"")</f>
        <v>0</v>
      </c>
      <c r="H136">
        <f>IFERROR(INDEX(装备库!$A$2:$Y$1047,MATCH(ROW()-1,装备库!$AO$2:$AO$1046,0),COLUMN()),"")</f>
        <v>0</v>
      </c>
      <c r="I136">
        <f>IFERROR(INDEX(装备库!$A$2:$Y$1047,MATCH(ROW()-1,装备库!$AO$2:$AO$1046,0),COLUMN()),"")</f>
        <v>3223</v>
      </c>
      <c r="J136">
        <f>IFERROR(INDEX(装备库!$A$2:$Y$1047,MATCH(ROW()-1,装备库!$AO$2:$AO$1046,0),COLUMN()),"")</f>
        <v>3562</v>
      </c>
      <c r="K136">
        <f>IFERROR(INDEX(装备库!$A$2:$Y$1047,MATCH(ROW()-1,装备库!$AO$2:$AO$1046,0),COLUMN()),"")</f>
        <v>0</v>
      </c>
      <c r="L136">
        <f>IFERROR(INDEX(装备库!$A$2:$Y$1047,MATCH(ROW()-1,装备库!$AO$2:$AO$1046,0),COLUMN()),"")</f>
        <v>0</v>
      </c>
      <c r="M136">
        <f>IFERROR(INDEX(装备库!$A$2:$Y$1047,MATCH(ROW()-1,装备库!$AO$2:$AO$1046,0),COLUMN()),"")</f>
        <v>0</v>
      </c>
      <c r="N136">
        <f>IFERROR(INDEX(装备库!$A$2:$Y$1047,MATCH(ROW()-1,装备库!$AO$2:$AO$1046,0),COLUMN()),"")</f>
        <v>0</v>
      </c>
      <c r="O136">
        <f>IFERROR(INDEX(装备库!$A$2:$Y$1047,MATCH(ROW()-1,装备库!$AO$2:$AO$1046,0),COLUMN()),"")</f>
        <v>0</v>
      </c>
      <c r="P136">
        <f>IFERROR(INDEX(装备库!$A$2:$Y$1047,MATCH(ROW()-1,装备库!$AO$2:$AO$1046,0),COLUMN()),"")</f>
        <v>1</v>
      </c>
      <c r="Q136">
        <f>IFERROR(INDEX(装备库!$A$2:$Y$1047,MATCH(ROW()-1,装备库!$AO$2:$AO$1046,0),COLUMN()),"")</f>
        <v>1</v>
      </c>
      <c r="R136">
        <f>IFERROR(INDEX(装备库!$A$2:$Y$1047,MATCH(ROW()-1,装备库!$AO$2:$AO$1046,0),COLUMN()),"")</f>
        <v>0</v>
      </c>
      <c r="S136">
        <f>IFERROR(INDEX(装备库!$A$2:$Y$1047,MATCH(ROW()-1,装备库!$AO$2:$AO$1046,0),COLUMN()),"")</f>
        <v>0</v>
      </c>
      <c r="T136">
        <f>IFERROR(INDEX(装备库!$A$2:$Y$1047,MATCH(ROW()-1,装备库!$AO$2:$AO$1046,0),COLUMN()),"")</f>
        <v>0</v>
      </c>
      <c r="U136">
        <f>IFERROR(INDEX(装备库!$A$2:$Y$1047,MATCH(ROW()-1,装备库!$AO$2:$AO$1046,0),COLUMN()),"")</f>
        <v>0</v>
      </c>
      <c r="V136">
        <f>IFERROR(INDEX(装备库!$A$2:$Y$1047,MATCH(ROW()-1,装备库!$AO$2:$AO$1046,0),COLUMN()),"")</f>
        <v>0</v>
      </c>
      <c r="W136" t="str">
        <f>IFERROR(INDEX(装备库!$A$2:$Y$1047,MATCH(ROW()-1,装备库!$AO$2:$AO$1046,0),COLUMN()),"")</f>
        <v>精简体攻招破</v>
      </c>
      <c r="X136">
        <f>IFERROR(INDEX(装备库!$A$2:$Y$1047,MATCH(ROW()-1,装备库!$AO$2:$AO$1046,0),COLUMN()),"")</f>
        <v>4</v>
      </c>
      <c r="Y136" t="str">
        <f>IFERROR(INDEX(装备库!$A$2:$Y$1047,MATCH(ROW()-1,装备库!$AO$2:$AO$1046,0),COLUMN()),"")</f>
        <v>副本</v>
      </c>
    </row>
    <row r="137" spans="1:25" x14ac:dyDescent="0.35">
      <c r="A137" t="str">
        <f>IFERROR(INDEX(装备库!$A$2:$Y$1047,MATCH(ROW()-1,装备库!$AO$2:$AO$1046,0),COLUMN()),"")</f>
        <v>护手</v>
      </c>
      <c r="B137" t="str">
        <f>IFERROR(INDEX(装备库!$A$2:$Y$1047,MATCH(ROW()-1,装备库!$AO$2:$AO$1046,0),COLUMN()),"")</f>
        <v>夙辰护腕</v>
      </c>
      <c r="C137">
        <f>IFERROR(INDEX(装备库!$A$2:$Y$1047,MATCH(ROW()-1,装备库!$AO$2:$AO$1046,0),COLUMN()),"")</f>
        <v>12450</v>
      </c>
      <c r="D137" t="str">
        <f>IFERROR(INDEX(装备库!$A$2:$Y$1047,MATCH(ROW()-1,装备库!$AO$2:$AO$1046,0),COLUMN()),"")</f>
        <v>夙辰护腕(12450精简体攻招)</v>
      </c>
      <c r="E137">
        <f>IFERROR(INDEX(装备库!$A$2:$Y$1047,MATCH(ROW()-1,装备库!$AO$2:$AO$1046,0),COLUMN()),"")</f>
        <v>0</v>
      </c>
      <c r="F137">
        <f>IFERROR(INDEX(装备库!$A$2:$Y$1047,MATCH(ROW()-1,装备库!$AO$2:$AO$1046,0),COLUMN()),"")</f>
        <v>2582</v>
      </c>
      <c r="G137">
        <f>IFERROR(INDEX(装备库!$A$2:$Y$1047,MATCH(ROW()-1,装备库!$AO$2:$AO$1046,0),COLUMN()),"")</f>
        <v>0</v>
      </c>
      <c r="H137">
        <f>IFERROR(INDEX(装备库!$A$2:$Y$1047,MATCH(ROW()-1,装备库!$AO$2:$AO$1046,0),COLUMN()),"")</f>
        <v>0</v>
      </c>
      <c r="I137">
        <f>IFERROR(INDEX(装备库!$A$2:$Y$1047,MATCH(ROW()-1,装备库!$AO$2:$AO$1046,0),COLUMN()),"")</f>
        <v>0</v>
      </c>
      <c r="J137">
        <f>IFERROR(INDEX(装备库!$A$2:$Y$1047,MATCH(ROW()-1,装备库!$AO$2:$AO$1046,0),COLUMN()),"")</f>
        <v>5683</v>
      </c>
      <c r="K137">
        <f>IFERROR(INDEX(装备库!$A$2:$Y$1047,MATCH(ROW()-1,装备库!$AO$2:$AO$1046,0),COLUMN()),"")</f>
        <v>0</v>
      </c>
      <c r="L137">
        <f>IFERROR(INDEX(装备库!$A$2:$Y$1047,MATCH(ROW()-1,装备库!$AO$2:$AO$1046,0),COLUMN()),"")</f>
        <v>0</v>
      </c>
      <c r="M137">
        <f>IFERROR(INDEX(装备库!$A$2:$Y$1047,MATCH(ROW()-1,装备库!$AO$2:$AO$1046,0),COLUMN()),"")</f>
        <v>0</v>
      </c>
      <c r="N137">
        <f>IFERROR(INDEX(装备库!$A$2:$Y$1047,MATCH(ROW()-1,装备库!$AO$2:$AO$1046,0),COLUMN()),"")</f>
        <v>0</v>
      </c>
      <c r="O137">
        <f>IFERROR(INDEX(装备库!$A$2:$Y$1047,MATCH(ROW()-1,装备库!$AO$2:$AO$1046,0),COLUMN()),"")</f>
        <v>0</v>
      </c>
      <c r="P137">
        <f>IFERROR(INDEX(装备库!$A$2:$Y$1047,MATCH(ROW()-1,装备库!$AO$2:$AO$1046,0),COLUMN()),"")</f>
        <v>0</v>
      </c>
      <c r="Q137">
        <f>IFERROR(INDEX(装备库!$A$2:$Y$1047,MATCH(ROW()-1,装备库!$AO$2:$AO$1046,0),COLUMN()),"")</f>
        <v>1</v>
      </c>
      <c r="R137">
        <f>IFERROR(INDEX(装备库!$A$2:$Y$1047,MATCH(ROW()-1,装备库!$AO$2:$AO$1046,0),COLUMN()),"")</f>
        <v>0</v>
      </c>
      <c r="S137">
        <f>IFERROR(INDEX(装备库!$A$2:$Y$1047,MATCH(ROW()-1,装备库!$AO$2:$AO$1046,0),COLUMN()),"")</f>
        <v>0</v>
      </c>
      <c r="T137">
        <f>IFERROR(INDEX(装备库!$A$2:$Y$1047,MATCH(ROW()-1,装备库!$AO$2:$AO$1046,0),COLUMN()),"")</f>
        <v>1</v>
      </c>
      <c r="U137">
        <f>IFERROR(INDEX(装备库!$A$2:$Y$1047,MATCH(ROW()-1,装备库!$AO$2:$AO$1046,0),COLUMN()),"")</f>
        <v>0</v>
      </c>
      <c r="V137">
        <f>IFERROR(INDEX(装备库!$A$2:$Y$1047,MATCH(ROW()-1,装备库!$AO$2:$AO$1046,0),COLUMN()),"")</f>
        <v>0</v>
      </c>
      <c r="W137" t="str">
        <f>IFERROR(INDEX(装备库!$A$2:$Y$1047,MATCH(ROW()-1,装备库!$AO$2:$AO$1046,0),COLUMN()),"")</f>
        <v>精简体攻招</v>
      </c>
      <c r="X137">
        <f>IFERROR(INDEX(装备库!$A$2:$Y$1047,MATCH(ROW()-1,装备库!$AO$2:$AO$1046,0),COLUMN()),"")</f>
        <v>4</v>
      </c>
      <c r="Y137" t="str">
        <f>IFERROR(INDEX(装备库!$A$2:$Y$1047,MATCH(ROW()-1,装备库!$AO$2:$AO$1046,0),COLUMN()),"")</f>
        <v>副本</v>
      </c>
    </row>
    <row r="138" spans="1:25" x14ac:dyDescent="0.35">
      <c r="A138" t="str">
        <f>IFERROR(INDEX(装备库!$A$2:$Y$1047,MATCH(ROW()-1,装备库!$AO$2:$AO$1046,0),COLUMN()),"")</f>
        <v>护手</v>
      </c>
      <c r="B138" t="str">
        <f>IFERROR(INDEX(装备库!$A$2:$Y$1047,MATCH(ROW()-1,装备库!$AO$2:$AO$1046,0),COLUMN()),"")</f>
        <v>制野护腕</v>
      </c>
      <c r="C138">
        <f>IFERROR(INDEX(装备库!$A$2:$Y$1047,MATCH(ROW()-1,装备库!$AO$2:$AO$1046,0),COLUMN()),"")</f>
        <v>12450</v>
      </c>
      <c r="D138" t="str">
        <f>IFERROR(INDEX(装备库!$A$2:$Y$1047,MATCH(ROW()-1,装备库!$AO$2:$AO$1046,0),COLUMN()),"")</f>
        <v>制野护腕(12450精简体攻破无)</v>
      </c>
      <c r="E138">
        <f>IFERROR(INDEX(装备库!$A$2:$Y$1047,MATCH(ROW()-1,装备库!$AO$2:$AO$1046,0),COLUMN()),"")</f>
        <v>0</v>
      </c>
      <c r="F138">
        <f>IFERROR(INDEX(装备库!$A$2:$Y$1047,MATCH(ROW()-1,装备库!$AO$2:$AO$1046,0),COLUMN()),"")</f>
        <v>2126</v>
      </c>
      <c r="G138">
        <f>IFERROR(INDEX(装备库!$A$2:$Y$1047,MATCH(ROW()-1,装备库!$AO$2:$AO$1046,0),COLUMN()),"")</f>
        <v>0</v>
      </c>
      <c r="H138">
        <f>IFERROR(INDEX(装备库!$A$2:$Y$1047,MATCH(ROW()-1,装备库!$AO$2:$AO$1046,0),COLUMN()),"")</f>
        <v>0</v>
      </c>
      <c r="I138">
        <f>IFERROR(INDEX(装备库!$A$2:$Y$1047,MATCH(ROW()-1,装备库!$AO$2:$AO$1046,0),COLUMN()),"")</f>
        <v>3223</v>
      </c>
      <c r="J138">
        <f>IFERROR(INDEX(装备库!$A$2:$Y$1047,MATCH(ROW()-1,装备库!$AO$2:$AO$1046,0),COLUMN()),"")</f>
        <v>0</v>
      </c>
      <c r="K138">
        <f>IFERROR(INDEX(装备库!$A$2:$Y$1047,MATCH(ROW()-1,装备库!$AO$2:$AO$1046,0),COLUMN()),"")</f>
        <v>3562</v>
      </c>
      <c r="L138">
        <f>IFERROR(INDEX(装备库!$A$2:$Y$1047,MATCH(ROW()-1,装备库!$AO$2:$AO$1046,0),COLUMN()),"")</f>
        <v>0</v>
      </c>
      <c r="M138">
        <f>IFERROR(INDEX(装备库!$A$2:$Y$1047,MATCH(ROW()-1,装备库!$AO$2:$AO$1046,0),COLUMN()),"")</f>
        <v>0</v>
      </c>
      <c r="N138">
        <f>IFERROR(INDEX(装备库!$A$2:$Y$1047,MATCH(ROW()-1,装备库!$AO$2:$AO$1046,0),COLUMN()),"")</f>
        <v>0</v>
      </c>
      <c r="O138">
        <f>IFERROR(INDEX(装备库!$A$2:$Y$1047,MATCH(ROW()-1,装备库!$AO$2:$AO$1046,0),COLUMN()),"")</f>
        <v>0</v>
      </c>
      <c r="P138">
        <f>IFERROR(INDEX(装备库!$A$2:$Y$1047,MATCH(ROW()-1,装备库!$AO$2:$AO$1046,0),COLUMN()),"")</f>
        <v>1</v>
      </c>
      <c r="Q138">
        <f>IFERROR(INDEX(装备库!$A$2:$Y$1047,MATCH(ROW()-1,装备库!$AO$2:$AO$1046,0),COLUMN()),"")</f>
        <v>0</v>
      </c>
      <c r="R138">
        <f>IFERROR(INDEX(装备库!$A$2:$Y$1047,MATCH(ROW()-1,装备库!$AO$2:$AO$1046,0),COLUMN()),"")</f>
        <v>0</v>
      </c>
      <c r="S138">
        <f>IFERROR(INDEX(装备库!$A$2:$Y$1047,MATCH(ROW()-1,装备库!$AO$2:$AO$1046,0),COLUMN()),"")</f>
        <v>0</v>
      </c>
      <c r="T138">
        <f>IFERROR(INDEX(装备库!$A$2:$Y$1047,MATCH(ROW()-1,装备库!$AO$2:$AO$1046,0),COLUMN()),"")</f>
        <v>1</v>
      </c>
      <c r="U138">
        <f>IFERROR(INDEX(装备库!$A$2:$Y$1047,MATCH(ROW()-1,装备库!$AO$2:$AO$1046,0),COLUMN()),"")</f>
        <v>0</v>
      </c>
      <c r="V138">
        <f>IFERROR(INDEX(装备库!$A$2:$Y$1047,MATCH(ROW()-1,装备库!$AO$2:$AO$1046,0),COLUMN()),"")</f>
        <v>0</v>
      </c>
      <c r="W138" t="str">
        <f>IFERROR(INDEX(装备库!$A$2:$Y$1047,MATCH(ROW()-1,装备库!$AO$2:$AO$1046,0),COLUMN()),"")</f>
        <v>精简体攻破无</v>
      </c>
      <c r="X138">
        <f>IFERROR(INDEX(装备库!$A$2:$Y$1047,MATCH(ROW()-1,装备库!$AO$2:$AO$1046,0),COLUMN()),"")</f>
        <v>4</v>
      </c>
      <c r="Y138" t="str">
        <f>IFERROR(INDEX(装备库!$A$2:$Y$1047,MATCH(ROW()-1,装备库!$AO$2:$AO$1046,0),COLUMN()),"")</f>
        <v>副本</v>
      </c>
    </row>
    <row r="139" spans="1:25" x14ac:dyDescent="0.35">
      <c r="A139" t="str">
        <f>IFERROR(INDEX(装备库!$A$2:$Y$1047,MATCH(ROW()-1,装备库!$AO$2:$AO$1046,0),COLUMN()),"")</f>
        <v>护手</v>
      </c>
      <c r="B139" t="str">
        <f>IFERROR(INDEX(装备库!$A$2:$Y$1047,MATCH(ROW()-1,装备库!$AO$2:$AO$1046,0),COLUMN()),"")</f>
        <v>零雨护腕</v>
      </c>
      <c r="C139">
        <f>IFERROR(INDEX(装备库!$A$2:$Y$1047,MATCH(ROW()-1,装备库!$AO$2:$AO$1046,0),COLUMN()),"")</f>
        <v>12450</v>
      </c>
      <c r="D139" t="str">
        <f>IFERROR(INDEX(装备库!$A$2:$Y$1047,MATCH(ROW()-1,装备库!$AO$2:$AO$1046,0),COLUMN()),"")</f>
        <v>零雨护腕(12450精简体攻会无)</v>
      </c>
      <c r="E139">
        <f>IFERROR(INDEX(装备库!$A$2:$Y$1047,MATCH(ROW()-1,装备库!$AO$2:$AO$1046,0),COLUMN()),"")</f>
        <v>0</v>
      </c>
      <c r="F139">
        <f>IFERROR(INDEX(装备库!$A$2:$Y$1047,MATCH(ROW()-1,装备库!$AO$2:$AO$1046,0),COLUMN()),"")</f>
        <v>1823</v>
      </c>
      <c r="G139">
        <f>IFERROR(INDEX(装备库!$A$2:$Y$1047,MATCH(ROW()-1,装备库!$AO$2:$AO$1046,0),COLUMN()),"")</f>
        <v>2205</v>
      </c>
      <c r="H139">
        <f>IFERROR(INDEX(装备库!$A$2:$Y$1047,MATCH(ROW()-1,装备库!$AO$2:$AO$1046,0),COLUMN()),"")</f>
        <v>0</v>
      </c>
      <c r="I139">
        <f>IFERROR(INDEX(装备库!$A$2:$Y$1047,MATCH(ROW()-1,装备库!$AO$2:$AO$1046,0),COLUMN()),"")</f>
        <v>0</v>
      </c>
      <c r="J139">
        <f>IFERROR(INDEX(装备库!$A$2:$Y$1047,MATCH(ROW()-1,装备库!$AO$2:$AO$1046,0),COLUMN()),"")</f>
        <v>0</v>
      </c>
      <c r="K139">
        <f>IFERROR(INDEX(装备库!$A$2:$Y$1047,MATCH(ROW()-1,装备库!$AO$2:$AO$1046,0),COLUMN()),"")</f>
        <v>5428</v>
      </c>
      <c r="L139">
        <f>IFERROR(INDEX(装备库!$A$2:$Y$1047,MATCH(ROW()-1,装备库!$AO$2:$AO$1046,0),COLUMN()),"")</f>
        <v>0</v>
      </c>
      <c r="M139">
        <f>IFERROR(INDEX(装备库!$A$2:$Y$1047,MATCH(ROW()-1,装备库!$AO$2:$AO$1046,0),COLUMN()),"")</f>
        <v>0</v>
      </c>
      <c r="N139">
        <f>IFERROR(INDEX(装备库!$A$2:$Y$1047,MATCH(ROW()-1,装备库!$AO$2:$AO$1046,0),COLUMN()),"")</f>
        <v>0</v>
      </c>
      <c r="O139">
        <f>IFERROR(INDEX(装备库!$A$2:$Y$1047,MATCH(ROW()-1,装备库!$AO$2:$AO$1046,0),COLUMN()),"")</f>
        <v>0</v>
      </c>
      <c r="P139">
        <f>IFERROR(INDEX(装备库!$A$2:$Y$1047,MATCH(ROW()-1,装备库!$AO$2:$AO$1046,0),COLUMN()),"")</f>
        <v>1</v>
      </c>
      <c r="Q139">
        <f>IFERROR(INDEX(装备库!$A$2:$Y$1047,MATCH(ROW()-1,装备库!$AO$2:$AO$1046,0),COLUMN()),"")</f>
        <v>0</v>
      </c>
      <c r="R139">
        <f>IFERROR(INDEX(装备库!$A$2:$Y$1047,MATCH(ROW()-1,装备库!$AO$2:$AO$1046,0),COLUMN()),"")</f>
        <v>0</v>
      </c>
      <c r="S139">
        <f>IFERROR(INDEX(装备库!$A$2:$Y$1047,MATCH(ROW()-1,装备库!$AO$2:$AO$1046,0),COLUMN()),"")</f>
        <v>0</v>
      </c>
      <c r="T139">
        <f>IFERROR(INDEX(装备库!$A$2:$Y$1047,MATCH(ROW()-1,装备库!$AO$2:$AO$1046,0),COLUMN()),"")</f>
        <v>1</v>
      </c>
      <c r="U139">
        <f>IFERROR(INDEX(装备库!$A$2:$Y$1047,MATCH(ROW()-1,装备库!$AO$2:$AO$1046,0),COLUMN()),"")</f>
        <v>0</v>
      </c>
      <c r="V139">
        <f>IFERROR(INDEX(装备库!$A$2:$Y$1047,MATCH(ROW()-1,装备库!$AO$2:$AO$1046,0),COLUMN()),"")</f>
        <v>0</v>
      </c>
      <c r="W139" t="str">
        <f>IFERROR(INDEX(装备库!$A$2:$Y$1047,MATCH(ROW()-1,装备库!$AO$2:$AO$1046,0),COLUMN()),"")</f>
        <v>精简体攻会无</v>
      </c>
      <c r="X139">
        <f>IFERROR(INDEX(装备库!$A$2:$Y$1047,MATCH(ROW()-1,装备库!$AO$2:$AO$1046,0),COLUMN()),"")</f>
        <v>4</v>
      </c>
      <c r="Y139" t="str">
        <f>IFERROR(INDEX(装备库!$A$2:$Y$1047,MATCH(ROW()-1,装备库!$AO$2:$AO$1046,0),COLUMN()),"")</f>
        <v>副本</v>
      </c>
    </row>
    <row r="140" spans="1:25" x14ac:dyDescent="0.35">
      <c r="A140" t="str">
        <f>IFERROR(INDEX(装备库!$A$2:$Y$1047,MATCH(ROW()-1,装备库!$AO$2:$AO$1046,0),COLUMN()),"")</f>
        <v>护手</v>
      </c>
      <c r="B140" t="str">
        <f>IFERROR(INDEX(装备库!$A$2:$Y$1047,MATCH(ROW()-1,装备库!$AO$2:$AO$1046,0),COLUMN()),"")</f>
        <v>雪舞袖</v>
      </c>
      <c r="C140">
        <f>IFERROR(INDEX(装备库!$A$2:$Y$1047,MATCH(ROW()-1,装备库!$AO$2:$AO$1046,0),COLUMN()),"")</f>
        <v>12600</v>
      </c>
      <c r="D140" t="str">
        <f>IFERROR(INDEX(装备库!$A$2:$Y$1047,MATCH(ROW()-1,装备库!$AO$2:$AO$1046,0),COLUMN()),"")</f>
        <v>雪舞袖(12600招破)</v>
      </c>
      <c r="E140">
        <f>IFERROR(INDEX(装备库!$A$2:$Y$1047,MATCH(ROW()-1,装备库!$AO$2:$AO$1046,0),COLUMN()),"")</f>
        <v>616</v>
      </c>
      <c r="F140">
        <f>IFERROR(INDEX(装备库!$A$2:$Y$1047,MATCH(ROW()-1,装备库!$AO$2:$AO$1046,0),COLUMN()),"")</f>
        <v>999</v>
      </c>
      <c r="G140">
        <f>IFERROR(INDEX(装备库!$A$2:$Y$1047,MATCH(ROW()-1,装备库!$AO$2:$AO$1046,0),COLUMN()),"")</f>
        <v>0</v>
      </c>
      <c r="H140">
        <f>IFERROR(INDEX(装备库!$A$2:$Y$1047,MATCH(ROW()-1,装备库!$AO$2:$AO$1046,0),COLUMN()),"")</f>
        <v>0</v>
      </c>
      <c r="I140">
        <f>IFERROR(INDEX(装备库!$A$2:$Y$1047,MATCH(ROW()-1,装备库!$AO$2:$AO$1046,0),COLUMN()),"")</f>
        <v>3090</v>
      </c>
      <c r="J140">
        <f>IFERROR(INDEX(装备库!$A$2:$Y$1047,MATCH(ROW()-1,装备库!$AO$2:$AO$1046,0),COLUMN()),"")</f>
        <v>2747</v>
      </c>
      <c r="K140">
        <f>IFERROR(INDEX(装备库!$A$2:$Y$1047,MATCH(ROW()-1,装备库!$AO$2:$AO$1046,0),COLUMN()),"")</f>
        <v>0</v>
      </c>
      <c r="L140">
        <f>IFERROR(INDEX(装备库!$A$2:$Y$1047,MATCH(ROW()-1,装备库!$AO$2:$AO$1046,0),COLUMN()),"")</f>
        <v>0</v>
      </c>
      <c r="M140">
        <f>IFERROR(INDEX(装备库!$A$2:$Y$1047,MATCH(ROW()-1,装备库!$AO$2:$AO$1046,0),COLUMN()),"")</f>
        <v>0</v>
      </c>
      <c r="N140">
        <f>IFERROR(INDEX(装备库!$A$2:$Y$1047,MATCH(ROW()-1,装备库!$AO$2:$AO$1046,0),COLUMN()),"")</f>
        <v>0</v>
      </c>
      <c r="O140">
        <f>IFERROR(INDEX(装备库!$A$2:$Y$1047,MATCH(ROW()-1,装备库!$AO$2:$AO$1046,0),COLUMN()),"")</f>
        <v>0</v>
      </c>
      <c r="P140">
        <f>IFERROR(INDEX(装备库!$A$2:$Y$1047,MATCH(ROW()-1,装备库!$AO$2:$AO$1046,0),COLUMN()),"")</f>
        <v>1</v>
      </c>
      <c r="Q140">
        <f>IFERROR(INDEX(装备库!$A$2:$Y$1047,MATCH(ROW()-1,装备库!$AO$2:$AO$1046,0),COLUMN()),"")</f>
        <v>0</v>
      </c>
      <c r="R140">
        <f>IFERROR(INDEX(装备库!$A$2:$Y$1047,MATCH(ROW()-1,装备库!$AO$2:$AO$1046,0),COLUMN()),"")</f>
        <v>0</v>
      </c>
      <c r="S140">
        <f>IFERROR(INDEX(装备库!$A$2:$Y$1047,MATCH(ROW()-1,装备库!$AO$2:$AO$1046,0),COLUMN()),"")</f>
        <v>1</v>
      </c>
      <c r="T140">
        <f>IFERROR(INDEX(装备库!$A$2:$Y$1047,MATCH(ROW()-1,装备库!$AO$2:$AO$1046,0),COLUMN()),"")</f>
        <v>0</v>
      </c>
      <c r="U140">
        <f>IFERROR(INDEX(装备库!$A$2:$Y$1047,MATCH(ROW()-1,装备库!$AO$2:$AO$1046,0),COLUMN()),"")</f>
        <v>0</v>
      </c>
      <c r="V140">
        <f>IFERROR(INDEX(装备库!$A$2:$Y$1047,MATCH(ROW()-1,装备库!$AO$2:$AO$1046,0),COLUMN()),"")</f>
        <v>0</v>
      </c>
      <c r="W140" t="str">
        <f>IFERROR(INDEX(装备库!$A$2:$Y$1047,MATCH(ROW()-1,装备库!$AO$2:$AO$1046,0),COLUMN()),"")</f>
        <v>招破</v>
      </c>
      <c r="X140">
        <f>IFERROR(INDEX(装备库!$A$2:$Y$1047,MATCH(ROW()-1,装备库!$AO$2:$AO$1046,0),COLUMN()),"")</f>
        <v>6</v>
      </c>
      <c r="Y140" t="str">
        <f>IFERROR(INDEX(装备库!$A$2:$Y$1047,MATCH(ROW()-1,装备库!$AO$2:$AO$1046,0),COLUMN()),"")</f>
        <v>生活技能</v>
      </c>
    </row>
    <row r="141" spans="1:25" x14ac:dyDescent="0.35">
      <c r="A141" t="str">
        <f>IFERROR(INDEX(装备库!$A$2:$Y$1047,MATCH(ROW()-1,装备库!$AO$2:$AO$1046,0),COLUMN()),"")</f>
        <v>戒指</v>
      </c>
      <c r="B141" t="str">
        <f>IFERROR(INDEX(装备库!$A$2:$Y$1047,MATCH(ROW()-1,装备库!$AO$2:$AO$1046,0),COLUMN()),"")</f>
        <v>落琼霄·泽</v>
      </c>
      <c r="C141">
        <f>IFERROR(INDEX(装备库!$A$2:$Y$1047,MATCH(ROW()-1,装备库!$AO$2:$AO$1046,0),COLUMN()),"")</f>
        <v>7000</v>
      </c>
      <c r="D141" t="str">
        <f>IFERROR(INDEX(装备库!$A$2:$Y$1047,MATCH(ROW()-1,装备库!$AO$2:$AO$1046,0),COLUMN()),"")</f>
        <v>落琼霄·泽(7000大橙武)</v>
      </c>
      <c r="E141">
        <f>IFERROR(INDEX(装备库!$A$2:$Y$1047,MATCH(ROW()-1,装备库!$AO$2:$AO$1046,0),COLUMN()),"")</f>
        <v>339</v>
      </c>
      <c r="F141">
        <f>IFERROR(INDEX(装备库!$A$2:$Y$1047,MATCH(ROW()-1,装备库!$AO$2:$AO$1046,0),COLUMN()),"")</f>
        <v>466</v>
      </c>
      <c r="G141">
        <f>IFERROR(INDEX(装备库!$A$2:$Y$1047,MATCH(ROW()-1,装备库!$AO$2:$AO$1046,0),COLUMN()),"")</f>
        <v>710</v>
      </c>
      <c r="H141">
        <f>IFERROR(INDEX(装备库!$A$2:$Y$1047,MATCH(ROW()-1,装备库!$AO$2:$AO$1046,0),COLUMN()),"")</f>
        <v>0</v>
      </c>
      <c r="I141">
        <f>IFERROR(INDEX(装备库!$A$2:$Y$1047,MATCH(ROW()-1,装备库!$AO$2:$AO$1046,0),COLUMN()),"")</f>
        <v>710</v>
      </c>
      <c r="J141">
        <f>IFERROR(INDEX(装备库!$A$2:$Y$1047,MATCH(ROW()-1,装备库!$AO$2:$AO$1046,0),COLUMN()),"")</f>
        <v>0</v>
      </c>
      <c r="K141">
        <f>IFERROR(INDEX(装备库!$A$2:$Y$1047,MATCH(ROW()-1,装备库!$AO$2:$AO$1046,0),COLUMN()),"")</f>
        <v>0</v>
      </c>
      <c r="L141">
        <f>IFERROR(INDEX(装备库!$A$2:$Y$1047,MATCH(ROW()-1,装备库!$AO$2:$AO$1046,0),COLUMN()),"")</f>
        <v>473</v>
      </c>
      <c r="M141">
        <f>IFERROR(INDEX(装备库!$A$2:$Y$1047,MATCH(ROW()-1,装备库!$AO$2:$AO$1046,0),COLUMN()),"")</f>
        <v>0</v>
      </c>
      <c r="N141">
        <f>IFERROR(INDEX(装备库!$A$2:$Y$1047,MATCH(ROW()-1,装备库!$AO$2:$AO$1046,0),COLUMN()),"")</f>
        <v>0</v>
      </c>
      <c r="O141">
        <f>IFERROR(INDEX(装备库!$A$2:$Y$1047,MATCH(ROW()-1,装备库!$AO$2:$AO$1046,0),COLUMN()),"")</f>
        <v>0</v>
      </c>
      <c r="P141">
        <f>IFERROR(INDEX(装备库!$A$2:$Y$1047,MATCH(ROW()-1,装备库!$AO$2:$AO$1046,0),COLUMN()),"")</f>
        <v>0</v>
      </c>
      <c r="Q141">
        <f>IFERROR(INDEX(装备库!$A$2:$Y$1047,MATCH(ROW()-1,装备库!$AO$2:$AO$1046,0),COLUMN()),"")</f>
        <v>0</v>
      </c>
      <c r="R141">
        <f>IFERROR(INDEX(装备库!$A$2:$Y$1047,MATCH(ROW()-1,装备库!$AO$2:$AO$1046,0),COLUMN()),"")</f>
        <v>0</v>
      </c>
      <c r="S141">
        <f>IFERROR(INDEX(装备库!$A$2:$Y$1047,MATCH(ROW()-1,装备库!$AO$2:$AO$1046,0),COLUMN()),"")</f>
        <v>0</v>
      </c>
      <c r="T141">
        <f>IFERROR(INDEX(装备库!$A$2:$Y$1047,MATCH(ROW()-1,装备库!$AO$2:$AO$1046,0),COLUMN()),"")</f>
        <v>0</v>
      </c>
      <c r="U141">
        <f>IFERROR(INDEX(装备库!$A$2:$Y$1047,MATCH(ROW()-1,装备库!$AO$2:$AO$1046,0),COLUMN()),"")</f>
        <v>0</v>
      </c>
      <c r="V141">
        <f>IFERROR(INDEX(装备库!$A$2:$Y$1047,MATCH(ROW()-1,装备库!$AO$2:$AO$1046,0),COLUMN()),"")</f>
        <v>0</v>
      </c>
      <c r="W141" t="str">
        <f>IFERROR(INDEX(装备库!$A$2:$Y$1047,MATCH(ROW()-1,装备库!$AO$2:$AO$1046,0),COLUMN()),"")</f>
        <v>大橙武</v>
      </c>
      <c r="X141">
        <f>IFERROR(INDEX(装备库!$A$2:$Y$1047,MATCH(ROW()-1,装备库!$AO$2:$AO$1046,0),COLUMN()),"")</f>
        <v>8</v>
      </c>
      <c r="Y141" t="str">
        <f>IFERROR(INDEX(装备库!$A$2:$Y$1047,MATCH(ROW()-1,装备库!$AO$2:$AO$1046,0),COLUMN()),"")</f>
        <v>任务</v>
      </c>
    </row>
    <row r="142" spans="1:25" x14ac:dyDescent="0.35">
      <c r="A142" t="str">
        <f>IFERROR(INDEX(装备库!$A$2:$Y$1047,MATCH(ROW()-1,装备库!$AO$2:$AO$1046,0),COLUMN()),"")</f>
        <v>戒指</v>
      </c>
      <c r="B142" t="str">
        <f>IFERROR(INDEX(装备库!$A$2:$Y$1047,MATCH(ROW()-1,装备库!$AO$2:$AO$1046,0),COLUMN()),"")</f>
        <v>落琼霄·泽</v>
      </c>
      <c r="C142">
        <f>IFERROR(INDEX(装备库!$A$2:$Y$1047,MATCH(ROW()-1,装备库!$AO$2:$AO$1046,0),COLUMN()),"")</f>
        <v>7500</v>
      </c>
      <c r="D142" t="str">
        <f>IFERROR(INDEX(装备库!$A$2:$Y$1047,MATCH(ROW()-1,装备库!$AO$2:$AO$1046,0),COLUMN()),"")</f>
        <v>落琼霄·泽(7500大橙武)</v>
      </c>
      <c r="E142">
        <f>IFERROR(INDEX(装备库!$A$2:$Y$1047,MATCH(ROW()-1,装备库!$AO$2:$AO$1046,0),COLUMN()),"")</f>
        <v>364</v>
      </c>
      <c r="F142">
        <f>IFERROR(INDEX(装备库!$A$2:$Y$1047,MATCH(ROW()-1,装备库!$AO$2:$AO$1046,0),COLUMN()),"")</f>
        <v>499</v>
      </c>
      <c r="G142">
        <f>IFERROR(INDEX(装备库!$A$2:$Y$1047,MATCH(ROW()-1,装备库!$AO$2:$AO$1046,0),COLUMN()),"")</f>
        <v>760</v>
      </c>
      <c r="H142">
        <f>IFERROR(INDEX(装备库!$A$2:$Y$1047,MATCH(ROW()-1,装备库!$AO$2:$AO$1046,0),COLUMN()),"")</f>
        <v>0</v>
      </c>
      <c r="I142">
        <f>IFERROR(INDEX(装备库!$A$2:$Y$1047,MATCH(ROW()-1,装备库!$AO$2:$AO$1046,0),COLUMN()),"")</f>
        <v>760</v>
      </c>
      <c r="J142">
        <f>IFERROR(INDEX(装备库!$A$2:$Y$1047,MATCH(ROW()-1,装备库!$AO$2:$AO$1046,0),COLUMN()),"")</f>
        <v>0</v>
      </c>
      <c r="K142">
        <f>IFERROR(INDEX(装备库!$A$2:$Y$1047,MATCH(ROW()-1,装备库!$AO$2:$AO$1046,0),COLUMN()),"")</f>
        <v>0</v>
      </c>
      <c r="L142">
        <f>IFERROR(INDEX(装备库!$A$2:$Y$1047,MATCH(ROW()-1,装备库!$AO$2:$AO$1046,0),COLUMN()),"")</f>
        <v>507</v>
      </c>
      <c r="M142">
        <f>IFERROR(INDEX(装备库!$A$2:$Y$1047,MATCH(ROW()-1,装备库!$AO$2:$AO$1046,0),COLUMN()),"")</f>
        <v>0</v>
      </c>
      <c r="N142">
        <f>IFERROR(INDEX(装备库!$A$2:$Y$1047,MATCH(ROW()-1,装备库!$AO$2:$AO$1046,0),COLUMN()),"")</f>
        <v>0</v>
      </c>
      <c r="O142">
        <f>IFERROR(INDEX(装备库!$A$2:$Y$1047,MATCH(ROW()-1,装备库!$AO$2:$AO$1046,0),COLUMN()),"")</f>
        <v>0</v>
      </c>
      <c r="P142">
        <f>IFERROR(INDEX(装备库!$A$2:$Y$1047,MATCH(ROW()-1,装备库!$AO$2:$AO$1046,0),COLUMN()),"")</f>
        <v>0</v>
      </c>
      <c r="Q142">
        <f>IFERROR(INDEX(装备库!$A$2:$Y$1047,MATCH(ROW()-1,装备库!$AO$2:$AO$1046,0),COLUMN()),"")</f>
        <v>0</v>
      </c>
      <c r="R142">
        <f>IFERROR(INDEX(装备库!$A$2:$Y$1047,MATCH(ROW()-1,装备库!$AO$2:$AO$1046,0),COLUMN()),"")</f>
        <v>0</v>
      </c>
      <c r="S142">
        <f>IFERROR(INDEX(装备库!$A$2:$Y$1047,MATCH(ROW()-1,装备库!$AO$2:$AO$1046,0),COLUMN()),"")</f>
        <v>0</v>
      </c>
      <c r="T142">
        <f>IFERROR(INDEX(装备库!$A$2:$Y$1047,MATCH(ROW()-1,装备库!$AO$2:$AO$1046,0),COLUMN()),"")</f>
        <v>0</v>
      </c>
      <c r="U142">
        <f>IFERROR(INDEX(装备库!$A$2:$Y$1047,MATCH(ROW()-1,装备库!$AO$2:$AO$1046,0),COLUMN()),"")</f>
        <v>0</v>
      </c>
      <c r="V142">
        <f>IFERROR(INDEX(装备库!$A$2:$Y$1047,MATCH(ROW()-1,装备库!$AO$2:$AO$1046,0),COLUMN()),"")</f>
        <v>0</v>
      </c>
      <c r="W142" t="str">
        <f>IFERROR(INDEX(装备库!$A$2:$Y$1047,MATCH(ROW()-1,装备库!$AO$2:$AO$1046,0),COLUMN()),"")</f>
        <v>大橙武</v>
      </c>
      <c r="X142">
        <f>IFERROR(INDEX(装备库!$A$2:$Y$1047,MATCH(ROW()-1,装备库!$AO$2:$AO$1046,0),COLUMN()),"")</f>
        <v>8</v>
      </c>
      <c r="Y142" t="str">
        <f>IFERROR(INDEX(装备库!$A$2:$Y$1047,MATCH(ROW()-1,装备库!$AO$2:$AO$1046,0),COLUMN()),"")</f>
        <v>任务</v>
      </c>
    </row>
    <row r="143" spans="1:25" x14ac:dyDescent="0.35">
      <c r="A143" t="str">
        <f>IFERROR(INDEX(装备库!$A$2:$Y$1047,MATCH(ROW()-1,装备库!$AO$2:$AO$1046,0),COLUMN()),"")</f>
        <v>戒指</v>
      </c>
      <c r="B143" t="str">
        <f>IFERROR(INDEX(装备库!$A$2:$Y$1047,MATCH(ROW()-1,装备库!$AO$2:$AO$1046,0),COLUMN()),"")</f>
        <v>碧天长·泽</v>
      </c>
      <c r="C143">
        <f>IFERROR(INDEX(装备库!$A$2:$Y$1047,MATCH(ROW()-1,装备库!$AO$2:$AO$1046,0),COLUMN()),"")</f>
        <v>7800</v>
      </c>
      <c r="D143" t="str">
        <f>IFERROR(INDEX(装备库!$A$2:$Y$1047,MATCH(ROW()-1,装备库!$AO$2:$AO$1046,0),COLUMN()),"")</f>
        <v>碧天长·泽(7800大橙武)</v>
      </c>
      <c r="E143">
        <f>IFERROR(INDEX(装备库!$A$2:$Y$1047,MATCH(ROW()-1,装备库!$AO$2:$AO$1046,0),COLUMN()),"")</f>
        <v>378</v>
      </c>
      <c r="F143">
        <f>IFERROR(INDEX(装备库!$A$2:$Y$1047,MATCH(ROW()-1,装备库!$AO$2:$AO$1046,0),COLUMN()),"")</f>
        <v>519</v>
      </c>
      <c r="G143">
        <f>IFERROR(INDEX(装备库!$A$2:$Y$1047,MATCH(ROW()-1,装备库!$AO$2:$AO$1046,0),COLUMN()),"")</f>
        <v>791</v>
      </c>
      <c r="H143">
        <f>IFERROR(INDEX(装备库!$A$2:$Y$1047,MATCH(ROW()-1,装备库!$AO$2:$AO$1046,0),COLUMN()),"")</f>
        <v>0</v>
      </c>
      <c r="I143">
        <f>IFERROR(INDEX(装备库!$A$2:$Y$1047,MATCH(ROW()-1,装备库!$AO$2:$AO$1046,0),COLUMN()),"")</f>
        <v>791</v>
      </c>
      <c r="J143">
        <f>IFERROR(INDEX(装备库!$A$2:$Y$1047,MATCH(ROW()-1,装备库!$AO$2:$AO$1046,0),COLUMN()),"")</f>
        <v>0</v>
      </c>
      <c r="K143">
        <f>IFERROR(INDEX(装备库!$A$2:$Y$1047,MATCH(ROW()-1,装备库!$AO$2:$AO$1046,0),COLUMN()),"")</f>
        <v>0</v>
      </c>
      <c r="L143">
        <f>IFERROR(INDEX(装备库!$A$2:$Y$1047,MATCH(ROW()-1,装备库!$AO$2:$AO$1046,0),COLUMN()),"")</f>
        <v>527</v>
      </c>
      <c r="M143">
        <f>IFERROR(INDEX(装备库!$A$2:$Y$1047,MATCH(ROW()-1,装备库!$AO$2:$AO$1046,0),COLUMN()),"")</f>
        <v>0</v>
      </c>
      <c r="N143">
        <f>IFERROR(INDEX(装备库!$A$2:$Y$1047,MATCH(ROW()-1,装备库!$AO$2:$AO$1046,0),COLUMN()),"")</f>
        <v>0</v>
      </c>
      <c r="O143">
        <f>IFERROR(INDEX(装备库!$A$2:$Y$1047,MATCH(ROW()-1,装备库!$AO$2:$AO$1046,0),COLUMN()),"")</f>
        <v>0</v>
      </c>
      <c r="P143">
        <f>IFERROR(INDEX(装备库!$A$2:$Y$1047,MATCH(ROW()-1,装备库!$AO$2:$AO$1046,0),COLUMN()),"")</f>
        <v>0</v>
      </c>
      <c r="Q143">
        <f>IFERROR(INDEX(装备库!$A$2:$Y$1047,MATCH(ROW()-1,装备库!$AO$2:$AO$1046,0),COLUMN()),"")</f>
        <v>0</v>
      </c>
      <c r="R143">
        <f>IFERROR(INDEX(装备库!$A$2:$Y$1047,MATCH(ROW()-1,装备库!$AO$2:$AO$1046,0),COLUMN()),"")</f>
        <v>0</v>
      </c>
      <c r="S143">
        <f>IFERROR(INDEX(装备库!$A$2:$Y$1047,MATCH(ROW()-1,装备库!$AO$2:$AO$1046,0),COLUMN()),"")</f>
        <v>0</v>
      </c>
      <c r="T143">
        <f>IFERROR(INDEX(装备库!$A$2:$Y$1047,MATCH(ROW()-1,装备库!$AO$2:$AO$1046,0),COLUMN()),"")</f>
        <v>0</v>
      </c>
      <c r="U143">
        <f>IFERROR(INDEX(装备库!$A$2:$Y$1047,MATCH(ROW()-1,装备库!$AO$2:$AO$1046,0),COLUMN()),"")</f>
        <v>0</v>
      </c>
      <c r="V143">
        <f>IFERROR(INDEX(装备库!$A$2:$Y$1047,MATCH(ROW()-1,装备库!$AO$2:$AO$1046,0),COLUMN()),"")</f>
        <v>0</v>
      </c>
      <c r="W143" t="str">
        <f>IFERROR(INDEX(装备库!$A$2:$Y$1047,MATCH(ROW()-1,装备库!$AO$2:$AO$1046,0),COLUMN()),"")</f>
        <v>大橙武</v>
      </c>
      <c r="X143">
        <f>IFERROR(INDEX(装备库!$A$2:$Y$1047,MATCH(ROW()-1,装备库!$AO$2:$AO$1046,0),COLUMN()),"")</f>
        <v>8</v>
      </c>
      <c r="Y143" t="str">
        <f>IFERROR(INDEX(装备库!$A$2:$Y$1047,MATCH(ROW()-1,装备库!$AO$2:$AO$1046,0),COLUMN()),"")</f>
        <v>任务</v>
      </c>
    </row>
    <row r="144" spans="1:25" x14ac:dyDescent="0.35">
      <c r="A144" t="str">
        <f>IFERROR(INDEX(装备库!$A$2:$Y$1047,MATCH(ROW()-1,装备库!$AO$2:$AO$1046,0),COLUMN()),"")</f>
        <v>戒指</v>
      </c>
      <c r="B144" t="str">
        <f>IFERROR(INDEX(装备库!$A$2:$Y$1047,MATCH(ROW()-1,装备库!$AO$2:$AO$1046,0),COLUMN()),"")</f>
        <v>浅梦戒</v>
      </c>
      <c r="C144">
        <f>IFERROR(INDEX(装备库!$A$2:$Y$1047,MATCH(ROW()-1,装备库!$AO$2:$AO$1046,0),COLUMN()),"")</f>
        <v>8000</v>
      </c>
      <c r="D144" t="str">
        <f>IFERROR(INDEX(装备库!$A$2:$Y$1047,MATCH(ROW()-1,装备库!$AO$2:$AO$1046,0),COLUMN()),"")</f>
        <v>浅梦戒(8000会无)</v>
      </c>
      <c r="E144">
        <f>IFERROR(INDEX(装备库!$A$2:$Y$1047,MATCH(ROW()-1,装备库!$AO$2:$AO$1046,0),COLUMN()),"")</f>
        <v>279</v>
      </c>
      <c r="F144">
        <f>IFERROR(INDEX(装备库!$A$2:$Y$1047,MATCH(ROW()-1,装备库!$AO$2:$AO$1046,0),COLUMN()),"")</f>
        <v>453</v>
      </c>
      <c r="G144">
        <f>IFERROR(INDEX(装备库!$A$2:$Y$1047,MATCH(ROW()-1,装备库!$AO$2:$AO$1046,0),COLUMN()),"")</f>
        <v>1401</v>
      </c>
      <c r="H144">
        <f>IFERROR(INDEX(装备库!$A$2:$Y$1047,MATCH(ROW()-1,装备库!$AO$2:$AO$1046,0),COLUMN()),"")</f>
        <v>0</v>
      </c>
      <c r="I144">
        <f>IFERROR(INDEX(装备库!$A$2:$Y$1047,MATCH(ROW()-1,装备库!$AO$2:$AO$1046,0),COLUMN()),"")</f>
        <v>0</v>
      </c>
      <c r="J144">
        <f>IFERROR(INDEX(装备库!$A$2:$Y$1047,MATCH(ROW()-1,装备库!$AO$2:$AO$1046,0),COLUMN()),"")</f>
        <v>0</v>
      </c>
      <c r="K144">
        <f>IFERROR(INDEX(装备库!$A$2:$Y$1047,MATCH(ROW()-1,装备库!$AO$2:$AO$1046,0),COLUMN()),"")</f>
        <v>1246</v>
      </c>
      <c r="L144">
        <f>IFERROR(INDEX(装备库!$A$2:$Y$1047,MATCH(ROW()-1,装备库!$AO$2:$AO$1046,0),COLUMN()),"")</f>
        <v>0</v>
      </c>
      <c r="M144">
        <f>IFERROR(INDEX(装备库!$A$2:$Y$1047,MATCH(ROW()-1,装备库!$AO$2:$AO$1046,0),COLUMN()),"")</f>
        <v>0</v>
      </c>
      <c r="N144">
        <f>IFERROR(INDEX(装备库!$A$2:$Y$1047,MATCH(ROW()-1,装备库!$AO$2:$AO$1046,0),COLUMN()),"")</f>
        <v>0</v>
      </c>
      <c r="O144">
        <f>IFERROR(INDEX(装备库!$A$2:$Y$1047,MATCH(ROW()-1,装备库!$AO$2:$AO$1046,0),COLUMN()),"")</f>
        <v>0</v>
      </c>
      <c r="P144">
        <f>IFERROR(INDEX(装备库!$A$2:$Y$1047,MATCH(ROW()-1,装备库!$AO$2:$AO$1046,0),COLUMN()),"")</f>
        <v>0</v>
      </c>
      <c r="Q144">
        <f>IFERROR(INDEX(装备库!$A$2:$Y$1047,MATCH(ROW()-1,装备库!$AO$2:$AO$1046,0),COLUMN()),"")</f>
        <v>0</v>
      </c>
      <c r="R144">
        <f>IFERROR(INDEX(装备库!$A$2:$Y$1047,MATCH(ROW()-1,装备库!$AO$2:$AO$1046,0),COLUMN()),"")</f>
        <v>0</v>
      </c>
      <c r="S144">
        <f>IFERROR(INDEX(装备库!$A$2:$Y$1047,MATCH(ROW()-1,装备库!$AO$2:$AO$1046,0),COLUMN()),"")</f>
        <v>0</v>
      </c>
      <c r="T144">
        <f>IFERROR(INDEX(装备库!$A$2:$Y$1047,MATCH(ROW()-1,装备库!$AO$2:$AO$1046,0),COLUMN()),"")</f>
        <v>0</v>
      </c>
      <c r="U144">
        <f>IFERROR(INDEX(装备库!$A$2:$Y$1047,MATCH(ROW()-1,装备库!$AO$2:$AO$1046,0),COLUMN()),"")</f>
        <v>0</v>
      </c>
      <c r="V144">
        <f>IFERROR(INDEX(装备库!$A$2:$Y$1047,MATCH(ROW()-1,装备库!$AO$2:$AO$1046,0),COLUMN()),"")</f>
        <v>0</v>
      </c>
      <c r="W144" t="str">
        <f>IFERROR(INDEX(装备库!$A$2:$Y$1047,MATCH(ROW()-1,装备库!$AO$2:$AO$1046,0),COLUMN()),"")</f>
        <v>会无</v>
      </c>
      <c r="X144">
        <f>IFERROR(INDEX(装备库!$A$2:$Y$1047,MATCH(ROW()-1,装备库!$AO$2:$AO$1046,0),COLUMN()),"")</f>
        <v>6</v>
      </c>
      <c r="Y144" t="str">
        <f>IFERROR(INDEX(装备库!$A$2:$Y$1047,MATCH(ROW()-1,装备库!$AO$2:$AO$1046,0),COLUMN()),"")</f>
        <v>副本</v>
      </c>
    </row>
    <row r="145" spans="1:25" x14ac:dyDescent="0.35">
      <c r="A145" t="str">
        <f>IFERROR(INDEX(装备库!$A$2:$Y$1047,MATCH(ROW()-1,装备库!$AO$2:$AO$1046,0),COLUMN()),"")</f>
        <v>戒指</v>
      </c>
      <c r="B145" t="str">
        <f>IFERROR(INDEX(装备库!$A$2:$Y$1047,MATCH(ROW()-1,装备库!$AO$2:$AO$1046,0),COLUMN()),"")</f>
        <v>崇月戒</v>
      </c>
      <c r="C145">
        <f>IFERROR(INDEX(装备库!$A$2:$Y$1047,MATCH(ROW()-1,装备库!$AO$2:$AO$1046,0),COLUMN()),"")</f>
        <v>8100</v>
      </c>
      <c r="D145" t="str">
        <f>IFERROR(INDEX(装备库!$A$2:$Y$1047,MATCH(ROW()-1,装备库!$AO$2:$AO$1046,0),COLUMN()),"")</f>
        <v>崇月戒(8100会招)</v>
      </c>
      <c r="E145">
        <f>IFERROR(INDEX(装备库!$A$2:$Y$1047,MATCH(ROW()-1,装备库!$AO$2:$AO$1046,0),COLUMN()),"")</f>
        <v>283</v>
      </c>
      <c r="F145">
        <f>IFERROR(INDEX(装备库!$A$2:$Y$1047,MATCH(ROW()-1,装备库!$AO$2:$AO$1046,0),COLUMN()),"")</f>
        <v>459</v>
      </c>
      <c r="G145">
        <f>IFERROR(INDEX(装备库!$A$2:$Y$1047,MATCH(ROW()-1,装备库!$AO$2:$AO$1046,0),COLUMN()),"")</f>
        <v>1419</v>
      </c>
      <c r="H145">
        <f>IFERROR(INDEX(装备库!$A$2:$Y$1047,MATCH(ROW()-1,装备库!$AO$2:$AO$1046,0),COLUMN()),"")</f>
        <v>0</v>
      </c>
      <c r="I145">
        <f>IFERROR(INDEX(装备库!$A$2:$Y$1047,MATCH(ROW()-1,装备库!$AO$2:$AO$1046,0),COLUMN()),"")</f>
        <v>0</v>
      </c>
      <c r="J145">
        <f>IFERROR(INDEX(装备库!$A$2:$Y$1047,MATCH(ROW()-1,装备库!$AO$2:$AO$1046,0),COLUMN()),"")</f>
        <v>1261</v>
      </c>
      <c r="K145">
        <f>IFERROR(INDEX(装备库!$A$2:$Y$1047,MATCH(ROW()-1,装备库!$AO$2:$AO$1046,0),COLUMN()),"")</f>
        <v>0</v>
      </c>
      <c r="L145">
        <f>IFERROR(INDEX(装备库!$A$2:$Y$1047,MATCH(ROW()-1,装备库!$AO$2:$AO$1046,0),COLUMN()),"")</f>
        <v>0</v>
      </c>
      <c r="M145">
        <f>IFERROR(INDEX(装备库!$A$2:$Y$1047,MATCH(ROW()-1,装备库!$AO$2:$AO$1046,0),COLUMN()),"")</f>
        <v>0</v>
      </c>
      <c r="N145">
        <f>IFERROR(INDEX(装备库!$A$2:$Y$1047,MATCH(ROW()-1,装备库!$AO$2:$AO$1046,0),COLUMN()),"")</f>
        <v>0</v>
      </c>
      <c r="O145">
        <f>IFERROR(INDEX(装备库!$A$2:$Y$1047,MATCH(ROW()-1,装备库!$AO$2:$AO$1046,0),COLUMN()),"")</f>
        <v>0</v>
      </c>
      <c r="P145">
        <f>IFERROR(INDEX(装备库!$A$2:$Y$1047,MATCH(ROW()-1,装备库!$AO$2:$AO$1046,0),COLUMN()),"")</f>
        <v>0</v>
      </c>
      <c r="Q145">
        <f>IFERROR(INDEX(装备库!$A$2:$Y$1047,MATCH(ROW()-1,装备库!$AO$2:$AO$1046,0),COLUMN()),"")</f>
        <v>0</v>
      </c>
      <c r="R145">
        <f>IFERROR(INDEX(装备库!$A$2:$Y$1047,MATCH(ROW()-1,装备库!$AO$2:$AO$1046,0),COLUMN()),"")</f>
        <v>0</v>
      </c>
      <c r="S145">
        <f>IFERROR(INDEX(装备库!$A$2:$Y$1047,MATCH(ROW()-1,装备库!$AO$2:$AO$1046,0),COLUMN()),"")</f>
        <v>0</v>
      </c>
      <c r="T145">
        <f>IFERROR(INDEX(装备库!$A$2:$Y$1047,MATCH(ROW()-1,装备库!$AO$2:$AO$1046,0),COLUMN()),"")</f>
        <v>0</v>
      </c>
      <c r="U145">
        <f>IFERROR(INDEX(装备库!$A$2:$Y$1047,MATCH(ROW()-1,装备库!$AO$2:$AO$1046,0),COLUMN()),"")</f>
        <v>0</v>
      </c>
      <c r="V145">
        <f>IFERROR(INDEX(装备库!$A$2:$Y$1047,MATCH(ROW()-1,装备库!$AO$2:$AO$1046,0),COLUMN()),"")</f>
        <v>0</v>
      </c>
      <c r="W145" t="str">
        <f>IFERROR(INDEX(装备库!$A$2:$Y$1047,MATCH(ROW()-1,装备库!$AO$2:$AO$1046,0),COLUMN()),"")</f>
        <v>会招</v>
      </c>
      <c r="X145">
        <f>IFERROR(INDEX(装备库!$A$2:$Y$1047,MATCH(ROW()-1,装备库!$AO$2:$AO$1046,0),COLUMN()),"")</f>
        <v>6</v>
      </c>
      <c r="Y145" t="str">
        <f>IFERROR(INDEX(装备库!$A$2:$Y$1047,MATCH(ROW()-1,装备库!$AO$2:$AO$1046,0),COLUMN()),"")</f>
        <v>任务</v>
      </c>
    </row>
    <row r="146" spans="1:25" x14ac:dyDescent="0.35">
      <c r="A146" t="str">
        <f>IFERROR(INDEX(装备库!$A$2:$Y$1047,MATCH(ROW()-1,装备库!$AO$2:$AO$1046,0),COLUMN()),"")</f>
        <v>戒指</v>
      </c>
      <c r="B146" t="str">
        <f>IFERROR(INDEX(装备库!$A$2:$Y$1047,MATCH(ROW()-1,装备库!$AO$2:$AO$1046,0),COLUMN()),"")</f>
        <v>画楼戒</v>
      </c>
      <c r="C146">
        <f>IFERROR(INDEX(装备库!$A$2:$Y$1047,MATCH(ROW()-1,装备库!$AO$2:$AO$1046,0),COLUMN()),"")</f>
        <v>8100</v>
      </c>
      <c r="D146" t="str">
        <f>IFERROR(INDEX(装备库!$A$2:$Y$1047,MATCH(ROW()-1,装备库!$AO$2:$AO$1046,0),COLUMN()),"")</f>
        <v>画楼戒(8100会无)</v>
      </c>
      <c r="E146">
        <f>IFERROR(INDEX(装备库!$A$2:$Y$1047,MATCH(ROW()-1,装备库!$AO$2:$AO$1046,0),COLUMN()),"")</f>
        <v>283</v>
      </c>
      <c r="F146">
        <f>IFERROR(INDEX(装备库!$A$2:$Y$1047,MATCH(ROW()-1,装备库!$AO$2:$AO$1046,0),COLUMN()),"")</f>
        <v>459</v>
      </c>
      <c r="G146">
        <f>IFERROR(INDEX(装备库!$A$2:$Y$1047,MATCH(ROW()-1,装备库!$AO$2:$AO$1046,0),COLUMN()),"")</f>
        <v>1419</v>
      </c>
      <c r="H146">
        <f>IFERROR(INDEX(装备库!$A$2:$Y$1047,MATCH(ROW()-1,装备库!$AO$2:$AO$1046,0),COLUMN()),"")</f>
        <v>0</v>
      </c>
      <c r="I146">
        <f>IFERROR(INDEX(装备库!$A$2:$Y$1047,MATCH(ROW()-1,装备库!$AO$2:$AO$1046,0),COLUMN()),"")</f>
        <v>0</v>
      </c>
      <c r="J146">
        <f>IFERROR(INDEX(装备库!$A$2:$Y$1047,MATCH(ROW()-1,装备库!$AO$2:$AO$1046,0),COLUMN()),"")</f>
        <v>0</v>
      </c>
      <c r="K146">
        <f>IFERROR(INDEX(装备库!$A$2:$Y$1047,MATCH(ROW()-1,装备库!$AO$2:$AO$1046,0),COLUMN()),"")</f>
        <v>1261</v>
      </c>
      <c r="L146">
        <f>IFERROR(INDEX(装备库!$A$2:$Y$1047,MATCH(ROW()-1,装备库!$AO$2:$AO$1046,0),COLUMN()),"")</f>
        <v>0</v>
      </c>
      <c r="M146">
        <f>IFERROR(INDEX(装备库!$A$2:$Y$1047,MATCH(ROW()-1,装备库!$AO$2:$AO$1046,0),COLUMN()),"")</f>
        <v>0</v>
      </c>
      <c r="N146">
        <f>IFERROR(INDEX(装备库!$A$2:$Y$1047,MATCH(ROW()-1,装备库!$AO$2:$AO$1046,0),COLUMN()),"")</f>
        <v>0</v>
      </c>
      <c r="O146">
        <f>IFERROR(INDEX(装备库!$A$2:$Y$1047,MATCH(ROW()-1,装备库!$AO$2:$AO$1046,0),COLUMN()),"")</f>
        <v>0</v>
      </c>
      <c r="P146">
        <f>IFERROR(INDEX(装备库!$A$2:$Y$1047,MATCH(ROW()-1,装备库!$AO$2:$AO$1046,0),COLUMN()),"")</f>
        <v>0</v>
      </c>
      <c r="Q146">
        <f>IFERROR(INDEX(装备库!$A$2:$Y$1047,MATCH(ROW()-1,装备库!$AO$2:$AO$1046,0),COLUMN()),"")</f>
        <v>0</v>
      </c>
      <c r="R146">
        <f>IFERROR(INDEX(装备库!$A$2:$Y$1047,MATCH(ROW()-1,装备库!$AO$2:$AO$1046,0),COLUMN()),"")</f>
        <v>0</v>
      </c>
      <c r="S146">
        <f>IFERROR(INDEX(装备库!$A$2:$Y$1047,MATCH(ROW()-1,装备库!$AO$2:$AO$1046,0),COLUMN()),"")</f>
        <v>0</v>
      </c>
      <c r="T146">
        <f>IFERROR(INDEX(装备库!$A$2:$Y$1047,MATCH(ROW()-1,装备库!$AO$2:$AO$1046,0),COLUMN()),"")</f>
        <v>0</v>
      </c>
      <c r="U146">
        <f>IFERROR(INDEX(装备库!$A$2:$Y$1047,MATCH(ROW()-1,装备库!$AO$2:$AO$1046,0),COLUMN()),"")</f>
        <v>0</v>
      </c>
      <c r="V146">
        <f>IFERROR(INDEX(装备库!$A$2:$Y$1047,MATCH(ROW()-1,装备库!$AO$2:$AO$1046,0),COLUMN()),"")</f>
        <v>0</v>
      </c>
      <c r="W146" t="str">
        <f>IFERROR(INDEX(装备库!$A$2:$Y$1047,MATCH(ROW()-1,装备库!$AO$2:$AO$1046,0),COLUMN()),"")</f>
        <v>会无</v>
      </c>
      <c r="X146">
        <f>IFERROR(INDEX(装备库!$A$2:$Y$1047,MATCH(ROW()-1,装备库!$AO$2:$AO$1046,0),COLUMN()),"")</f>
        <v>6</v>
      </c>
      <c r="Y146" t="str">
        <f>IFERROR(INDEX(装备库!$A$2:$Y$1047,MATCH(ROW()-1,装备库!$AO$2:$AO$1046,0),COLUMN()),"")</f>
        <v>任务</v>
      </c>
    </row>
    <row r="147" spans="1:25" x14ac:dyDescent="0.35">
      <c r="A147" t="str">
        <f>IFERROR(INDEX(装备库!$A$2:$Y$1047,MATCH(ROW()-1,装备库!$AO$2:$AO$1046,0),COLUMN()),"")</f>
        <v>戒指</v>
      </c>
      <c r="B147" t="str">
        <f>IFERROR(INDEX(装备库!$A$2:$Y$1047,MATCH(ROW()-1,装备库!$AO$2:$AO$1046,0),COLUMN()),"")</f>
        <v>临尚戒</v>
      </c>
      <c r="C147">
        <f>IFERROR(INDEX(装备库!$A$2:$Y$1047,MATCH(ROW()-1,装备库!$AO$2:$AO$1046,0),COLUMN()),"")</f>
        <v>8150</v>
      </c>
      <c r="D147" t="str">
        <f>IFERROR(INDEX(装备库!$A$2:$Y$1047,MATCH(ROW()-1,装备库!$AO$2:$AO$1046,0),COLUMN()),"")</f>
        <v>临尚戒(8150会无)</v>
      </c>
      <c r="E147">
        <f>IFERROR(INDEX(装备库!$A$2:$Y$1047,MATCH(ROW()-1,装备库!$AO$2:$AO$1046,0),COLUMN()),"")</f>
        <v>285</v>
      </c>
      <c r="F147">
        <f>IFERROR(INDEX(装备库!$A$2:$Y$1047,MATCH(ROW()-1,装备库!$AO$2:$AO$1046,0),COLUMN()),"")</f>
        <v>462</v>
      </c>
      <c r="G147">
        <f>IFERROR(INDEX(装备库!$A$2:$Y$1047,MATCH(ROW()-1,装备库!$AO$2:$AO$1046,0),COLUMN()),"")</f>
        <v>1428</v>
      </c>
      <c r="H147">
        <f>IFERROR(INDEX(装备库!$A$2:$Y$1047,MATCH(ROW()-1,装备库!$AO$2:$AO$1046,0),COLUMN()),"")</f>
        <v>0</v>
      </c>
      <c r="I147">
        <f>IFERROR(INDEX(装备库!$A$2:$Y$1047,MATCH(ROW()-1,装备库!$AO$2:$AO$1046,0),COLUMN()),"")</f>
        <v>0</v>
      </c>
      <c r="J147">
        <f>IFERROR(INDEX(装备库!$A$2:$Y$1047,MATCH(ROW()-1,装备库!$AO$2:$AO$1046,0),COLUMN()),"")</f>
        <v>0</v>
      </c>
      <c r="K147">
        <f>IFERROR(INDEX(装备库!$A$2:$Y$1047,MATCH(ROW()-1,装备库!$AO$2:$AO$1046,0),COLUMN()),"")</f>
        <v>1269</v>
      </c>
      <c r="L147">
        <f>IFERROR(INDEX(装备库!$A$2:$Y$1047,MATCH(ROW()-1,装备库!$AO$2:$AO$1046,0),COLUMN()),"")</f>
        <v>0</v>
      </c>
      <c r="M147">
        <f>IFERROR(INDEX(装备库!$A$2:$Y$1047,MATCH(ROW()-1,装备库!$AO$2:$AO$1046,0),COLUMN()),"")</f>
        <v>0</v>
      </c>
      <c r="N147">
        <f>IFERROR(INDEX(装备库!$A$2:$Y$1047,MATCH(ROW()-1,装备库!$AO$2:$AO$1046,0),COLUMN()),"")</f>
        <v>0</v>
      </c>
      <c r="O147">
        <f>IFERROR(INDEX(装备库!$A$2:$Y$1047,MATCH(ROW()-1,装备库!$AO$2:$AO$1046,0),COLUMN()),"")</f>
        <v>0</v>
      </c>
      <c r="P147">
        <f>IFERROR(INDEX(装备库!$A$2:$Y$1047,MATCH(ROW()-1,装备库!$AO$2:$AO$1046,0),COLUMN()),"")</f>
        <v>0</v>
      </c>
      <c r="Q147">
        <f>IFERROR(INDEX(装备库!$A$2:$Y$1047,MATCH(ROW()-1,装备库!$AO$2:$AO$1046,0),COLUMN()),"")</f>
        <v>0</v>
      </c>
      <c r="R147">
        <f>IFERROR(INDEX(装备库!$A$2:$Y$1047,MATCH(ROW()-1,装备库!$AO$2:$AO$1046,0),COLUMN()),"")</f>
        <v>0</v>
      </c>
      <c r="S147">
        <f>IFERROR(INDEX(装备库!$A$2:$Y$1047,MATCH(ROW()-1,装备库!$AO$2:$AO$1046,0),COLUMN()),"")</f>
        <v>0</v>
      </c>
      <c r="T147">
        <f>IFERROR(INDEX(装备库!$A$2:$Y$1047,MATCH(ROW()-1,装备库!$AO$2:$AO$1046,0),COLUMN()),"")</f>
        <v>0</v>
      </c>
      <c r="U147">
        <f>IFERROR(INDEX(装备库!$A$2:$Y$1047,MATCH(ROW()-1,装备库!$AO$2:$AO$1046,0),COLUMN()),"")</f>
        <v>0</v>
      </c>
      <c r="V147">
        <f>IFERROR(INDEX(装备库!$A$2:$Y$1047,MATCH(ROW()-1,装备库!$AO$2:$AO$1046,0),COLUMN()),"")</f>
        <v>0</v>
      </c>
      <c r="W147" t="str">
        <f>IFERROR(INDEX(装备库!$A$2:$Y$1047,MATCH(ROW()-1,装备库!$AO$2:$AO$1046,0),COLUMN()),"")</f>
        <v>会无</v>
      </c>
      <c r="X147">
        <f>IFERROR(INDEX(装备库!$A$2:$Y$1047,MATCH(ROW()-1,装备库!$AO$2:$AO$1046,0),COLUMN()),"")</f>
        <v>6</v>
      </c>
      <c r="Y147" t="str">
        <f>IFERROR(INDEX(装备库!$A$2:$Y$1047,MATCH(ROW()-1,装备库!$AO$2:$AO$1046,0),COLUMN()),"")</f>
        <v>声望</v>
      </c>
    </row>
    <row r="148" spans="1:25" x14ac:dyDescent="0.35">
      <c r="A148" t="str">
        <f>IFERROR(INDEX(装备库!$A$2:$Y$1047,MATCH(ROW()-1,装备库!$AO$2:$AO$1046,0),COLUMN()),"")</f>
        <v>戒指</v>
      </c>
      <c r="B148" t="str">
        <f>IFERROR(INDEX(装备库!$A$2:$Y$1047,MATCH(ROW()-1,装备库!$AO$2:$AO$1046,0),COLUMN()),"")</f>
        <v>落琼霄·泽</v>
      </c>
      <c r="C148">
        <f>IFERROR(INDEX(装备库!$A$2:$Y$1047,MATCH(ROW()-1,装备库!$AO$2:$AO$1046,0),COLUMN()),"")</f>
        <v>8300</v>
      </c>
      <c r="D148" t="str">
        <f>IFERROR(INDEX(装备库!$A$2:$Y$1047,MATCH(ROW()-1,装备库!$AO$2:$AO$1046,0),COLUMN()),"")</f>
        <v>落琼霄·泽(8300大橙武)</v>
      </c>
      <c r="E148">
        <f>IFERROR(INDEX(装备库!$A$2:$Y$1047,MATCH(ROW()-1,装备库!$AO$2:$AO$1046,0),COLUMN()),"")</f>
        <v>402</v>
      </c>
      <c r="F148">
        <f>IFERROR(INDEX(装备库!$A$2:$Y$1047,MATCH(ROW()-1,装备库!$AO$2:$AO$1046,0),COLUMN()),"")</f>
        <v>552</v>
      </c>
      <c r="G148">
        <f>IFERROR(INDEX(装备库!$A$2:$Y$1047,MATCH(ROW()-1,装备库!$AO$2:$AO$1046,0),COLUMN()),"")</f>
        <v>841</v>
      </c>
      <c r="H148">
        <f>IFERROR(INDEX(装备库!$A$2:$Y$1047,MATCH(ROW()-1,装备库!$AO$2:$AO$1046,0),COLUMN()),"")</f>
        <v>0</v>
      </c>
      <c r="I148">
        <f>IFERROR(INDEX(装备库!$A$2:$Y$1047,MATCH(ROW()-1,装备库!$AO$2:$AO$1046,0),COLUMN()),"")</f>
        <v>841</v>
      </c>
      <c r="J148">
        <f>IFERROR(INDEX(装备库!$A$2:$Y$1047,MATCH(ROW()-1,装备库!$AO$2:$AO$1046,0),COLUMN()),"")</f>
        <v>0</v>
      </c>
      <c r="K148">
        <f>IFERROR(INDEX(装备库!$A$2:$Y$1047,MATCH(ROW()-1,装备库!$AO$2:$AO$1046,0),COLUMN()),"")</f>
        <v>0</v>
      </c>
      <c r="L148">
        <f>IFERROR(INDEX(装备库!$A$2:$Y$1047,MATCH(ROW()-1,装备库!$AO$2:$AO$1046,0),COLUMN()),"")</f>
        <v>561</v>
      </c>
      <c r="M148">
        <f>IFERROR(INDEX(装备库!$A$2:$Y$1047,MATCH(ROW()-1,装备库!$AO$2:$AO$1046,0),COLUMN()),"")</f>
        <v>0</v>
      </c>
      <c r="N148">
        <f>IFERROR(INDEX(装备库!$A$2:$Y$1047,MATCH(ROW()-1,装备库!$AO$2:$AO$1046,0),COLUMN()),"")</f>
        <v>0</v>
      </c>
      <c r="O148">
        <f>IFERROR(INDEX(装备库!$A$2:$Y$1047,MATCH(ROW()-1,装备库!$AO$2:$AO$1046,0),COLUMN()),"")</f>
        <v>0</v>
      </c>
      <c r="P148">
        <f>IFERROR(INDEX(装备库!$A$2:$Y$1047,MATCH(ROW()-1,装备库!$AO$2:$AO$1046,0),COLUMN()),"")</f>
        <v>0</v>
      </c>
      <c r="Q148">
        <f>IFERROR(INDEX(装备库!$A$2:$Y$1047,MATCH(ROW()-1,装备库!$AO$2:$AO$1046,0),COLUMN()),"")</f>
        <v>0</v>
      </c>
      <c r="R148">
        <f>IFERROR(INDEX(装备库!$A$2:$Y$1047,MATCH(ROW()-1,装备库!$AO$2:$AO$1046,0),COLUMN()),"")</f>
        <v>0</v>
      </c>
      <c r="S148">
        <f>IFERROR(INDEX(装备库!$A$2:$Y$1047,MATCH(ROW()-1,装备库!$AO$2:$AO$1046,0),COLUMN()),"")</f>
        <v>0</v>
      </c>
      <c r="T148">
        <f>IFERROR(INDEX(装备库!$A$2:$Y$1047,MATCH(ROW()-1,装备库!$AO$2:$AO$1046,0),COLUMN()),"")</f>
        <v>0</v>
      </c>
      <c r="U148">
        <f>IFERROR(INDEX(装备库!$A$2:$Y$1047,MATCH(ROW()-1,装备库!$AO$2:$AO$1046,0),COLUMN()),"")</f>
        <v>0</v>
      </c>
      <c r="V148">
        <f>IFERROR(INDEX(装备库!$A$2:$Y$1047,MATCH(ROW()-1,装备库!$AO$2:$AO$1046,0),COLUMN()),"")</f>
        <v>0</v>
      </c>
      <c r="W148" t="str">
        <f>IFERROR(INDEX(装备库!$A$2:$Y$1047,MATCH(ROW()-1,装备库!$AO$2:$AO$1046,0),COLUMN()),"")</f>
        <v>大橙武</v>
      </c>
      <c r="X148">
        <f>IFERROR(INDEX(装备库!$A$2:$Y$1047,MATCH(ROW()-1,装备库!$AO$2:$AO$1046,0),COLUMN()),"")</f>
        <v>8</v>
      </c>
      <c r="Y148" t="str">
        <f>IFERROR(INDEX(装备库!$A$2:$Y$1047,MATCH(ROW()-1,装备库!$AO$2:$AO$1046,0),COLUMN()),"")</f>
        <v>任务</v>
      </c>
    </row>
    <row r="149" spans="1:25" x14ac:dyDescent="0.35">
      <c r="A149" t="str">
        <f>IFERROR(INDEX(装备库!$A$2:$Y$1047,MATCH(ROW()-1,装备库!$AO$2:$AO$1046,0),COLUMN()),"")</f>
        <v>戒指</v>
      </c>
      <c r="B149" t="str">
        <f>IFERROR(INDEX(装备库!$A$2:$Y$1047,MATCH(ROW()-1,装备库!$AO$2:$AO$1046,0),COLUMN()),"")</f>
        <v>碧天长·泽</v>
      </c>
      <c r="C149">
        <f>IFERROR(INDEX(装备库!$A$2:$Y$1047,MATCH(ROW()-1,装备库!$AO$2:$AO$1046,0),COLUMN()),"")</f>
        <v>8400</v>
      </c>
      <c r="D149" t="str">
        <f>IFERROR(INDEX(装备库!$A$2:$Y$1047,MATCH(ROW()-1,装备库!$AO$2:$AO$1046,0),COLUMN()),"")</f>
        <v>碧天长·泽(8400大橙武)</v>
      </c>
      <c r="E149">
        <f>IFERROR(INDEX(装备库!$A$2:$Y$1047,MATCH(ROW()-1,装备库!$AO$2:$AO$1046,0),COLUMN()),"")</f>
        <v>407</v>
      </c>
      <c r="F149">
        <f>IFERROR(INDEX(装备库!$A$2:$Y$1047,MATCH(ROW()-1,装备库!$AO$2:$AO$1046,0),COLUMN()),"")</f>
        <v>559</v>
      </c>
      <c r="G149">
        <f>IFERROR(INDEX(装备库!$A$2:$Y$1047,MATCH(ROW()-1,装备库!$AO$2:$AO$1046,0),COLUMN()),"")</f>
        <v>852</v>
      </c>
      <c r="H149">
        <f>IFERROR(INDEX(装备库!$A$2:$Y$1047,MATCH(ROW()-1,装备库!$AO$2:$AO$1046,0),COLUMN()),"")</f>
        <v>0</v>
      </c>
      <c r="I149">
        <f>IFERROR(INDEX(装备库!$A$2:$Y$1047,MATCH(ROW()-1,装备库!$AO$2:$AO$1046,0),COLUMN()),"")</f>
        <v>852</v>
      </c>
      <c r="J149">
        <f>IFERROR(INDEX(装备库!$A$2:$Y$1047,MATCH(ROW()-1,装备库!$AO$2:$AO$1046,0),COLUMN()),"")</f>
        <v>0</v>
      </c>
      <c r="K149">
        <f>IFERROR(INDEX(装备库!$A$2:$Y$1047,MATCH(ROW()-1,装备库!$AO$2:$AO$1046,0),COLUMN()),"")</f>
        <v>0</v>
      </c>
      <c r="L149">
        <f>IFERROR(INDEX(装备库!$A$2:$Y$1047,MATCH(ROW()-1,装备库!$AO$2:$AO$1046,0),COLUMN()),"")</f>
        <v>568</v>
      </c>
      <c r="M149">
        <f>IFERROR(INDEX(装备库!$A$2:$Y$1047,MATCH(ROW()-1,装备库!$AO$2:$AO$1046,0),COLUMN()),"")</f>
        <v>0</v>
      </c>
      <c r="N149">
        <f>IFERROR(INDEX(装备库!$A$2:$Y$1047,MATCH(ROW()-1,装备库!$AO$2:$AO$1046,0),COLUMN()),"")</f>
        <v>0</v>
      </c>
      <c r="O149">
        <f>IFERROR(INDEX(装备库!$A$2:$Y$1047,MATCH(ROW()-1,装备库!$AO$2:$AO$1046,0),COLUMN()),"")</f>
        <v>0</v>
      </c>
      <c r="P149">
        <f>IFERROR(INDEX(装备库!$A$2:$Y$1047,MATCH(ROW()-1,装备库!$AO$2:$AO$1046,0),COLUMN()),"")</f>
        <v>0</v>
      </c>
      <c r="Q149">
        <f>IFERROR(INDEX(装备库!$A$2:$Y$1047,MATCH(ROW()-1,装备库!$AO$2:$AO$1046,0),COLUMN()),"")</f>
        <v>0</v>
      </c>
      <c r="R149">
        <f>IFERROR(INDEX(装备库!$A$2:$Y$1047,MATCH(ROW()-1,装备库!$AO$2:$AO$1046,0),COLUMN()),"")</f>
        <v>0</v>
      </c>
      <c r="S149">
        <f>IFERROR(INDEX(装备库!$A$2:$Y$1047,MATCH(ROW()-1,装备库!$AO$2:$AO$1046,0),COLUMN()),"")</f>
        <v>0</v>
      </c>
      <c r="T149">
        <f>IFERROR(INDEX(装备库!$A$2:$Y$1047,MATCH(ROW()-1,装备库!$AO$2:$AO$1046,0),COLUMN()),"")</f>
        <v>0</v>
      </c>
      <c r="U149">
        <f>IFERROR(INDEX(装备库!$A$2:$Y$1047,MATCH(ROW()-1,装备库!$AO$2:$AO$1046,0),COLUMN()),"")</f>
        <v>0</v>
      </c>
      <c r="V149">
        <f>IFERROR(INDEX(装备库!$A$2:$Y$1047,MATCH(ROW()-1,装备库!$AO$2:$AO$1046,0),COLUMN()),"")</f>
        <v>0</v>
      </c>
      <c r="W149" t="str">
        <f>IFERROR(INDEX(装备库!$A$2:$Y$1047,MATCH(ROW()-1,装备库!$AO$2:$AO$1046,0),COLUMN()),"")</f>
        <v>大橙武</v>
      </c>
      <c r="X149">
        <f>IFERROR(INDEX(装备库!$A$2:$Y$1047,MATCH(ROW()-1,装备库!$AO$2:$AO$1046,0),COLUMN()),"")</f>
        <v>8</v>
      </c>
      <c r="Y149" t="str">
        <f>IFERROR(INDEX(装备库!$A$2:$Y$1047,MATCH(ROW()-1,装备库!$AO$2:$AO$1046,0),COLUMN()),"")</f>
        <v>任务</v>
      </c>
    </row>
    <row r="150" spans="1:25" x14ac:dyDescent="0.35">
      <c r="A150" t="str">
        <f>IFERROR(INDEX(装备库!$A$2:$Y$1047,MATCH(ROW()-1,装备库!$AO$2:$AO$1046,0),COLUMN()),"")</f>
        <v>戒指</v>
      </c>
      <c r="B150" t="str">
        <f>IFERROR(INDEX(装备库!$A$2:$Y$1047,MATCH(ROW()-1,装备库!$AO$2:$AO$1046,0),COLUMN()),"")</f>
        <v>少雪戒</v>
      </c>
      <c r="C150">
        <f>IFERROR(INDEX(装备库!$A$2:$Y$1047,MATCH(ROW()-1,装备库!$AO$2:$AO$1046,0),COLUMN()),"")</f>
        <v>8600</v>
      </c>
      <c r="D150" t="str">
        <f>IFERROR(INDEX(装备库!$A$2:$Y$1047,MATCH(ROW()-1,装备库!$AO$2:$AO$1046,0),COLUMN()),"")</f>
        <v>少雪戒(8600力道纯速)</v>
      </c>
      <c r="E150">
        <f>IFERROR(INDEX(装备库!$A$2:$Y$1047,MATCH(ROW()-1,装备库!$AO$2:$AO$1046,0),COLUMN()),"")</f>
        <v>375</v>
      </c>
      <c r="F150">
        <f>IFERROR(INDEX(装备库!$A$2:$Y$1047,MATCH(ROW()-1,装备库!$AO$2:$AO$1046,0),COLUMN()),"")</f>
        <v>749</v>
      </c>
      <c r="G150">
        <f>IFERROR(INDEX(装备库!$A$2:$Y$1047,MATCH(ROW()-1,装备库!$AO$2:$AO$1046,0),COLUMN()),"")</f>
        <v>0</v>
      </c>
      <c r="H150">
        <f>IFERROR(INDEX(装备库!$A$2:$Y$1047,MATCH(ROW()-1,装备库!$AO$2:$AO$1046,0),COLUMN()),"")</f>
        <v>0</v>
      </c>
      <c r="I150">
        <f>IFERROR(INDEX(装备库!$A$2:$Y$1047,MATCH(ROW()-1,装备库!$AO$2:$AO$1046,0),COLUMN()),"")</f>
        <v>0</v>
      </c>
      <c r="J150">
        <f>IFERROR(INDEX(装备库!$A$2:$Y$1047,MATCH(ROW()-1,装备库!$AO$2:$AO$1046,0),COLUMN()),"")</f>
        <v>0</v>
      </c>
      <c r="K150">
        <f>IFERROR(INDEX(装备库!$A$2:$Y$1047,MATCH(ROW()-1,装备库!$AO$2:$AO$1046,0),COLUMN()),"")</f>
        <v>0</v>
      </c>
      <c r="L150">
        <f>IFERROR(INDEX(装备库!$A$2:$Y$1047,MATCH(ROW()-1,装备库!$AO$2:$AO$1046,0),COLUMN()),"")</f>
        <v>1925</v>
      </c>
      <c r="M150">
        <f>IFERROR(INDEX(装备库!$A$2:$Y$1047,MATCH(ROW()-1,装备库!$AO$2:$AO$1046,0),COLUMN()),"")</f>
        <v>0</v>
      </c>
      <c r="N150">
        <f>IFERROR(INDEX(装备库!$A$2:$Y$1047,MATCH(ROW()-1,装备库!$AO$2:$AO$1046,0),COLUMN()),"")</f>
        <v>0</v>
      </c>
      <c r="O150">
        <f>IFERROR(INDEX(装备库!$A$2:$Y$1047,MATCH(ROW()-1,装备库!$AO$2:$AO$1046,0),COLUMN()),"")</f>
        <v>0</v>
      </c>
      <c r="P150">
        <f>IFERROR(INDEX(装备库!$A$2:$Y$1047,MATCH(ROW()-1,装备库!$AO$2:$AO$1046,0),COLUMN()),"")</f>
        <v>0</v>
      </c>
      <c r="Q150">
        <f>IFERROR(INDEX(装备库!$A$2:$Y$1047,MATCH(ROW()-1,装备库!$AO$2:$AO$1046,0),COLUMN()),"")</f>
        <v>0</v>
      </c>
      <c r="R150">
        <f>IFERROR(INDEX(装备库!$A$2:$Y$1047,MATCH(ROW()-1,装备库!$AO$2:$AO$1046,0),COLUMN()),"")</f>
        <v>0</v>
      </c>
      <c r="S150">
        <f>IFERROR(INDEX(装备库!$A$2:$Y$1047,MATCH(ROW()-1,装备库!$AO$2:$AO$1046,0),COLUMN()),"")</f>
        <v>0</v>
      </c>
      <c r="T150">
        <f>IFERROR(INDEX(装备库!$A$2:$Y$1047,MATCH(ROW()-1,装备库!$AO$2:$AO$1046,0),COLUMN()),"")</f>
        <v>0</v>
      </c>
      <c r="U150">
        <f>IFERROR(INDEX(装备库!$A$2:$Y$1047,MATCH(ROW()-1,装备库!$AO$2:$AO$1046,0),COLUMN()),"")</f>
        <v>0</v>
      </c>
      <c r="V150">
        <f>IFERROR(INDEX(装备库!$A$2:$Y$1047,MATCH(ROW()-1,装备库!$AO$2:$AO$1046,0),COLUMN()),"")</f>
        <v>0</v>
      </c>
      <c r="W150" t="str">
        <f>IFERROR(INDEX(装备库!$A$2:$Y$1047,MATCH(ROW()-1,装备库!$AO$2:$AO$1046,0),COLUMN()),"")</f>
        <v>力道纯速</v>
      </c>
      <c r="X150">
        <f>IFERROR(INDEX(装备库!$A$2:$Y$1047,MATCH(ROW()-1,装备库!$AO$2:$AO$1046,0),COLUMN()),"")</f>
        <v>6</v>
      </c>
      <c r="Y150" t="str">
        <f>IFERROR(INDEX(装备库!$A$2:$Y$1047,MATCH(ROW()-1,装备库!$AO$2:$AO$1046,0),COLUMN()),"")</f>
        <v>精英怪</v>
      </c>
    </row>
    <row r="151" spans="1:25" x14ac:dyDescent="0.35">
      <c r="A151" t="str">
        <f>IFERROR(INDEX(装备库!$A$2:$Y$1047,MATCH(ROW()-1,装备库!$AO$2:$AO$1046,0),COLUMN()),"")</f>
        <v>戒指</v>
      </c>
      <c r="B151" t="str">
        <f>IFERROR(INDEX(装备库!$A$2:$Y$1047,MATCH(ROW()-1,装备库!$AO$2:$AO$1046,0),COLUMN()),"")</f>
        <v>临尚戒</v>
      </c>
      <c r="C151">
        <f>IFERROR(INDEX(装备库!$A$2:$Y$1047,MATCH(ROW()-1,装备库!$AO$2:$AO$1046,0),COLUMN()),"")</f>
        <v>8800</v>
      </c>
      <c r="D151" t="str">
        <f>IFERROR(INDEX(装备库!$A$2:$Y$1047,MATCH(ROW()-1,装备库!$AO$2:$AO$1046,0),COLUMN()),"")</f>
        <v>临尚戒(8800会无)</v>
      </c>
      <c r="E151">
        <f>IFERROR(INDEX(装备库!$A$2:$Y$1047,MATCH(ROW()-1,装备库!$AO$2:$AO$1046,0),COLUMN()),"")</f>
        <v>307</v>
      </c>
      <c r="F151">
        <f>IFERROR(INDEX(装备库!$A$2:$Y$1047,MATCH(ROW()-1,装备库!$AO$2:$AO$1046,0),COLUMN()),"")</f>
        <v>498</v>
      </c>
      <c r="G151">
        <f>IFERROR(INDEX(装备库!$A$2:$Y$1047,MATCH(ROW()-1,装备库!$AO$2:$AO$1046,0),COLUMN()),"")</f>
        <v>1542</v>
      </c>
      <c r="H151">
        <f>IFERROR(INDEX(装备库!$A$2:$Y$1047,MATCH(ROW()-1,装备库!$AO$2:$AO$1046,0),COLUMN()),"")</f>
        <v>0</v>
      </c>
      <c r="I151">
        <f>IFERROR(INDEX(装备库!$A$2:$Y$1047,MATCH(ROW()-1,装备库!$AO$2:$AO$1046,0),COLUMN()),"")</f>
        <v>0</v>
      </c>
      <c r="J151">
        <f>IFERROR(INDEX(装备库!$A$2:$Y$1047,MATCH(ROW()-1,装备库!$AO$2:$AO$1046,0),COLUMN()),"")</f>
        <v>0</v>
      </c>
      <c r="K151">
        <f>IFERROR(INDEX(装备库!$A$2:$Y$1047,MATCH(ROW()-1,装备库!$AO$2:$AO$1046,0),COLUMN()),"")</f>
        <v>1370</v>
      </c>
      <c r="L151">
        <f>IFERROR(INDEX(装备库!$A$2:$Y$1047,MATCH(ROW()-1,装备库!$AO$2:$AO$1046,0),COLUMN()),"")</f>
        <v>0</v>
      </c>
      <c r="M151">
        <f>IFERROR(INDEX(装备库!$A$2:$Y$1047,MATCH(ROW()-1,装备库!$AO$2:$AO$1046,0),COLUMN()),"")</f>
        <v>0</v>
      </c>
      <c r="N151">
        <f>IFERROR(INDEX(装备库!$A$2:$Y$1047,MATCH(ROW()-1,装备库!$AO$2:$AO$1046,0),COLUMN()),"")</f>
        <v>0</v>
      </c>
      <c r="O151">
        <f>IFERROR(INDEX(装备库!$A$2:$Y$1047,MATCH(ROW()-1,装备库!$AO$2:$AO$1046,0),COLUMN()),"")</f>
        <v>0</v>
      </c>
      <c r="P151">
        <f>IFERROR(INDEX(装备库!$A$2:$Y$1047,MATCH(ROW()-1,装备库!$AO$2:$AO$1046,0),COLUMN()),"")</f>
        <v>0</v>
      </c>
      <c r="Q151">
        <f>IFERROR(INDEX(装备库!$A$2:$Y$1047,MATCH(ROW()-1,装备库!$AO$2:$AO$1046,0),COLUMN()),"")</f>
        <v>0</v>
      </c>
      <c r="R151">
        <f>IFERROR(INDEX(装备库!$A$2:$Y$1047,MATCH(ROW()-1,装备库!$AO$2:$AO$1046,0),COLUMN()),"")</f>
        <v>0</v>
      </c>
      <c r="S151">
        <f>IFERROR(INDEX(装备库!$A$2:$Y$1047,MATCH(ROW()-1,装备库!$AO$2:$AO$1046,0),COLUMN()),"")</f>
        <v>0</v>
      </c>
      <c r="T151">
        <f>IFERROR(INDEX(装备库!$A$2:$Y$1047,MATCH(ROW()-1,装备库!$AO$2:$AO$1046,0),COLUMN()),"")</f>
        <v>0</v>
      </c>
      <c r="U151">
        <f>IFERROR(INDEX(装备库!$A$2:$Y$1047,MATCH(ROW()-1,装备库!$AO$2:$AO$1046,0),COLUMN()),"")</f>
        <v>0</v>
      </c>
      <c r="V151">
        <f>IFERROR(INDEX(装备库!$A$2:$Y$1047,MATCH(ROW()-1,装备库!$AO$2:$AO$1046,0),COLUMN()),"")</f>
        <v>0</v>
      </c>
      <c r="W151" t="str">
        <f>IFERROR(INDEX(装备库!$A$2:$Y$1047,MATCH(ROW()-1,装备库!$AO$2:$AO$1046,0),COLUMN()),"")</f>
        <v>会无</v>
      </c>
      <c r="X151">
        <f>IFERROR(INDEX(装备库!$A$2:$Y$1047,MATCH(ROW()-1,装备库!$AO$2:$AO$1046,0),COLUMN()),"")</f>
        <v>6</v>
      </c>
      <c r="Y151" t="str">
        <f>IFERROR(INDEX(装备库!$A$2:$Y$1047,MATCH(ROW()-1,装备库!$AO$2:$AO$1046,0),COLUMN()),"")</f>
        <v>声望</v>
      </c>
    </row>
    <row r="152" spans="1:25" x14ac:dyDescent="0.35">
      <c r="A152" t="str">
        <f>IFERROR(INDEX(装备库!$A$2:$Y$1047,MATCH(ROW()-1,装备库!$AO$2:$AO$1046,0),COLUMN()),"")</f>
        <v>戒指</v>
      </c>
      <c r="B152" t="str">
        <f>IFERROR(INDEX(装备库!$A$2:$Y$1047,MATCH(ROW()-1,装备库!$AO$2:$AO$1046,0),COLUMN()),"")</f>
        <v>画楼戒</v>
      </c>
      <c r="C152">
        <f>IFERROR(INDEX(装备库!$A$2:$Y$1047,MATCH(ROW()-1,装备库!$AO$2:$AO$1046,0),COLUMN()),"")</f>
        <v>8800</v>
      </c>
      <c r="D152" t="str">
        <f>IFERROR(INDEX(装备库!$A$2:$Y$1047,MATCH(ROW()-1,装备库!$AO$2:$AO$1046,0),COLUMN()),"")</f>
        <v>画楼戒(8800会无)</v>
      </c>
      <c r="E152">
        <f>IFERROR(INDEX(装备库!$A$2:$Y$1047,MATCH(ROW()-1,装备库!$AO$2:$AO$1046,0),COLUMN()),"")</f>
        <v>307</v>
      </c>
      <c r="F152">
        <f>IFERROR(INDEX(装备库!$A$2:$Y$1047,MATCH(ROW()-1,装备库!$AO$2:$AO$1046,0),COLUMN()),"")</f>
        <v>498</v>
      </c>
      <c r="G152">
        <f>IFERROR(INDEX(装备库!$A$2:$Y$1047,MATCH(ROW()-1,装备库!$AO$2:$AO$1046,0),COLUMN()),"")</f>
        <v>1542</v>
      </c>
      <c r="H152">
        <f>IFERROR(INDEX(装备库!$A$2:$Y$1047,MATCH(ROW()-1,装备库!$AO$2:$AO$1046,0),COLUMN()),"")</f>
        <v>0</v>
      </c>
      <c r="I152">
        <f>IFERROR(INDEX(装备库!$A$2:$Y$1047,MATCH(ROW()-1,装备库!$AO$2:$AO$1046,0),COLUMN()),"")</f>
        <v>0</v>
      </c>
      <c r="J152">
        <f>IFERROR(INDEX(装备库!$A$2:$Y$1047,MATCH(ROW()-1,装备库!$AO$2:$AO$1046,0),COLUMN()),"")</f>
        <v>0</v>
      </c>
      <c r="K152">
        <f>IFERROR(INDEX(装备库!$A$2:$Y$1047,MATCH(ROW()-1,装备库!$AO$2:$AO$1046,0),COLUMN()),"")</f>
        <v>1370</v>
      </c>
      <c r="L152">
        <f>IFERROR(INDEX(装备库!$A$2:$Y$1047,MATCH(ROW()-1,装备库!$AO$2:$AO$1046,0),COLUMN()),"")</f>
        <v>0</v>
      </c>
      <c r="M152">
        <f>IFERROR(INDEX(装备库!$A$2:$Y$1047,MATCH(ROW()-1,装备库!$AO$2:$AO$1046,0),COLUMN()),"")</f>
        <v>0</v>
      </c>
      <c r="N152">
        <f>IFERROR(INDEX(装备库!$A$2:$Y$1047,MATCH(ROW()-1,装备库!$AO$2:$AO$1046,0),COLUMN()),"")</f>
        <v>0</v>
      </c>
      <c r="O152">
        <f>IFERROR(INDEX(装备库!$A$2:$Y$1047,MATCH(ROW()-1,装备库!$AO$2:$AO$1046,0),COLUMN()),"")</f>
        <v>0</v>
      </c>
      <c r="P152">
        <f>IFERROR(INDEX(装备库!$A$2:$Y$1047,MATCH(ROW()-1,装备库!$AO$2:$AO$1046,0),COLUMN()),"")</f>
        <v>0</v>
      </c>
      <c r="Q152">
        <f>IFERROR(INDEX(装备库!$A$2:$Y$1047,MATCH(ROW()-1,装备库!$AO$2:$AO$1046,0),COLUMN()),"")</f>
        <v>0</v>
      </c>
      <c r="R152">
        <f>IFERROR(INDEX(装备库!$A$2:$Y$1047,MATCH(ROW()-1,装备库!$AO$2:$AO$1046,0),COLUMN()),"")</f>
        <v>0</v>
      </c>
      <c r="S152">
        <f>IFERROR(INDEX(装备库!$A$2:$Y$1047,MATCH(ROW()-1,装备库!$AO$2:$AO$1046,0),COLUMN()),"")</f>
        <v>0</v>
      </c>
      <c r="T152">
        <f>IFERROR(INDEX(装备库!$A$2:$Y$1047,MATCH(ROW()-1,装备库!$AO$2:$AO$1046,0),COLUMN()),"")</f>
        <v>0</v>
      </c>
      <c r="U152">
        <f>IFERROR(INDEX(装备库!$A$2:$Y$1047,MATCH(ROW()-1,装备库!$AO$2:$AO$1046,0),COLUMN()),"")</f>
        <v>0</v>
      </c>
      <c r="V152">
        <f>IFERROR(INDEX(装备库!$A$2:$Y$1047,MATCH(ROW()-1,装备库!$AO$2:$AO$1046,0),COLUMN()),"")</f>
        <v>0</v>
      </c>
      <c r="W152" t="str">
        <f>IFERROR(INDEX(装备库!$A$2:$Y$1047,MATCH(ROW()-1,装备库!$AO$2:$AO$1046,0),COLUMN()),"")</f>
        <v>会无</v>
      </c>
      <c r="X152">
        <f>IFERROR(INDEX(装备库!$A$2:$Y$1047,MATCH(ROW()-1,装备库!$AO$2:$AO$1046,0),COLUMN()),"")</f>
        <v>6</v>
      </c>
      <c r="Y152" t="str">
        <f>IFERROR(INDEX(装备库!$A$2:$Y$1047,MATCH(ROW()-1,装备库!$AO$2:$AO$1046,0),COLUMN()),"")</f>
        <v>任务</v>
      </c>
    </row>
    <row r="153" spans="1:25" x14ac:dyDescent="0.35">
      <c r="A153" t="str">
        <f>IFERROR(INDEX(装备库!$A$2:$Y$1047,MATCH(ROW()-1,装备库!$AO$2:$AO$1046,0),COLUMN()),"")</f>
        <v>戒指</v>
      </c>
      <c r="B153" t="str">
        <f>IFERROR(INDEX(装备库!$A$2:$Y$1047,MATCH(ROW()-1,装备库!$AO$2:$AO$1046,0),COLUMN()),"")</f>
        <v>分石戒</v>
      </c>
      <c r="C153">
        <f>IFERROR(INDEX(装备库!$A$2:$Y$1047,MATCH(ROW()-1,装备库!$AO$2:$AO$1046,0),COLUMN()),"")</f>
        <v>9100</v>
      </c>
      <c r="D153" t="str">
        <f>IFERROR(INDEX(装备库!$A$2:$Y$1047,MATCH(ROW()-1,装备库!$AO$2:$AO$1046,0),COLUMN()),"")</f>
        <v>分石戒(9100破无)</v>
      </c>
      <c r="E153">
        <f>IFERROR(INDEX(装备库!$A$2:$Y$1047,MATCH(ROW()-1,装备库!$AO$2:$AO$1046,0),COLUMN()),"")</f>
        <v>318</v>
      </c>
      <c r="F153">
        <f>IFERROR(INDEX(装备库!$A$2:$Y$1047,MATCH(ROW()-1,装备库!$AO$2:$AO$1046,0),COLUMN()),"")</f>
        <v>515</v>
      </c>
      <c r="G153">
        <f>IFERROR(INDEX(装备库!$A$2:$Y$1047,MATCH(ROW()-1,装备库!$AO$2:$AO$1046,0),COLUMN()),"")</f>
        <v>0</v>
      </c>
      <c r="H153">
        <f>IFERROR(INDEX(装备库!$A$2:$Y$1047,MATCH(ROW()-1,装备库!$AO$2:$AO$1046,0),COLUMN()),"")</f>
        <v>0</v>
      </c>
      <c r="I153">
        <f>IFERROR(INDEX(装备库!$A$2:$Y$1047,MATCH(ROW()-1,装备库!$AO$2:$AO$1046,0),COLUMN()),"")</f>
        <v>1594</v>
      </c>
      <c r="J153">
        <f>IFERROR(INDEX(装备库!$A$2:$Y$1047,MATCH(ROW()-1,装备库!$AO$2:$AO$1046,0),COLUMN()),"")</f>
        <v>0</v>
      </c>
      <c r="K153">
        <f>IFERROR(INDEX(装备库!$A$2:$Y$1047,MATCH(ROW()-1,装备库!$AO$2:$AO$1046,0),COLUMN()),"")</f>
        <v>1417</v>
      </c>
      <c r="L153">
        <f>IFERROR(INDEX(装备库!$A$2:$Y$1047,MATCH(ROW()-1,装备库!$AO$2:$AO$1046,0),COLUMN()),"")</f>
        <v>0</v>
      </c>
      <c r="M153">
        <f>IFERROR(INDEX(装备库!$A$2:$Y$1047,MATCH(ROW()-1,装备库!$AO$2:$AO$1046,0),COLUMN()),"")</f>
        <v>0</v>
      </c>
      <c r="N153">
        <f>IFERROR(INDEX(装备库!$A$2:$Y$1047,MATCH(ROW()-1,装备库!$AO$2:$AO$1046,0),COLUMN()),"")</f>
        <v>0</v>
      </c>
      <c r="O153">
        <f>IFERROR(INDEX(装备库!$A$2:$Y$1047,MATCH(ROW()-1,装备库!$AO$2:$AO$1046,0),COLUMN()),"")</f>
        <v>0</v>
      </c>
      <c r="P153">
        <f>IFERROR(INDEX(装备库!$A$2:$Y$1047,MATCH(ROW()-1,装备库!$AO$2:$AO$1046,0),COLUMN()),"")</f>
        <v>0</v>
      </c>
      <c r="Q153">
        <f>IFERROR(INDEX(装备库!$A$2:$Y$1047,MATCH(ROW()-1,装备库!$AO$2:$AO$1046,0),COLUMN()),"")</f>
        <v>0</v>
      </c>
      <c r="R153">
        <f>IFERROR(INDEX(装备库!$A$2:$Y$1047,MATCH(ROW()-1,装备库!$AO$2:$AO$1046,0),COLUMN()),"")</f>
        <v>0</v>
      </c>
      <c r="S153">
        <f>IFERROR(INDEX(装备库!$A$2:$Y$1047,MATCH(ROW()-1,装备库!$AO$2:$AO$1046,0),COLUMN()),"")</f>
        <v>0</v>
      </c>
      <c r="T153">
        <f>IFERROR(INDEX(装备库!$A$2:$Y$1047,MATCH(ROW()-1,装备库!$AO$2:$AO$1046,0),COLUMN()),"")</f>
        <v>0</v>
      </c>
      <c r="U153">
        <f>IFERROR(INDEX(装备库!$A$2:$Y$1047,MATCH(ROW()-1,装备库!$AO$2:$AO$1046,0),COLUMN()),"")</f>
        <v>0</v>
      </c>
      <c r="V153">
        <f>IFERROR(INDEX(装备库!$A$2:$Y$1047,MATCH(ROW()-1,装备库!$AO$2:$AO$1046,0),COLUMN()),"")</f>
        <v>0</v>
      </c>
      <c r="W153" t="str">
        <f>IFERROR(INDEX(装备库!$A$2:$Y$1047,MATCH(ROW()-1,装备库!$AO$2:$AO$1046,0),COLUMN()),"")</f>
        <v>破无</v>
      </c>
      <c r="X153">
        <f>IFERROR(INDEX(装备库!$A$2:$Y$1047,MATCH(ROW()-1,装备库!$AO$2:$AO$1046,0),COLUMN()),"")</f>
        <v>6</v>
      </c>
      <c r="Y153" t="str">
        <f>IFERROR(INDEX(装备库!$A$2:$Y$1047,MATCH(ROW()-1,装备库!$AO$2:$AO$1046,0),COLUMN()),"")</f>
        <v>副本</v>
      </c>
    </row>
    <row r="154" spans="1:25" x14ac:dyDescent="0.35">
      <c r="A154" t="str">
        <f>IFERROR(INDEX(装备库!$A$2:$Y$1047,MATCH(ROW()-1,装备库!$AO$2:$AO$1046,0),COLUMN()),"")</f>
        <v>戒指</v>
      </c>
      <c r="B154" t="str">
        <f>IFERROR(INDEX(装备库!$A$2:$Y$1047,MATCH(ROW()-1,装备库!$AO$2:$AO$1046,0),COLUMN()),"")</f>
        <v>碧天长·泽</v>
      </c>
      <c r="C154">
        <f>IFERROR(INDEX(装备库!$A$2:$Y$1047,MATCH(ROW()-1,装备库!$AO$2:$AO$1046,0),COLUMN()),"")</f>
        <v>9300</v>
      </c>
      <c r="D154" t="str">
        <f>IFERROR(INDEX(装备库!$A$2:$Y$1047,MATCH(ROW()-1,装备库!$AO$2:$AO$1046,0),COLUMN()),"")</f>
        <v>碧天长·泽(9300大橙武)</v>
      </c>
      <c r="E154">
        <f>IFERROR(INDEX(装备库!$A$2:$Y$1047,MATCH(ROW()-1,装备库!$AO$2:$AO$1046,0),COLUMN()),"")</f>
        <v>451</v>
      </c>
      <c r="F154">
        <f>IFERROR(INDEX(装备库!$A$2:$Y$1047,MATCH(ROW()-1,装备库!$AO$2:$AO$1046,0),COLUMN()),"")</f>
        <v>619</v>
      </c>
      <c r="G154">
        <f>IFERROR(INDEX(装备库!$A$2:$Y$1047,MATCH(ROW()-1,装备库!$AO$2:$AO$1046,0),COLUMN()),"")</f>
        <v>943</v>
      </c>
      <c r="H154">
        <f>IFERROR(INDEX(装备库!$A$2:$Y$1047,MATCH(ROW()-1,装备库!$AO$2:$AO$1046,0),COLUMN()),"")</f>
        <v>0</v>
      </c>
      <c r="I154">
        <f>IFERROR(INDEX(装备库!$A$2:$Y$1047,MATCH(ROW()-1,装备库!$AO$2:$AO$1046,0),COLUMN()),"")</f>
        <v>943</v>
      </c>
      <c r="J154">
        <f>IFERROR(INDEX(装备库!$A$2:$Y$1047,MATCH(ROW()-1,装备库!$AO$2:$AO$1046,0),COLUMN()),"")</f>
        <v>0</v>
      </c>
      <c r="K154">
        <f>IFERROR(INDEX(装备库!$A$2:$Y$1047,MATCH(ROW()-1,装备库!$AO$2:$AO$1046,0),COLUMN()),"")</f>
        <v>0</v>
      </c>
      <c r="L154">
        <f>IFERROR(INDEX(装备库!$A$2:$Y$1047,MATCH(ROW()-1,装备库!$AO$2:$AO$1046,0),COLUMN()),"")</f>
        <v>629</v>
      </c>
      <c r="M154">
        <f>IFERROR(INDEX(装备库!$A$2:$Y$1047,MATCH(ROW()-1,装备库!$AO$2:$AO$1046,0),COLUMN()),"")</f>
        <v>0</v>
      </c>
      <c r="N154">
        <f>IFERROR(INDEX(装备库!$A$2:$Y$1047,MATCH(ROW()-1,装备库!$AO$2:$AO$1046,0),COLUMN()),"")</f>
        <v>0</v>
      </c>
      <c r="O154">
        <f>IFERROR(INDEX(装备库!$A$2:$Y$1047,MATCH(ROW()-1,装备库!$AO$2:$AO$1046,0),COLUMN()),"")</f>
        <v>0</v>
      </c>
      <c r="P154">
        <f>IFERROR(INDEX(装备库!$A$2:$Y$1047,MATCH(ROW()-1,装备库!$AO$2:$AO$1046,0),COLUMN()),"")</f>
        <v>0</v>
      </c>
      <c r="Q154">
        <f>IFERROR(INDEX(装备库!$A$2:$Y$1047,MATCH(ROW()-1,装备库!$AO$2:$AO$1046,0),COLUMN()),"")</f>
        <v>0</v>
      </c>
      <c r="R154">
        <f>IFERROR(INDEX(装备库!$A$2:$Y$1047,MATCH(ROW()-1,装备库!$AO$2:$AO$1046,0),COLUMN()),"")</f>
        <v>0</v>
      </c>
      <c r="S154">
        <f>IFERROR(INDEX(装备库!$A$2:$Y$1047,MATCH(ROW()-1,装备库!$AO$2:$AO$1046,0),COLUMN()),"")</f>
        <v>0</v>
      </c>
      <c r="T154">
        <f>IFERROR(INDEX(装备库!$A$2:$Y$1047,MATCH(ROW()-1,装备库!$AO$2:$AO$1046,0),COLUMN()),"")</f>
        <v>0</v>
      </c>
      <c r="U154">
        <f>IFERROR(INDEX(装备库!$A$2:$Y$1047,MATCH(ROW()-1,装备库!$AO$2:$AO$1046,0),COLUMN()),"")</f>
        <v>0</v>
      </c>
      <c r="V154">
        <f>IFERROR(INDEX(装备库!$A$2:$Y$1047,MATCH(ROW()-1,装备库!$AO$2:$AO$1046,0),COLUMN()),"")</f>
        <v>0</v>
      </c>
      <c r="W154" t="str">
        <f>IFERROR(INDEX(装备库!$A$2:$Y$1047,MATCH(ROW()-1,装备库!$AO$2:$AO$1046,0),COLUMN()),"")</f>
        <v>大橙武</v>
      </c>
      <c r="X154">
        <f>IFERROR(INDEX(装备库!$A$2:$Y$1047,MATCH(ROW()-1,装备库!$AO$2:$AO$1046,0),COLUMN()),"")</f>
        <v>8</v>
      </c>
      <c r="Y154" t="str">
        <f>IFERROR(INDEX(装备库!$A$2:$Y$1047,MATCH(ROW()-1,装备库!$AO$2:$AO$1046,0),COLUMN()),"")</f>
        <v>任务</v>
      </c>
    </row>
    <row r="155" spans="1:25" x14ac:dyDescent="0.35">
      <c r="A155" t="str">
        <f>IFERROR(INDEX(装备库!$A$2:$Y$1047,MATCH(ROW()-1,装备库!$AO$2:$AO$1046,0),COLUMN()),"")</f>
        <v>戒指</v>
      </c>
      <c r="B155" t="str">
        <f>IFERROR(INDEX(装备库!$A$2:$Y$1047,MATCH(ROW()-1,装备库!$AO$2:$AO$1046,0),COLUMN()),"")</f>
        <v>临尚戒</v>
      </c>
      <c r="C155">
        <f>IFERROR(INDEX(装备库!$A$2:$Y$1047,MATCH(ROW()-1,装备库!$AO$2:$AO$1046,0),COLUMN()),"")</f>
        <v>9450</v>
      </c>
      <c r="D155" t="str">
        <f>IFERROR(INDEX(装备库!$A$2:$Y$1047,MATCH(ROW()-1,装备库!$AO$2:$AO$1046,0),COLUMN()),"")</f>
        <v>临尚戒(9450会无)</v>
      </c>
      <c r="E155">
        <f>IFERROR(INDEX(装备库!$A$2:$Y$1047,MATCH(ROW()-1,装备库!$AO$2:$AO$1046,0),COLUMN()),"")</f>
        <v>330</v>
      </c>
      <c r="F155">
        <f>IFERROR(INDEX(装备库!$A$2:$Y$1047,MATCH(ROW()-1,装备库!$AO$2:$AO$1046,0),COLUMN()),"")</f>
        <v>535</v>
      </c>
      <c r="G155">
        <f>IFERROR(INDEX(装备库!$A$2:$Y$1047,MATCH(ROW()-1,装备库!$AO$2:$AO$1046,0),COLUMN()),"")</f>
        <v>1655</v>
      </c>
      <c r="H155">
        <f>IFERROR(INDEX(装备库!$A$2:$Y$1047,MATCH(ROW()-1,装备库!$AO$2:$AO$1046,0),COLUMN()),"")</f>
        <v>0</v>
      </c>
      <c r="I155">
        <f>IFERROR(INDEX(装备库!$A$2:$Y$1047,MATCH(ROW()-1,装备库!$AO$2:$AO$1046,0),COLUMN()),"")</f>
        <v>0</v>
      </c>
      <c r="J155">
        <f>IFERROR(INDEX(装备库!$A$2:$Y$1047,MATCH(ROW()-1,装备库!$AO$2:$AO$1046,0),COLUMN()),"")</f>
        <v>0</v>
      </c>
      <c r="K155">
        <f>IFERROR(INDEX(装备库!$A$2:$Y$1047,MATCH(ROW()-1,装备库!$AO$2:$AO$1046,0),COLUMN()),"")</f>
        <v>1472</v>
      </c>
      <c r="L155">
        <f>IFERROR(INDEX(装备库!$A$2:$Y$1047,MATCH(ROW()-1,装备库!$AO$2:$AO$1046,0),COLUMN()),"")</f>
        <v>0</v>
      </c>
      <c r="M155">
        <f>IFERROR(INDEX(装备库!$A$2:$Y$1047,MATCH(ROW()-1,装备库!$AO$2:$AO$1046,0),COLUMN()),"")</f>
        <v>0</v>
      </c>
      <c r="N155">
        <f>IFERROR(INDEX(装备库!$A$2:$Y$1047,MATCH(ROW()-1,装备库!$AO$2:$AO$1046,0),COLUMN()),"")</f>
        <v>0</v>
      </c>
      <c r="O155">
        <f>IFERROR(INDEX(装备库!$A$2:$Y$1047,MATCH(ROW()-1,装备库!$AO$2:$AO$1046,0),COLUMN()),"")</f>
        <v>0</v>
      </c>
      <c r="P155">
        <f>IFERROR(INDEX(装备库!$A$2:$Y$1047,MATCH(ROW()-1,装备库!$AO$2:$AO$1046,0),COLUMN()),"")</f>
        <v>0</v>
      </c>
      <c r="Q155">
        <f>IFERROR(INDEX(装备库!$A$2:$Y$1047,MATCH(ROW()-1,装备库!$AO$2:$AO$1046,0),COLUMN()),"")</f>
        <v>0</v>
      </c>
      <c r="R155">
        <f>IFERROR(INDEX(装备库!$A$2:$Y$1047,MATCH(ROW()-1,装备库!$AO$2:$AO$1046,0),COLUMN()),"")</f>
        <v>0</v>
      </c>
      <c r="S155">
        <f>IFERROR(INDEX(装备库!$A$2:$Y$1047,MATCH(ROW()-1,装备库!$AO$2:$AO$1046,0),COLUMN()),"")</f>
        <v>0</v>
      </c>
      <c r="T155">
        <f>IFERROR(INDEX(装备库!$A$2:$Y$1047,MATCH(ROW()-1,装备库!$AO$2:$AO$1046,0),COLUMN()),"")</f>
        <v>0</v>
      </c>
      <c r="U155">
        <f>IFERROR(INDEX(装备库!$A$2:$Y$1047,MATCH(ROW()-1,装备库!$AO$2:$AO$1046,0),COLUMN()),"")</f>
        <v>0</v>
      </c>
      <c r="V155">
        <f>IFERROR(INDEX(装备库!$A$2:$Y$1047,MATCH(ROW()-1,装备库!$AO$2:$AO$1046,0),COLUMN()),"")</f>
        <v>0</v>
      </c>
      <c r="W155" t="str">
        <f>IFERROR(INDEX(装备库!$A$2:$Y$1047,MATCH(ROW()-1,装备库!$AO$2:$AO$1046,0),COLUMN()),"")</f>
        <v>会无</v>
      </c>
      <c r="X155">
        <f>IFERROR(INDEX(装备库!$A$2:$Y$1047,MATCH(ROW()-1,装备库!$AO$2:$AO$1046,0),COLUMN()),"")</f>
        <v>6</v>
      </c>
      <c r="Y155" t="str">
        <f>IFERROR(INDEX(装备库!$A$2:$Y$1047,MATCH(ROW()-1,装备库!$AO$2:$AO$1046,0),COLUMN()),"")</f>
        <v>声望</v>
      </c>
    </row>
    <row r="156" spans="1:25" x14ac:dyDescent="0.35">
      <c r="A156" t="str">
        <f>IFERROR(INDEX(装备库!$A$2:$Y$1047,MATCH(ROW()-1,装备库!$AO$2:$AO$1046,0),COLUMN()),"")</f>
        <v>戒指</v>
      </c>
      <c r="B156" t="str">
        <f>IFERROR(INDEX(装备库!$A$2:$Y$1047,MATCH(ROW()-1,装备库!$AO$2:$AO$1046,0),COLUMN()),"")</f>
        <v>女义戒</v>
      </c>
      <c r="C156">
        <f>IFERROR(INDEX(装备库!$A$2:$Y$1047,MATCH(ROW()-1,装备库!$AO$2:$AO$1046,0),COLUMN()),"")</f>
        <v>9600</v>
      </c>
      <c r="D156" t="str">
        <f>IFERROR(INDEX(装备库!$A$2:$Y$1047,MATCH(ROW()-1,装备库!$AO$2:$AO$1046,0),COLUMN()),"")</f>
        <v>女义戒(9600破无)</v>
      </c>
      <c r="E156">
        <f>IFERROR(INDEX(装备库!$A$2:$Y$1047,MATCH(ROW()-1,装备库!$AO$2:$AO$1046,0),COLUMN()),"")</f>
        <v>335</v>
      </c>
      <c r="F156">
        <f>IFERROR(INDEX(装备库!$A$2:$Y$1047,MATCH(ROW()-1,装备库!$AO$2:$AO$1046,0),COLUMN()),"")</f>
        <v>544</v>
      </c>
      <c r="G156">
        <f>IFERROR(INDEX(装备库!$A$2:$Y$1047,MATCH(ROW()-1,装备库!$AO$2:$AO$1046,0),COLUMN()),"")</f>
        <v>0</v>
      </c>
      <c r="H156">
        <f>IFERROR(INDEX(装备库!$A$2:$Y$1047,MATCH(ROW()-1,装备库!$AO$2:$AO$1046,0),COLUMN()),"")</f>
        <v>0</v>
      </c>
      <c r="I156">
        <f>IFERROR(INDEX(装备库!$A$2:$Y$1047,MATCH(ROW()-1,装备库!$AO$2:$AO$1046,0),COLUMN()),"")</f>
        <v>1682</v>
      </c>
      <c r="J156">
        <f>IFERROR(INDEX(装备库!$A$2:$Y$1047,MATCH(ROW()-1,装备库!$AO$2:$AO$1046,0),COLUMN()),"")</f>
        <v>0</v>
      </c>
      <c r="K156">
        <f>IFERROR(INDEX(装备库!$A$2:$Y$1047,MATCH(ROW()-1,装备库!$AO$2:$AO$1046,0),COLUMN()),"")</f>
        <v>1495</v>
      </c>
      <c r="L156">
        <f>IFERROR(INDEX(装备库!$A$2:$Y$1047,MATCH(ROW()-1,装备库!$AO$2:$AO$1046,0),COLUMN()),"")</f>
        <v>0</v>
      </c>
      <c r="M156">
        <f>IFERROR(INDEX(装备库!$A$2:$Y$1047,MATCH(ROW()-1,装备库!$AO$2:$AO$1046,0),COLUMN()),"")</f>
        <v>0</v>
      </c>
      <c r="N156">
        <f>IFERROR(INDEX(装备库!$A$2:$Y$1047,MATCH(ROW()-1,装备库!$AO$2:$AO$1046,0),COLUMN()),"")</f>
        <v>0</v>
      </c>
      <c r="O156">
        <f>IFERROR(INDEX(装备库!$A$2:$Y$1047,MATCH(ROW()-1,装备库!$AO$2:$AO$1046,0),COLUMN()),"")</f>
        <v>0</v>
      </c>
      <c r="P156">
        <f>IFERROR(INDEX(装备库!$A$2:$Y$1047,MATCH(ROW()-1,装备库!$AO$2:$AO$1046,0),COLUMN()),"")</f>
        <v>0</v>
      </c>
      <c r="Q156">
        <f>IFERROR(INDEX(装备库!$A$2:$Y$1047,MATCH(ROW()-1,装备库!$AO$2:$AO$1046,0),COLUMN()),"")</f>
        <v>0</v>
      </c>
      <c r="R156">
        <f>IFERROR(INDEX(装备库!$A$2:$Y$1047,MATCH(ROW()-1,装备库!$AO$2:$AO$1046,0),COLUMN()),"")</f>
        <v>0</v>
      </c>
      <c r="S156">
        <f>IFERROR(INDEX(装备库!$A$2:$Y$1047,MATCH(ROW()-1,装备库!$AO$2:$AO$1046,0),COLUMN()),"")</f>
        <v>0</v>
      </c>
      <c r="T156">
        <f>IFERROR(INDEX(装备库!$A$2:$Y$1047,MATCH(ROW()-1,装备库!$AO$2:$AO$1046,0),COLUMN()),"")</f>
        <v>0</v>
      </c>
      <c r="U156">
        <f>IFERROR(INDEX(装备库!$A$2:$Y$1047,MATCH(ROW()-1,装备库!$AO$2:$AO$1046,0),COLUMN()),"")</f>
        <v>0</v>
      </c>
      <c r="V156">
        <f>IFERROR(INDEX(装备库!$A$2:$Y$1047,MATCH(ROW()-1,装备库!$AO$2:$AO$1046,0),COLUMN()),"")</f>
        <v>0</v>
      </c>
      <c r="W156" t="str">
        <f>IFERROR(INDEX(装备库!$A$2:$Y$1047,MATCH(ROW()-1,装备库!$AO$2:$AO$1046,0),COLUMN()),"")</f>
        <v>破无</v>
      </c>
      <c r="X156">
        <f>IFERROR(INDEX(装备库!$A$2:$Y$1047,MATCH(ROW()-1,装备库!$AO$2:$AO$1046,0),COLUMN()),"")</f>
        <v>6</v>
      </c>
      <c r="Y156" t="str">
        <f>IFERROR(INDEX(装备库!$A$2:$Y$1047,MATCH(ROW()-1,装备库!$AO$2:$AO$1046,0),COLUMN()),"")</f>
        <v>侠义值</v>
      </c>
    </row>
    <row r="157" spans="1:25" x14ac:dyDescent="0.35">
      <c r="A157" t="str">
        <f>IFERROR(INDEX(装备库!$A$2:$Y$1047,MATCH(ROW()-1,装备库!$AO$2:$AO$1046,0),COLUMN()),"")</f>
        <v>戒指</v>
      </c>
      <c r="B157" t="str">
        <f>IFERROR(INDEX(装备库!$A$2:$Y$1047,MATCH(ROW()-1,装备库!$AO$2:$AO$1046,0),COLUMN()),"")</f>
        <v>暂清明·怒</v>
      </c>
      <c r="C157">
        <f>IFERROR(INDEX(装备库!$A$2:$Y$1047,MATCH(ROW()-1,装备库!$AO$2:$AO$1046,0),COLUMN()),"")</f>
        <v>9600</v>
      </c>
      <c r="D157" t="str">
        <f>IFERROR(INDEX(装备库!$A$2:$Y$1047,MATCH(ROW()-1,装备库!$AO$2:$AO$1046,0),COLUMN()),"")</f>
        <v>暂清明·怒(9600会无)</v>
      </c>
      <c r="E157">
        <f>IFERROR(INDEX(装备库!$A$2:$Y$1047,MATCH(ROW()-1,装备库!$AO$2:$AO$1046,0),COLUMN()),"")</f>
        <v>335</v>
      </c>
      <c r="F157">
        <f>IFERROR(INDEX(装备库!$A$2:$Y$1047,MATCH(ROW()-1,装备库!$AO$2:$AO$1046,0),COLUMN()),"")</f>
        <v>544</v>
      </c>
      <c r="G157">
        <f>IFERROR(INDEX(装备库!$A$2:$Y$1047,MATCH(ROW()-1,装备库!$AO$2:$AO$1046,0),COLUMN()),"")</f>
        <v>1682</v>
      </c>
      <c r="H157">
        <f>IFERROR(INDEX(装备库!$A$2:$Y$1047,MATCH(ROW()-1,装备库!$AO$2:$AO$1046,0),COLUMN()),"")</f>
        <v>0</v>
      </c>
      <c r="I157">
        <f>IFERROR(INDEX(装备库!$A$2:$Y$1047,MATCH(ROW()-1,装备库!$AO$2:$AO$1046,0),COLUMN()),"")</f>
        <v>0</v>
      </c>
      <c r="J157">
        <f>IFERROR(INDEX(装备库!$A$2:$Y$1047,MATCH(ROW()-1,装备库!$AO$2:$AO$1046,0),COLUMN()),"")</f>
        <v>0</v>
      </c>
      <c r="K157">
        <f>IFERROR(INDEX(装备库!$A$2:$Y$1047,MATCH(ROW()-1,装备库!$AO$2:$AO$1046,0),COLUMN()),"")</f>
        <v>1495</v>
      </c>
      <c r="L157">
        <f>IFERROR(INDEX(装备库!$A$2:$Y$1047,MATCH(ROW()-1,装备库!$AO$2:$AO$1046,0),COLUMN()),"")</f>
        <v>0</v>
      </c>
      <c r="M157">
        <f>IFERROR(INDEX(装备库!$A$2:$Y$1047,MATCH(ROW()-1,装备库!$AO$2:$AO$1046,0),COLUMN()),"")</f>
        <v>0</v>
      </c>
      <c r="N157">
        <f>IFERROR(INDEX(装备库!$A$2:$Y$1047,MATCH(ROW()-1,装备库!$AO$2:$AO$1046,0),COLUMN()),"")</f>
        <v>0</v>
      </c>
      <c r="O157">
        <f>IFERROR(INDEX(装备库!$A$2:$Y$1047,MATCH(ROW()-1,装备库!$AO$2:$AO$1046,0),COLUMN()),"")</f>
        <v>0</v>
      </c>
      <c r="P157">
        <f>IFERROR(INDEX(装备库!$A$2:$Y$1047,MATCH(ROW()-1,装备库!$AO$2:$AO$1046,0),COLUMN()),"")</f>
        <v>0</v>
      </c>
      <c r="Q157">
        <f>IFERROR(INDEX(装备库!$A$2:$Y$1047,MATCH(ROW()-1,装备库!$AO$2:$AO$1046,0),COLUMN()),"")</f>
        <v>0</v>
      </c>
      <c r="R157">
        <f>IFERROR(INDEX(装备库!$A$2:$Y$1047,MATCH(ROW()-1,装备库!$AO$2:$AO$1046,0),COLUMN()),"")</f>
        <v>0</v>
      </c>
      <c r="S157">
        <f>IFERROR(INDEX(装备库!$A$2:$Y$1047,MATCH(ROW()-1,装备库!$AO$2:$AO$1046,0),COLUMN()),"")</f>
        <v>0</v>
      </c>
      <c r="T157">
        <f>IFERROR(INDEX(装备库!$A$2:$Y$1047,MATCH(ROW()-1,装备库!$AO$2:$AO$1046,0),COLUMN()),"")</f>
        <v>0</v>
      </c>
      <c r="U157">
        <f>IFERROR(INDEX(装备库!$A$2:$Y$1047,MATCH(ROW()-1,装备库!$AO$2:$AO$1046,0),COLUMN()),"")</f>
        <v>0</v>
      </c>
      <c r="V157">
        <f>IFERROR(INDEX(装备库!$A$2:$Y$1047,MATCH(ROW()-1,装备库!$AO$2:$AO$1046,0),COLUMN()),"")</f>
        <v>0</v>
      </c>
      <c r="W157" t="str">
        <f>IFERROR(INDEX(装备库!$A$2:$Y$1047,MATCH(ROW()-1,装备库!$AO$2:$AO$1046,0),COLUMN()),"")</f>
        <v>会无</v>
      </c>
      <c r="X157">
        <f>IFERROR(INDEX(装备库!$A$2:$Y$1047,MATCH(ROW()-1,装备库!$AO$2:$AO$1046,0),COLUMN()),"")</f>
        <v>6</v>
      </c>
      <c r="Y157" t="str">
        <f>IFERROR(INDEX(装备库!$A$2:$Y$1047,MATCH(ROW()-1,装备库!$AO$2:$AO$1046,0),COLUMN()),"")</f>
        <v>任务</v>
      </c>
    </row>
    <row r="158" spans="1:25" x14ac:dyDescent="0.35">
      <c r="A158" t="str">
        <f>IFERROR(INDEX(装备库!$A$2:$Y$1047,MATCH(ROW()-1,装备库!$AO$2:$AO$1046,0),COLUMN()),"")</f>
        <v>戒指</v>
      </c>
      <c r="B158" t="str">
        <f>IFERROR(INDEX(装备库!$A$2:$Y$1047,MATCH(ROW()-1,装备库!$AO$2:$AO$1046,0),COLUMN()),"")</f>
        <v>羡双戒</v>
      </c>
      <c r="C158">
        <f>IFERROR(INDEX(装备库!$A$2:$Y$1047,MATCH(ROW()-1,装备库!$AO$2:$AO$1046,0),COLUMN()),"")</f>
        <v>10000</v>
      </c>
      <c r="D158" t="str">
        <f>IFERROR(INDEX(装备库!$A$2:$Y$1047,MATCH(ROW()-1,装备库!$AO$2:$AO$1046,0),COLUMN()),"")</f>
        <v>羡双戒(10000招无)</v>
      </c>
      <c r="E158">
        <f>IFERROR(INDEX(装备库!$A$2:$Y$1047,MATCH(ROW()-1,装备库!$AO$2:$AO$1046,0),COLUMN()),"")</f>
        <v>349</v>
      </c>
      <c r="F158">
        <f>IFERROR(INDEX(装备库!$A$2:$Y$1047,MATCH(ROW()-1,装备库!$AO$2:$AO$1046,0),COLUMN()),"")</f>
        <v>566</v>
      </c>
      <c r="G158">
        <f>IFERROR(INDEX(装备库!$A$2:$Y$1047,MATCH(ROW()-1,装备库!$AO$2:$AO$1046,0),COLUMN()),"")</f>
        <v>0</v>
      </c>
      <c r="H158">
        <f>IFERROR(INDEX(装备库!$A$2:$Y$1047,MATCH(ROW()-1,装备库!$AO$2:$AO$1046,0),COLUMN()),"")</f>
        <v>0</v>
      </c>
      <c r="I158">
        <f>IFERROR(INDEX(装备库!$A$2:$Y$1047,MATCH(ROW()-1,装备库!$AO$2:$AO$1046,0),COLUMN()),"")</f>
        <v>0</v>
      </c>
      <c r="J158">
        <f>IFERROR(INDEX(装备库!$A$2:$Y$1047,MATCH(ROW()-1,装备库!$AO$2:$AO$1046,0),COLUMN()),"")</f>
        <v>1752</v>
      </c>
      <c r="K158">
        <f>IFERROR(INDEX(装备库!$A$2:$Y$1047,MATCH(ROW()-1,装备库!$AO$2:$AO$1046,0),COLUMN()),"")</f>
        <v>1557</v>
      </c>
      <c r="L158">
        <f>IFERROR(INDEX(装备库!$A$2:$Y$1047,MATCH(ROW()-1,装备库!$AO$2:$AO$1046,0),COLUMN()),"")</f>
        <v>0</v>
      </c>
      <c r="M158">
        <f>IFERROR(INDEX(装备库!$A$2:$Y$1047,MATCH(ROW()-1,装备库!$AO$2:$AO$1046,0),COLUMN()),"")</f>
        <v>0</v>
      </c>
      <c r="N158">
        <f>IFERROR(INDEX(装备库!$A$2:$Y$1047,MATCH(ROW()-1,装备库!$AO$2:$AO$1046,0),COLUMN()),"")</f>
        <v>0</v>
      </c>
      <c r="O158">
        <f>IFERROR(INDEX(装备库!$A$2:$Y$1047,MATCH(ROW()-1,装备库!$AO$2:$AO$1046,0),COLUMN()),"")</f>
        <v>0</v>
      </c>
      <c r="P158">
        <f>IFERROR(INDEX(装备库!$A$2:$Y$1047,MATCH(ROW()-1,装备库!$AO$2:$AO$1046,0),COLUMN()),"")</f>
        <v>0</v>
      </c>
      <c r="Q158">
        <f>IFERROR(INDEX(装备库!$A$2:$Y$1047,MATCH(ROW()-1,装备库!$AO$2:$AO$1046,0),COLUMN()),"")</f>
        <v>0</v>
      </c>
      <c r="R158">
        <f>IFERROR(INDEX(装备库!$A$2:$Y$1047,MATCH(ROW()-1,装备库!$AO$2:$AO$1046,0),COLUMN()),"")</f>
        <v>0</v>
      </c>
      <c r="S158">
        <f>IFERROR(INDEX(装备库!$A$2:$Y$1047,MATCH(ROW()-1,装备库!$AO$2:$AO$1046,0),COLUMN()),"")</f>
        <v>0</v>
      </c>
      <c r="T158">
        <f>IFERROR(INDEX(装备库!$A$2:$Y$1047,MATCH(ROW()-1,装备库!$AO$2:$AO$1046,0),COLUMN()),"")</f>
        <v>0</v>
      </c>
      <c r="U158">
        <f>IFERROR(INDEX(装备库!$A$2:$Y$1047,MATCH(ROW()-1,装备库!$AO$2:$AO$1046,0),COLUMN()),"")</f>
        <v>0</v>
      </c>
      <c r="V158">
        <f>IFERROR(INDEX(装备库!$A$2:$Y$1047,MATCH(ROW()-1,装备库!$AO$2:$AO$1046,0),COLUMN()),"")</f>
        <v>0</v>
      </c>
      <c r="W158" t="str">
        <f>IFERROR(INDEX(装备库!$A$2:$Y$1047,MATCH(ROW()-1,装备库!$AO$2:$AO$1046,0),COLUMN()),"")</f>
        <v>招无</v>
      </c>
      <c r="X158">
        <f>IFERROR(INDEX(装备库!$A$2:$Y$1047,MATCH(ROW()-1,装备库!$AO$2:$AO$1046,0),COLUMN()),"")</f>
        <v>6</v>
      </c>
      <c r="Y158" t="str">
        <f>IFERROR(INDEX(装备库!$A$2:$Y$1047,MATCH(ROW()-1,装备库!$AO$2:$AO$1046,0),COLUMN()),"")</f>
        <v>副本</v>
      </c>
    </row>
    <row r="159" spans="1:25" x14ac:dyDescent="0.35">
      <c r="A159" t="str">
        <f>IFERROR(INDEX(装备库!$A$2:$Y$1047,MATCH(ROW()-1,装备库!$AO$2:$AO$1046,0),COLUMN()),"")</f>
        <v>戒指</v>
      </c>
      <c r="B159" t="str">
        <f>IFERROR(INDEX(装备库!$A$2:$Y$1047,MATCH(ROW()-1,装备库!$AO$2:$AO$1046,0),COLUMN()),"")</f>
        <v>重关戒</v>
      </c>
      <c r="C159">
        <f>IFERROR(INDEX(装备库!$A$2:$Y$1047,MATCH(ROW()-1,装备库!$AO$2:$AO$1046,0),COLUMN()),"")</f>
        <v>10000</v>
      </c>
      <c r="D159" t="str">
        <f>IFERROR(INDEX(装备库!$A$2:$Y$1047,MATCH(ROW()-1,装备库!$AO$2:$AO$1046,0),COLUMN()),"")</f>
        <v>重关戒(10000招破)</v>
      </c>
      <c r="E159">
        <f>IFERROR(INDEX(装备库!$A$2:$Y$1047,MATCH(ROW()-1,装备库!$AO$2:$AO$1046,0),COLUMN()),"")</f>
        <v>349</v>
      </c>
      <c r="F159">
        <f>IFERROR(INDEX(装备库!$A$2:$Y$1047,MATCH(ROW()-1,装备库!$AO$2:$AO$1046,0),COLUMN()),"")</f>
        <v>566</v>
      </c>
      <c r="G159">
        <f>IFERROR(INDEX(装备库!$A$2:$Y$1047,MATCH(ROW()-1,装备库!$AO$2:$AO$1046,0),COLUMN()),"")</f>
        <v>0</v>
      </c>
      <c r="H159">
        <f>IFERROR(INDEX(装备库!$A$2:$Y$1047,MATCH(ROW()-1,装备库!$AO$2:$AO$1046,0),COLUMN()),"")</f>
        <v>0</v>
      </c>
      <c r="I159">
        <f>IFERROR(INDEX(装备库!$A$2:$Y$1047,MATCH(ROW()-1,装备库!$AO$2:$AO$1046,0),COLUMN()),"")</f>
        <v>1752</v>
      </c>
      <c r="J159">
        <f>IFERROR(INDEX(装备库!$A$2:$Y$1047,MATCH(ROW()-1,装备库!$AO$2:$AO$1046,0),COLUMN()),"")</f>
        <v>1557</v>
      </c>
      <c r="K159">
        <f>IFERROR(INDEX(装备库!$A$2:$Y$1047,MATCH(ROW()-1,装备库!$AO$2:$AO$1046,0),COLUMN()),"")</f>
        <v>0</v>
      </c>
      <c r="L159">
        <f>IFERROR(INDEX(装备库!$A$2:$Y$1047,MATCH(ROW()-1,装备库!$AO$2:$AO$1046,0),COLUMN()),"")</f>
        <v>0</v>
      </c>
      <c r="M159">
        <f>IFERROR(INDEX(装备库!$A$2:$Y$1047,MATCH(ROW()-1,装备库!$AO$2:$AO$1046,0),COLUMN()),"")</f>
        <v>0</v>
      </c>
      <c r="N159">
        <f>IFERROR(INDEX(装备库!$A$2:$Y$1047,MATCH(ROW()-1,装备库!$AO$2:$AO$1046,0),COLUMN()),"")</f>
        <v>0</v>
      </c>
      <c r="O159">
        <f>IFERROR(INDEX(装备库!$A$2:$Y$1047,MATCH(ROW()-1,装备库!$AO$2:$AO$1046,0),COLUMN()),"")</f>
        <v>0</v>
      </c>
      <c r="P159">
        <f>IFERROR(INDEX(装备库!$A$2:$Y$1047,MATCH(ROW()-1,装备库!$AO$2:$AO$1046,0),COLUMN()),"")</f>
        <v>0</v>
      </c>
      <c r="Q159">
        <f>IFERROR(INDEX(装备库!$A$2:$Y$1047,MATCH(ROW()-1,装备库!$AO$2:$AO$1046,0),COLUMN()),"")</f>
        <v>0</v>
      </c>
      <c r="R159">
        <f>IFERROR(INDEX(装备库!$A$2:$Y$1047,MATCH(ROW()-1,装备库!$AO$2:$AO$1046,0),COLUMN()),"")</f>
        <v>0</v>
      </c>
      <c r="S159">
        <f>IFERROR(INDEX(装备库!$A$2:$Y$1047,MATCH(ROW()-1,装备库!$AO$2:$AO$1046,0),COLUMN()),"")</f>
        <v>0</v>
      </c>
      <c r="T159">
        <f>IFERROR(INDEX(装备库!$A$2:$Y$1047,MATCH(ROW()-1,装备库!$AO$2:$AO$1046,0),COLUMN()),"")</f>
        <v>0</v>
      </c>
      <c r="U159">
        <f>IFERROR(INDEX(装备库!$A$2:$Y$1047,MATCH(ROW()-1,装备库!$AO$2:$AO$1046,0),COLUMN()),"")</f>
        <v>0</v>
      </c>
      <c r="V159">
        <f>IFERROR(INDEX(装备库!$A$2:$Y$1047,MATCH(ROW()-1,装备库!$AO$2:$AO$1046,0),COLUMN()),"")</f>
        <v>0</v>
      </c>
      <c r="W159" t="str">
        <f>IFERROR(INDEX(装备库!$A$2:$Y$1047,MATCH(ROW()-1,装备库!$AO$2:$AO$1046,0),COLUMN()),"")</f>
        <v>招破</v>
      </c>
      <c r="X159">
        <f>IFERROR(INDEX(装备库!$A$2:$Y$1047,MATCH(ROW()-1,装备库!$AO$2:$AO$1046,0),COLUMN()),"")</f>
        <v>6</v>
      </c>
      <c r="Y159" t="str">
        <f>IFERROR(INDEX(装备库!$A$2:$Y$1047,MATCH(ROW()-1,装备库!$AO$2:$AO$1046,0),COLUMN()),"")</f>
        <v>副本</v>
      </c>
    </row>
    <row r="160" spans="1:25" x14ac:dyDescent="0.35">
      <c r="A160" t="str">
        <f>IFERROR(INDEX(装备库!$A$2:$Y$1047,MATCH(ROW()-1,装备库!$AO$2:$AO$1046,0),COLUMN()),"")</f>
        <v>戒指</v>
      </c>
      <c r="B160" t="str">
        <f>IFERROR(INDEX(装备库!$A$2:$Y$1047,MATCH(ROW()-1,装备库!$AO$2:$AO$1046,0),COLUMN()),"")</f>
        <v>拭江戒</v>
      </c>
      <c r="C160">
        <f>IFERROR(INDEX(装备库!$A$2:$Y$1047,MATCH(ROW()-1,装备库!$AO$2:$AO$1046,0),COLUMN()),"")</f>
        <v>10000</v>
      </c>
      <c r="D160" t="str">
        <f>IFERROR(INDEX(装备库!$A$2:$Y$1047,MATCH(ROW()-1,装备库!$AO$2:$AO$1046,0),COLUMN()),"")</f>
        <v>拭江戒(10000招破)</v>
      </c>
      <c r="E160">
        <f>IFERROR(INDEX(装备库!$A$2:$Y$1047,MATCH(ROW()-1,装备库!$AO$2:$AO$1046,0),COLUMN()),"")</f>
        <v>349</v>
      </c>
      <c r="F160">
        <f>IFERROR(INDEX(装备库!$A$2:$Y$1047,MATCH(ROW()-1,装备库!$AO$2:$AO$1046,0),COLUMN()),"")</f>
        <v>566</v>
      </c>
      <c r="G160">
        <f>IFERROR(INDEX(装备库!$A$2:$Y$1047,MATCH(ROW()-1,装备库!$AO$2:$AO$1046,0),COLUMN()),"")</f>
        <v>0</v>
      </c>
      <c r="H160">
        <f>IFERROR(INDEX(装备库!$A$2:$Y$1047,MATCH(ROW()-1,装备库!$AO$2:$AO$1046,0),COLUMN()),"")</f>
        <v>0</v>
      </c>
      <c r="I160">
        <f>IFERROR(INDEX(装备库!$A$2:$Y$1047,MATCH(ROW()-1,装备库!$AO$2:$AO$1046,0),COLUMN()),"")</f>
        <v>1752</v>
      </c>
      <c r="J160">
        <f>IFERROR(INDEX(装备库!$A$2:$Y$1047,MATCH(ROW()-1,装备库!$AO$2:$AO$1046,0),COLUMN()),"")</f>
        <v>1557</v>
      </c>
      <c r="K160">
        <f>IFERROR(INDEX(装备库!$A$2:$Y$1047,MATCH(ROW()-1,装备库!$AO$2:$AO$1046,0),COLUMN()),"")</f>
        <v>0</v>
      </c>
      <c r="L160">
        <f>IFERROR(INDEX(装备库!$A$2:$Y$1047,MATCH(ROW()-1,装备库!$AO$2:$AO$1046,0),COLUMN()),"")</f>
        <v>0</v>
      </c>
      <c r="M160">
        <f>IFERROR(INDEX(装备库!$A$2:$Y$1047,MATCH(ROW()-1,装备库!$AO$2:$AO$1046,0),COLUMN()),"")</f>
        <v>0</v>
      </c>
      <c r="N160">
        <f>IFERROR(INDEX(装备库!$A$2:$Y$1047,MATCH(ROW()-1,装备库!$AO$2:$AO$1046,0),COLUMN()),"")</f>
        <v>0</v>
      </c>
      <c r="O160">
        <f>IFERROR(INDEX(装备库!$A$2:$Y$1047,MATCH(ROW()-1,装备库!$AO$2:$AO$1046,0),COLUMN()),"")</f>
        <v>0</v>
      </c>
      <c r="P160">
        <f>IFERROR(INDEX(装备库!$A$2:$Y$1047,MATCH(ROW()-1,装备库!$AO$2:$AO$1046,0),COLUMN()),"")</f>
        <v>0</v>
      </c>
      <c r="Q160">
        <f>IFERROR(INDEX(装备库!$A$2:$Y$1047,MATCH(ROW()-1,装备库!$AO$2:$AO$1046,0),COLUMN()),"")</f>
        <v>0</v>
      </c>
      <c r="R160">
        <f>IFERROR(INDEX(装备库!$A$2:$Y$1047,MATCH(ROW()-1,装备库!$AO$2:$AO$1046,0),COLUMN()),"")</f>
        <v>0</v>
      </c>
      <c r="S160">
        <f>IFERROR(INDEX(装备库!$A$2:$Y$1047,MATCH(ROW()-1,装备库!$AO$2:$AO$1046,0),COLUMN()),"")</f>
        <v>0</v>
      </c>
      <c r="T160">
        <f>IFERROR(INDEX(装备库!$A$2:$Y$1047,MATCH(ROW()-1,装备库!$AO$2:$AO$1046,0),COLUMN()),"")</f>
        <v>0</v>
      </c>
      <c r="U160">
        <f>IFERROR(INDEX(装备库!$A$2:$Y$1047,MATCH(ROW()-1,装备库!$AO$2:$AO$1046,0),COLUMN()),"")</f>
        <v>0</v>
      </c>
      <c r="V160">
        <f>IFERROR(INDEX(装备库!$A$2:$Y$1047,MATCH(ROW()-1,装备库!$AO$2:$AO$1046,0),COLUMN()),"")</f>
        <v>0</v>
      </c>
      <c r="W160" t="str">
        <f>IFERROR(INDEX(装备库!$A$2:$Y$1047,MATCH(ROW()-1,装备库!$AO$2:$AO$1046,0),COLUMN()),"")</f>
        <v>招破</v>
      </c>
      <c r="X160">
        <f>IFERROR(INDEX(装备库!$A$2:$Y$1047,MATCH(ROW()-1,装备库!$AO$2:$AO$1046,0),COLUMN()),"")</f>
        <v>6</v>
      </c>
      <c r="Y160" t="str">
        <f>IFERROR(INDEX(装备库!$A$2:$Y$1047,MATCH(ROW()-1,装备库!$AO$2:$AO$1046,0),COLUMN()),"")</f>
        <v>副本</v>
      </c>
    </row>
    <row r="161" spans="1:25" x14ac:dyDescent="0.35">
      <c r="A161" t="str">
        <f>IFERROR(INDEX(装备库!$A$2:$Y$1047,MATCH(ROW()-1,装备库!$AO$2:$AO$1046,0),COLUMN()),"")</f>
        <v>戒指</v>
      </c>
      <c r="B161" t="str">
        <f>IFERROR(INDEX(装备库!$A$2:$Y$1047,MATCH(ROW()-1,装备库!$AO$2:$AO$1046,0),COLUMN()),"")</f>
        <v>曲郦戒</v>
      </c>
      <c r="C161">
        <f>IFERROR(INDEX(装备库!$A$2:$Y$1047,MATCH(ROW()-1,装备库!$AO$2:$AO$1046,0),COLUMN()),"")</f>
        <v>10000</v>
      </c>
      <c r="D161" t="str">
        <f>IFERROR(INDEX(装备库!$A$2:$Y$1047,MATCH(ROW()-1,装备库!$AO$2:$AO$1046,0),COLUMN()),"")</f>
        <v>曲郦戒(10000速招)</v>
      </c>
      <c r="E161">
        <f>IFERROR(INDEX(装备库!$A$2:$Y$1047,MATCH(ROW()-1,装备库!$AO$2:$AO$1046,0),COLUMN()),"")</f>
        <v>349</v>
      </c>
      <c r="F161">
        <f>IFERROR(INDEX(装备库!$A$2:$Y$1047,MATCH(ROW()-1,装备库!$AO$2:$AO$1046,0),COLUMN()),"")</f>
        <v>566</v>
      </c>
      <c r="G161">
        <f>IFERROR(INDEX(装备库!$A$2:$Y$1047,MATCH(ROW()-1,装备库!$AO$2:$AO$1046,0),COLUMN()),"")</f>
        <v>0</v>
      </c>
      <c r="H161">
        <f>IFERROR(INDEX(装备库!$A$2:$Y$1047,MATCH(ROW()-1,装备库!$AO$2:$AO$1046,0),COLUMN()),"")</f>
        <v>0</v>
      </c>
      <c r="I161">
        <f>IFERROR(INDEX(装备库!$A$2:$Y$1047,MATCH(ROW()-1,装备库!$AO$2:$AO$1046,0),COLUMN()),"")</f>
        <v>0</v>
      </c>
      <c r="J161">
        <f>IFERROR(INDEX(装备库!$A$2:$Y$1047,MATCH(ROW()-1,装备库!$AO$2:$AO$1046,0),COLUMN()),"")</f>
        <v>1557</v>
      </c>
      <c r="K161">
        <f>IFERROR(INDEX(装备库!$A$2:$Y$1047,MATCH(ROW()-1,装备库!$AO$2:$AO$1046,0),COLUMN()),"")</f>
        <v>0</v>
      </c>
      <c r="L161">
        <f>IFERROR(INDEX(装备库!$A$2:$Y$1047,MATCH(ROW()-1,装备库!$AO$2:$AO$1046,0),COLUMN()),"")</f>
        <v>1752</v>
      </c>
      <c r="M161">
        <f>IFERROR(INDEX(装备库!$A$2:$Y$1047,MATCH(ROW()-1,装备库!$AO$2:$AO$1046,0),COLUMN()),"")</f>
        <v>0</v>
      </c>
      <c r="N161">
        <f>IFERROR(INDEX(装备库!$A$2:$Y$1047,MATCH(ROW()-1,装备库!$AO$2:$AO$1046,0),COLUMN()),"")</f>
        <v>0</v>
      </c>
      <c r="O161">
        <f>IFERROR(INDEX(装备库!$A$2:$Y$1047,MATCH(ROW()-1,装备库!$AO$2:$AO$1046,0),COLUMN()),"")</f>
        <v>0</v>
      </c>
      <c r="P161">
        <f>IFERROR(INDEX(装备库!$A$2:$Y$1047,MATCH(ROW()-1,装备库!$AO$2:$AO$1046,0),COLUMN()),"")</f>
        <v>0</v>
      </c>
      <c r="Q161">
        <f>IFERROR(INDEX(装备库!$A$2:$Y$1047,MATCH(ROW()-1,装备库!$AO$2:$AO$1046,0),COLUMN()),"")</f>
        <v>0</v>
      </c>
      <c r="R161">
        <f>IFERROR(INDEX(装备库!$A$2:$Y$1047,MATCH(ROW()-1,装备库!$AO$2:$AO$1046,0),COLUMN()),"")</f>
        <v>0</v>
      </c>
      <c r="S161">
        <f>IFERROR(INDEX(装备库!$A$2:$Y$1047,MATCH(ROW()-1,装备库!$AO$2:$AO$1046,0),COLUMN()),"")</f>
        <v>0</v>
      </c>
      <c r="T161">
        <f>IFERROR(INDEX(装备库!$A$2:$Y$1047,MATCH(ROW()-1,装备库!$AO$2:$AO$1046,0),COLUMN()),"")</f>
        <v>0</v>
      </c>
      <c r="U161">
        <f>IFERROR(INDEX(装备库!$A$2:$Y$1047,MATCH(ROW()-1,装备库!$AO$2:$AO$1046,0),COLUMN()),"")</f>
        <v>0</v>
      </c>
      <c r="V161">
        <f>IFERROR(INDEX(装备库!$A$2:$Y$1047,MATCH(ROW()-1,装备库!$AO$2:$AO$1046,0),COLUMN()),"")</f>
        <v>0</v>
      </c>
      <c r="W161" t="str">
        <f>IFERROR(INDEX(装备库!$A$2:$Y$1047,MATCH(ROW()-1,装备库!$AO$2:$AO$1046,0),COLUMN()),"")</f>
        <v>速招</v>
      </c>
      <c r="X161">
        <f>IFERROR(INDEX(装备库!$A$2:$Y$1047,MATCH(ROW()-1,装备库!$AO$2:$AO$1046,0),COLUMN()),"")</f>
        <v>6</v>
      </c>
      <c r="Y161" t="str">
        <f>IFERROR(INDEX(装备库!$A$2:$Y$1047,MATCH(ROW()-1,装备库!$AO$2:$AO$1046,0),COLUMN()),"")</f>
        <v>副本</v>
      </c>
    </row>
    <row r="162" spans="1:25" x14ac:dyDescent="0.35">
      <c r="A162" t="str">
        <f>IFERROR(INDEX(装备库!$A$2:$Y$1047,MATCH(ROW()-1,装备库!$AO$2:$AO$1046,0),COLUMN()),"")</f>
        <v>戒指</v>
      </c>
      <c r="B162" t="str">
        <f>IFERROR(INDEX(装备库!$A$2:$Y$1047,MATCH(ROW()-1,装备库!$AO$2:$AO$1046,0),COLUMN()),"")</f>
        <v>垣翰戒</v>
      </c>
      <c r="C162">
        <f>IFERROR(INDEX(装备库!$A$2:$Y$1047,MATCH(ROW()-1,装备库!$AO$2:$AO$1046,0),COLUMN()),"")</f>
        <v>10000</v>
      </c>
      <c r="D162" t="str">
        <f>IFERROR(INDEX(装备库!$A$2:$Y$1047,MATCH(ROW()-1,装备库!$AO$2:$AO$1046,0),COLUMN()),"")</f>
        <v>垣翰戒(10000速无)</v>
      </c>
      <c r="E162">
        <f>IFERROR(INDEX(装备库!$A$2:$Y$1047,MATCH(ROW()-1,装备库!$AO$2:$AO$1046,0),COLUMN()),"")</f>
        <v>349</v>
      </c>
      <c r="F162">
        <f>IFERROR(INDEX(装备库!$A$2:$Y$1047,MATCH(ROW()-1,装备库!$AO$2:$AO$1046,0),COLUMN()),"")</f>
        <v>566</v>
      </c>
      <c r="G162">
        <f>IFERROR(INDEX(装备库!$A$2:$Y$1047,MATCH(ROW()-1,装备库!$AO$2:$AO$1046,0),COLUMN()),"")</f>
        <v>0</v>
      </c>
      <c r="H162">
        <f>IFERROR(INDEX(装备库!$A$2:$Y$1047,MATCH(ROW()-1,装备库!$AO$2:$AO$1046,0),COLUMN()),"")</f>
        <v>0</v>
      </c>
      <c r="I162">
        <f>IFERROR(INDEX(装备库!$A$2:$Y$1047,MATCH(ROW()-1,装备库!$AO$2:$AO$1046,0),COLUMN()),"")</f>
        <v>0</v>
      </c>
      <c r="J162">
        <f>IFERROR(INDEX(装备库!$A$2:$Y$1047,MATCH(ROW()-1,装备库!$AO$2:$AO$1046,0),COLUMN()),"")</f>
        <v>0</v>
      </c>
      <c r="K162">
        <f>IFERROR(INDEX(装备库!$A$2:$Y$1047,MATCH(ROW()-1,装备库!$AO$2:$AO$1046,0),COLUMN()),"")</f>
        <v>1557</v>
      </c>
      <c r="L162">
        <f>IFERROR(INDEX(装备库!$A$2:$Y$1047,MATCH(ROW()-1,装备库!$AO$2:$AO$1046,0),COLUMN()),"")</f>
        <v>1752</v>
      </c>
      <c r="M162">
        <f>IFERROR(INDEX(装备库!$A$2:$Y$1047,MATCH(ROW()-1,装备库!$AO$2:$AO$1046,0),COLUMN()),"")</f>
        <v>0</v>
      </c>
      <c r="N162">
        <f>IFERROR(INDEX(装备库!$A$2:$Y$1047,MATCH(ROW()-1,装备库!$AO$2:$AO$1046,0),COLUMN()),"")</f>
        <v>0</v>
      </c>
      <c r="O162">
        <f>IFERROR(INDEX(装备库!$A$2:$Y$1047,MATCH(ROW()-1,装备库!$AO$2:$AO$1046,0),COLUMN()),"")</f>
        <v>0</v>
      </c>
      <c r="P162">
        <f>IFERROR(INDEX(装备库!$A$2:$Y$1047,MATCH(ROW()-1,装备库!$AO$2:$AO$1046,0),COLUMN()),"")</f>
        <v>0</v>
      </c>
      <c r="Q162">
        <f>IFERROR(INDEX(装备库!$A$2:$Y$1047,MATCH(ROW()-1,装备库!$AO$2:$AO$1046,0),COLUMN()),"")</f>
        <v>0</v>
      </c>
      <c r="R162">
        <f>IFERROR(INDEX(装备库!$A$2:$Y$1047,MATCH(ROW()-1,装备库!$AO$2:$AO$1046,0),COLUMN()),"")</f>
        <v>0</v>
      </c>
      <c r="S162">
        <f>IFERROR(INDEX(装备库!$A$2:$Y$1047,MATCH(ROW()-1,装备库!$AO$2:$AO$1046,0),COLUMN()),"")</f>
        <v>0</v>
      </c>
      <c r="T162">
        <f>IFERROR(INDEX(装备库!$A$2:$Y$1047,MATCH(ROW()-1,装备库!$AO$2:$AO$1046,0),COLUMN()),"")</f>
        <v>0</v>
      </c>
      <c r="U162">
        <f>IFERROR(INDEX(装备库!$A$2:$Y$1047,MATCH(ROW()-1,装备库!$AO$2:$AO$1046,0),COLUMN()),"")</f>
        <v>0</v>
      </c>
      <c r="V162">
        <f>IFERROR(INDEX(装备库!$A$2:$Y$1047,MATCH(ROW()-1,装备库!$AO$2:$AO$1046,0),COLUMN()),"")</f>
        <v>0</v>
      </c>
      <c r="W162" t="str">
        <f>IFERROR(INDEX(装备库!$A$2:$Y$1047,MATCH(ROW()-1,装备库!$AO$2:$AO$1046,0),COLUMN()),"")</f>
        <v>速无</v>
      </c>
      <c r="X162">
        <f>IFERROR(INDEX(装备库!$A$2:$Y$1047,MATCH(ROW()-1,装备库!$AO$2:$AO$1046,0),COLUMN()),"")</f>
        <v>6</v>
      </c>
      <c r="Y162" t="str">
        <f>IFERROR(INDEX(装备库!$A$2:$Y$1047,MATCH(ROW()-1,装备库!$AO$2:$AO$1046,0),COLUMN()),"")</f>
        <v>副本</v>
      </c>
    </row>
    <row r="163" spans="1:25" x14ac:dyDescent="0.35">
      <c r="A163" t="str">
        <f>IFERROR(INDEX(装备库!$A$2:$Y$1047,MATCH(ROW()-1,装备库!$AO$2:$AO$1046,0),COLUMN()),"")</f>
        <v>戒指</v>
      </c>
      <c r="B163" t="str">
        <f>IFERROR(INDEX(装备库!$A$2:$Y$1047,MATCH(ROW()-1,装备库!$AO$2:$AO$1046,0),COLUMN()),"")</f>
        <v>忆敬戒</v>
      </c>
      <c r="C163">
        <f>IFERROR(INDEX(装备库!$A$2:$Y$1047,MATCH(ROW()-1,装备库!$AO$2:$AO$1046,0),COLUMN()),"")</f>
        <v>10000</v>
      </c>
      <c r="D163" t="str">
        <f>IFERROR(INDEX(装备库!$A$2:$Y$1047,MATCH(ROW()-1,装备库!$AO$2:$AO$1046,0),COLUMN()),"")</f>
        <v>忆敬戒(10000会招)</v>
      </c>
      <c r="E163">
        <f>IFERROR(INDEX(装备库!$A$2:$Y$1047,MATCH(ROW()-1,装备库!$AO$2:$AO$1046,0),COLUMN()),"")</f>
        <v>349</v>
      </c>
      <c r="F163">
        <f>IFERROR(INDEX(装备库!$A$2:$Y$1047,MATCH(ROW()-1,装备库!$AO$2:$AO$1046,0),COLUMN()),"")</f>
        <v>566</v>
      </c>
      <c r="G163">
        <f>IFERROR(INDEX(装备库!$A$2:$Y$1047,MATCH(ROW()-1,装备库!$AO$2:$AO$1046,0),COLUMN()),"")</f>
        <v>1752</v>
      </c>
      <c r="H163">
        <f>IFERROR(INDEX(装备库!$A$2:$Y$1047,MATCH(ROW()-1,装备库!$AO$2:$AO$1046,0),COLUMN()),"")</f>
        <v>0</v>
      </c>
      <c r="I163">
        <f>IFERROR(INDEX(装备库!$A$2:$Y$1047,MATCH(ROW()-1,装备库!$AO$2:$AO$1046,0),COLUMN()),"")</f>
        <v>0</v>
      </c>
      <c r="J163">
        <f>IFERROR(INDEX(装备库!$A$2:$Y$1047,MATCH(ROW()-1,装备库!$AO$2:$AO$1046,0),COLUMN()),"")</f>
        <v>1557</v>
      </c>
      <c r="K163">
        <f>IFERROR(INDEX(装备库!$A$2:$Y$1047,MATCH(ROW()-1,装备库!$AO$2:$AO$1046,0),COLUMN()),"")</f>
        <v>0</v>
      </c>
      <c r="L163">
        <f>IFERROR(INDEX(装备库!$A$2:$Y$1047,MATCH(ROW()-1,装备库!$AO$2:$AO$1046,0),COLUMN()),"")</f>
        <v>0</v>
      </c>
      <c r="M163">
        <f>IFERROR(INDEX(装备库!$A$2:$Y$1047,MATCH(ROW()-1,装备库!$AO$2:$AO$1046,0),COLUMN()),"")</f>
        <v>0</v>
      </c>
      <c r="N163">
        <f>IFERROR(INDEX(装备库!$A$2:$Y$1047,MATCH(ROW()-1,装备库!$AO$2:$AO$1046,0),COLUMN()),"")</f>
        <v>0</v>
      </c>
      <c r="O163">
        <f>IFERROR(INDEX(装备库!$A$2:$Y$1047,MATCH(ROW()-1,装备库!$AO$2:$AO$1046,0),COLUMN()),"")</f>
        <v>0</v>
      </c>
      <c r="P163">
        <f>IFERROR(INDEX(装备库!$A$2:$Y$1047,MATCH(ROW()-1,装备库!$AO$2:$AO$1046,0),COLUMN()),"")</f>
        <v>0</v>
      </c>
      <c r="Q163">
        <f>IFERROR(INDEX(装备库!$A$2:$Y$1047,MATCH(ROW()-1,装备库!$AO$2:$AO$1046,0),COLUMN()),"")</f>
        <v>0</v>
      </c>
      <c r="R163">
        <f>IFERROR(INDEX(装备库!$A$2:$Y$1047,MATCH(ROW()-1,装备库!$AO$2:$AO$1046,0),COLUMN()),"")</f>
        <v>0</v>
      </c>
      <c r="S163">
        <f>IFERROR(INDEX(装备库!$A$2:$Y$1047,MATCH(ROW()-1,装备库!$AO$2:$AO$1046,0),COLUMN()),"")</f>
        <v>0</v>
      </c>
      <c r="T163">
        <f>IFERROR(INDEX(装备库!$A$2:$Y$1047,MATCH(ROW()-1,装备库!$AO$2:$AO$1046,0),COLUMN()),"")</f>
        <v>0</v>
      </c>
      <c r="U163">
        <f>IFERROR(INDEX(装备库!$A$2:$Y$1047,MATCH(ROW()-1,装备库!$AO$2:$AO$1046,0),COLUMN()),"")</f>
        <v>0</v>
      </c>
      <c r="V163">
        <f>IFERROR(INDEX(装备库!$A$2:$Y$1047,MATCH(ROW()-1,装备库!$AO$2:$AO$1046,0),COLUMN()),"")</f>
        <v>0</v>
      </c>
      <c r="W163" t="str">
        <f>IFERROR(INDEX(装备库!$A$2:$Y$1047,MATCH(ROW()-1,装备库!$AO$2:$AO$1046,0),COLUMN()),"")</f>
        <v>会招</v>
      </c>
      <c r="X163">
        <f>IFERROR(INDEX(装备库!$A$2:$Y$1047,MATCH(ROW()-1,装备库!$AO$2:$AO$1046,0),COLUMN()),"")</f>
        <v>6</v>
      </c>
      <c r="Y163" t="str">
        <f>IFERROR(INDEX(装备库!$A$2:$Y$1047,MATCH(ROW()-1,装备库!$AO$2:$AO$1046,0),COLUMN()),"")</f>
        <v>副本</v>
      </c>
    </row>
    <row r="164" spans="1:25" x14ac:dyDescent="0.35">
      <c r="A164" t="str">
        <f>IFERROR(INDEX(装备库!$A$2:$Y$1047,MATCH(ROW()-1,装备库!$AO$2:$AO$1046,0),COLUMN()),"")</f>
        <v>戒指</v>
      </c>
      <c r="B164" t="str">
        <f>IFERROR(INDEX(装备库!$A$2:$Y$1047,MATCH(ROW()-1,装备库!$AO$2:$AO$1046,0),COLUMN()),"")</f>
        <v>项昌戒</v>
      </c>
      <c r="C164">
        <f>IFERROR(INDEX(装备库!$A$2:$Y$1047,MATCH(ROW()-1,装备库!$AO$2:$AO$1046,0),COLUMN()),"")</f>
        <v>10000</v>
      </c>
      <c r="D164" t="str">
        <f>IFERROR(INDEX(装备库!$A$2:$Y$1047,MATCH(ROW()-1,装备库!$AO$2:$AO$1046,0),COLUMN()),"")</f>
        <v>项昌戒(10000会招)</v>
      </c>
      <c r="E164">
        <f>IFERROR(INDEX(装备库!$A$2:$Y$1047,MATCH(ROW()-1,装备库!$AO$2:$AO$1046,0),COLUMN()),"")</f>
        <v>349</v>
      </c>
      <c r="F164">
        <f>IFERROR(INDEX(装备库!$A$2:$Y$1047,MATCH(ROW()-1,装备库!$AO$2:$AO$1046,0),COLUMN()),"")</f>
        <v>566</v>
      </c>
      <c r="G164">
        <f>IFERROR(INDEX(装备库!$A$2:$Y$1047,MATCH(ROW()-1,装备库!$AO$2:$AO$1046,0),COLUMN()),"")</f>
        <v>1752</v>
      </c>
      <c r="H164">
        <f>IFERROR(INDEX(装备库!$A$2:$Y$1047,MATCH(ROW()-1,装备库!$AO$2:$AO$1046,0),COLUMN()),"")</f>
        <v>0</v>
      </c>
      <c r="I164">
        <f>IFERROR(INDEX(装备库!$A$2:$Y$1047,MATCH(ROW()-1,装备库!$AO$2:$AO$1046,0),COLUMN()),"")</f>
        <v>0</v>
      </c>
      <c r="J164">
        <f>IFERROR(INDEX(装备库!$A$2:$Y$1047,MATCH(ROW()-1,装备库!$AO$2:$AO$1046,0),COLUMN()),"")</f>
        <v>1557</v>
      </c>
      <c r="K164">
        <f>IFERROR(INDEX(装备库!$A$2:$Y$1047,MATCH(ROW()-1,装备库!$AO$2:$AO$1046,0),COLUMN()),"")</f>
        <v>0</v>
      </c>
      <c r="L164">
        <f>IFERROR(INDEX(装备库!$A$2:$Y$1047,MATCH(ROW()-1,装备库!$AO$2:$AO$1046,0),COLUMN()),"")</f>
        <v>0</v>
      </c>
      <c r="M164">
        <f>IFERROR(INDEX(装备库!$A$2:$Y$1047,MATCH(ROW()-1,装备库!$AO$2:$AO$1046,0),COLUMN()),"")</f>
        <v>0</v>
      </c>
      <c r="N164">
        <f>IFERROR(INDEX(装备库!$A$2:$Y$1047,MATCH(ROW()-1,装备库!$AO$2:$AO$1046,0),COLUMN()),"")</f>
        <v>0</v>
      </c>
      <c r="O164">
        <f>IFERROR(INDEX(装备库!$A$2:$Y$1047,MATCH(ROW()-1,装备库!$AO$2:$AO$1046,0),COLUMN()),"")</f>
        <v>0</v>
      </c>
      <c r="P164">
        <f>IFERROR(INDEX(装备库!$A$2:$Y$1047,MATCH(ROW()-1,装备库!$AO$2:$AO$1046,0),COLUMN()),"")</f>
        <v>0</v>
      </c>
      <c r="Q164">
        <f>IFERROR(INDEX(装备库!$A$2:$Y$1047,MATCH(ROW()-1,装备库!$AO$2:$AO$1046,0),COLUMN()),"")</f>
        <v>0</v>
      </c>
      <c r="R164">
        <f>IFERROR(INDEX(装备库!$A$2:$Y$1047,MATCH(ROW()-1,装备库!$AO$2:$AO$1046,0),COLUMN()),"")</f>
        <v>0</v>
      </c>
      <c r="S164">
        <f>IFERROR(INDEX(装备库!$A$2:$Y$1047,MATCH(ROW()-1,装备库!$AO$2:$AO$1046,0),COLUMN()),"")</f>
        <v>0</v>
      </c>
      <c r="T164">
        <f>IFERROR(INDEX(装备库!$A$2:$Y$1047,MATCH(ROW()-1,装备库!$AO$2:$AO$1046,0),COLUMN()),"")</f>
        <v>0</v>
      </c>
      <c r="U164">
        <f>IFERROR(INDEX(装备库!$A$2:$Y$1047,MATCH(ROW()-1,装备库!$AO$2:$AO$1046,0),COLUMN()),"")</f>
        <v>0</v>
      </c>
      <c r="V164">
        <f>IFERROR(INDEX(装备库!$A$2:$Y$1047,MATCH(ROW()-1,装备库!$AO$2:$AO$1046,0),COLUMN()),"")</f>
        <v>0</v>
      </c>
      <c r="W164" t="str">
        <f>IFERROR(INDEX(装备库!$A$2:$Y$1047,MATCH(ROW()-1,装备库!$AO$2:$AO$1046,0),COLUMN()),"")</f>
        <v>会招</v>
      </c>
      <c r="X164">
        <f>IFERROR(INDEX(装备库!$A$2:$Y$1047,MATCH(ROW()-1,装备库!$AO$2:$AO$1046,0),COLUMN()),"")</f>
        <v>6</v>
      </c>
      <c r="Y164" t="str">
        <f>IFERROR(INDEX(装备库!$A$2:$Y$1047,MATCH(ROW()-1,装备库!$AO$2:$AO$1046,0),COLUMN()),"")</f>
        <v>副本</v>
      </c>
    </row>
    <row r="165" spans="1:25" x14ac:dyDescent="0.35">
      <c r="A165" t="str">
        <f>IFERROR(INDEX(装备库!$A$2:$Y$1047,MATCH(ROW()-1,装备库!$AO$2:$AO$1046,0),COLUMN()),"")</f>
        <v>戒指</v>
      </c>
      <c r="B165" t="str">
        <f>IFERROR(INDEX(装备库!$A$2:$Y$1047,MATCH(ROW()-1,装备库!$AO$2:$AO$1046,0),COLUMN()),"")</f>
        <v>御赐御厨戒指·刀功</v>
      </c>
      <c r="C165">
        <f>IFERROR(INDEX(装备库!$A$2:$Y$1047,MATCH(ROW()-1,装备库!$AO$2:$AO$1046,0),COLUMN()),"")</f>
        <v>10000</v>
      </c>
      <c r="D165" t="str">
        <f>IFERROR(INDEX(装备库!$A$2:$Y$1047,MATCH(ROW()-1,装备库!$AO$2:$AO$1046,0),COLUMN()),"")</f>
        <v>御赐御厨戒指·刀功(10000会无)</v>
      </c>
      <c r="E165">
        <f>IFERROR(INDEX(装备库!$A$2:$Y$1047,MATCH(ROW()-1,装备库!$AO$2:$AO$1046,0),COLUMN()),"")</f>
        <v>349</v>
      </c>
      <c r="F165">
        <f>IFERROR(INDEX(装备库!$A$2:$Y$1047,MATCH(ROW()-1,装备库!$AO$2:$AO$1046,0),COLUMN()),"")</f>
        <v>566</v>
      </c>
      <c r="G165">
        <f>IFERROR(INDEX(装备库!$A$2:$Y$1047,MATCH(ROW()-1,装备库!$AO$2:$AO$1046,0),COLUMN()),"")</f>
        <v>1752</v>
      </c>
      <c r="H165">
        <f>IFERROR(INDEX(装备库!$A$2:$Y$1047,MATCH(ROW()-1,装备库!$AO$2:$AO$1046,0),COLUMN()),"")</f>
        <v>0</v>
      </c>
      <c r="I165">
        <f>IFERROR(INDEX(装备库!$A$2:$Y$1047,MATCH(ROW()-1,装备库!$AO$2:$AO$1046,0),COLUMN()),"")</f>
        <v>0</v>
      </c>
      <c r="J165">
        <f>IFERROR(INDEX(装备库!$A$2:$Y$1047,MATCH(ROW()-1,装备库!$AO$2:$AO$1046,0),COLUMN()),"")</f>
        <v>0</v>
      </c>
      <c r="K165">
        <f>IFERROR(INDEX(装备库!$A$2:$Y$1047,MATCH(ROW()-1,装备库!$AO$2:$AO$1046,0),COLUMN()),"")</f>
        <v>1557</v>
      </c>
      <c r="L165">
        <f>IFERROR(INDEX(装备库!$A$2:$Y$1047,MATCH(ROW()-1,装备库!$AO$2:$AO$1046,0),COLUMN()),"")</f>
        <v>0</v>
      </c>
      <c r="M165">
        <f>IFERROR(INDEX(装备库!$A$2:$Y$1047,MATCH(ROW()-1,装备库!$AO$2:$AO$1046,0),COLUMN()),"")</f>
        <v>0</v>
      </c>
      <c r="N165">
        <f>IFERROR(INDEX(装备库!$A$2:$Y$1047,MATCH(ROW()-1,装备库!$AO$2:$AO$1046,0),COLUMN()),"")</f>
        <v>0</v>
      </c>
      <c r="O165">
        <f>IFERROR(INDEX(装备库!$A$2:$Y$1047,MATCH(ROW()-1,装备库!$AO$2:$AO$1046,0),COLUMN()),"")</f>
        <v>0</v>
      </c>
      <c r="P165">
        <f>IFERROR(INDEX(装备库!$A$2:$Y$1047,MATCH(ROW()-1,装备库!$AO$2:$AO$1046,0),COLUMN()),"")</f>
        <v>0</v>
      </c>
      <c r="Q165">
        <f>IFERROR(INDEX(装备库!$A$2:$Y$1047,MATCH(ROW()-1,装备库!$AO$2:$AO$1046,0),COLUMN()),"")</f>
        <v>0</v>
      </c>
      <c r="R165">
        <f>IFERROR(INDEX(装备库!$A$2:$Y$1047,MATCH(ROW()-1,装备库!$AO$2:$AO$1046,0),COLUMN()),"")</f>
        <v>0</v>
      </c>
      <c r="S165">
        <f>IFERROR(INDEX(装备库!$A$2:$Y$1047,MATCH(ROW()-1,装备库!$AO$2:$AO$1046,0),COLUMN()),"")</f>
        <v>0</v>
      </c>
      <c r="T165">
        <f>IFERROR(INDEX(装备库!$A$2:$Y$1047,MATCH(ROW()-1,装备库!$AO$2:$AO$1046,0),COLUMN()),"")</f>
        <v>0</v>
      </c>
      <c r="U165">
        <f>IFERROR(INDEX(装备库!$A$2:$Y$1047,MATCH(ROW()-1,装备库!$AO$2:$AO$1046,0),COLUMN()),"")</f>
        <v>0</v>
      </c>
      <c r="V165">
        <f>IFERROR(INDEX(装备库!$A$2:$Y$1047,MATCH(ROW()-1,装备库!$AO$2:$AO$1046,0),COLUMN()),"")</f>
        <v>0</v>
      </c>
      <c r="W165" t="str">
        <f>IFERROR(INDEX(装备库!$A$2:$Y$1047,MATCH(ROW()-1,装备库!$AO$2:$AO$1046,0),COLUMN()),"")</f>
        <v>会无</v>
      </c>
      <c r="X165">
        <f>IFERROR(INDEX(装备库!$A$2:$Y$1047,MATCH(ROW()-1,装备库!$AO$2:$AO$1046,0),COLUMN()),"")</f>
        <v>6</v>
      </c>
      <c r="Y165" t="str">
        <f>IFERROR(INDEX(装备库!$A$2:$Y$1047,MATCH(ROW()-1,装备库!$AO$2:$AO$1046,0),COLUMN()),"")</f>
        <v>活动</v>
      </c>
    </row>
    <row r="166" spans="1:25" x14ac:dyDescent="0.35">
      <c r="A166" t="str">
        <f>IFERROR(INDEX(装备库!$A$2:$Y$1047,MATCH(ROW()-1,装备库!$AO$2:$AO$1046,0),COLUMN()),"")</f>
        <v>戒指</v>
      </c>
      <c r="B166" t="str">
        <f>IFERROR(INDEX(装备库!$A$2:$Y$1047,MATCH(ROW()-1,装备库!$AO$2:$AO$1046,0),COLUMN()),"")</f>
        <v>临尚戒</v>
      </c>
      <c r="C166">
        <f>IFERROR(INDEX(装备库!$A$2:$Y$1047,MATCH(ROW()-1,装备库!$AO$2:$AO$1046,0),COLUMN()),"")</f>
        <v>10100</v>
      </c>
      <c r="D166" t="str">
        <f>IFERROR(INDEX(装备库!$A$2:$Y$1047,MATCH(ROW()-1,装备库!$AO$2:$AO$1046,0),COLUMN()),"")</f>
        <v>临尚戒(10100会无)</v>
      </c>
      <c r="E166">
        <f>IFERROR(INDEX(装备库!$A$2:$Y$1047,MATCH(ROW()-1,装备库!$AO$2:$AO$1046,0),COLUMN()),"")</f>
        <v>353</v>
      </c>
      <c r="F166">
        <f>IFERROR(INDEX(装备库!$A$2:$Y$1047,MATCH(ROW()-1,装备库!$AO$2:$AO$1046,0),COLUMN()),"")</f>
        <v>572</v>
      </c>
      <c r="G166">
        <f>IFERROR(INDEX(装备库!$A$2:$Y$1047,MATCH(ROW()-1,装备库!$AO$2:$AO$1046,0),COLUMN()),"")</f>
        <v>1769</v>
      </c>
      <c r="H166">
        <f>IFERROR(INDEX(装备库!$A$2:$Y$1047,MATCH(ROW()-1,装备库!$AO$2:$AO$1046,0),COLUMN()),"")</f>
        <v>0</v>
      </c>
      <c r="I166">
        <f>IFERROR(INDEX(装备库!$A$2:$Y$1047,MATCH(ROW()-1,装备库!$AO$2:$AO$1046,0),COLUMN()),"")</f>
        <v>0</v>
      </c>
      <c r="J166">
        <f>IFERROR(INDEX(装备库!$A$2:$Y$1047,MATCH(ROW()-1,装备库!$AO$2:$AO$1046,0),COLUMN()),"")</f>
        <v>0</v>
      </c>
      <c r="K166">
        <f>IFERROR(INDEX(装备库!$A$2:$Y$1047,MATCH(ROW()-1,装备库!$AO$2:$AO$1046,0),COLUMN()),"")</f>
        <v>1573</v>
      </c>
      <c r="L166">
        <f>IFERROR(INDEX(装备库!$A$2:$Y$1047,MATCH(ROW()-1,装备库!$AO$2:$AO$1046,0),COLUMN()),"")</f>
        <v>0</v>
      </c>
      <c r="M166">
        <f>IFERROR(INDEX(装备库!$A$2:$Y$1047,MATCH(ROW()-1,装备库!$AO$2:$AO$1046,0),COLUMN()),"")</f>
        <v>0</v>
      </c>
      <c r="N166">
        <f>IFERROR(INDEX(装备库!$A$2:$Y$1047,MATCH(ROW()-1,装备库!$AO$2:$AO$1046,0),COLUMN()),"")</f>
        <v>0</v>
      </c>
      <c r="O166">
        <f>IFERROR(INDEX(装备库!$A$2:$Y$1047,MATCH(ROW()-1,装备库!$AO$2:$AO$1046,0),COLUMN()),"")</f>
        <v>0</v>
      </c>
      <c r="P166">
        <f>IFERROR(INDEX(装备库!$A$2:$Y$1047,MATCH(ROW()-1,装备库!$AO$2:$AO$1046,0),COLUMN()),"")</f>
        <v>0</v>
      </c>
      <c r="Q166">
        <f>IFERROR(INDEX(装备库!$A$2:$Y$1047,MATCH(ROW()-1,装备库!$AO$2:$AO$1046,0),COLUMN()),"")</f>
        <v>0</v>
      </c>
      <c r="R166">
        <f>IFERROR(INDEX(装备库!$A$2:$Y$1047,MATCH(ROW()-1,装备库!$AO$2:$AO$1046,0),COLUMN()),"")</f>
        <v>0</v>
      </c>
      <c r="S166">
        <f>IFERROR(INDEX(装备库!$A$2:$Y$1047,MATCH(ROW()-1,装备库!$AO$2:$AO$1046,0),COLUMN()),"")</f>
        <v>0</v>
      </c>
      <c r="T166">
        <f>IFERROR(INDEX(装备库!$A$2:$Y$1047,MATCH(ROW()-1,装备库!$AO$2:$AO$1046,0),COLUMN()),"")</f>
        <v>0</v>
      </c>
      <c r="U166">
        <f>IFERROR(INDEX(装备库!$A$2:$Y$1047,MATCH(ROW()-1,装备库!$AO$2:$AO$1046,0),COLUMN()),"")</f>
        <v>0</v>
      </c>
      <c r="V166">
        <f>IFERROR(INDEX(装备库!$A$2:$Y$1047,MATCH(ROW()-1,装备库!$AO$2:$AO$1046,0),COLUMN()),"")</f>
        <v>0</v>
      </c>
      <c r="W166" t="str">
        <f>IFERROR(INDEX(装备库!$A$2:$Y$1047,MATCH(ROW()-1,装备库!$AO$2:$AO$1046,0),COLUMN()),"")</f>
        <v>会无</v>
      </c>
      <c r="X166">
        <f>IFERROR(INDEX(装备库!$A$2:$Y$1047,MATCH(ROW()-1,装备库!$AO$2:$AO$1046,0),COLUMN()),"")</f>
        <v>6</v>
      </c>
      <c r="Y166" t="str">
        <f>IFERROR(INDEX(装备库!$A$2:$Y$1047,MATCH(ROW()-1,装备库!$AO$2:$AO$1046,0),COLUMN()),"")</f>
        <v>声望</v>
      </c>
    </row>
    <row r="167" spans="1:25" x14ac:dyDescent="0.35">
      <c r="A167" t="str">
        <f>IFERROR(INDEX(装备库!$A$2:$Y$1047,MATCH(ROW()-1,装备库!$AO$2:$AO$1046,0),COLUMN()),"")</f>
        <v>戒指</v>
      </c>
      <c r="B167" t="str">
        <f>IFERROR(INDEX(装备库!$A$2:$Y$1047,MATCH(ROW()-1,装备库!$AO$2:$AO$1046,0),COLUMN()),"")</f>
        <v>玄卢戒指</v>
      </c>
      <c r="C167">
        <f>IFERROR(INDEX(装备库!$A$2:$Y$1047,MATCH(ROW()-1,装备库!$AO$2:$AO$1046,0),COLUMN()),"")</f>
        <v>10150</v>
      </c>
      <c r="D167" t="str">
        <f>IFERROR(INDEX(装备库!$A$2:$Y$1047,MATCH(ROW()-1,装备库!$AO$2:$AO$1046,0),COLUMN()),"")</f>
        <v>玄卢戒指(10150招破)</v>
      </c>
      <c r="E167">
        <f>IFERROR(INDEX(装备库!$A$2:$Y$1047,MATCH(ROW()-1,装备库!$AO$2:$AO$1046,0),COLUMN()),"")</f>
        <v>354</v>
      </c>
      <c r="F167">
        <f>IFERROR(INDEX(装备库!$A$2:$Y$1047,MATCH(ROW()-1,装备库!$AO$2:$AO$1046,0),COLUMN()),"")</f>
        <v>575</v>
      </c>
      <c r="G167">
        <f>IFERROR(INDEX(装备库!$A$2:$Y$1047,MATCH(ROW()-1,装备库!$AO$2:$AO$1046,0),COLUMN()),"")</f>
        <v>0</v>
      </c>
      <c r="H167">
        <f>IFERROR(INDEX(装备库!$A$2:$Y$1047,MATCH(ROW()-1,装备库!$AO$2:$AO$1046,0),COLUMN()),"")</f>
        <v>0</v>
      </c>
      <c r="I167">
        <f>IFERROR(INDEX(装备库!$A$2:$Y$1047,MATCH(ROW()-1,装备库!$AO$2:$AO$1046,0),COLUMN()),"")</f>
        <v>1778</v>
      </c>
      <c r="J167">
        <f>IFERROR(INDEX(装备库!$A$2:$Y$1047,MATCH(ROW()-1,装备库!$AO$2:$AO$1046,0),COLUMN()),"")</f>
        <v>1581</v>
      </c>
      <c r="K167">
        <f>IFERROR(INDEX(装备库!$A$2:$Y$1047,MATCH(ROW()-1,装备库!$AO$2:$AO$1046,0),COLUMN()),"")</f>
        <v>0</v>
      </c>
      <c r="L167">
        <f>IFERROR(INDEX(装备库!$A$2:$Y$1047,MATCH(ROW()-1,装备库!$AO$2:$AO$1046,0),COLUMN()),"")</f>
        <v>0</v>
      </c>
      <c r="M167">
        <f>IFERROR(INDEX(装备库!$A$2:$Y$1047,MATCH(ROW()-1,装备库!$AO$2:$AO$1046,0),COLUMN()),"")</f>
        <v>0</v>
      </c>
      <c r="N167">
        <f>IFERROR(INDEX(装备库!$A$2:$Y$1047,MATCH(ROW()-1,装备库!$AO$2:$AO$1046,0),COLUMN()),"")</f>
        <v>0</v>
      </c>
      <c r="O167">
        <f>IFERROR(INDEX(装备库!$A$2:$Y$1047,MATCH(ROW()-1,装备库!$AO$2:$AO$1046,0),COLUMN()),"")</f>
        <v>0</v>
      </c>
      <c r="P167">
        <f>IFERROR(INDEX(装备库!$A$2:$Y$1047,MATCH(ROW()-1,装备库!$AO$2:$AO$1046,0),COLUMN()),"")</f>
        <v>0</v>
      </c>
      <c r="Q167">
        <f>IFERROR(INDEX(装备库!$A$2:$Y$1047,MATCH(ROW()-1,装备库!$AO$2:$AO$1046,0),COLUMN()),"")</f>
        <v>0</v>
      </c>
      <c r="R167">
        <f>IFERROR(INDEX(装备库!$A$2:$Y$1047,MATCH(ROW()-1,装备库!$AO$2:$AO$1046,0),COLUMN()),"")</f>
        <v>0</v>
      </c>
      <c r="S167">
        <f>IFERROR(INDEX(装备库!$A$2:$Y$1047,MATCH(ROW()-1,装备库!$AO$2:$AO$1046,0),COLUMN()),"")</f>
        <v>0</v>
      </c>
      <c r="T167">
        <f>IFERROR(INDEX(装备库!$A$2:$Y$1047,MATCH(ROW()-1,装备库!$AO$2:$AO$1046,0),COLUMN()),"")</f>
        <v>0</v>
      </c>
      <c r="U167">
        <f>IFERROR(INDEX(装备库!$A$2:$Y$1047,MATCH(ROW()-1,装备库!$AO$2:$AO$1046,0),COLUMN()),"")</f>
        <v>0</v>
      </c>
      <c r="V167">
        <f>IFERROR(INDEX(装备库!$A$2:$Y$1047,MATCH(ROW()-1,装备库!$AO$2:$AO$1046,0),COLUMN()),"")</f>
        <v>0</v>
      </c>
      <c r="W167" t="str">
        <f>IFERROR(INDEX(装备库!$A$2:$Y$1047,MATCH(ROW()-1,装备库!$AO$2:$AO$1046,0),COLUMN()),"")</f>
        <v>招破</v>
      </c>
      <c r="X167">
        <f>IFERROR(INDEX(装备库!$A$2:$Y$1047,MATCH(ROW()-1,装备库!$AO$2:$AO$1046,0),COLUMN()),"")</f>
        <v>6</v>
      </c>
      <c r="Y167" t="str">
        <f>IFERROR(INDEX(装备库!$A$2:$Y$1047,MATCH(ROW()-1,装备库!$AO$2:$AO$1046,0),COLUMN()),"")</f>
        <v>副本</v>
      </c>
    </row>
    <row r="168" spans="1:25" x14ac:dyDescent="0.35">
      <c r="A168" t="str">
        <f>IFERROR(INDEX(装备库!$A$2:$Y$1047,MATCH(ROW()-1,装备库!$AO$2:$AO$1046,0),COLUMN()),"")</f>
        <v>戒指</v>
      </c>
      <c r="B168" t="str">
        <f>IFERROR(INDEX(装备库!$A$2:$Y$1047,MATCH(ROW()-1,装备库!$AO$2:$AO$1046,0),COLUMN()),"")</f>
        <v>客行江湖·近楼戒</v>
      </c>
      <c r="C168">
        <f>IFERROR(INDEX(装备库!$A$2:$Y$1047,MATCH(ROW()-1,装备库!$AO$2:$AO$1046,0),COLUMN()),"")</f>
        <v>10150</v>
      </c>
      <c r="D168" t="str">
        <f>IFERROR(INDEX(装备库!$A$2:$Y$1047,MATCH(ROW()-1,装备库!$AO$2:$AO$1046,0),COLUMN()),"")</f>
        <v>客行江湖·近楼戒(10150破无)</v>
      </c>
      <c r="E168">
        <f>IFERROR(INDEX(装备库!$A$2:$Y$1047,MATCH(ROW()-1,装备库!$AO$2:$AO$1046,0),COLUMN()),"")</f>
        <v>354</v>
      </c>
      <c r="F168">
        <f>IFERROR(INDEX(装备库!$A$2:$Y$1047,MATCH(ROW()-1,装备库!$AO$2:$AO$1046,0),COLUMN()),"")</f>
        <v>575</v>
      </c>
      <c r="G168">
        <f>IFERROR(INDEX(装备库!$A$2:$Y$1047,MATCH(ROW()-1,装备库!$AO$2:$AO$1046,0),COLUMN()),"")</f>
        <v>0</v>
      </c>
      <c r="H168">
        <f>IFERROR(INDEX(装备库!$A$2:$Y$1047,MATCH(ROW()-1,装备库!$AO$2:$AO$1046,0),COLUMN()),"")</f>
        <v>0</v>
      </c>
      <c r="I168">
        <f>IFERROR(INDEX(装备库!$A$2:$Y$1047,MATCH(ROW()-1,装备库!$AO$2:$AO$1046,0),COLUMN()),"")</f>
        <v>1778</v>
      </c>
      <c r="J168">
        <f>IFERROR(INDEX(装备库!$A$2:$Y$1047,MATCH(ROW()-1,装备库!$AO$2:$AO$1046,0),COLUMN()),"")</f>
        <v>0</v>
      </c>
      <c r="K168">
        <f>IFERROR(INDEX(装备库!$A$2:$Y$1047,MATCH(ROW()-1,装备库!$AO$2:$AO$1046,0),COLUMN()),"")</f>
        <v>1581</v>
      </c>
      <c r="L168">
        <f>IFERROR(INDEX(装备库!$A$2:$Y$1047,MATCH(ROW()-1,装备库!$AO$2:$AO$1046,0),COLUMN()),"")</f>
        <v>0</v>
      </c>
      <c r="M168">
        <f>IFERROR(INDEX(装备库!$A$2:$Y$1047,MATCH(ROW()-1,装备库!$AO$2:$AO$1046,0),COLUMN()),"")</f>
        <v>0</v>
      </c>
      <c r="N168">
        <f>IFERROR(INDEX(装备库!$A$2:$Y$1047,MATCH(ROW()-1,装备库!$AO$2:$AO$1046,0),COLUMN()),"")</f>
        <v>0</v>
      </c>
      <c r="O168">
        <f>IFERROR(INDEX(装备库!$A$2:$Y$1047,MATCH(ROW()-1,装备库!$AO$2:$AO$1046,0),COLUMN()),"")</f>
        <v>0</v>
      </c>
      <c r="P168">
        <f>IFERROR(INDEX(装备库!$A$2:$Y$1047,MATCH(ROW()-1,装备库!$AO$2:$AO$1046,0),COLUMN()),"")</f>
        <v>0</v>
      </c>
      <c r="Q168">
        <f>IFERROR(INDEX(装备库!$A$2:$Y$1047,MATCH(ROW()-1,装备库!$AO$2:$AO$1046,0),COLUMN()),"")</f>
        <v>0</v>
      </c>
      <c r="R168">
        <f>IFERROR(INDEX(装备库!$A$2:$Y$1047,MATCH(ROW()-1,装备库!$AO$2:$AO$1046,0),COLUMN()),"")</f>
        <v>0</v>
      </c>
      <c r="S168">
        <f>IFERROR(INDEX(装备库!$A$2:$Y$1047,MATCH(ROW()-1,装备库!$AO$2:$AO$1046,0),COLUMN()),"")</f>
        <v>0</v>
      </c>
      <c r="T168">
        <f>IFERROR(INDEX(装备库!$A$2:$Y$1047,MATCH(ROW()-1,装备库!$AO$2:$AO$1046,0),COLUMN()),"")</f>
        <v>0</v>
      </c>
      <c r="U168">
        <f>IFERROR(INDEX(装备库!$A$2:$Y$1047,MATCH(ROW()-1,装备库!$AO$2:$AO$1046,0),COLUMN()),"")</f>
        <v>0</v>
      </c>
      <c r="V168">
        <f>IFERROR(INDEX(装备库!$A$2:$Y$1047,MATCH(ROW()-1,装备库!$AO$2:$AO$1046,0),COLUMN()),"")</f>
        <v>0</v>
      </c>
      <c r="W168" t="str">
        <f>IFERROR(INDEX(装备库!$A$2:$Y$1047,MATCH(ROW()-1,装备库!$AO$2:$AO$1046,0),COLUMN()),"")</f>
        <v>破无</v>
      </c>
      <c r="X168">
        <f>IFERROR(INDEX(装备库!$A$2:$Y$1047,MATCH(ROW()-1,装备库!$AO$2:$AO$1046,0),COLUMN()),"")</f>
        <v>6</v>
      </c>
      <c r="Y168" t="str">
        <f>IFERROR(INDEX(装备库!$A$2:$Y$1047,MATCH(ROW()-1,装备库!$AO$2:$AO$1046,0),COLUMN()),"")</f>
        <v>浪客笺</v>
      </c>
    </row>
    <row r="169" spans="1:25" x14ac:dyDescent="0.35">
      <c r="A169" t="str">
        <f>IFERROR(INDEX(装备库!$A$2:$Y$1047,MATCH(ROW()-1,装备库!$AO$2:$AO$1046,0),COLUMN()),"")</f>
        <v>戒指</v>
      </c>
      <c r="B169" t="str">
        <f>IFERROR(INDEX(装备库!$A$2:$Y$1047,MATCH(ROW()-1,装备库!$AO$2:$AO$1046,0),COLUMN()),"")</f>
        <v>闲月戒</v>
      </c>
      <c r="C169">
        <f>IFERROR(INDEX(装备库!$A$2:$Y$1047,MATCH(ROW()-1,装备库!$AO$2:$AO$1046,0),COLUMN()),"")</f>
        <v>10150</v>
      </c>
      <c r="D169" t="str">
        <f>IFERROR(INDEX(装备库!$A$2:$Y$1047,MATCH(ROW()-1,装备库!$AO$2:$AO$1046,0),COLUMN()),"")</f>
        <v>闲月戒(10150会无)</v>
      </c>
      <c r="E169">
        <f>IFERROR(INDEX(装备库!$A$2:$Y$1047,MATCH(ROW()-1,装备库!$AO$2:$AO$1046,0),COLUMN()),"")</f>
        <v>354</v>
      </c>
      <c r="F169">
        <f>IFERROR(INDEX(装备库!$A$2:$Y$1047,MATCH(ROW()-1,装备库!$AO$2:$AO$1046,0),COLUMN()),"")</f>
        <v>575</v>
      </c>
      <c r="G169">
        <f>IFERROR(INDEX(装备库!$A$2:$Y$1047,MATCH(ROW()-1,装备库!$AO$2:$AO$1046,0),COLUMN()),"")</f>
        <v>1778</v>
      </c>
      <c r="H169">
        <f>IFERROR(INDEX(装备库!$A$2:$Y$1047,MATCH(ROW()-1,装备库!$AO$2:$AO$1046,0),COLUMN()),"")</f>
        <v>0</v>
      </c>
      <c r="I169">
        <f>IFERROR(INDEX(装备库!$A$2:$Y$1047,MATCH(ROW()-1,装备库!$AO$2:$AO$1046,0),COLUMN()),"")</f>
        <v>0</v>
      </c>
      <c r="J169">
        <f>IFERROR(INDEX(装备库!$A$2:$Y$1047,MATCH(ROW()-1,装备库!$AO$2:$AO$1046,0),COLUMN()),"")</f>
        <v>0</v>
      </c>
      <c r="K169">
        <f>IFERROR(INDEX(装备库!$A$2:$Y$1047,MATCH(ROW()-1,装备库!$AO$2:$AO$1046,0),COLUMN()),"")</f>
        <v>1581</v>
      </c>
      <c r="L169">
        <f>IFERROR(INDEX(装备库!$A$2:$Y$1047,MATCH(ROW()-1,装备库!$AO$2:$AO$1046,0),COLUMN()),"")</f>
        <v>0</v>
      </c>
      <c r="M169">
        <f>IFERROR(INDEX(装备库!$A$2:$Y$1047,MATCH(ROW()-1,装备库!$AO$2:$AO$1046,0),COLUMN()),"")</f>
        <v>0</v>
      </c>
      <c r="N169">
        <f>IFERROR(INDEX(装备库!$A$2:$Y$1047,MATCH(ROW()-1,装备库!$AO$2:$AO$1046,0),COLUMN()),"")</f>
        <v>0</v>
      </c>
      <c r="O169">
        <f>IFERROR(INDEX(装备库!$A$2:$Y$1047,MATCH(ROW()-1,装备库!$AO$2:$AO$1046,0),COLUMN()),"")</f>
        <v>0</v>
      </c>
      <c r="P169">
        <f>IFERROR(INDEX(装备库!$A$2:$Y$1047,MATCH(ROW()-1,装备库!$AO$2:$AO$1046,0),COLUMN()),"")</f>
        <v>0</v>
      </c>
      <c r="Q169">
        <f>IFERROR(INDEX(装备库!$A$2:$Y$1047,MATCH(ROW()-1,装备库!$AO$2:$AO$1046,0),COLUMN()),"")</f>
        <v>0</v>
      </c>
      <c r="R169">
        <f>IFERROR(INDEX(装备库!$A$2:$Y$1047,MATCH(ROW()-1,装备库!$AO$2:$AO$1046,0),COLUMN()),"")</f>
        <v>0</v>
      </c>
      <c r="S169">
        <f>IFERROR(INDEX(装备库!$A$2:$Y$1047,MATCH(ROW()-1,装备库!$AO$2:$AO$1046,0),COLUMN()),"")</f>
        <v>0</v>
      </c>
      <c r="T169">
        <f>IFERROR(INDEX(装备库!$A$2:$Y$1047,MATCH(ROW()-1,装备库!$AO$2:$AO$1046,0),COLUMN()),"")</f>
        <v>0</v>
      </c>
      <c r="U169">
        <f>IFERROR(INDEX(装备库!$A$2:$Y$1047,MATCH(ROW()-1,装备库!$AO$2:$AO$1046,0),COLUMN()),"")</f>
        <v>0</v>
      </c>
      <c r="V169">
        <f>IFERROR(INDEX(装备库!$A$2:$Y$1047,MATCH(ROW()-1,装备库!$AO$2:$AO$1046,0),COLUMN()),"")</f>
        <v>0</v>
      </c>
      <c r="W169" t="str">
        <f>IFERROR(INDEX(装备库!$A$2:$Y$1047,MATCH(ROW()-1,装备库!$AO$2:$AO$1046,0),COLUMN()),"")</f>
        <v>会无</v>
      </c>
      <c r="X169">
        <f>IFERROR(INDEX(装备库!$A$2:$Y$1047,MATCH(ROW()-1,装备库!$AO$2:$AO$1046,0),COLUMN()),"")</f>
        <v>6</v>
      </c>
      <c r="Y169" t="str">
        <f>IFERROR(INDEX(装备库!$A$2:$Y$1047,MATCH(ROW()-1,装备库!$AO$2:$AO$1046,0),COLUMN()),"")</f>
        <v>副本</v>
      </c>
    </row>
    <row r="170" spans="1:25" x14ac:dyDescent="0.35">
      <c r="A170" t="str">
        <f>IFERROR(INDEX(装备库!$A$2:$Y$1047,MATCH(ROW()-1,装备库!$AO$2:$AO$1046,0),COLUMN()),"")</f>
        <v>戒指</v>
      </c>
      <c r="B170" t="str">
        <f>IFERROR(INDEX(装备库!$A$2:$Y$1047,MATCH(ROW()-1,装备库!$AO$2:$AO$1046,0),COLUMN()),"")</f>
        <v>微花戒</v>
      </c>
      <c r="C170">
        <f>IFERROR(INDEX(装备库!$A$2:$Y$1047,MATCH(ROW()-1,装备库!$AO$2:$AO$1046,0),COLUMN()),"")</f>
        <v>10400</v>
      </c>
      <c r="D170" t="str">
        <f>IFERROR(INDEX(装备库!$A$2:$Y$1047,MATCH(ROW()-1,装备库!$AO$2:$AO$1046,0),COLUMN()),"")</f>
        <v>微花戒(10400招破)</v>
      </c>
      <c r="E170">
        <f>IFERROR(INDEX(装备库!$A$2:$Y$1047,MATCH(ROW()-1,装备库!$AO$2:$AO$1046,0),COLUMN()),"")</f>
        <v>363</v>
      </c>
      <c r="F170">
        <f>IFERROR(INDEX(装备库!$A$2:$Y$1047,MATCH(ROW()-1,装备库!$AO$2:$AO$1046,0),COLUMN()),"")</f>
        <v>589</v>
      </c>
      <c r="G170">
        <f>IFERROR(INDEX(装备库!$A$2:$Y$1047,MATCH(ROW()-1,装备库!$AO$2:$AO$1046,0),COLUMN()),"")</f>
        <v>0</v>
      </c>
      <c r="H170">
        <f>IFERROR(INDEX(装备库!$A$2:$Y$1047,MATCH(ROW()-1,装备库!$AO$2:$AO$1046,0),COLUMN()),"")</f>
        <v>0</v>
      </c>
      <c r="I170">
        <f>IFERROR(INDEX(装备库!$A$2:$Y$1047,MATCH(ROW()-1,装备库!$AO$2:$AO$1046,0),COLUMN()),"")</f>
        <v>1822</v>
      </c>
      <c r="J170">
        <f>IFERROR(INDEX(装备库!$A$2:$Y$1047,MATCH(ROW()-1,装备库!$AO$2:$AO$1046,0),COLUMN()),"")</f>
        <v>1619</v>
      </c>
      <c r="K170">
        <f>IFERROR(INDEX(装备库!$A$2:$Y$1047,MATCH(ROW()-1,装备库!$AO$2:$AO$1046,0),COLUMN()),"")</f>
        <v>0</v>
      </c>
      <c r="L170">
        <f>IFERROR(INDEX(装备库!$A$2:$Y$1047,MATCH(ROW()-1,装备库!$AO$2:$AO$1046,0),COLUMN()),"")</f>
        <v>0</v>
      </c>
      <c r="M170">
        <f>IFERROR(INDEX(装备库!$A$2:$Y$1047,MATCH(ROW()-1,装备库!$AO$2:$AO$1046,0),COLUMN()),"")</f>
        <v>0</v>
      </c>
      <c r="N170">
        <f>IFERROR(INDEX(装备库!$A$2:$Y$1047,MATCH(ROW()-1,装备库!$AO$2:$AO$1046,0),COLUMN()),"")</f>
        <v>0</v>
      </c>
      <c r="O170">
        <f>IFERROR(INDEX(装备库!$A$2:$Y$1047,MATCH(ROW()-1,装备库!$AO$2:$AO$1046,0),COLUMN()),"")</f>
        <v>0</v>
      </c>
      <c r="P170">
        <f>IFERROR(INDEX(装备库!$A$2:$Y$1047,MATCH(ROW()-1,装备库!$AO$2:$AO$1046,0),COLUMN()),"")</f>
        <v>0</v>
      </c>
      <c r="Q170">
        <f>IFERROR(INDEX(装备库!$A$2:$Y$1047,MATCH(ROW()-1,装备库!$AO$2:$AO$1046,0),COLUMN()),"")</f>
        <v>0</v>
      </c>
      <c r="R170">
        <f>IFERROR(INDEX(装备库!$A$2:$Y$1047,MATCH(ROW()-1,装备库!$AO$2:$AO$1046,0),COLUMN()),"")</f>
        <v>0</v>
      </c>
      <c r="S170">
        <f>IFERROR(INDEX(装备库!$A$2:$Y$1047,MATCH(ROW()-1,装备库!$AO$2:$AO$1046,0),COLUMN()),"")</f>
        <v>0</v>
      </c>
      <c r="T170">
        <f>IFERROR(INDEX(装备库!$A$2:$Y$1047,MATCH(ROW()-1,装备库!$AO$2:$AO$1046,0),COLUMN()),"")</f>
        <v>0</v>
      </c>
      <c r="U170">
        <f>IFERROR(INDEX(装备库!$A$2:$Y$1047,MATCH(ROW()-1,装备库!$AO$2:$AO$1046,0),COLUMN()),"")</f>
        <v>0</v>
      </c>
      <c r="V170">
        <f>IFERROR(INDEX(装备库!$A$2:$Y$1047,MATCH(ROW()-1,装备库!$AO$2:$AO$1046,0),COLUMN()),"")</f>
        <v>0</v>
      </c>
      <c r="W170" t="str">
        <f>IFERROR(INDEX(装备库!$A$2:$Y$1047,MATCH(ROW()-1,装备库!$AO$2:$AO$1046,0),COLUMN()),"")</f>
        <v>招破</v>
      </c>
      <c r="X170">
        <f>IFERROR(INDEX(装备库!$A$2:$Y$1047,MATCH(ROW()-1,装备库!$AO$2:$AO$1046,0),COLUMN()),"")</f>
        <v>6</v>
      </c>
      <c r="Y170" t="str">
        <f>IFERROR(INDEX(装备库!$A$2:$Y$1047,MATCH(ROW()-1,装备库!$AO$2:$AO$1046,0),COLUMN()),"")</f>
        <v>任务</v>
      </c>
    </row>
    <row r="171" spans="1:25" x14ac:dyDescent="0.35">
      <c r="A171" t="str">
        <f>IFERROR(INDEX(装备库!$A$2:$Y$1047,MATCH(ROW()-1,装备库!$AO$2:$AO$1046,0),COLUMN()),"")</f>
        <v>戒指</v>
      </c>
      <c r="B171" t="str">
        <f>IFERROR(INDEX(装备库!$A$2:$Y$1047,MATCH(ROW()-1,装备库!$AO$2:$AO$1046,0),COLUMN()),"")</f>
        <v>微花戒</v>
      </c>
      <c r="C171">
        <f>IFERROR(INDEX(装备库!$A$2:$Y$1047,MATCH(ROW()-1,装备库!$AO$2:$AO$1046,0),COLUMN()),"")</f>
        <v>10400</v>
      </c>
      <c r="D171" t="str">
        <f>IFERROR(INDEX(装备库!$A$2:$Y$1047,MATCH(ROW()-1,装备库!$AO$2:$AO$1046,0),COLUMN()),"")</f>
        <v>微花戒(10400招破)</v>
      </c>
      <c r="E171">
        <f>IFERROR(INDEX(装备库!$A$2:$Y$1047,MATCH(ROW()-1,装备库!$AO$2:$AO$1046,0),COLUMN()),"")</f>
        <v>363</v>
      </c>
      <c r="F171">
        <f>IFERROR(INDEX(装备库!$A$2:$Y$1047,MATCH(ROW()-1,装备库!$AO$2:$AO$1046,0),COLUMN()),"")</f>
        <v>589</v>
      </c>
      <c r="G171">
        <f>IFERROR(INDEX(装备库!$A$2:$Y$1047,MATCH(ROW()-1,装备库!$AO$2:$AO$1046,0),COLUMN()),"")</f>
        <v>0</v>
      </c>
      <c r="H171">
        <f>IFERROR(INDEX(装备库!$A$2:$Y$1047,MATCH(ROW()-1,装备库!$AO$2:$AO$1046,0),COLUMN()),"")</f>
        <v>0</v>
      </c>
      <c r="I171">
        <f>IFERROR(INDEX(装备库!$A$2:$Y$1047,MATCH(ROW()-1,装备库!$AO$2:$AO$1046,0),COLUMN()),"")</f>
        <v>1822</v>
      </c>
      <c r="J171">
        <f>IFERROR(INDEX(装备库!$A$2:$Y$1047,MATCH(ROW()-1,装备库!$AO$2:$AO$1046,0),COLUMN()),"")</f>
        <v>1619</v>
      </c>
      <c r="K171">
        <f>IFERROR(INDEX(装备库!$A$2:$Y$1047,MATCH(ROW()-1,装备库!$AO$2:$AO$1046,0),COLUMN()),"")</f>
        <v>0</v>
      </c>
      <c r="L171">
        <f>IFERROR(INDEX(装备库!$A$2:$Y$1047,MATCH(ROW()-1,装备库!$AO$2:$AO$1046,0),COLUMN()),"")</f>
        <v>0</v>
      </c>
      <c r="M171">
        <f>IFERROR(INDEX(装备库!$A$2:$Y$1047,MATCH(ROW()-1,装备库!$AO$2:$AO$1046,0),COLUMN()),"")</f>
        <v>0</v>
      </c>
      <c r="N171">
        <f>IFERROR(INDEX(装备库!$A$2:$Y$1047,MATCH(ROW()-1,装备库!$AO$2:$AO$1046,0),COLUMN()),"")</f>
        <v>0</v>
      </c>
      <c r="O171">
        <f>IFERROR(INDEX(装备库!$A$2:$Y$1047,MATCH(ROW()-1,装备库!$AO$2:$AO$1046,0),COLUMN()),"")</f>
        <v>0</v>
      </c>
      <c r="P171">
        <f>IFERROR(INDEX(装备库!$A$2:$Y$1047,MATCH(ROW()-1,装备库!$AO$2:$AO$1046,0),COLUMN()),"")</f>
        <v>0</v>
      </c>
      <c r="Q171">
        <f>IFERROR(INDEX(装备库!$A$2:$Y$1047,MATCH(ROW()-1,装备库!$AO$2:$AO$1046,0),COLUMN()),"")</f>
        <v>0</v>
      </c>
      <c r="R171">
        <f>IFERROR(INDEX(装备库!$A$2:$Y$1047,MATCH(ROW()-1,装备库!$AO$2:$AO$1046,0),COLUMN()),"")</f>
        <v>0</v>
      </c>
      <c r="S171">
        <f>IFERROR(INDEX(装备库!$A$2:$Y$1047,MATCH(ROW()-1,装备库!$AO$2:$AO$1046,0),COLUMN()),"")</f>
        <v>0</v>
      </c>
      <c r="T171">
        <f>IFERROR(INDEX(装备库!$A$2:$Y$1047,MATCH(ROW()-1,装备库!$AO$2:$AO$1046,0),COLUMN()),"")</f>
        <v>0</v>
      </c>
      <c r="U171">
        <f>IFERROR(INDEX(装备库!$A$2:$Y$1047,MATCH(ROW()-1,装备库!$AO$2:$AO$1046,0),COLUMN()),"")</f>
        <v>0</v>
      </c>
      <c r="V171">
        <f>IFERROR(INDEX(装备库!$A$2:$Y$1047,MATCH(ROW()-1,装备库!$AO$2:$AO$1046,0),COLUMN()),"")</f>
        <v>0</v>
      </c>
      <c r="W171" t="str">
        <f>IFERROR(INDEX(装备库!$A$2:$Y$1047,MATCH(ROW()-1,装备库!$AO$2:$AO$1046,0),COLUMN()),"")</f>
        <v>招破</v>
      </c>
      <c r="X171">
        <f>IFERROR(INDEX(装备库!$A$2:$Y$1047,MATCH(ROW()-1,装备库!$AO$2:$AO$1046,0),COLUMN()),"")</f>
        <v>6</v>
      </c>
      <c r="Y171" t="str">
        <f>IFERROR(INDEX(装备库!$A$2:$Y$1047,MATCH(ROW()-1,装备库!$AO$2:$AO$1046,0),COLUMN()),"")</f>
        <v>任务</v>
      </c>
    </row>
    <row r="172" spans="1:25" x14ac:dyDescent="0.35">
      <c r="A172" t="str">
        <f>IFERROR(INDEX(装备库!$A$2:$Y$1047,MATCH(ROW()-1,装备库!$AO$2:$AO$1046,0),COLUMN()),"")</f>
        <v>戒指</v>
      </c>
      <c r="B172" t="str">
        <f>IFERROR(INDEX(装备库!$A$2:$Y$1047,MATCH(ROW()-1,装备库!$AO$2:$AO$1046,0),COLUMN()),"")</f>
        <v>暮雨石</v>
      </c>
      <c r="C172">
        <f>IFERROR(INDEX(装备库!$A$2:$Y$1047,MATCH(ROW()-1,装备库!$AO$2:$AO$1046,0),COLUMN()),"")</f>
        <v>10800</v>
      </c>
      <c r="D172" t="str">
        <f>IFERROR(INDEX(装备库!$A$2:$Y$1047,MATCH(ROW()-1,装备库!$AO$2:$AO$1046,0),COLUMN()),"")</f>
        <v>暮雨石(10800会无)</v>
      </c>
      <c r="E172">
        <f>IFERROR(INDEX(装备库!$A$2:$Y$1047,MATCH(ROW()-1,装备库!$AO$2:$AO$1046,0),COLUMN()),"")</f>
        <v>377</v>
      </c>
      <c r="F172">
        <f>IFERROR(INDEX(装备库!$A$2:$Y$1047,MATCH(ROW()-1,装备库!$AO$2:$AO$1046,0),COLUMN()),"")</f>
        <v>612</v>
      </c>
      <c r="G172">
        <f>IFERROR(INDEX(装备库!$A$2:$Y$1047,MATCH(ROW()-1,装备库!$AO$2:$AO$1046,0),COLUMN()),"")</f>
        <v>1892</v>
      </c>
      <c r="H172">
        <f>IFERROR(INDEX(装备库!$A$2:$Y$1047,MATCH(ROW()-1,装备库!$AO$2:$AO$1046,0),COLUMN()),"")</f>
        <v>0</v>
      </c>
      <c r="I172">
        <f>IFERROR(INDEX(装备库!$A$2:$Y$1047,MATCH(ROW()-1,装备库!$AO$2:$AO$1046,0),COLUMN()),"")</f>
        <v>0</v>
      </c>
      <c r="J172">
        <f>IFERROR(INDEX(装备库!$A$2:$Y$1047,MATCH(ROW()-1,装备库!$AO$2:$AO$1046,0),COLUMN()),"")</f>
        <v>0</v>
      </c>
      <c r="K172">
        <f>IFERROR(INDEX(装备库!$A$2:$Y$1047,MATCH(ROW()-1,装备库!$AO$2:$AO$1046,0),COLUMN()),"")</f>
        <v>1682</v>
      </c>
      <c r="L172">
        <f>IFERROR(INDEX(装备库!$A$2:$Y$1047,MATCH(ROW()-1,装备库!$AO$2:$AO$1046,0),COLUMN()),"")</f>
        <v>0</v>
      </c>
      <c r="M172">
        <f>IFERROR(INDEX(装备库!$A$2:$Y$1047,MATCH(ROW()-1,装备库!$AO$2:$AO$1046,0),COLUMN()),"")</f>
        <v>0</v>
      </c>
      <c r="N172">
        <f>IFERROR(INDEX(装备库!$A$2:$Y$1047,MATCH(ROW()-1,装备库!$AO$2:$AO$1046,0),COLUMN()),"")</f>
        <v>0</v>
      </c>
      <c r="O172">
        <f>IFERROR(INDEX(装备库!$A$2:$Y$1047,MATCH(ROW()-1,装备库!$AO$2:$AO$1046,0),COLUMN()),"")</f>
        <v>0</v>
      </c>
      <c r="P172">
        <f>IFERROR(INDEX(装备库!$A$2:$Y$1047,MATCH(ROW()-1,装备库!$AO$2:$AO$1046,0),COLUMN()),"")</f>
        <v>0</v>
      </c>
      <c r="Q172">
        <f>IFERROR(INDEX(装备库!$A$2:$Y$1047,MATCH(ROW()-1,装备库!$AO$2:$AO$1046,0),COLUMN()),"")</f>
        <v>0</v>
      </c>
      <c r="R172">
        <f>IFERROR(INDEX(装备库!$A$2:$Y$1047,MATCH(ROW()-1,装备库!$AO$2:$AO$1046,0),COLUMN()),"")</f>
        <v>0</v>
      </c>
      <c r="S172">
        <f>IFERROR(INDEX(装备库!$A$2:$Y$1047,MATCH(ROW()-1,装备库!$AO$2:$AO$1046,0),COLUMN()),"")</f>
        <v>0</v>
      </c>
      <c r="T172">
        <f>IFERROR(INDEX(装备库!$A$2:$Y$1047,MATCH(ROW()-1,装备库!$AO$2:$AO$1046,0),COLUMN()),"")</f>
        <v>0</v>
      </c>
      <c r="U172">
        <f>IFERROR(INDEX(装备库!$A$2:$Y$1047,MATCH(ROW()-1,装备库!$AO$2:$AO$1046,0),COLUMN()),"")</f>
        <v>0</v>
      </c>
      <c r="V172">
        <f>IFERROR(INDEX(装备库!$A$2:$Y$1047,MATCH(ROW()-1,装备库!$AO$2:$AO$1046,0),COLUMN()),"")</f>
        <v>0</v>
      </c>
      <c r="W172" t="str">
        <f>IFERROR(INDEX(装备库!$A$2:$Y$1047,MATCH(ROW()-1,装备库!$AO$2:$AO$1046,0),COLUMN()),"")</f>
        <v>会无</v>
      </c>
      <c r="X172">
        <f>IFERROR(INDEX(装备库!$A$2:$Y$1047,MATCH(ROW()-1,装备库!$AO$2:$AO$1046,0),COLUMN()),"")</f>
        <v>6</v>
      </c>
      <c r="Y172" t="str">
        <f>IFERROR(INDEX(装备库!$A$2:$Y$1047,MATCH(ROW()-1,装备库!$AO$2:$AO$1046,0),COLUMN()),"")</f>
        <v>活动</v>
      </c>
    </row>
    <row r="173" spans="1:25" x14ac:dyDescent="0.35">
      <c r="A173" t="str">
        <f>IFERROR(INDEX(装备库!$A$2:$Y$1047,MATCH(ROW()-1,装备库!$AO$2:$AO$1046,0),COLUMN()),"")</f>
        <v>戒指</v>
      </c>
      <c r="B173" t="str">
        <f>IFERROR(INDEX(装备库!$A$2:$Y$1047,MATCH(ROW()-1,装备库!$AO$2:$AO$1046,0),COLUMN()),"")</f>
        <v>旋山指环</v>
      </c>
      <c r="C173">
        <f>IFERROR(INDEX(装备库!$A$2:$Y$1047,MATCH(ROW()-1,装备库!$AO$2:$AO$1046,0),COLUMN()),"")</f>
        <v>11150</v>
      </c>
      <c r="D173" t="str">
        <f>IFERROR(INDEX(装备库!$A$2:$Y$1047,MATCH(ROW()-1,装备库!$AO$2:$AO$1046,0),COLUMN()),"")</f>
        <v>旋山指环(11150招破)</v>
      </c>
      <c r="E173">
        <f>IFERROR(INDEX(装备库!$A$2:$Y$1047,MATCH(ROW()-1,装备库!$AO$2:$AO$1046,0),COLUMN()),"")</f>
        <v>389</v>
      </c>
      <c r="F173">
        <f>IFERROR(INDEX(装备库!$A$2:$Y$1047,MATCH(ROW()-1,装备库!$AO$2:$AO$1046,0),COLUMN()),"")</f>
        <v>632</v>
      </c>
      <c r="G173">
        <f>IFERROR(INDEX(装备库!$A$2:$Y$1047,MATCH(ROW()-1,装备库!$AO$2:$AO$1046,0),COLUMN()),"")</f>
        <v>0</v>
      </c>
      <c r="H173">
        <f>IFERROR(INDEX(装备库!$A$2:$Y$1047,MATCH(ROW()-1,装备库!$AO$2:$AO$1046,0),COLUMN()),"")</f>
        <v>0</v>
      </c>
      <c r="I173">
        <f>IFERROR(INDEX(装备库!$A$2:$Y$1047,MATCH(ROW()-1,装备库!$AO$2:$AO$1046,0),COLUMN()),"")</f>
        <v>1953</v>
      </c>
      <c r="J173">
        <f>IFERROR(INDEX(装备库!$A$2:$Y$1047,MATCH(ROW()-1,装备库!$AO$2:$AO$1046,0),COLUMN()),"")</f>
        <v>1736</v>
      </c>
      <c r="K173">
        <f>IFERROR(INDEX(装备库!$A$2:$Y$1047,MATCH(ROW()-1,装备库!$AO$2:$AO$1046,0),COLUMN()),"")</f>
        <v>0</v>
      </c>
      <c r="L173">
        <f>IFERROR(INDEX(装备库!$A$2:$Y$1047,MATCH(ROW()-1,装备库!$AO$2:$AO$1046,0),COLUMN()),"")</f>
        <v>0</v>
      </c>
      <c r="M173">
        <f>IFERROR(INDEX(装备库!$A$2:$Y$1047,MATCH(ROW()-1,装备库!$AO$2:$AO$1046,0),COLUMN()),"")</f>
        <v>0</v>
      </c>
      <c r="N173">
        <f>IFERROR(INDEX(装备库!$A$2:$Y$1047,MATCH(ROW()-1,装备库!$AO$2:$AO$1046,0),COLUMN()),"")</f>
        <v>0</v>
      </c>
      <c r="O173">
        <f>IFERROR(INDEX(装备库!$A$2:$Y$1047,MATCH(ROW()-1,装备库!$AO$2:$AO$1046,0),COLUMN()),"")</f>
        <v>0</v>
      </c>
      <c r="P173">
        <f>IFERROR(INDEX(装备库!$A$2:$Y$1047,MATCH(ROW()-1,装备库!$AO$2:$AO$1046,0),COLUMN()),"")</f>
        <v>0</v>
      </c>
      <c r="Q173">
        <f>IFERROR(INDEX(装备库!$A$2:$Y$1047,MATCH(ROW()-1,装备库!$AO$2:$AO$1046,0),COLUMN()),"")</f>
        <v>0</v>
      </c>
      <c r="R173">
        <f>IFERROR(INDEX(装备库!$A$2:$Y$1047,MATCH(ROW()-1,装备库!$AO$2:$AO$1046,0),COLUMN()),"")</f>
        <v>0</v>
      </c>
      <c r="S173">
        <f>IFERROR(INDEX(装备库!$A$2:$Y$1047,MATCH(ROW()-1,装备库!$AO$2:$AO$1046,0),COLUMN()),"")</f>
        <v>0</v>
      </c>
      <c r="T173">
        <f>IFERROR(INDEX(装备库!$A$2:$Y$1047,MATCH(ROW()-1,装备库!$AO$2:$AO$1046,0),COLUMN()),"")</f>
        <v>0</v>
      </c>
      <c r="U173">
        <f>IFERROR(INDEX(装备库!$A$2:$Y$1047,MATCH(ROW()-1,装备库!$AO$2:$AO$1046,0),COLUMN()),"")</f>
        <v>0</v>
      </c>
      <c r="V173">
        <f>IFERROR(INDEX(装备库!$A$2:$Y$1047,MATCH(ROW()-1,装备库!$AO$2:$AO$1046,0),COLUMN()),"")</f>
        <v>0</v>
      </c>
      <c r="W173" t="str">
        <f>IFERROR(INDEX(装备库!$A$2:$Y$1047,MATCH(ROW()-1,装备库!$AO$2:$AO$1046,0),COLUMN()),"")</f>
        <v>招破</v>
      </c>
      <c r="X173">
        <f>IFERROR(INDEX(装备库!$A$2:$Y$1047,MATCH(ROW()-1,装备库!$AO$2:$AO$1046,0),COLUMN()),"")</f>
        <v>6</v>
      </c>
      <c r="Y173" t="str">
        <f>IFERROR(INDEX(装备库!$A$2:$Y$1047,MATCH(ROW()-1,装备库!$AO$2:$AO$1046,0),COLUMN()),"")</f>
        <v>副本</v>
      </c>
    </row>
    <row r="174" spans="1:25" x14ac:dyDescent="0.35">
      <c r="A174" t="str">
        <f>IFERROR(INDEX(装备库!$A$2:$Y$1047,MATCH(ROW()-1,装备库!$AO$2:$AO$1046,0),COLUMN()),"")</f>
        <v>戒指</v>
      </c>
      <c r="B174" t="str">
        <f>IFERROR(INDEX(装备库!$A$2:$Y$1047,MATCH(ROW()-1,装备库!$AO$2:$AO$1046,0),COLUMN()),"")</f>
        <v>客行江湖·凶炽戒</v>
      </c>
      <c r="C174">
        <f>IFERROR(INDEX(装备库!$A$2:$Y$1047,MATCH(ROW()-1,装备库!$AO$2:$AO$1046,0),COLUMN()),"")</f>
        <v>11150</v>
      </c>
      <c r="D174" t="str">
        <f>IFERROR(INDEX(装备库!$A$2:$Y$1047,MATCH(ROW()-1,装备库!$AO$2:$AO$1046,0),COLUMN()),"")</f>
        <v>客行江湖·凶炽戒(11150破无)</v>
      </c>
      <c r="E174">
        <f>IFERROR(INDEX(装备库!$A$2:$Y$1047,MATCH(ROW()-1,装备库!$AO$2:$AO$1046,0),COLUMN()),"")</f>
        <v>389</v>
      </c>
      <c r="F174">
        <f>IFERROR(INDEX(装备库!$A$2:$Y$1047,MATCH(ROW()-1,装备库!$AO$2:$AO$1046,0),COLUMN()),"")</f>
        <v>632</v>
      </c>
      <c r="G174">
        <f>IFERROR(INDEX(装备库!$A$2:$Y$1047,MATCH(ROW()-1,装备库!$AO$2:$AO$1046,0),COLUMN()),"")</f>
        <v>0</v>
      </c>
      <c r="H174">
        <f>IFERROR(INDEX(装备库!$A$2:$Y$1047,MATCH(ROW()-1,装备库!$AO$2:$AO$1046,0),COLUMN()),"")</f>
        <v>0</v>
      </c>
      <c r="I174">
        <f>IFERROR(INDEX(装备库!$A$2:$Y$1047,MATCH(ROW()-1,装备库!$AO$2:$AO$1046,0),COLUMN()),"")</f>
        <v>1953</v>
      </c>
      <c r="J174">
        <f>IFERROR(INDEX(装备库!$A$2:$Y$1047,MATCH(ROW()-1,装备库!$AO$2:$AO$1046,0),COLUMN()),"")</f>
        <v>0</v>
      </c>
      <c r="K174">
        <f>IFERROR(INDEX(装备库!$A$2:$Y$1047,MATCH(ROW()-1,装备库!$AO$2:$AO$1046,0),COLUMN()),"")</f>
        <v>1736</v>
      </c>
      <c r="L174">
        <f>IFERROR(INDEX(装备库!$A$2:$Y$1047,MATCH(ROW()-1,装备库!$AO$2:$AO$1046,0),COLUMN()),"")</f>
        <v>0</v>
      </c>
      <c r="M174">
        <f>IFERROR(INDEX(装备库!$A$2:$Y$1047,MATCH(ROW()-1,装备库!$AO$2:$AO$1046,0),COLUMN()),"")</f>
        <v>0</v>
      </c>
      <c r="N174">
        <f>IFERROR(INDEX(装备库!$A$2:$Y$1047,MATCH(ROW()-1,装备库!$AO$2:$AO$1046,0),COLUMN()),"")</f>
        <v>0</v>
      </c>
      <c r="O174">
        <f>IFERROR(INDEX(装备库!$A$2:$Y$1047,MATCH(ROW()-1,装备库!$AO$2:$AO$1046,0),COLUMN()),"")</f>
        <v>0</v>
      </c>
      <c r="P174">
        <f>IFERROR(INDEX(装备库!$A$2:$Y$1047,MATCH(ROW()-1,装备库!$AO$2:$AO$1046,0),COLUMN()),"")</f>
        <v>0</v>
      </c>
      <c r="Q174">
        <f>IFERROR(INDEX(装备库!$A$2:$Y$1047,MATCH(ROW()-1,装备库!$AO$2:$AO$1046,0),COLUMN()),"")</f>
        <v>0</v>
      </c>
      <c r="R174">
        <f>IFERROR(INDEX(装备库!$A$2:$Y$1047,MATCH(ROW()-1,装备库!$AO$2:$AO$1046,0),COLUMN()),"")</f>
        <v>0</v>
      </c>
      <c r="S174">
        <f>IFERROR(INDEX(装备库!$A$2:$Y$1047,MATCH(ROW()-1,装备库!$AO$2:$AO$1046,0),COLUMN()),"")</f>
        <v>0</v>
      </c>
      <c r="T174">
        <f>IFERROR(INDEX(装备库!$A$2:$Y$1047,MATCH(ROW()-1,装备库!$AO$2:$AO$1046,0),COLUMN()),"")</f>
        <v>0</v>
      </c>
      <c r="U174">
        <f>IFERROR(INDEX(装备库!$A$2:$Y$1047,MATCH(ROW()-1,装备库!$AO$2:$AO$1046,0),COLUMN()),"")</f>
        <v>0</v>
      </c>
      <c r="V174">
        <f>IFERROR(INDEX(装备库!$A$2:$Y$1047,MATCH(ROW()-1,装备库!$AO$2:$AO$1046,0),COLUMN()),"")</f>
        <v>0</v>
      </c>
      <c r="W174" t="str">
        <f>IFERROR(INDEX(装备库!$A$2:$Y$1047,MATCH(ROW()-1,装备库!$AO$2:$AO$1046,0),COLUMN()),"")</f>
        <v>破无</v>
      </c>
      <c r="X174">
        <f>IFERROR(INDEX(装备库!$A$2:$Y$1047,MATCH(ROW()-1,装备库!$AO$2:$AO$1046,0),COLUMN()),"")</f>
        <v>6</v>
      </c>
      <c r="Y174" t="str">
        <f>IFERROR(INDEX(装备库!$A$2:$Y$1047,MATCH(ROW()-1,装备库!$AO$2:$AO$1046,0),COLUMN()),"")</f>
        <v>浪客笺</v>
      </c>
    </row>
    <row r="175" spans="1:25" x14ac:dyDescent="0.35">
      <c r="A175" t="str">
        <f>IFERROR(INDEX(装备库!$A$2:$Y$1047,MATCH(ROW()-1,装备库!$AO$2:$AO$1046,0),COLUMN()),"")</f>
        <v>戒指</v>
      </c>
      <c r="B175" t="str">
        <f>IFERROR(INDEX(装备库!$A$2:$Y$1047,MATCH(ROW()-1,装备库!$AO$2:$AO$1046,0),COLUMN()),"")</f>
        <v>湘灿戒</v>
      </c>
      <c r="C175">
        <f>IFERROR(INDEX(装备库!$A$2:$Y$1047,MATCH(ROW()-1,装备库!$AO$2:$AO$1046,0),COLUMN()),"")</f>
        <v>11150</v>
      </c>
      <c r="D175" t="str">
        <f>IFERROR(INDEX(装备库!$A$2:$Y$1047,MATCH(ROW()-1,装备库!$AO$2:$AO$1046,0),COLUMN()),"")</f>
        <v>湘灿戒(11150会招)</v>
      </c>
      <c r="E175">
        <f>IFERROR(INDEX(装备库!$A$2:$Y$1047,MATCH(ROW()-1,装备库!$AO$2:$AO$1046,0),COLUMN()),"")</f>
        <v>389</v>
      </c>
      <c r="F175">
        <f>IFERROR(INDEX(装备库!$A$2:$Y$1047,MATCH(ROW()-1,装备库!$AO$2:$AO$1046,0),COLUMN()),"")</f>
        <v>632</v>
      </c>
      <c r="G175">
        <f>IFERROR(INDEX(装备库!$A$2:$Y$1047,MATCH(ROW()-1,装备库!$AO$2:$AO$1046,0),COLUMN()),"")</f>
        <v>1953</v>
      </c>
      <c r="H175">
        <f>IFERROR(INDEX(装备库!$A$2:$Y$1047,MATCH(ROW()-1,装备库!$AO$2:$AO$1046,0),COLUMN()),"")</f>
        <v>0</v>
      </c>
      <c r="I175">
        <f>IFERROR(INDEX(装备库!$A$2:$Y$1047,MATCH(ROW()-1,装备库!$AO$2:$AO$1046,0),COLUMN()),"")</f>
        <v>0</v>
      </c>
      <c r="J175">
        <f>IFERROR(INDEX(装备库!$A$2:$Y$1047,MATCH(ROW()-1,装备库!$AO$2:$AO$1046,0),COLUMN()),"")</f>
        <v>1736</v>
      </c>
      <c r="K175">
        <f>IFERROR(INDEX(装备库!$A$2:$Y$1047,MATCH(ROW()-1,装备库!$AO$2:$AO$1046,0),COLUMN()),"")</f>
        <v>0</v>
      </c>
      <c r="L175">
        <f>IFERROR(INDEX(装备库!$A$2:$Y$1047,MATCH(ROW()-1,装备库!$AO$2:$AO$1046,0),COLUMN()),"")</f>
        <v>0</v>
      </c>
      <c r="M175">
        <f>IFERROR(INDEX(装备库!$A$2:$Y$1047,MATCH(ROW()-1,装备库!$AO$2:$AO$1046,0),COLUMN()),"")</f>
        <v>0</v>
      </c>
      <c r="N175">
        <f>IFERROR(INDEX(装备库!$A$2:$Y$1047,MATCH(ROW()-1,装备库!$AO$2:$AO$1046,0),COLUMN()),"")</f>
        <v>0</v>
      </c>
      <c r="O175">
        <f>IFERROR(INDEX(装备库!$A$2:$Y$1047,MATCH(ROW()-1,装备库!$AO$2:$AO$1046,0),COLUMN()),"")</f>
        <v>0</v>
      </c>
      <c r="P175">
        <f>IFERROR(INDEX(装备库!$A$2:$Y$1047,MATCH(ROW()-1,装备库!$AO$2:$AO$1046,0),COLUMN()),"")</f>
        <v>0</v>
      </c>
      <c r="Q175">
        <f>IFERROR(INDEX(装备库!$A$2:$Y$1047,MATCH(ROW()-1,装备库!$AO$2:$AO$1046,0),COLUMN()),"")</f>
        <v>0</v>
      </c>
      <c r="R175">
        <f>IFERROR(INDEX(装备库!$A$2:$Y$1047,MATCH(ROW()-1,装备库!$AO$2:$AO$1046,0),COLUMN()),"")</f>
        <v>0</v>
      </c>
      <c r="S175">
        <f>IFERROR(INDEX(装备库!$A$2:$Y$1047,MATCH(ROW()-1,装备库!$AO$2:$AO$1046,0),COLUMN()),"")</f>
        <v>0</v>
      </c>
      <c r="T175">
        <f>IFERROR(INDEX(装备库!$A$2:$Y$1047,MATCH(ROW()-1,装备库!$AO$2:$AO$1046,0),COLUMN()),"")</f>
        <v>0</v>
      </c>
      <c r="U175">
        <f>IFERROR(INDEX(装备库!$A$2:$Y$1047,MATCH(ROW()-1,装备库!$AO$2:$AO$1046,0),COLUMN()),"")</f>
        <v>0</v>
      </c>
      <c r="V175">
        <f>IFERROR(INDEX(装备库!$A$2:$Y$1047,MATCH(ROW()-1,装备库!$AO$2:$AO$1046,0),COLUMN()),"")</f>
        <v>0</v>
      </c>
      <c r="W175" t="str">
        <f>IFERROR(INDEX(装备库!$A$2:$Y$1047,MATCH(ROW()-1,装备库!$AO$2:$AO$1046,0),COLUMN()),"")</f>
        <v>会招</v>
      </c>
      <c r="X175">
        <f>IFERROR(INDEX(装备库!$A$2:$Y$1047,MATCH(ROW()-1,装备库!$AO$2:$AO$1046,0),COLUMN()),"")</f>
        <v>6</v>
      </c>
      <c r="Y175" t="str">
        <f>IFERROR(INDEX(装备库!$A$2:$Y$1047,MATCH(ROW()-1,装备库!$AO$2:$AO$1046,0),COLUMN()),"")</f>
        <v>世界BOSS</v>
      </c>
    </row>
    <row r="176" spans="1:25" x14ac:dyDescent="0.35">
      <c r="A176" t="str">
        <f>IFERROR(INDEX(装备库!$A$2:$Y$1047,MATCH(ROW()-1,装备库!$AO$2:$AO$1046,0),COLUMN()),"")</f>
        <v>戒指</v>
      </c>
      <c r="B176" t="str">
        <f>IFERROR(INDEX(装备库!$A$2:$Y$1047,MATCH(ROW()-1,装备库!$AO$2:$AO$1046,0),COLUMN()),"")</f>
        <v>烟梦戒</v>
      </c>
      <c r="C176">
        <f>IFERROR(INDEX(装备库!$A$2:$Y$1047,MATCH(ROW()-1,装备库!$AO$2:$AO$1046,0),COLUMN()),"")</f>
        <v>11150</v>
      </c>
      <c r="D176" t="str">
        <f>IFERROR(INDEX(装备库!$A$2:$Y$1047,MATCH(ROW()-1,装备库!$AO$2:$AO$1046,0),COLUMN()),"")</f>
        <v>烟梦戒(11150会无)</v>
      </c>
      <c r="E176">
        <f>IFERROR(INDEX(装备库!$A$2:$Y$1047,MATCH(ROW()-1,装备库!$AO$2:$AO$1046,0),COLUMN()),"")</f>
        <v>389</v>
      </c>
      <c r="F176">
        <f>IFERROR(INDEX(装备库!$A$2:$Y$1047,MATCH(ROW()-1,装备库!$AO$2:$AO$1046,0),COLUMN()),"")</f>
        <v>632</v>
      </c>
      <c r="G176">
        <f>IFERROR(INDEX(装备库!$A$2:$Y$1047,MATCH(ROW()-1,装备库!$AO$2:$AO$1046,0),COLUMN()),"")</f>
        <v>1953</v>
      </c>
      <c r="H176">
        <f>IFERROR(INDEX(装备库!$A$2:$Y$1047,MATCH(ROW()-1,装备库!$AO$2:$AO$1046,0),COLUMN()),"")</f>
        <v>0</v>
      </c>
      <c r="I176">
        <f>IFERROR(INDEX(装备库!$A$2:$Y$1047,MATCH(ROW()-1,装备库!$AO$2:$AO$1046,0),COLUMN()),"")</f>
        <v>0</v>
      </c>
      <c r="J176">
        <f>IFERROR(INDEX(装备库!$A$2:$Y$1047,MATCH(ROW()-1,装备库!$AO$2:$AO$1046,0),COLUMN()),"")</f>
        <v>0</v>
      </c>
      <c r="K176">
        <f>IFERROR(INDEX(装备库!$A$2:$Y$1047,MATCH(ROW()-1,装备库!$AO$2:$AO$1046,0),COLUMN()),"")</f>
        <v>1736</v>
      </c>
      <c r="L176">
        <f>IFERROR(INDEX(装备库!$A$2:$Y$1047,MATCH(ROW()-1,装备库!$AO$2:$AO$1046,0),COLUMN()),"")</f>
        <v>0</v>
      </c>
      <c r="M176">
        <f>IFERROR(INDEX(装备库!$A$2:$Y$1047,MATCH(ROW()-1,装备库!$AO$2:$AO$1046,0),COLUMN()),"")</f>
        <v>0</v>
      </c>
      <c r="N176">
        <f>IFERROR(INDEX(装备库!$A$2:$Y$1047,MATCH(ROW()-1,装备库!$AO$2:$AO$1046,0),COLUMN()),"")</f>
        <v>0</v>
      </c>
      <c r="O176">
        <f>IFERROR(INDEX(装备库!$A$2:$Y$1047,MATCH(ROW()-1,装备库!$AO$2:$AO$1046,0),COLUMN()),"")</f>
        <v>0</v>
      </c>
      <c r="P176">
        <f>IFERROR(INDEX(装备库!$A$2:$Y$1047,MATCH(ROW()-1,装备库!$AO$2:$AO$1046,0),COLUMN()),"")</f>
        <v>0</v>
      </c>
      <c r="Q176">
        <f>IFERROR(INDEX(装备库!$A$2:$Y$1047,MATCH(ROW()-1,装备库!$AO$2:$AO$1046,0),COLUMN()),"")</f>
        <v>0</v>
      </c>
      <c r="R176">
        <f>IFERROR(INDEX(装备库!$A$2:$Y$1047,MATCH(ROW()-1,装备库!$AO$2:$AO$1046,0),COLUMN()),"")</f>
        <v>0</v>
      </c>
      <c r="S176">
        <f>IFERROR(INDEX(装备库!$A$2:$Y$1047,MATCH(ROW()-1,装备库!$AO$2:$AO$1046,0),COLUMN()),"")</f>
        <v>0</v>
      </c>
      <c r="T176">
        <f>IFERROR(INDEX(装备库!$A$2:$Y$1047,MATCH(ROW()-1,装备库!$AO$2:$AO$1046,0),COLUMN()),"")</f>
        <v>0</v>
      </c>
      <c r="U176">
        <f>IFERROR(INDEX(装备库!$A$2:$Y$1047,MATCH(ROW()-1,装备库!$AO$2:$AO$1046,0),COLUMN()),"")</f>
        <v>0</v>
      </c>
      <c r="V176">
        <f>IFERROR(INDEX(装备库!$A$2:$Y$1047,MATCH(ROW()-1,装备库!$AO$2:$AO$1046,0),COLUMN()),"")</f>
        <v>0</v>
      </c>
      <c r="W176" t="str">
        <f>IFERROR(INDEX(装备库!$A$2:$Y$1047,MATCH(ROW()-1,装备库!$AO$2:$AO$1046,0),COLUMN()),"")</f>
        <v>会无</v>
      </c>
      <c r="X176">
        <f>IFERROR(INDEX(装备库!$A$2:$Y$1047,MATCH(ROW()-1,装备库!$AO$2:$AO$1046,0),COLUMN()),"")</f>
        <v>6</v>
      </c>
      <c r="Y176" t="str">
        <f>IFERROR(INDEX(装备库!$A$2:$Y$1047,MATCH(ROW()-1,装备库!$AO$2:$AO$1046,0),COLUMN()),"")</f>
        <v>副本</v>
      </c>
    </row>
    <row r="177" spans="1:25" x14ac:dyDescent="0.35">
      <c r="A177" t="str">
        <f>IFERROR(INDEX(装备库!$A$2:$Y$1047,MATCH(ROW()-1,装备库!$AO$2:$AO$1046,0),COLUMN()),"")</f>
        <v>戒指</v>
      </c>
      <c r="B177" t="str">
        <f>IFERROR(INDEX(装备库!$A$2:$Y$1047,MATCH(ROW()-1,装备库!$AO$2:$AO$1046,0),COLUMN()),"")</f>
        <v>休倚戒</v>
      </c>
      <c r="C177">
        <f>IFERROR(INDEX(装备库!$A$2:$Y$1047,MATCH(ROW()-1,装备库!$AO$2:$AO$1046,0),COLUMN()),"")</f>
        <v>11150</v>
      </c>
      <c r="D177" t="str">
        <f>IFERROR(INDEX(装备库!$A$2:$Y$1047,MATCH(ROW()-1,装备库!$AO$2:$AO$1046,0),COLUMN()),"")</f>
        <v>休倚戒(11150精简体攻招破)</v>
      </c>
      <c r="E177">
        <f>IFERROR(INDEX(装备库!$A$2:$Y$1047,MATCH(ROW()-1,装备库!$AO$2:$AO$1046,0),COLUMN()),"")</f>
        <v>0</v>
      </c>
      <c r="F177">
        <f>IFERROR(INDEX(装备库!$A$2:$Y$1047,MATCH(ROW()-1,装备库!$AO$2:$AO$1046,0),COLUMN()),"")</f>
        <v>1360</v>
      </c>
      <c r="G177">
        <f>IFERROR(INDEX(装备库!$A$2:$Y$1047,MATCH(ROW()-1,装备库!$AO$2:$AO$1046,0),COLUMN()),"")</f>
        <v>0</v>
      </c>
      <c r="H177">
        <f>IFERROR(INDEX(装备库!$A$2:$Y$1047,MATCH(ROW()-1,装备库!$AO$2:$AO$1046,0),COLUMN()),"")</f>
        <v>0</v>
      </c>
      <c r="I177">
        <f>IFERROR(INDEX(装备库!$A$2:$Y$1047,MATCH(ROW()-1,装备库!$AO$2:$AO$1046,0),COLUMN()),"")</f>
        <v>2062</v>
      </c>
      <c r="J177">
        <f>IFERROR(INDEX(装备库!$A$2:$Y$1047,MATCH(ROW()-1,装备库!$AO$2:$AO$1046,0),COLUMN()),"")</f>
        <v>2062</v>
      </c>
      <c r="K177">
        <f>IFERROR(INDEX(装备库!$A$2:$Y$1047,MATCH(ROW()-1,装备库!$AO$2:$AO$1046,0),COLUMN()),"")</f>
        <v>0</v>
      </c>
      <c r="L177">
        <f>IFERROR(INDEX(装备库!$A$2:$Y$1047,MATCH(ROW()-1,装备库!$AO$2:$AO$1046,0),COLUMN()),"")</f>
        <v>0</v>
      </c>
      <c r="M177">
        <f>IFERROR(INDEX(装备库!$A$2:$Y$1047,MATCH(ROW()-1,装备库!$AO$2:$AO$1046,0),COLUMN()),"")</f>
        <v>0</v>
      </c>
      <c r="N177">
        <f>IFERROR(INDEX(装备库!$A$2:$Y$1047,MATCH(ROW()-1,装备库!$AO$2:$AO$1046,0),COLUMN()),"")</f>
        <v>0</v>
      </c>
      <c r="O177">
        <f>IFERROR(INDEX(装备库!$A$2:$Y$1047,MATCH(ROW()-1,装备库!$AO$2:$AO$1046,0),COLUMN()),"")</f>
        <v>0</v>
      </c>
      <c r="P177">
        <f>IFERROR(INDEX(装备库!$A$2:$Y$1047,MATCH(ROW()-1,装备库!$AO$2:$AO$1046,0),COLUMN()),"")</f>
        <v>0</v>
      </c>
      <c r="Q177">
        <f>IFERROR(INDEX(装备库!$A$2:$Y$1047,MATCH(ROW()-1,装备库!$AO$2:$AO$1046,0),COLUMN()),"")</f>
        <v>0</v>
      </c>
      <c r="R177">
        <f>IFERROR(INDEX(装备库!$A$2:$Y$1047,MATCH(ROW()-1,装备库!$AO$2:$AO$1046,0),COLUMN()),"")</f>
        <v>0</v>
      </c>
      <c r="S177">
        <f>IFERROR(INDEX(装备库!$A$2:$Y$1047,MATCH(ROW()-1,装备库!$AO$2:$AO$1046,0),COLUMN()),"")</f>
        <v>0</v>
      </c>
      <c r="T177">
        <f>IFERROR(INDEX(装备库!$A$2:$Y$1047,MATCH(ROW()-1,装备库!$AO$2:$AO$1046,0),COLUMN()),"")</f>
        <v>0</v>
      </c>
      <c r="U177">
        <f>IFERROR(INDEX(装备库!$A$2:$Y$1047,MATCH(ROW()-1,装备库!$AO$2:$AO$1046,0),COLUMN()),"")</f>
        <v>0</v>
      </c>
      <c r="V177">
        <f>IFERROR(INDEX(装备库!$A$2:$Y$1047,MATCH(ROW()-1,装备库!$AO$2:$AO$1046,0),COLUMN()),"")</f>
        <v>0</v>
      </c>
      <c r="W177" t="str">
        <f>IFERROR(INDEX(装备库!$A$2:$Y$1047,MATCH(ROW()-1,装备库!$AO$2:$AO$1046,0),COLUMN()),"")</f>
        <v>精简体攻招破</v>
      </c>
      <c r="X177">
        <f>IFERROR(INDEX(装备库!$A$2:$Y$1047,MATCH(ROW()-1,装备库!$AO$2:$AO$1046,0),COLUMN()),"")</f>
        <v>4</v>
      </c>
      <c r="Y177" t="str">
        <f>IFERROR(INDEX(装备库!$A$2:$Y$1047,MATCH(ROW()-1,装备库!$AO$2:$AO$1046,0),COLUMN()),"")</f>
        <v>副本</v>
      </c>
    </row>
    <row r="178" spans="1:25" x14ac:dyDescent="0.35">
      <c r="A178" t="str">
        <f>IFERROR(INDEX(装备库!$A$2:$Y$1047,MATCH(ROW()-1,装备库!$AO$2:$AO$1046,0),COLUMN()),"")</f>
        <v>戒指</v>
      </c>
      <c r="B178" t="str">
        <f>IFERROR(INDEX(装备库!$A$2:$Y$1047,MATCH(ROW()-1,装备库!$AO$2:$AO$1046,0),COLUMN()),"")</f>
        <v>容与戒</v>
      </c>
      <c r="C178">
        <f>IFERROR(INDEX(装备库!$A$2:$Y$1047,MATCH(ROW()-1,装备库!$AO$2:$AO$1046,0),COLUMN()),"")</f>
        <v>11150</v>
      </c>
      <c r="D178" t="str">
        <f>IFERROR(INDEX(装备库!$A$2:$Y$1047,MATCH(ROW()-1,装备库!$AO$2:$AO$1046,0),COLUMN()),"")</f>
        <v>容与戒(11150精简体攻无)</v>
      </c>
      <c r="E178">
        <f>IFERROR(INDEX(装备库!$A$2:$Y$1047,MATCH(ROW()-1,装备库!$AO$2:$AO$1046,0),COLUMN()),"")</f>
        <v>0</v>
      </c>
      <c r="F178">
        <f>IFERROR(INDEX(装备库!$A$2:$Y$1047,MATCH(ROW()-1,装备库!$AO$2:$AO$1046,0),COLUMN()),"")</f>
        <v>1652</v>
      </c>
      <c r="G178">
        <f>IFERROR(INDEX(装备库!$A$2:$Y$1047,MATCH(ROW()-1,装备库!$AO$2:$AO$1046,0),COLUMN()),"")</f>
        <v>0</v>
      </c>
      <c r="H178">
        <f>IFERROR(INDEX(装备库!$A$2:$Y$1047,MATCH(ROW()-1,装备库!$AO$2:$AO$1046,0),COLUMN()),"")</f>
        <v>0</v>
      </c>
      <c r="I178">
        <f>IFERROR(INDEX(装备库!$A$2:$Y$1047,MATCH(ROW()-1,装备库!$AO$2:$AO$1046,0),COLUMN()),"")</f>
        <v>0</v>
      </c>
      <c r="J178">
        <f>IFERROR(INDEX(装备库!$A$2:$Y$1047,MATCH(ROW()-1,装备库!$AO$2:$AO$1046,0),COLUMN()),"")</f>
        <v>0</v>
      </c>
      <c r="K178">
        <f>IFERROR(INDEX(装备库!$A$2:$Y$1047,MATCH(ROW()-1,装备库!$AO$2:$AO$1046,0),COLUMN()),"")</f>
        <v>3418</v>
      </c>
      <c r="L178">
        <f>IFERROR(INDEX(装备库!$A$2:$Y$1047,MATCH(ROW()-1,装备库!$AO$2:$AO$1046,0),COLUMN()),"")</f>
        <v>0</v>
      </c>
      <c r="M178">
        <f>IFERROR(INDEX(装备库!$A$2:$Y$1047,MATCH(ROW()-1,装备库!$AO$2:$AO$1046,0),COLUMN()),"")</f>
        <v>0</v>
      </c>
      <c r="N178">
        <f>IFERROR(INDEX(装备库!$A$2:$Y$1047,MATCH(ROW()-1,装备库!$AO$2:$AO$1046,0),COLUMN()),"")</f>
        <v>0</v>
      </c>
      <c r="O178">
        <f>IFERROR(INDEX(装备库!$A$2:$Y$1047,MATCH(ROW()-1,装备库!$AO$2:$AO$1046,0),COLUMN()),"")</f>
        <v>0</v>
      </c>
      <c r="P178">
        <f>IFERROR(INDEX(装备库!$A$2:$Y$1047,MATCH(ROW()-1,装备库!$AO$2:$AO$1046,0),COLUMN()),"")</f>
        <v>0</v>
      </c>
      <c r="Q178">
        <f>IFERROR(INDEX(装备库!$A$2:$Y$1047,MATCH(ROW()-1,装备库!$AO$2:$AO$1046,0),COLUMN()),"")</f>
        <v>0</v>
      </c>
      <c r="R178">
        <f>IFERROR(INDEX(装备库!$A$2:$Y$1047,MATCH(ROW()-1,装备库!$AO$2:$AO$1046,0),COLUMN()),"")</f>
        <v>0</v>
      </c>
      <c r="S178">
        <f>IFERROR(INDEX(装备库!$A$2:$Y$1047,MATCH(ROW()-1,装备库!$AO$2:$AO$1046,0),COLUMN()),"")</f>
        <v>0</v>
      </c>
      <c r="T178">
        <f>IFERROR(INDEX(装备库!$A$2:$Y$1047,MATCH(ROW()-1,装备库!$AO$2:$AO$1046,0),COLUMN()),"")</f>
        <v>0</v>
      </c>
      <c r="U178">
        <f>IFERROR(INDEX(装备库!$A$2:$Y$1047,MATCH(ROW()-1,装备库!$AO$2:$AO$1046,0),COLUMN()),"")</f>
        <v>0</v>
      </c>
      <c r="V178">
        <f>IFERROR(INDEX(装备库!$A$2:$Y$1047,MATCH(ROW()-1,装备库!$AO$2:$AO$1046,0),COLUMN()),"")</f>
        <v>0</v>
      </c>
      <c r="W178" t="str">
        <f>IFERROR(INDEX(装备库!$A$2:$Y$1047,MATCH(ROW()-1,装备库!$AO$2:$AO$1046,0),COLUMN()),"")</f>
        <v>精简体攻无</v>
      </c>
      <c r="X178">
        <f>IFERROR(INDEX(装备库!$A$2:$Y$1047,MATCH(ROW()-1,装备库!$AO$2:$AO$1046,0),COLUMN()),"")</f>
        <v>4</v>
      </c>
      <c r="Y178" t="str">
        <f>IFERROR(INDEX(装备库!$A$2:$Y$1047,MATCH(ROW()-1,装备库!$AO$2:$AO$1046,0),COLUMN()),"")</f>
        <v>副本</v>
      </c>
    </row>
    <row r="179" spans="1:25" x14ac:dyDescent="0.35">
      <c r="A179" t="str">
        <f>IFERROR(INDEX(装备库!$A$2:$Y$1047,MATCH(ROW()-1,装备库!$AO$2:$AO$1046,0),COLUMN()),"")</f>
        <v>戒指</v>
      </c>
      <c r="B179" t="str">
        <f>IFERROR(INDEX(装备库!$A$2:$Y$1047,MATCH(ROW()-1,装备库!$AO$2:$AO$1046,0),COLUMN()),"")</f>
        <v>未解戒</v>
      </c>
      <c r="C179">
        <f>IFERROR(INDEX(装备库!$A$2:$Y$1047,MATCH(ROW()-1,装备库!$AO$2:$AO$1046,0),COLUMN()),"")</f>
        <v>11150</v>
      </c>
      <c r="D179" t="str">
        <f>IFERROR(INDEX(装备库!$A$2:$Y$1047,MATCH(ROW()-1,装备库!$AO$2:$AO$1046,0),COLUMN()),"")</f>
        <v>未解戒(11150精简体攻破无)</v>
      </c>
      <c r="E179">
        <f>IFERROR(INDEX(装备库!$A$2:$Y$1047,MATCH(ROW()-1,装备库!$AO$2:$AO$1046,0),COLUMN()),"")</f>
        <v>0</v>
      </c>
      <c r="F179">
        <f>IFERROR(INDEX(装备库!$A$2:$Y$1047,MATCH(ROW()-1,装备库!$AO$2:$AO$1046,0),COLUMN()),"")</f>
        <v>1166</v>
      </c>
      <c r="G179">
        <f>IFERROR(INDEX(装备库!$A$2:$Y$1047,MATCH(ROW()-1,装备库!$AO$2:$AO$1046,0),COLUMN()),"")</f>
        <v>0</v>
      </c>
      <c r="H179">
        <f>IFERROR(INDEX(装备库!$A$2:$Y$1047,MATCH(ROW()-1,装备库!$AO$2:$AO$1046,0),COLUMN()),"")</f>
        <v>0</v>
      </c>
      <c r="I179">
        <f>IFERROR(INDEX(装备库!$A$2:$Y$1047,MATCH(ROW()-1,装备库!$AO$2:$AO$1046,0),COLUMN()),"")</f>
        <v>1194</v>
      </c>
      <c r="J179">
        <f>IFERROR(INDEX(装备库!$A$2:$Y$1047,MATCH(ROW()-1,装备库!$AO$2:$AO$1046,0),COLUMN()),"")</f>
        <v>0</v>
      </c>
      <c r="K179">
        <f>IFERROR(INDEX(装备库!$A$2:$Y$1047,MATCH(ROW()-1,装备库!$AO$2:$AO$1046,0),COLUMN()),"")</f>
        <v>3472</v>
      </c>
      <c r="L179">
        <f>IFERROR(INDEX(装备库!$A$2:$Y$1047,MATCH(ROW()-1,装备库!$AO$2:$AO$1046,0),COLUMN()),"")</f>
        <v>0</v>
      </c>
      <c r="M179">
        <f>IFERROR(INDEX(装备库!$A$2:$Y$1047,MATCH(ROW()-1,装备库!$AO$2:$AO$1046,0),COLUMN()),"")</f>
        <v>0</v>
      </c>
      <c r="N179">
        <f>IFERROR(INDEX(装备库!$A$2:$Y$1047,MATCH(ROW()-1,装备库!$AO$2:$AO$1046,0),COLUMN()),"")</f>
        <v>0</v>
      </c>
      <c r="O179">
        <f>IFERROR(INDEX(装备库!$A$2:$Y$1047,MATCH(ROW()-1,装备库!$AO$2:$AO$1046,0),COLUMN()),"")</f>
        <v>0</v>
      </c>
      <c r="P179">
        <f>IFERROR(INDEX(装备库!$A$2:$Y$1047,MATCH(ROW()-1,装备库!$AO$2:$AO$1046,0),COLUMN()),"")</f>
        <v>0</v>
      </c>
      <c r="Q179">
        <f>IFERROR(INDEX(装备库!$A$2:$Y$1047,MATCH(ROW()-1,装备库!$AO$2:$AO$1046,0),COLUMN()),"")</f>
        <v>0</v>
      </c>
      <c r="R179">
        <f>IFERROR(INDEX(装备库!$A$2:$Y$1047,MATCH(ROW()-1,装备库!$AO$2:$AO$1046,0),COLUMN()),"")</f>
        <v>0</v>
      </c>
      <c r="S179">
        <f>IFERROR(INDEX(装备库!$A$2:$Y$1047,MATCH(ROW()-1,装备库!$AO$2:$AO$1046,0),COLUMN()),"")</f>
        <v>0</v>
      </c>
      <c r="T179">
        <f>IFERROR(INDEX(装备库!$A$2:$Y$1047,MATCH(ROW()-1,装备库!$AO$2:$AO$1046,0),COLUMN()),"")</f>
        <v>0</v>
      </c>
      <c r="U179">
        <f>IFERROR(INDEX(装备库!$A$2:$Y$1047,MATCH(ROW()-1,装备库!$AO$2:$AO$1046,0),COLUMN()),"")</f>
        <v>0</v>
      </c>
      <c r="V179">
        <f>IFERROR(INDEX(装备库!$A$2:$Y$1047,MATCH(ROW()-1,装备库!$AO$2:$AO$1046,0),COLUMN()),"")</f>
        <v>0</v>
      </c>
      <c r="W179" t="str">
        <f>IFERROR(INDEX(装备库!$A$2:$Y$1047,MATCH(ROW()-1,装备库!$AO$2:$AO$1046,0),COLUMN()),"")</f>
        <v>精简体攻破无</v>
      </c>
      <c r="X179">
        <f>IFERROR(INDEX(装备库!$A$2:$Y$1047,MATCH(ROW()-1,装备库!$AO$2:$AO$1046,0),COLUMN()),"")</f>
        <v>4</v>
      </c>
      <c r="Y179" t="str">
        <f>IFERROR(INDEX(装备库!$A$2:$Y$1047,MATCH(ROW()-1,装备库!$AO$2:$AO$1046,0),COLUMN()),"")</f>
        <v>副本</v>
      </c>
    </row>
    <row r="180" spans="1:25" x14ac:dyDescent="0.35">
      <c r="A180" t="str">
        <f>IFERROR(INDEX(装备库!$A$2:$Y$1047,MATCH(ROW()-1,装备库!$AO$2:$AO$1046,0),COLUMN()),"")</f>
        <v>戒指</v>
      </c>
      <c r="B180" t="str">
        <f>IFERROR(INDEX(装备库!$A$2:$Y$1047,MATCH(ROW()-1,装备库!$AO$2:$AO$1046,0),COLUMN()),"")</f>
        <v>御朽戒</v>
      </c>
      <c r="C180">
        <f>IFERROR(INDEX(装备库!$A$2:$Y$1047,MATCH(ROW()-1,装备库!$AO$2:$AO$1046,0),COLUMN()),"")</f>
        <v>11150</v>
      </c>
      <c r="D180" t="str">
        <f>IFERROR(INDEX(装备库!$A$2:$Y$1047,MATCH(ROW()-1,装备库!$AO$2:$AO$1046,0),COLUMN()),"")</f>
        <v>御朽戒(11150精简体攻会无)</v>
      </c>
      <c r="E180">
        <f>IFERROR(INDEX(装备库!$A$2:$Y$1047,MATCH(ROW()-1,装备库!$AO$2:$AO$1046,0),COLUMN()),"")</f>
        <v>0</v>
      </c>
      <c r="F180">
        <f>IFERROR(INDEX(装备库!$A$2:$Y$1047,MATCH(ROW()-1,装备库!$AO$2:$AO$1046,0),COLUMN()),"")</f>
        <v>1166</v>
      </c>
      <c r="G180">
        <f>IFERROR(INDEX(装备库!$A$2:$Y$1047,MATCH(ROW()-1,装备库!$AO$2:$AO$1046,0),COLUMN()),"")</f>
        <v>1194</v>
      </c>
      <c r="H180">
        <f>IFERROR(INDEX(装备库!$A$2:$Y$1047,MATCH(ROW()-1,装备库!$AO$2:$AO$1046,0),COLUMN()),"")</f>
        <v>0</v>
      </c>
      <c r="I180">
        <f>IFERROR(INDEX(装备库!$A$2:$Y$1047,MATCH(ROW()-1,装备库!$AO$2:$AO$1046,0),COLUMN()),"")</f>
        <v>0</v>
      </c>
      <c r="J180">
        <f>IFERROR(INDEX(装备库!$A$2:$Y$1047,MATCH(ROW()-1,装备库!$AO$2:$AO$1046,0),COLUMN()),"")</f>
        <v>0</v>
      </c>
      <c r="K180">
        <f>IFERROR(INDEX(装备库!$A$2:$Y$1047,MATCH(ROW()-1,装备库!$AO$2:$AO$1046,0),COLUMN()),"")</f>
        <v>3472</v>
      </c>
      <c r="L180">
        <f>IFERROR(INDEX(装备库!$A$2:$Y$1047,MATCH(ROW()-1,装备库!$AO$2:$AO$1046,0),COLUMN()),"")</f>
        <v>0</v>
      </c>
      <c r="M180">
        <f>IFERROR(INDEX(装备库!$A$2:$Y$1047,MATCH(ROW()-1,装备库!$AO$2:$AO$1046,0),COLUMN()),"")</f>
        <v>0</v>
      </c>
      <c r="N180">
        <f>IFERROR(INDEX(装备库!$A$2:$Y$1047,MATCH(ROW()-1,装备库!$AO$2:$AO$1046,0),COLUMN()),"")</f>
        <v>0</v>
      </c>
      <c r="O180">
        <f>IFERROR(INDEX(装备库!$A$2:$Y$1047,MATCH(ROW()-1,装备库!$AO$2:$AO$1046,0),COLUMN()),"")</f>
        <v>0</v>
      </c>
      <c r="P180">
        <f>IFERROR(INDEX(装备库!$A$2:$Y$1047,MATCH(ROW()-1,装备库!$AO$2:$AO$1046,0),COLUMN()),"")</f>
        <v>0</v>
      </c>
      <c r="Q180">
        <f>IFERROR(INDEX(装备库!$A$2:$Y$1047,MATCH(ROW()-1,装备库!$AO$2:$AO$1046,0),COLUMN()),"")</f>
        <v>0</v>
      </c>
      <c r="R180">
        <f>IFERROR(INDEX(装备库!$A$2:$Y$1047,MATCH(ROW()-1,装备库!$AO$2:$AO$1046,0),COLUMN()),"")</f>
        <v>0</v>
      </c>
      <c r="S180">
        <f>IFERROR(INDEX(装备库!$A$2:$Y$1047,MATCH(ROW()-1,装备库!$AO$2:$AO$1046,0),COLUMN()),"")</f>
        <v>0</v>
      </c>
      <c r="T180">
        <f>IFERROR(INDEX(装备库!$A$2:$Y$1047,MATCH(ROW()-1,装备库!$AO$2:$AO$1046,0),COLUMN()),"")</f>
        <v>0</v>
      </c>
      <c r="U180">
        <f>IFERROR(INDEX(装备库!$A$2:$Y$1047,MATCH(ROW()-1,装备库!$AO$2:$AO$1046,0),COLUMN()),"")</f>
        <v>0</v>
      </c>
      <c r="V180">
        <f>IFERROR(INDEX(装备库!$A$2:$Y$1047,MATCH(ROW()-1,装备库!$AO$2:$AO$1046,0),COLUMN()),"")</f>
        <v>0</v>
      </c>
      <c r="W180" t="str">
        <f>IFERROR(INDEX(装备库!$A$2:$Y$1047,MATCH(ROW()-1,装备库!$AO$2:$AO$1046,0),COLUMN()),"")</f>
        <v>精简体攻会无</v>
      </c>
      <c r="X180">
        <f>IFERROR(INDEX(装备库!$A$2:$Y$1047,MATCH(ROW()-1,装备库!$AO$2:$AO$1046,0),COLUMN()),"")</f>
        <v>4</v>
      </c>
      <c r="Y180" t="str">
        <f>IFERROR(INDEX(装备库!$A$2:$Y$1047,MATCH(ROW()-1,装备库!$AO$2:$AO$1046,0),COLUMN()),"")</f>
        <v>副本</v>
      </c>
    </row>
    <row r="181" spans="1:25" x14ac:dyDescent="0.35">
      <c r="A181" t="str">
        <f>IFERROR(INDEX(装备库!$A$2:$Y$1047,MATCH(ROW()-1,装备库!$AO$2:$AO$1046,0),COLUMN()),"")</f>
        <v>戒指</v>
      </c>
      <c r="B181" t="str">
        <f>IFERROR(INDEX(装备库!$A$2:$Y$1047,MATCH(ROW()-1,装备库!$AO$2:$AO$1046,0),COLUMN()),"")</f>
        <v>安衿指环</v>
      </c>
      <c r="C181">
        <f>IFERROR(INDEX(装备库!$A$2:$Y$1047,MATCH(ROW()-1,装备库!$AO$2:$AO$1046,0),COLUMN()),"")</f>
        <v>12450</v>
      </c>
      <c r="D181" t="str">
        <f>IFERROR(INDEX(装备库!$A$2:$Y$1047,MATCH(ROW()-1,装备库!$AO$2:$AO$1046,0),COLUMN()),"")</f>
        <v>安衿指环(12450招破)</v>
      </c>
      <c r="E181">
        <f>IFERROR(INDEX(装备库!$A$2:$Y$1047,MATCH(ROW()-1,装备库!$AO$2:$AO$1046,0),COLUMN()),"")</f>
        <v>435</v>
      </c>
      <c r="F181">
        <f>IFERROR(INDEX(装备库!$A$2:$Y$1047,MATCH(ROW()-1,装备库!$AO$2:$AO$1046,0),COLUMN()),"")</f>
        <v>705</v>
      </c>
      <c r="G181">
        <f>IFERROR(INDEX(装备库!$A$2:$Y$1047,MATCH(ROW()-1,装备库!$AO$2:$AO$1046,0),COLUMN()),"")</f>
        <v>0</v>
      </c>
      <c r="H181">
        <f>IFERROR(INDEX(装备库!$A$2:$Y$1047,MATCH(ROW()-1,装备库!$AO$2:$AO$1046,0),COLUMN()),"")</f>
        <v>0</v>
      </c>
      <c r="I181">
        <f>IFERROR(INDEX(装备库!$A$2:$Y$1047,MATCH(ROW()-1,装备库!$AO$2:$AO$1046,0),COLUMN()),"")</f>
        <v>2181</v>
      </c>
      <c r="J181">
        <f>IFERROR(INDEX(装备库!$A$2:$Y$1047,MATCH(ROW()-1,装备库!$AO$2:$AO$1046,0),COLUMN()),"")</f>
        <v>1939</v>
      </c>
      <c r="K181">
        <f>IFERROR(INDEX(装备库!$A$2:$Y$1047,MATCH(ROW()-1,装备库!$AO$2:$AO$1046,0),COLUMN()),"")</f>
        <v>0</v>
      </c>
      <c r="L181">
        <f>IFERROR(INDEX(装备库!$A$2:$Y$1047,MATCH(ROW()-1,装备库!$AO$2:$AO$1046,0),COLUMN()),"")</f>
        <v>0</v>
      </c>
      <c r="M181">
        <f>IFERROR(INDEX(装备库!$A$2:$Y$1047,MATCH(ROW()-1,装备库!$AO$2:$AO$1046,0),COLUMN()),"")</f>
        <v>0</v>
      </c>
      <c r="N181">
        <f>IFERROR(INDEX(装备库!$A$2:$Y$1047,MATCH(ROW()-1,装备库!$AO$2:$AO$1046,0),COLUMN()),"")</f>
        <v>0</v>
      </c>
      <c r="O181">
        <f>IFERROR(INDEX(装备库!$A$2:$Y$1047,MATCH(ROW()-1,装备库!$AO$2:$AO$1046,0),COLUMN()),"")</f>
        <v>0</v>
      </c>
      <c r="P181">
        <f>IFERROR(INDEX(装备库!$A$2:$Y$1047,MATCH(ROW()-1,装备库!$AO$2:$AO$1046,0),COLUMN()),"")</f>
        <v>0</v>
      </c>
      <c r="Q181">
        <f>IFERROR(INDEX(装备库!$A$2:$Y$1047,MATCH(ROW()-1,装备库!$AO$2:$AO$1046,0),COLUMN()),"")</f>
        <v>0</v>
      </c>
      <c r="R181">
        <f>IFERROR(INDEX(装备库!$A$2:$Y$1047,MATCH(ROW()-1,装备库!$AO$2:$AO$1046,0),COLUMN()),"")</f>
        <v>0</v>
      </c>
      <c r="S181">
        <f>IFERROR(INDEX(装备库!$A$2:$Y$1047,MATCH(ROW()-1,装备库!$AO$2:$AO$1046,0),COLUMN()),"")</f>
        <v>0</v>
      </c>
      <c r="T181">
        <f>IFERROR(INDEX(装备库!$A$2:$Y$1047,MATCH(ROW()-1,装备库!$AO$2:$AO$1046,0),COLUMN()),"")</f>
        <v>0</v>
      </c>
      <c r="U181">
        <f>IFERROR(INDEX(装备库!$A$2:$Y$1047,MATCH(ROW()-1,装备库!$AO$2:$AO$1046,0),COLUMN()),"")</f>
        <v>0</v>
      </c>
      <c r="V181">
        <f>IFERROR(INDEX(装备库!$A$2:$Y$1047,MATCH(ROW()-1,装备库!$AO$2:$AO$1046,0),COLUMN()),"")</f>
        <v>0</v>
      </c>
      <c r="W181" t="str">
        <f>IFERROR(INDEX(装备库!$A$2:$Y$1047,MATCH(ROW()-1,装备库!$AO$2:$AO$1046,0),COLUMN()),"")</f>
        <v>招破</v>
      </c>
      <c r="X181">
        <f>IFERROR(INDEX(装备库!$A$2:$Y$1047,MATCH(ROW()-1,装备库!$AO$2:$AO$1046,0),COLUMN()),"")</f>
        <v>6</v>
      </c>
      <c r="Y181" t="str">
        <f>IFERROR(INDEX(装备库!$A$2:$Y$1047,MATCH(ROW()-1,装备库!$AO$2:$AO$1046,0),COLUMN()),"")</f>
        <v>副本</v>
      </c>
    </row>
    <row r="182" spans="1:25" x14ac:dyDescent="0.35">
      <c r="A182" t="str">
        <f>IFERROR(INDEX(装备库!$A$2:$Y$1047,MATCH(ROW()-1,装备库!$AO$2:$AO$1046,0),COLUMN()),"")</f>
        <v>戒指</v>
      </c>
      <c r="B182" t="str">
        <f>IFERROR(INDEX(装备库!$A$2:$Y$1047,MATCH(ROW()-1,装备库!$AO$2:$AO$1046,0),COLUMN()),"")</f>
        <v>客行江湖·梦花戒</v>
      </c>
      <c r="C182">
        <f>IFERROR(INDEX(装备库!$A$2:$Y$1047,MATCH(ROW()-1,装备库!$AO$2:$AO$1046,0),COLUMN()),"")</f>
        <v>12450</v>
      </c>
      <c r="D182" t="str">
        <f>IFERROR(INDEX(装备库!$A$2:$Y$1047,MATCH(ROW()-1,装备库!$AO$2:$AO$1046,0),COLUMN()),"")</f>
        <v>客行江湖·梦花戒(12450破无)</v>
      </c>
      <c r="E182">
        <f>IFERROR(INDEX(装备库!$A$2:$Y$1047,MATCH(ROW()-1,装备库!$AO$2:$AO$1046,0),COLUMN()),"")</f>
        <v>435</v>
      </c>
      <c r="F182">
        <f>IFERROR(INDEX(装备库!$A$2:$Y$1047,MATCH(ROW()-1,装备库!$AO$2:$AO$1046,0),COLUMN()),"")</f>
        <v>705</v>
      </c>
      <c r="G182">
        <f>IFERROR(INDEX(装备库!$A$2:$Y$1047,MATCH(ROW()-1,装备库!$AO$2:$AO$1046,0),COLUMN()),"")</f>
        <v>0</v>
      </c>
      <c r="H182">
        <f>IFERROR(INDEX(装备库!$A$2:$Y$1047,MATCH(ROW()-1,装备库!$AO$2:$AO$1046,0),COLUMN()),"")</f>
        <v>0</v>
      </c>
      <c r="I182">
        <f>IFERROR(INDEX(装备库!$A$2:$Y$1047,MATCH(ROW()-1,装备库!$AO$2:$AO$1046,0),COLUMN()),"")</f>
        <v>2181</v>
      </c>
      <c r="J182">
        <f>IFERROR(INDEX(装备库!$A$2:$Y$1047,MATCH(ROW()-1,装备库!$AO$2:$AO$1046,0),COLUMN()),"")</f>
        <v>0</v>
      </c>
      <c r="K182">
        <f>IFERROR(INDEX(装备库!$A$2:$Y$1047,MATCH(ROW()-1,装备库!$AO$2:$AO$1046,0),COLUMN()),"")</f>
        <v>1939</v>
      </c>
      <c r="L182">
        <f>IFERROR(INDEX(装备库!$A$2:$Y$1047,MATCH(ROW()-1,装备库!$AO$2:$AO$1046,0),COLUMN()),"")</f>
        <v>0</v>
      </c>
      <c r="M182">
        <f>IFERROR(INDEX(装备库!$A$2:$Y$1047,MATCH(ROW()-1,装备库!$AO$2:$AO$1046,0),COLUMN()),"")</f>
        <v>0</v>
      </c>
      <c r="N182">
        <f>IFERROR(INDEX(装备库!$A$2:$Y$1047,MATCH(ROW()-1,装备库!$AO$2:$AO$1046,0),COLUMN()),"")</f>
        <v>0</v>
      </c>
      <c r="O182">
        <f>IFERROR(INDEX(装备库!$A$2:$Y$1047,MATCH(ROW()-1,装备库!$AO$2:$AO$1046,0),COLUMN()),"")</f>
        <v>0</v>
      </c>
      <c r="P182">
        <f>IFERROR(INDEX(装备库!$A$2:$Y$1047,MATCH(ROW()-1,装备库!$AO$2:$AO$1046,0),COLUMN()),"")</f>
        <v>0</v>
      </c>
      <c r="Q182">
        <f>IFERROR(INDEX(装备库!$A$2:$Y$1047,MATCH(ROW()-1,装备库!$AO$2:$AO$1046,0),COLUMN()),"")</f>
        <v>0</v>
      </c>
      <c r="R182">
        <f>IFERROR(INDEX(装备库!$A$2:$Y$1047,MATCH(ROW()-1,装备库!$AO$2:$AO$1046,0),COLUMN()),"")</f>
        <v>0</v>
      </c>
      <c r="S182">
        <f>IFERROR(INDEX(装备库!$A$2:$Y$1047,MATCH(ROW()-1,装备库!$AO$2:$AO$1046,0),COLUMN()),"")</f>
        <v>0</v>
      </c>
      <c r="T182">
        <f>IFERROR(INDEX(装备库!$A$2:$Y$1047,MATCH(ROW()-1,装备库!$AO$2:$AO$1046,0),COLUMN()),"")</f>
        <v>0</v>
      </c>
      <c r="U182">
        <f>IFERROR(INDEX(装备库!$A$2:$Y$1047,MATCH(ROW()-1,装备库!$AO$2:$AO$1046,0),COLUMN()),"")</f>
        <v>0</v>
      </c>
      <c r="V182">
        <f>IFERROR(INDEX(装备库!$A$2:$Y$1047,MATCH(ROW()-1,装备库!$AO$2:$AO$1046,0),COLUMN()),"")</f>
        <v>0</v>
      </c>
      <c r="W182" t="str">
        <f>IFERROR(INDEX(装备库!$A$2:$Y$1047,MATCH(ROW()-1,装备库!$AO$2:$AO$1046,0),COLUMN()),"")</f>
        <v>破无</v>
      </c>
      <c r="X182">
        <f>IFERROR(INDEX(装备库!$A$2:$Y$1047,MATCH(ROW()-1,装备库!$AO$2:$AO$1046,0),COLUMN()),"")</f>
        <v>6</v>
      </c>
      <c r="Y182" t="str">
        <f>IFERROR(INDEX(装备库!$A$2:$Y$1047,MATCH(ROW()-1,装备库!$AO$2:$AO$1046,0),COLUMN()),"")</f>
        <v>浪客笺</v>
      </c>
    </row>
    <row r="183" spans="1:25" x14ac:dyDescent="0.35">
      <c r="A183" t="str">
        <f>IFERROR(INDEX(装备库!$A$2:$Y$1047,MATCH(ROW()-1,装备库!$AO$2:$AO$1046,0),COLUMN()),"")</f>
        <v>戒指</v>
      </c>
      <c r="B183" t="str">
        <f>IFERROR(INDEX(装备库!$A$2:$Y$1047,MATCH(ROW()-1,装备库!$AO$2:$AO$1046,0),COLUMN()),"")</f>
        <v>湖静戒</v>
      </c>
      <c r="C183">
        <f>IFERROR(INDEX(装备库!$A$2:$Y$1047,MATCH(ROW()-1,装备库!$AO$2:$AO$1046,0),COLUMN()),"")</f>
        <v>12450</v>
      </c>
      <c r="D183" t="str">
        <f>IFERROR(INDEX(装备库!$A$2:$Y$1047,MATCH(ROW()-1,装备库!$AO$2:$AO$1046,0),COLUMN()),"")</f>
        <v>湖静戒(12450会招)</v>
      </c>
      <c r="E183">
        <f>IFERROR(INDEX(装备库!$A$2:$Y$1047,MATCH(ROW()-1,装备库!$AO$2:$AO$1046,0),COLUMN()),"")</f>
        <v>435</v>
      </c>
      <c r="F183">
        <f>IFERROR(INDEX(装备库!$A$2:$Y$1047,MATCH(ROW()-1,装备库!$AO$2:$AO$1046,0),COLUMN()),"")</f>
        <v>705</v>
      </c>
      <c r="G183">
        <f>IFERROR(INDEX(装备库!$A$2:$Y$1047,MATCH(ROW()-1,装备库!$AO$2:$AO$1046,0),COLUMN()),"")</f>
        <v>2181</v>
      </c>
      <c r="H183">
        <f>IFERROR(INDEX(装备库!$A$2:$Y$1047,MATCH(ROW()-1,装备库!$AO$2:$AO$1046,0),COLUMN()),"")</f>
        <v>0</v>
      </c>
      <c r="I183">
        <f>IFERROR(INDEX(装备库!$A$2:$Y$1047,MATCH(ROW()-1,装备库!$AO$2:$AO$1046,0),COLUMN()),"")</f>
        <v>0</v>
      </c>
      <c r="J183">
        <f>IFERROR(INDEX(装备库!$A$2:$Y$1047,MATCH(ROW()-1,装备库!$AO$2:$AO$1046,0),COLUMN()),"")</f>
        <v>1939</v>
      </c>
      <c r="K183">
        <f>IFERROR(INDEX(装备库!$A$2:$Y$1047,MATCH(ROW()-1,装备库!$AO$2:$AO$1046,0),COLUMN()),"")</f>
        <v>0</v>
      </c>
      <c r="L183">
        <f>IFERROR(INDEX(装备库!$A$2:$Y$1047,MATCH(ROW()-1,装备库!$AO$2:$AO$1046,0),COLUMN()),"")</f>
        <v>0</v>
      </c>
      <c r="M183">
        <f>IFERROR(INDEX(装备库!$A$2:$Y$1047,MATCH(ROW()-1,装备库!$AO$2:$AO$1046,0),COLUMN()),"")</f>
        <v>0</v>
      </c>
      <c r="N183">
        <f>IFERROR(INDEX(装备库!$A$2:$Y$1047,MATCH(ROW()-1,装备库!$AO$2:$AO$1046,0),COLUMN()),"")</f>
        <v>0</v>
      </c>
      <c r="O183">
        <f>IFERROR(INDEX(装备库!$A$2:$Y$1047,MATCH(ROW()-1,装备库!$AO$2:$AO$1046,0),COLUMN()),"")</f>
        <v>0</v>
      </c>
      <c r="P183">
        <f>IFERROR(INDEX(装备库!$A$2:$Y$1047,MATCH(ROW()-1,装备库!$AO$2:$AO$1046,0),COLUMN()),"")</f>
        <v>0</v>
      </c>
      <c r="Q183">
        <f>IFERROR(INDEX(装备库!$A$2:$Y$1047,MATCH(ROW()-1,装备库!$AO$2:$AO$1046,0),COLUMN()),"")</f>
        <v>0</v>
      </c>
      <c r="R183">
        <f>IFERROR(INDEX(装备库!$A$2:$Y$1047,MATCH(ROW()-1,装备库!$AO$2:$AO$1046,0),COLUMN()),"")</f>
        <v>0</v>
      </c>
      <c r="S183">
        <f>IFERROR(INDEX(装备库!$A$2:$Y$1047,MATCH(ROW()-1,装备库!$AO$2:$AO$1046,0),COLUMN()),"")</f>
        <v>0</v>
      </c>
      <c r="T183">
        <f>IFERROR(INDEX(装备库!$A$2:$Y$1047,MATCH(ROW()-1,装备库!$AO$2:$AO$1046,0),COLUMN()),"")</f>
        <v>0</v>
      </c>
      <c r="U183">
        <f>IFERROR(INDEX(装备库!$A$2:$Y$1047,MATCH(ROW()-1,装备库!$AO$2:$AO$1046,0),COLUMN()),"")</f>
        <v>0</v>
      </c>
      <c r="V183">
        <f>IFERROR(INDEX(装备库!$A$2:$Y$1047,MATCH(ROW()-1,装备库!$AO$2:$AO$1046,0),COLUMN()),"")</f>
        <v>0</v>
      </c>
      <c r="W183" t="str">
        <f>IFERROR(INDEX(装备库!$A$2:$Y$1047,MATCH(ROW()-1,装备库!$AO$2:$AO$1046,0),COLUMN()),"")</f>
        <v>会招</v>
      </c>
      <c r="X183">
        <f>IFERROR(INDEX(装备库!$A$2:$Y$1047,MATCH(ROW()-1,装备库!$AO$2:$AO$1046,0),COLUMN()),"")</f>
        <v>6</v>
      </c>
      <c r="Y183" t="str">
        <f>IFERROR(INDEX(装备库!$A$2:$Y$1047,MATCH(ROW()-1,装备库!$AO$2:$AO$1046,0),COLUMN()),"")</f>
        <v>世界BOSS</v>
      </c>
    </row>
    <row r="184" spans="1:25" x14ac:dyDescent="0.35">
      <c r="A184" t="str">
        <f>IFERROR(INDEX(装备库!$A$2:$Y$1047,MATCH(ROW()-1,装备库!$AO$2:$AO$1046,0),COLUMN()),"")</f>
        <v>戒指</v>
      </c>
      <c r="B184" t="str">
        <f>IFERROR(INDEX(装备库!$A$2:$Y$1047,MATCH(ROW()-1,装备库!$AO$2:$AO$1046,0),COLUMN()),"")</f>
        <v>温刃戒</v>
      </c>
      <c r="C184">
        <f>IFERROR(INDEX(装备库!$A$2:$Y$1047,MATCH(ROW()-1,装备库!$AO$2:$AO$1046,0),COLUMN()),"")</f>
        <v>12450</v>
      </c>
      <c r="D184" t="str">
        <f>IFERROR(INDEX(装备库!$A$2:$Y$1047,MATCH(ROW()-1,装备库!$AO$2:$AO$1046,0),COLUMN()),"")</f>
        <v>温刃戒(12450会无)</v>
      </c>
      <c r="E184">
        <f>IFERROR(INDEX(装备库!$A$2:$Y$1047,MATCH(ROW()-1,装备库!$AO$2:$AO$1046,0),COLUMN()),"")</f>
        <v>435</v>
      </c>
      <c r="F184">
        <f>IFERROR(INDEX(装备库!$A$2:$Y$1047,MATCH(ROW()-1,装备库!$AO$2:$AO$1046,0),COLUMN()),"")</f>
        <v>705</v>
      </c>
      <c r="G184">
        <f>IFERROR(INDEX(装备库!$A$2:$Y$1047,MATCH(ROW()-1,装备库!$AO$2:$AO$1046,0),COLUMN()),"")</f>
        <v>2181</v>
      </c>
      <c r="H184">
        <f>IFERROR(INDEX(装备库!$A$2:$Y$1047,MATCH(ROW()-1,装备库!$AO$2:$AO$1046,0),COLUMN()),"")</f>
        <v>0</v>
      </c>
      <c r="I184">
        <f>IFERROR(INDEX(装备库!$A$2:$Y$1047,MATCH(ROW()-1,装备库!$AO$2:$AO$1046,0),COLUMN()),"")</f>
        <v>0</v>
      </c>
      <c r="J184">
        <f>IFERROR(INDEX(装备库!$A$2:$Y$1047,MATCH(ROW()-1,装备库!$AO$2:$AO$1046,0),COLUMN()),"")</f>
        <v>0</v>
      </c>
      <c r="K184">
        <f>IFERROR(INDEX(装备库!$A$2:$Y$1047,MATCH(ROW()-1,装备库!$AO$2:$AO$1046,0),COLUMN()),"")</f>
        <v>1939</v>
      </c>
      <c r="L184">
        <f>IFERROR(INDEX(装备库!$A$2:$Y$1047,MATCH(ROW()-1,装备库!$AO$2:$AO$1046,0),COLUMN()),"")</f>
        <v>0</v>
      </c>
      <c r="M184">
        <f>IFERROR(INDEX(装备库!$A$2:$Y$1047,MATCH(ROW()-1,装备库!$AO$2:$AO$1046,0),COLUMN()),"")</f>
        <v>0</v>
      </c>
      <c r="N184">
        <f>IFERROR(INDEX(装备库!$A$2:$Y$1047,MATCH(ROW()-1,装备库!$AO$2:$AO$1046,0),COLUMN()),"")</f>
        <v>0</v>
      </c>
      <c r="O184">
        <f>IFERROR(INDEX(装备库!$A$2:$Y$1047,MATCH(ROW()-1,装备库!$AO$2:$AO$1046,0),COLUMN()),"")</f>
        <v>0</v>
      </c>
      <c r="P184">
        <f>IFERROR(INDEX(装备库!$A$2:$Y$1047,MATCH(ROW()-1,装备库!$AO$2:$AO$1046,0),COLUMN()),"")</f>
        <v>0</v>
      </c>
      <c r="Q184">
        <f>IFERROR(INDEX(装备库!$A$2:$Y$1047,MATCH(ROW()-1,装备库!$AO$2:$AO$1046,0),COLUMN()),"")</f>
        <v>0</v>
      </c>
      <c r="R184">
        <f>IFERROR(INDEX(装备库!$A$2:$Y$1047,MATCH(ROW()-1,装备库!$AO$2:$AO$1046,0),COLUMN()),"")</f>
        <v>0</v>
      </c>
      <c r="S184">
        <f>IFERROR(INDEX(装备库!$A$2:$Y$1047,MATCH(ROW()-1,装备库!$AO$2:$AO$1046,0),COLUMN()),"")</f>
        <v>0</v>
      </c>
      <c r="T184">
        <f>IFERROR(INDEX(装备库!$A$2:$Y$1047,MATCH(ROW()-1,装备库!$AO$2:$AO$1046,0),COLUMN()),"")</f>
        <v>0</v>
      </c>
      <c r="U184">
        <f>IFERROR(INDEX(装备库!$A$2:$Y$1047,MATCH(ROW()-1,装备库!$AO$2:$AO$1046,0),COLUMN()),"")</f>
        <v>0</v>
      </c>
      <c r="V184">
        <f>IFERROR(INDEX(装备库!$A$2:$Y$1047,MATCH(ROW()-1,装备库!$AO$2:$AO$1046,0),COLUMN()),"")</f>
        <v>0</v>
      </c>
      <c r="W184" t="str">
        <f>IFERROR(INDEX(装备库!$A$2:$Y$1047,MATCH(ROW()-1,装备库!$AO$2:$AO$1046,0),COLUMN()),"")</f>
        <v>会无</v>
      </c>
      <c r="X184">
        <f>IFERROR(INDEX(装备库!$A$2:$Y$1047,MATCH(ROW()-1,装备库!$AO$2:$AO$1046,0),COLUMN()),"")</f>
        <v>6</v>
      </c>
      <c r="Y184" t="str">
        <f>IFERROR(INDEX(装备库!$A$2:$Y$1047,MATCH(ROW()-1,装备库!$AO$2:$AO$1046,0),COLUMN()),"")</f>
        <v>副本</v>
      </c>
    </row>
    <row r="185" spans="1:25" x14ac:dyDescent="0.35">
      <c r="A185" t="str">
        <f>IFERROR(INDEX(装备库!$A$2:$Y$1047,MATCH(ROW()-1,装备库!$AO$2:$AO$1046,0),COLUMN()),"")</f>
        <v>戒指</v>
      </c>
      <c r="B185" t="str">
        <f>IFERROR(INDEX(装备库!$A$2:$Y$1047,MATCH(ROW()-1,装备库!$AO$2:$AO$1046,0),COLUMN()),"")</f>
        <v>赫风戒</v>
      </c>
      <c r="C185">
        <f>IFERROR(INDEX(装备库!$A$2:$Y$1047,MATCH(ROW()-1,装备库!$AO$2:$AO$1046,0),COLUMN()),"")</f>
        <v>12450</v>
      </c>
      <c r="D185" t="str">
        <f>IFERROR(INDEX(装备库!$A$2:$Y$1047,MATCH(ROW()-1,装备库!$AO$2:$AO$1046,0),COLUMN()),"")</f>
        <v>赫风戒(12450精简体攻招破)</v>
      </c>
      <c r="E185">
        <f>IFERROR(INDEX(装备库!$A$2:$Y$1047,MATCH(ROW()-1,装备库!$AO$2:$AO$1046,0),COLUMN()),"")</f>
        <v>0</v>
      </c>
      <c r="F185">
        <f>IFERROR(INDEX(装备库!$A$2:$Y$1047,MATCH(ROW()-1,装备库!$AO$2:$AO$1046,0),COLUMN()),"")</f>
        <v>1519</v>
      </c>
      <c r="G185">
        <f>IFERROR(INDEX(装备库!$A$2:$Y$1047,MATCH(ROW()-1,装备库!$AO$2:$AO$1046,0),COLUMN()),"")</f>
        <v>0</v>
      </c>
      <c r="H185">
        <f>IFERROR(INDEX(装备库!$A$2:$Y$1047,MATCH(ROW()-1,装备库!$AO$2:$AO$1046,0),COLUMN()),"")</f>
        <v>0</v>
      </c>
      <c r="I185">
        <f>IFERROR(INDEX(装备库!$A$2:$Y$1047,MATCH(ROW()-1,装备库!$AO$2:$AO$1046,0),COLUMN()),"")</f>
        <v>2302</v>
      </c>
      <c r="J185">
        <f>IFERROR(INDEX(装备库!$A$2:$Y$1047,MATCH(ROW()-1,装备库!$AO$2:$AO$1046,0),COLUMN()),"")</f>
        <v>2545</v>
      </c>
      <c r="K185">
        <f>IFERROR(INDEX(装备库!$A$2:$Y$1047,MATCH(ROW()-1,装备库!$AO$2:$AO$1046,0),COLUMN()),"")</f>
        <v>0</v>
      </c>
      <c r="L185">
        <f>IFERROR(INDEX(装备库!$A$2:$Y$1047,MATCH(ROW()-1,装备库!$AO$2:$AO$1046,0),COLUMN()),"")</f>
        <v>0</v>
      </c>
      <c r="M185">
        <f>IFERROR(INDEX(装备库!$A$2:$Y$1047,MATCH(ROW()-1,装备库!$AO$2:$AO$1046,0),COLUMN()),"")</f>
        <v>0</v>
      </c>
      <c r="N185">
        <f>IFERROR(INDEX(装备库!$A$2:$Y$1047,MATCH(ROW()-1,装备库!$AO$2:$AO$1046,0),COLUMN()),"")</f>
        <v>0</v>
      </c>
      <c r="O185">
        <f>IFERROR(INDEX(装备库!$A$2:$Y$1047,MATCH(ROW()-1,装备库!$AO$2:$AO$1046,0),COLUMN()),"")</f>
        <v>0</v>
      </c>
      <c r="P185">
        <f>IFERROR(INDEX(装备库!$A$2:$Y$1047,MATCH(ROW()-1,装备库!$AO$2:$AO$1046,0),COLUMN()),"")</f>
        <v>0</v>
      </c>
      <c r="Q185">
        <f>IFERROR(INDEX(装备库!$A$2:$Y$1047,MATCH(ROW()-1,装备库!$AO$2:$AO$1046,0),COLUMN()),"")</f>
        <v>0</v>
      </c>
      <c r="R185">
        <f>IFERROR(INDEX(装备库!$A$2:$Y$1047,MATCH(ROW()-1,装备库!$AO$2:$AO$1046,0),COLUMN()),"")</f>
        <v>0</v>
      </c>
      <c r="S185">
        <f>IFERROR(INDEX(装备库!$A$2:$Y$1047,MATCH(ROW()-1,装备库!$AO$2:$AO$1046,0),COLUMN()),"")</f>
        <v>0</v>
      </c>
      <c r="T185">
        <f>IFERROR(INDEX(装备库!$A$2:$Y$1047,MATCH(ROW()-1,装备库!$AO$2:$AO$1046,0),COLUMN()),"")</f>
        <v>0</v>
      </c>
      <c r="U185">
        <f>IFERROR(INDEX(装备库!$A$2:$Y$1047,MATCH(ROW()-1,装备库!$AO$2:$AO$1046,0),COLUMN()),"")</f>
        <v>0</v>
      </c>
      <c r="V185">
        <f>IFERROR(INDEX(装备库!$A$2:$Y$1047,MATCH(ROW()-1,装备库!$AO$2:$AO$1046,0),COLUMN()),"")</f>
        <v>0</v>
      </c>
      <c r="W185" t="str">
        <f>IFERROR(INDEX(装备库!$A$2:$Y$1047,MATCH(ROW()-1,装备库!$AO$2:$AO$1046,0),COLUMN()),"")</f>
        <v>精简体攻招破</v>
      </c>
      <c r="X185">
        <f>IFERROR(INDEX(装备库!$A$2:$Y$1047,MATCH(ROW()-1,装备库!$AO$2:$AO$1046,0),COLUMN()),"")</f>
        <v>4</v>
      </c>
      <c r="Y185" t="str">
        <f>IFERROR(INDEX(装备库!$A$2:$Y$1047,MATCH(ROW()-1,装备库!$AO$2:$AO$1046,0),COLUMN()),"")</f>
        <v>副本</v>
      </c>
    </row>
    <row r="186" spans="1:25" x14ac:dyDescent="0.35">
      <c r="A186" t="str">
        <f>IFERROR(INDEX(装备库!$A$2:$Y$1047,MATCH(ROW()-1,装备库!$AO$2:$AO$1046,0),COLUMN()),"")</f>
        <v>戒指</v>
      </c>
      <c r="B186" t="str">
        <f>IFERROR(INDEX(装备库!$A$2:$Y$1047,MATCH(ROW()-1,装备库!$AO$2:$AO$1046,0),COLUMN()),"")</f>
        <v>问岐戒</v>
      </c>
      <c r="C186">
        <f>IFERROR(INDEX(装备库!$A$2:$Y$1047,MATCH(ROW()-1,装备库!$AO$2:$AO$1046,0),COLUMN()),"")</f>
        <v>12450</v>
      </c>
      <c r="D186" t="str">
        <f>IFERROR(INDEX(装备库!$A$2:$Y$1047,MATCH(ROW()-1,装备库!$AO$2:$AO$1046,0),COLUMN()),"")</f>
        <v>问岐戒(12450精简体攻无)</v>
      </c>
      <c r="E186">
        <f>IFERROR(INDEX(装备库!$A$2:$Y$1047,MATCH(ROW()-1,装备库!$AO$2:$AO$1046,0),COLUMN()),"")</f>
        <v>0</v>
      </c>
      <c r="F186">
        <f>IFERROR(INDEX(装备库!$A$2:$Y$1047,MATCH(ROW()-1,装备库!$AO$2:$AO$1046,0),COLUMN()),"")</f>
        <v>1844</v>
      </c>
      <c r="G186">
        <f>IFERROR(INDEX(装备库!$A$2:$Y$1047,MATCH(ROW()-1,装备库!$AO$2:$AO$1046,0),COLUMN()),"")</f>
        <v>0</v>
      </c>
      <c r="H186">
        <f>IFERROR(INDEX(装备库!$A$2:$Y$1047,MATCH(ROW()-1,装备库!$AO$2:$AO$1046,0),COLUMN()),"")</f>
        <v>0</v>
      </c>
      <c r="I186">
        <f>IFERROR(INDEX(装备库!$A$2:$Y$1047,MATCH(ROW()-1,装备库!$AO$2:$AO$1046,0),COLUMN()),"")</f>
        <v>0</v>
      </c>
      <c r="J186">
        <f>IFERROR(INDEX(装备库!$A$2:$Y$1047,MATCH(ROW()-1,装备库!$AO$2:$AO$1046,0),COLUMN()),"")</f>
        <v>0</v>
      </c>
      <c r="K186">
        <f>IFERROR(INDEX(装备库!$A$2:$Y$1047,MATCH(ROW()-1,装备库!$AO$2:$AO$1046,0),COLUMN()),"")</f>
        <v>4059</v>
      </c>
      <c r="L186">
        <f>IFERROR(INDEX(装备库!$A$2:$Y$1047,MATCH(ROW()-1,装备库!$AO$2:$AO$1046,0),COLUMN()),"")</f>
        <v>0</v>
      </c>
      <c r="M186">
        <f>IFERROR(INDEX(装备库!$A$2:$Y$1047,MATCH(ROW()-1,装备库!$AO$2:$AO$1046,0),COLUMN()),"")</f>
        <v>0</v>
      </c>
      <c r="N186">
        <f>IFERROR(INDEX(装备库!$A$2:$Y$1047,MATCH(ROW()-1,装备库!$AO$2:$AO$1046,0),COLUMN()),"")</f>
        <v>0</v>
      </c>
      <c r="O186">
        <f>IFERROR(INDEX(装备库!$A$2:$Y$1047,MATCH(ROW()-1,装备库!$AO$2:$AO$1046,0),COLUMN()),"")</f>
        <v>0</v>
      </c>
      <c r="P186">
        <f>IFERROR(INDEX(装备库!$A$2:$Y$1047,MATCH(ROW()-1,装备库!$AO$2:$AO$1046,0),COLUMN()),"")</f>
        <v>0</v>
      </c>
      <c r="Q186">
        <f>IFERROR(INDEX(装备库!$A$2:$Y$1047,MATCH(ROW()-1,装备库!$AO$2:$AO$1046,0),COLUMN()),"")</f>
        <v>0</v>
      </c>
      <c r="R186">
        <f>IFERROR(INDEX(装备库!$A$2:$Y$1047,MATCH(ROW()-1,装备库!$AO$2:$AO$1046,0),COLUMN()),"")</f>
        <v>0</v>
      </c>
      <c r="S186">
        <f>IFERROR(INDEX(装备库!$A$2:$Y$1047,MATCH(ROW()-1,装备库!$AO$2:$AO$1046,0),COLUMN()),"")</f>
        <v>0</v>
      </c>
      <c r="T186">
        <f>IFERROR(INDEX(装备库!$A$2:$Y$1047,MATCH(ROW()-1,装备库!$AO$2:$AO$1046,0),COLUMN()),"")</f>
        <v>0</v>
      </c>
      <c r="U186">
        <f>IFERROR(INDEX(装备库!$A$2:$Y$1047,MATCH(ROW()-1,装备库!$AO$2:$AO$1046,0),COLUMN()),"")</f>
        <v>0</v>
      </c>
      <c r="V186">
        <f>IFERROR(INDEX(装备库!$A$2:$Y$1047,MATCH(ROW()-1,装备库!$AO$2:$AO$1046,0),COLUMN()),"")</f>
        <v>0</v>
      </c>
      <c r="W186" t="str">
        <f>IFERROR(INDEX(装备库!$A$2:$Y$1047,MATCH(ROW()-1,装备库!$AO$2:$AO$1046,0),COLUMN()),"")</f>
        <v>精简体攻无</v>
      </c>
      <c r="X186">
        <f>IFERROR(INDEX(装备库!$A$2:$Y$1047,MATCH(ROW()-1,装备库!$AO$2:$AO$1046,0),COLUMN()),"")</f>
        <v>4</v>
      </c>
      <c r="Y186" t="str">
        <f>IFERROR(INDEX(装备库!$A$2:$Y$1047,MATCH(ROW()-1,装备库!$AO$2:$AO$1046,0),COLUMN()),"")</f>
        <v>副本</v>
      </c>
    </row>
    <row r="187" spans="1:25" x14ac:dyDescent="0.35">
      <c r="A187" t="str">
        <f>IFERROR(INDEX(装备库!$A$2:$Y$1047,MATCH(ROW()-1,装备库!$AO$2:$AO$1046,0),COLUMN()),"")</f>
        <v>戒指</v>
      </c>
      <c r="B187" t="str">
        <f>IFERROR(INDEX(装备库!$A$2:$Y$1047,MATCH(ROW()-1,装备库!$AO$2:$AO$1046,0),COLUMN()),"")</f>
        <v>催时戒</v>
      </c>
      <c r="C187">
        <f>IFERROR(INDEX(装备库!$A$2:$Y$1047,MATCH(ROW()-1,装备库!$AO$2:$AO$1046,0),COLUMN()),"")</f>
        <v>12450</v>
      </c>
      <c r="D187" t="str">
        <f>IFERROR(INDEX(装备库!$A$2:$Y$1047,MATCH(ROW()-1,装备库!$AO$2:$AO$1046,0),COLUMN()),"")</f>
        <v>催时戒(12450精简体攻破无)</v>
      </c>
      <c r="E187">
        <f>IFERROR(INDEX(装备库!$A$2:$Y$1047,MATCH(ROW()-1,装备库!$AO$2:$AO$1046,0),COLUMN()),"")</f>
        <v>0</v>
      </c>
      <c r="F187">
        <f>IFERROR(INDEX(装备库!$A$2:$Y$1047,MATCH(ROW()-1,装备库!$AO$2:$AO$1046,0),COLUMN()),"")</f>
        <v>1519</v>
      </c>
      <c r="G187">
        <f>IFERROR(INDEX(装备库!$A$2:$Y$1047,MATCH(ROW()-1,装备库!$AO$2:$AO$1046,0),COLUMN()),"")</f>
        <v>0</v>
      </c>
      <c r="H187">
        <f>IFERROR(INDEX(装备库!$A$2:$Y$1047,MATCH(ROW()-1,装备库!$AO$2:$AO$1046,0),COLUMN()),"")</f>
        <v>0</v>
      </c>
      <c r="I187">
        <f>IFERROR(INDEX(装备库!$A$2:$Y$1047,MATCH(ROW()-1,装备库!$AO$2:$AO$1046,0),COLUMN()),"")</f>
        <v>2302</v>
      </c>
      <c r="J187">
        <f>IFERROR(INDEX(装备库!$A$2:$Y$1047,MATCH(ROW()-1,装备库!$AO$2:$AO$1046,0),COLUMN()),"")</f>
        <v>0</v>
      </c>
      <c r="K187">
        <f>IFERROR(INDEX(装备库!$A$2:$Y$1047,MATCH(ROW()-1,装备库!$AO$2:$AO$1046,0),COLUMN()),"")</f>
        <v>2545</v>
      </c>
      <c r="L187">
        <f>IFERROR(INDEX(装备库!$A$2:$Y$1047,MATCH(ROW()-1,装备库!$AO$2:$AO$1046,0),COLUMN()),"")</f>
        <v>0</v>
      </c>
      <c r="M187">
        <f>IFERROR(INDEX(装备库!$A$2:$Y$1047,MATCH(ROW()-1,装备库!$AO$2:$AO$1046,0),COLUMN()),"")</f>
        <v>0</v>
      </c>
      <c r="N187">
        <f>IFERROR(INDEX(装备库!$A$2:$Y$1047,MATCH(ROW()-1,装备库!$AO$2:$AO$1046,0),COLUMN()),"")</f>
        <v>0</v>
      </c>
      <c r="O187">
        <f>IFERROR(INDEX(装备库!$A$2:$Y$1047,MATCH(ROW()-1,装备库!$AO$2:$AO$1046,0),COLUMN()),"")</f>
        <v>0</v>
      </c>
      <c r="P187">
        <f>IFERROR(INDEX(装备库!$A$2:$Y$1047,MATCH(ROW()-1,装备库!$AO$2:$AO$1046,0),COLUMN()),"")</f>
        <v>0</v>
      </c>
      <c r="Q187">
        <f>IFERROR(INDEX(装备库!$A$2:$Y$1047,MATCH(ROW()-1,装备库!$AO$2:$AO$1046,0),COLUMN()),"")</f>
        <v>0</v>
      </c>
      <c r="R187">
        <f>IFERROR(INDEX(装备库!$A$2:$Y$1047,MATCH(ROW()-1,装备库!$AO$2:$AO$1046,0),COLUMN()),"")</f>
        <v>0</v>
      </c>
      <c r="S187">
        <f>IFERROR(INDEX(装备库!$A$2:$Y$1047,MATCH(ROW()-1,装备库!$AO$2:$AO$1046,0),COLUMN()),"")</f>
        <v>0</v>
      </c>
      <c r="T187">
        <f>IFERROR(INDEX(装备库!$A$2:$Y$1047,MATCH(ROW()-1,装备库!$AO$2:$AO$1046,0),COLUMN()),"")</f>
        <v>0</v>
      </c>
      <c r="U187">
        <f>IFERROR(INDEX(装备库!$A$2:$Y$1047,MATCH(ROW()-1,装备库!$AO$2:$AO$1046,0),COLUMN()),"")</f>
        <v>0</v>
      </c>
      <c r="V187">
        <f>IFERROR(INDEX(装备库!$A$2:$Y$1047,MATCH(ROW()-1,装备库!$AO$2:$AO$1046,0),COLUMN()),"")</f>
        <v>0</v>
      </c>
      <c r="W187" t="str">
        <f>IFERROR(INDEX(装备库!$A$2:$Y$1047,MATCH(ROW()-1,装备库!$AO$2:$AO$1046,0),COLUMN()),"")</f>
        <v>精简体攻破无</v>
      </c>
      <c r="X187">
        <f>IFERROR(INDEX(装备库!$A$2:$Y$1047,MATCH(ROW()-1,装备库!$AO$2:$AO$1046,0),COLUMN()),"")</f>
        <v>4</v>
      </c>
      <c r="Y187" t="str">
        <f>IFERROR(INDEX(装备库!$A$2:$Y$1047,MATCH(ROW()-1,装备库!$AO$2:$AO$1046,0),COLUMN()),"")</f>
        <v>副本</v>
      </c>
    </row>
    <row r="188" spans="1:25" x14ac:dyDescent="0.35">
      <c r="A188" t="str">
        <f>IFERROR(INDEX(装备库!$A$2:$Y$1047,MATCH(ROW()-1,装备库!$AO$2:$AO$1046,0),COLUMN()),"")</f>
        <v>戒指</v>
      </c>
      <c r="B188" t="str">
        <f>IFERROR(INDEX(装备库!$A$2:$Y$1047,MATCH(ROW()-1,装备库!$AO$2:$AO$1046,0),COLUMN()),"")</f>
        <v>破朝戒</v>
      </c>
      <c r="C188">
        <f>IFERROR(INDEX(装备库!$A$2:$Y$1047,MATCH(ROW()-1,装备库!$AO$2:$AO$1046,0),COLUMN()),"")</f>
        <v>12450</v>
      </c>
      <c r="D188" t="str">
        <f>IFERROR(INDEX(装备库!$A$2:$Y$1047,MATCH(ROW()-1,装备库!$AO$2:$AO$1046,0),COLUMN()),"")</f>
        <v>破朝戒(12450精简体攻会无)</v>
      </c>
      <c r="E188">
        <f>IFERROR(INDEX(装备库!$A$2:$Y$1047,MATCH(ROW()-1,装备库!$AO$2:$AO$1046,0),COLUMN()),"")</f>
        <v>0</v>
      </c>
      <c r="F188">
        <f>IFERROR(INDEX(装备库!$A$2:$Y$1047,MATCH(ROW()-1,装备库!$AO$2:$AO$1046,0),COLUMN()),"")</f>
        <v>1302</v>
      </c>
      <c r="G188">
        <f>IFERROR(INDEX(装备库!$A$2:$Y$1047,MATCH(ROW()-1,装备库!$AO$2:$AO$1046,0),COLUMN()),"")</f>
        <v>1575</v>
      </c>
      <c r="H188">
        <f>IFERROR(INDEX(装备库!$A$2:$Y$1047,MATCH(ROW()-1,装备库!$AO$2:$AO$1046,0),COLUMN()),"")</f>
        <v>0</v>
      </c>
      <c r="I188">
        <f>IFERROR(INDEX(装备库!$A$2:$Y$1047,MATCH(ROW()-1,装备库!$AO$2:$AO$1046,0),COLUMN()),"")</f>
        <v>0</v>
      </c>
      <c r="J188">
        <f>IFERROR(INDEX(装备库!$A$2:$Y$1047,MATCH(ROW()-1,装备库!$AO$2:$AO$1046,0),COLUMN()),"")</f>
        <v>0</v>
      </c>
      <c r="K188">
        <f>IFERROR(INDEX(装备库!$A$2:$Y$1047,MATCH(ROW()-1,装备库!$AO$2:$AO$1046,0),COLUMN()),"")</f>
        <v>3877</v>
      </c>
      <c r="L188">
        <f>IFERROR(INDEX(装备库!$A$2:$Y$1047,MATCH(ROW()-1,装备库!$AO$2:$AO$1046,0),COLUMN()),"")</f>
        <v>0</v>
      </c>
      <c r="M188">
        <f>IFERROR(INDEX(装备库!$A$2:$Y$1047,MATCH(ROW()-1,装备库!$AO$2:$AO$1046,0),COLUMN()),"")</f>
        <v>0</v>
      </c>
      <c r="N188">
        <f>IFERROR(INDEX(装备库!$A$2:$Y$1047,MATCH(ROW()-1,装备库!$AO$2:$AO$1046,0),COLUMN()),"")</f>
        <v>0</v>
      </c>
      <c r="O188">
        <f>IFERROR(INDEX(装备库!$A$2:$Y$1047,MATCH(ROW()-1,装备库!$AO$2:$AO$1046,0),COLUMN()),"")</f>
        <v>0</v>
      </c>
      <c r="P188">
        <f>IFERROR(INDEX(装备库!$A$2:$Y$1047,MATCH(ROW()-1,装备库!$AO$2:$AO$1046,0),COLUMN()),"")</f>
        <v>0</v>
      </c>
      <c r="Q188">
        <f>IFERROR(INDEX(装备库!$A$2:$Y$1047,MATCH(ROW()-1,装备库!$AO$2:$AO$1046,0),COLUMN()),"")</f>
        <v>0</v>
      </c>
      <c r="R188">
        <f>IFERROR(INDEX(装备库!$A$2:$Y$1047,MATCH(ROW()-1,装备库!$AO$2:$AO$1046,0),COLUMN()),"")</f>
        <v>0</v>
      </c>
      <c r="S188">
        <f>IFERROR(INDEX(装备库!$A$2:$Y$1047,MATCH(ROW()-1,装备库!$AO$2:$AO$1046,0),COLUMN()),"")</f>
        <v>0</v>
      </c>
      <c r="T188">
        <f>IFERROR(INDEX(装备库!$A$2:$Y$1047,MATCH(ROW()-1,装备库!$AO$2:$AO$1046,0),COLUMN()),"")</f>
        <v>0</v>
      </c>
      <c r="U188">
        <f>IFERROR(INDEX(装备库!$A$2:$Y$1047,MATCH(ROW()-1,装备库!$AO$2:$AO$1046,0),COLUMN()),"")</f>
        <v>0</v>
      </c>
      <c r="V188">
        <f>IFERROR(INDEX(装备库!$A$2:$Y$1047,MATCH(ROW()-1,装备库!$AO$2:$AO$1046,0),COLUMN()),"")</f>
        <v>0</v>
      </c>
      <c r="W188" t="str">
        <f>IFERROR(INDEX(装备库!$A$2:$Y$1047,MATCH(ROW()-1,装备库!$AO$2:$AO$1046,0),COLUMN()),"")</f>
        <v>精简体攻会无</v>
      </c>
      <c r="X188">
        <f>IFERROR(INDEX(装备库!$A$2:$Y$1047,MATCH(ROW()-1,装备库!$AO$2:$AO$1046,0),COLUMN()),"")</f>
        <v>4</v>
      </c>
      <c r="Y188" t="str">
        <f>IFERROR(INDEX(装备库!$A$2:$Y$1047,MATCH(ROW()-1,装备库!$AO$2:$AO$1046,0),COLUMN()),"")</f>
        <v>副本</v>
      </c>
    </row>
    <row r="189" spans="1:25" x14ac:dyDescent="0.35">
      <c r="A189" t="str">
        <f>IFERROR(INDEX(装备库!$A$2:$Y$1047,MATCH(ROW()-1,装备库!$AO$2:$AO$1046,0),COLUMN()),"")</f>
        <v>裤子</v>
      </c>
      <c r="B189" t="str">
        <f>IFERROR(INDEX(装备库!$A$2:$Y$1047,MATCH(ROW()-1,装备库!$AO$2:$AO$1046,0),COLUMN()),"")</f>
        <v>浅梦裤</v>
      </c>
      <c r="C189">
        <f>IFERROR(INDEX(装备库!$A$2:$Y$1047,MATCH(ROW()-1,装备库!$AO$2:$AO$1046,0),COLUMN()),"")</f>
        <v>8000</v>
      </c>
      <c r="D189" t="str">
        <f>IFERROR(INDEX(装备库!$A$2:$Y$1047,MATCH(ROW()-1,装备库!$AO$2:$AO$1046,0),COLUMN()),"")</f>
        <v>浅梦裤(8000招无)</v>
      </c>
      <c r="E189">
        <f>IFERROR(INDEX(装备库!$A$2:$Y$1047,MATCH(ROW()-1,装备库!$AO$2:$AO$1046,0),COLUMN()),"")</f>
        <v>559</v>
      </c>
      <c r="F189">
        <f>IFERROR(INDEX(装备库!$A$2:$Y$1047,MATCH(ROW()-1,装备库!$AO$2:$AO$1046,0),COLUMN()),"")</f>
        <v>906</v>
      </c>
      <c r="G189">
        <f>IFERROR(INDEX(装备库!$A$2:$Y$1047,MATCH(ROW()-1,装备库!$AO$2:$AO$1046,0),COLUMN()),"")</f>
        <v>0</v>
      </c>
      <c r="H189">
        <f>IFERROR(INDEX(装备库!$A$2:$Y$1047,MATCH(ROW()-1,装备库!$AO$2:$AO$1046,0),COLUMN()),"")</f>
        <v>0</v>
      </c>
      <c r="I189">
        <f>IFERROR(INDEX(装备库!$A$2:$Y$1047,MATCH(ROW()-1,装备库!$AO$2:$AO$1046,0),COLUMN()),"")</f>
        <v>0</v>
      </c>
      <c r="J189">
        <f>IFERROR(INDEX(装备库!$A$2:$Y$1047,MATCH(ROW()-1,装备库!$AO$2:$AO$1046,0),COLUMN()),"")</f>
        <v>2803</v>
      </c>
      <c r="K189">
        <f>IFERROR(INDEX(装备库!$A$2:$Y$1047,MATCH(ROW()-1,装备库!$AO$2:$AO$1046,0),COLUMN()),"")</f>
        <v>2491</v>
      </c>
      <c r="L189">
        <f>IFERROR(INDEX(装备库!$A$2:$Y$1047,MATCH(ROW()-1,装备库!$AO$2:$AO$1046,0),COLUMN()),"")</f>
        <v>0</v>
      </c>
      <c r="M189">
        <f>IFERROR(INDEX(装备库!$A$2:$Y$1047,MATCH(ROW()-1,装备库!$AO$2:$AO$1046,0),COLUMN()),"")</f>
        <v>0</v>
      </c>
      <c r="N189">
        <f>IFERROR(INDEX(装备库!$A$2:$Y$1047,MATCH(ROW()-1,装备库!$AO$2:$AO$1046,0),COLUMN()),"")</f>
        <v>0</v>
      </c>
      <c r="O189">
        <f>IFERROR(INDEX(装备库!$A$2:$Y$1047,MATCH(ROW()-1,装备库!$AO$2:$AO$1046,0),COLUMN()),"")</f>
        <v>1</v>
      </c>
      <c r="P189">
        <f>IFERROR(INDEX(装备库!$A$2:$Y$1047,MATCH(ROW()-1,装备库!$AO$2:$AO$1046,0),COLUMN()),"")</f>
        <v>0</v>
      </c>
      <c r="Q189">
        <f>IFERROR(INDEX(装备库!$A$2:$Y$1047,MATCH(ROW()-1,装备库!$AO$2:$AO$1046,0),COLUMN()),"")</f>
        <v>0</v>
      </c>
      <c r="R189">
        <f>IFERROR(INDEX(装备库!$A$2:$Y$1047,MATCH(ROW()-1,装备库!$AO$2:$AO$1046,0),COLUMN()),"")</f>
        <v>0</v>
      </c>
      <c r="S189">
        <f>IFERROR(INDEX(装备库!$A$2:$Y$1047,MATCH(ROW()-1,装备库!$AO$2:$AO$1046,0),COLUMN()),"")</f>
        <v>1</v>
      </c>
      <c r="T189">
        <f>IFERROR(INDEX(装备库!$A$2:$Y$1047,MATCH(ROW()-1,装备库!$AO$2:$AO$1046,0),COLUMN()),"")</f>
        <v>0</v>
      </c>
      <c r="U189">
        <f>IFERROR(INDEX(装备库!$A$2:$Y$1047,MATCH(ROW()-1,装备库!$AO$2:$AO$1046,0),COLUMN()),"")</f>
        <v>0</v>
      </c>
      <c r="V189">
        <f>IFERROR(INDEX(装备库!$A$2:$Y$1047,MATCH(ROW()-1,装备库!$AO$2:$AO$1046,0),COLUMN()),"")</f>
        <v>0</v>
      </c>
      <c r="W189" t="str">
        <f>IFERROR(INDEX(装备库!$A$2:$Y$1047,MATCH(ROW()-1,装备库!$AO$2:$AO$1046,0),COLUMN()),"")</f>
        <v>招无</v>
      </c>
      <c r="X189">
        <f>IFERROR(INDEX(装备库!$A$2:$Y$1047,MATCH(ROW()-1,装备库!$AO$2:$AO$1046,0),COLUMN()),"")</f>
        <v>6</v>
      </c>
      <c r="Y189" t="str">
        <f>IFERROR(INDEX(装备库!$A$2:$Y$1047,MATCH(ROW()-1,装备库!$AO$2:$AO$1046,0),COLUMN()),"")</f>
        <v>副本</v>
      </c>
    </row>
    <row r="190" spans="1:25" x14ac:dyDescent="0.35">
      <c r="A190" t="str">
        <f>IFERROR(INDEX(装备库!$A$2:$Y$1047,MATCH(ROW()-1,装备库!$AO$2:$AO$1046,0),COLUMN()),"")</f>
        <v>裤子</v>
      </c>
      <c r="B190" t="str">
        <f>IFERROR(INDEX(装备库!$A$2:$Y$1047,MATCH(ROW()-1,装备库!$AO$2:$AO$1046,0),COLUMN()),"")</f>
        <v>崇月裤</v>
      </c>
      <c r="C190">
        <f>IFERROR(INDEX(装备库!$A$2:$Y$1047,MATCH(ROW()-1,装备库!$AO$2:$AO$1046,0),COLUMN()),"")</f>
        <v>8100</v>
      </c>
      <c r="D190" t="str">
        <f>IFERROR(INDEX(装备库!$A$2:$Y$1047,MATCH(ROW()-1,装备库!$AO$2:$AO$1046,0),COLUMN()),"")</f>
        <v>崇月裤(8100力道纯破)</v>
      </c>
      <c r="E190">
        <f>IFERROR(INDEX(装备库!$A$2:$Y$1047,MATCH(ROW()-1,装备库!$AO$2:$AO$1046,0),COLUMN()),"")</f>
        <v>707</v>
      </c>
      <c r="F190">
        <f>IFERROR(INDEX(装备库!$A$2:$Y$1047,MATCH(ROW()-1,装备库!$AO$2:$AO$1046,0),COLUMN()),"")</f>
        <v>1412</v>
      </c>
      <c r="G190">
        <f>IFERROR(INDEX(装备库!$A$2:$Y$1047,MATCH(ROW()-1,装备库!$AO$2:$AO$1046,0),COLUMN()),"")</f>
        <v>0</v>
      </c>
      <c r="H190">
        <f>IFERROR(INDEX(装备库!$A$2:$Y$1047,MATCH(ROW()-1,装备库!$AO$2:$AO$1046,0),COLUMN()),"")</f>
        <v>0</v>
      </c>
      <c r="I190">
        <f>IFERROR(INDEX(装备库!$A$2:$Y$1047,MATCH(ROW()-1,装备库!$AO$2:$AO$1046,0),COLUMN()),"")</f>
        <v>3626</v>
      </c>
      <c r="J190">
        <f>IFERROR(INDEX(装备库!$A$2:$Y$1047,MATCH(ROW()-1,装备库!$AO$2:$AO$1046,0),COLUMN()),"")</f>
        <v>0</v>
      </c>
      <c r="K190">
        <f>IFERROR(INDEX(装备库!$A$2:$Y$1047,MATCH(ROW()-1,装备库!$AO$2:$AO$1046,0),COLUMN()),"")</f>
        <v>0</v>
      </c>
      <c r="L190">
        <f>IFERROR(INDEX(装备库!$A$2:$Y$1047,MATCH(ROW()-1,装备库!$AO$2:$AO$1046,0),COLUMN()),"")</f>
        <v>0</v>
      </c>
      <c r="M190">
        <f>IFERROR(INDEX(装备库!$A$2:$Y$1047,MATCH(ROW()-1,装备库!$AO$2:$AO$1046,0),COLUMN()),"")</f>
        <v>0</v>
      </c>
      <c r="N190">
        <f>IFERROR(INDEX(装备库!$A$2:$Y$1047,MATCH(ROW()-1,装备库!$AO$2:$AO$1046,0),COLUMN()),"")</f>
        <v>0</v>
      </c>
      <c r="O190">
        <f>IFERROR(INDEX(装备库!$A$2:$Y$1047,MATCH(ROW()-1,装备库!$AO$2:$AO$1046,0),COLUMN()),"")</f>
        <v>0</v>
      </c>
      <c r="P190">
        <f>IFERROR(INDEX(装备库!$A$2:$Y$1047,MATCH(ROW()-1,装备库!$AO$2:$AO$1046,0),COLUMN()),"")</f>
        <v>0</v>
      </c>
      <c r="Q190">
        <f>IFERROR(INDEX(装备库!$A$2:$Y$1047,MATCH(ROW()-1,装备库!$AO$2:$AO$1046,0),COLUMN()),"")</f>
        <v>0</v>
      </c>
      <c r="R190">
        <f>IFERROR(INDEX(装备库!$A$2:$Y$1047,MATCH(ROW()-1,装备库!$AO$2:$AO$1046,0),COLUMN()),"")</f>
        <v>0</v>
      </c>
      <c r="S190">
        <f>IFERROR(INDEX(装备库!$A$2:$Y$1047,MATCH(ROW()-1,装备库!$AO$2:$AO$1046,0),COLUMN()),"")</f>
        <v>0</v>
      </c>
      <c r="T190">
        <f>IFERROR(INDEX(装备库!$A$2:$Y$1047,MATCH(ROW()-1,装备库!$AO$2:$AO$1046,0),COLUMN()),"")</f>
        <v>0</v>
      </c>
      <c r="U190">
        <f>IFERROR(INDEX(装备库!$A$2:$Y$1047,MATCH(ROW()-1,装备库!$AO$2:$AO$1046,0),COLUMN()),"")</f>
        <v>0</v>
      </c>
      <c r="V190">
        <f>IFERROR(INDEX(装备库!$A$2:$Y$1047,MATCH(ROW()-1,装备库!$AO$2:$AO$1046,0),COLUMN()),"")</f>
        <v>0</v>
      </c>
      <c r="W190" t="str">
        <f>IFERROR(INDEX(装备库!$A$2:$Y$1047,MATCH(ROW()-1,装备库!$AO$2:$AO$1046,0),COLUMN()),"")</f>
        <v>力道纯破</v>
      </c>
      <c r="X190">
        <f>IFERROR(INDEX(装备库!$A$2:$Y$1047,MATCH(ROW()-1,装备库!$AO$2:$AO$1046,0),COLUMN()),"")</f>
        <v>6</v>
      </c>
      <c r="Y190" t="str">
        <f>IFERROR(INDEX(装备库!$A$2:$Y$1047,MATCH(ROW()-1,装备库!$AO$2:$AO$1046,0),COLUMN()),"")</f>
        <v>任务</v>
      </c>
    </row>
    <row r="191" spans="1:25" x14ac:dyDescent="0.35">
      <c r="A191" t="str">
        <f>IFERROR(INDEX(装备库!$A$2:$Y$1047,MATCH(ROW()-1,装备库!$AO$2:$AO$1046,0),COLUMN()),"")</f>
        <v>裤子</v>
      </c>
      <c r="B191" t="str">
        <f>IFERROR(INDEX(装备库!$A$2:$Y$1047,MATCH(ROW()-1,装备库!$AO$2:$AO$1046,0),COLUMN()),"")</f>
        <v>画楼裳</v>
      </c>
      <c r="C191">
        <f>IFERROR(INDEX(装备库!$A$2:$Y$1047,MATCH(ROW()-1,装备库!$AO$2:$AO$1046,0),COLUMN()),"")</f>
        <v>8100</v>
      </c>
      <c r="D191" t="str">
        <f>IFERROR(INDEX(装备库!$A$2:$Y$1047,MATCH(ROW()-1,装备库!$AO$2:$AO$1046,0),COLUMN()),"")</f>
        <v>画楼裳(8100会无)</v>
      </c>
      <c r="E191">
        <f>IFERROR(INDEX(装备库!$A$2:$Y$1047,MATCH(ROW()-1,装备库!$AO$2:$AO$1046,0),COLUMN()),"")</f>
        <v>566</v>
      </c>
      <c r="F191">
        <f>IFERROR(INDEX(装备库!$A$2:$Y$1047,MATCH(ROW()-1,装备库!$AO$2:$AO$1046,0),COLUMN()),"")</f>
        <v>918</v>
      </c>
      <c r="G191">
        <f>IFERROR(INDEX(装备库!$A$2:$Y$1047,MATCH(ROW()-1,装备库!$AO$2:$AO$1046,0),COLUMN()),"")</f>
        <v>2838</v>
      </c>
      <c r="H191">
        <f>IFERROR(INDEX(装备库!$A$2:$Y$1047,MATCH(ROW()-1,装备库!$AO$2:$AO$1046,0),COLUMN()),"")</f>
        <v>0</v>
      </c>
      <c r="I191">
        <f>IFERROR(INDEX(装备库!$A$2:$Y$1047,MATCH(ROW()-1,装备库!$AO$2:$AO$1046,0),COLUMN()),"")</f>
        <v>0</v>
      </c>
      <c r="J191">
        <f>IFERROR(INDEX(装备库!$A$2:$Y$1047,MATCH(ROW()-1,装备库!$AO$2:$AO$1046,0),COLUMN()),"")</f>
        <v>0</v>
      </c>
      <c r="K191">
        <f>IFERROR(INDEX(装备库!$A$2:$Y$1047,MATCH(ROW()-1,装备库!$AO$2:$AO$1046,0),COLUMN()),"")</f>
        <v>2523</v>
      </c>
      <c r="L191">
        <f>IFERROR(INDEX(装备库!$A$2:$Y$1047,MATCH(ROW()-1,装备库!$AO$2:$AO$1046,0),COLUMN()),"")</f>
        <v>0</v>
      </c>
      <c r="M191">
        <f>IFERROR(INDEX(装备库!$A$2:$Y$1047,MATCH(ROW()-1,装备库!$AO$2:$AO$1046,0),COLUMN()),"")</f>
        <v>0</v>
      </c>
      <c r="N191">
        <f>IFERROR(INDEX(装备库!$A$2:$Y$1047,MATCH(ROW()-1,装备库!$AO$2:$AO$1046,0),COLUMN()),"")</f>
        <v>0</v>
      </c>
      <c r="O191">
        <f>IFERROR(INDEX(装备库!$A$2:$Y$1047,MATCH(ROW()-1,装备库!$AO$2:$AO$1046,0),COLUMN()),"")</f>
        <v>0</v>
      </c>
      <c r="P191">
        <f>IFERROR(INDEX(装备库!$A$2:$Y$1047,MATCH(ROW()-1,装备库!$AO$2:$AO$1046,0),COLUMN()),"")</f>
        <v>0</v>
      </c>
      <c r="Q191">
        <f>IFERROR(INDEX(装备库!$A$2:$Y$1047,MATCH(ROW()-1,装备库!$AO$2:$AO$1046,0),COLUMN()),"")</f>
        <v>1</v>
      </c>
      <c r="R191">
        <f>IFERROR(INDEX(装备库!$A$2:$Y$1047,MATCH(ROW()-1,装备库!$AO$2:$AO$1046,0),COLUMN()),"")</f>
        <v>0</v>
      </c>
      <c r="S191">
        <f>IFERROR(INDEX(装备库!$A$2:$Y$1047,MATCH(ROW()-1,装备库!$AO$2:$AO$1046,0),COLUMN()),"")</f>
        <v>0</v>
      </c>
      <c r="T191">
        <f>IFERROR(INDEX(装备库!$A$2:$Y$1047,MATCH(ROW()-1,装备库!$AO$2:$AO$1046,0),COLUMN()),"")</f>
        <v>1</v>
      </c>
      <c r="U191">
        <f>IFERROR(INDEX(装备库!$A$2:$Y$1047,MATCH(ROW()-1,装备库!$AO$2:$AO$1046,0),COLUMN()),"")</f>
        <v>0</v>
      </c>
      <c r="V191">
        <f>IFERROR(INDEX(装备库!$A$2:$Y$1047,MATCH(ROW()-1,装备库!$AO$2:$AO$1046,0),COLUMN()),"")</f>
        <v>0</v>
      </c>
      <c r="W191" t="str">
        <f>IFERROR(INDEX(装备库!$A$2:$Y$1047,MATCH(ROW()-1,装备库!$AO$2:$AO$1046,0),COLUMN()),"")</f>
        <v>会无</v>
      </c>
      <c r="X191">
        <f>IFERROR(INDEX(装备库!$A$2:$Y$1047,MATCH(ROW()-1,装备库!$AO$2:$AO$1046,0),COLUMN()),"")</f>
        <v>6</v>
      </c>
      <c r="Y191" t="str">
        <f>IFERROR(INDEX(装备库!$A$2:$Y$1047,MATCH(ROW()-1,装备库!$AO$2:$AO$1046,0),COLUMN()),"")</f>
        <v>任务</v>
      </c>
    </row>
    <row r="192" spans="1:25" x14ac:dyDescent="0.35">
      <c r="A192" t="str">
        <f>IFERROR(INDEX(装备库!$A$2:$Y$1047,MATCH(ROW()-1,装备库!$AO$2:$AO$1046,0),COLUMN()),"")</f>
        <v>裤子</v>
      </c>
      <c r="B192" t="str">
        <f>IFERROR(INDEX(装备库!$A$2:$Y$1047,MATCH(ROW()-1,装备库!$AO$2:$AO$1046,0),COLUMN()),"")</f>
        <v>少雪裤</v>
      </c>
      <c r="C192">
        <f>IFERROR(INDEX(装备库!$A$2:$Y$1047,MATCH(ROW()-1,装备库!$AO$2:$AO$1046,0),COLUMN()),"")</f>
        <v>8600</v>
      </c>
      <c r="D192" t="str">
        <f>IFERROR(INDEX(装备库!$A$2:$Y$1047,MATCH(ROW()-1,装备库!$AO$2:$AO$1046,0),COLUMN()),"")</f>
        <v>少雪裤(8600力道纯破)</v>
      </c>
      <c r="E192">
        <f>IFERROR(INDEX(装备库!$A$2:$Y$1047,MATCH(ROW()-1,装备库!$AO$2:$AO$1046,0),COLUMN()),"")</f>
        <v>751</v>
      </c>
      <c r="F192">
        <f>IFERROR(INDEX(装备库!$A$2:$Y$1047,MATCH(ROW()-1,装备库!$AO$2:$AO$1046,0),COLUMN()),"")</f>
        <v>1499</v>
      </c>
      <c r="G192">
        <f>IFERROR(INDEX(装备库!$A$2:$Y$1047,MATCH(ROW()-1,装备库!$AO$2:$AO$1046,0),COLUMN()),"")</f>
        <v>0</v>
      </c>
      <c r="H192">
        <f>IFERROR(INDEX(装备库!$A$2:$Y$1047,MATCH(ROW()-1,装备库!$AO$2:$AO$1046,0),COLUMN()),"")</f>
        <v>0</v>
      </c>
      <c r="I192">
        <f>IFERROR(INDEX(装备库!$A$2:$Y$1047,MATCH(ROW()-1,装备库!$AO$2:$AO$1046,0),COLUMN()),"")</f>
        <v>3850</v>
      </c>
      <c r="J192">
        <f>IFERROR(INDEX(装备库!$A$2:$Y$1047,MATCH(ROW()-1,装备库!$AO$2:$AO$1046,0),COLUMN()),"")</f>
        <v>0</v>
      </c>
      <c r="K192">
        <f>IFERROR(INDEX(装备库!$A$2:$Y$1047,MATCH(ROW()-1,装备库!$AO$2:$AO$1046,0),COLUMN()),"")</f>
        <v>0</v>
      </c>
      <c r="L192">
        <f>IFERROR(INDEX(装备库!$A$2:$Y$1047,MATCH(ROW()-1,装备库!$AO$2:$AO$1046,0),COLUMN()),"")</f>
        <v>0</v>
      </c>
      <c r="M192">
        <f>IFERROR(INDEX(装备库!$A$2:$Y$1047,MATCH(ROW()-1,装备库!$AO$2:$AO$1046,0),COLUMN()),"")</f>
        <v>0</v>
      </c>
      <c r="N192">
        <f>IFERROR(INDEX(装备库!$A$2:$Y$1047,MATCH(ROW()-1,装备库!$AO$2:$AO$1046,0),COLUMN()),"")</f>
        <v>0</v>
      </c>
      <c r="O192">
        <f>IFERROR(INDEX(装备库!$A$2:$Y$1047,MATCH(ROW()-1,装备库!$AO$2:$AO$1046,0),COLUMN()),"")</f>
        <v>1</v>
      </c>
      <c r="P192">
        <f>IFERROR(INDEX(装备库!$A$2:$Y$1047,MATCH(ROW()-1,装备库!$AO$2:$AO$1046,0),COLUMN()),"")</f>
        <v>0</v>
      </c>
      <c r="Q192">
        <f>IFERROR(INDEX(装备库!$A$2:$Y$1047,MATCH(ROW()-1,装备库!$AO$2:$AO$1046,0),COLUMN()),"")</f>
        <v>0</v>
      </c>
      <c r="R192">
        <f>IFERROR(INDEX(装备库!$A$2:$Y$1047,MATCH(ROW()-1,装备库!$AO$2:$AO$1046,0),COLUMN()),"")</f>
        <v>0</v>
      </c>
      <c r="S192">
        <f>IFERROR(INDEX(装备库!$A$2:$Y$1047,MATCH(ROW()-1,装备库!$AO$2:$AO$1046,0),COLUMN()),"")</f>
        <v>1</v>
      </c>
      <c r="T192">
        <f>IFERROR(INDEX(装备库!$A$2:$Y$1047,MATCH(ROW()-1,装备库!$AO$2:$AO$1046,0),COLUMN()),"")</f>
        <v>0</v>
      </c>
      <c r="U192">
        <f>IFERROR(INDEX(装备库!$A$2:$Y$1047,MATCH(ROW()-1,装备库!$AO$2:$AO$1046,0),COLUMN()),"")</f>
        <v>0</v>
      </c>
      <c r="V192">
        <f>IFERROR(INDEX(装备库!$A$2:$Y$1047,MATCH(ROW()-1,装备库!$AO$2:$AO$1046,0),COLUMN()),"")</f>
        <v>0</v>
      </c>
      <c r="W192" t="str">
        <f>IFERROR(INDEX(装备库!$A$2:$Y$1047,MATCH(ROW()-1,装备库!$AO$2:$AO$1046,0),COLUMN()),"")</f>
        <v>力道纯破</v>
      </c>
      <c r="X192">
        <f>IFERROR(INDEX(装备库!$A$2:$Y$1047,MATCH(ROW()-1,装备库!$AO$2:$AO$1046,0),COLUMN()),"")</f>
        <v>6</v>
      </c>
      <c r="Y192" t="str">
        <f>IFERROR(INDEX(装备库!$A$2:$Y$1047,MATCH(ROW()-1,装备库!$AO$2:$AO$1046,0),COLUMN()),"")</f>
        <v>精英怪</v>
      </c>
    </row>
    <row r="193" spans="1:25" x14ac:dyDescent="0.35">
      <c r="A193" t="str">
        <f>IFERROR(INDEX(装备库!$A$2:$Y$1047,MATCH(ROW()-1,装备库!$AO$2:$AO$1046,0),COLUMN()),"")</f>
        <v>裤子</v>
      </c>
      <c r="B193" t="str">
        <f>IFERROR(INDEX(装备库!$A$2:$Y$1047,MATCH(ROW()-1,装备库!$AO$2:$AO$1046,0),COLUMN()),"")</f>
        <v>画楼裳</v>
      </c>
      <c r="C193">
        <f>IFERROR(INDEX(装备库!$A$2:$Y$1047,MATCH(ROW()-1,装备库!$AO$2:$AO$1046,0),COLUMN()),"")</f>
        <v>8800</v>
      </c>
      <c r="D193" t="str">
        <f>IFERROR(INDEX(装备库!$A$2:$Y$1047,MATCH(ROW()-1,装备库!$AO$2:$AO$1046,0),COLUMN()),"")</f>
        <v>画楼裳(8800会无)</v>
      </c>
      <c r="E193">
        <f>IFERROR(INDEX(装备库!$A$2:$Y$1047,MATCH(ROW()-1,装备库!$AO$2:$AO$1046,0),COLUMN()),"")</f>
        <v>614</v>
      </c>
      <c r="F193">
        <f>IFERROR(INDEX(装备库!$A$2:$Y$1047,MATCH(ROW()-1,装备库!$AO$2:$AO$1046,0),COLUMN()),"")</f>
        <v>997</v>
      </c>
      <c r="G193">
        <f>IFERROR(INDEX(装备库!$A$2:$Y$1047,MATCH(ROW()-1,装备库!$AO$2:$AO$1046,0),COLUMN()),"")</f>
        <v>3083</v>
      </c>
      <c r="H193">
        <f>IFERROR(INDEX(装备库!$A$2:$Y$1047,MATCH(ROW()-1,装备库!$AO$2:$AO$1046,0),COLUMN()),"")</f>
        <v>0</v>
      </c>
      <c r="I193">
        <f>IFERROR(INDEX(装备库!$A$2:$Y$1047,MATCH(ROW()-1,装备库!$AO$2:$AO$1046,0),COLUMN()),"")</f>
        <v>0</v>
      </c>
      <c r="J193">
        <f>IFERROR(INDEX(装备库!$A$2:$Y$1047,MATCH(ROW()-1,装备库!$AO$2:$AO$1046,0),COLUMN()),"")</f>
        <v>0</v>
      </c>
      <c r="K193">
        <f>IFERROR(INDEX(装备库!$A$2:$Y$1047,MATCH(ROW()-1,装备库!$AO$2:$AO$1046,0),COLUMN()),"")</f>
        <v>2741</v>
      </c>
      <c r="L193">
        <f>IFERROR(INDEX(装备库!$A$2:$Y$1047,MATCH(ROW()-1,装备库!$AO$2:$AO$1046,0),COLUMN()),"")</f>
        <v>0</v>
      </c>
      <c r="M193">
        <f>IFERROR(INDEX(装备库!$A$2:$Y$1047,MATCH(ROW()-1,装备库!$AO$2:$AO$1046,0),COLUMN()),"")</f>
        <v>0</v>
      </c>
      <c r="N193">
        <f>IFERROR(INDEX(装备库!$A$2:$Y$1047,MATCH(ROW()-1,装备库!$AO$2:$AO$1046,0),COLUMN()),"")</f>
        <v>0</v>
      </c>
      <c r="O193">
        <f>IFERROR(INDEX(装备库!$A$2:$Y$1047,MATCH(ROW()-1,装备库!$AO$2:$AO$1046,0),COLUMN()),"")</f>
        <v>0</v>
      </c>
      <c r="P193">
        <f>IFERROR(INDEX(装备库!$A$2:$Y$1047,MATCH(ROW()-1,装备库!$AO$2:$AO$1046,0),COLUMN()),"")</f>
        <v>0</v>
      </c>
      <c r="Q193">
        <f>IFERROR(INDEX(装备库!$A$2:$Y$1047,MATCH(ROW()-1,装备库!$AO$2:$AO$1046,0),COLUMN()),"")</f>
        <v>1</v>
      </c>
      <c r="R193">
        <f>IFERROR(INDEX(装备库!$A$2:$Y$1047,MATCH(ROW()-1,装备库!$AO$2:$AO$1046,0),COLUMN()),"")</f>
        <v>0</v>
      </c>
      <c r="S193">
        <f>IFERROR(INDEX(装备库!$A$2:$Y$1047,MATCH(ROW()-1,装备库!$AO$2:$AO$1046,0),COLUMN()),"")</f>
        <v>0</v>
      </c>
      <c r="T193">
        <f>IFERROR(INDEX(装备库!$A$2:$Y$1047,MATCH(ROW()-1,装备库!$AO$2:$AO$1046,0),COLUMN()),"")</f>
        <v>1</v>
      </c>
      <c r="U193">
        <f>IFERROR(INDEX(装备库!$A$2:$Y$1047,MATCH(ROW()-1,装备库!$AO$2:$AO$1046,0),COLUMN()),"")</f>
        <v>0</v>
      </c>
      <c r="V193">
        <f>IFERROR(INDEX(装备库!$A$2:$Y$1047,MATCH(ROW()-1,装备库!$AO$2:$AO$1046,0),COLUMN()),"")</f>
        <v>0</v>
      </c>
      <c r="W193" t="str">
        <f>IFERROR(INDEX(装备库!$A$2:$Y$1047,MATCH(ROW()-1,装备库!$AO$2:$AO$1046,0),COLUMN()),"")</f>
        <v>会无</v>
      </c>
      <c r="X193">
        <f>IFERROR(INDEX(装备库!$A$2:$Y$1047,MATCH(ROW()-1,装备库!$AO$2:$AO$1046,0),COLUMN()),"")</f>
        <v>6</v>
      </c>
      <c r="Y193" t="str">
        <f>IFERROR(INDEX(装备库!$A$2:$Y$1047,MATCH(ROW()-1,装备库!$AO$2:$AO$1046,0),COLUMN()),"")</f>
        <v>任务</v>
      </c>
    </row>
    <row r="194" spans="1:25" x14ac:dyDescent="0.35">
      <c r="A194" t="str">
        <f>IFERROR(INDEX(装备库!$A$2:$Y$1047,MATCH(ROW()-1,装备库!$AO$2:$AO$1046,0),COLUMN()),"")</f>
        <v>裤子</v>
      </c>
      <c r="B194" t="str">
        <f>IFERROR(INDEX(装备库!$A$2:$Y$1047,MATCH(ROW()-1,装备库!$AO$2:$AO$1046,0),COLUMN()),"")</f>
        <v>分石裤</v>
      </c>
      <c r="C194">
        <f>IFERROR(INDEX(装备库!$A$2:$Y$1047,MATCH(ROW()-1,装备库!$AO$2:$AO$1046,0),COLUMN()),"")</f>
        <v>9100</v>
      </c>
      <c r="D194" t="str">
        <f>IFERROR(INDEX(装备库!$A$2:$Y$1047,MATCH(ROW()-1,装备库!$AO$2:$AO$1046,0),COLUMN()),"")</f>
        <v>分石裤(9100会招)</v>
      </c>
      <c r="E194">
        <f>IFERROR(INDEX(装备库!$A$2:$Y$1047,MATCH(ROW()-1,装备库!$AO$2:$AO$1046,0),COLUMN()),"")</f>
        <v>635</v>
      </c>
      <c r="F194">
        <f>IFERROR(INDEX(装备库!$A$2:$Y$1047,MATCH(ROW()-1,装备库!$AO$2:$AO$1046,0),COLUMN()),"")</f>
        <v>1031</v>
      </c>
      <c r="G194">
        <f>IFERROR(INDEX(装备库!$A$2:$Y$1047,MATCH(ROW()-1,装备库!$AO$2:$AO$1046,0),COLUMN()),"")</f>
        <v>3188</v>
      </c>
      <c r="H194">
        <f>IFERROR(INDEX(装备库!$A$2:$Y$1047,MATCH(ROW()-1,装备库!$AO$2:$AO$1046,0),COLUMN()),"")</f>
        <v>0</v>
      </c>
      <c r="I194">
        <f>IFERROR(INDEX(装备库!$A$2:$Y$1047,MATCH(ROW()-1,装备库!$AO$2:$AO$1046,0),COLUMN()),"")</f>
        <v>0</v>
      </c>
      <c r="J194">
        <f>IFERROR(INDEX(装备库!$A$2:$Y$1047,MATCH(ROW()-1,装备库!$AO$2:$AO$1046,0),COLUMN()),"")</f>
        <v>2834</v>
      </c>
      <c r="K194">
        <f>IFERROR(INDEX(装备库!$A$2:$Y$1047,MATCH(ROW()-1,装备库!$AO$2:$AO$1046,0),COLUMN()),"")</f>
        <v>0</v>
      </c>
      <c r="L194">
        <f>IFERROR(INDEX(装备库!$A$2:$Y$1047,MATCH(ROW()-1,装备库!$AO$2:$AO$1046,0),COLUMN()),"")</f>
        <v>0</v>
      </c>
      <c r="M194">
        <f>IFERROR(INDEX(装备库!$A$2:$Y$1047,MATCH(ROW()-1,装备库!$AO$2:$AO$1046,0),COLUMN()),"")</f>
        <v>0</v>
      </c>
      <c r="N194">
        <f>IFERROR(INDEX(装备库!$A$2:$Y$1047,MATCH(ROW()-1,装备库!$AO$2:$AO$1046,0),COLUMN()),"")</f>
        <v>0</v>
      </c>
      <c r="O194">
        <f>IFERROR(INDEX(装备库!$A$2:$Y$1047,MATCH(ROW()-1,装备库!$AO$2:$AO$1046,0),COLUMN()),"")</f>
        <v>0</v>
      </c>
      <c r="P194">
        <f>IFERROR(INDEX(装备库!$A$2:$Y$1047,MATCH(ROW()-1,装备库!$AO$2:$AO$1046,0),COLUMN()),"")</f>
        <v>0</v>
      </c>
      <c r="Q194">
        <f>IFERROR(INDEX(装备库!$A$2:$Y$1047,MATCH(ROW()-1,装备库!$AO$2:$AO$1046,0),COLUMN()),"")</f>
        <v>0</v>
      </c>
      <c r="R194">
        <f>IFERROR(INDEX(装备库!$A$2:$Y$1047,MATCH(ROW()-1,装备库!$AO$2:$AO$1046,0),COLUMN()),"")</f>
        <v>0</v>
      </c>
      <c r="S194">
        <f>IFERROR(INDEX(装备库!$A$2:$Y$1047,MATCH(ROW()-1,装备库!$AO$2:$AO$1046,0),COLUMN()),"")</f>
        <v>1</v>
      </c>
      <c r="T194">
        <f>IFERROR(INDEX(装备库!$A$2:$Y$1047,MATCH(ROW()-1,装备库!$AO$2:$AO$1046,0),COLUMN()),"")</f>
        <v>1</v>
      </c>
      <c r="U194">
        <f>IFERROR(INDEX(装备库!$A$2:$Y$1047,MATCH(ROW()-1,装备库!$AO$2:$AO$1046,0),COLUMN()),"")</f>
        <v>0</v>
      </c>
      <c r="V194">
        <f>IFERROR(INDEX(装备库!$A$2:$Y$1047,MATCH(ROW()-1,装备库!$AO$2:$AO$1046,0),COLUMN()),"")</f>
        <v>0</v>
      </c>
      <c r="W194" t="str">
        <f>IFERROR(INDEX(装备库!$A$2:$Y$1047,MATCH(ROW()-1,装备库!$AO$2:$AO$1046,0),COLUMN()),"")</f>
        <v>会招</v>
      </c>
      <c r="X194">
        <f>IFERROR(INDEX(装备库!$A$2:$Y$1047,MATCH(ROW()-1,装备库!$AO$2:$AO$1046,0),COLUMN()),"")</f>
        <v>6</v>
      </c>
      <c r="Y194" t="str">
        <f>IFERROR(INDEX(装备库!$A$2:$Y$1047,MATCH(ROW()-1,装备库!$AO$2:$AO$1046,0),COLUMN()),"")</f>
        <v>副本</v>
      </c>
    </row>
    <row r="195" spans="1:25" x14ac:dyDescent="0.35">
      <c r="A195" t="str">
        <f>IFERROR(INDEX(装备库!$A$2:$Y$1047,MATCH(ROW()-1,装备库!$AO$2:$AO$1046,0),COLUMN()),"")</f>
        <v>裤子</v>
      </c>
      <c r="B195" t="str">
        <f>IFERROR(INDEX(装备库!$A$2:$Y$1047,MATCH(ROW()-1,装备库!$AO$2:$AO$1046,0),COLUMN()),"")</f>
        <v>无封裤</v>
      </c>
      <c r="C195">
        <f>IFERROR(INDEX(装备库!$A$2:$Y$1047,MATCH(ROW()-1,装备库!$AO$2:$AO$1046,0),COLUMN()),"")</f>
        <v>9100</v>
      </c>
      <c r="D195" t="str">
        <f>IFERROR(INDEX(装备库!$A$2:$Y$1047,MATCH(ROW()-1,装备库!$AO$2:$AO$1046,0),COLUMN()),"")</f>
        <v>无封裤(9100精简攻招无)</v>
      </c>
      <c r="E195">
        <f>IFERROR(INDEX(装备库!$A$2:$Y$1047,MATCH(ROW()-1,装备库!$AO$2:$AO$1046,0),COLUMN()),"")</f>
        <v>0</v>
      </c>
      <c r="F195">
        <f>IFERROR(INDEX(装备库!$A$2:$Y$1047,MATCH(ROW()-1,装备库!$AO$2:$AO$1046,0),COLUMN()),"")</f>
        <v>2300</v>
      </c>
      <c r="G195">
        <f>IFERROR(INDEX(装备库!$A$2:$Y$1047,MATCH(ROW()-1,装备库!$AO$2:$AO$1046,0),COLUMN()),"")</f>
        <v>0</v>
      </c>
      <c r="H195">
        <f>IFERROR(INDEX(装备库!$A$2:$Y$1047,MATCH(ROW()-1,装备库!$AO$2:$AO$1046,0),COLUMN()),"")</f>
        <v>0</v>
      </c>
      <c r="I195">
        <f>IFERROR(INDEX(装备库!$A$2:$Y$1047,MATCH(ROW()-1,装备库!$AO$2:$AO$1046,0),COLUMN()),"")</f>
        <v>0</v>
      </c>
      <c r="J195">
        <f>IFERROR(INDEX(装备库!$A$2:$Y$1047,MATCH(ROW()-1,装备库!$AO$2:$AO$1046,0),COLUMN()),"")</f>
        <v>1948</v>
      </c>
      <c r="K195">
        <f>IFERROR(INDEX(装备库!$A$2:$Y$1047,MATCH(ROW()-1,装备库!$AO$2:$AO$1046,0),COLUMN()),"")</f>
        <v>5137</v>
      </c>
      <c r="L195">
        <f>IFERROR(INDEX(装备库!$A$2:$Y$1047,MATCH(ROW()-1,装备库!$AO$2:$AO$1046,0),COLUMN()),"")</f>
        <v>0</v>
      </c>
      <c r="M195">
        <f>IFERROR(INDEX(装备库!$A$2:$Y$1047,MATCH(ROW()-1,装备库!$AO$2:$AO$1046,0),COLUMN()),"")</f>
        <v>0</v>
      </c>
      <c r="N195">
        <f>IFERROR(INDEX(装备库!$A$2:$Y$1047,MATCH(ROW()-1,装备库!$AO$2:$AO$1046,0),COLUMN()),"")</f>
        <v>0</v>
      </c>
      <c r="O195">
        <f>IFERROR(INDEX(装备库!$A$2:$Y$1047,MATCH(ROW()-1,装备库!$AO$2:$AO$1046,0),COLUMN()),"")</f>
        <v>0</v>
      </c>
      <c r="P195">
        <f>IFERROR(INDEX(装备库!$A$2:$Y$1047,MATCH(ROW()-1,装备库!$AO$2:$AO$1046,0),COLUMN()),"")</f>
        <v>0</v>
      </c>
      <c r="Q195">
        <f>IFERROR(INDEX(装备库!$A$2:$Y$1047,MATCH(ROW()-1,装备库!$AO$2:$AO$1046,0),COLUMN()),"")</f>
        <v>1</v>
      </c>
      <c r="R195">
        <f>IFERROR(INDEX(装备库!$A$2:$Y$1047,MATCH(ROW()-1,装备库!$AO$2:$AO$1046,0),COLUMN()),"")</f>
        <v>0</v>
      </c>
      <c r="S195">
        <f>IFERROR(INDEX(装备库!$A$2:$Y$1047,MATCH(ROW()-1,装备库!$AO$2:$AO$1046,0),COLUMN()),"")</f>
        <v>0</v>
      </c>
      <c r="T195">
        <f>IFERROR(INDEX(装备库!$A$2:$Y$1047,MATCH(ROW()-1,装备库!$AO$2:$AO$1046,0),COLUMN()),"")</f>
        <v>0</v>
      </c>
      <c r="U195">
        <f>IFERROR(INDEX(装备库!$A$2:$Y$1047,MATCH(ROW()-1,装备库!$AO$2:$AO$1046,0),COLUMN()),"")</f>
        <v>1</v>
      </c>
      <c r="V195">
        <f>IFERROR(INDEX(装备库!$A$2:$Y$1047,MATCH(ROW()-1,装备库!$AO$2:$AO$1046,0),COLUMN()),"")</f>
        <v>0</v>
      </c>
      <c r="W195" t="str">
        <f>IFERROR(INDEX(装备库!$A$2:$Y$1047,MATCH(ROW()-1,装备库!$AO$2:$AO$1046,0),COLUMN()),"")</f>
        <v>精简攻招无</v>
      </c>
      <c r="X195">
        <f>IFERROR(INDEX(装备库!$A$2:$Y$1047,MATCH(ROW()-1,装备库!$AO$2:$AO$1046,0),COLUMN()),"")</f>
        <v>3</v>
      </c>
      <c r="Y195" t="str">
        <f>IFERROR(INDEX(装备库!$A$2:$Y$1047,MATCH(ROW()-1,装备库!$AO$2:$AO$1046,0),COLUMN()),"")</f>
        <v>活动</v>
      </c>
    </row>
    <row r="196" spans="1:25" x14ac:dyDescent="0.35">
      <c r="A196" t="str">
        <f>IFERROR(INDEX(装备库!$A$2:$Y$1047,MATCH(ROW()-1,装备库!$AO$2:$AO$1046,0),COLUMN()),"")</f>
        <v>裤子</v>
      </c>
      <c r="B196" t="str">
        <f>IFERROR(INDEX(装备库!$A$2:$Y$1047,MATCH(ROW()-1,装备库!$AO$2:$AO$1046,0),COLUMN()),"")</f>
        <v>无封裤</v>
      </c>
      <c r="C196">
        <f>IFERROR(INDEX(装备库!$A$2:$Y$1047,MATCH(ROW()-1,装备库!$AO$2:$AO$1046,0),COLUMN()),"")</f>
        <v>9100</v>
      </c>
      <c r="D196" t="str">
        <f>IFERROR(INDEX(装备库!$A$2:$Y$1047,MATCH(ROW()-1,装备库!$AO$2:$AO$1046,0),COLUMN()),"")</f>
        <v>无封裤(9100精简攻破)</v>
      </c>
      <c r="E196">
        <f>IFERROR(INDEX(装备库!$A$2:$Y$1047,MATCH(ROW()-1,装备库!$AO$2:$AO$1046,0),COLUMN()),"")</f>
        <v>0</v>
      </c>
      <c r="F196">
        <f>IFERROR(INDEX(装备库!$A$2:$Y$1047,MATCH(ROW()-1,装备库!$AO$2:$AO$1046,0),COLUMN()),"")</f>
        <v>2696</v>
      </c>
      <c r="G196">
        <f>IFERROR(INDEX(装备库!$A$2:$Y$1047,MATCH(ROW()-1,装备库!$AO$2:$AO$1046,0),COLUMN()),"")</f>
        <v>0</v>
      </c>
      <c r="H196">
        <f>IFERROR(INDEX(装备库!$A$2:$Y$1047,MATCH(ROW()-1,装备库!$AO$2:$AO$1046,0),COLUMN()),"")</f>
        <v>0</v>
      </c>
      <c r="I196">
        <f>IFERROR(INDEX(装备库!$A$2:$Y$1047,MATCH(ROW()-1,装备库!$AO$2:$AO$1046,0),COLUMN()),"")</f>
        <v>6111</v>
      </c>
      <c r="J196">
        <f>IFERROR(INDEX(装备库!$A$2:$Y$1047,MATCH(ROW()-1,装备库!$AO$2:$AO$1046,0),COLUMN()),"")</f>
        <v>0</v>
      </c>
      <c r="K196">
        <f>IFERROR(INDEX(装备库!$A$2:$Y$1047,MATCH(ROW()-1,装备库!$AO$2:$AO$1046,0),COLUMN()),"")</f>
        <v>0</v>
      </c>
      <c r="L196">
        <f>IFERROR(INDEX(装备库!$A$2:$Y$1047,MATCH(ROW()-1,装备库!$AO$2:$AO$1046,0),COLUMN()),"")</f>
        <v>0</v>
      </c>
      <c r="M196">
        <f>IFERROR(INDEX(装备库!$A$2:$Y$1047,MATCH(ROW()-1,装备库!$AO$2:$AO$1046,0),COLUMN()),"")</f>
        <v>0</v>
      </c>
      <c r="N196">
        <f>IFERROR(INDEX(装备库!$A$2:$Y$1047,MATCH(ROW()-1,装备库!$AO$2:$AO$1046,0),COLUMN()),"")</f>
        <v>0</v>
      </c>
      <c r="O196">
        <f>IFERROR(INDEX(装备库!$A$2:$Y$1047,MATCH(ROW()-1,装备库!$AO$2:$AO$1046,0),COLUMN()),"")</f>
        <v>0</v>
      </c>
      <c r="P196">
        <f>IFERROR(INDEX(装备库!$A$2:$Y$1047,MATCH(ROW()-1,装备库!$AO$2:$AO$1046,0),COLUMN()),"")</f>
        <v>1</v>
      </c>
      <c r="Q196">
        <f>IFERROR(INDEX(装备库!$A$2:$Y$1047,MATCH(ROW()-1,装备库!$AO$2:$AO$1046,0),COLUMN()),"")</f>
        <v>0</v>
      </c>
      <c r="R196">
        <f>IFERROR(INDEX(装备库!$A$2:$Y$1047,MATCH(ROW()-1,装备库!$AO$2:$AO$1046,0),COLUMN()),"")</f>
        <v>0</v>
      </c>
      <c r="S196">
        <f>IFERROR(INDEX(装备库!$A$2:$Y$1047,MATCH(ROW()-1,装备库!$AO$2:$AO$1046,0),COLUMN()),"")</f>
        <v>0</v>
      </c>
      <c r="T196">
        <f>IFERROR(INDEX(装备库!$A$2:$Y$1047,MATCH(ROW()-1,装备库!$AO$2:$AO$1046,0),COLUMN()),"")</f>
        <v>1</v>
      </c>
      <c r="U196">
        <f>IFERROR(INDEX(装备库!$A$2:$Y$1047,MATCH(ROW()-1,装备库!$AO$2:$AO$1046,0),COLUMN()),"")</f>
        <v>0</v>
      </c>
      <c r="V196">
        <f>IFERROR(INDEX(装备库!$A$2:$Y$1047,MATCH(ROW()-1,装备库!$AO$2:$AO$1046,0),COLUMN()),"")</f>
        <v>0</v>
      </c>
      <c r="W196" t="str">
        <f>IFERROR(INDEX(装备库!$A$2:$Y$1047,MATCH(ROW()-1,装备库!$AO$2:$AO$1046,0),COLUMN()),"")</f>
        <v>精简攻破</v>
      </c>
      <c r="X196">
        <f>IFERROR(INDEX(装备库!$A$2:$Y$1047,MATCH(ROW()-1,装备库!$AO$2:$AO$1046,0),COLUMN()),"")</f>
        <v>3</v>
      </c>
      <c r="Y196" t="str">
        <f>IFERROR(INDEX(装备库!$A$2:$Y$1047,MATCH(ROW()-1,装备库!$AO$2:$AO$1046,0),COLUMN()),"")</f>
        <v>活动</v>
      </c>
    </row>
    <row r="197" spans="1:25" x14ac:dyDescent="0.35">
      <c r="A197" t="str">
        <f>IFERROR(INDEX(装备库!$A$2:$Y$1047,MATCH(ROW()-1,装备库!$AO$2:$AO$1046,0),COLUMN()),"")</f>
        <v>裤子</v>
      </c>
      <c r="B197" t="str">
        <f>IFERROR(INDEX(装备库!$A$2:$Y$1047,MATCH(ROW()-1,装备库!$AO$2:$AO$1046,0),COLUMN()),"")</f>
        <v>无封裤</v>
      </c>
      <c r="C197">
        <f>IFERROR(INDEX(装备库!$A$2:$Y$1047,MATCH(ROW()-1,装备库!$AO$2:$AO$1046,0),COLUMN()),"")</f>
        <v>9100</v>
      </c>
      <c r="D197" t="str">
        <f>IFERROR(INDEX(装备库!$A$2:$Y$1047,MATCH(ROW()-1,装备库!$AO$2:$AO$1046,0),COLUMN()),"")</f>
        <v>无封裤(9100精简攻会破无)</v>
      </c>
      <c r="E197">
        <f>IFERROR(INDEX(装备库!$A$2:$Y$1047,MATCH(ROW()-1,装备库!$AO$2:$AO$1046,0),COLUMN()),"")</f>
        <v>0</v>
      </c>
      <c r="F197">
        <f>IFERROR(INDEX(装备库!$A$2:$Y$1047,MATCH(ROW()-1,装备库!$AO$2:$AO$1046,0),COLUMN()),"")</f>
        <v>2300</v>
      </c>
      <c r="G197">
        <f>IFERROR(INDEX(装备库!$A$2:$Y$1047,MATCH(ROW()-1,装备库!$AO$2:$AO$1046,0),COLUMN()),"")</f>
        <v>2834</v>
      </c>
      <c r="H197">
        <f>IFERROR(INDEX(装备库!$A$2:$Y$1047,MATCH(ROW()-1,装备库!$AO$2:$AO$1046,0),COLUMN()),"")</f>
        <v>0</v>
      </c>
      <c r="I197">
        <f>IFERROR(INDEX(装备库!$A$2:$Y$1047,MATCH(ROW()-1,装备库!$AO$2:$AO$1046,0),COLUMN()),"")</f>
        <v>2480</v>
      </c>
      <c r="J197">
        <f>IFERROR(INDEX(装备库!$A$2:$Y$1047,MATCH(ROW()-1,装备库!$AO$2:$AO$1046,0),COLUMN()),"")</f>
        <v>0</v>
      </c>
      <c r="K197">
        <f>IFERROR(INDEX(装备库!$A$2:$Y$1047,MATCH(ROW()-1,装备库!$AO$2:$AO$1046,0),COLUMN()),"")</f>
        <v>1771</v>
      </c>
      <c r="L197">
        <f>IFERROR(INDEX(装备库!$A$2:$Y$1047,MATCH(ROW()-1,装备库!$AO$2:$AO$1046,0),COLUMN()),"")</f>
        <v>0</v>
      </c>
      <c r="M197">
        <f>IFERROR(INDEX(装备库!$A$2:$Y$1047,MATCH(ROW()-1,装备库!$AO$2:$AO$1046,0),COLUMN()),"")</f>
        <v>0</v>
      </c>
      <c r="N197">
        <f>IFERROR(INDEX(装备库!$A$2:$Y$1047,MATCH(ROW()-1,装备库!$AO$2:$AO$1046,0),COLUMN()),"")</f>
        <v>0</v>
      </c>
      <c r="O197">
        <f>IFERROR(INDEX(装备库!$A$2:$Y$1047,MATCH(ROW()-1,装备库!$AO$2:$AO$1046,0),COLUMN()),"")</f>
        <v>0</v>
      </c>
      <c r="P197">
        <f>IFERROR(INDEX(装备库!$A$2:$Y$1047,MATCH(ROW()-1,装备库!$AO$2:$AO$1046,0),COLUMN()),"")</f>
        <v>1</v>
      </c>
      <c r="Q197">
        <f>IFERROR(INDEX(装备库!$A$2:$Y$1047,MATCH(ROW()-1,装备库!$AO$2:$AO$1046,0),COLUMN()),"")</f>
        <v>0</v>
      </c>
      <c r="R197">
        <f>IFERROR(INDEX(装备库!$A$2:$Y$1047,MATCH(ROW()-1,装备库!$AO$2:$AO$1046,0),COLUMN()),"")</f>
        <v>1</v>
      </c>
      <c r="S197">
        <f>IFERROR(INDEX(装备库!$A$2:$Y$1047,MATCH(ROW()-1,装备库!$AO$2:$AO$1046,0),COLUMN()),"")</f>
        <v>0</v>
      </c>
      <c r="T197">
        <f>IFERROR(INDEX(装备库!$A$2:$Y$1047,MATCH(ROW()-1,装备库!$AO$2:$AO$1046,0),COLUMN()),"")</f>
        <v>0</v>
      </c>
      <c r="U197">
        <f>IFERROR(INDEX(装备库!$A$2:$Y$1047,MATCH(ROW()-1,装备库!$AO$2:$AO$1046,0),COLUMN()),"")</f>
        <v>0</v>
      </c>
      <c r="V197">
        <f>IFERROR(INDEX(装备库!$A$2:$Y$1047,MATCH(ROW()-1,装备库!$AO$2:$AO$1046,0),COLUMN()),"")</f>
        <v>0</v>
      </c>
      <c r="W197" t="str">
        <f>IFERROR(INDEX(装备库!$A$2:$Y$1047,MATCH(ROW()-1,装备库!$AO$2:$AO$1046,0),COLUMN()),"")</f>
        <v>精简攻会破无</v>
      </c>
      <c r="X197">
        <f>IFERROR(INDEX(装备库!$A$2:$Y$1047,MATCH(ROW()-1,装备库!$AO$2:$AO$1046,0),COLUMN()),"")</f>
        <v>3</v>
      </c>
      <c r="Y197" t="str">
        <f>IFERROR(INDEX(装备库!$A$2:$Y$1047,MATCH(ROW()-1,装备库!$AO$2:$AO$1046,0),COLUMN()),"")</f>
        <v>活动</v>
      </c>
    </row>
    <row r="198" spans="1:25" x14ac:dyDescent="0.35">
      <c r="A198" t="str">
        <f>IFERROR(INDEX(装备库!$A$2:$Y$1047,MATCH(ROW()-1,装备库!$AO$2:$AO$1046,0),COLUMN()),"")</f>
        <v>裤子</v>
      </c>
      <c r="B198" t="str">
        <f>IFERROR(INDEX(装备库!$A$2:$Y$1047,MATCH(ROW()-1,装备库!$AO$2:$AO$1046,0),COLUMN()),"")</f>
        <v>无封裤</v>
      </c>
      <c r="C198">
        <f>IFERROR(INDEX(装备库!$A$2:$Y$1047,MATCH(ROW()-1,装备库!$AO$2:$AO$1046,0),COLUMN()),"")</f>
        <v>9400</v>
      </c>
      <c r="D198" t="str">
        <f>IFERROR(INDEX(装备库!$A$2:$Y$1047,MATCH(ROW()-1,装备库!$AO$2:$AO$1046,0),COLUMN()),"")</f>
        <v>无封裤(9400精简攻招破无)</v>
      </c>
      <c r="E198">
        <f>IFERROR(INDEX(装备库!$A$2:$Y$1047,MATCH(ROW()-1,装备库!$AO$2:$AO$1046,0),COLUMN()),"")</f>
        <v>0</v>
      </c>
      <c r="F198">
        <f>IFERROR(INDEX(装备库!$A$2:$Y$1047,MATCH(ROW()-1,装备库!$AO$2:$AO$1046,0),COLUMN()),"")</f>
        <v>2375</v>
      </c>
      <c r="G198">
        <f>IFERROR(INDEX(装备库!$A$2:$Y$1047,MATCH(ROW()-1,装备库!$AO$2:$AO$1046,0),COLUMN()),"")</f>
        <v>0</v>
      </c>
      <c r="H198">
        <f>IFERROR(INDEX(装备库!$A$2:$Y$1047,MATCH(ROW()-1,装备库!$AO$2:$AO$1046,0),COLUMN()),"")</f>
        <v>0</v>
      </c>
      <c r="I198">
        <f>IFERROR(INDEX(装备库!$A$2:$Y$1047,MATCH(ROW()-1,装备库!$AO$2:$AO$1046,0),COLUMN()),"")</f>
        <v>3110</v>
      </c>
      <c r="J198">
        <f>IFERROR(INDEX(装备库!$A$2:$Y$1047,MATCH(ROW()-1,装备库!$AO$2:$AO$1046,0),COLUMN()),"")</f>
        <v>2379</v>
      </c>
      <c r="K198">
        <f>IFERROR(INDEX(装备库!$A$2:$Y$1047,MATCH(ROW()-1,装备库!$AO$2:$AO$1046,0),COLUMN()),"")</f>
        <v>1830</v>
      </c>
      <c r="L198">
        <f>IFERROR(INDEX(装备库!$A$2:$Y$1047,MATCH(ROW()-1,装备库!$AO$2:$AO$1046,0),COLUMN()),"")</f>
        <v>0</v>
      </c>
      <c r="M198">
        <f>IFERROR(INDEX(装备库!$A$2:$Y$1047,MATCH(ROW()-1,装备库!$AO$2:$AO$1046,0),COLUMN()),"")</f>
        <v>0</v>
      </c>
      <c r="N198">
        <f>IFERROR(INDEX(装备库!$A$2:$Y$1047,MATCH(ROW()-1,装备库!$AO$2:$AO$1046,0),COLUMN()),"")</f>
        <v>0</v>
      </c>
      <c r="O198">
        <f>IFERROR(INDEX(装备库!$A$2:$Y$1047,MATCH(ROW()-1,装备库!$AO$2:$AO$1046,0),COLUMN()),"")</f>
        <v>0</v>
      </c>
      <c r="P198">
        <f>IFERROR(INDEX(装备库!$A$2:$Y$1047,MATCH(ROW()-1,装备库!$AO$2:$AO$1046,0),COLUMN()),"")</f>
        <v>0</v>
      </c>
      <c r="Q198">
        <f>IFERROR(INDEX(装备库!$A$2:$Y$1047,MATCH(ROW()-1,装备库!$AO$2:$AO$1046,0),COLUMN()),"")</f>
        <v>1</v>
      </c>
      <c r="R198">
        <f>IFERROR(INDEX(装备库!$A$2:$Y$1047,MATCH(ROW()-1,装备库!$AO$2:$AO$1046,0),COLUMN()),"")</f>
        <v>0</v>
      </c>
      <c r="S198">
        <f>IFERROR(INDEX(装备库!$A$2:$Y$1047,MATCH(ROW()-1,装备库!$AO$2:$AO$1046,0),COLUMN()),"")</f>
        <v>0</v>
      </c>
      <c r="T198">
        <f>IFERROR(INDEX(装备库!$A$2:$Y$1047,MATCH(ROW()-1,装备库!$AO$2:$AO$1046,0),COLUMN()),"")</f>
        <v>0</v>
      </c>
      <c r="U198">
        <f>IFERROR(INDEX(装备库!$A$2:$Y$1047,MATCH(ROW()-1,装备库!$AO$2:$AO$1046,0),COLUMN()),"")</f>
        <v>1</v>
      </c>
      <c r="V198">
        <f>IFERROR(INDEX(装备库!$A$2:$Y$1047,MATCH(ROW()-1,装备库!$AO$2:$AO$1046,0),COLUMN()),"")</f>
        <v>0</v>
      </c>
      <c r="W198" t="str">
        <f>IFERROR(INDEX(装备库!$A$2:$Y$1047,MATCH(ROW()-1,装备库!$AO$2:$AO$1046,0),COLUMN()),"")</f>
        <v>精简攻招破无</v>
      </c>
      <c r="X198">
        <f>IFERROR(INDEX(装备库!$A$2:$Y$1047,MATCH(ROW()-1,装备库!$AO$2:$AO$1046,0),COLUMN()),"")</f>
        <v>3</v>
      </c>
      <c r="Y198" t="str">
        <f>IFERROR(INDEX(装备库!$A$2:$Y$1047,MATCH(ROW()-1,装备库!$AO$2:$AO$1046,0),COLUMN()),"")</f>
        <v>活动</v>
      </c>
    </row>
    <row r="199" spans="1:25" x14ac:dyDescent="0.35">
      <c r="A199" t="str">
        <f>IFERROR(INDEX(装备库!$A$2:$Y$1047,MATCH(ROW()-1,装备库!$AO$2:$AO$1046,0),COLUMN()),"")</f>
        <v>裤子</v>
      </c>
      <c r="B199" t="str">
        <f>IFERROR(INDEX(装备库!$A$2:$Y$1047,MATCH(ROW()-1,装备库!$AO$2:$AO$1046,0),COLUMN()),"")</f>
        <v>无封裤</v>
      </c>
      <c r="C199">
        <f>IFERROR(INDEX(装备库!$A$2:$Y$1047,MATCH(ROW()-1,装备库!$AO$2:$AO$1046,0),COLUMN()),"")</f>
        <v>9400</v>
      </c>
      <c r="D199" t="str">
        <f>IFERROR(INDEX(装备库!$A$2:$Y$1047,MATCH(ROW()-1,装备库!$AO$2:$AO$1046,0),COLUMN()),"")</f>
        <v>无封裤(9400精简攻无)</v>
      </c>
      <c r="E199">
        <f>IFERROR(INDEX(装备库!$A$2:$Y$1047,MATCH(ROW()-1,装备库!$AO$2:$AO$1046,0),COLUMN()),"")</f>
        <v>0</v>
      </c>
      <c r="F199">
        <f>IFERROR(INDEX(装备库!$A$2:$Y$1047,MATCH(ROW()-1,装备库!$AO$2:$AO$1046,0),COLUMN()),"")</f>
        <v>2785</v>
      </c>
      <c r="G199">
        <f>IFERROR(INDEX(装备库!$A$2:$Y$1047,MATCH(ROW()-1,装备库!$AO$2:$AO$1046,0),COLUMN()),"")</f>
        <v>0</v>
      </c>
      <c r="H199">
        <f>IFERROR(INDEX(装备库!$A$2:$Y$1047,MATCH(ROW()-1,装备库!$AO$2:$AO$1046,0),COLUMN()),"")</f>
        <v>0</v>
      </c>
      <c r="I199">
        <f>IFERROR(INDEX(装备库!$A$2:$Y$1047,MATCH(ROW()-1,装备库!$AO$2:$AO$1046,0),COLUMN()),"")</f>
        <v>0</v>
      </c>
      <c r="J199">
        <f>IFERROR(INDEX(装备库!$A$2:$Y$1047,MATCH(ROW()-1,装备库!$AO$2:$AO$1046,0),COLUMN()),"")</f>
        <v>0</v>
      </c>
      <c r="K199">
        <f>IFERROR(INDEX(装备库!$A$2:$Y$1047,MATCH(ROW()-1,装备库!$AO$2:$AO$1046,0),COLUMN()),"")</f>
        <v>6312</v>
      </c>
      <c r="L199">
        <f>IFERROR(INDEX(装备库!$A$2:$Y$1047,MATCH(ROW()-1,装备库!$AO$2:$AO$1046,0),COLUMN()),"")</f>
        <v>0</v>
      </c>
      <c r="M199">
        <f>IFERROR(INDEX(装备库!$A$2:$Y$1047,MATCH(ROW()-1,装备库!$AO$2:$AO$1046,0),COLUMN()),"")</f>
        <v>0</v>
      </c>
      <c r="N199">
        <f>IFERROR(INDEX(装备库!$A$2:$Y$1047,MATCH(ROW()-1,装备库!$AO$2:$AO$1046,0),COLUMN()),"")</f>
        <v>0</v>
      </c>
      <c r="O199">
        <f>IFERROR(INDEX(装备库!$A$2:$Y$1047,MATCH(ROW()-1,装备库!$AO$2:$AO$1046,0),COLUMN()),"")</f>
        <v>0</v>
      </c>
      <c r="P199">
        <f>IFERROR(INDEX(装备库!$A$2:$Y$1047,MATCH(ROW()-1,装备库!$AO$2:$AO$1046,0),COLUMN()),"")</f>
        <v>0</v>
      </c>
      <c r="Q199">
        <f>IFERROR(INDEX(装备库!$A$2:$Y$1047,MATCH(ROW()-1,装备库!$AO$2:$AO$1046,0),COLUMN()),"")</f>
        <v>0</v>
      </c>
      <c r="R199">
        <f>IFERROR(INDEX(装备库!$A$2:$Y$1047,MATCH(ROW()-1,装备库!$AO$2:$AO$1046,0),COLUMN()),"")</f>
        <v>0</v>
      </c>
      <c r="S199">
        <f>IFERROR(INDEX(装备库!$A$2:$Y$1047,MATCH(ROW()-1,装备库!$AO$2:$AO$1046,0),COLUMN()),"")</f>
        <v>1</v>
      </c>
      <c r="T199">
        <f>IFERROR(INDEX(装备库!$A$2:$Y$1047,MATCH(ROW()-1,装备库!$AO$2:$AO$1046,0),COLUMN()),"")</f>
        <v>0</v>
      </c>
      <c r="U199">
        <f>IFERROR(INDEX(装备库!$A$2:$Y$1047,MATCH(ROW()-1,装备库!$AO$2:$AO$1046,0),COLUMN()),"")</f>
        <v>1</v>
      </c>
      <c r="V199">
        <f>IFERROR(INDEX(装备库!$A$2:$Y$1047,MATCH(ROW()-1,装备库!$AO$2:$AO$1046,0),COLUMN()),"")</f>
        <v>0</v>
      </c>
      <c r="W199" t="str">
        <f>IFERROR(INDEX(装备库!$A$2:$Y$1047,MATCH(ROW()-1,装备库!$AO$2:$AO$1046,0),COLUMN()),"")</f>
        <v>精简攻无</v>
      </c>
      <c r="X199">
        <f>IFERROR(INDEX(装备库!$A$2:$Y$1047,MATCH(ROW()-1,装备库!$AO$2:$AO$1046,0),COLUMN()),"")</f>
        <v>3</v>
      </c>
      <c r="Y199" t="str">
        <f>IFERROR(INDEX(装备库!$A$2:$Y$1047,MATCH(ROW()-1,装备库!$AO$2:$AO$1046,0),COLUMN()),"")</f>
        <v>活动</v>
      </c>
    </row>
    <row r="200" spans="1:25" x14ac:dyDescent="0.35">
      <c r="A200" t="str">
        <f>IFERROR(INDEX(装备库!$A$2:$Y$1047,MATCH(ROW()-1,装备库!$AO$2:$AO$1046,0),COLUMN()),"")</f>
        <v>裤子</v>
      </c>
      <c r="B200" t="str">
        <f>IFERROR(INDEX(装备库!$A$2:$Y$1047,MATCH(ROW()-1,装备库!$AO$2:$AO$1046,0),COLUMN()),"")</f>
        <v>无封裤</v>
      </c>
      <c r="C200">
        <f>IFERROR(INDEX(装备库!$A$2:$Y$1047,MATCH(ROW()-1,装备库!$AO$2:$AO$1046,0),COLUMN()),"")</f>
        <v>9400</v>
      </c>
      <c r="D200" t="str">
        <f>IFERROR(INDEX(装备库!$A$2:$Y$1047,MATCH(ROW()-1,装备库!$AO$2:$AO$1046,0),COLUMN()),"")</f>
        <v>无封裤(9400精简攻会无)</v>
      </c>
      <c r="E200">
        <f>IFERROR(INDEX(装备库!$A$2:$Y$1047,MATCH(ROW()-1,装备库!$AO$2:$AO$1046,0),COLUMN()),"")</f>
        <v>0</v>
      </c>
      <c r="F200">
        <f>IFERROR(INDEX(装备库!$A$2:$Y$1047,MATCH(ROW()-1,装备库!$AO$2:$AO$1046,0),COLUMN()),"")</f>
        <v>2375</v>
      </c>
      <c r="G200">
        <f>IFERROR(INDEX(装备库!$A$2:$Y$1047,MATCH(ROW()-1,装备库!$AO$2:$AO$1046,0),COLUMN()),"")</f>
        <v>3659</v>
      </c>
      <c r="H200">
        <f>IFERROR(INDEX(装备库!$A$2:$Y$1047,MATCH(ROW()-1,装备库!$AO$2:$AO$1046,0),COLUMN()),"")</f>
        <v>0</v>
      </c>
      <c r="I200">
        <f>IFERROR(INDEX(装备库!$A$2:$Y$1047,MATCH(ROW()-1,装备库!$AO$2:$AO$1046,0),COLUMN()),"")</f>
        <v>0</v>
      </c>
      <c r="J200">
        <f>IFERROR(INDEX(装备库!$A$2:$Y$1047,MATCH(ROW()-1,装备库!$AO$2:$AO$1046,0),COLUMN()),"")</f>
        <v>0</v>
      </c>
      <c r="K200">
        <f>IFERROR(INDEX(装备库!$A$2:$Y$1047,MATCH(ROW()-1,装备库!$AO$2:$AO$1046,0),COLUMN()),"")</f>
        <v>3659</v>
      </c>
      <c r="L200">
        <f>IFERROR(INDEX(装备库!$A$2:$Y$1047,MATCH(ROW()-1,装备库!$AO$2:$AO$1046,0),COLUMN()),"")</f>
        <v>0</v>
      </c>
      <c r="M200">
        <f>IFERROR(INDEX(装备库!$A$2:$Y$1047,MATCH(ROW()-1,装备库!$AO$2:$AO$1046,0),COLUMN()),"")</f>
        <v>0</v>
      </c>
      <c r="N200">
        <f>IFERROR(INDEX(装备库!$A$2:$Y$1047,MATCH(ROW()-1,装备库!$AO$2:$AO$1046,0),COLUMN()),"")</f>
        <v>0</v>
      </c>
      <c r="O200">
        <f>IFERROR(INDEX(装备库!$A$2:$Y$1047,MATCH(ROW()-1,装备库!$AO$2:$AO$1046,0),COLUMN()),"")</f>
        <v>0</v>
      </c>
      <c r="P200">
        <f>IFERROR(INDEX(装备库!$A$2:$Y$1047,MATCH(ROW()-1,装备库!$AO$2:$AO$1046,0),COLUMN()),"")</f>
        <v>0</v>
      </c>
      <c r="Q200">
        <f>IFERROR(INDEX(装备库!$A$2:$Y$1047,MATCH(ROW()-1,装备库!$AO$2:$AO$1046,0),COLUMN()),"")</f>
        <v>0</v>
      </c>
      <c r="R200">
        <f>IFERROR(INDEX(装备库!$A$2:$Y$1047,MATCH(ROW()-1,装备库!$AO$2:$AO$1046,0),COLUMN()),"")</f>
        <v>1</v>
      </c>
      <c r="S200">
        <f>IFERROR(INDEX(装备库!$A$2:$Y$1047,MATCH(ROW()-1,装备库!$AO$2:$AO$1046,0),COLUMN()),"")</f>
        <v>0</v>
      </c>
      <c r="T200">
        <f>IFERROR(INDEX(装备库!$A$2:$Y$1047,MATCH(ROW()-1,装备库!$AO$2:$AO$1046,0),COLUMN()),"")</f>
        <v>0</v>
      </c>
      <c r="U200">
        <f>IFERROR(INDEX(装备库!$A$2:$Y$1047,MATCH(ROW()-1,装备库!$AO$2:$AO$1046,0),COLUMN()),"")</f>
        <v>1</v>
      </c>
      <c r="V200">
        <f>IFERROR(INDEX(装备库!$A$2:$Y$1047,MATCH(ROW()-1,装备库!$AO$2:$AO$1046,0),COLUMN()),"")</f>
        <v>0</v>
      </c>
      <c r="W200" t="str">
        <f>IFERROR(INDEX(装备库!$A$2:$Y$1047,MATCH(ROW()-1,装备库!$AO$2:$AO$1046,0),COLUMN()),"")</f>
        <v>精简攻会无</v>
      </c>
      <c r="X200">
        <f>IFERROR(INDEX(装备库!$A$2:$Y$1047,MATCH(ROW()-1,装备库!$AO$2:$AO$1046,0),COLUMN()),"")</f>
        <v>3</v>
      </c>
      <c r="Y200" t="str">
        <f>IFERROR(INDEX(装备库!$A$2:$Y$1047,MATCH(ROW()-1,装备库!$AO$2:$AO$1046,0),COLUMN()),"")</f>
        <v>活动</v>
      </c>
    </row>
    <row r="201" spans="1:25" x14ac:dyDescent="0.35">
      <c r="A201" t="str">
        <f>IFERROR(INDEX(装备库!$A$2:$Y$1047,MATCH(ROW()-1,装备库!$AO$2:$AO$1046,0),COLUMN()),"")</f>
        <v>裤子</v>
      </c>
      <c r="B201" t="str">
        <f>IFERROR(INDEX(装备库!$A$2:$Y$1047,MATCH(ROW()-1,装备库!$AO$2:$AO$1046,0),COLUMN()),"")</f>
        <v>女义裤</v>
      </c>
      <c r="C201">
        <f>IFERROR(INDEX(装备库!$A$2:$Y$1047,MATCH(ROW()-1,装备库!$AO$2:$AO$1046,0),COLUMN()),"")</f>
        <v>9600</v>
      </c>
      <c r="D201" t="str">
        <f>IFERROR(INDEX(装备库!$A$2:$Y$1047,MATCH(ROW()-1,装备库!$AO$2:$AO$1046,0),COLUMN()),"")</f>
        <v>女义裤(9600会无)</v>
      </c>
      <c r="E201">
        <f>IFERROR(INDEX(装备库!$A$2:$Y$1047,MATCH(ROW()-1,装备库!$AO$2:$AO$1046,0),COLUMN()),"")</f>
        <v>670</v>
      </c>
      <c r="F201">
        <f>IFERROR(INDEX(装备库!$A$2:$Y$1047,MATCH(ROW()-1,装备库!$AO$2:$AO$1046,0),COLUMN()),"")</f>
        <v>1087</v>
      </c>
      <c r="G201">
        <f>IFERROR(INDEX(装备库!$A$2:$Y$1047,MATCH(ROW()-1,装备库!$AO$2:$AO$1046,0),COLUMN()),"")</f>
        <v>3363</v>
      </c>
      <c r="H201">
        <f>IFERROR(INDEX(装备库!$A$2:$Y$1047,MATCH(ROW()-1,装备库!$AO$2:$AO$1046,0),COLUMN()),"")</f>
        <v>0</v>
      </c>
      <c r="I201">
        <f>IFERROR(INDEX(装备库!$A$2:$Y$1047,MATCH(ROW()-1,装备库!$AO$2:$AO$1046,0),COLUMN()),"")</f>
        <v>0</v>
      </c>
      <c r="J201">
        <f>IFERROR(INDEX(装备库!$A$2:$Y$1047,MATCH(ROW()-1,装备库!$AO$2:$AO$1046,0),COLUMN()),"")</f>
        <v>0</v>
      </c>
      <c r="K201">
        <f>IFERROR(INDEX(装备库!$A$2:$Y$1047,MATCH(ROW()-1,装备库!$AO$2:$AO$1046,0),COLUMN()),"")</f>
        <v>2990</v>
      </c>
      <c r="L201">
        <f>IFERROR(INDEX(装备库!$A$2:$Y$1047,MATCH(ROW()-1,装备库!$AO$2:$AO$1046,0),COLUMN()),"")</f>
        <v>0</v>
      </c>
      <c r="M201">
        <f>IFERROR(INDEX(装备库!$A$2:$Y$1047,MATCH(ROW()-1,装备库!$AO$2:$AO$1046,0),COLUMN()),"")</f>
        <v>0</v>
      </c>
      <c r="N201">
        <f>IFERROR(INDEX(装备库!$A$2:$Y$1047,MATCH(ROW()-1,装备库!$AO$2:$AO$1046,0),COLUMN()),"")</f>
        <v>0</v>
      </c>
      <c r="O201">
        <f>IFERROR(INDEX(装备库!$A$2:$Y$1047,MATCH(ROW()-1,装备库!$AO$2:$AO$1046,0),COLUMN()),"")</f>
        <v>0</v>
      </c>
      <c r="P201">
        <f>IFERROR(INDEX(装备库!$A$2:$Y$1047,MATCH(ROW()-1,装备库!$AO$2:$AO$1046,0),COLUMN()),"")</f>
        <v>0</v>
      </c>
      <c r="Q201">
        <f>IFERROR(INDEX(装备库!$A$2:$Y$1047,MATCH(ROW()-1,装备库!$AO$2:$AO$1046,0),COLUMN()),"")</f>
        <v>1</v>
      </c>
      <c r="R201">
        <f>IFERROR(INDEX(装备库!$A$2:$Y$1047,MATCH(ROW()-1,装备库!$AO$2:$AO$1046,0),COLUMN()),"")</f>
        <v>0</v>
      </c>
      <c r="S201">
        <f>IFERROR(INDEX(装备库!$A$2:$Y$1047,MATCH(ROW()-1,装备库!$AO$2:$AO$1046,0),COLUMN()),"")</f>
        <v>0</v>
      </c>
      <c r="T201">
        <f>IFERROR(INDEX(装备库!$A$2:$Y$1047,MATCH(ROW()-1,装备库!$AO$2:$AO$1046,0),COLUMN()),"")</f>
        <v>1</v>
      </c>
      <c r="U201">
        <f>IFERROR(INDEX(装备库!$A$2:$Y$1047,MATCH(ROW()-1,装备库!$AO$2:$AO$1046,0),COLUMN()),"")</f>
        <v>0</v>
      </c>
      <c r="V201">
        <f>IFERROR(INDEX(装备库!$A$2:$Y$1047,MATCH(ROW()-1,装备库!$AO$2:$AO$1046,0),COLUMN()),"")</f>
        <v>0</v>
      </c>
      <c r="W201" t="str">
        <f>IFERROR(INDEX(装备库!$A$2:$Y$1047,MATCH(ROW()-1,装备库!$AO$2:$AO$1046,0),COLUMN()),"")</f>
        <v>会无</v>
      </c>
      <c r="X201">
        <f>IFERROR(INDEX(装备库!$A$2:$Y$1047,MATCH(ROW()-1,装备库!$AO$2:$AO$1046,0),COLUMN()),"")</f>
        <v>6</v>
      </c>
      <c r="Y201" t="str">
        <f>IFERROR(INDEX(装备库!$A$2:$Y$1047,MATCH(ROW()-1,装备库!$AO$2:$AO$1046,0),COLUMN()),"")</f>
        <v>侠义值</v>
      </c>
    </row>
    <row r="202" spans="1:25" x14ac:dyDescent="0.35">
      <c r="A202" t="str">
        <f>IFERROR(INDEX(装备库!$A$2:$Y$1047,MATCH(ROW()-1,装备库!$AO$2:$AO$1046,0),COLUMN()),"")</f>
        <v>裤子</v>
      </c>
      <c r="B202" t="str">
        <f>IFERROR(INDEX(装备库!$A$2:$Y$1047,MATCH(ROW()-1,装备库!$AO$2:$AO$1046,0),COLUMN()),"")</f>
        <v>无封裤</v>
      </c>
      <c r="C202">
        <f>IFERROR(INDEX(装备库!$A$2:$Y$1047,MATCH(ROW()-1,装备库!$AO$2:$AO$1046,0),COLUMN()),"")</f>
        <v>9700</v>
      </c>
      <c r="D202" t="str">
        <f>IFERROR(INDEX(装备库!$A$2:$Y$1047,MATCH(ROW()-1,装备库!$AO$2:$AO$1046,0),COLUMN()),"")</f>
        <v>无封裤(9700精简攻破无)</v>
      </c>
      <c r="E202">
        <f>IFERROR(INDEX(装备库!$A$2:$Y$1047,MATCH(ROW()-1,装备库!$AO$2:$AO$1046,0),COLUMN()),"")</f>
        <v>0</v>
      </c>
      <c r="F202">
        <f>IFERROR(INDEX(装备库!$A$2:$Y$1047,MATCH(ROW()-1,装备库!$AO$2:$AO$1046,0),COLUMN()),"")</f>
        <v>2451</v>
      </c>
      <c r="G202">
        <f>IFERROR(INDEX(装备库!$A$2:$Y$1047,MATCH(ROW()-1,装备库!$AO$2:$AO$1046,0),COLUMN()),"")</f>
        <v>0</v>
      </c>
      <c r="H202">
        <f>IFERROR(INDEX(装备库!$A$2:$Y$1047,MATCH(ROW()-1,装备库!$AO$2:$AO$1046,0),COLUMN()),"")</f>
        <v>0</v>
      </c>
      <c r="I202">
        <f>IFERROR(INDEX(装备库!$A$2:$Y$1047,MATCH(ROW()-1,装备库!$AO$2:$AO$1046,0),COLUMN()),"")</f>
        <v>3776</v>
      </c>
      <c r="J202">
        <f>IFERROR(INDEX(装备库!$A$2:$Y$1047,MATCH(ROW()-1,装备库!$AO$2:$AO$1046,0),COLUMN()),"")</f>
        <v>0</v>
      </c>
      <c r="K202">
        <f>IFERROR(INDEX(装备库!$A$2:$Y$1047,MATCH(ROW()-1,装备库!$AO$2:$AO$1046,0),COLUMN()),"")</f>
        <v>3776</v>
      </c>
      <c r="L202">
        <f>IFERROR(INDEX(装备库!$A$2:$Y$1047,MATCH(ROW()-1,装备库!$AO$2:$AO$1046,0),COLUMN()),"")</f>
        <v>0</v>
      </c>
      <c r="M202">
        <f>IFERROR(INDEX(装备库!$A$2:$Y$1047,MATCH(ROW()-1,装备库!$AO$2:$AO$1046,0),COLUMN()),"")</f>
        <v>0</v>
      </c>
      <c r="N202">
        <f>IFERROR(INDEX(装备库!$A$2:$Y$1047,MATCH(ROW()-1,装备库!$AO$2:$AO$1046,0),COLUMN()),"")</f>
        <v>0</v>
      </c>
      <c r="O202">
        <f>IFERROR(INDEX(装备库!$A$2:$Y$1047,MATCH(ROW()-1,装备库!$AO$2:$AO$1046,0),COLUMN()),"")</f>
        <v>0</v>
      </c>
      <c r="P202">
        <f>IFERROR(INDEX(装备库!$A$2:$Y$1047,MATCH(ROW()-1,装备库!$AO$2:$AO$1046,0),COLUMN()),"")</f>
        <v>1</v>
      </c>
      <c r="Q202">
        <f>IFERROR(INDEX(装备库!$A$2:$Y$1047,MATCH(ROW()-1,装备库!$AO$2:$AO$1046,0),COLUMN()),"")</f>
        <v>0</v>
      </c>
      <c r="R202">
        <f>IFERROR(INDEX(装备库!$A$2:$Y$1047,MATCH(ROW()-1,装备库!$AO$2:$AO$1046,0),COLUMN()),"")</f>
        <v>0</v>
      </c>
      <c r="S202">
        <f>IFERROR(INDEX(装备库!$A$2:$Y$1047,MATCH(ROW()-1,装备库!$AO$2:$AO$1046,0),COLUMN()),"")</f>
        <v>0</v>
      </c>
      <c r="T202">
        <f>IFERROR(INDEX(装备库!$A$2:$Y$1047,MATCH(ROW()-1,装备库!$AO$2:$AO$1046,0),COLUMN()),"")</f>
        <v>1</v>
      </c>
      <c r="U202">
        <f>IFERROR(INDEX(装备库!$A$2:$Y$1047,MATCH(ROW()-1,装备库!$AO$2:$AO$1046,0),COLUMN()),"")</f>
        <v>0</v>
      </c>
      <c r="V202">
        <f>IFERROR(INDEX(装备库!$A$2:$Y$1047,MATCH(ROW()-1,装备库!$AO$2:$AO$1046,0),COLUMN()),"")</f>
        <v>0</v>
      </c>
      <c r="W202" t="str">
        <f>IFERROR(INDEX(装备库!$A$2:$Y$1047,MATCH(ROW()-1,装备库!$AO$2:$AO$1046,0),COLUMN()),"")</f>
        <v>精简攻破无</v>
      </c>
      <c r="X202">
        <f>IFERROR(INDEX(装备库!$A$2:$Y$1047,MATCH(ROW()-1,装备库!$AO$2:$AO$1046,0),COLUMN()),"")</f>
        <v>3</v>
      </c>
      <c r="Y202" t="str">
        <f>IFERROR(INDEX(装备库!$A$2:$Y$1047,MATCH(ROW()-1,装备库!$AO$2:$AO$1046,0),COLUMN()),"")</f>
        <v>活动</v>
      </c>
    </row>
    <row r="203" spans="1:25" x14ac:dyDescent="0.35">
      <c r="A203" t="str">
        <f>IFERROR(INDEX(装备库!$A$2:$Y$1047,MATCH(ROW()-1,装备库!$AO$2:$AO$1046,0),COLUMN()),"")</f>
        <v>裤子</v>
      </c>
      <c r="B203" t="str">
        <f>IFERROR(INDEX(装备库!$A$2:$Y$1047,MATCH(ROW()-1,装备库!$AO$2:$AO$1046,0),COLUMN()),"")</f>
        <v>无封裤</v>
      </c>
      <c r="C203">
        <f>IFERROR(INDEX(装备库!$A$2:$Y$1047,MATCH(ROW()-1,装备库!$AO$2:$AO$1046,0),COLUMN()),"")</f>
        <v>9700</v>
      </c>
      <c r="D203" t="str">
        <f>IFERROR(INDEX(装备库!$A$2:$Y$1047,MATCH(ROW()-1,装备库!$AO$2:$AO$1046,0),COLUMN()),"")</f>
        <v>无封裤(9700精简攻会招破)</v>
      </c>
      <c r="E203">
        <f>IFERROR(INDEX(装备库!$A$2:$Y$1047,MATCH(ROW()-1,装备库!$AO$2:$AO$1046,0),COLUMN()),"")</f>
        <v>0</v>
      </c>
      <c r="F203">
        <f>IFERROR(INDEX(装备库!$A$2:$Y$1047,MATCH(ROW()-1,装备库!$AO$2:$AO$1046,0),COLUMN()),"")</f>
        <v>2705</v>
      </c>
      <c r="G203">
        <f>IFERROR(INDEX(装备库!$A$2:$Y$1047,MATCH(ROW()-1,装备库!$AO$2:$AO$1046,0),COLUMN()),"")</f>
        <v>2454</v>
      </c>
      <c r="H203">
        <f>IFERROR(INDEX(装备库!$A$2:$Y$1047,MATCH(ROW()-1,装备库!$AO$2:$AO$1046,0),COLUMN()),"")</f>
        <v>0</v>
      </c>
      <c r="I203">
        <f>IFERROR(INDEX(装备库!$A$2:$Y$1047,MATCH(ROW()-1,装备库!$AO$2:$AO$1046,0),COLUMN()),"")</f>
        <v>2454</v>
      </c>
      <c r="J203">
        <f>IFERROR(INDEX(装备库!$A$2:$Y$1047,MATCH(ROW()-1,装备库!$AO$2:$AO$1046,0),COLUMN()),"")</f>
        <v>2077</v>
      </c>
      <c r="K203">
        <f>IFERROR(INDEX(装备库!$A$2:$Y$1047,MATCH(ROW()-1,装备库!$AO$2:$AO$1046,0),COLUMN()),"")</f>
        <v>0</v>
      </c>
      <c r="L203">
        <f>IFERROR(INDEX(装备库!$A$2:$Y$1047,MATCH(ROW()-1,装备库!$AO$2:$AO$1046,0),COLUMN()),"")</f>
        <v>0</v>
      </c>
      <c r="M203">
        <f>IFERROR(INDEX(装备库!$A$2:$Y$1047,MATCH(ROW()-1,装备库!$AO$2:$AO$1046,0),COLUMN()),"")</f>
        <v>0</v>
      </c>
      <c r="N203">
        <f>IFERROR(INDEX(装备库!$A$2:$Y$1047,MATCH(ROW()-1,装备库!$AO$2:$AO$1046,0),COLUMN()),"")</f>
        <v>0</v>
      </c>
      <c r="O203">
        <f>IFERROR(INDEX(装备库!$A$2:$Y$1047,MATCH(ROW()-1,装备库!$AO$2:$AO$1046,0),COLUMN()),"")</f>
        <v>0</v>
      </c>
      <c r="P203">
        <f>IFERROR(INDEX(装备库!$A$2:$Y$1047,MATCH(ROW()-1,装备库!$AO$2:$AO$1046,0),COLUMN()),"")</f>
        <v>0</v>
      </c>
      <c r="Q203">
        <f>IFERROR(INDEX(装备库!$A$2:$Y$1047,MATCH(ROW()-1,装备库!$AO$2:$AO$1046,0),COLUMN()),"")</f>
        <v>0</v>
      </c>
      <c r="R203">
        <f>IFERROR(INDEX(装备库!$A$2:$Y$1047,MATCH(ROW()-1,装备库!$AO$2:$AO$1046,0),COLUMN()),"")</f>
        <v>1</v>
      </c>
      <c r="S203">
        <f>IFERROR(INDEX(装备库!$A$2:$Y$1047,MATCH(ROW()-1,装备库!$AO$2:$AO$1046,0),COLUMN()),"")</f>
        <v>1</v>
      </c>
      <c r="T203">
        <f>IFERROR(INDEX(装备库!$A$2:$Y$1047,MATCH(ROW()-1,装备库!$AO$2:$AO$1046,0),COLUMN()),"")</f>
        <v>0</v>
      </c>
      <c r="U203">
        <f>IFERROR(INDEX(装备库!$A$2:$Y$1047,MATCH(ROW()-1,装备库!$AO$2:$AO$1046,0),COLUMN()),"")</f>
        <v>0</v>
      </c>
      <c r="V203">
        <f>IFERROR(INDEX(装备库!$A$2:$Y$1047,MATCH(ROW()-1,装备库!$AO$2:$AO$1046,0),COLUMN()),"")</f>
        <v>0</v>
      </c>
      <c r="W203" t="str">
        <f>IFERROR(INDEX(装备库!$A$2:$Y$1047,MATCH(ROW()-1,装备库!$AO$2:$AO$1046,0),COLUMN()),"")</f>
        <v>精简攻会招破</v>
      </c>
      <c r="X203">
        <f>IFERROR(INDEX(装备库!$A$2:$Y$1047,MATCH(ROW()-1,装备库!$AO$2:$AO$1046,0),COLUMN()),"")</f>
        <v>3</v>
      </c>
      <c r="Y203" t="str">
        <f>IFERROR(INDEX(装备库!$A$2:$Y$1047,MATCH(ROW()-1,装备库!$AO$2:$AO$1046,0),COLUMN()),"")</f>
        <v>活动</v>
      </c>
    </row>
    <row r="204" spans="1:25" x14ac:dyDescent="0.35">
      <c r="A204" t="str">
        <f>IFERROR(INDEX(装备库!$A$2:$Y$1047,MATCH(ROW()-1,装备库!$AO$2:$AO$1046,0),COLUMN()),"")</f>
        <v>裤子</v>
      </c>
      <c r="B204" t="str">
        <f>IFERROR(INDEX(装备库!$A$2:$Y$1047,MATCH(ROW()-1,装备库!$AO$2:$AO$1046,0),COLUMN()),"")</f>
        <v>无封裤</v>
      </c>
      <c r="C204">
        <f>IFERROR(INDEX(装备库!$A$2:$Y$1047,MATCH(ROW()-1,装备库!$AO$2:$AO$1046,0),COLUMN()),"")</f>
        <v>9700</v>
      </c>
      <c r="D204" t="str">
        <f>IFERROR(INDEX(装备库!$A$2:$Y$1047,MATCH(ROW()-1,装备库!$AO$2:$AO$1046,0),COLUMN()),"")</f>
        <v>无封裤(9700精简攻会)</v>
      </c>
      <c r="E204">
        <f>IFERROR(INDEX(装备库!$A$2:$Y$1047,MATCH(ROW()-1,装备库!$AO$2:$AO$1046,0),COLUMN()),"")</f>
        <v>0</v>
      </c>
      <c r="F204">
        <f>IFERROR(INDEX(装备库!$A$2:$Y$1047,MATCH(ROW()-1,装备库!$AO$2:$AO$1046,0),COLUMN()),"")</f>
        <v>2874</v>
      </c>
      <c r="G204">
        <f>IFERROR(INDEX(装备库!$A$2:$Y$1047,MATCH(ROW()-1,装备库!$AO$2:$AO$1046,0),COLUMN()),"")</f>
        <v>6514</v>
      </c>
      <c r="H204">
        <f>IFERROR(INDEX(装备库!$A$2:$Y$1047,MATCH(ROW()-1,装备库!$AO$2:$AO$1046,0),COLUMN()),"")</f>
        <v>0</v>
      </c>
      <c r="I204">
        <f>IFERROR(INDEX(装备库!$A$2:$Y$1047,MATCH(ROW()-1,装备库!$AO$2:$AO$1046,0),COLUMN()),"")</f>
        <v>0</v>
      </c>
      <c r="J204">
        <f>IFERROR(INDEX(装备库!$A$2:$Y$1047,MATCH(ROW()-1,装备库!$AO$2:$AO$1046,0),COLUMN()),"")</f>
        <v>0</v>
      </c>
      <c r="K204">
        <f>IFERROR(INDEX(装备库!$A$2:$Y$1047,MATCH(ROW()-1,装备库!$AO$2:$AO$1046,0),COLUMN()),"")</f>
        <v>0</v>
      </c>
      <c r="L204">
        <f>IFERROR(INDEX(装备库!$A$2:$Y$1047,MATCH(ROW()-1,装备库!$AO$2:$AO$1046,0),COLUMN()),"")</f>
        <v>0</v>
      </c>
      <c r="M204">
        <f>IFERROR(INDEX(装备库!$A$2:$Y$1047,MATCH(ROW()-1,装备库!$AO$2:$AO$1046,0),COLUMN()),"")</f>
        <v>0</v>
      </c>
      <c r="N204">
        <f>IFERROR(INDEX(装备库!$A$2:$Y$1047,MATCH(ROW()-1,装备库!$AO$2:$AO$1046,0),COLUMN()),"")</f>
        <v>0</v>
      </c>
      <c r="O204">
        <f>IFERROR(INDEX(装备库!$A$2:$Y$1047,MATCH(ROW()-1,装备库!$AO$2:$AO$1046,0),COLUMN()),"")</f>
        <v>0</v>
      </c>
      <c r="P204">
        <f>IFERROR(INDEX(装备库!$A$2:$Y$1047,MATCH(ROW()-1,装备库!$AO$2:$AO$1046,0),COLUMN()),"")</f>
        <v>0</v>
      </c>
      <c r="Q204">
        <f>IFERROR(INDEX(装备库!$A$2:$Y$1047,MATCH(ROW()-1,装备库!$AO$2:$AO$1046,0),COLUMN()),"")</f>
        <v>1</v>
      </c>
      <c r="R204">
        <f>IFERROR(INDEX(装备库!$A$2:$Y$1047,MATCH(ROW()-1,装备库!$AO$2:$AO$1046,0),COLUMN()),"")</f>
        <v>1</v>
      </c>
      <c r="S204">
        <f>IFERROR(INDEX(装备库!$A$2:$Y$1047,MATCH(ROW()-1,装备库!$AO$2:$AO$1046,0),COLUMN()),"")</f>
        <v>0</v>
      </c>
      <c r="T204">
        <f>IFERROR(INDEX(装备库!$A$2:$Y$1047,MATCH(ROW()-1,装备库!$AO$2:$AO$1046,0),COLUMN()),"")</f>
        <v>0</v>
      </c>
      <c r="U204">
        <f>IFERROR(INDEX(装备库!$A$2:$Y$1047,MATCH(ROW()-1,装备库!$AO$2:$AO$1046,0),COLUMN()),"")</f>
        <v>0</v>
      </c>
      <c r="V204">
        <f>IFERROR(INDEX(装备库!$A$2:$Y$1047,MATCH(ROW()-1,装备库!$AO$2:$AO$1046,0),COLUMN()),"")</f>
        <v>0</v>
      </c>
      <c r="W204" t="str">
        <f>IFERROR(INDEX(装备库!$A$2:$Y$1047,MATCH(ROW()-1,装备库!$AO$2:$AO$1046,0),COLUMN()),"")</f>
        <v>精简攻会</v>
      </c>
      <c r="X204">
        <f>IFERROR(INDEX(装备库!$A$2:$Y$1047,MATCH(ROW()-1,装备库!$AO$2:$AO$1046,0),COLUMN()),"")</f>
        <v>3</v>
      </c>
      <c r="Y204" t="str">
        <f>IFERROR(INDEX(装备库!$A$2:$Y$1047,MATCH(ROW()-1,装备库!$AO$2:$AO$1046,0),COLUMN()),"")</f>
        <v>活动</v>
      </c>
    </row>
    <row r="205" spans="1:25" x14ac:dyDescent="0.35">
      <c r="A205" t="str">
        <f>IFERROR(INDEX(装备库!$A$2:$Y$1047,MATCH(ROW()-1,装备库!$AO$2:$AO$1046,0),COLUMN()),"")</f>
        <v>裤子</v>
      </c>
      <c r="B205" t="str">
        <f>IFERROR(INDEX(装备库!$A$2:$Y$1047,MATCH(ROW()-1,装备库!$AO$2:$AO$1046,0),COLUMN()),"")</f>
        <v>垣翰裤</v>
      </c>
      <c r="C205">
        <f>IFERROR(INDEX(装备库!$A$2:$Y$1047,MATCH(ROW()-1,装备库!$AO$2:$AO$1046,0),COLUMN()),"")</f>
        <v>10000</v>
      </c>
      <c r="D205" t="str">
        <f>IFERROR(INDEX(装备库!$A$2:$Y$1047,MATCH(ROW()-1,装备库!$AO$2:$AO$1046,0),COLUMN()),"")</f>
        <v>垣翰裤(10000招破)</v>
      </c>
      <c r="E205">
        <f>IFERROR(INDEX(装备库!$A$2:$Y$1047,MATCH(ROW()-1,装备库!$AO$2:$AO$1046,0),COLUMN()),"")</f>
        <v>698</v>
      </c>
      <c r="F205">
        <f>IFERROR(INDEX(装备库!$A$2:$Y$1047,MATCH(ROW()-1,装备库!$AO$2:$AO$1046,0),COLUMN()),"")</f>
        <v>1133</v>
      </c>
      <c r="G205">
        <f>IFERROR(INDEX(装备库!$A$2:$Y$1047,MATCH(ROW()-1,装备库!$AO$2:$AO$1046,0),COLUMN()),"")</f>
        <v>0</v>
      </c>
      <c r="H205">
        <f>IFERROR(INDEX(装备库!$A$2:$Y$1047,MATCH(ROW()-1,装备库!$AO$2:$AO$1046,0),COLUMN()),"")</f>
        <v>0</v>
      </c>
      <c r="I205">
        <f>IFERROR(INDEX(装备库!$A$2:$Y$1047,MATCH(ROW()-1,装备库!$AO$2:$AO$1046,0),COLUMN()),"")</f>
        <v>3504</v>
      </c>
      <c r="J205">
        <f>IFERROR(INDEX(装备库!$A$2:$Y$1047,MATCH(ROW()-1,装备库!$AO$2:$AO$1046,0),COLUMN()),"")</f>
        <v>3114</v>
      </c>
      <c r="K205">
        <f>IFERROR(INDEX(装备库!$A$2:$Y$1047,MATCH(ROW()-1,装备库!$AO$2:$AO$1046,0),COLUMN()),"")</f>
        <v>0</v>
      </c>
      <c r="L205">
        <f>IFERROR(INDEX(装备库!$A$2:$Y$1047,MATCH(ROW()-1,装备库!$AO$2:$AO$1046,0),COLUMN()),"")</f>
        <v>0</v>
      </c>
      <c r="M205">
        <f>IFERROR(INDEX(装备库!$A$2:$Y$1047,MATCH(ROW()-1,装备库!$AO$2:$AO$1046,0),COLUMN()),"")</f>
        <v>0</v>
      </c>
      <c r="N205">
        <f>IFERROR(INDEX(装备库!$A$2:$Y$1047,MATCH(ROW()-1,装备库!$AO$2:$AO$1046,0),COLUMN()),"")</f>
        <v>0</v>
      </c>
      <c r="O205">
        <f>IFERROR(INDEX(装备库!$A$2:$Y$1047,MATCH(ROW()-1,装备库!$AO$2:$AO$1046,0),COLUMN()),"")</f>
        <v>0</v>
      </c>
      <c r="P205">
        <f>IFERROR(INDEX(装备库!$A$2:$Y$1047,MATCH(ROW()-1,装备库!$AO$2:$AO$1046,0),COLUMN()),"")</f>
        <v>0</v>
      </c>
      <c r="Q205">
        <f>IFERROR(INDEX(装备库!$A$2:$Y$1047,MATCH(ROW()-1,装备库!$AO$2:$AO$1046,0),COLUMN()),"")</f>
        <v>0</v>
      </c>
      <c r="R205">
        <f>IFERROR(INDEX(装备库!$A$2:$Y$1047,MATCH(ROW()-1,装备库!$AO$2:$AO$1046,0),COLUMN()),"")</f>
        <v>0</v>
      </c>
      <c r="S205">
        <f>IFERROR(INDEX(装备库!$A$2:$Y$1047,MATCH(ROW()-1,装备库!$AO$2:$AO$1046,0),COLUMN()),"")</f>
        <v>1</v>
      </c>
      <c r="T205">
        <f>IFERROR(INDEX(装备库!$A$2:$Y$1047,MATCH(ROW()-1,装备库!$AO$2:$AO$1046,0),COLUMN()),"")</f>
        <v>1</v>
      </c>
      <c r="U205">
        <f>IFERROR(INDEX(装备库!$A$2:$Y$1047,MATCH(ROW()-1,装备库!$AO$2:$AO$1046,0),COLUMN()),"")</f>
        <v>0</v>
      </c>
      <c r="V205">
        <f>IFERROR(INDEX(装备库!$A$2:$Y$1047,MATCH(ROW()-1,装备库!$AO$2:$AO$1046,0),COLUMN()),"")</f>
        <v>0</v>
      </c>
      <c r="W205" t="str">
        <f>IFERROR(INDEX(装备库!$A$2:$Y$1047,MATCH(ROW()-1,装备库!$AO$2:$AO$1046,0),COLUMN()),"")</f>
        <v>招破</v>
      </c>
      <c r="X205">
        <f>IFERROR(INDEX(装备库!$A$2:$Y$1047,MATCH(ROW()-1,装备库!$AO$2:$AO$1046,0),COLUMN()),"")</f>
        <v>6</v>
      </c>
      <c r="Y205" t="str">
        <f>IFERROR(INDEX(装备库!$A$2:$Y$1047,MATCH(ROW()-1,装备库!$AO$2:$AO$1046,0),COLUMN()),"")</f>
        <v>副本</v>
      </c>
    </row>
    <row r="206" spans="1:25" x14ac:dyDescent="0.35">
      <c r="A206" t="str">
        <f>IFERROR(INDEX(装备库!$A$2:$Y$1047,MATCH(ROW()-1,装备库!$AO$2:$AO$1046,0),COLUMN()),"")</f>
        <v>裤子</v>
      </c>
      <c r="B206" t="str">
        <f>IFERROR(INDEX(装备库!$A$2:$Y$1047,MATCH(ROW()-1,装备库!$AO$2:$AO$1046,0),COLUMN()),"")</f>
        <v>拭江裤</v>
      </c>
      <c r="C206">
        <f>IFERROR(INDEX(装备库!$A$2:$Y$1047,MATCH(ROW()-1,装备库!$AO$2:$AO$1046,0),COLUMN()),"")</f>
        <v>10000</v>
      </c>
      <c r="D206" t="str">
        <f>IFERROR(INDEX(装备库!$A$2:$Y$1047,MATCH(ROW()-1,装备库!$AO$2:$AO$1046,0),COLUMN()),"")</f>
        <v>拭江裤(10000招破)</v>
      </c>
      <c r="E206">
        <f>IFERROR(INDEX(装备库!$A$2:$Y$1047,MATCH(ROW()-1,装备库!$AO$2:$AO$1046,0),COLUMN()),"")</f>
        <v>698</v>
      </c>
      <c r="F206">
        <f>IFERROR(INDEX(装备库!$A$2:$Y$1047,MATCH(ROW()-1,装备库!$AO$2:$AO$1046,0),COLUMN()),"")</f>
        <v>1133</v>
      </c>
      <c r="G206">
        <f>IFERROR(INDEX(装备库!$A$2:$Y$1047,MATCH(ROW()-1,装备库!$AO$2:$AO$1046,0),COLUMN()),"")</f>
        <v>0</v>
      </c>
      <c r="H206">
        <f>IFERROR(INDEX(装备库!$A$2:$Y$1047,MATCH(ROW()-1,装备库!$AO$2:$AO$1046,0),COLUMN()),"")</f>
        <v>0</v>
      </c>
      <c r="I206">
        <f>IFERROR(INDEX(装备库!$A$2:$Y$1047,MATCH(ROW()-1,装备库!$AO$2:$AO$1046,0),COLUMN()),"")</f>
        <v>3504</v>
      </c>
      <c r="J206">
        <f>IFERROR(INDEX(装备库!$A$2:$Y$1047,MATCH(ROW()-1,装备库!$AO$2:$AO$1046,0),COLUMN()),"")</f>
        <v>3114</v>
      </c>
      <c r="K206">
        <f>IFERROR(INDEX(装备库!$A$2:$Y$1047,MATCH(ROW()-1,装备库!$AO$2:$AO$1046,0),COLUMN()),"")</f>
        <v>0</v>
      </c>
      <c r="L206">
        <f>IFERROR(INDEX(装备库!$A$2:$Y$1047,MATCH(ROW()-1,装备库!$AO$2:$AO$1046,0),COLUMN()),"")</f>
        <v>0</v>
      </c>
      <c r="M206">
        <f>IFERROR(INDEX(装备库!$A$2:$Y$1047,MATCH(ROW()-1,装备库!$AO$2:$AO$1046,0),COLUMN()),"")</f>
        <v>0</v>
      </c>
      <c r="N206">
        <f>IFERROR(INDEX(装备库!$A$2:$Y$1047,MATCH(ROW()-1,装备库!$AO$2:$AO$1046,0),COLUMN()),"")</f>
        <v>0</v>
      </c>
      <c r="O206">
        <f>IFERROR(INDEX(装备库!$A$2:$Y$1047,MATCH(ROW()-1,装备库!$AO$2:$AO$1046,0),COLUMN()),"")</f>
        <v>0</v>
      </c>
      <c r="P206">
        <f>IFERROR(INDEX(装备库!$A$2:$Y$1047,MATCH(ROW()-1,装备库!$AO$2:$AO$1046,0),COLUMN()),"")</f>
        <v>0</v>
      </c>
      <c r="Q206">
        <f>IFERROR(INDEX(装备库!$A$2:$Y$1047,MATCH(ROW()-1,装备库!$AO$2:$AO$1046,0),COLUMN()),"")</f>
        <v>0</v>
      </c>
      <c r="R206">
        <f>IFERROR(INDEX(装备库!$A$2:$Y$1047,MATCH(ROW()-1,装备库!$AO$2:$AO$1046,0),COLUMN()),"")</f>
        <v>0</v>
      </c>
      <c r="S206">
        <f>IFERROR(INDEX(装备库!$A$2:$Y$1047,MATCH(ROW()-1,装备库!$AO$2:$AO$1046,0),COLUMN()),"")</f>
        <v>1</v>
      </c>
      <c r="T206">
        <f>IFERROR(INDEX(装备库!$A$2:$Y$1047,MATCH(ROW()-1,装备库!$AO$2:$AO$1046,0),COLUMN()),"")</f>
        <v>1</v>
      </c>
      <c r="U206">
        <f>IFERROR(INDEX(装备库!$A$2:$Y$1047,MATCH(ROW()-1,装备库!$AO$2:$AO$1046,0),COLUMN()),"")</f>
        <v>0</v>
      </c>
      <c r="V206">
        <f>IFERROR(INDEX(装备库!$A$2:$Y$1047,MATCH(ROW()-1,装备库!$AO$2:$AO$1046,0),COLUMN()),"")</f>
        <v>0</v>
      </c>
      <c r="W206" t="str">
        <f>IFERROR(INDEX(装备库!$A$2:$Y$1047,MATCH(ROW()-1,装备库!$AO$2:$AO$1046,0),COLUMN()),"")</f>
        <v>招破</v>
      </c>
      <c r="X206">
        <f>IFERROR(INDEX(装备库!$A$2:$Y$1047,MATCH(ROW()-1,装备库!$AO$2:$AO$1046,0),COLUMN()),"")</f>
        <v>6</v>
      </c>
      <c r="Y206" t="str">
        <f>IFERROR(INDEX(装备库!$A$2:$Y$1047,MATCH(ROW()-1,装备库!$AO$2:$AO$1046,0),COLUMN()),"")</f>
        <v>副本</v>
      </c>
    </row>
    <row r="207" spans="1:25" x14ac:dyDescent="0.35">
      <c r="A207" t="str">
        <f>IFERROR(INDEX(装备库!$A$2:$Y$1047,MATCH(ROW()-1,装备库!$AO$2:$AO$1046,0),COLUMN()),"")</f>
        <v>裤子</v>
      </c>
      <c r="B207" t="str">
        <f>IFERROR(INDEX(装备库!$A$2:$Y$1047,MATCH(ROW()-1,装备库!$AO$2:$AO$1046,0),COLUMN()),"")</f>
        <v>沉龙荡波·淘浪裤</v>
      </c>
      <c r="C207">
        <f>IFERROR(INDEX(装备库!$A$2:$Y$1047,MATCH(ROW()-1,装备库!$AO$2:$AO$1046,0),COLUMN()),"")</f>
        <v>10000</v>
      </c>
      <c r="D207" t="str">
        <f>IFERROR(INDEX(装备库!$A$2:$Y$1047,MATCH(ROW()-1,装备库!$AO$2:$AO$1046,0),COLUMN()),"")</f>
        <v>沉龙荡波·淘浪裤(10000招破)</v>
      </c>
      <c r="E207">
        <f>IFERROR(INDEX(装备库!$A$2:$Y$1047,MATCH(ROW()-1,装备库!$AO$2:$AO$1046,0),COLUMN()),"")</f>
        <v>698</v>
      </c>
      <c r="F207">
        <f>IFERROR(INDEX(装备库!$A$2:$Y$1047,MATCH(ROW()-1,装备库!$AO$2:$AO$1046,0),COLUMN()),"")</f>
        <v>1133</v>
      </c>
      <c r="G207">
        <f>IFERROR(INDEX(装备库!$A$2:$Y$1047,MATCH(ROW()-1,装备库!$AO$2:$AO$1046,0),COLUMN()),"")</f>
        <v>0</v>
      </c>
      <c r="H207">
        <f>IFERROR(INDEX(装备库!$A$2:$Y$1047,MATCH(ROW()-1,装备库!$AO$2:$AO$1046,0),COLUMN()),"")</f>
        <v>0</v>
      </c>
      <c r="I207">
        <f>IFERROR(INDEX(装备库!$A$2:$Y$1047,MATCH(ROW()-1,装备库!$AO$2:$AO$1046,0),COLUMN()),"")</f>
        <v>3504</v>
      </c>
      <c r="J207">
        <f>IFERROR(INDEX(装备库!$A$2:$Y$1047,MATCH(ROW()-1,装备库!$AO$2:$AO$1046,0),COLUMN()),"")</f>
        <v>3114</v>
      </c>
      <c r="K207">
        <f>IFERROR(INDEX(装备库!$A$2:$Y$1047,MATCH(ROW()-1,装备库!$AO$2:$AO$1046,0),COLUMN()),"")</f>
        <v>0</v>
      </c>
      <c r="L207">
        <f>IFERROR(INDEX(装备库!$A$2:$Y$1047,MATCH(ROW()-1,装备库!$AO$2:$AO$1046,0),COLUMN()),"")</f>
        <v>0</v>
      </c>
      <c r="M207">
        <f>IFERROR(INDEX(装备库!$A$2:$Y$1047,MATCH(ROW()-1,装备库!$AO$2:$AO$1046,0),COLUMN()),"")</f>
        <v>0</v>
      </c>
      <c r="N207">
        <f>IFERROR(INDEX(装备库!$A$2:$Y$1047,MATCH(ROW()-1,装备库!$AO$2:$AO$1046,0),COLUMN()),"")</f>
        <v>0</v>
      </c>
      <c r="O207">
        <f>IFERROR(INDEX(装备库!$A$2:$Y$1047,MATCH(ROW()-1,装备库!$AO$2:$AO$1046,0),COLUMN()),"")</f>
        <v>0</v>
      </c>
      <c r="P207">
        <f>IFERROR(INDEX(装备库!$A$2:$Y$1047,MATCH(ROW()-1,装备库!$AO$2:$AO$1046,0),COLUMN()),"")</f>
        <v>0</v>
      </c>
      <c r="Q207">
        <f>IFERROR(INDEX(装备库!$A$2:$Y$1047,MATCH(ROW()-1,装备库!$AO$2:$AO$1046,0),COLUMN()),"")</f>
        <v>0</v>
      </c>
      <c r="R207">
        <f>IFERROR(INDEX(装备库!$A$2:$Y$1047,MATCH(ROW()-1,装备库!$AO$2:$AO$1046,0),COLUMN()),"")</f>
        <v>0</v>
      </c>
      <c r="S207">
        <f>IFERROR(INDEX(装备库!$A$2:$Y$1047,MATCH(ROW()-1,装备库!$AO$2:$AO$1046,0),COLUMN()),"")</f>
        <v>1</v>
      </c>
      <c r="T207">
        <f>IFERROR(INDEX(装备库!$A$2:$Y$1047,MATCH(ROW()-1,装备库!$AO$2:$AO$1046,0),COLUMN()),"")</f>
        <v>1</v>
      </c>
      <c r="U207">
        <f>IFERROR(INDEX(装备库!$A$2:$Y$1047,MATCH(ROW()-1,装备库!$AO$2:$AO$1046,0),COLUMN()),"")</f>
        <v>0</v>
      </c>
      <c r="V207">
        <f>IFERROR(INDEX(装备库!$A$2:$Y$1047,MATCH(ROW()-1,装备库!$AO$2:$AO$1046,0),COLUMN()),"")</f>
        <v>0</v>
      </c>
      <c r="W207" t="str">
        <f>IFERROR(INDEX(装备库!$A$2:$Y$1047,MATCH(ROW()-1,装备库!$AO$2:$AO$1046,0),COLUMN()),"")</f>
        <v>招破</v>
      </c>
      <c r="X207">
        <f>IFERROR(INDEX(装备库!$A$2:$Y$1047,MATCH(ROW()-1,装备库!$AO$2:$AO$1046,0),COLUMN()),"")</f>
        <v>6</v>
      </c>
      <c r="Y207" t="str">
        <f>IFERROR(INDEX(装备库!$A$2:$Y$1047,MATCH(ROW()-1,装备库!$AO$2:$AO$1046,0),COLUMN()),"")</f>
        <v>飞沙令</v>
      </c>
    </row>
    <row r="208" spans="1:25" x14ac:dyDescent="0.35">
      <c r="A208" t="str">
        <f>IFERROR(INDEX(装备库!$A$2:$Y$1047,MATCH(ROW()-1,装备库!$AO$2:$AO$1046,0),COLUMN()),"")</f>
        <v>裤子</v>
      </c>
      <c r="B208" t="str">
        <f>IFERROR(INDEX(装备库!$A$2:$Y$1047,MATCH(ROW()-1,装备库!$AO$2:$AO$1046,0),COLUMN()),"")</f>
        <v>重关裤</v>
      </c>
      <c r="C208">
        <f>IFERROR(INDEX(装备库!$A$2:$Y$1047,MATCH(ROW()-1,装备库!$AO$2:$AO$1046,0),COLUMN()),"")</f>
        <v>10000</v>
      </c>
      <c r="D208" t="str">
        <f>IFERROR(INDEX(装备库!$A$2:$Y$1047,MATCH(ROW()-1,装备库!$AO$2:$AO$1046,0),COLUMN()),"")</f>
        <v>重关裤(10000速招)</v>
      </c>
      <c r="E208">
        <f>IFERROR(INDEX(装备库!$A$2:$Y$1047,MATCH(ROW()-1,装备库!$AO$2:$AO$1046,0),COLUMN()),"")</f>
        <v>698</v>
      </c>
      <c r="F208">
        <f>IFERROR(INDEX(装备库!$A$2:$Y$1047,MATCH(ROW()-1,装备库!$AO$2:$AO$1046,0),COLUMN()),"")</f>
        <v>1133</v>
      </c>
      <c r="G208">
        <f>IFERROR(INDEX(装备库!$A$2:$Y$1047,MATCH(ROW()-1,装备库!$AO$2:$AO$1046,0),COLUMN()),"")</f>
        <v>0</v>
      </c>
      <c r="H208">
        <f>IFERROR(INDEX(装备库!$A$2:$Y$1047,MATCH(ROW()-1,装备库!$AO$2:$AO$1046,0),COLUMN()),"")</f>
        <v>0</v>
      </c>
      <c r="I208">
        <f>IFERROR(INDEX(装备库!$A$2:$Y$1047,MATCH(ROW()-1,装备库!$AO$2:$AO$1046,0),COLUMN()),"")</f>
        <v>0</v>
      </c>
      <c r="J208">
        <f>IFERROR(INDEX(装备库!$A$2:$Y$1047,MATCH(ROW()-1,装备库!$AO$2:$AO$1046,0),COLUMN()),"")</f>
        <v>3114</v>
      </c>
      <c r="K208">
        <f>IFERROR(INDEX(装备库!$A$2:$Y$1047,MATCH(ROW()-1,装备库!$AO$2:$AO$1046,0),COLUMN()),"")</f>
        <v>0</v>
      </c>
      <c r="L208">
        <f>IFERROR(INDEX(装备库!$A$2:$Y$1047,MATCH(ROW()-1,装备库!$AO$2:$AO$1046,0),COLUMN()),"")</f>
        <v>3504</v>
      </c>
      <c r="M208">
        <f>IFERROR(INDEX(装备库!$A$2:$Y$1047,MATCH(ROW()-1,装备库!$AO$2:$AO$1046,0),COLUMN()),"")</f>
        <v>0</v>
      </c>
      <c r="N208">
        <f>IFERROR(INDEX(装备库!$A$2:$Y$1047,MATCH(ROW()-1,装备库!$AO$2:$AO$1046,0),COLUMN()),"")</f>
        <v>0</v>
      </c>
      <c r="O208">
        <f>IFERROR(INDEX(装备库!$A$2:$Y$1047,MATCH(ROW()-1,装备库!$AO$2:$AO$1046,0),COLUMN()),"")</f>
        <v>0</v>
      </c>
      <c r="P208">
        <f>IFERROR(INDEX(装备库!$A$2:$Y$1047,MATCH(ROW()-1,装备库!$AO$2:$AO$1046,0),COLUMN()),"")</f>
        <v>0</v>
      </c>
      <c r="Q208">
        <f>IFERROR(INDEX(装备库!$A$2:$Y$1047,MATCH(ROW()-1,装备库!$AO$2:$AO$1046,0),COLUMN()),"")</f>
        <v>0</v>
      </c>
      <c r="R208">
        <f>IFERROR(INDEX(装备库!$A$2:$Y$1047,MATCH(ROW()-1,装备库!$AO$2:$AO$1046,0),COLUMN()),"")</f>
        <v>0</v>
      </c>
      <c r="S208">
        <f>IFERROR(INDEX(装备库!$A$2:$Y$1047,MATCH(ROW()-1,装备库!$AO$2:$AO$1046,0),COLUMN()),"")</f>
        <v>1</v>
      </c>
      <c r="T208">
        <f>IFERROR(INDEX(装备库!$A$2:$Y$1047,MATCH(ROW()-1,装备库!$AO$2:$AO$1046,0),COLUMN()),"")</f>
        <v>1</v>
      </c>
      <c r="U208">
        <f>IFERROR(INDEX(装备库!$A$2:$Y$1047,MATCH(ROW()-1,装备库!$AO$2:$AO$1046,0),COLUMN()),"")</f>
        <v>0</v>
      </c>
      <c r="V208">
        <f>IFERROR(INDEX(装备库!$A$2:$Y$1047,MATCH(ROW()-1,装备库!$AO$2:$AO$1046,0),COLUMN()),"")</f>
        <v>0</v>
      </c>
      <c r="W208" t="str">
        <f>IFERROR(INDEX(装备库!$A$2:$Y$1047,MATCH(ROW()-1,装备库!$AO$2:$AO$1046,0),COLUMN()),"")</f>
        <v>速招</v>
      </c>
      <c r="X208">
        <f>IFERROR(INDEX(装备库!$A$2:$Y$1047,MATCH(ROW()-1,装备库!$AO$2:$AO$1046,0),COLUMN()),"")</f>
        <v>6</v>
      </c>
      <c r="Y208" t="str">
        <f>IFERROR(INDEX(装备库!$A$2:$Y$1047,MATCH(ROW()-1,装备库!$AO$2:$AO$1046,0),COLUMN()),"")</f>
        <v>副本</v>
      </c>
    </row>
    <row r="209" spans="1:25" x14ac:dyDescent="0.35">
      <c r="A209" t="str">
        <f>IFERROR(INDEX(装备库!$A$2:$Y$1047,MATCH(ROW()-1,装备库!$AO$2:$AO$1046,0),COLUMN()),"")</f>
        <v>裤子</v>
      </c>
      <c r="B209" t="str">
        <f>IFERROR(INDEX(装备库!$A$2:$Y$1047,MATCH(ROW()-1,装备库!$AO$2:$AO$1046,0),COLUMN()),"")</f>
        <v>曲郦裤</v>
      </c>
      <c r="C209">
        <f>IFERROR(INDEX(装备库!$A$2:$Y$1047,MATCH(ROW()-1,装备库!$AO$2:$AO$1046,0),COLUMN()),"")</f>
        <v>10000</v>
      </c>
      <c r="D209" t="str">
        <f>IFERROR(INDEX(装备库!$A$2:$Y$1047,MATCH(ROW()-1,装备库!$AO$2:$AO$1046,0),COLUMN()),"")</f>
        <v>曲郦裤(10000速招)</v>
      </c>
      <c r="E209">
        <f>IFERROR(INDEX(装备库!$A$2:$Y$1047,MATCH(ROW()-1,装备库!$AO$2:$AO$1046,0),COLUMN()),"")</f>
        <v>698</v>
      </c>
      <c r="F209">
        <f>IFERROR(INDEX(装备库!$A$2:$Y$1047,MATCH(ROW()-1,装备库!$AO$2:$AO$1046,0),COLUMN()),"")</f>
        <v>1133</v>
      </c>
      <c r="G209">
        <f>IFERROR(INDEX(装备库!$A$2:$Y$1047,MATCH(ROW()-1,装备库!$AO$2:$AO$1046,0),COLUMN()),"")</f>
        <v>0</v>
      </c>
      <c r="H209">
        <f>IFERROR(INDEX(装备库!$A$2:$Y$1047,MATCH(ROW()-1,装备库!$AO$2:$AO$1046,0),COLUMN()),"")</f>
        <v>0</v>
      </c>
      <c r="I209">
        <f>IFERROR(INDEX(装备库!$A$2:$Y$1047,MATCH(ROW()-1,装备库!$AO$2:$AO$1046,0),COLUMN()),"")</f>
        <v>0</v>
      </c>
      <c r="J209">
        <f>IFERROR(INDEX(装备库!$A$2:$Y$1047,MATCH(ROW()-1,装备库!$AO$2:$AO$1046,0),COLUMN()),"")</f>
        <v>3114</v>
      </c>
      <c r="K209">
        <f>IFERROR(INDEX(装备库!$A$2:$Y$1047,MATCH(ROW()-1,装备库!$AO$2:$AO$1046,0),COLUMN()),"")</f>
        <v>0</v>
      </c>
      <c r="L209">
        <f>IFERROR(INDEX(装备库!$A$2:$Y$1047,MATCH(ROW()-1,装备库!$AO$2:$AO$1046,0),COLUMN()),"")</f>
        <v>3504</v>
      </c>
      <c r="M209">
        <f>IFERROR(INDEX(装备库!$A$2:$Y$1047,MATCH(ROW()-1,装备库!$AO$2:$AO$1046,0),COLUMN()),"")</f>
        <v>0</v>
      </c>
      <c r="N209">
        <f>IFERROR(INDEX(装备库!$A$2:$Y$1047,MATCH(ROW()-1,装备库!$AO$2:$AO$1046,0),COLUMN()),"")</f>
        <v>0</v>
      </c>
      <c r="O209">
        <f>IFERROR(INDEX(装备库!$A$2:$Y$1047,MATCH(ROW()-1,装备库!$AO$2:$AO$1046,0),COLUMN()),"")</f>
        <v>0</v>
      </c>
      <c r="P209">
        <f>IFERROR(INDEX(装备库!$A$2:$Y$1047,MATCH(ROW()-1,装备库!$AO$2:$AO$1046,0),COLUMN()),"")</f>
        <v>0</v>
      </c>
      <c r="Q209">
        <f>IFERROR(INDEX(装备库!$A$2:$Y$1047,MATCH(ROW()-1,装备库!$AO$2:$AO$1046,0),COLUMN()),"")</f>
        <v>0</v>
      </c>
      <c r="R209">
        <f>IFERROR(INDEX(装备库!$A$2:$Y$1047,MATCH(ROW()-1,装备库!$AO$2:$AO$1046,0),COLUMN()),"")</f>
        <v>0</v>
      </c>
      <c r="S209">
        <f>IFERROR(INDEX(装备库!$A$2:$Y$1047,MATCH(ROW()-1,装备库!$AO$2:$AO$1046,0),COLUMN()),"")</f>
        <v>1</v>
      </c>
      <c r="T209">
        <f>IFERROR(INDEX(装备库!$A$2:$Y$1047,MATCH(ROW()-1,装备库!$AO$2:$AO$1046,0),COLUMN()),"")</f>
        <v>1</v>
      </c>
      <c r="U209">
        <f>IFERROR(INDEX(装备库!$A$2:$Y$1047,MATCH(ROW()-1,装备库!$AO$2:$AO$1046,0),COLUMN()),"")</f>
        <v>0</v>
      </c>
      <c r="V209">
        <f>IFERROR(INDEX(装备库!$A$2:$Y$1047,MATCH(ROW()-1,装备库!$AO$2:$AO$1046,0),COLUMN()),"")</f>
        <v>0</v>
      </c>
      <c r="W209" t="str">
        <f>IFERROR(INDEX(装备库!$A$2:$Y$1047,MATCH(ROW()-1,装备库!$AO$2:$AO$1046,0),COLUMN()),"")</f>
        <v>速招</v>
      </c>
      <c r="X209">
        <f>IFERROR(INDEX(装备库!$A$2:$Y$1047,MATCH(ROW()-1,装备库!$AO$2:$AO$1046,0),COLUMN()),"")</f>
        <v>6</v>
      </c>
      <c r="Y209" t="str">
        <f>IFERROR(INDEX(装备库!$A$2:$Y$1047,MATCH(ROW()-1,装备库!$AO$2:$AO$1046,0),COLUMN()),"")</f>
        <v>副本</v>
      </c>
    </row>
    <row r="210" spans="1:25" x14ac:dyDescent="0.35">
      <c r="A210" t="str">
        <f>IFERROR(INDEX(装备库!$A$2:$Y$1047,MATCH(ROW()-1,装备库!$AO$2:$AO$1046,0),COLUMN()),"")</f>
        <v>裤子</v>
      </c>
      <c r="B210" t="str">
        <f>IFERROR(INDEX(装备库!$A$2:$Y$1047,MATCH(ROW()-1,装备库!$AO$2:$AO$1046,0),COLUMN()),"")</f>
        <v>羡双裤</v>
      </c>
      <c r="C210">
        <f>IFERROR(INDEX(装备库!$A$2:$Y$1047,MATCH(ROW()-1,装备库!$AO$2:$AO$1046,0),COLUMN()),"")</f>
        <v>10000</v>
      </c>
      <c r="D210" t="str">
        <f>IFERROR(INDEX(装备库!$A$2:$Y$1047,MATCH(ROW()-1,装备库!$AO$2:$AO$1046,0),COLUMN()),"")</f>
        <v>羡双裤(10000破无)</v>
      </c>
      <c r="E210">
        <f>IFERROR(INDEX(装备库!$A$2:$Y$1047,MATCH(ROW()-1,装备库!$AO$2:$AO$1046,0),COLUMN()),"")</f>
        <v>698</v>
      </c>
      <c r="F210">
        <f>IFERROR(INDEX(装备库!$A$2:$Y$1047,MATCH(ROW()-1,装备库!$AO$2:$AO$1046,0),COLUMN()),"")</f>
        <v>1133</v>
      </c>
      <c r="G210">
        <f>IFERROR(INDEX(装备库!$A$2:$Y$1047,MATCH(ROW()-1,装备库!$AO$2:$AO$1046,0),COLUMN()),"")</f>
        <v>0</v>
      </c>
      <c r="H210">
        <f>IFERROR(INDEX(装备库!$A$2:$Y$1047,MATCH(ROW()-1,装备库!$AO$2:$AO$1046,0),COLUMN()),"")</f>
        <v>0</v>
      </c>
      <c r="I210">
        <f>IFERROR(INDEX(装备库!$A$2:$Y$1047,MATCH(ROW()-1,装备库!$AO$2:$AO$1046,0),COLUMN()),"")</f>
        <v>3504</v>
      </c>
      <c r="J210">
        <f>IFERROR(INDEX(装备库!$A$2:$Y$1047,MATCH(ROW()-1,装备库!$AO$2:$AO$1046,0),COLUMN()),"")</f>
        <v>0</v>
      </c>
      <c r="K210">
        <f>IFERROR(INDEX(装备库!$A$2:$Y$1047,MATCH(ROW()-1,装备库!$AO$2:$AO$1046,0),COLUMN()),"")</f>
        <v>3114</v>
      </c>
      <c r="L210">
        <f>IFERROR(INDEX(装备库!$A$2:$Y$1047,MATCH(ROW()-1,装备库!$AO$2:$AO$1046,0),COLUMN()),"")</f>
        <v>0</v>
      </c>
      <c r="M210">
        <f>IFERROR(INDEX(装备库!$A$2:$Y$1047,MATCH(ROW()-1,装备库!$AO$2:$AO$1046,0),COLUMN()),"")</f>
        <v>0</v>
      </c>
      <c r="N210">
        <f>IFERROR(INDEX(装备库!$A$2:$Y$1047,MATCH(ROW()-1,装备库!$AO$2:$AO$1046,0),COLUMN()),"")</f>
        <v>0</v>
      </c>
      <c r="O210">
        <f>IFERROR(INDEX(装备库!$A$2:$Y$1047,MATCH(ROW()-1,装备库!$AO$2:$AO$1046,0),COLUMN()),"")</f>
        <v>0</v>
      </c>
      <c r="P210">
        <f>IFERROR(INDEX(装备库!$A$2:$Y$1047,MATCH(ROW()-1,装备库!$AO$2:$AO$1046,0),COLUMN()),"")</f>
        <v>1</v>
      </c>
      <c r="Q210">
        <f>IFERROR(INDEX(装备库!$A$2:$Y$1047,MATCH(ROW()-1,装备库!$AO$2:$AO$1046,0),COLUMN()),"")</f>
        <v>1</v>
      </c>
      <c r="R210">
        <f>IFERROR(INDEX(装备库!$A$2:$Y$1047,MATCH(ROW()-1,装备库!$AO$2:$AO$1046,0),COLUMN()),"")</f>
        <v>0</v>
      </c>
      <c r="S210">
        <f>IFERROR(INDEX(装备库!$A$2:$Y$1047,MATCH(ROW()-1,装备库!$AO$2:$AO$1046,0),COLUMN()),"")</f>
        <v>0</v>
      </c>
      <c r="T210">
        <f>IFERROR(INDEX(装备库!$A$2:$Y$1047,MATCH(ROW()-1,装备库!$AO$2:$AO$1046,0),COLUMN()),"")</f>
        <v>0</v>
      </c>
      <c r="U210">
        <f>IFERROR(INDEX(装备库!$A$2:$Y$1047,MATCH(ROW()-1,装备库!$AO$2:$AO$1046,0),COLUMN()),"")</f>
        <v>0</v>
      </c>
      <c r="V210">
        <f>IFERROR(INDEX(装备库!$A$2:$Y$1047,MATCH(ROW()-1,装备库!$AO$2:$AO$1046,0),COLUMN()),"")</f>
        <v>0</v>
      </c>
      <c r="W210" t="str">
        <f>IFERROR(INDEX(装备库!$A$2:$Y$1047,MATCH(ROW()-1,装备库!$AO$2:$AO$1046,0),COLUMN()),"")</f>
        <v>破无</v>
      </c>
      <c r="X210">
        <f>IFERROR(INDEX(装备库!$A$2:$Y$1047,MATCH(ROW()-1,装备库!$AO$2:$AO$1046,0),COLUMN()),"")</f>
        <v>6</v>
      </c>
      <c r="Y210" t="str">
        <f>IFERROR(INDEX(装备库!$A$2:$Y$1047,MATCH(ROW()-1,装备库!$AO$2:$AO$1046,0),COLUMN()),"")</f>
        <v>副本</v>
      </c>
    </row>
    <row r="211" spans="1:25" x14ac:dyDescent="0.35">
      <c r="A211" t="str">
        <f>IFERROR(INDEX(装备库!$A$2:$Y$1047,MATCH(ROW()-1,装备库!$AO$2:$AO$1046,0),COLUMN()),"")</f>
        <v>裤子</v>
      </c>
      <c r="B211" t="str">
        <f>IFERROR(INDEX(装备库!$A$2:$Y$1047,MATCH(ROW()-1,装备库!$AO$2:$AO$1046,0),COLUMN()),"")</f>
        <v>项昌裤</v>
      </c>
      <c r="C211">
        <f>IFERROR(INDEX(装备库!$A$2:$Y$1047,MATCH(ROW()-1,装备库!$AO$2:$AO$1046,0),COLUMN()),"")</f>
        <v>10000</v>
      </c>
      <c r="D211" t="str">
        <f>IFERROR(INDEX(装备库!$A$2:$Y$1047,MATCH(ROW()-1,装备库!$AO$2:$AO$1046,0),COLUMN()),"")</f>
        <v>项昌裤(10000会招)</v>
      </c>
      <c r="E211">
        <f>IFERROR(INDEX(装备库!$A$2:$Y$1047,MATCH(ROW()-1,装备库!$AO$2:$AO$1046,0),COLUMN()),"")</f>
        <v>698</v>
      </c>
      <c r="F211">
        <f>IFERROR(INDEX(装备库!$A$2:$Y$1047,MATCH(ROW()-1,装备库!$AO$2:$AO$1046,0),COLUMN()),"")</f>
        <v>1133</v>
      </c>
      <c r="G211">
        <f>IFERROR(INDEX(装备库!$A$2:$Y$1047,MATCH(ROW()-1,装备库!$AO$2:$AO$1046,0),COLUMN()),"")</f>
        <v>3504</v>
      </c>
      <c r="H211">
        <f>IFERROR(INDEX(装备库!$A$2:$Y$1047,MATCH(ROW()-1,装备库!$AO$2:$AO$1046,0),COLUMN()),"")</f>
        <v>0</v>
      </c>
      <c r="I211">
        <f>IFERROR(INDEX(装备库!$A$2:$Y$1047,MATCH(ROW()-1,装备库!$AO$2:$AO$1046,0),COLUMN()),"")</f>
        <v>0</v>
      </c>
      <c r="J211">
        <f>IFERROR(INDEX(装备库!$A$2:$Y$1047,MATCH(ROW()-1,装备库!$AO$2:$AO$1046,0),COLUMN()),"")</f>
        <v>3114</v>
      </c>
      <c r="K211">
        <f>IFERROR(INDEX(装备库!$A$2:$Y$1047,MATCH(ROW()-1,装备库!$AO$2:$AO$1046,0),COLUMN()),"")</f>
        <v>0</v>
      </c>
      <c r="L211">
        <f>IFERROR(INDEX(装备库!$A$2:$Y$1047,MATCH(ROW()-1,装备库!$AO$2:$AO$1046,0),COLUMN()),"")</f>
        <v>0</v>
      </c>
      <c r="M211">
        <f>IFERROR(INDEX(装备库!$A$2:$Y$1047,MATCH(ROW()-1,装备库!$AO$2:$AO$1046,0),COLUMN()),"")</f>
        <v>0</v>
      </c>
      <c r="N211">
        <f>IFERROR(INDEX(装备库!$A$2:$Y$1047,MATCH(ROW()-1,装备库!$AO$2:$AO$1046,0),COLUMN()),"")</f>
        <v>0</v>
      </c>
      <c r="O211">
        <f>IFERROR(INDEX(装备库!$A$2:$Y$1047,MATCH(ROW()-1,装备库!$AO$2:$AO$1046,0),COLUMN()),"")</f>
        <v>0</v>
      </c>
      <c r="P211">
        <f>IFERROR(INDEX(装备库!$A$2:$Y$1047,MATCH(ROW()-1,装备库!$AO$2:$AO$1046,0),COLUMN()),"")</f>
        <v>0</v>
      </c>
      <c r="Q211">
        <f>IFERROR(INDEX(装备库!$A$2:$Y$1047,MATCH(ROW()-1,装备库!$AO$2:$AO$1046,0),COLUMN()),"")</f>
        <v>0</v>
      </c>
      <c r="R211">
        <f>IFERROR(INDEX(装备库!$A$2:$Y$1047,MATCH(ROW()-1,装备库!$AO$2:$AO$1046,0),COLUMN()),"")</f>
        <v>0</v>
      </c>
      <c r="S211">
        <f>IFERROR(INDEX(装备库!$A$2:$Y$1047,MATCH(ROW()-1,装备库!$AO$2:$AO$1046,0),COLUMN()),"")</f>
        <v>1</v>
      </c>
      <c r="T211">
        <f>IFERROR(INDEX(装备库!$A$2:$Y$1047,MATCH(ROW()-1,装备库!$AO$2:$AO$1046,0),COLUMN()),"")</f>
        <v>1</v>
      </c>
      <c r="U211">
        <f>IFERROR(INDEX(装备库!$A$2:$Y$1047,MATCH(ROW()-1,装备库!$AO$2:$AO$1046,0),COLUMN()),"")</f>
        <v>0</v>
      </c>
      <c r="V211">
        <f>IFERROR(INDEX(装备库!$A$2:$Y$1047,MATCH(ROW()-1,装备库!$AO$2:$AO$1046,0),COLUMN()),"")</f>
        <v>0</v>
      </c>
      <c r="W211" t="str">
        <f>IFERROR(INDEX(装备库!$A$2:$Y$1047,MATCH(ROW()-1,装备库!$AO$2:$AO$1046,0),COLUMN()),"")</f>
        <v>会招</v>
      </c>
      <c r="X211">
        <f>IFERROR(INDEX(装备库!$A$2:$Y$1047,MATCH(ROW()-1,装备库!$AO$2:$AO$1046,0),COLUMN()),"")</f>
        <v>6</v>
      </c>
      <c r="Y211" t="str">
        <f>IFERROR(INDEX(装备库!$A$2:$Y$1047,MATCH(ROW()-1,装备库!$AO$2:$AO$1046,0),COLUMN()),"")</f>
        <v>副本</v>
      </c>
    </row>
    <row r="212" spans="1:25" x14ac:dyDescent="0.35">
      <c r="A212" t="str">
        <f>IFERROR(INDEX(装备库!$A$2:$Y$1047,MATCH(ROW()-1,装备库!$AO$2:$AO$1046,0),COLUMN()),"")</f>
        <v>裤子</v>
      </c>
      <c r="B212" t="str">
        <f>IFERROR(INDEX(装备库!$A$2:$Y$1047,MATCH(ROW()-1,装备库!$AO$2:$AO$1046,0),COLUMN()),"")</f>
        <v>忆敬裳</v>
      </c>
      <c r="C212">
        <f>IFERROR(INDEX(装备库!$A$2:$Y$1047,MATCH(ROW()-1,装备库!$AO$2:$AO$1046,0),COLUMN()),"")</f>
        <v>10000</v>
      </c>
      <c r="D212" t="str">
        <f>IFERROR(INDEX(装备库!$A$2:$Y$1047,MATCH(ROW()-1,装备库!$AO$2:$AO$1046,0),COLUMN()),"")</f>
        <v>忆敬裳(10000会无)</v>
      </c>
      <c r="E212">
        <f>IFERROR(INDEX(装备库!$A$2:$Y$1047,MATCH(ROW()-1,装备库!$AO$2:$AO$1046,0),COLUMN()),"")</f>
        <v>698</v>
      </c>
      <c r="F212">
        <f>IFERROR(INDEX(装备库!$A$2:$Y$1047,MATCH(ROW()-1,装备库!$AO$2:$AO$1046,0),COLUMN()),"")</f>
        <v>1133</v>
      </c>
      <c r="G212">
        <f>IFERROR(INDEX(装备库!$A$2:$Y$1047,MATCH(ROW()-1,装备库!$AO$2:$AO$1046,0),COLUMN()),"")</f>
        <v>3504</v>
      </c>
      <c r="H212">
        <f>IFERROR(INDEX(装备库!$A$2:$Y$1047,MATCH(ROW()-1,装备库!$AO$2:$AO$1046,0),COLUMN()),"")</f>
        <v>0</v>
      </c>
      <c r="I212">
        <f>IFERROR(INDEX(装备库!$A$2:$Y$1047,MATCH(ROW()-1,装备库!$AO$2:$AO$1046,0),COLUMN()),"")</f>
        <v>0</v>
      </c>
      <c r="J212">
        <f>IFERROR(INDEX(装备库!$A$2:$Y$1047,MATCH(ROW()-1,装备库!$AO$2:$AO$1046,0),COLUMN()),"")</f>
        <v>0</v>
      </c>
      <c r="K212">
        <f>IFERROR(INDEX(装备库!$A$2:$Y$1047,MATCH(ROW()-1,装备库!$AO$2:$AO$1046,0),COLUMN()),"")</f>
        <v>3114</v>
      </c>
      <c r="L212">
        <f>IFERROR(INDEX(装备库!$A$2:$Y$1047,MATCH(ROW()-1,装备库!$AO$2:$AO$1046,0),COLUMN()),"")</f>
        <v>0</v>
      </c>
      <c r="M212">
        <f>IFERROR(INDEX(装备库!$A$2:$Y$1047,MATCH(ROW()-1,装备库!$AO$2:$AO$1046,0),COLUMN()),"")</f>
        <v>0</v>
      </c>
      <c r="N212">
        <f>IFERROR(INDEX(装备库!$A$2:$Y$1047,MATCH(ROW()-1,装备库!$AO$2:$AO$1046,0),COLUMN()),"")</f>
        <v>0</v>
      </c>
      <c r="O212">
        <f>IFERROR(INDEX(装备库!$A$2:$Y$1047,MATCH(ROW()-1,装备库!$AO$2:$AO$1046,0),COLUMN()),"")</f>
        <v>0</v>
      </c>
      <c r="P212">
        <f>IFERROR(INDEX(装备库!$A$2:$Y$1047,MATCH(ROW()-1,装备库!$AO$2:$AO$1046,0),COLUMN()),"")</f>
        <v>0</v>
      </c>
      <c r="Q212">
        <f>IFERROR(INDEX(装备库!$A$2:$Y$1047,MATCH(ROW()-1,装备库!$AO$2:$AO$1046,0),COLUMN()),"")</f>
        <v>1</v>
      </c>
      <c r="R212">
        <f>IFERROR(INDEX(装备库!$A$2:$Y$1047,MATCH(ROW()-1,装备库!$AO$2:$AO$1046,0),COLUMN()),"")</f>
        <v>0</v>
      </c>
      <c r="S212">
        <f>IFERROR(INDEX(装备库!$A$2:$Y$1047,MATCH(ROW()-1,装备库!$AO$2:$AO$1046,0),COLUMN()),"")</f>
        <v>0</v>
      </c>
      <c r="T212">
        <f>IFERROR(INDEX(装备库!$A$2:$Y$1047,MATCH(ROW()-1,装备库!$AO$2:$AO$1046,0),COLUMN()),"")</f>
        <v>1</v>
      </c>
      <c r="U212">
        <f>IFERROR(INDEX(装备库!$A$2:$Y$1047,MATCH(ROW()-1,装备库!$AO$2:$AO$1046,0),COLUMN()),"")</f>
        <v>0</v>
      </c>
      <c r="V212">
        <f>IFERROR(INDEX(装备库!$A$2:$Y$1047,MATCH(ROW()-1,装备库!$AO$2:$AO$1046,0),COLUMN()),"")</f>
        <v>0</v>
      </c>
      <c r="W212" t="str">
        <f>IFERROR(INDEX(装备库!$A$2:$Y$1047,MATCH(ROW()-1,装备库!$AO$2:$AO$1046,0),COLUMN()),"")</f>
        <v>会无</v>
      </c>
      <c r="X212">
        <f>IFERROR(INDEX(装备库!$A$2:$Y$1047,MATCH(ROW()-1,装备库!$AO$2:$AO$1046,0),COLUMN()),"")</f>
        <v>6</v>
      </c>
      <c r="Y212" t="str">
        <f>IFERROR(INDEX(装备库!$A$2:$Y$1047,MATCH(ROW()-1,装备库!$AO$2:$AO$1046,0),COLUMN()),"")</f>
        <v>副本</v>
      </c>
    </row>
    <row r="213" spans="1:25" x14ac:dyDescent="0.35">
      <c r="A213" t="str">
        <f>IFERROR(INDEX(装备库!$A$2:$Y$1047,MATCH(ROW()-1,装备库!$AO$2:$AO$1046,0),COLUMN()),"")</f>
        <v>裤子</v>
      </c>
      <c r="B213" t="str">
        <f>IFERROR(INDEX(装备库!$A$2:$Y$1047,MATCH(ROW()-1,装备库!$AO$2:$AO$1046,0),COLUMN()),"")</f>
        <v>无封裤</v>
      </c>
      <c r="C213">
        <f>IFERROR(INDEX(装备库!$A$2:$Y$1047,MATCH(ROW()-1,装备库!$AO$2:$AO$1046,0),COLUMN()),"")</f>
        <v>10000</v>
      </c>
      <c r="D213" t="str">
        <f>IFERROR(INDEX(装备库!$A$2:$Y$1047,MATCH(ROW()-1,装备库!$AO$2:$AO$1046,0),COLUMN()),"")</f>
        <v>无封裤(10000精简攻招无)</v>
      </c>
      <c r="E213">
        <f>IFERROR(INDEX(装备库!$A$2:$Y$1047,MATCH(ROW()-1,装备库!$AO$2:$AO$1046,0),COLUMN()),"")</f>
        <v>0</v>
      </c>
      <c r="F213">
        <f>IFERROR(INDEX(装备库!$A$2:$Y$1047,MATCH(ROW()-1,装备库!$AO$2:$AO$1046,0),COLUMN()),"")</f>
        <v>2527</v>
      </c>
      <c r="G213">
        <f>IFERROR(INDEX(装备库!$A$2:$Y$1047,MATCH(ROW()-1,装备库!$AO$2:$AO$1046,0),COLUMN()),"")</f>
        <v>0</v>
      </c>
      <c r="H213">
        <f>IFERROR(INDEX(装备库!$A$2:$Y$1047,MATCH(ROW()-1,装备库!$AO$2:$AO$1046,0),COLUMN()),"")</f>
        <v>0</v>
      </c>
      <c r="I213">
        <f>IFERROR(INDEX(装备库!$A$2:$Y$1047,MATCH(ROW()-1,装备库!$AO$2:$AO$1046,0),COLUMN()),"")</f>
        <v>0</v>
      </c>
      <c r="J213">
        <f>IFERROR(INDEX(装备库!$A$2:$Y$1047,MATCH(ROW()-1,装备库!$AO$2:$AO$1046,0),COLUMN()),"")</f>
        <v>2141</v>
      </c>
      <c r="K213">
        <f>IFERROR(INDEX(装备库!$A$2:$Y$1047,MATCH(ROW()-1,装备库!$AO$2:$AO$1046,0),COLUMN()),"")</f>
        <v>5645</v>
      </c>
      <c r="L213">
        <f>IFERROR(INDEX(装备库!$A$2:$Y$1047,MATCH(ROW()-1,装备库!$AO$2:$AO$1046,0),COLUMN()),"")</f>
        <v>0</v>
      </c>
      <c r="M213">
        <f>IFERROR(INDEX(装备库!$A$2:$Y$1047,MATCH(ROW()-1,装备库!$AO$2:$AO$1046,0),COLUMN()),"")</f>
        <v>0</v>
      </c>
      <c r="N213">
        <f>IFERROR(INDEX(装备库!$A$2:$Y$1047,MATCH(ROW()-1,装备库!$AO$2:$AO$1046,0),COLUMN()),"")</f>
        <v>0</v>
      </c>
      <c r="O213">
        <f>IFERROR(INDEX(装备库!$A$2:$Y$1047,MATCH(ROW()-1,装备库!$AO$2:$AO$1046,0),COLUMN()),"")</f>
        <v>0</v>
      </c>
      <c r="P213">
        <f>IFERROR(INDEX(装备库!$A$2:$Y$1047,MATCH(ROW()-1,装备库!$AO$2:$AO$1046,0),COLUMN()),"")</f>
        <v>0</v>
      </c>
      <c r="Q213">
        <f>IFERROR(INDEX(装备库!$A$2:$Y$1047,MATCH(ROW()-1,装备库!$AO$2:$AO$1046,0),COLUMN()),"")</f>
        <v>1</v>
      </c>
      <c r="R213">
        <f>IFERROR(INDEX(装备库!$A$2:$Y$1047,MATCH(ROW()-1,装备库!$AO$2:$AO$1046,0),COLUMN()),"")</f>
        <v>0</v>
      </c>
      <c r="S213">
        <f>IFERROR(INDEX(装备库!$A$2:$Y$1047,MATCH(ROW()-1,装备库!$AO$2:$AO$1046,0),COLUMN()),"")</f>
        <v>0</v>
      </c>
      <c r="T213">
        <f>IFERROR(INDEX(装备库!$A$2:$Y$1047,MATCH(ROW()-1,装备库!$AO$2:$AO$1046,0),COLUMN()),"")</f>
        <v>0</v>
      </c>
      <c r="U213">
        <f>IFERROR(INDEX(装备库!$A$2:$Y$1047,MATCH(ROW()-1,装备库!$AO$2:$AO$1046,0),COLUMN()),"")</f>
        <v>1</v>
      </c>
      <c r="V213">
        <f>IFERROR(INDEX(装备库!$A$2:$Y$1047,MATCH(ROW()-1,装备库!$AO$2:$AO$1046,0),COLUMN()),"")</f>
        <v>0</v>
      </c>
      <c r="W213" t="str">
        <f>IFERROR(INDEX(装备库!$A$2:$Y$1047,MATCH(ROW()-1,装备库!$AO$2:$AO$1046,0),COLUMN()),"")</f>
        <v>精简攻招无</v>
      </c>
      <c r="X213">
        <f>IFERROR(INDEX(装备库!$A$2:$Y$1047,MATCH(ROW()-1,装备库!$AO$2:$AO$1046,0),COLUMN()),"")</f>
        <v>3</v>
      </c>
      <c r="Y213" t="str">
        <f>IFERROR(INDEX(装备库!$A$2:$Y$1047,MATCH(ROW()-1,装备库!$AO$2:$AO$1046,0),COLUMN()),"")</f>
        <v>活动</v>
      </c>
    </row>
    <row r="214" spans="1:25" x14ac:dyDescent="0.35">
      <c r="A214" t="str">
        <f>IFERROR(INDEX(装备库!$A$2:$Y$1047,MATCH(ROW()-1,装备库!$AO$2:$AO$1046,0),COLUMN()),"")</f>
        <v>裤子</v>
      </c>
      <c r="B214" t="str">
        <f>IFERROR(INDEX(装备库!$A$2:$Y$1047,MATCH(ROW()-1,装备库!$AO$2:$AO$1046,0),COLUMN()),"")</f>
        <v>无封裤</v>
      </c>
      <c r="C214">
        <f>IFERROR(INDEX(装备库!$A$2:$Y$1047,MATCH(ROW()-1,装备库!$AO$2:$AO$1046,0),COLUMN()),"")</f>
        <v>10000</v>
      </c>
      <c r="D214" t="str">
        <f>IFERROR(INDEX(装备库!$A$2:$Y$1047,MATCH(ROW()-1,装备库!$AO$2:$AO$1046,0),COLUMN()),"")</f>
        <v>无封裤(10000精简攻破)</v>
      </c>
      <c r="E214">
        <f>IFERROR(INDEX(装备库!$A$2:$Y$1047,MATCH(ROW()-1,装备库!$AO$2:$AO$1046,0),COLUMN()),"")</f>
        <v>0</v>
      </c>
      <c r="F214">
        <f>IFERROR(INDEX(装备库!$A$2:$Y$1047,MATCH(ROW()-1,装备库!$AO$2:$AO$1046,0),COLUMN()),"")</f>
        <v>2963</v>
      </c>
      <c r="G214">
        <f>IFERROR(INDEX(装备库!$A$2:$Y$1047,MATCH(ROW()-1,装备库!$AO$2:$AO$1046,0),COLUMN()),"")</f>
        <v>0</v>
      </c>
      <c r="H214">
        <f>IFERROR(INDEX(装备库!$A$2:$Y$1047,MATCH(ROW()-1,装备库!$AO$2:$AO$1046,0),COLUMN()),"")</f>
        <v>0</v>
      </c>
      <c r="I214">
        <f>IFERROR(INDEX(装备库!$A$2:$Y$1047,MATCH(ROW()-1,装备库!$AO$2:$AO$1046,0),COLUMN()),"")</f>
        <v>6715</v>
      </c>
      <c r="J214">
        <f>IFERROR(INDEX(装备库!$A$2:$Y$1047,MATCH(ROW()-1,装备库!$AO$2:$AO$1046,0),COLUMN()),"")</f>
        <v>0</v>
      </c>
      <c r="K214">
        <f>IFERROR(INDEX(装备库!$A$2:$Y$1047,MATCH(ROW()-1,装备库!$AO$2:$AO$1046,0),COLUMN()),"")</f>
        <v>0</v>
      </c>
      <c r="L214">
        <f>IFERROR(INDEX(装备库!$A$2:$Y$1047,MATCH(ROW()-1,装备库!$AO$2:$AO$1046,0),COLUMN()),"")</f>
        <v>0</v>
      </c>
      <c r="M214">
        <f>IFERROR(INDEX(装备库!$A$2:$Y$1047,MATCH(ROW()-1,装备库!$AO$2:$AO$1046,0),COLUMN()),"")</f>
        <v>0</v>
      </c>
      <c r="N214">
        <f>IFERROR(INDEX(装备库!$A$2:$Y$1047,MATCH(ROW()-1,装备库!$AO$2:$AO$1046,0),COLUMN()),"")</f>
        <v>0</v>
      </c>
      <c r="O214">
        <f>IFERROR(INDEX(装备库!$A$2:$Y$1047,MATCH(ROW()-1,装备库!$AO$2:$AO$1046,0),COLUMN()),"")</f>
        <v>0</v>
      </c>
      <c r="P214">
        <f>IFERROR(INDEX(装备库!$A$2:$Y$1047,MATCH(ROW()-1,装备库!$AO$2:$AO$1046,0),COLUMN()),"")</f>
        <v>1</v>
      </c>
      <c r="Q214">
        <f>IFERROR(INDEX(装备库!$A$2:$Y$1047,MATCH(ROW()-1,装备库!$AO$2:$AO$1046,0),COLUMN()),"")</f>
        <v>0</v>
      </c>
      <c r="R214">
        <f>IFERROR(INDEX(装备库!$A$2:$Y$1047,MATCH(ROW()-1,装备库!$AO$2:$AO$1046,0),COLUMN()),"")</f>
        <v>0</v>
      </c>
      <c r="S214">
        <f>IFERROR(INDEX(装备库!$A$2:$Y$1047,MATCH(ROW()-1,装备库!$AO$2:$AO$1046,0),COLUMN()),"")</f>
        <v>0</v>
      </c>
      <c r="T214">
        <f>IFERROR(INDEX(装备库!$A$2:$Y$1047,MATCH(ROW()-1,装备库!$AO$2:$AO$1046,0),COLUMN()),"")</f>
        <v>1</v>
      </c>
      <c r="U214">
        <f>IFERROR(INDEX(装备库!$A$2:$Y$1047,MATCH(ROW()-1,装备库!$AO$2:$AO$1046,0),COLUMN()),"")</f>
        <v>0</v>
      </c>
      <c r="V214">
        <f>IFERROR(INDEX(装备库!$A$2:$Y$1047,MATCH(ROW()-1,装备库!$AO$2:$AO$1046,0),COLUMN()),"")</f>
        <v>0</v>
      </c>
      <c r="W214" t="str">
        <f>IFERROR(INDEX(装备库!$A$2:$Y$1047,MATCH(ROW()-1,装备库!$AO$2:$AO$1046,0),COLUMN()),"")</f>
        <v>精简攻破</v>
      </c>
      <c r="X214">
        <f>IFERROR(INDEX(装备库!$A$2:$Y$1047,MATCH(ROW()-1,装备库!$AO$2:$AO$1046,0),COLUMN()),"")</f>
        <v>3</v>
      </c>
      <c r="Y214" t="str">
        <f>IFERROR(INDEX(装备库!$A$2:$Y$1047,MATCH(ROW()-1,装备库!$AO$2:$AO$1046,0),COLUMN()),"")</f>
        <v>活动</v>
      </c>
    </row>
    <row r="215" spans="1:25" x14ac:dyDescent="0.35">
      <c r="A215" t="str">
        <f>IFERROR(INDEX(装备库!$A$2:$Y$1047,MATCH(ROW()-1,装备库!$AO$2:$AO$1046,0),COLUMN()),"")</f>
        <v>裤子</v>
      </c>
      <c r="B215" t="str">
        <f>IFERROR(INDEX(装备库!$A$2:$Y$1047,MATCH(ROW()-1,装备库!$AO$2:$AO$1046,0),COLUMN()),"")</f>
        <v>无封裤</v>
      </c>
      <c r="C215">
        <f>IFERROR(INDEX(装备库!$A$2:$Y$1047,MATCH(ROW()-1,装备库!$AO$2:$AO$1046,0),COLUMN()),"")</f>
        <v>10000</v>
      </c>
      <c r="D215" t="str">
        <f>IFERROR(INDEX(装备库!$A$2:$Y$1047,MATCH(ROW()-1,装备库!$AO$2:$AO$1046,0),COLUMN()),"")</f>
        <v>无封裤(10000精简攻会破无)</v>
      </c>
      <c r="E215">
        <f>IFERROR(INDEX(装备库!$A$2:$Y$1047,MATCH(ROW()-1,装备库!$AO$2:$AO$1046,0),COLUMN()),"")</f>
        <v>0</v>
      </c>
      <c r="F215">
        <f>IFERROR(INDEX(装备库!$A$2:$Y$1047,MATCH(ROW()-1,装备库!$AO$2:$AO$1046,0),COLUMN()),"")</f>
        <v>2527</v>
      </c>
      <c r="G215">
        <f>IFERROR(INDEX(装备库!$A$2:$Y$1047,MATCH(ROW()-1,装备库!$AO$2:$AO$1046,0),COLUMN()),"")</f>
        <v>3114</v>
      </c>
      <c r="H215">
        <f>IFERROR(INDEX(装备库!$A$2:$Y$1047,MATCH(ROW()-1,装备库!$AO$2:$AO$1046,0),COLUMN()),"")</f>
        <v>0</v>
      </c>
      <c r="I215">
        <f>IFERROR(INDEX(装备库!$A$2:$Y$1047,MATCH(ROW()-1,装备库!$AO$2:$AO$1046,0),COLUMN()),"")</f>
        <v>2725</v>
      </c>
      <c r="J215">
        <f>IFERROR(INDEX(装备库!$A$2:$Y$1047,MATCH(ROW()-1,装备库!$AO$2:$AO$1046,0),COLUMN()),"")</f>
        <v>0</v>
      </c>
      <c r="K215">
        <f>IFERROR(INDEX(装备库!$A$2:$Y$1047,MATCH(ROW()-1,装备库!$AO$2:$AO$1046,0),COLUMN()),"")</f>
        <v>1946</v>
      </c>
      <c r="L215">
        <f>IFERROR(INDEX(装备库!$A$2:$Y$1047,MATCH(ROW()-1,装备库!$AO$2:$AO$1046,0),COLUMN()),"")</f>
        <v>0</v>
      </c>
      <c r="M215">
        <f>IFERROR(INDEX(装备库!$A$2:$Y$1047,MATCH(ROW()-1,装备库!$AO$2:$AO$1046,0),COLUMN()),"")</f>
        <v>0</v>
      </c>
      <c r="N215">
        <f>IFERROR(INDEX(装备库!$A$2:$Y$1047,MATCH(ROW()-1,装备库!$AO$2:$AO$1046,0),COLUMN()),"")</f>
        <v>0</v>
      </c>
      <c r="O215">
        <f>IFERROR(INDEX(装备库!$A$2:$Y$1047,MATCH(ROW()-1,装备库!$AO$2:$AO$1046,0),COLUMN()),"")</f>
        <v>0</v>
      </c>
      <c r="P215">
        <f>IFERROR(INDEX(装备库!$A$2:$Y$1047,MATCH(ROW()-1,装备库!$AO$2:$AO$1046,0),COLUMN()),"")</f>
        <v>1</v>
      </c>
      <c r="Q215">
        <f>IFERROR(INDEX(装备库!$A$2:$Y$1047,MATCH(ROW()-1,装备库!$AO$2:$AO$1046,0),COLUMN()),"")</f>
        <v>0</v>
      </c>
      <c r="R215">
        <f>IFERROR(INDEX(装备库!$A$2:$Y$1047,MATCH(ROW()-1,装备库!$AO$2:$AO$1046,0),COLUMN()),"")</f>
        <v>1</v>
      </c>
      <c r="S215">
        <f>IFERROR(INDEX(装备库!$A$2:$Y$1047,MATCH(ROW()-1,装备库!$AO$2:$AO$1046,0),COLUMN()),"")</f>
        <v>0</v>
      </c>
      <c r="T215">
        <f>IFERROR(INDEX(装备库!$A$2:$Y$1047,MATCH(ROW()-1,装备库!$AO$2:$AO$1046,0),COLUMN()),"")</f>
        <v>0</v>
      </c>
      <c r="U215">
        <f>IFERROR(INDEX(装备库!$A$2:$Y$1047,MATCH(ROW()-1,装备库!$AO$2:$AO$1046,0),COLUMN()),"")</f>
        <v>0</v>
      </c>
      <c r="V215">
        <f>IFERROR(INDEX(装备库!$A$2:$Y$1047,MATCH(ROW()-1,装备库!$AO$2:$AO$1046,0),COLUMN()),"")</f>
        <v>0</v>
      </c>
      <c r="W215" t="str">
        <f>IFERROR(INDEX(装备库!$A$2:$Y$1047,MATCH(ROW()-1,装备库!$AO$2:$AO$1046,0),COLUMN()),"")</f>
        <v>精简攻会破无</v>
      </c>
      <c r="X215">
        <f>IFERROR(INDEX(装备库!$A$2:$Y$1047,MATCH(ROW()-1,装备库!$AO$2:$AO$1046,0),COLUMN()),"")</f>
        <v>3</v>
      </c>
      <c r="Y215" t="str">
        <f>IFERROR(INDEX(装备库!$A$2:$Y$1047,MATCH(ROW()-1,装备库!$AO$2:$AO$1046,0),COLUMN()),"")</f>
        <v>活动</v>
      </c>
    </row>
    <row r="216" spans="1:25" x14ac:dyDescent="0.35">
      <c r="A216" t="str">
        <f>IFERROR(INDEX(装备库!$A$2:$Y$1047,MATCH(ROW()-1,装备库!$AO$2:$AO$1046,0),COLUMN()),"")</f>
        <v>裤子</v>
      </c>
      <c r="B216" t="str">
        <f>IFERROR(INDEX(装备库!$A$2:$Y$1047,MATCH(ROW()-1,装备库!$AO$2:$AO$1046,0),COLUMN()),"")</f>
        <v>闲月裤</v>
      </c>
      <c r="C216">
        <f>IFERROR(INDEX(装备库!$A$2:$Y$1047,MATCH(ROW()-1,装备库!$AO$2:$AO$1046,0),COLUMN()),"")</f>
        <v>10150</v>
      </c>
      <c r="D216" t="str">
        <f>IFERROR(INDEX(装备库!$A$2:$Y$1047,MATCH(ROW()-1,装备库!$AO$2:$AO$1046,0),COLUMN()),"")</f>
        <v>闲月裤(10150招破)</v>
      </c>
      <c r="E216">
        <f>IFERROR(INDEX(装备库!$A$2:$Y$1047,MATCH(ROW()-1,装备库!$AO$2:$AO$1046,0),COLUMN()),"")</f>
        <v>709</v>
      </c>
      <c r="F216">
        <f>IFERROR(INDEX(装备库!$A$2:$Y$1047,MATCH(ROW()-1,装备库!$AO$2:$AO$1046,0),COLUMN()),"")</f>
        <v>1150</v>
      </c>
      <c r="G216">
        <f>IFERROR(INDEX(装备库!$A$2:$Y$1047,MATCH(ROW()-1,装备库!$AO$2:$AO$1046,0),COLUMN()),"")</f>
        <v>0</v>
      </c>
      <c r="H216">
        <f>IFERROR(INDEX(装备库!$A$2:$Y$1047,MATCH(ROW()-1,装备库!$AO$2:$AO$1046,0),COLUMN()),"")</f>
        <v>0</v>
      </c>
      <c r="I216">
        <f>IFERROR(INDEX(装备库!$A$2:$Y$1047,MATCH(ROW()-1,装备库!$AO$2:$AO$1046,0),COLUMN()),"")</f>
        <v>3556</v>
      </c>
      <c r="J216">
        <f>IFERROR(INDEX(装备库!$A$2:$Y$1047,MATCH(ROW()-1,装备库!$AO$2:$AO$1046,0),COLUMN()),"")</f>
        <v>3161</v>
      </c>
      <c r="K216">
        <f>IFERROR(INDEX(装备库!$A$2:$Y$1047,MATCH(ROW()-1,装备库!$AO$2:$AO$1046,0),COLUMN()),"")</f>
        <v>0</v>
      </c>
      <c r="L216">
        <f>IFERROR(INDEX(装备库!$A$2:$Y$1047,MATCH(ROW()-1,装备库!$AO$2:$AO$1046,0),COLUMN()),"")</f>
        <v>0</v>
      </c>
      <c r="M216">
        <f>IFERROR(INDEX(装备库!$A$2:$Y$1047,MATCH(ROW()-1,装备库!$AO$2:$AO$1046,0),COLUMN()),"")</f>
        <v>0</v>
      </c>
      <c r="N216">
        <f>IFERROR(INDEX(装备库!$A$2:$Y$1047,MATCH(ROW()-1,装备库!$AO$2:$AO$1046,0),COLUMN()),"")</f>
        <v>0</v>
      </c>
      <c r="O216">
        <f>IFERROR(INDEX(装备库!$A$2:$Y$1047,MATCH(ROW()-1,装备库!$AO$2:$AO$1046,0),COLUMN()),"")</f>
        <v>0</v>
      </c>
      <c r="P216">
        <f>IFERROR(INDEX(装备库!$A$2:$Y$1047,MATCH(ROW()-1,装备库!$AO$2:$AO$1046,0),COLUMN()),"")</f>
        <v>0</v>
      </c>
      <c r="Q216">
        <f>IFERROR(INDEX(装备库!$A$2:$Y$1047,MATCH(ROW()-1,装备库!$AO$2:$AO$1046,0),COLUMN()),"")</f>
        <v>0</v>
      </c>
      <c r="R216">
        <f>IFERROR(INDEX(装备库!$A$2:$Y$1047,MATCH(ROW()-1,装备库!$AO$2:$AO$1046,0),COLUMN()),"")</f>
        <v>0</v>
      </c>
      <c r="S216">
        <f>IFERROR(INDEX(装备库!$A$2:$Y$1047,MATCH(ROW()-1,装备库!$AO$2:$AO$1046,0),COLUMN()),"")</f>
        <v>1</v>
      </c>
      <c r="T216">
        <f>IFERROR(INDEX(装备库!$A$2:$Y$1047,MATCH(ROW()-1,装备库!$AO$2:$AO$1046,0),COLUMN()),"")</f>
        <v>1</v>
      </c>
      <c r="U216">
        <f>IFERROR(INDEX(装备库!$A$2:$Y$1047,MATCH(ROW()-1,装备库!$AO$2:$AO$1046,0),COLUMN()),"")</f>
        <v>0</v>
      </c>
      <c r="V216">
        <f>IFERROR(INDEX(装备库!$A$2:$Y$1047,MATCH(ROW()-1,装备库!$AO$2:$AO$1046,0),COLUMN()),"")</f>
        <v>0</v>
      </c>
      <c r="W216" t="str">
        <f>IFERROR(INDEX(装备库!$A$2:$Y$1047,MATCH(ROW()-1,装备库!$AO$2:$AO$1046,0),COLUMN()),"")</f>
        <v>招破</v>
      </c>
      <c r="X216">
        <f>IFERROR(INDEX(装备库!$A$2:$Y$1047,MATCH(ROW()-1,装备库!$AO$2:$AO$1046,0),COLUMN()),"")</f>
        <v>6</v>
      </c>
      <c r="Y216" t="str">
        <f>IFERROR(INDEX(装备库!$A$2:$Y$1047,MATCH(ROW()-1,装备库!$AO$2:$AO$1046,0),COLUMN()),"")</f>
        <v>副本</v>
      </c>
    </row>
    <row r="217" spans="1:25" x14ac:dyDescent="0.35">
      <c r="A217" t="str">
        <f>IFERROR(INDEX(装备库!$A$2:$Y$1047,MATCH(ROW()-1,装备库!$AO$2:$AO$1046,0),COLUMN()),"")</f>
        <v>裤子</v>
      </c>
      <c r="B217" t="str">
        <f>IFERROR(INDEX(装备库!$A$2:$Y$1047,MATCH(ROW()-1,装备库!$AO$2:$AO$1046,0),COLUMN()),"")</f>
        <v>玄卢下裳</v>
      </c>
      <c r="C217">
        <f>IFERROR(INDEX(装备库!$A$2:$Y$1047,MATCH(ROW()-1,装备库!$AO$2:$AO$1046,0),COLUMN()),"")</f>
        <v>10150</v>
      </c>
      <c r="D217" t="str">
        <f>IFERROR(INDEX(装备库!$A$2:$Y$1047,MATCH(ROW()-1,装备库!$AO$2:$AO$1046,0),COLUMN()),"")</f>
        <v>玄卢下裳(10150速无)</v>
      </c>
      <c r="E217">
        <f>IFERROR(INDEX(装备库!$A$2:$Y$1047,MATCH(ROW()-1,装备库!$AO$2:$AO$1046,0),COLUMN()),"")</f>
        <v>709</v>
      </c>
      <c r="F217">
        <f>IFERROR(INDEX(装备库!$A$2:$Y$1047,MATCH(ROW()-1,装备库!$AO$2:$AO$1046,0),COLUMN()),"")</f>
        <v>1150</v>
      </c>
      <c r="G217">
        <f>IFERROR(INDEX(装备库!$A$2:$Y$1047,MATCH(ROW()-1,装备库!$AO$2:$AO$1046,0),COLUMN()),"")</f>
        <v>0</v>
      </c>
      <c r="H217">
        <f>IFERROR(INDEX(装备库!$A$2:$Y$1047,MATCH(ROW()-1,装备库!$AO$2:$AO$1046,0),COLUMN()),"")</f>
        <v>0</v>
      </c>
      <c r="I217">
        <f>IFERROR(INDEX(装备库!$A$2:$Y$1047,MATCH(ROW()-1,装备库!$AO$2:$AO$1046,0),COLUMN()),"")</f>
        <v>0</v>
      </c>
      <c r="J217">
        <f>IFERROR(INDEX(装备库!$A$2:$Y$1047,MATCH(ROW()-1,装备库!$AO$2:$AO$1046,0),COLUMN()),"")</f>
        <v>0</v>
      </c>
      <c r="K217">
        <f>IFERROR(INDEX(装备库!$A$2:$Y$1047,MATCH(ROW()-1,装备库!$AO$2:$AO$1046,0),COLUMN()),"")</f>
        <v>3161</v>
      </c>
      <c r="L217">
        <f>IFERROR(INDEX(装备库!$A$2:$Y$1047,MATCH(ROW()-1,装备库!$AO$2:$AO$1046,0),COLUMN()),"")</f>
        <v>3556</v>
      </c>
      <c r="M217">
        <f>IFERROR(INDEX(装备库!$A$2:$Y$1047,MATCH(ROW()-1,装备库!$AO$2:$AO$1046,0),COLUMN()),"")</f>
        <v>0</v>
      </c>
      <c r="N217">
        <f>IFERROR(INDEX(装备库!$A$2:$Y$1047,MATCH(ROW()-1,装备库!$AO$2:$AO$1046,0),COLUMN()),"")</f>
        <v>0</v>
      </c>
      <c r="O217">
        <f>IFERROR(INDEX(装备库!$A$2:$Y$1047,MATCH(ROW()-1,装备库!$AO$2:$AO$1046,0),COLUMN()),"")</f>
        <v>0</v>
      </c>
      <c r="P217">
        <f>IFERROR(INDEX(装备库!$A$2:$Y$1047,MATCH(ROW()-1,装备库!$AO$2:$AO$1046,0),COLUMN()),"")</f>
        <v>0</v>
      </c>
      <c r="Q217">
        <f>IFERROR(INDEX(装备库!$A$2:$Y$1047,MATCH(ROW()-1,装备库!$AO$2:$AO$1046,0),COLUMN()),"")</f>
        <v>1</v>
      </c>
      <c r="R217">
        <f>IFERROR(INDEX(装备库!$A$2:$Y$1047,MATCH(ROW()-1,装备库!$AO$2:$AO$1046,0),COLUMN()),"")</f>
        <v>0</v>
      </c>
      <c r="S217">
        <f>IFERROR(INDEX(装备库!$A$2:$Y$1047,MATCH(ROW()-1,装备库!$AO$2:$AO$1046,0),COLUMN()),"")</f>
        <v>0</v>
      </c>
      <c r="T217">
        <f>IFERROR(INDEX(装备库!$A$2:$Y$1047,MATCH(ROW()-1,装备库!$AO$2:$AO$1046,0),COLUMN()),"")</f>
        <v>1</v>
      </c>
      <c r="U217">
        <f>IFERROR(INDEX(装备库!$A$2:$Y$1047,MATCH(ROW()-1,装备库!$AO$2:$AO$1046,0),COLUMN()),"")</f>
        <v>0</v>
      </c>
      <c r="V217">
        <f>IFERROR(INDEX(装备库!$A$2:$Y$1047,MATCH(ROW()-1,装备库!$AO$2:$AO$1046,0),COLUMN()),"")</f>
        <v>0</v>
      </c>
      <c r="W217" t="str">
        <f>IFERROR(INDEX(装备库!$A$2:$Y$1047,MATCH(ROW()-1,装备库!$AO$2:$AO$1046,0),COLUMN()),"")</f>
        <v>速无</v>
      </c>
      <c r="X217">
        <f>IFERROR(INDEX(装备库!$A$2:$Y$1047,MATCH(ROW()-1,装备库!$AO$2:$AO$1046,0),COLUMN()),"")</f>
        <v>6</v>
      </c>
      <c r="Y217" t="str">
        <f>IFERROR(INDEX(装备库!$A$2:$Y$1047,MATCH(ROW()-1,装备库!$AO$2:$AO$1046,0),COLUMN()),"")</f>
        <v>副本</v>
      </c>
    </row>
    <row r="218" spans="1:25" x14ac:dyDescent="0.35">
      <c r="A218" t="str">
        <f>IFERROR(INDEX(装备库!$A$2:$Y$1047,MATCH(ROW()-1,装备库!$AO$2:$AO$1046,0),COLUMN()),"")</f>
        <v>裤子</v>
      </c>
      <c r="B218" t="str">
        <f>IFERROR(INDEX(装备库!$A$2:$Y$1047,MATCH(ROW()-1,装备库!$AO$2:$AO$1046,0),COLUMN()),"")</f>
        <v>客行江湖·近楼裤</v>
      </c>
      <c r="C218">
        <f>IFERROR(INDEX(装备库!$A$2:$Y$1047,MATCH(ROW()-1,装备库!$AO$2:$AO$1046,0),COLUMN()),"")</f>
        <v>10150</v>
      </c>
      <c r="D218" t="str">
        <f>IFERROR(INDEX(装备库!$A$2:$Y$1047,MATCH(ROW()-1,装备库!$AO$2:$AO$1046,0),COLUMN()),"")</f>
        <v>客行江湖·近楼裤(10150破无)</v>
      </c>
      <c r="E218">
        <f>IFERROR(INDEX(装备库!$A$2:$Y$1047,MATCH(ROW()-1,装备库!$AO$2:$AO$1046,0),COLUMN()),"")</f>
        <v>709</v>
      </c>
      <c r="F218">
        <f>IFERROR(INDEX(装备库!$A$2:$Y$1047,MATCH(ROW()-1,装备库!$AO$2:$AO$1046,0),COLUMN()),"")</f>
        <v>1150</v>
      </c>
      <c r="G218">
        <f>IFERROR(INDEX(装备库!$A$2:$Y$1047,MATCH(ROW()-1,装备库!$AO$2:$AO$1046,0),COLUMN()),"")</f>
        <v>0</v>
      </c>
      <c r="H218">
        <f>IFERROR(INDEX(装备库!$A$2:$Y$1047,MATCH(ROW()-1,装备库!$AO$2:$AO$1046,0),COLUMN()),"")</f>
        <v>0</v>
      </c>
      <c r="I218">
        <f>IFERROR(INDEX(装备库!$A$2:$Y$1047,MATCH(ROW()-1,装备库!$AO$2:$AO$1046,0),COLUMN()),"")</f>
        <v>3556</v>
      </c>
      <c r="J218">
        <f>IFERROR(INDEX(装备库!$A$2:$Y$1047,MATCH(ROW()-1,装备库!$AO$2:$AO$1046,0),COLUMN()),"")</f>
        <v>0</v>
      </c>
      <c r="K218">
        <f>IFERROR(INDEX(装备库!$A$2:$Y$1047,MATCH(ROW()-1,装备库!$AO$2:$AO$1046,0),COLUMN()),"")</f>
        <v>3161</v>
      </c>
      <c r="L218">
        <f>IFERROR(INDEX(装备库!$A$2:$Y$1047,MATCH(ROW()-1,装备库!$AO$2:$AO$1046,0),COLUMN()),"")</f>
        <v>0</v>
      </c>
      <c r="M218">
        <f>IFERROR(INDEX(装备库!$A$2:$Y$1047,MATCH(ROW()-1,装备库!$AO$2:$AO$1046,0),COLUMN()),"")</f>
        <v>0</v>
      </c>
      <c r="N218">
        <f>IFERROR(INDEX(装备库!$A$2:$Y$1047,MATCH(ROW()-1,装备库!$AO$2:$AO$1046,0),COLUMN()),"")</f>
        <v>0</v>
      </c>
      <c r="O218">
        <f>IFERROR(INDEX(装备库!$A$2:$Y$1047,MATCH(ROW()-1,装备库!$AO$2:$AO$1046,0),COLUMN()),"")</f>
        <v>0</v>
      </c>
      <c r="P218">
        <f>IFERROR(INDEX(装备库!$A$2:$Y$1047,MATCH(ROW()-1,装备库!$AO$2:$AO$1046,0),COLUMN()),"")</f>
        <v>1</v>
      </c>
      <c r="Q218">
        <f>IFERROR(INDEX(装备库!$A$2:$Y$1047,MATCH(ROW()-1,装备库!$AO$2:$AO$1046,0),COLUMN()),"")</f>
        <v>1</v>
      </c>
      <c r="R218">
        <f>IFERROR(INDEX(装备库!$A$2:$Y$1047,MATCH(ROW()-1,装备库!$AO$2:$AO$1046,0),COLUMN()),"")</f>
        <v>0</v>
      </c>
      <c r="S218">
        <f>IFERROR(INDEX(装备库!$A$2:$Y$1047,MATCH(ROW()-1,装备库!$AO$2:$AO$1046,0),COLUMN()),"")</f>
        <v>0</v>
      </c>
      <c r="T218">
        <f>IFERROR(INDEX(装备库!$A$2:$Y$1047,MATCH(ROW()-1,装备库!$AO$2:$AO$1046,0),COLUMN()),"")</f>
        <v>0</v>
      </c>
      <c r="U218">
        <f>IFERROR(INDEX(装备库!$A$2:$Y$1047,MATCH(ROW()-1,装备库!$AO$2:$AO$1046,0),COLUMN()),"")</f>
        <v>0</v>
      </c>
      <c r="V218">
        <f>IFERROR(INDEX(装备库!$A$2:$Y$1047,MATCH(ROW()-1,装备库!$AO$2:$AO$1046,0),COLUMN()),"")</f>
        <v>0</v>
      </c>
      <c r="W218" t="str">
        <f>IFERROR(INDEX(装备库!$A$2:$Y$1047,MATCH(ROW()-1,装备库!$AO$2:$AO$1046,0),COLUMN()),"")</f>
        <v>破无</v>
      </c>
      <c r="X218">
        <f>IFERROR(INDEX(装备库!$A$2:$Y$1047,MATCH(ROW()-1,装备库!$AO$2:$AO$1046,0),COLUMN()),"")</f>
        <v>6</v>
      </c>
      <c r="Y218" t="str">
        <f>IFERROR(INDEX(装备库!$A$2:$Y$1047,MATCH(ROW()-1,装备库!$AO$2:$AO$1046,0),COLUMN()),"")</f>
        <v>浪客笺</v>
      </c>
    </row>
    <row r="219" spans="1:25" x14ac:dyDescent="0.35">
      <c r="A219" t="str">
        <f>IFERROR(INDEX(装备库!$A$2:$Y$1047,MATCH(ROW()-1,装备库!$AO$2:$AO$1046,0),COLUMN()),"")</f>
        <v>裤子</v>
      </c>
      <c r="B219" t="str">
        <f>IFERROR(INDEX(装备库!$A$2:$Y$1047,MATCH(ROW()-1,装备库!$AO$2:$AO$1046,0),COLUMN()),"")</f>
        <v>无封裤</v>
      </c>
      <c r="C219">
        <f>IFERROR(INDEX(装备库!$A$2:$Y$1047,MATCH(ROW()-1,装备库!$AO$2:$AO$1046,0),COLUMN()),"")</f>
        <v>10300</v>
      </c>
      <c r="D219" t="str">
        <f>IFERROR(INDEX(装备库!$A$2:$Y$1047,MATCH(ROW()-1,装备库!$AO$2:$AO$1046,0),COLUMN()),"")</f>
        <v>无封裤(10300精简攻招破无)</v>
      </c>
      <c r="E219">
        <f>IFERROR(INDEX(装备库!$A$2:$Y$1047,MATCH(ROW()-1,装备库!$AO$2:$AO$1046,0),COLUMN()),"")</f>
        <v>0</v>
      </c>
      <c r="F219">
        <f>IFERROR(INDEX(装备库!$A$2:$Y$1047,MATCH(ROW()-1,装备库!$AO$2:$AO$1046,0),COLUMN()),"")</f>
        <v>2603</v>
      </c>
      <c r="G219">
        <f>IFERROR(INDEX(装备库!$A$2:$Y$1047,MATCH(ROW()-1,装备库!$AO$2:$AO$1046,0),COLUMN()),"")</f>
        <v>0</v>
      </c>
      <c r="H219">
        <f>IFERROR(INDEX(装备库!$A$2:$Y$1047,MATCH(ROW()-1,装备库!$AO$2:$AO$1046,0),COLUMN()),"")</f>
        <v>0</v>
      </c>
      <c r="I219">
        <f>IFERROR(INDEX(装备库!$A$2:$Y$1047,MATCH(ROW()-1,装备库!$AO$2:$AO$1046,0),COLUMN()),"")</f>
        <v>3408</v>
      </c>
      <c r="J219">
        <f>IFERROR(INDEX(装备库!$A$2:$Y$1047,MATCH(ROW()-1,装备库!$AO$2:$AO$1046,0),COLUMN()),"")</f>
        <v>2606</v>
      </c>
      <c r="K219">
        <f>IFERROR(INDEX(装备库!$A$2:$Y$1047,MATCH(ROW()-1,装备库!$AO$2:$AO$1046,0),COLUMN()),"")</f>
        <v>2005</v>
      </c>
      <c r="L219">
        <f>IFERROR(INDEX(装备库!$A$2:$Y$1047,MATCH(ROW()-1,装备库!$AO$2:$AO$1046,0),COLUMN()),"")</f>
        <v>0</v>
      </c>
      <c r="M219">
        <f>IFERROR(INDEX(装备库!$A$2:$Y$1047,MATCH(ROW()-1,装备库!$AO$2:$AO$1046,0),COLUMN()),"")</f>
        <v>0</v>
      </c>
      <c r="N219">
        <f>IFERROR(INDEX(装备库!$A$2:$Y$1047,MATCH(ROW()-1,装备库!$AO$2:$AO$1046,0),COLUMN()),"")</f>
        <v>0</v>
      </c>
      <c r="O219">
        <f>IFERROR(INDEX(装备库!$A$2:$Y$1047,MATCH(ROW()-1,装备库!$AO$2:$AO$1046,0),COLUMN()),"")</f>
        <v>0</v>
      </c>
      <c r="P219">
        <f>IFERROR(INDEX(装备库!$A$2:$Y$1047,MATCH(ROW()-1,装备库!$AO$2:$AO$1046,0),COLUMN()),"")</f>
        <v>0</v>
      </c>
      <c r="Q219">
        <f>IFERROR(INDEX(装备库!$A$2:$Y$1047,MATCH(ROW()-1,装备库!$AO$2:$AO$1046,0),COLUMN()),"")</f>
        <v>1</v>
      </c>
      <c r="R219">
        <f>IFERROR(INDEX(装备库!$A$2:$Y$1047,MATCH(ROW()-1,装备库!$AO$2:$AO$1046,0),COLUMN()),"")</f>
        <v>0</v>
      </c>
      <c r="S219">
        <f>IFERROR(INDEX(装备库!$A$2:$Y$1047,MATCH(ROW()-1,装备库!$AO$2:$AO$1046,0),COLUMN()),"")</f>
        <v>0</v>
      </c>
      <c r="T219">
        <f>IFERROR(INDEX(装备库!$A$2:$Y$1047,MATCH(ROW()-1,装备库!$AO$2:$AO$1046,0),COLUMN()),"")</f>
        <v>0</v>
      </c>
      <c r="U219">
        <f>IFERROR(INDEX(装备库!$A$2:$Y$1047,MATCH(ROW()-1,装备库!$AO$2:$AO$1046,0),COLUMN()),"")</f>
        <v>1</v>
      </c>
      <c r="V219">
        <f>IFERROR(INDEX(装备库!$A$2:$Y$1047,MATCH(ROW()-1,装备库!$AO$2:$AO$1046,0),COLUMN()),"")</f>
        <v>0</v>
      </c>
      <c r="W219" t="str">
        <f>IFERROR(INDEX(装备库!$A$2:$Y$1047,MATCH(ROW()-1,装备库!$AO$2:$AO$1046,0),COLUMN()),"")</f>
        <v>精简攻招破无</v>
      </c>
      <c r="X219">
        <f>IFERROR(INDEX(装备库!$A$2:$Y$1047,MATCH(ROW()-1,装备库!$AO$2:$AO$1046,0),COLUMN()),"")</f>
        <v>3</v>
      </c>
      <c r="Y219" t="str">
        <f>IFERROR(INDEX(装备库!$A$2:$Y$1047,MATCH(ROW()-1,装备库!$AO$2:$AO$1046,0),COLUMN()),"")</f>
        <v>活动</v>
      </c>
    </row>
    <row r="220" spans="1:25" x14ac:dyDescent="0.35">
      <c r="A220" t="str">
        <f>IFERROR(INDEX(装备库!$A$2:$Y$1047,MATCH(ROW()-1,装备库!$AO$2:$AO$1046,0),COLUMN()),"")</f>
        <v>裤子</v>
      </c>
      <c r="B220" t="str">
        <f>IFERROR(INDEX(装备库!$A$2:$Y$1047,MATCH(ROW()-1,装备库!$AO$2:$AO$1046,0),COLUMN()),"")</f>
        <v>无封裤</v>
      </c>
      <c r="C220">
        <f>IFERROR(INDEX(装备库!$A$2:$Y$1047,MATCH(ROW()-1,装备库!$AO$2:$AO$1046,0),COLUMN()),"")</f>
        <v>10300</v>
      </c>
      <c r="D220" t="str">
        <f>IFERROR(INDEX(装备库!$A$2:$Y$1047,MATCH(ROW()-1,装备库!$AO$2:$AO$1046,0),COLUMN()),"")</f>
        <v>无封裤(10300精简攻无)</v>
      </c>
      <c r="E220">
        <f>IFERROR(INDEX(装备库!$A$2:$Y$1047,MATCH(ROW()-1,装备库!$AO$2:$AO$1046,0),COLUMN()),"")</f>
        <v>0</v>
      </c>
      <c r="F220">
        <f>IFERROR(INDEX(装备库!$A$2:$Y$1047,MATCH(ROW()-1,装备库!$AO$2:$AO$1046,0),COLUMN()),"")</f>
        <v>3051</v>
      </c>
      <c r="G220">
        <f>IFERROR(INDEX(装备库!$A$2:$Y$1047,MATCH(ROW()-1,装备库!$AO$2:$AO$1046,0),COLUMN()),"")</f>
        <v>0</v>
      </c>
      <c r="H220">
        <f>IFERROR(INDEX(装备库!$A$2:$Y$1047,MATCH(ROW()-1,装备库!$AO$2:$AO$1046,0),COLUMN()),"")</f>
        <v>0</v>
      </c>
      <c r="I220">
        <f>IFERROR(INDEX(装备库!$A$2:$Y$1047,MATCH(ROW()-1,装备库!$AO$2:$AO$1046,0),COLUMN()),"")</f>
        <v>0</v>
      </c>
      <c r="J220">
        <f>IFERROR(INDEX(装备库!$A$2:$Y$1047,MATCH(ROW()-1,装备库!$AO$2:$AO$1046,0),COLUMN()),"")</f>
        <v>0</v>
      </c>
      <c r="K220">
        <f>IFERROR(INDEX(装备库!$A$2:$Y$1047,MATCH(ROW()-1,装备库!$AO$2:$AO$1046,0),COLUMN()),"")</f>
        <v>6917</v>
      </c>
      <c r="L220">
        <f>IFERROR(INDEX(装备库!$A$2:$Y$1047,MATCH(ROW()-1,装备库!$AO$2:$AO$1046,0),COLUMN()),"")</f>
        <v>0</v>
      </c>
      <c r="M220">
        <f>IFERROR(INDEX(装备库!$A$2:$Y$1047,MATCH(ROW()-1,装备库!$AO$2:$AO$1046,0),COLUMN()),"")</f>
        <v>0</v>
      </c>
      <c r="N220">
        <f>IFERROR(INDEX(装备库!$A$2:$Y$1047,MATCH(ROW()-1,装备库!$AO$2:$AO$1046,0),COLUMN()),"")</f>
        <v>0</v>
      </c>
      <c r="O220">
        <f>IFERROR(INDEX(装备库!$A$2:$Y$1047,MATCH(ROW()-1,装备库!$AO$2:$AO$1046,0),COLUMN()),"")</f>
        <v>0</v>
      </c>
      <c r="P220">
        <f>IFERROR(INDEX(装备库!$A$2:$Y$1047,MATCH(ROW()-1,装备库!$AO$2:$AO$1046,0),COLUMN()),"")</f>
        <v>0</v>
      </c>
      <c r="Q220">
        <f>IFERROR(INDEX(装备库!$A$2:$Y$1047,MATCH(ROW()-1,装备库!$AO$2:$AO$1046,0),COLUMN()),"")</f>
        <v>0</v>
      </c>
      <c r="R220">
        <f>IFERROR(INDEX(装备库!$A$2:$Y$1047,MATCH(ROW()-1,装备库!$AO$2:$AO$1046,0),COLUMN()),"")</f>
        <v>0</v>
      </c>
      <c r="S220">
        <f>IFERROR(INDEX(装备库!$A$2:$Y$1047,MATCH(ROW()-1,装备库!$AO$2:$AO$1046,0),COLUMN()),"")</f>
        <v>1</v>
      </c>
      <c r="T220">
        <f>IFERROR(INDEX(装备库!$A$2:$Y$1047,MATCH(ROW()-1,装备库!$AO$2:$AO$1046,0),COLUMN()),"")</f>
        <v>0</v>
      </c>
      <c r="U220">
        <f>IFERROR(INDEX(装备库!$A$2:$Y$1047,MATCH(ROW()-1,装备库!$AO$2:$AO$1046,0),COLUMN()),"")</f>
        <v>1</v>
      </c>
      <c r="V220">
        <f>IFERROR(INDEX(装备库!$A$2:$Y$1047,MATCH(ROW()-1,装备库!$AO$2:$AO$1046,0),COLUMN()),"")</f>
        <v>0</v>
      </c>
      <c r="W220" t="str">
        <f>IFERROR(INDEX(装备库!$A$2:$Y$1047,MATCH(ROW()-1,装备库!$AO$2:$AO$1046,0),COLUMN()),"")</f>
        <v>精简攻无</v>
      </c>
      <c r="X220">
        <f>IFERROR(INDEX(装备库!$A$2:$Y$1047,MATCH(ROW()-1,装备库!$AO$2:$AO$1046,0),COLUMN()),"")</f>
        <v>3</v>
      </c>
      <c r="Y220" t="str">
        <f>IFERROR(INDEX(装备库!$A$2:$Y$1047,MATCH(ROW()-1,装备库!$AO$2:$AO$1046,0),COLUMN()),"")</f>
        <v>活动</v>
      </c>
    </row>
    <row r="221" spans="1:25" x14ac:dyDescent="0.35">
      <c r="A221" t="str">
        <f>IFERROR(INDEX(装备库!$A$2:$Y$1047,MATCH(ROW()-1,装备库!$AO$2:$AO$1046,0),COLUMN()),"")</f>
        <v>裤子</v>
      </c>
      <c r="B221" t="str">
        <f>IFERROR(INDEX(装备库!$A$2:$Y$1047,MATCH(ROW()-1,装备库!$AO$2:$AO$1046,0),COLUMN()),"")</f>
        <v>无封裤</v>
      </c>
      <c r="C221">
        <f>IFERROR(INDEX(装备库!$A$2:$Y$1047,MATCH(ROW()-1,装备库!$AO$2:$AO$1046,0),COLUMN()),"")</f>
        <v>10300</v>
      </c>
      <c r="D221" t="str">
        <f>IFERROR(INDEX(装备库!$A$2:$Y$1047,MATCH(ROW()-1,装备库!$AO$2:$AO$1046,0),COLUMN()),"")</f>
        <v>无封裤(10300精简攻会无)</v>
      </c>
      <c r="E221">
        <f>IFERROR(INDEX(装备库!$A$2:$Y$1047,MATCH(ROW()-1,装备库!$AO$2:$AO$1046,0),COLUMN()),"")</f>
        <v>0</v>
      </c>
      <c r="F221">
        <f>IFERROR(INDEX(装备库!$A$2:$Y$1047,MATCH(ROW()-1,装备库!$AO$2:$AO$1046,0),COLUMN()),"")</f>
        <v>2603</v>
      </c>
      <c r="G221">
        <f>IFERROR(INDEX(装备库!$A$2:$Y$1047,MATCH(ROW()-1,装备库!$AO$2:$AO$1046,0),COLUMN()),"")</f>
        <v>4010</v>
      </c>
      <c r="H221">
        <f>IFERROR(INDEX(装备库!$A$2:$Y$1047,MATCH(ROW()-1,装备库!$AO$2:$AO$1046,0),COLUMN()),"")</f>
        <v>0</v>
      </c>
      <c r="I221">
        <f>IFERROR(INDEX(装备库!$A$2:$Y$1047,MATCH(ROW()-1,装备库!$AO$2:$AO$1046,0),COLUMN()),"")</f>
        <v>0</v>
      </c>
      <c r="J221">
        <f>IFERROR(INDEX(装备库!$A$2:$Y$1047,MATCH(ROW()-1,装备库!$AO$2:$AO$1046,0),COLUMN()),"")</f>
        <v>0</v>
      </c>
      <c r="K221">
        <f>IFERROR(INDEX(装备库!$A$2:$Y$1047,MATCH(ROW()-1,装备库!$AO$2:$AO$1046,0),COLUMN()),"")</f>
        <v>4010</v>
      </c>
      <c r="L221">
        <f>IFERROR(INDEX(装备库!$A$2:$Y$1047,MATCH(ROW()-1,装备库!$AO$2:$AO$1046,0),COLUMN()),"")</f>
        <v>0</v>
      </c>
      <c r="M221">
        <f>IFERROR(INDEX(装备库!$A$2:$Y$1047,MATCH(ROW()-1,装备库!$AO$2:$AO$1046,0),COLUMN()),"")</f>
        <v>0</v>
      </c>
      <c r="N221">
        <f>IFERROR(INDEX(装备库!$A$2:$Y$1047,MATCH(ROW()-1,装备库!$AO$2:$AO$1046,0),COLUMN()),"")</f>
        <v>0</v>
      </c>
      <c r="O221">
        <f>IFERROR(INDEX(装备库!$A$2:$Y$1047,MATCH(ROW()-1,装备库!$AO$2:$AO$1046,0),COLUMN()),"")</f>
        <v>0</v>
      </c>
      <c r="P221">
        <f>IFERROR(INDEX(装备库!$A$2:$Y$1047,MATCH(ROW()-1,装备库!$AO$2:$AO$1046,0),COLUMN()),"")</f>
        <v>0</v>
      </c>
      <c r="Q221">
        <f>IFERROR(INDEX(装备库!$A$2:$Y$1047,MATCH(ROW()-1,装备库!$AO$2:$AO$1046,0),COLUMN()),"")</f>
        <v>0</v>
      </c>
      <c r="R221">
        <f>IFERROR(INDEX(装备库!$A$2:$Y$1047,MATCH(ROW()-1,装备库!$AO$2:$AO$1046,0),COLUMN()),"")</f>
        <v>1</v>
      </c>
      <c r="S221">
        <f>IFERROR(INDEX(装备库!$A$2:$Y$1047,MATCH(ROW()-1,装备库!$AO$2:$AO$1046,0),COLUMN()),"")</f>
        <v>0</v>
      </c>
      <c r="T221">
        <f>IFERROR(INDEX(装备库!$A$2:$Y$1047,MATCH(ROW()-1,装备库!$AO$2:$AO$1046,0),COLUMN()),"")</f>
        <v>0</v>
      </c>
      <c r="U221">
        <f>IFERROR(INDEX(装备库!$A$2:$Y$1047,MATCH(ROW()-1,装备库!$AO$2:$AO$1046,0),COLUMN()),"")</f>
        <v>1</v>
      </c>
      <c r="V221">
        <f>IFERROR(INDEX(装备库!$A$2:$Y$1047,MATCH(ROW()-1,装备库!$AO$2:$AO$1046,0),COLUMN()),"")</f>
        <v>0</v>
      </c>
      <c r="W221" t="str">
        <f>IFERROR(INDEX(装备库!$A$2:$Y$1047,MATCH(ROW()-1,装备库!$AO$2:$AO$1046,0),COLUMN()),"")</f>
        <v>精简攻会无</v>
      </c>
      <c r="X221">
        <f>IFERROR(INDEX(装备库!$A$2:$Y$1047,MATCH(ROW()-1,装备库!$AO$2:$AO$1046,0),COLUMN()),"")</f>
        <v>3</v>
      </c>
      <c r="Y221" t="str">
        <f>IFERROR(INDEX(装备库!$A$2:$Y$1047,MATCH(ROW()-1,装备库!$AO$2:$AO$1046,0),COLUMN()),"")</f>
        <v>活动</v>
      </c>
    </row>
    <row r="222" spans="1:25" x14ac:dyDescent="0.35">
      <c r="A222" t="str">
        <f>IFERROR(INDEX(装备库!$A$2:$Y$1047,MATCH(ROW()-1,装备库!$AO$2:$AO$1046,0),COLUMN()),"")</f>
        <v>裤子</v>
      </c>
      <c r="B222" t="str">
        <f>IFERROR(INDEX(装备库!$A$2:$Y$1047,MATCH(ROW()-1,装备库!$AO$2:$AO$1046,0),COLUMN()),"")</f>
        <v>藏香·初</v>
      </c>
      <c r="C222">
        <f>IFERROR(INDEX(装备库!$A$2:$Y$1047,MATCH(ROW()-1,装备库!$AO$2:$AO$1046,0),COLUMN()),"")</f>
        <v>10400</v>
      </c>
      <c r="D222" t="str">
        <f>IFERROR(INDEX(装备库!$A$2:$Y$1047,MATCH(ROW()-1,装备库!$AO$2:$AO$1046,0),COLUMN()),"")</f>
        <v>藏香·初(10400破无)</v>
      </c>
      <c r="E222">
        <f>IFERROR(INDEX(装备库!$A$2:$Y$1047,MATCH(ROW()-1,装备库!$AO$2:$AO$1046,0),COLUMN()),"")</f>
        <v>726</v>
      </c>
      <c r="F222">
        <f>IFERROR(INDEX(装备库!$A$2:$Y$1047,MATCH(ROW()-1,装备库!$AO$2:$AO$1046,0),COLUMN()),"")</f>
        <v>1178</v>
      </c>
      <c r="G222">
        <f>IFERROR(INDEX(装备库!$A$2:$Y$1047,MATCH(ROW()-1,装备库!$AO$2:$AO$1046,0),COLUMN()),"")</f>
        <v>0</v>
      </c>
      <c r="H222">
        <f>IFERROR(INDEX(装备库!$A$2:$Y$1047,MATCH(ROW()-1,装备库!$AO$2:$AO$1046,0),COLUMN()),"")</f>
        <v>0</v>
      </c>
      <c r="I222">
        <f>IFERROR(INDEX(装备库!$A$2:$Y$1047,MATCH(ROW()-1,装备库!$AO$2:$AO$1046,0),COLUMN()),"")</f>
        <v>3644</v>
      </c>
      <c r="J222">
        <f>IFERROR(INDEX(装备库!$A$2:$Y$1047,MATCH(ROW()-1,装备库!$AO$2:$AO$1046,0),COLUMN()),"")</f>
        <v>0</v>
      </c>
      <c r="K222">
        <f>IFERROR(INDEX(装备库!$A$2:$Y$1047,MATCH(ROW()-1,装备库!$AO$2:$AO$1046,0),COLUMN()),"")</f>
        <v>3239</v>
      </c>
      <c r="L222">
        <f>IFERROR(INDEX(装备库!$A$2:$Y$1047,MATCH(ROW()-1,装备库!$AO$2:$AO$1046,0),COLUMN()),"")</f>
        <v>0</v>
      </c>
      <c r="M222">
        <f>IFERROR(INDEX(装备库!$A$2:$Y$1047,MATCH(ROW()-1,装备库!$AO$2:$AO$1046,0),COLUMN()),"")</f>
        <v>0</v>
      </c>
      <c r="N222">
        <f>IFERROR(INDEX(装备库!$A$2:$Y$1047,MATCH(ROW()-1,装备库!$AO$2:$AO$1046,0),COLUMN()),"")</f>
        <v>0</v>
      </c>
      <c r="O222">
        <f>IFERROR(INDEX(装备库!$A$2:$Y$1047,MATCH(ROW()-1,装备库!$AO$2:$AO$1046,0),COLUMN()),"")</f>
        <v>0</v>
      </c>
      <c r="P222">
        <f>IFERROR(INDEX(装备库!$A$2:$Y$1047,MATCH(ROW()-1,装备库!$AO$2:$AO$1046,0),COLUMN()),"")</f>
        <v>1</v>
      </c>
      <c r="Q222">
        <f>IFERROR(INDEX(装备库!$A$2:$Y$1047,MATCH(ROW()-1,装备库!$AO$2:$AO$1046,0),COLUMN()),"")</f>
        <v>1</v>
      </c>
      <c r="R222">
        <f>IFERROR(INDEX(装备库!$A$2:$Y$1047,MATCH(ROW()-1,装备库!$AO$2:$AO$1046,0),COLUMN()),"")</f>
        <v>0</v>
      </c>
      <c r="S222">
        <f>IFERROR(INDEX(装备库!$A$2:$Y$1047,MATCH(ROW()-1,装备库!$AO$2:$AO$1046,0),COLUMN()),"")</f>
        <v>0</v>
      </c>
      <c r="T222">
        <f>IFERROR(INDEX(装备库!$A$2:$Y$1047,MATCH(ROW()-1,装备库!$AO$2:$AO$1046,0),COLUMN()),"")</f>
        <v>0</v>
      </c>
      <c r="U222">
        <f>IFERROR(INDEX(装备库!$A$2:$Y$1047,MATCH(ROW()-1,装备库!$AO$2:$AO$1046,0),COLUMN()),"")</f>
        <v>0</v>
      </c>
      <c r="V222">
        <f>IFERROR(INDEX(装备库!$A$2:$Y$1047,MATCH(ROW()-1,装备库!$AO$2:$AO$1046,0),COLUMN()),"")</f>
        <v>0</v>
      </c>
      <c r="W222" t="str">
        <f>IFERROR(INDEX(装备库!$A$2:$Y$1047,MATCH(ROW()-1,装备库!$AO$2:$AO$1046,0),COLUMN()),"")</f>
        <v>破无</v>
      </c>
      <c r="X222">
        <f>IFERROR(INDEX(装备库!$A$2:$Y$1047,MATCH(ROW()-1,装备库!$AO$2:$AO$1046,0),COLUMN()),"")</f>
        <v>6</v>
      </c>
      <c r="Y222" t="str">
        <f>IFERROR(INDEX(装备库!$A$2:$Y$1047,MATCH(ROW()-1,装备库!$AO$2:$AO$1046,0),COLUMN()),"")</f>
        <v>任务</v>
      </c>
    </row>
    <row r="223" spans="1:25" x14ac:dyDescent="0.35">
      <c r="A223" t="str">
        <f>IFERROR(INDEX(装备库!$A$2:$Y$1047,MATCH(ROW()-1,装备库!$AO$2:$AO$1046,0),COLUMN()),"")</f>
        <v>裤子</v>
      </c>
      <c r="B223" t="str">
        <f>IFERROR(INDEX(装备库!$A$2:$Y$1047,MATCH(ROW()-1,装备库!$AO$2:$AO$1046,0),COLUMN()),"")</f>
        <v>虚韵裤</v>
      </c>
      <c r="C223">
        <f>IFERROR(INDEX(装备库!$A$2:$Y$1047,MATCH(ROW()-1,装备库!$AO$2:$AO$1046,0),COLUMN()),"")</f>
        <v>10400</v>
      </c>
      <c r="D223" t="str">
        <f>IFERROR(INDEX(装备库!$A$2:$Y$1047,MATCH(ROW()-1,装备库!$AO$2:$AO$1046,0),COLUMN()),"")</f>
        <v>虚韵裤(10400会无)</v>
      </c>
      <c r="E223">
        <f>IFERROR(INDEX(装备库!$A$2:$Y$1047,MATCH(ROW()-1,装备库!$AO$2:$AO$1046,0),COLUMN()),"")</f>
        <v>726</v>
      </c>
      <c r="F223">
        <f>IFERROR(INDEX(装备库!$A$2:$Y$1047,MATCH(ROW()-1,装备库!$AO$2:$AO$1046,0),COLUMN()),"")</f>
        <v>1178</v>
      </c>
      <c r="G223">
        <f>IFERROR(INDEX(装备库!$A$2:$Y$1047,MATCH(ROW()-1,装备库!$AO$2:$AO$1046,0),COLUMN()),"")</f>
        <v>3644</v>
      </c>
      <c r="H223">
        <f>IFERROR(INDEX(装备库!$A$2:$Y$1047,MATCH(ROW()-1,装备库!$AO$2:$AO$1046,0),COLUMN()),"")</f>
        <v>0</v>
      </c>
      <c r="I223">
        <f>IFERROR(INDEX(装备库!$A$2:$Y$1047,MATCH(ROW()-1,装备库!$AO$2:$AO$1046,0),COLUMN()),"")</f>
        <v>0</v>
      </c>
      <c r="J223">
        <f>IFERROR(INDEX(装备库!$A$2:$Y$1047,MATCH(ROW()-1,装备库!$AO$2:$AO$1046,0),COLUMN()),"")</f>
        <v>0</v>
      </c>
      <c r="K223">
        <f>IFERROR(INDEX(装备库!$A$2:$Y$1047,MATCH(ROW()-1,装备库!$AO$2:$AO$1046,0),COLUMN()),"")</f>
        <v>3239</v>
      </c>
      <c r="L223">
        <f>IFERROR(INDEX(装备库!$A$2:$Y$1047,MATCH(ROW()-1,装备库!$AO$2:$AO$1046,0),COLUMN()),"")</f>
        <v>0</v>
      </c>
      <c r="M223">
        <f>IFERROR(INDEX(装备库!$A$2:$Y$1047,MATCH(ROW()-1,装备库!$AO$2:$AO$1046,0),COLUMN()),"")</f>
        <v>0</v>
      </c>
      <c r="N223">
        <f>IFERROR(INDEX(装备库!$A$2:$Y$1047,MATCH(ROW()-1,装备库!$AO$2:$AO$1046,0),COLUMN()),"")</f>
        <v>0</v>
      </c>
      <c r="O223">
        <f>IFERROR(INDEX(装备库!$A$2:$Y$1047,MATCH(ROW()-1,装备库!$AO$2:$AO$1046,0),COLUMN()),"")</f>
        <v>0</v>
      </c>
      <c r="P223">
        <f>IFERROR(INDEX(装备库!$A$2:$Y$1047,MATCH(ROW()-1,装备库!$AO$2:$AO$1046,0),COLUMN()),"")</f>
        <v>0</v>
      </c>
      <c r="Q223">
        <f>IFERROR(INDEX(装备库!$A$2:$Y$1047,MATCH(ROW()-1,装备库!$AO$2:$AO$1046,0),COLUMN()),"")</f>
        <v>1</v>
      </c>
      <c r="R223">
        <f>IFERROR(INDEX(装备库!$A$2:$Y$1047,MATCH(ROW()-1,装备库!$AO$2:$AO$1046,0),COLUMN()),"")</f>
        <v>0</v>
      </c>
      <c r="S223">
        <f>IFERROR(INDEX(装备库!$A$2:$Y$1047,MATCH(ROW()-1,装备库!$AO$2:$AO$1046,0),COLUMN()),"")</f>
        <v>0</v>
      </c>
      <c r="T223">
        <f>IFERROR(INDEX(装备库!$A$2:$Y$1047,MATCH(ROW()-1,装备库!$AO$2:$AO$1046,0),COLUMN()),"")</f>
        <v>1</v>
      </c>
      <c r="U223">
        <f>IFERROR(INDEX(装备库!$A$2:$Y$1047,MATCH(ROW()-1,装备库!$AO$2:$AO$1046,0),COLUMN()),"")</f>
        <v>0</v>
      </c>
      <c r="V223">
        <f>IFERROR(INDEX(装备库!$A$2:$Y$1047,MATCH(ROW()-1,装备库!$AO$2:$AO$1046,0),COLUMN()),"")</f>
        <v>0</v>
      </c>
      <c r="W223" t="str">
        <f>IFERROR(INDEX(装备库!$A$2:$Y$1047,MATCH(ROW()-1,装备库!$AO$2:$AO$1046,0),COLUMN()),"")</f>
        <v>会无</v>
      </c>
      <c r="X223">
        <f>IFERROR(INDEX(装备库!$A$2:$Y$1047,MATCH(ROW()-1,装备库!$AO$2:$AO$1046,0),COLUMN()),"")</f>
        <v>6</v>
      </c>
      <c r="Y223" t="str">
        <f>IFERROR(INDEX(装备库!$A$2:$Y$1047,MATCH(ROW()-1,装备库!$AO$2:$AO$1046,0),COLUMN()),"")</f>
        <v>侠义值</v>
      </c>
    </row>
    <row r="224" spans="1:25" x14ac:dyDescent="0.35">
      <c r="A224" t="str">
        <f>IFERROR(INDEX(装备库!$A$2:$Y$1047,MATCH(ROW()-1,装备库!$AO$2:$AO$1046,0),COLUMN()),"")</f>
        <v>裤子</v>
      </c>
      <c r="B224" t="str">
        <f>IFERROR(INDEX(装备库!$A$2:$Y$1047,MATCH(ROW()-1,装备库!$AO$2:$AO$1046,0),COLUMN()),"")</f>
        <v>无封裤</v>
      </c>
      <c r="C224">
        <f>IFERROR(INDEX(装备库!$A$2:$Y$1047,MATCH(ROW()-1,装备库!$AO$2:$AO$1046,0),COLUMN()),"")</f>
        <v>10600</v>
      </c>
      <c r="D224" t="str">
        <f>IFERROR(INDEX(装备库!$A$2:$Y$1047,MATCH(ROW()-1,装备库!$AO$2:$AO$1046,0),COLUMN()),"")</f>
        <v>无封裤(10600精简攻破无)</v>
      </c>
      <c r="E224">
        <f>IFERROR(INDEX(装备库!$A$2:$Y$1047,MATCH(ROW()-1,装备库!$AO$2:$AO$1046,0),COLUMN()),"")</f>
        <v>0</v>
      </c>
      <c r="F224">
        <f>IFERROR(INDEX(装备库!$A$2:$Y$1047,MATCH(ROW()-1,装备库!$AO$2:$AO$1046,0),COLUMN()),"")</f>
        <v>2679</v>
      </c>
      <c r="G224">
        <f>IFERROR(INDEX(装备库!$A$2:$Y$1047,MATCH(ROW()-1,装备库!$AO$2:$AO$1046,0),COLUMN()),"")</f>
        <v>0</v>
      </c>
      <c r="H224">
        <f>IFERROR(INDEX(装备库!$A$2:$Y$1047,MATCH(ROW()-1,装备库!$AO$2:$AO$1046,0),COLUMN()),"")</f>
        <v>0</v>
      </c>
      <c r="I224">
        <f>IFERROR(INDEX(装备库!$A$2:$Y$1047,MATCH(ROW()-1,装备库!$AO$2:$AO$1046,0),COLUMN()),"")</f>
        <v>4126</v>
      </c>
      <c r="J224">
        <f>IFERROR(INDEX(装备库!$A$2:$Y$1047,MATCH(ROW()-1,装备库!$AO$2:$AO$1046,0),COLUMN()),"")</f>
        <v>0</v>
      </c>
      <c r="K224">
        <f>IFERROR(INDEX(装备库!$A$2:$Y$1047,MATCH(ROW()-1,装备库!$AO$2:$AO$1046,0),COLUMN()),"")</f>
        <v>4126</v>
      </c>
      <c r="L224">
        <f>IFERROR(INDEX(装备库!$A$2:$Y$1047,MATCH(ROW()-1,装备库!$AO$2:$AO$1046,0),COLUMN()),"")</f>
        <v>0</v>
      </c>
      <c r="M224">
        <f>IFERROR(INDEX(装备库!$A$2:$Y$1047,MATCH(ROW()-1,装备库!$AO$2:$AO$1046,0),COLUMN()),"")</f>
        <v>0</v>
      </c>
      <c r="N224">
        <f>IFERROR(INDEX(装备库!$A$2:$Y$1047,MATCH(ROW()-1,装备库!$AO$2:$AO$1046,0),COLUMN()),"")</f>
        <v>0</v>
      </c>
      <c r="O224">
        <f>IFERROR(INDEX(装备库!$A$2:$Y$1047,MATCH(ROW()-1,装备库!$AO$2:$AO$1046,0),COLUMN()),"")</f>
        <v>0</v>
      </c>
      <c r="P224">
        <f>IFERROR(INDEX(装备库!$A$2:$Y$1047,MATCH(ROW()-1,装备库!$AO$2:$AO$1046,0),COLUMN()),"")</f>
        <v>1</v>
      </c>
      <c r="Q224">
        <f>IFERROR(INDEX(装备库!$A$2:$Y$1047,MATCH(ROW()-1,装备库!$AO$2:$AO$1046,0),COLUMN()),"")</f>
        <v>0</v>
      </c>
      <c r="R224">
        <f>IFERROR(INDEX(装备库!$A$2:$Y$1047,MATCH(ROW()-1,装备库!$AO$2:$AO$1046,0),COLUMN()),"")</f>
        <v>0</v>
      </c>
      <c r="S224">
        <f>IFERROR(INDEX(装备库!$A$2:$Y$1047,MATCH(ROW()-1,装备库!$AO$2:$AO$1046,0),COLUMN()),"")</f>
        <v>0</v>
      </c>
      <c r="T224">
        <f>IFERROR(INDEX(装备库!$A$2:$Y$1047,MATCH(ROW()-1,装备库!$AO$2:$AO$1046,0),COLUMN()),"")</f>
        <v>1</v>
      </c>
      <c r="U224">
        <f>IFERROR(INDEX(装备库!$A$2:$Y$1047,MATCH(ROW()-1,装备库!$AO$2:$AO$1046,0),COLUMN()),"")</f>
        <v>0</v>
      </c>
      <c r="V224">
        <f>IFERROR(INDEX(装备库!$A$2:$Y$1047,MATCH(ROW()-1,装备库!$AO$2:$AO$1046,0),COLUMN()),"")</f>
        <v>0</v>
      </c>
      <c r="W224" t="str">
        <f>IFERROR(INDEX(装备库!$A$2:$Y$1047,MATCH(ROW()-1,装备库!$AO$2:$AO$1046,0),COLUMN()),"")</f>
        <v>精简攻破无</v>
      </c>
      <c r="X224">
        <f>IFERROR(INDEX(装备库!$A$2:$Y$1047,MATCH(ROW()-1,装备库!$AO$2:$AO$1046,0),COLUMN()),"")</f>
        <v>3</v>
      </c>
      <c r="Y224" t="str">
        <f>IFERROR(INDEX(装备库!$A$2:$Y$1047,MATCH(ROW()-1,装备库!$AO$2:$AO$1046,0),COLUMN()),"")</f>
        <v>活动</v>
      </c>
    </row>
    <row r="225" spans="1:25" x14ac:dyDescent="0.35">
      <c r="A225" t="str">
        <f>IFERROR(INDEX(装备库!$A$2:$Y$1047,MATCH(ROW()-1,装备库!$AO$2:$AO$1046,0),COLUMN()),"")</f>
        <v>裤子</v>
      </c>
      <c r="B225" t="str">
        <f>IFERROR(INDEX(装备库!$A$2:$Y$1047,MATCH(ROW()-1,装备库!$AO$2:$AO$1046,0),COLUMN()),"")</f>
        <v>无封裤</v>
      </c>
      <c r="C225">
        <f>IFERROR(INDEX(装备库!$A$2:$Y$1047,MATCH(ROW()-1,装备库!$AO$2:$AO$1046,0),COLUMN()),"")</f>
        <v>10600</v>
      </c>
      <c r="D225" t="str">
        <f>IFERROR(INDEX(装备库!$A$2:$Y$1047,MATCH(ROW()-1,装备库!$AO$2:$AO$1046,0),COLUMN()),"")</f>
        <v>无封裤(10600精简攻会招破)</v>
      </c>
      <c r="E225">
        <f>IFERROR(INDEX(装备库!$A$2:$Y$1047,MATCH(ROW()-1,装备库!$AO$2:$AO$1046,0),COLUMN()),"")</f>
        <v>0</v>
      </c>
      <c r="F225">
        <f>IFERROR(INDEX(装备库!$A$2:$Y$1047,MATCH(ROW()-1,装备库!$AO$2:$AO$1046,0),COLUMN()),"")</f>
        <v>2956</v>
      </c>
      <c r="G225">
        <f>IFERROR(INDEX(装备库!$A$2:$Y$1047,MATCH(ROW()-1,装备库!$AO$2:$AO$1046,0),COLUMN()),"")</f>
        <v>2682</v>
      </c>
      <c r="H225">
        <f>IFERROR(INDEX(装备库!$A$2:$Y$1047,MATCH(ROW()-1,装备库!$AO$2:$AO$1046,0),COLUMN()),"")</f>
        <v>0</v>
      </c>
      <c r="I225">
        <f>IFERROR(INDEX(装备库!$A$2:$Y$1047,MATCH(ROW()-1,装备库!$AO$2:$AO$1046,0),COLUMN()),"")</f>
        <v>2682</v>
      </c>
      <c r="J225">
        <f>IFERROR(INDEX(装备库!$A$2:$Y$1047,MATCH(ROW()-1,装备库!$AO$2:$AO$1046,0),COLUMN()),"")</f>
        <v>2270</v>
      </c>
      <c r="K225">
        <f>IFERROR(INDEX(装备库!$A$2:$Y$1047,MATCH(ROW()-1,装备库!$AO$2:$AO$1046,0),COLUMN()),"")</f>
        <v>0</v>
      </c>
      <c r="L225">
        <f>IFERROR(INDEX(装备库!$A$2:$Y$1047,MATCH(ROW()-1,装备库!$AO$2:$AO$1046,0),COLUMN()),"")</f>
        <v>0</v>
      </c>
      <c r="M225">
        <f>IFERROR(INDEX(装备库!$A$2:$Y$1047,MATCH(ROW()-1,装备库!$AO$2:$AO$1046,0),COLUMN()),"")</f>
        <v>0</v>
      </c>
      <c r="N225">
        <f>IFERROR(INDEX(装备库!$A$2:$Y$1047,MATCH(ROW()-1,装备库!$AO$2:$AO$1046,0),COLUMN()),"")</f>
        <v>0</v>
      </c>
      <c r="O225">
        <f>IFERROR(INDEX(装备库!$A$2:$Y$1047,MATCH(ROW()-1,装备库!$AO$2:$AO$1046,0),COLUMN()),"")</f>
        <v>0</v>
      </c>
      <c r="P225">
        <f>IFERROR(INDEX(装备库!$A$2:$Y$1047,MATCH(ROW()-1,装备库!$AO$2:$AO$1046,0),COLUMN()),"")</f>
        <v>0</v>
      </c>
      <c r="Q225">
        <f>IFERROR(INDEX(装备库!$A$2:$Y$1047,MATCH(ROW()-1,装备库!$AO$2:$AO$1046,0),COLUMN()),"")</f>
        <v>0</v>
      </c>
      <c r="R225">
        <f>IFERROR(INDEX(装备库!$A$2:$Y$1047,MATCH(ROW()-1,装备库!$AO$2:$AO$1046,0),COLUMN()),"")</f>
        <v>1</v>
      </c>
      <c r="S225">
        <f>IFERROR(INDEX(装备库!$A$2:$Y$1047,MATCH(ROW()-1,装备库!$AO$2:$AO$1046,0),COLUMN()),"")</f>
        <v>1</v>
      </c>
      <c r="T225">
        <f>IFERROR(INDEX(装备库!$A$2:$Y$1047,MATCH(ROW()-1,装备库!$AO$2:$AO$1046,0),COLUMN()),"")</f>
        <v>0</v>
      </c>
      <c r="U225">
        <f>IFERROR(INDEX(装备库!$A$2:$Y$1047,MATCH(ROW()-1,装备库!$AO$2:$AO$1046,0),COLUMN()),"")</f>
        <v>0</v>
      </c>
      <c r="V225">
        <f>IFERROR(INDEX(装备库!$A$2:$Y$1047,MATCH(ROW()-1,装备库!$AO$2:$AO$1046,0),COLUMN()),"")</f>
        <v>0</v>
      </c>
      <c r="W225" t="str">
        <f>IFERROR(INDEX(装备库!$A$2:$Y$1047,MATCH(ROW()-1,装备库!$AO$2:$AO$1046,0),COLUMN()),"")</f>
        <v>精简攻会招破</v>
      </c>
      <c r="X225">
        <f>IFERROR(INDEX(装备库!$A$2:$Y$1047,MATCH(ROW()-1,装备库!$AO$2:$AO$1046,0),COLUMN()),"")</f>
        <v>3</v>
      </c>
      <c r="Y225" t="str">
        <f>IFERROR(INDEX(装备库!$A$2:$Y$1047,MATCH(ROW()-1,装备库!$AO$2:$AO$1046,0),COLUMN()),"")</f>
        <v>活动</v>
      </c>
    </row>
    <row r="226" spans="1:25" x14ac:dyDescent="0.35">
      <c r="A226" t="str">
        <f>IFERROR(INDEX(装备库!$A$2:$Y$1047,MATCH(ROW()-1,装备库!$AO$2:$AO$1046,0),COLUMN()),"")</f>
        <v>裤子</v>
      </c>
      <c r="B226" t="str">
        <f>IFERROR(INDEX(装备库!$A$2:$Y$1047,MATCH(ROW()-1,装备库!$AO$2:$AO$1046,0),COLUMN()),"")</f>
        <v>无封裤</v>
      </c>
      <c r="C226">
        <f>IFERROR(INDEX(装备库!$A$2:$Y$1047,MATCH(ROW()-1,装备库!$AO$2:$AO$1046,0),COLUMN()),"")</f>
        <v>10600</v>
      </c>
      <c r="D226" t="str">
        <f>IFERROR(INDEX(装备库!$A$2:$Y$1047,MATCH(ROW()-1,装备库!$AO$2:$AO$1046,0),COLUMN()),"")</f>
        <v>无封裤(10600精简攻会)</v>
      </c>
      <c r="E226">
        <f>IFERROR(INDEX(装备库!$A$2:$Y$1047,MATCH(ROW()-1,装备库!$AO$2:$AO$1046,0),COLUMN()),"")</f>
        <v>0</v>
      </c>
      <c r="F226">
        <f>IFERROR(INDEX(装备库!$A$2:$Y$1047,MATCH(ROW()-1,装备库!$AO$2:$AO$1046,0),COLUMN()),"")</f>
        <v>3140</v>
      </c>
      <c r="G226">
        <f>IFERROR(INDEX(装备库!$A$2:$Y$1047,MATCH(ROW()-1,装备库!$AO$2:$AO$1046,0),COLUMN()),"")</f>
        <v>7118</v>
      </c>
      <c r="H226">
        <f>IFERROR(INDEX(装备库!$A$2:$Y$1047,MATCH(ROW()-1,装备库!$AO$2:$AO$1046,0),COLUMN()),"")</f>
        <v>0</v>
      </c>
      <c r="I226">
        <f>IFERROR(INDEX(装备库!$A$2:$Y$1047,MATCH(ROW()-1,装备库!$AO$2:$AO$1046,0),COLUMN()),"")</f>
        <v>0</v>
      </c>
      <c r="J226">
        <f>IFERROR(INDEX(装备库!$A$2:$Y$1047,MATCH(ROW()-1,装备库!$AO$2:$AO$1046,0),COLUMN()),"")</f>
        <v>0</v>
      </c>
      <c r="K226">
        <f>IFERROR(INDEX(装备库!$A$2:$Y$1047,MATCH(ROW()-1,装备库!$AO$2:$AO$1046,0),COLUMN()),"")</f>
        <v>0</v>
      </c>
      <c r="L226">
        <f>IFERROR(INDEX(装备库!$A$2:$Y$1047,MATCH(ROW()-1,装备库!$AO$2:$AO$1046,0),COLUMN()),"")</f>
        <v>0</v>
      </c>
      <c r="M226">
        <f>IFERROR(INDEX(装备库!$A$2:$Y$1047,MATCH(ROW()-1,装备库!$AO$2:$AO$1046,0),COLUMN()),"")</f>
        <v>0</v>
      </c>
      <c r="N226">
        <f>IFERROR(INDEX(装备库!$A$2:$Y$1047,MATCH(ROW()-1,装备库!$AO$2:$AO$1046,0),COLUMN()),"")</f>
        <v>0</v>
      </c>
      <c r="O226">
        <f>IFERROR(INDEX(装备库!$A$2:$Y$1047,MATCH(ROW()-1,装备库!$AO$2:$AO$1046,0),COLUMN()),"")</f>
        <v>0</v>
      </c>
      <c r="P226">
        <f>IFERROR(INDEX(装备库!$A$2:$Y$1047,MATCH(ROW()-1,装备库!$AO$2:$AO$1046,0),COLUMN()),"")</f>
        <v>0</v>
      </c>
      <c r="Q226">
        <f>IFERROR(INDEX(装备库!$A$2:$Y$1047,MATCH(ROW()-1,装备库!$AO$2:$AO$1046,0),COLUMN()),"")</f>
        <v>1</v>
      </c>
      <c r="R226">
        <f>IFERROR(INDEX(装备库!$A$2:$Y$1047,MATCH(ROW()-1,装备库!$AO$2:$AO$1046,0),COLUMN()),"")</f>
        <v>1</v>
      </c>
      <c r="S226">
        <f>IFERROR(INDEX(装备库!$A$2:$Y$1047,MATCH(ROW()-1,装备库!$AO$2:$AO$1046,0),COLUMN()),"")</f>
        <v>0</v>
      </c>
      <c r="T226">
        <f>IFERROR(INDEX(装备库!$A$2:$Y$1047,MATCH(ROW()-1,装备库!$AO$2:$AO$1046,0),COLUMN()),"")</f>
        <v>0</v>
      </c>
      <c r="U226">
        <f>IFERROR(INDEX(装备库!$A$2:$Y$1047,MATCH(ROW()-1,装备库!$AO$2:$AO$1046,0),COLUMN()),"")</f>
        <v>0</v>
      </c>
      <c r="V226">
        <f>IFERROR(INDEX(装备库!$A$2:$Y$1047,MATCH(ROW()-1,装备库!$AO$2:$AO$1046,0),COLUMN()),"")</f>
        <v>0</v>
      </c>
      <c r="W226" t="str">
        <f>IFERROR(INDEX(装备库!$A$2:$Y$1047,MATCH(ROW()-1,装备库!$AO$2:$AO$1046,0),COLUMN()),"")</f>
        <v>精简攻会</v>
      </c>
      <c r="X226">
        <f>IFERROR(INDEX(装备库!$A$2:$Y$1047,MATCH(ROW()-1,装备库!$AO$2:$AO$1046,0),COLUMN()),"")</f>
        <v>3</v>
      </c>
      <c r="Y226" t="str">
        <f>IFERROR(INDEX(装备库!$A$2:$Y$1047,MATCH(ROW()-1,装备库!$AO$2:$AO$1046,0),COLUMN()),"")</f>
        <v>活动</v>
      </c>
    </row>
    <row r="227" spans="1:25" x14ac:dyDescent="0.35">
      <c r="A227" t="str">
        <f>IFERROR(INDEX(装备库!$A$2:$Y$1047,MATCH(ROW()-1,装备库!$AO$2:$AO$1046,0),COLUMN()),"")</f>
        <v>裤子</v>
      </c>
      <c r="B227" t="str">
        <f>IFERROR(INDEX(装备库!$A$2:$Y$1047,MATCH(ROW()-1,装备库!$AO$2:$AO$1046,0),COLUMN()),"")</f>
        <v>无封裤</v>
      </c>
      <c r="C227">
        <f>IFERROR(INDEX(装备库!$A$2:$Y$1047,MATCH(ROW()-1,装备库!$AO$2:$AO$1046,0),COLUMN()),"")</f>
        <v>10900</v>
      </c>
      <c r="D227" t="str">
        <f>IFERROR(INDEX(装备库!$A$2:$Y$1047,MATCH(ROW()-1,装备库!$AO$2:$AO$1046,0),COLUMN()),"")</f>
        <v>无封裤(10900精简攻招无)</v>
      </c>
      <c r="E227">
        <f>IFERROR(INDEX(装备库!$A$2:$Y$1047,MATCH(ROW()-1,装备库!$AO$2:$AO$1046,0),COLUMN()),"")</f>
        <v>0</v>
      </c>
      <c r="F227">
        <f>IFERROR(INDEX(装备库!$A$2:$Y$1047,MATCH(ROW()-1,装备库!$AO$2:$AO$1046,0),COLUMN()),"")</f>
        <v>2754</v>
      </c>
      <c r="G227">
        <f>IFERROR(INDEX(装备库!$A$2:$Y$1047,MATCH(ROW()-1,装备库!$AO$2:$AO$1046,0),COLUMN()),"")</f>
        <v>0</v>
      </c>
      <c r="H227">
        <f>IFERROR(INDEX(装备库!$A$2:$Y$1047,MATCH(ROW()-1,装备库!$AO$2:$AO$1046,0),COLUMN()),"")</f>
        <v>0</v>
      </c>
      <c r="I227">
        <f>IFERROR(INDEX(装备库!$A$2:$Y$1047,MATCH(ROW()-1,装备库!$AO$2:$AO$1046,0),COLUMN()),"")</f>
        <v>0</v>
      </c>
      <c r="J227">
        <f>IFERROR(INDEX(装备库!$A$2:$Y$1047,MATCH(ROW()-1,装备库!$AO$2:$AO$1046,0),COLUMN()),"")</f>
        <v>2334</v>
      </c>
      <c r="K227">
        <f>IFERROR(INDEX(装备库!$A$2:$Y$1047,MATCH(ROW()-1,装备库!$AO$2:$AO$1046,0),COLUMN()),"")</f>
        <v>6153</v>
      </c>
      <c r="L227">
        <f>IFERROR(INDEX(装备库!$A$2:$Y$1047,MATCH(ROW()-1,装备库!$AO$2:$AO$1046,0),COLUMN()),"")</f>
        <v>0</v>
      </c>
      <c r="M227">
        <f>IFERROR(INDEX(装备库!$A$2:$Y$1047,MATCH(ROW()-1,装备库!$AO$2:$AO$1046,0),COLUMN()),"")</f>
        <v>0</v>
      </c>
      <c r="N227">
        <f>IFERROR(INDEX(装备库!$A$2:$Y$1047,MATCH(ROW()-1,装备库!$AO$2:$AO$1046,0),COLUMN()),"")</f>
        <v>0</v>
      </c>
      <c r="O227">
        <f>IFERROR(INDEX(装备库!$A$2:$Y$1047,MATCH(ROW()-1,装备库!$AO$2:$AO$1046,0),COLUMN()),"")</f>
        <v>0</v>
      </c>
      <c r="P227">
        <f>IFERROR(INDEX(装备库!$A$2:$Y$1047,MATCH(ROW()-1,装备库!$AO$2:$AO$1046,0),COLUMN()),"")</f>
        <v>0</v>
      </c>
      <c r="Q227">
        <f>IFERROR(INDEX(装备库!$A$2:$Y$1047,MATCH(ROW()-1,装备库!$AO$2:$AO$1046,0),COLUMN()),"")</f>
        <v>1</v>
      </c>
      <c r="R227">
        <f>IFERROR(INDEX(装备库!$A$2:$Y$1047,MATCH(ROW()-1,装备库!$AO$2:$AO$1046,0),COLUMN()),"")</f>
        <v>0</v>
      </c>
      <c r="S227">
        <f>IFERROR(INDEX(装备库!$A$2:$Y$1047,MATCH(ROW()-1,装备库!$AO$2:$AO$1046,0),COLUMN()),"")</f>
        <v>0</v>
      </c>
      <c r="T227">
        <f>IFERROR(INDEX(装备库!$A$2:$Y$1047,MATCH(ROW()-1,装备库!$AO$2:$AO$1046,0),COLUMN()),"")</f>
        <v>0</v>
      </c>
      <c r="U227">
        <f>IFERROR(INDEX(装备库!$A$2:$Y$1047,MATCH(ROW()-1,装备库!$AO$2:$AO$1046,0),COLUMN()),"")</f>
        <v>1</v>
      </c>
      <c r="V227">
        <f>IFERROR(INDEX(装备库!$A$2:$Y$1047,MATCH(ROW()-1,装备库!$AO$2:$AO$1046,0),COLUMN()),"")</f>
        <v>0</v>
      </c>
      <c r="W227" t="str">
        <f>IFERROR(INDEX(装备库!$A$2:$Y$1047,MATCH(ROW()-1,装备库!$AO$2:$AO$1046,0),COLUMN()),"")</f>
        <v>精简攻招无</v>
      </c>
      <c r="X227">
        <f>IFERROR(INDEX(装备库!$A$2:$Y$1047,MATCH(ROW()-1,装备库!$AO$2:$AO$1046,0),COLUMN()),"")</f>
        <v>3</v>
      </c>
      <c r="Y227" t="str">
        <f>IFERROR(INDEX(装备库!$A$2:$Y$1047,MATCH(ROW()-1,装备库!$AO$2:$AO$1046,0),COLUMN()),"")</f>
        <v>活动</v>
      </c>
    </row>
    <row r="228" spans="1:25" x14ac:dyDescent="0.35">
      <c r="A228" t="str">
        <f>IFERROR(INDEX(装备库!$A$2:$Y$1047,MATCH(ROW()-1,装备库!$AO$2:$AO$1046,0),COLUMN()),"")</f>
        <v>裤子</v>
      </c>
      <c r="B228" t="str">
        <f>IFERROR(INDEX(装备库!$A$2:$Y$1047,MATCH(ROW()-1,装备库!$AO$2:$AO$1046,0),COLUMN()),"")</f>
        <v>无封裤</v>
      </c>
      <c r="C228">
        <f>IFERROR(INDEX(装备库!$A$2:$Y$1047,MATCH(ROW()-1,装备库!$AO$2:$AO$1046,0),COLUMN()),"")</f>
        <v>10900</v>
      </c>
      <c r="D228" t="str">
        <f>IFERROR(INDEX(装备库!$A$2:$Y$1047,MATCH(ROW()-1,装备库!$AO$2:$AO$1046,0),COLUMN()),"")</f>
        <v>无封裤(10900精简攻破)</v>
      </c>
      <c r="E228">
        <f>IFERROR(INDEX(装备库!$A$2:$Y$1047,MATCH(ROW()-1,装备库!$AO$2:$AO$1046,0),COLUMN()),"")</f>
        <v>0</v>
      </c>
      <c r="F228">
        <f>IFERROR(INDEX(装备库!$A$2:$Y$1047,MATCH(ROW()-1,装备库!$AO$2:$AO$1046,0),COLUMN()),"")</f>
        <v>3229</v>
      </c>
      <c r="G228">
        <f>IFERROR(INDEX(装备库!$A$2:$Y$1047,MATCH(ROW()-1,装备库!$AO$2:$AO$1046,0),COLUMN()),"")</f>
        <v>0</v>
      </c>
      <c r="H228">
        <f>IFERROR(INDEX(装备库!$A$2:$Y$1047,MATCH(ROW()-1,装备库!$AO$2:$AO$1046,0),COLUMN()),"")</f>
        <v>0</v>
      </c>
      <c r="I228">
        <f>IFERROR(INDEX(装备库!$A$2:$Y$1047,MATCH(ROW()-1,装备库!$AO$2:$AO$1046,0),COLUMN()),"")</f>
        <v>7320</v>
      </c>
      <c r="J228">
        <f>IFERROR(INDEX(装备库!$A$2:$Y$1047,MATCH(ROW()-1,装备库!$AO$2:$AO$1046,0),COLUMN()),"")</f>
        <v>0</v>
      </c>
      <c r="K228">
        <f>IFERROR(INDEX(装备库!$A$2:$Y$1047,MATCH(ROW()-1,装备库!$AO$2:$AO$1046,0),COLUMN()),"")</f>
        <v>0</v>
      </c>
      <c r="L228">
        <f>IFERROR(INDEX(装备库!$A$2:$Y$1047,MATCH(ROW()-1,装备库!$AO$2:$AO$1046,0),COLUMN()),"")</f>
        <v>0</v>
      </c>
      <c r="M228">
        <f>IFERROR(INDEX(装备库!$A$2:$Y$1047,MATCH(ROW()-1,装备库!$AO$2:$AO$1046,0),COLUMN()),"")</f>
        <v>0</v>
      </c>
      <c r="N228">
        <f>IFERROR(INDEX(装备库!$A$2:$Y$1047,MATCH(ROW()-1,装备库!$AO$2:$AO$1046,0),COLUMN()),"")</f>
        <v>0</v>
      </c>
      <c r="O228">
        <f>IFERROR(INDEX(装备库!$A$2:$Y$1047,MATCH(ROW()-1,装备库!$AO$2:$AO$1046,0),COLUMN()),"")</f>
        <v>0</v>
      </c>
      <c r="P228">
        <f>IFERROR(INDEX(装备库!$A$2:$Y$1047,MATCH(ROW()-1,装备库!$AO$2:$AO$1046,0),COLUMN()),"")</f>
        <v>1</v>
      </c>
      <c r="Q228">
        <f>IFERROR(INDEX(装备库!$A$2:$Y$1047,MATCH(ROW()-1,装备库!$AO$2:$AO$1046,0),COLUMN()),"")</f>
        <v>0</v>
      </c>
      <c r="R228">
        <f>IFERROR(INDEX(装备库!$A$2:$Y$1047,MATCH(ROW()-1,装备库!$AO$2:$AO$1046,0),COLUMN()),"")</f>
        <v>0</v>
      </c>
      <c r="S228">
        <f>IFERROR(INDEX(装备库!$A$2:$Y$1047,MATCH(ROW()-1,装备库!$AO$2:$AO$1046,0),COLUMN()),"")</f>
        <v>0</v>
      </c>
      <c r="T228">
        <f>IFERROR(INDEX(装备库!$A$2:$Y$1047,MATCH(ROW()-1,装备库!$AO$2:$AO$1046,0),COLUMN()),"")</f>
        <v>1</v>
      </c>
      <c r="U228">
        <f>IFERROR(INDEX(装备库!$A$2:$Y$1047,MATCH(ROW()-1,装备库!$AO$2:$AO$1046,0),COLUMN()),"")</f>
        <v>0</v>
      </c>
      <c r="V228">
        <f>IFERROR(INDEX(装备库!$A$2:$Y$1047,MATCH(ROW()-1,装备库!$AO$2:$AO$1046,0),COLUMN()),"")</f>
        <v>0</v>
      </c>
      <c r="W228" t="str">
        <f>IFERROR(INDEX(装备库!$A$2:$Y$1047,MATCH(ROW()-1,装备库!$AO$2:$AO$1046,0),COLUMN()),"")</f>
        <v>精简攻破</v>
      </c>
      <c r="X228">
        <f>IFERROR(INDEX(装备库!$A$2:$Y$1047,MATCH(ROW()-1,装备库!$AO$2:$AO$1046,0),COLUMN()),"")</f>
        <v>3</v>
      </c>
      <c r="Y228" t="str">
        <f>IFERROR(INDEX(装备库!$A$2:$Y$1047,MATCH(ROW()-1,装备库!$AO$2:$AO$1046,0),COLUMN()),"")</f>
        <v>活动</v>
      </c>
    </row>
    <row r="229" spans="1:25" x14ac:dyDescent="0.35">
      <c r="A229" t="str">
        <f>IFERROR(INDEX(装备库!$A$2:$Y$1047,MATCH(ROW()-1,装备库!$AO$2:$AO$1046,0),COLUMN()),"")</f>
        <v>裤子</v>
      </c>
      <c r="B229" t="str">
        <f>IFERROR(INDEX(装备库!$A$2:$Y$1047,MATCH(ROW()-1,装备库!$AO$2:$AO$1046,0),COLUMN()),"")</f>
        <v>无封裤</v>
      </c>
      <c r="C229">
        <f>IFERROR(INDEX(装备库!$A$2:$Y$1047,MATCH(ROW()-1,装备库!$AO$2:$AO$1046,0),COLUMN()),"")</f>
        <v>10900</v>
      </c>
      <c r="D229" t="str">
        <f>IFERROR(INDEX(装备库!$A$2:$Y$1047,MATCH(ROW()-1,装备库!$AO$2:$AO$1046,0),COLUMN()),"")</f>
        <v>无封裤(10900精简攻会破无)</v>
      </c>
      <c r="E229">
        <f>IFERROR(INDEX(装备库!$A$2:$Y$1047,MATCH(ROW()-1,装备库!$AO$2:$AO$1046,0),COLUMN()),"")</f>
        <v>0</v>
      </c>
      <c r="F229">
        <f>IFERROR(INDEX(装备库!$A$2:$Y$1047,MATCH(ROW()-1,装备库!$AO$2:$AO$1046,0),COLUMN()),"")</f>
        <v>2754</v>
      </c>
      <c r="G229">
        <f>IFERROR(INDEX(装备库!$A$2:$Y$1047,MATCH(ROW()-1,装备库!$AO$2:$AO$1046,0),COLUMN()),"")</f>
        <v>3395</v>
      </c>
      <c r="H229">
        <f>IFERROR(INDEX(装备库!$A$2:$Y$1047,MATCH(ROW()-1,装备库!$AO$2:$AO$1046,0),COLUMN()),"")</f>
        <v>0</v>
      </c>
      <c r="I229">
        <f>IFERROR(INDEX(装备库!$A$2:$Y$1047,MATCH(ROW()-1,装备库!$AO$2:$AO$1046,0),COLUMN()),"")</f>
        <v>2970</v>
      </c>
      <c r="J229">
        <f>IFERROR(INDEX(装备库!$A$2:$Y$1047,MATCH(ROW()-1,装备库!$AO$2:$AO$1046,0),COLUMN()),"")</f>
        <v>0</v>
      </c>
      <c r="K229">
        <f>IFERROR(INDEX(装备库!$A$2:$Y$1047,MATCH(ROW()-1,装备库!$AO$2:$AO$1046,0),COLUMN()),"")</f>
        <v>2122</v>
      </c>
      <c r="L229">
        <f>IFERROR(INDEX(装备库!$A$2:$Y$1047,MATCH(ROW()-1,装备库!$AO$2:$AO$1046,0),COLUMN()),"")</f>
        <v>0</v>
      </c>
      <c r="M229">
        <f>IFERROR(INDEX(装备库!$A$2:$Y$1047,MATCH(ROW()-1,装备库!$AO$2:$AO$1046,0),COLUMN()),"")</f>
        <v>0</v>
      </c>
      <c r="N229">
        <f>IFERROR(INDEX(装备库!$A$2:$Y$1047,MATCH(ROW()-1,装备库!$AO$2:$AO$1046,0),COLUMN()),"")</f>
        <v>0</v>
      </c>
      <c r="O229">
        <f>IFERROR(INDEX(装备库!$A$2:$Y$1047,MATCH(ROW()-1,装备库!$AO$2:$AO$1046,0),COLUMN()),"")</f>
        <v>0</v>
      </c>
      <c r="P229">
        <f>IFERROR(INDEX(装备库!$A$2:$Y$1047,MATCH(ROW()-1,装备库!$AO$2:$AO$1046,0),COLUMN()),"")</f>
        <v>1</v>
      </c>
      <c r="Q229">
        <f>IFERROR(INDEX(装备库!$A$2:$Y$1047,MATCH(ROW()-1,装备库!$AO$2:$AO$1046,0),COLUMN()),"")</f>
        <v>0</v>
      </c>
      <c r="R229">
        <f>IFERROR(INDEX(装备库!$A$2:$Y$1047,MATCH(ROW()-1,装备库!$AO$2:$AO$1046,0),COLUMN()),"")</f>
        <v>1</v>
      </c>
      <c r="S229">
        <f>IFERROR(INDEX(装备库!$A$2:$Y$1047,MATCH(ROW()-1,装备库!$AO$2:$AO$1046,0),COLUMN()),"")</f>
        <v>0</v>
      </c>
      <c r="T229">
        <f>IFERROR(INDEX(装备库!$A$2:$Y$1047,MATCH(ROW()-1,装备库!$AO$2:$AO$1046,0),COLUMN()),"")</f>
        <v>0</v>
      </c>
      <c r="U229">
        <f>IFERROR(INDEX(装备库!$A$2:$Y$1047,MATCH(ROW()-1,装备库!$AO$2:$AO$1046,0),COLUMN()),"")</f>
        <v>0</v>
      </c>
      <c r="V229">
        <f>IFERROR(INDEX(装备库!$A$2:$Y$1047,MATCH(ROW()-1,装备库!$AO$2:$AO$1046,0),COLUMN()),"")</f>
        <v>0</v>
      </c>
      <c r="W229" t="str">
        <f>IFERROR(INDEX(装备库!$A$2:$Y$1047,MATCH(ROW()-1,装备库!$AO$2:$AO$1046,0),COLUMN()),"")</f>
        <v>精简攻会破无</v>
      </c>
      <c r="X229">
        <f>IFERROR(INDEX(装备库!$A$2:$Y$1047,MATCH(ROW()-1,装备库!$AO$2:$AO$1046,0),COLUMN()),"")</f>
        <v>3</v>
      </c>
      <c r="Y229" t="str">
        <f>IFERROR(INDEX(装备库!$A$2:$Y$1047,MATCH(ROW()-1,装备库!$AO$2:$AO$1046,0),COLUMN()),"")</f>
        <v>活动</v>
      </c>
    </row>
    <row r="230" spans="1:25" x14ac:dyDescent="0.35">
      <c r="A230" t="str">
        <f>IFERROR(INDEX(装备库!$A$2:$Y$1047,MATCH(ROW()-1,装备库!$AO$2:$AO$1046,0),COLUMN()),"")</f>
        <v>裤子</v>
      </c>
      <c r="B230" t="str">
        <f>IFERROR(INDEX(装备库!$A$2:$Y$1047,MATCH(ROW()-1,装备库!$AO$2:$AO$1046,0),COLUMN()),"")</f>
        <v>风销残烟·承平裤</v>
      </c>
      <c r="C230">
        <f>IFERROR(INDEX(装备库!$A$2:$Y$1047,MATCH(ROW()-1,装备库!$AO$2:$AO$1046,0),COLUMN()),"")</f>
        <v>11000</v>
      </c>
      <c r="D230" t="str">
        <f>IFERROR(INDEX(装备库!$A$2:$Y$1047,MATCH(ROW()-1,装备库!$AO$2:$AO$1046,0),COLUMN()),"")</f>
        <v>风销残烟·承平裤(11000招破)</v>
      </c>
      <c r="E230">
        <f>IFERROR(INDEX(装备库!$A$2:$Y$1047,MATCH(ROW()-1,装备库!$AO$2:$AO$1046,0),COLUMN()),"")</f>
        <v>768</v>
      </c>
      <c r="F230">
        <f>IFERROR(INDEX(装备库!$A$2:$Y$1047,MATCH(ROW()-1,装备库!$AO$2:$AO$1046,0),COLUMN()),"")</f>
        <v>1246</v>
      </c>
      <c r="G230">
        <f>IFERROR(INDEX(装备库!$A$2:$Y$1047,MATCH(ROW()-1,装备库!$AO$2:$AO$1046,0),COLUMN()),"")</f>
        <v>0</v>
      </c>
      <c r="H230">
        <f>IFERROR(INDEX(装备库!$A$2:$Y$1047,MATCH(ROW()-1,装备库!$AO$2:$AO$1046,0),COLUMN()),"")</f>
        <v>0</v>
      </c>
      <c r="I230">
        <f>IFERROR(INDEX(装备库!$A$2:$Y$1047,MATCH(ROW()-1,装备库!$AO$2:$AO$1046,0),COLUMN()),"")</f>
        <v>3854</v>
      </c>
      <c r="J230">
        <f>IFERROR(INDEX(装备库!$A$2:$Y$1047,MATCH(ROW()-1,装备库!$AO$2:$AO$1046,0),COLUMN()),"")</f>
        <v>3426</v>
      </c>
      <c r="K230">
        <f>IFERROR(INDEX(装备库!$A$2:$Y$1047,MATCH(ROW()-1,装备库!$AO$2:$AO$1046,0),COLUMN()),"")</f>
        <v>0</v>
      </c>
      <c r="L230">
        <f>IFERROR(INDEX(装备库!$A$2:$Y$1047,MATCH(ROW()-1,装备库!$AO$2:$AO$1046,0),COLUMN()),"")</f>
        <v>0</v>
      </c>
      <c r="M230">
        <f>IFERROR(INDEX(装备库!$A$2:$Y$1047,MATCH(ROW()-1,装备库!$AO$2:$AO$1046,0),COLUMN()),"")</f>
        <v>0</v>
      </c>
      <c r="N230">
        <f>IFERROR(INDEX(装备库!$A$2:$Y$1047,MATCH(ROW()-1,装备库!$AO$2:$AO$1046,0),COLUMN()),"")</f>
        <v>0</v>
      </c>
      <c r="O230">
        <f>IFERROR(INDEX(装备库!$A$2:$Y$1047,MATCH(ROW()-1,装备库!$AO$2:$AO$1046,0),COLUMN()),"")</f>
        <v>0</v>
      </c>
      <c r="P230">
        <f>IFERROR(INDEX(装备库!$A$2:$Y$1047,MATCH(ROW()-1,装备库!$AO$2:$AO$1046,0),COLUMN()),"")</f>
        <v>0</v>
      </c>
      <c r="Q230">
        <f>IFERROR(INDEX(装备库!$A$2:$Y$1047,MATCH(ROW()-1,装备库!$AO$2:$AO$1046,0),COLUMN()),"")</f>
        <v>0</v>
      </c>
      <c r="R230">
        <f>IFERROR(INDEX(装备库!$A$2:$Y$1047,MATCH(ROW()-1,装备库!$AO$2:$AO$1046,0),COLUMN()),"")</f>
        <v>0</v>
      </c>
      <c r="S230">
        <f>IFERROR(INDEX(装备库!$A$2:$Y$1047,MATCH(ROW()-1,装备库!$AO$2:$AO$1046,0),COLUMN()),"")</f>
        <v>1</v>
      </c>
      <c r="T230">
        <f>IFERROR(INDEX(装备库!$A$2:$Y$1047,MATCH(ROW()-1,装备库!$AO$2:$AO$1046,0),COLUMN()),"")</f>
        <v>1</v>
      </c>
      <c r="U230">
        <f>IFERROR(INDEX(装备库!$A$2:$Y$1047,MATCH(ROW()-1,装备库!$AO$2:$AO$1046,0),COLUMN()),"")</f>
        <v>0</v>
      </c>
      <c r="V230">
        <f>IFERROR(INDEX(装备库!$A$2:$Y$1047,MATCH(ROW()-1,装备库!$AO$2:$AO$1046,0),COLUMN()),"")</f>
        <v>0</v>
      </c>
      <c r="W230" t="str">
        <f>IFERROR(INDEX(装备库!$A$2:$Y$1047,MATCH(ROW()-1,装备库!$AO$2:$AO$1046,0),COLUMN()),"")</f>
        <v>招破</v>
      </c>
      <c r="X230">
        <f>IFERROR(INDEX(装备库!$A$2:$Y$1047,MATCH(ROW()-1,装备库!$AO$2:$AO$1046,0),COLUMN()),"")</f>
        <v>6</v>
      </c>
      <c r="Y230" t="str">
        <f>IFERROR(INDEX(装备库!$A$2:$Y$1047,MATCH(ROW()-1,装备库!$AO$2:$AO$1046,0),COLUMN()),"")</f>
        <v>飞沙令</v>
      </c>
    </row>
    <row r="231" spans="1:25" x14ac:dyDescent="0.35">
      <c r="A231" t="str">
        <f>IFERROR(INDEX(装备库!$A$2:$Y$1047,MATCH(ROW()-1,装备库!$AO$2:$AO$1046,0),COLUMN()),"")</f>
        <v>裤子</v>
      </c>
      <c r="B231" t="str">
        <f>IFERROR(INDEX(装备库!$A$2:$Y$1047,MATCH(ROW()-1,装备库!$AO$2:$AO$1046,0),COLUMN()),"")</f>
        <v>烟梦裤</v>
      </c>
      <c r="C231">
        <f>IFERROR(INDEX(装备库!$A$2:$Y$1047,MATCH(ROW()-1,装备库!$AO$2:$AO$1046,0),COLUMN()),"")</f>
        <v>11150</v>
      </c>
      <c r="D231" t="str">
        <f>IFERROR(INDEX(装备库!$A$2:$Y$1047,MATCH(ROW()-1,装备库!$AO$2:$AO$1046,0),COLUMN()),"")</f>
        <v>烟梦裤(11150招破)</v>
      </c>
      <c r="E231">
        <f>IFERROR(INDEX(装备库!$A$2:$Y$1047,MATCH(ROW()-1,装备库!$AO$2:$AO$1046,0),COLUMN()),"")</f>
        <v>779</v>
      </c>
      <c r="F231">
        <f>IFERROR(INDEX(装备库!$A$2:$Y$1047,MATCH(ROW()-1,装备库!$AO$2:$AO$1046,0),COLUMN()),"")</f>
        <v>1263</v>
      </c>
      <c r="G231">
        <f>IFERROR(INDEX(装备库!$A$2:$Y$1047,MATCH(ROW()-1,装备库!$AO$2:$AO$1046,0),COLUMN()),"")</f>
        <v>0</v>
      </c>
      <c r="H231">
        <f>IFERROR(INDEX(装备库!$A$2:$Y$1047,MATCH(ROW()-1,装备库!$AO$2:$AO$1046,0),COLUMN()),"")</f>
        <v>0</v>
      </c>
      <c r="I231">
        <f>IFERROR(INDEX(装备库!$A$2:$Y$1047,MATCH(ROW()-1,装备库!$AO$2:$AO$1046,0),COLUMN()),"")</f>
        <v>3907</v>
      </c>
      <c r="J231">
        <f>IFERROR(INDEX(装备库!$A$2:$Y$1047,MATCH(ROW()-1,装备库!$AO$2:$AO$1046,0),COLUMN()),"")</f>
        <v>3472</v>
      </c>
      <c r="K231">
        <f>IFERROR(INDEX(装备库!$A$2:$Y$1047,MATCH(ROW()-1,装备库!$AO$2:$AO$1046,0),COLUMN()),"")</f>
        <v>0</v>
      </c>
      <c r="L231">
        <f>IFERROR(INDEX(装备库!$A$2:$Y$1047,MATCH(ROW()-1,装备库!$AO$2:$AO$1046,0),COLUMN()),"")</f>
        <v>0</v>
      </c>
      <c r="M231">
        <f>IFERROR(INDEX(装备库!$A$2:$Y$1047,MATCH(ROW()-1,装备库!$AO$2:$AO$1046,0),COLUMN()),"")</f>
        <v>0</v>
      </c>
      <c r="N231">
        <f>IFERROR(INDEX(装备库!$A$2:$Y$1047,MATCH(ROW()-1,装备库!$AO$2:$AO$1046,0),COLUMN()),"")</f>
        <v>0</v>
      </c>
      <c r="O231">
        <f>IFERROR(INDEX(装备库!$A$2:$Y$1047,MATCH(ROW()-1,装备库!$AO$2:$AO$1046,0),COLUMN()),"")</f>
        <v>0</v>
      </c>
      <c r="P231">
        <f>IFERROR(INDEX(装备库!$A$2:$Y$1047,MATCH(ROW()-1,装备库!$AO$2:$AO$1046,0),COLUMN()),"")</f>
        <v>0</v>
      </c>
      <c r="Q231">
        <f>IFERROR(INDEX(装备库!$A$2:$Y$1047,MATCH(ROW()-1,装备库!$AO$2:$AO$1046,0),COLUMN()),"")</f>
        <v>0</v>
      </c>
      <c r="R231">
        <f>IFERROR(INDEX(装备库!$A$2:$Y$1047,MATCH(ROW()-1,装备库!$AO$2:$AO$1046,0),COLUMN()),"")</f>
        <v>0</v>
      </c>
      <c r="S231">
        <f>IFERROR(INDEX(装备库!$A$2:$Y$1047,MATCH(ROW()-1,装备库!$AO$2:$AO$1046,0),COLUMN()),"")</f>
        <v>1</v>
      </c>
      <c r="T231">
        <f>IFERROR(INDEX(装备库!$A$2:$Y$1047,MATCH(ROW()-1,装备库!$AO$2:$AO$1046,0),COLUMN()),"")</f>
        <v>1</v>
      </c>
      <c r="U231">
        <f>IFERROR(INDEX(装备库!$A$2:$Y$1047,MATCH(ROW()-1,装备库!$AO$2:$AO$1046,0),COLUMN()),"")</f>
        <v>0</v>
      </c>
      <c r="V231">
        <f>IFERROR(INDEX(装备库!$A$2:$Y$1047,MATCH(ROW()-1,装备库!$AO$2:$AO$1046,0),COLUMN()),"")</f>
        <v>0</v>
      </c>
      <c r="W231" t="str">
        <f>IFERROR(INDEX(装备库!$A$2:$Y$1047,MATCH(ROW()-1,装备库!$AO$2:$AO$1046,0),COLUMN()),"")</f>
        <v>招破</v>
      </c>
      <c r="X231">
        <f>IFERROR(INDEX(装备库!$A$2:$Y$1047,MATCH(ROW()-1,装备库!$AO$2:$AO$1046,0),COLUMN()),"")</f>
        <v>6</v>
      </c>
      <c r="Y231" t="str">
        <f>IFERROR(INDEX(装备库!$A$2:$Y$1047,MATCH(ROW()-1,装备库!$AO$2:$AO$1046,0),COLUMN()),"")</f>
        <v>副本</v>
      </c>
    </row>
    <row r="232" spans="1:25" x14ac:dyDescent="0.35">
      <c r="A232" t="str">
        <f>IFERROR(INDEX(装备库!$A$2:$Y$1047,MATCH(ROW()-1,装备库!$AO$2:$AO$1046,0),COLUMN()),"")</f>
        <v>裤子</v>
      </c>
      <c r="B232" t="str">
        <f>IFERROR(INDEX(装备库!$A$2:$Y$1047,MATCH(ROW()-1,装备库!$AO$2:$AO$1046,0),COLUMN()),"")</f>
        <v>旋山下裳</v>
      </c>
      <c r="C232">
        <f>IFERROR(INDEX(装备库!$A$2:$Y$1047,MATCH(ROW()-1,装备库!$AO$2:$AO$1046,0),COLUMN()),"")</f>
        <v>11150</v>
      </c>
      <c r="D232" t="str">
        <f>IFERROR(INDEX(装备库!$A$2:$Y$1047,MATCH(ROW()-1,装备库!$AO$2:$AO$1046,0),COLUMN()),"")</f>
        <v>旋山下裳(11150速无)</v>
      </c>
      <c r="E232">
        <f>IFERROR(INDEX(装备库!$A$2:$Y$1047,MATCH(ROW()-1,装备库!$AO$2:$AO$1046,0),COLUMN()),"")</f>
        <v>779</v>
      </c>
      <c r="F232">
        <f>IFERROR(INDEX(装备库!$A$2:$Y$1047,MATCH(ROW()-1,装备库!$AO$2:$AO$1046,0),COLUMN()),"")</f>
        <v>1263</v>
      </c>
      <c r="G232">
        <f>IFERROR(INDEX(装备库!$A$2:$Y$1047,MATCH(ROW()-1,装备库!$AO$2:$AO$1046,0),COLUMN()),"")</f>
        <v>0</v>
      </c>
      <c r="H232">
        <f>IFERROR(INDEX(装备库!$A$2:$Y$1047,MATCH(ROW()-1,装备库!$AO$2:$AO$1046,0),COLUMN()),"")</f>
        <v>0</v>
      </c>
      <c r="I232">
        <f>IFERROR(INDEX(装备库!$A$2:$Y$1047,MATCH(ROW()-1,装备库!$AO$2:$AO$1046,0),COLUMN()),"")</f>
        <v>0</v>
      </c>
      <c r="J232">
        <f>IFERROR(INDEX(装备库!$A$2:$Y$1047,MATCH(ROW()-1,装备库!$AO$2:$AO$1046,0),COLUMN()),"")</f>
        <v>0</v>
      </c>
      <c r="K232">
        <f>IFERROR(INDEX(装备库!$A$2:$Y$1047,MATCH(ROW()-1,装备库!$AO$2:$AO$1046,0),COLUMN()),"")</f>
        <v>3472</v>
      </c>
      <c r="L232">
        <f>IFERROR(INDEX(装备库!$A$2:$Y$1047,MATCH(ROW()-1,装备库!$AO$2:$AO$1046,0),COLUMN()),"")</f>
        <v>3907</v>
      </c>
      <c r="M232">
        <f>IFERROR(INDEX(装备库!$A$2:$Y$1047,MATCH(ROW()-1,装备库!$AO$2:$AO$1046,0),COLUMN()),"")</f>
        <v>0</v>
      </c>
      <c r="N232">
        <f>IFERROR(INDEX(装备库!$A$2:$Y$1047,MATCH(ROW()-1,装备库!$AO$2:$AO$1046,0),COLUMN()),"")</f>
        <v>0</v>
      </c>
      <c r="O232">
        <f>IFERROR(INDEX(装备库!$A$2:$Y$1047,MATCH(ROW()-1,装备库!$AO$2:$AO$1046,0),COLUMN()),"")</f>
        <v>0</v>
      </c>
      <c r="P232">
        <f>IFERROR(INDEX(装备库!$A$2:$Y$1047,MATCH(ROW()-1,装备库!$AO$2:$AO$1046,0),COLUMN()),"")</f>
        <v>0</v>
      </c>
      <c r="Q232">
        <f>IFERROR(INDEX(装备库!$A$2:$Y$1047,MATCH(ROW()-1,装备库!$AO$2:$AO$1046,0),COLUMN()),"")</f>
        <v>1</v>
      </c>
      <c r="R232">
        <f>IFERROR(INDEX(装备库!$A$2:$Y$1047,MATCH(ROW()-1,装备库!$AO$2:$AO$1046,0),COLUMN()),"")</f>
        <v>0</v>
      </c>
      <c r="S232">
        <f>IFERROR(INDEX(装备库!$A$2:$Y$1047,MATCH(ROW()-1,装备库!$AO$2:$AO$1046,0),COLUMN()),"")</f>
        <v>0</v>
      </c>
      <c r="T232">
        <f>IFERROR(INDEX(装备库!$A$2:$Y$1047,MATCH(ROW()-1,装备库!$AO$2:$AO$1046,0),COLUMN()),"")</f>
        <v>1</v>
      </c>
      <c r="U232">
        <f>IFERROR(INDEX(装备库!$A$2:$Y$1047,MATCH(ROW()-1,装备库!$AO$2:$AO$1046,0),COLUMN()),"")</f>
        <v>0</v>
      </c>
      <c r="V232">
        <f>IFERROR(INDEX(装备库!$A$2:$Y$1047,MATCH(ROW()-1,装备库!$AO$2:$AO$1046,0),COLUMN()),"")</f>
        <v>0</v>
      </c>
      <c r="W232" t="str">
        <f>IFERROR(INDEX(装备库!$A$2:$Y$1047,MATCH(ROW()-1,装备库!$AO$2:$AO$1046,0),COLUMN()),"")</f>
        <v>速无</v>
      </c>
      <c r="X232">
        <f>IFERROR(INDEX(装备库!$A$2:$Y$1047,MATCH(ROW()-1,装备库!$AO$2:$AO$1046,0),COLUMN()),"")</f>
        <v>6</v>
      </c>
      <c r="Y232" t="str">
        <f>IFERROR(INDEX(装备库!$A$2:$Y$1047,MATCH(ROW()-1,装备库!$AO$2:$AO$1046,0),COLUMN()),"")</f>
        <v>副本</v>
      </c>
    </row>
    <row r="233" spans="1:25" x14ac:dyDescent="0.35">
      <c r="A233" t="str">
        <f>IFERROR(INDEX(装备库!$A$2:$Y$1047,MATCH(ROW()-1,装备库!$AO$2:$AO$1046,0),COLUMN()),"")</f>
        <v>裤子</v>
      </c>
      <c r="B233" t="str">
        <f>IFERROR(INDEX(装备库!$A$2:$Y$1047,MATCH(ROW()-1,装备库!$AO$2:$AO$1046,0),COLUMN()),"")</f>
        <v>客行江湖·凶炽下裳</v>
      </c>
      <c r="C233">
        <f>IFERROR(INDEX(装备库!$A$2:$Y$1047,MATCH(ROW()-1,装备库!$AO$2:$AO$1046,0),COLUMN()),"")</f>
        <v>11150</v>
      </c>
      <c r="D233" t="str">
        <f>IFERROR(INDEX(装备库!$A$2:$Y$1047,MATCH(ROW()-1,装备库!$AO$2:$AO$1046,0),COLUMN()),"")</f>
        <v>客行江湖·凶炽下裳(11150破无)</v>
      </c>
      <c r="E233">
        <f>IFERROR(INDEX(装备库!$A$2:$Y$1047,MATCH(ROW()-1,装备库!$AO$2:$AO$1046,0),COLUMN()),"")</f>
        <v>779</v>
      </c>
      <c r="F233">
        <f>IFERROR(INDEX(装备库!$A$2:$Y$1047,MATCH(ROW()-1,装备库!$AO$2:$AO$1046,0),COLUMN()),"")</f>
        <v>1263</v>
      </c>
      <c r="G233">
        <f>IFERROR(INDEX(装备库!$A$2:$Y$1047,MATCH(ROW()-1,装备库!$AO$2:$AO$1046,0),COLUMN()),"")</f>
        <v>0</v>
      </c>
      <c r="H233">
        <f>IFERROR(INDEX(装备库!$A$2:$Y$1047,MATCH(ROW()-1,装备库!$AO$2:$AO$1046,0),COLUMN()),"")</f>
        <v>0</v>
      </c>
      <c r="I233">
        <f>IFERROR(INDEX(装备库!$A$2:$Y$1047,MATCH(ROW()-1,装备库!$AO$2:$AO$1046,0),COLUMN()),"")</f>
        <v>3907</v>
      </c>
      <c r="J233">
        <f>IFERROR(INDEX(装备库!$A$2:$Y$1047,MATCH(ROW()-1,装备库!$AO$2:$AO$1046,0),COLUMN()),"")</f>
        <v>0</v>
      </c>
      <c r="K233">
        <f>IFERROR(INDEX(装备库!$A$2:$Y$1047,MATCH(ROW()-1,装备库!$AO$2:$AO$1046,0),COLUMN()),"")</f>
        <v>3472</v>
      </c>
      <c r="L233">
        <f>IFERROR(INDEX(装备库!$A$2:$Y$1047,MATCH(ROW()-1,装备库!$AO$2:$AO$1046,0),COLUMN()),"")</f>
        <v>0</v>
      </c>
      <c r="M233">
        <f>IFERROR(INDEX(装备库!$A$2:$Y$1047,MATCH(ROW()-1,装备库!$AO$2:$AO$1046,0),COLUMN()),"")</f>
        <v>0</v>
      </c>
      <c r="N233">
        <f>IFERROR(INDEX(装备库!$A$2:$Y$1047,MATCH(ROW()-1,装备库!$AO$2:$AO$1046,0),COLUMN()),"")</f>
        <v>0</v>
      </c>
      <c r="O233">
        <f>IFERROR(INDEX(装备库!$A$2:$Y$1047,MATCH(ROW()-1,装备库!$AO$2:$AO$1046,0),COLUMN()),"")</f>
        <v>0</v>
      </c>
      <c r="P233">
        <f>IFERROR(INDEX(装备库!$A$2:$Y$1047,MATCH(ROW()-1,装备库!$AO$2:$AO$1046,0),COLUMN()),"")</f>
        <v>1</v>
      </c>
      <c r="Q233">
        <f>IFERROR(INDEX(装备库!$A$2:$Y$1047,MATCH(ROW()-1,装备库!$AO$2:$AO$1046,0),COLUMN()),"")</f>
        <v>1</v>
      </c>
      <c r="R233">
        <f>IFERROR(INDEX(装备库!$A$2:$Y$1047,MATCH(ROW()-1,装备库!$AO$2:$AO$1046,0),COLUMN()),"")</f>
        <v>0</v>
      </c>
      <c r="S233">
        <f>IFERROR(INDEX(装备库!$A$2:$Y$1047,MATCH(ROW()-1,装备库!$AO$2:$AO$1046,0),COLUMN()),"")</f>
        <v>0</v>
      </c>
      <c r="T233">
        <f>IFERROR(INDEX(装备库!$A$2:$Y$1047,MATCH(ROW()-1,装备库!$AO$2:$AO$1046,0),COLUMN()),"")</f>
        <v>0</v>
      </c>
      <c r="U233">
        <f>IFERROR(INDEX(装备库!$A$2:$Y$1047,MATCH(ROW()-1,装备库!$AO$2:$AO$1046,0),COLUMN()),"")</f>
        <v>0</v>
      </c>
      <c r="V233">
        <f>IFERROR(INDEX(装备库!$A$2:$Y$1047,MATCH(ROW()-1,装备库!$AO$2:$AO$1046,0),COLUMN()),"")</f>
        <v>0</v>
      </c>
      <c r="W233" t="str">
        <f>IFERROR(INDEX(装备库!$A$2:$Y$1047,MATCH(ROW()-1,装备库!$AO$2:$AO$1046,0),COLUMN()),"")</f>
        <v>破无</v>
      </c>
      <c r="X233">
        <f>IFERROR(INDEX(装备库!$A$2:$Y$1047,MATCH(ROW()-1,装备库!$AO$2:$AO$1046,0),COLUMN()),"")</f>
        <v>6</v>
      </c>
      <c r="Y233" t="str">
        <f>IFERROR(INDEX(装备库!$A$2:$Y$1047,MATCH(ROW()-1,装备库!$AO$2:$AO$1046,0),COLUMN()),"")</f>
        <v>浪客笺</v>
      </c>
    </row>
    <row r="234" spans="1:25" x14ac:dyDescent="0.35">
      <c r="A234" t="str">
        <f>IFERROR(INDEX(装备库!$A$2:$Y$1047,MATCH(ROW()-1,装备库!$AO$2:$AO$1046,0),COLUMN()),"")</f>
        <v>裤子</v>
      </c>
      <c r="B234" t="str">
        <f>IFERROR(INDEX(装备库!$A$2:$Y$1047,MATCH(ROW()-1,装备库!$AO$2:$AO$1046,0),COLUMN()),"")</f>
        <v>湘灿裳</v>
      </c>
      <c r="C234">
        <f>IFERROR(INDEX(装备库!$A$2:$Y$1047,MATCH(ROW()-1,装备库!$AO$2:$AO$1046,0),COLUMN()),"")</f>
        <v>11150</v>
      </c>
      <c r="D234" t="str">
        <f>IFERROR(INDEX(装备库!$A$2:$Y$1047,MATCH(ROW()-1,装备库!$AO$2:$AO$1046,0),COLUMN()),"")</f>
        <v>湘灿裳(11150会招)</v>
      </c>
      <c r="E234">
        <f>IFERROR(INDEX(装备库!$A$2:$Y$1047,MATCH(ROW()-1,装备库!$AO$2:$AO$1046,0),COLUMN()),"")</f>
        <v>779</v>
      </c>
      <c r="F234">
        <f>IFERROR(INDEX(装备库!$A$2:$Y$1047,MATCH(ROW()-1,装备库!$AO$2:$AO$1046,0),COLUMN()),"")</f>
        <v>1263</v>
      </c>
      <c r="G234">
        <f>IFERROR(INDEX(装备库!$A$2:$Y$1047,MATCH(ROW()-1,装备库!$AO$2:$AO$1046,0),COLUMN()),"")</f>
        <v>3907</v>
      </c>
      <c r="H234">
        <f>IFERROR(INDEX(装备库!$A$2:$Y$1047,MATCH(ROW()-1,装备库!$AO$2:$AO$1046,0),COLUMN()),"")</f>
        <v>0</v>
      </c>
      <c r="I234">
        <f>IFERROR(INDEX(装备库!$A$2:$Y$1047,MATCH(ROW()-1,装备库!$AO$2:$AO$1046,0),COLUMN()),"")</f>
        <v>0</v>
      </c>
      <c r="J234">
        <f>IFERROR(INDEX(装备库!$A$2:$Y$1047,MATCH(ROW()-1,装备库!$AO$2:$AO$1046,0),COLUMN()),"")</f>
        <v>3472</v>
      </c>
      <c r="K234">
        <f>IFERROR(INDEX(装备库!$A$2:$Y$1047,MATCH(ROW()-1,装备库!$AO$2:$AO$1046,0),COLUMN()),"")</f>
        <v>0</v>
      </c>
      <c r="L234">
        <f>IFERROR(INDEX(装备库!$A$2:$Y$1047,MATCH(ROW()-1,装备库!$AO$2:$AO$1046,0),COLUMN()),"")</f>
        <v>0</v>
      </c>
      <c r="M234">
        <f>IFERROR(INDEX(装备库!$A$2:$Y$1047,MATCH(ROW()-1,装备库!$AO$2:$AO$1046,0),COLUMN()),"")</f>
        <v>0</v>
      </c>
      <c r="N234">
        <f>IFERROR(INDEX(装备库!$A$2:$Y$1047,MATCH(ROW()-1,装备库!$AO$2:$AO$1046,0),COLUMN()),"")</f>
        <v>0</v>
      </c>
      <c r="O234">
        <f>IFERROR(INDEX(装备库!$A$2:$Y$1047,MATCH(ROW()-1,装备库!$AO$2:$AO$1046,0),COLUMN()),"")</f>
        <v>0</v>
      </c>
      <c r="P234">
        <f>IFERROR(INDEX(装备库!$A$2:$Y$1047,MATCH(ROW()-1,装备库!$AO$2:$AO$1046,0),COLUMN()),"")</f>
        <v>0</v>
      </c>
      <c r="Q234">
        <f>IFERROR(INDEX(装备库!$A$2:$Y$1047,MATCH(ROW()-1,装备库!$AO$2:$AO$1046,0),COLUMN()),"")</f>
        <v>0</v>
      </c>
      <c r="R234">
        <f>IFERROR(INDEX(装备库!$A$2:$Y$1047,MATCH(ROW()-1,装备库!$AO$2:$AO$1046,0),COLUMN()),"")</f>
        <v>0</v>
      </c>
      <c r="S234">
        <f>IFERROR(INDEX(装备库!$A$2:$Y$1047,MATCH(ROW()-1,装备库!$AO$2:$AO$1046,0),COLUMN()),"")</f>
        <v>1</v>
      </c>
      <c r="T234">
        <f>IFERROR(INDEX(装备库!$A$2:$Y$1047,MATCH(ROW()-1,装备库!$AO$2:$AO$1046,0),COLUMN()),"")</f>
        <v>1</v>
      </c>
      <c r="U234">
        <f>IFERROR(INDEX(装备库!$A$2:$Y$1047,MATCH(ROW()-1,装备库!$AO$2:$AO$1046,0),COLUMN()),"")</f>
        <v>0</v>
      </c>
      <c r="V234">
        <f>IFERROR(INDEX(装备库!$A$2:$Y$1047,MATCH(ROW()-1,装备库!$AO$2:$AO$1046,0),COLUMN()),"")</f>
        <v>0</v>
      </c>
      <c r="W234" t="str">
        <f>IFERROR(INDEX(装备库!$A$2:$Y$1047,MATCH(ROW()-1,装备库!$AO$2:$AO$1046,0),COLUMN()),"")</f>
        <v>会招</v>
      </c>
      <c r="X234">
        <f>IFERROR(INDEX(装备库!$A$2:$Y$1047,MATCH(ROW()-1,装备库!$AO$2:$AO$1046,0),COLUMN()),"")</f>
        <v>6</v>
      </c>
      <c r="Y234" t="str">
        <f>IFERROR(INDEX(装备库!$A$2:$Y$1047,MATCH(ROW()-1,装备库!$AO$2:$AO$1046,0),COLUMN()),"")</f>
        <v>世界BOSS</v>
      </c>
    </row>
    <row r="235" spans="1:25" x14ac:dyDescent="0.35">
      <c r="A235" t="str">
        <f>IFERROR(INDEX(装备库!$A$2:$Y$1047,MATCH(ROW()-1,装备库!$AO$2:$AO$1046,0),COLUMN()),"")</f>
        <v>裤子</v>
      </c>
      <c r="B235" t="str">
        <f>IFERROR(INDEX(装备库!$A$2:$Y$1047,MATCH(ROW()-1,装备库!$AO$2:$AO$1046,0),COLUMN()),"")</f>
        <v>熙雍裤</v>
      </c>
      <c r="C235">
        <f>IFERROR(INDEX(装备库!$A$2:$Y$1047,MATCH(ROW()-1,装备库!$AO$2:$AO$1046,0),COLUMN()),"")</f>
        <v>11150</v>
      </c>
      <c r="D235" t="str">
        <f>IFERROR(INDEX(装备库!$A$2:$Y$1047,MATCH(ROW()-1,装备库!$AO$2:$AO$1046,0),COLUMN()),"")</f>
        <v>熙雍裤(11150精简体攻招无)</v>
      </c>
      <c r="E235">
        <f>IFERROR(INDEX(装备库!$A$2:$Y$1047,MATCH(ROW()-1,装备库!$AO$2:$AO$1046,0),COLUMN()),"")</f>
        <v>0</v>
      </c>
      <c r="F235">
        <f>IFERROR(INDEX(装备库!$A$2:$Y$1047,MATCH(ROW()-1,装备库!$AO$2:$AO$1046,0),COLUMN()),"")</f>
        <v>2332</v>
      </c>
      <c r="G235">
        <f>IFERROR(INDEX(装备库!$A$2:$Y$1047,MATCH(ROW()-1,装备库!$AO$2:$AO$1046,0),COLUMN()),"")</f>
        <v>0</v>
      </c>
      <c r="H235">
        <f>IFERROR(INDEX(装备库!$A$2:$Y$1047,MATCH(ROW()-1,装备库!$AO$2:$AO$1046,0),COLUMN()),"")</f>
        <v>0</v>
      </c>
      <c r="I235">
        <f>IFERROR(INDEX(装备库!$A$2:$Y$1047,MATCH(ROW()-1,装备库!$AO$2:$AO$1046,0),COLUMN()),"")</f>
        <v>0</v>
      </c>
      <c r="J235">
        <f>IFERROR(INDEX(装备库!$A$2:$Y$1047,MATCH(ROW()-1,装备库!$AO$2:$AO$1046,0),COLUMN()),"")</f>
        <v>2279</v>
      </c>
      <c r="K235">
        <f>IFERROR(INDEX(装备库!$A$2:$Y$1047,MATCH(ROW()-1,装备库!$AO$2:$AO$1046,0),COLUMN()),"")</f>
        <v>6945</v>
      </c>
      <c r="L235">
        <f>IFERROR(INDEX(装备库!$A$2:$Y$1047,MATCH(ROW()-1,装备库!$AO$2:$AO$1046,0),COLUMN()),"")</f>
        <v>0</v>
      </c>
      <c r="M235">
        <f>IFERROR(INDEX(装备库!$A$2:$Y$1047,MATCH(ROW()-1,装备库!$AO$2:$AO$1046,0),COLUMN()),"")</f>
        <v>0</v>
      </c>
      <c r="N235">
        <f>IFERROR(INDEX(装备库!$A$2:$Y$1047,MATCH(ROW()-1,装备库!$AO$2:$AO$1046,0),COLUMN()),"")</f>
        <v>0</v>
      </c>
      <c r="O235">
        <f>IFERROR(INDEX(装备库!$A$2:$Y$1047,MATCH(ROW()-1,装备库!$AO$2:$AO$1046,0),COLUMN()),"")</f>
        <v>0</v>
      </c>
      <c r="P235">
        <f>IFERROR(INDEX(装备库!$A$2:$Y$1047,MATCH(ROW()-1,装备库!$AO$2:$AO$1046,0),COLUMN()),"")</f>
        <v>0</v>
      </c>
      <c r="Q235">
        <f>IFERROR(INDEX(装备库!$A$2:$Y$1047,MATCH(ROW()-1,装备库!$AO$2:$AO$1046,0),COLUMN()),"")</f>
        <v>0</v>
      </c>
      <c r="R235">
        <f>IFERROR(INDEX(装备库!$A$2:$Y$1047,MATCH(ROW()-1,装备库!$AO$2:$AO$1046,0),COLUMN()),"")</f>
        <v>0</v>
      </c>
      <c r="S235">
        <f>IFERROR(INDEX(装备库!$A$2:$Y$1047,MATCH(ROW()-1,装备库!$AO$2:$AO$1046,0),COLUMN()),"")</f>
        <v>1</v>
      </c>
      <c r="T235">
        <f>IFERROR(INDEX(装备库!$A$2:$Y$1047,MATCH(ROW()-1,装备库!$AO$2:$AO$1046,0),COLUMN()),"")</f>
        <v>0</v>
      </c>
      <c r="U235">
        <f>IFERROR(INDEX(装备库!$A$2:$Y$1047,MATCH(ROW()-1,装备库!$AO$2:$AO$1046,0),COLUMN()),"")</f>
        <v>1</v>
      </c>
      <c r="V235">
        <f>IFERROR(INDEX(装备库!$A$2:$Y$1047,MATCH(ROW()-1,装备库!$AO$2:$AO$1046,0),COLUMN()),"")</f>
        <v>0</v>
      </c>
      <c r="W235" t="str">
        <f>IFERROR(INDEX(装备库!$A$2:$Y$1047,MATCH(ROW()-1,装备库!$AO$2:$AO$1046,0),COLUMN()),"")</f>
        <v>精简体攻招无</v>
      </c>
      <c r="X235">
        <f>IFERROR(INDEX(装备库!$A$2:$Y$1047,MATCH(ROW()-1,装备库!$AO$2:$AO$1046,0),COLUMN()),"")</f>
        <v>4</v>
      </c>
      <c r="Y235" t="str">
        <f>IFERROR(INDEX(装备库!$A$2:$Y$1047,MATCH(ROW()-1,装备库!$AO$2:$AO$1046,0),COLUMN()),"")</f>
        <v>副本</v>
      </c>
    </row>
    <row r="236" spans="1:25" x14ac:dyDescent="0.35">
      <c r="A236" t="str">
        <f>IFERROR(INDEX(装备库!$A$2:$Y$1047,MATCH(ROW()-1,装备库!$AO$2:$AO$1046,0),COLUMN()),"")</f>
        <v>裤子</v>
      </c>
      <c r="B236" t="str">
        <f>IFERROR(INDEX(装备库!$A$2:$Y$1047,MATCH(ROW()-1,装备库!$AO$2:$AO$1046,0),COLUMN()),"")</f>
        <v>有隅裤</v>
      </c>
      <c r="C236">
        <f>IFERROR(INDEX(装备库!$A$2:$Y$1047,MATCH(ROW()-1,装备库!$AO$2:$AO$1046,0),COLUMN()),"")</f>
        <v>11150</v>
      </c>
      <c r="D236" t="str">
        <f>IFERROR(INDEX(装备库!$A$2:$Y$1047,MATCH(ROW()-1,装备库!$AO$2:$AO$1046,0),COLUMN()),"")</f>
        <v>有隅裤(11150精简体攻招破)</v>
      </c>
      <c r="E236">
        <f>IFERROR(INDEX(装备库!$A$2:$Y$1047,MATCH(ROW()-1,装备库!$AO$2:$AO$1046,0),COLUMN()),"")</f>
        <v>0</v>
      </c>
      <c r="F236">
        <f>IFERROR(INDEX(装备库!$A$2:$Y$1047,MATCH(ROW()-1,装备库!$AO$2:$AO$1046,0),COLUMN()),"")</f>
        <v>2720</v>
      </c>
      <c r="G236">
        <f>IFERROR(INDEX(装备库!$A$2:$Y$1047,MATCH(ROW()-1,装备库!$AO$2:$AO$1046,0),COLUMN()),"")</f>
        <v>0</v>
      </c>
      <c r="H236">
        <f>IFERROR(INDEX(装备库!$A$2:$Y$1047,MATCH(ROW()-1,装备库!$AO$2:$AO$1046,0),COLUMN()),"")</f>
        <v>0</v>
      </c>
      <c r="I236">
        <f>IFERROR(INDEX(装备库!$A$2:$Y$1047,MATCH(ROW()-1,装备库!$AO$2:$AO$1046,0),COLUMN()),"")</f>
        <v>4124</v>
      </c>
      <c r="J236">
        <f>IFERROR(INDEX(装备库!$A$2:$Y$1047,MATCH(ROW()-1,装备库!$AO$2:$AO$1046,0),COLUMN()),"")</f>
        <v>4124</v>
      </c>
      <c r="K236">
        <f>IFERROR(INDEX(装备库!$A$2:$Y$1047,MATCH(ROW()-1,装备库!$AO$2:$AO$1046,0),COLUMN()),"")</f>
        <v>0</v>
      </c>
      <c r="L236">
        <f>IFERROR(INDEX(装备库!$A$2:$Y$1047,MATCH(ROW()-1,装备库!$AO$2:$AO$1046,0),COLUMN()),"")</f>
        <v>0</v>
      </c>
      <c r="M236">
        <f>IFERROR(INDEX(装备库!$A$2:$Y$1047,MATCH(ROW()-1,装备库!$AO$2:$AO$1046,0),COLUMN()),"")</f>
        <v>0</v>
      </c>
      <c r="N236">
        <f>IFERROR(INDEX(装备库!$A$2:$Y$1047,MATCH(ROW()-1,装备库!$AO$2:$AO$1046,0),COLUMN()),"")</f>
        <v>0</v>
      </c>
      <c r="O236">
        <f>IFERROR(INDEX(装备库!$A$2:$Y$1047,MATCH(ROW()-1,装备库!$AO$2:$AO$1046,0),COLUMN()),"")</f>
        <v>0</v>
      </c>
      <c r="P236">
        <f>IFERROR(INDEX(装备库!$A$2:$Y$1047,MATCH(ROW()-1,装备库!$AO$2:$AO$1046,0),COLUMN()),"")</f>
        <v>1</v>
      </c>
      <c r="Q236">
        <f>IFERROR(INDEX(装备库!$A$2:$Y$1047,MATCH(ROW()-1,装备库!$AO$2:$AO$1046,0),COLUMN()),"")</f>
        <v>1</v>
      </c>
      <c r="R236">
        <f>IFERROR(INDEX(装备库!$A$2:$Y$1047,MATCH(ROW()-1,装备库!$AO$2:$AO$1046,0),COLUMN()),"")</f>
        <v>0</v>
      </c>
      <c r="S236">
        <f>IFERROR(INDEX(装备库!$A$2:$Y$1047,MATCH(ROW()-1,装备库!$AO$2:$AO$1046,0),COLUMN()),"")</f>
        <v>0</v>
      </c>
      <c r="T236">
        <f>IFERROR(INDEX(装备库!$A$2:$Y$1047,MATCH(ROW()-1,装备库!$AO$2:$AO$1046,0),COLUMN()),"")</f>
        <v>0</v>
      </c>
      <c r="U236">
        <f>IFERROR(INDEX(装备库!$A$2:$Y$1047,MATCH(ROW()-1,装备库!$AO$2:$AO$1046,0),COLUMN()),"")</f>
        <v>0</v>
      </c>
      <c r="V236">
        <f>IFERROR(INDEX(装备库!$A$2:$Y$1047,MATCH(ROW()-1,装备库!$AO$2:$AO$1046,0),COLUMN()),"")</f>
        <v>0</v>
      </c>
      <c r="W236" t="str">
        <f>IFERROR(INDEX(装备库!$A$2:$Y$1047,MATCH(ROW()-1,装备库!$AO$2:$AO$1046,0),COLUMN()),"")</f>
        <v>精简体攻招破</v>
      </c>
      <c r="X236">
        <f>IFERROR(INDEX(装备库!$A$2:$Y$1047,MATCH(ROW()-1,装备库!$AO$2:$AO$1046,0),COLUMN()),"")</f>
        <v>4</v>
      </c>
      <c r="Y236" t="str">
        <f>IFERROR(INDEX(装备库!$A$2:$Y$1047,MATCH(ROW()-1,装备库!$AO$2:$AO$1046,0),COLUMN()),"")</f>
        <v>副本</v>
      </c>
    </row>
    <row r="237" spans="1:25" x14ac:dyDescent="0.35">
      <c r="A237" t="str">
        <f>IFERROR(INDEX(装备库!$A$2:$Y$1047,MATCH(ROW()-1,装备库!$AO$2:$AO$1046,0),COLUMN()),"")</f>
        <v>裤子</v>
      </c>
      <c r="B237" t="str">
        <f>IFERROR(INDEX(装备库!$A$2:$Y$1047,MATCH(ROW()-1,装备库!$AO$2:$AO$1046,0),COLUMN()),"")</f>
        <v>鳞迹裤</v>
      </c>
      <c r="C237">
        <f>IFERROR(INDEX(装备库!$A$2:$Y$1047,MATCH(ROW()-1,装备库!$AO$2:$AO$1046,0),COLUMN()),"")</f>
        <v>11150</v>
      </c>
      <c r="D237" t="str">
        <f>IFERROR(INDEX(装备库!$A$2:$Y$1047,MATCH(ROW()-1,装备库!$AO$2:$AO$1046,0),COLUMN()),"")</f>
        <v>鳞迹裤(11150精简体攻破无)</v>
      </c>
      <c r="E237">
        <f>IFERROR(INDEX(装备库!$A$2:$Y$1047,MATCH(ROW()-1,装备库!$AO$2:$AO$1046,0),COLUMN()),"")</f>
        <v>0</v>
      </c>
      <c r="F237">
        <f>IFERROR(INDEX(装备库!$A$2:$Y$1047,MATCH(ROW()-1,装备库!$AO$2:$AO$1046,0),COLUMN()),"")</f>
        <v>2332</v>
      </c>
      <c r="G237">
        <f>IFERROR(INDEX(装备库!$A$2:$Y$1047,MATCH(ROW()-1,装备库!$AO$2:$AO$1046,0),COLUMN()),"")</f>
        <v>0</v>
      </c>
      <c r="H237">
        <f>IFERROR(INDEX(装备库!$A$2:$Y$1047,MATCH(ROW()-1,装备库!$AO$2:$AO$1046,0),COLUMN()),"")</f>
        <v>0</v>
      </c>
      <c r="I237">
        <f>IFERROR(INDEX(装备库!$A$2:$Y$1047,MATCH(ROW()-1,装备库!$AO$2:$AO$1046,0),COLUMN()),"")</f>
        <v>2387</v>
      </c>
      <c r="J237">
        <f>IFERROR(INDEX(装备库!$A$2:$Y$1047,MATCH(ROW()-1,装备库!$AO$2:$AO$1046,0),COLUMN()),"")</f>
        <v>0</v>
      </c>
      <c r="K237">
        <f>IFERROR(INDEX(装备库!$A$2:$Y$1047,MATCH(ROW()-1,装备库!$AO$2:$AO$1046,0),COLUMN()),"")</f>
        <v>6945</v>
      </c>
      <c r="L237">
        <f>IFERROR(INDEX(装备库!$A$2:$Y$1047,MATCH(ROW()-1,装备库!$AO$2:$AO$1046,0),COLUMN()),"")</f>
        <v>0</v>
      </c>
      <c r="M237">
        <f>IFERROR(INDEX(装备库!$A$2:$Y$1047,MATCH(ROW()-1,装备库!$AO$2:$AO$1046,0),COLUMN()),"")</f>
        <v>0</v>
      </c>
      <c r="N237">
        <f>IFERROR(INDEX(装备库!$A$2:$Y$1047,MATCH(ROW()-1,装备库!$AO$2:$AO$1046,0),COLUMN()),"")</f>
        <v>0</v>
      </c>
      <c r="O237">
        <f>IFERROR(INDEX(装备库!$A$2:$Y$1047,MATCH(ROW()-1,装备库!$AO$2:$AO$1046,0),COLUMN()),"")</f>
        <v>0</v>
      </c>
      <c r="P237">
        <f>IFERROR(INDEX(装备库!$A$2:$Y$1047,MATCH(ROW()-1,装备库!$AO$2:$AO$1046,0),COLUMN()),"")</f>
        <v>1</v>
      </c>
      <c r="Q237">
        <f>IFERROR(INDEX(装备库!$A$2:$Y$1047,MATCH(ROW()-1,装备库!$AO$2:$AO$1046,0),COLUMN()),"")</f>
        <v>0</v>
      </c>
      <c r="R237">
        <f>IFERROR(INDEX(装备库!$A$2:$Y$1047,MATCH(ROW()-1,装备库!$AO$2:$AO$1046,0),COLUMN()),"")</f>
        <v>0</v>
      </c>
      <c r="S237">
        <f>IFERROR(INDEX(装备库!$A$2:$Y$1047,MATCH(ROW()-1,装备库!$AO$2:$AO$1046,0),COLUMN()),"")</f>
        <v>0</v>
      </c>
      <c r="T237">
        <f>IFERROR(INDEX(装备库!$A$2:$Y$1047,MATCH(ROW()-1,装备库!$AO$2:$AO$1046,0),COLUMN()),"")</f>
        <v>1</v>
      </c>
      <c r="U237">
        <f>IFERROR(INDEX(装备库!$A$2:$Y$1047,MATCH(ROW()-1,装备库!$AO$2:$AO$1046,0),COLUMN()),"")</f>
        <v>0</v>
      </c>
      <c r="V237">
        <f>IFERROR(INDEX(装备库!$A$2:$Y$1047,MATCH(ROW()-1,装备库!$AO$2:$AO$1046,0),COLUMN()),"")</f>
        <v>0</v>
      </c>
      <c r="W237" t="str">
        <f>IFERROR(INDEX(装备库!$A$2:$Y$1047,MATCH(ROW()-1,装备库!$AO$2:$AO$1046,0),COLUMN()),"")</f>
        <v>精简体攻破无</v>
      </c>
      <c r="X237">
        <f>IFERROR(INDEX(装备库!$A$2:$Y$1047,MATCH(ROW()-1,装备库!$AO$2:$AO$1046,0),COLUMN()),"")</f>
        <v>4</v>
      </c>
      <c r="Y237" t="str">
        <f>IFERROR(INDEX(装备库!$A$2:$Y$1047,MATCH(ROW()-1,装备库!$AO$2:$AO$1046,0),COLUMN()),"")</f>
        <v>副本</v>
      </c>
    </row>
    <row r="238" spans="1:25" x14ac:dyDescent="0.35">
      <c r="A238" t="str">
        <f>IFERROR(INDEX(装备库!$A$2:$Y$1047,MATCH(ROW()-1,装备库!$AO$2:$AO$1046,0),COLUMN()),"")</f>
        <v>裤子</v>
      </c>
      <c r="B238" t="str">
        <f>IFERROR(INDEX(装备库!$A$2:$Y$1047,MATCH(ROW()-1,装备库!$AO$2:$AO$1046,0),COLUMN()),"")</f>
        <v>鼎钧裤</v>
      </c>
      <c r="C238">
        <f>IFERROR(INDEX(装备库!$A$2:$Y$1047,MATCH(ROW()-1,装备库!$AO$2:$AO$1046,0),COLUMN()),"")</f>
        <v>11150</v>
      </c>
      <c r="D238" t="str">
        <f>IFERROR(INDEX(装备库!$A$2:$Y$1047,MATCH(ROW()-1,装备库!$AO$2:$AO$1046,0),COLUMN()),"")</f>
        <v>鼎钧裤(11150精简体攻会无)</v>
      </c>
      <c r="E238">
        <f>IFERROR(INDEX(装备库!$A$2:$Y$1047,MATCH(ROW()-1,装备库!$AO$2:$AO$1046,0),COLUMN()),"")</f>
        <v>0</v>
      </c>
      <c r="F238">
        <f>IFERROR(INDEX(装备库!$A$2:$Y$1047,MATCH(ROW()-1,装备库!$AO$2:$AO$1046,0),COLUMN()),"")</f>
        <v>2332</v>
      </c>
      <c r="G238">
        <f>IFERROR(INDEX(装备库!$A$2:$Y$1047,MATCH(ROW()-1,装备库!$AO$2:$AO$1046,0),COLUMN()),"")</f>
        <v>2387</v>
      </c>
      <c r="H238">
        <f>IFERROR(INDEX(装备库!$A$2:$Y$1047,MATCH(ROW()-1,装备库!$AO$2:$AO$1046,0),COLUMN()),"")</f>
        <v>0</v>
      </c>
      <c r="I238">
        <f>IFERROR(INDEX(装备库!$A$2:$Y$1047,MATCH(ROW()-1,装备库!$AO$2:$AO$1046,0),COLUMN()),"")</f>
        <v>0</v>
      </c>
      <c r="J238">
        <f>IFERROR(INDEX(装备库!$A$2:$Y$1047,MATCH(ROW()-1,装备库!$AO$2:$AO$1046,0),COLUMN()),"")</f>
        <v>0</v>
      </c>
      <c r="K238">
        <f>IFERROR(INDEX(装备库!$A$2:$Y$1047,MATCH(ROW()-1,装备库!$AO$2:$AO$1046,0),COLUMN()),"")</f>
        <v>6945</v>
      </c>
      <c r="L238">
        <f>IFERROR(INDEX(装备库!$A$2:$Y$1047,MATCH(ROW()-1,装备库!$AO$2:$AO$1046,0),COLUMN()),"")</f>
        <v>0</v>
      </c>
      <c r="M238">
        <f>IFERROR(INDEX(装备库!$A$2:$Y$1047,MATCH(ROW()-1,装备库!$AO$2:$AO$1046,0),COLUMN()),"")</f>
        <v>0</v>
      </c>
      <c r="N238">
        <f>IFERROR(INDEX(装备库!$A$2:$Y$1047,MATCH(ROW()-1,装备库!$AO$2:$AO$1046,0),COLUMN()),"")</f>
        <v>0</v>
      </c>
      <c r="O238">
        <f>IFERROR(INDEX(装备库!$A$2:$Y$1047,MATCH(ROW()-1,装备库!$AO$2:$AO$1046,0),COLUMN()),"")</f>
        <v>0</v>
      </c>
      <c r="P238">
        <f>IFERROR(INDEX(装备库!$A$2:$Y$1047,MATCH(ROW()-1,装备库!$AO$2:$AO$1046,0),COLUMN()),"")</f>
        <v>1</v>
      </c>
      <c r="Q238">
        <f>IFERROR(INDEX(装备库!$A$2:$Y$1047,MATCH(ROW()-1,装备库!$AO$2:$AO$1046,0),COLUMN()),"")</f>
        <v>0</v>
      </c>
      <c r="R238">
        <f>IFERROR(INDEX(装备库!$A$2:$Y$1047,MATCH(ROW()-1,装备库!$AO$2:$AO$1046,0),COLUMN()),"")</f>
        <v>0</v>
      </c>
      <c r="S238">
        <f>IFERROR(INDEX(装备库!$A$2:$Y$1047,MATCH(ROW()-1,装备库!$AO$2:$AO$1046,0),COLUMN()),"")</f>
        <v>0</v>
      </c>
      <c r="T238">
        <f>IFERROR(INDEX(装备库!$A$2:$Y$1047,MATCH(ROW()-1,装备库!$AO$2:$AO$1046,0),COLUMN()),"")</f>
        <v>1</v>
      </c>
      <c r="U238">
        <f>IFERROR(INDEX(装备库!$A$2:$Y$1047,MATCH(ROW()-1,装备库!$AO$2:$AO$1046,0),COLUMN()),"")</f>
        <v>0</v>
      </c>
      <c r="V238">
        <f>IFERROR(INDEX(装备库!$A$2:$Y$1047,MATCH(ROW()-1,装备库!$AO$2:$AO$1046,0),COLUMN()),"")</f>
        <v>0</v>
      </c>
      <c r="W238" t="str">
        <f>IFERROR(INDEX(装备库!$A$2:$Y$1047,MATCH(ROW()-1,装备库!$AO$2:$AO$1046,0),COLUMN()),"")</f>
        <v>精简体攻会无</v>
      </c>
      <c r="X238">
        <f>IFERROR(INDEX(装备库!$A$2:$Y$1047,MATCH(ROW()-1,装备库!$AO$2:$AO$1046,0),COLUMN()),"")</f>
        <v>4</v>
      </c>
      <c r="Y238" t="str">
        <f>IFERROR(INDEX(装备库!$A$2:$Y$1047,MATCH(ROW()-1,装备库!$AO$2:$AO$1046,0),COLUMN()),"")</f>
        <v>副本</v>
      </c>
    </row>
    <row r="239" spans="1:25" x14ac:dyDescent="0.35">
      <c r="A239" t="str">
        <f>IFERROR(INDEX(装备库!$A$2:$Y$1047,MATCH(ROW()-1,装备库!$AO$2:$AO$1046,0),COLUMN()),"")</f>
        <v>裤子</v>
      </c>
      <c r="B239" t="str">
        <f>IFERROR(INDEX(装备库!$A$2:$Y$1047,MATCH(ROW()-1,装备库!$AO$2:$AO$1046,0),COLUMN()),"")</f>
        <v>暮祁裤</v>
      </c>
      <c r="C239">
        <f>IFERROR(INDEX(装备库!$A$2:$Y$1047,MATCH(ROW()-1,装备库!$AO$2:$AO$1046,0),COLUMN()),"")</f>
        <v>11300</v>
      </c>
      <c r="D239" t="str">
        <f>IFERROR(INDEX(装备库!$A$2:$Y$1047,MATCH(ROW()-1,装备库!$AO$2:$AO$1046,0),COLUMN()),"")</f>
        <v>暮祁裤(11300会无)</v>
      </c>
      <c r="E239">
        <f>IFERROR(INDEX(装备库!$A$2:$Y$1047,MATCH(ROW()-1,装备库!$AO$2:$AO$1046,0),COLUMN()),"")</f>
        <v>789</v>
      </c>
      <c r="F239">
        <f>IFERROR(INDEX(装备库!$A$2:$Y$1047,MATCH(ROW()-1,装备库!$AO$2:$AO$1046,0),COLUMN()),"")</f>
        <v>1280</v>
      </c>
      <c r="G239">
        <f>IFERROR(INDEX(装备库!$A$2:$Y$1047,MATCH(ROW()-1,装备库!$AO$2:$AO$1046,0),COLUMN()),"")</f>
        <v>3959</v>
      </c>
      <c r="H239">
        <f>IFERROR(INDEX(装备库!$A$2:$Y$1047,MATCH(ROW()-1,装备库!$AO$2:$AO$1046,0),COLUMN()),"")</f>
        <v>0</v>
      </c>
      <c r="I239">
        <f>IFERROR(INDEX(装备库!$A$2:$Y$1047,MATCH(ROW()-1,装备库!$AO$2:$AO$1046,0),COLUMN()),"")</f>
        <v>0</v>
      </c>
      <c r="J239">
        <f>IFERROR(INDEX(装备库!$A$2:$Y$1047,MATCH(ROW()-1,装备库!$AO$2:$AO$1046,0),COLUMN()),"")</f>
        <v>0</v>
      </c>
      <c r="K239">
        <f>IFERROR(INDEX(装备库!$A$2:$Y$1047,MATCH(ROW()-1,装备库!$AO$2:$AO$1046,0),COLUMN()),"")</f>
        <v>3519</v>
      </c>
      <c r="L239">
        <f>IFERROR(INDEX(装备库!$A$2:$Y$1047,MATCH(ROW()-1,装备库!$AO$2:$AO$1046,0),COLUMN()),"")</f>
        <v>0</v>
      </c>
      <c r="M239">
        <f>IFERROR(INDEX(装备库!$A$2:$Y$1047,MATCH(ROW()-1,装备库!$AO$2:$AO$1046,0),COLUMN()),"")</f>
        <v>0</v>
      </c>
      <c r="N239">
        <f>IFERROR(INDEX(装备库!$A$2:$Y$1047,MATCH(ROW()-1,装备库!$AO$2:$AO$1046,0),COLUMN()),"")</f>
        <v>0</v>
      </c>
      <c r="O239">
        <f>IFERROR(INDEX(装备库!$A$2:$Y$1047,MATCH(ROW()-1,装备库!$AO$2:$AO$1046,0),COLUMN()),"")</f>
        <v>0</v>
      </c>
      <c r="P239">
        <f>IFERROR(INDEX(装备库!$A$2:$Y$1047,MATCH(ROW()-1,装备库!$AO$2:$AO$1046,0),COLUMN()),"")</f>
        <v>0</v>
      </c>
      <c r="Q239">
        <f>IFERROR(INDEX(装备库!$A$2:$Y$1047,MATCH(ROW()-1,装备库!$AO$2:$AO$1046,0),COLUMN()),"")</f>
        <v>1</v>
      </c>
      <c r="R239">
        <f>IFERROR(INDEX(装备库!$A$2:$Y$1047,MATCH(ROW()-1,装备库!$AO$2:$AO$1046,0),COLUMN()),"")</f>
        <v>0</v>
      </c>
      <c r="S239">
        <f>IFERROR(INDEX(装备库!$A$2:$Y$1047,MATCH(ROW()-1,装备库!$AO$2:$AO$1046,0),COLUMN()),"")</f>
        <v>0</v>
      </c>
      <c r="T239">
        <f>IFERROR(INDEX(装备库!$A$2:$Y$1047,MATCH(ROW()-1,装备库!$AO$2:$AO$1046,0),COLUMN()),"")</f>
        <v>1</v>
      </c>
      <c r="U239">
        <f>IFERROR(INDEX(装备库!$A$2:$Y$1047,MATCH(ROW()-1,装备库!$AO$2:$AO$1046,0),COLUMN()),"")</f>
        <v>0</v>
      </c>
      <c r="V239">
        <f>IFERROR(INDEX(装备库!$A$2:$Y$1047,MATCH(ROW()-1,装备库!$AO$2:$AO$1046,0),COLUMN()),"")</f>
        <v>0</v>
      </c>
      <c r="W239" t="str">
        <f>IFERROR(INDEX(装备库!$A$2:$Y$1047,MATCH(ROW()-1,装备库!$AO$2:$AO$1046,0),COLUMN()),"")</f>
        <v>会无</v>
      </c>
      <c r="X239">
        <f>IFERROR(INDEX(装备库!$A$2:$Y$1047,MATCH(ROW()-1,装备库!$AO$2:$AO$1046,0),COLUMN()),"")</f>
        <v>6</v>
      </c>
      <c r="Y239" t="str">
        <f>IFERROR(INDEX(装备库!$A$2:$Y$1047,MATCH(ROW()-1,装备库!$AO$2:$AO$1046,0),COLUMN()),"")</f>
        <v>生活技能</v>
      </c>
    </row>
    <row r="240" spans="1:25" x14ac:dyDescent="0.35">
      <c r="A240" t="str">
        <f>IFERROR(INDEX(装备库!$A$2:$Y$1047,MATCH(ROW()-1,装备库!$AO$2:$AO$1046,0),COLUMN()),"")</f>
        <v>裤子</v>
      </c>
      <c r="B240" t="str">
        <f>IFERROR(INDEX(装备库!$A$2:$Y$1047,MATCH(ROW()-1,装备库!$AO$2:$AO$1046,0),COLUMN()),"")</f>
        <v>无封裤</v>
      </c>
      <c r="C240">
        <f>IFERROR(INDEX(装备库!$A$2:$Y$1047,MATCH(ROW()-1,装备库!$AO$2:$AO$1046,0),COLUMN()),"")</f>
        <v>11500</v>
      </c>
      <c r="D240" t="str">
        <f>IFERROR(INDEX(装备库!$A$2:$Y$1047,MATCH(ROW()-1,装备库!$AO$2:$AO$1046,0),COLUMN()),"")</f>
        <v>无封裤(11500精简攻招破无)</v>
      </c>
      <c r="E240">
        <f>IFERROR(INDEX(装备库!$A$2:$Y$1047,MATCH(ROW()-1,装备库!$AO$2:$AO$1046,0),COLUMN()),"")</f>
        <v>0</v>
      </c>
      <c r="F240">
        <f>IFERROR(INDEX(装备库!$A$2:$Y$1047,MATCH(ROW()-1,装备库!$AO$2:$AO$1046,0),COLUMN()),"")</f>
        <v>2906</v>
      </c>
      <c r="G240">
        <f>IFERROR(INDEX(装备库!$A$2:$Y$1047,MATCH(ROW()-1,装备库!$AO$2:$AO$1046,0),COLUMN()),"")</f>
        <v>0</v>
      </c>
      <c r="H240">
        <f>IFERROR(INDEX(装备库!$A$2:$Y$1047,MATCH(ROW()-1,装备库!$AO$2:$AO$1046,0),COLUMN()),"")</f>
        <v>0</v>
      </c>
      <c r="I240">
        <f>IFERROR(INDEX(装备库!$A$2:$Y$1047,MATCH(ROW()-1,装备库!$AO$2:$AO$1046,0),COLUMN()),"")</f>
        <v>3805</v>
      </c>
      <c r="J240">
        <f>IFERROR(INDEX(装备库!$A$2:$Y$1047,MATCH(ROW()-1,装备库!$AO$2:$AO$1046,0),COLUMN()),"")</f>
        <v>3134</v>
      </c>
      <c r="K240">
        <f>IFERROR(INDEX(装备库!$A$2:$Y$1047,MATCH(ROW()-1,装备库!$AO$2:$AO$1046,0),COLUMN()),"")</f>
        <v>2238</v>
      </c>
      <c r="L240">
        <f>IFERROR(INDEX(装备库!$A$2:$Y$1047,MATCH(ROW()-1,装备库!$AO$2:$AO$1046,0),COLUMN()),"")</f>
        <v>0</v>
      </c>
      <c r="M240">
        <f>IFERROR(INDEX(装备库!$A$2:$Y$1047,MATCH(ROW()-1,装备库!$AO$2:$AO$1046,0),COLUMN()),"")</f>
        <v>0</v>
      </c>
      <c r="N240">
        <f>IFERROR(INDEX(装备库!$A$2:$Y$1047,MATCH(ROW()-1,装备库!$AO$2:$AO$1046,0),COLUMN()),"")</f>
        <v>0</v>
      </c>
      <c r="O240">
        <f>IFERROR(INDEX(装备库!$A$2:$Y$1047,MATCH(ROW()-1,装备库!$AO$2:$AO$1046,0),COLUMN()),"")</f>
        <v>0</v>
      </c>
      <c r="P240">
        <f>IFERROR(INDEX(装备库!$A$2:$Y$1047,MATCH(ROW()-1,装备库!$AO$2:$AO$1046,0),COLUMN()),"")</f>
        <v>0</v>
      </c>
      <c r="Q240">
        <f>IFERROR(INDEX(装备库!$A$2:$Y$1047,MATCH(ROW()-1,装备库!$AO$2:$AO$1046,0),COLUMN()),"")</f>
        <v>1</v>
      </c>
      <c r="R240">
        <f>IFERROR(INDEX(装备库!$A$2:$Y$1047,MATCH(ROW()-1,装备库!$AO$2:$AO$1046,0),COLUMN()),"")</f>
        <v>0</v>
      </c>
      <c r="S240">
        <f>IFERROR(INDEX(装备库!$A$2:$Y$1047,MATCH(ROW()-1,装备库!$AO$2:$AO$1046,0),COLUMN()),"")</f>
        <v>0</v>
      </c>
      <c r="T240">
        <f>IFERROR(INDEX(装备库!$A$2:$Y$1047,MATCH(ROW()-1,装备库!$AO$2:$AO$1046,0),COLUMN()),"")</f>
        <v>0</v>
      </c>
      <c r="U240">
        <f>IFERROR(INDEX(装备库!$A$2:$Y$1047,MATCH(ROW()-1,装备库!$AO$2:$AO$1046,0),COLUMN()),"")</f>
        <v>1</v>
      </c>
      <c r="V240">
        <f>IFERROR(INDEX(装备库!$A$2:$Y$1047,MATCH(ROW()-1,装备库!$AO$2:$AO$1046,0),COLUMN()),"")</f>
        <v>0</v>
      </c>
      <c r="W240" t="str">
        <f>IFERROR(INDEX(装备库!$A$2:$Y$1047,MATCH(ROW()-1,装备库!$AO$2:$AO$1046,0),COLUMN()),"")</f>
        <v>精简攻招破无</v>
      </c>
      <c r="X240">
        <f>IFERROR(INDEX(装备库!$A$2:$Y$1047,MATCH(ROW()-1,装备库!$AO$2:$AO$1046,0),COLUMN()),"")</f>
        <v>3</v>
      </c>
      <c r="Y240" t="str">
        <f>IFERROR(INDEX(装备库!$A$2:$Y$1047,MATCH(ROW()-1,装备库!$AO$2:$AO$1046,0),COLUMN()),"")</f>
        <v>活动</v>
      </c>
    </row>
    <row r="241" spans="1:25" x14ac:dyDescent="0.35">
      <c r="A241" t="str">
        <f>IFERROR(INDEX(装备库!$A$2:$Y$1047,MATCH(ROW()-1,装备库!$AO$2:$AO$1046,0),COLUMN()),"")</f>
        <v>裤子</v>
      </c>
      <c r="B241" t="str">
        <f>IFERROR(INDEX(装备库!$A$2:$Y$1047,MATCH(ROW()-1,装备库!$AO$2:$AO$1046,0),COLUMN()),"")</f>
        <v>无封裤</v>
      </c>
      <c r="C241">
        <f>IFERROR(INDEX(装备库!$A$2:$Y$1047,MATCH(ROW()-1,装备库!$AO$2:$AO$1046,0),COLUMN()),"")</f>
        <v>11500</v>
      </c>
      <c r="D241" t="str">
        <f>IFERROR(INDEX(装备库!$A$2:$Y$1047,MATCH(ROW()-1,装备库!$AO$2:$AO$1046,0),COLUMN()),"")</f>
        <v>无封裤(11500精简攻无)</v>
      </c>
      <c r="E241">
        <f>IFERROR(INDEX(装备库!$A$2:$Y$1047,MATCH(ROW()-1,装备库!$AO$2:$AO$1046,0),COLUMN()),"")</f>
        <v>0</v>
      </c>
      <c r="F241">
        <f>IFERROR(INDEX(装备库!$A$2:$Y$1047,MATCH(ROW()-1,装备库!$AO$2:$AO$1046,0),COLUMN()),"")</f>
        <v>3407</v>
      </c>
      <c r="G241">
        <f>IFERROR(INDEX(装备库!$A$2:$Y$1047,MATCH(ROW()-1,装备库!$AO$2:$AO$1046,0),COLUMN()),"")</f>
        <v>0</v>
      </c>
      <c r="H241">
        <f>IFERROR(INDEX(装备库!$A$2:$Y$1047,MATCH(ROW()-1,装备库!$AO$2:$AO$1046,0),COLUMN()),"")</f>
        <v>0</v>
      </c>
      <c r="I241">
        <f>IFERROR(INDEX(装备库!$A$2:$Y$1047,MATCH(ROW()-1,装备库!$AO$2:$AO$1046,0),COLUMN()),"")</f>
        <v>0</v>
      </c>
      <c r="J241">
        <f>IFERROR(INDEX(装备库!$A$2:$Y$1047,MATCH(ROW()-1,装备库!$AO$2:$AO$1046,0),COLUMN()),"")</f>
        <v>0</v>
      </c>
      <c r="K241">
        <f>IFERROR(INDEX(装备库!$A$2:$Y$1047,MATCH(ROW()-1,装备库!$AO$2:$AO$1046,0),COLUMN()),"")</f>
        <v>7946</v>
      </c>
      <c r="L241">
        <f>IFERROR(INDEX(装备库!$A$2:$Y$1047,MATCH(ROW()-1,装备库!$AO$2:$AO$1046,0),COLUMN()),"")</f>
        <v>0</v>
      </c>
      <c r="M241">
        <f>IFERROR(INDEX(装备库!$A$2:$Y$1047,MATCH(ROW()-1,装备库!$AO$2:$AO$1046,0),COLUMN()),"")</f>
        <v>0</v>
      </c>
      <c r="N241">
        <f>IFERROR(INDEX(装备库!$A$2:$Y$1047,MATCH(ROW()-1,装备库!$AO$2:$AO$1046,0),COLUMN()),"")</f>
        <v>0</v>
      </c>
      <c r="O241">
        <f>IFERROR(INDEX(装备库!$A$2:$Y$1047,MATCH(ROW()-1,装备库!$AO$2:$AO$1046,0),COLUMN()),"")</f>
        <v>0</v>
      </c>
      <c r="P241">
        <f>IFERROR(INDEX(装备库!$A$2:$Y$1047,MATCH(ROW()-1,装备库!$AO$2:$AO$1046,0),COLUMN()),"")</f>
        <v>0</v>
      </c>
      <c r="Q241">
        <f>IFERROR(INDEX(装备库!$A$2:$Y$1047,MATCH(ROW()-1,装备库!$AO$2:$AO$1046,0),COLUMN()),"")</f>
        <v>0</v>
      </c>
      <c r="R241">
        <f>IFERROR(INDEX(装备库!$A$2:$Y$1047,MATCH(ROW()-1,装备库!$AO$2:$AO$1046,0),COLUMN()),"")</f>
        <v>0</v>
      </c>
      <c r="S241">
        <f>IFERROR(INDEX(装备库!$A$2:$Y$1047,MATCH(ROW()-1,装备库!$AO$2:$AO$1046,0),COLUMN()),"")</f>
        <v>1</v>
      </c>
      <c r="T241">
        <f>IFERROR(INDEX(装备库!$A$2:$Y$1047,MATCH(ROW()-1,装备库!$AO$2:$AO$1046,0),COLUMN()),"")</f>
        <v>0</v>
      </c>
      <c r="U241">
        <f>IFERROR(INDEX(装备库!$A$2:$Y$1047,MATCH(ROW()-1,装备库!$AO$2:$AO$1046,0),COLUMN()),"")</f>
        <v>1</v>
      </c>
      <c r="V241">
        <f>IFERROR(INDEX(装备库!$A$2:$Y$1047,MATCH(ROW()-1,装备库!$AO$2:$AO$1046,0),COLUMN()),"")</f>
        <v>0</v>
      </c>
      <c r="W241" t="str">
        <f>IFERROR(INDEX(装备库!$A$2:$Y$1047,MATCH(ROW()-1,装备库!$AO$2:$AO$1046,0),COLUMN()),"")</f>
        <v>精简攻无</v>
      </c>
      <c r="X241">
        <f>IFERROR(INDEX(装备库!$A$2:$Y$1047,MATCH(ROW()-1,装备库!$AO$2:$AO$1046,0),COLUMN()),"")</f>
        <v>3</v>
      </c>
      <c r="Y241" t="str">
        <f>IFERROR(INDEX(装备库!$A$2:$Y$1047,MATCH(ROW()-1,装备库!$AO$2:$AO$1046,0),COLUMN()),"")</f>
        <v>活动</v>
      </c>
    </row>
    <row r="242" spans="1:25" x14ac:dyDescent="0.35">
      <c r="A242" t="str">
        <f>IFERROR(INDEX(装备库!$A$2:$Y$1047,MATCH(ROW()-1,装备库!$AO$2:$AO$1046,0),COLUMN()),"")</f>
        <v>裤子</v>
      </c>
      <c r="B242" t="str">
        <f>IFERROR(INDEX(装备库!$A$2:$Y$1047,MATCH(ROW()-1,装备库!$AO$2:$AO$1046,0),COLUMN()),"")</f>
        <v>无封裤</v>
      </c>
      <c r="C242">
        <f>IFERROR(INDEX(装备库!$A$2:$Y$1047,MATCH(ROW()-1,装备库!$AO$2:$AO$1046,0),COLUMN()),"")</f>
        <v>11500</v>
      </c>
      <c r="D242" t="str">
        <f>IFERROR(INDEX(装备库!$A$2:$Y$1047,MATCH(ROW()-1,装备库!$AO$2:$AO$1046,0),COLUMN()),"")</f>
        <v>无封裤(11500精简攻会无)</v>
      </c>
      <c r="E242">
        <f>IFERROR(INDEX(装备库!$A$2:$Y$1047,MATCH(ROW()-1,装备库!$AO$2:$AO$1046,0),COLUMN()),"")</f>
        <v>0</v>
      </c>
      <c r="F242">
        <f>IFERROR(INDEX(装备库!$A$2:$Y$1047,MATCH(ROW()-1,装备库!$AO$2:$AO$1046,0),COLUMN()),"")</f>
        <v>2906</v>
      </c>
      <c r="G242">
        <f>IFERROR(INDEX(装备库!$A$2:$Y$1047,MATCH(ROW()-1,装备库!$AO$2:$AO$1046,0),COLUMN()),"")</f>
        <v>4477</v>
      </c>
      <c r="H242">
        <f>IFERROR(INDEX(装备库!$A$2:$Y$1047,MATCH(ROW()-1,装备库!$AO$2:$AO$1046,0),COLUMN()),"")</f>
        <v>0</v>
      </c>
      <c r="I242">
        <f>IFERROR(INDEX(装备库!$A$2:$Y$1047,MATCH(ROW()-1,装备库!$AO$2:$AO$1046,0),COLUMN()),"")</f>
        <v>0</v>
      </c>
      <c r="J242">
        <f>IFERROR(INDEX(装备库!$A$2:$Y$1047,MATCH(ROW()-1,装备库!$AO$2:$AO$1046,0),COLUMN()),"")</f>
        <v>0</v>
      </c>
      <c r="K242">
        <f>IFERROR(INDEX(装备库!$A$2:$Y$1047,MATCH(ROW()-1,装备库!$AO$2:$AO$1046,0),COLUMN()),"")</f>
        <v>4701</v>
      </c>
      <c r="L242">
        <f>IFERROR(INDEX(装备库!$A$2:$Y$1047,MATCH(ROW()-1,装备库!$AO$2:$AO$1046,0),COLUMN()),"")</f>
        <v>0</v>
      </c>
      <c r="M242">
        <f>IFERROR(INDEX(装备库!$A$2:$Y$1047,MATCH(ROW()-1,装备库!$AO$2:$AO$1046,0),COLUMN()),"")</f>
        <v>0</v>
      </c>
      <c r="N242">
        <f>IFERROR(INDEX(装备库!$A$2:$Y$1047,MATCH(ROW()-1,装备库!$AO$2:$AO$1046,0),COLUMN()),"")</f>
        <v>0</v>
      </c>
      <c r="O242">
        <f>IFERROR(INDEX(装备库!$A$2:$Y$1047,MATCH(ROW()-1,装备库!$AO$2:$AO$1046,0),COLUMN()),"")</f>
        <v>0</v>
      </c>
      <c r="P242">
        <f>IFERROR(INDEX(装备库!$A$2:$Y$1047,MATCH(ROW()-1,装备库!$AO$2:$AO$1046,0),COLUMN()),"")</f>
        <v>0</v>
      </c>
      <c r="Q242">
        <f>IFERROR(INDEX(装备库!$A$2:$Y$1047,MATCH(ROW()-1,装备库!$AO$2:$AO$1046,0),COLUMN()),"")</f>
        <v>0</v>
      </c>
      <c r="R242">
        <f>IFERROR(INDEX(装备库!$A$2:$Y$1047,MATCH(ROW()-1,装备库!$AO$2:$AO$1046,0),COLUMN()),"")</f>
        <v>1</v>
      </c>
      <c r="S242">
        <f>IFERROR(INDEX(装备库!$A$2:$Y$1047,MATCH(ROW()-1,装备库!$AO$2:$AO$1046,0),COLUMN()),"")</f>
        <v>0</v>
      </c>
      <c r="T242">
        <f>IFERROR(INDEX(装备库!$A$2:$Y$1047,MATCH(ROW()-1,装备库!$AO$2:$AO$1046,0),COLUMN()),"")</f>
        <v>0</v>
      </c>
      <c r="U242">
        <f>IFERROR(INDEX(装备库!$A$2:$Y$1047,MATCH(ROW()-1,装备库!$AO$2:$AO$1046,0),COLUMN()),"")</f>
        <v>1</v>
      </c>
      <c r="V242">
        <f>IFERROR(INDEX(装备库!$A$2:$Y$1047,MATCH(ROW()-1,装备库!$AO$2:$AO$1046,0),COLUMN()),"")</f>
        <v>0</v>
      </c>
      <c r="W242" t="str">
        <f>IFERROR(INDEX(装备库!$A$2:$Y$1047,MATCH(ROW()-1,装备库!$AO$2:$AO$1046,0),COLUMN()),"")</f>
        <v>精简攻会无</v>
      </c>
      <c r="X242">
        <f>IFERROR(INDEX(装备库!$A$2:$Y$1047,MATCH(ROW()-1,装备库!$AO$2:$AO$1046,0),COLUMN()),"")</f>
        <v>3</v>
      </c>
      <c r="Y242" t="str">
        <f>IFERROR(INDEX(装备库!$A$2:$Y$1047,MATCH(ROW()-1,装备库!$AO$2:$AO$1046,0),COLUMN()),"")</f>
        <v>活动</v>
      </c>
    </row>
    <row r="243" spans="1:25" x14ac:dyDescent="0.35">
      <c r="A243" t="str">
        <f>IFERROR(INDEX(装备库!$A$2:$Y$1047,MATCH(ROW()-1,装备库!$AO$2:$AO$1046,0),COLUMN()),"")</f>
        <v>裤子</v>
      </c>
      <c r="B243" t="str">
        <f>IFERROR(INDEX(装备库!$A$2:$Y$1047,MATCH(ROW()-1,装备库!$AO$2:$AO$1046,0),COLUMN()),"")</f>
        <v>无封裤</v>
      </c>
      <c r="C243">
        <f>IFERROR(INDEX(装备库!$A$2:$Y$1047,MATCH(ROW()-1,装备库!$AO$2:$AO$1046,0),COLUMN()),"")</f>
        <v>12100</v>
      </c>
      <c r="D243" t="str">
        <f>IFERROR(INDEX(装备库!$A$2:$Y$1047,MATCH(ROW()-1,装备库!$AO$2:$AO$1046,0),COLUMN()),"")</f>
        <v>无封裤(12100精简攻破无)</v>
      </c>
      <c r="E243">
        <f>IFERROR(INDEX(装备库!$A$2:$Y$1047,MATCH(ROW()-1,装备库!$AO$2:$AO$1046,0),COLUMN()),"")</f>
        <v>0</v>
      </c>
      <c r="F243">
        <f>IFERROR(INDEX(装备库!$A$2:$Y$1047,MATCH(ROW()-1,装备库!$AO$2:$AO$1046,0),COLUMN()),"")</f>
        <v>3058</v>
      </c>
      <c r="G243">
        <f>IFERROR(INDEX(装备库!$A$2:$Y$1047,MATCH(ROW()-1,装备库!$AO$2:$AO$1046,0),COLUMN()),"")</f>
        <v>0</v>
      </c>
      <c r="H243">
        <f>IFERROR(INDEX(装备库!$A$2:$Y$1047,MATCH(ROW()-1,装备库!$AO$2:$AO$1046,0),COLUMN()),"")</f>
        <v>0</v>
      </c>
      <c r="I243">
        <f>IFERROR(INDEX(装备库!$A$2:$Y$1047,MATCH(ROW()-1,装备库!$AO$2:$AO$1046,0),COLUMN()),"")</f>
        <v>4710</v>
      </c>
      <c r="J243">
        <f>IFERROR(INDEX(装备库!$A$2:$Y$1047,MATCH(ROW()-1,装备库!$AO$2:$AO$1046,0),COLUMN()),"")</f>
        <v>0</v>
      </c>
      <c r="K243">
        <f>IFERROR(INDEX(装备库!$A$2:$Y$1047,MATCH(ROW()-1,装备库!$AO$2:$AO$1046,0),COLUMN()),"")</f>
        <v>4946</v>
      </c>
      <c r="L243">
        <f>IFERROR(INDEX(装备库!$A$2:$Y$1047,MATCH(ROW()-1,装备库!$AO$2:$AO$1046,0),COLUMN()),"")</f>
        <v>0</v>
      </c>
      <c r="M243">
        <f>IFERROR(INDEX(装备库!$A$2:$Y$1047,MATCH(ROW()-1,装备库!$AO$2:$AO$1046,0),COLUMN()),"")</f>
        <v>0</v>
      </c>
      <c r="N243">
        <f>IFERROR(INDEX(装备库!$A$2:$Y$1047,MATCH(ROW()-1,装备库!$AO$2:$AO$1046,0),COLUMN()),"")</f>
        <v>0</v>
      </c>
      <c r="O243">
        <f>IFERROR(INDEX(装备库!$A$2:$Y$1047,MATCH(ROW()-1,装备库!$AO$2:$AO$1046,0),COLUMN()),"")</f>
        <v>0</v>
      </c>
      <c r="P243">
        <f>IFERROR(INDEX(装备库!$A$2:$Y$1047,MATCH(ROW()-1,装备库!$AO$2:$AO$1046,0),COLUMN()),"")</f>
        <v>1</v>
      </c>
      <c r="Q243">
        <f>IFERROR(INDEX(装备库!$A$2:$Y$1047,MATCH(ROW()-1,装备库!$AO$2:$AO$1046,0),COLUMN()),"")</f>
        <v>0</v>
      </c>
      <c r="R243">
        <f>IFERROR(INDEX(装备库!$A$2:$Y$1047,MATCH(ROW()-1,装备库!$AO$2:$AO$1046,0),COLUMN()),"")</f>
        <v>0</v>
      </c>
      <c r="S243">
        <f>IFERROR(INDEX(装备库!$A$2:$Y$1047,MATCH(ROW()-1,装备库!$AO$2:$AO$1046,0),COLUMN()),"")</f>
        <v>0</v>
      </c>
      <c r="T243">
        <f>IFERROR(INDEX(装备库!$A$2:$Y$1047,MATCH(ROW()-1,装备库!$AO$2:$AO$1046,0),COLUMN()),"")</f>
        <v>1</v>
      </c>
      <c r="U243">
        <f>IFERROR(INDEX(装备库!$A$2:$Y$1047,MATCH(ROW()-1,装备库!$AO$2:$AO$1046,0),COLUMN()),"")</f>
        <v>0</v>
      </c>
      <c r="V243">
        <f>IFERROR(INDEX(装备库!$A$2:$Y$1047,MATCH(ROW()-1,装备库!$AO$2:$AO$1046,0),COLUMN()),"")</f>
        <v>0</v>
      </c>
      <c r="W243" t="str">
        <f>IFERROR(INDEX(装备库!$A$2:$Y$1047,MATCH(ROW()-1,装备库!$AO$2:$AO$1046,0),COLUMN()),"")</f>
        <v>精简攻破无</v>
      </c>
      <c r="X243">
        <f>IFERROR(INDEX(装备库!$A$2:$Y$1047,MATCH(ROW()-1,装备库!$AO$2:$AO$1046,0),COLUMN()),"")</f>
        <v>3</v>
      </c>
      <c r="Y243" t="str">
        <f>IFERROR(INDEX(装备库!$A$2:$Y$1047,MATCH(ROW()-1,装备库!$AO$2:$AO$1046,0),COLUMN()),"")</f>
        <v>活动</v>
      </c>
    </row>
    <row r="244" spans="1:25" x14ac:dyDescent="0.35">
      <c r="A244" t="str">
        <f>IFERROR(INDEX(装备库!$A$2:$Y$1047,MATCH(ROW()-1,装备库!$AO$2:$AO$1046,0),COLUMN()),"")</f>
        <v>裤子</v>
      </c>
      <c r="B244" t="str">
        <f>IFERROR(INDEX(装备库!$A$2:$Y$1047,MATCH(ROW()-1,装备库!$AO$2:$AO$1046,0),COLUMN()),"")</f>
        <v>无封裤</v>
      </c>
      <c r="C244">
        <f>IFERROR(INDEX(装备库!$A$2:$Y$1047,MATCH(ROW()-1,装备库!$AO$2:$AO$1046,0),COLUMN()),"")</f>
        <v>12100</v>
      </c>
      <c r="D244" t="str">
        <f>IFERROR(INDEX(装备库!$A$2:$Y$1047,MATCH(ROW()-1,装备库!$AO$2:$AO$1046,0),COLUMN()),"")</f>
        <v>无封裤(12100精简攻会招破)</v>
      </c>
      <c r="E244">
        <f>IFERROR(INDEX(装备库!$A$2:$Y$1047,MATCH(ROW()-1,装备库!$AO$2:$AO$1046,0),COLUMN()),"")</f>
        <v>0</v>
      </c>
      <c r="F244">
        <f>IFERROR(INDEX(装备库!$A$2:$Y$1047,MATCH(ROW()-1,装备库!$AO$2:$AO$1046,0),COLUMN()),"")</f>
        <v>3374</v>
      </c>
      <c r="G244">
        <f>IFERROR(INDEX(装备库!$A$2:$Y$1047,MATCH(ROW()-1,装备库!$AO$2:$AO$1046,0),COLUMN()),"")</f>
        <v>3062</v>
      </c>
      <c r="H244">
        <f>IFERROR(INDEX(装备库!$A$2:$Y$1047,MATCH(ROW()-1,装备库!$AO$2:$AO$1046,0),COLUMN()),"")</f>
        <v>0</v>
      </c>
      <c r="I244">
        <f>IFERROR(INDEX(装备库!$A$2:$Y$1047,MATCH(ROW()-1,装备库!$AO$2:$AO$1046,0),COLUMN()),"")</f>
        <v>3062</v>
      </c>
      <c r="J244">
        <f>IFERROR(INDEX(装备库!$A$2:$Y$1047,MATCH(ROW()-1,装备库!$AO$2:$AO$1046,0),COLUMN()),"")</f>
        <v>2826</v>
      </c>
      <c r="K244">
        <f>IFERROR(INDEX(装备库!$A$2:$Y$1047,MATCH(ROW()-1,装备库!$AO$2:$AO$1046,0),COLUMN()),"")</f>
        <v>0</v>
      </c>
      <c r="L244">
        <f>IFERROR(INDEX(装备库!$A$2:$Y$1047,MATCH(ROW()-1,装备库!$AO$2:$AO$1046,0),COLUMN()),"")</f>
        <v>0</v>
      </c>
      <c r="M244">
        <f>IFERROR(INDEX(装备库!$A$2:$Y$1047,MATCH(ROW()-1,装备库!$AO$2:$AO$1046,0),COLUMN()),"")</f>
        <v>0</v>
      </c>
      <c r="N244">
        <f>IFERROR(INDEX(装备库!$A$2:$Y$1047,MATCH(ROW()-1,装备库!$AO$2:$AO$1046,0),COLUMN()),"")</f>
        <v>0</v>
      </c>
      <c r="O244">
        <f>IFERROR(INDEX(装备库!$A$2:$Y$1047,MATCH(ROW()-1,装备库!$AO$2:$AO$1046,0),COLUMN()),"")</f>
        <v>0</v>
      </c>
      <c r="P244">
        <f>IFERROR(INDEX(装备库!$A$2:$Y$1047,MATCH(ROW()-1,装备库!$AO$2:$AO$1046,0),COLUMN()),"")</f>
        <v>0</v>
      </c>
      <c r="Q244">
        <f>IFERROR(INDEX(装备库!$A$2:$Y$1047,MATCH(ROW()-1,装备库!$AO$2:$AO$1046,0),COLUMN()),"")</f>
        <v>0</v>
      </c>
      <c r="R244">
        <f>IFERROR(INDEX(装备库!$A$2:$Y$1047,MATCH(ROW()-1,装备库!$AO$2:$AO$1046,0),COLUMN()),"")</f>
        <v>1</v>
      </c>
      <c r="S244">
        <f>IFERROR(INDEX(装备库!$A$2:$Y$1047,MATCH(ROW()-1,装备库!$AO$2:$AO$1046,0),COLUMN()),"")</f>
        <v>1</v>
      </c>
      <c r="T244">
        <f>IFERROR(INDEX(装备库!$A$2:$Y$1047,MATCH(ROW()-1,装备库!$AO$2:$AO$1046,0),COLUMN()),"")</f>
        <v>0</v>
      </c>
      <c r="U244">
        <f>IFERROR(INDEX(装备库!$A$2:$Y$1047,MATCH(ROW()-1,装备库!$AO$2:$AO$1046,0),COLUMN()),"")</f>
        <v>0</v>
      </c>
      <c r="V244">
        <f>IFERROR(INDEX(装备库!$A$2:$Y$1047,MATCH(ROW()-1,装备库!$AO$2:$AO$1046,0),COLUMN()),"")</f>
        <v>0</v>
      </c>
      <c r="W244" t="str">
        <f>IFERROR(INDEX(装备库!$A$2:$Y$1047,MATCH(ROW()-1,装备库!$AO$2:$AO$1046,0),COLUMN()),"")</f>
        <v>精简攻会招破</v>
      </c>
      <c r="X244">
        <f>IFERROR(INDEX(装备库!$A$2:$Y$1047,MATCH(ROW()-1,装备库!$AO$2:$AO$1046,0),COLUMN()),"")</f>
        <v>3</v>
      </c>
      <c r="Y244" t="str">
        <f>IFERROR(INDEX(装备库!$A$2:$Y$1047,MATCH(ROW()-1,装备库!$AO$2:$AO$1046,0),COLUMN()),"")</f>
        <v>活动</v>
      </c>
    </row>
    <row r="245" spans="1:25" x14ac:dyDescent="0.35">
      <c r="A245" t="str">
        <f>IFERROR(INDEX(装备库!$A$2:$Y$1047,MATCH(ROW()-1,装备库!$AO$2:$AO$1046,0),COLUMN()),"")</f>
        <v>裤子</v>
      </c>
      <c r="B245" t="str">
        <f>IFERROR(INDEX(装备库!$A$2:$Y$1047,MATCH(ROW()-1,装备库!$AO$2:$AO$1046,0),COLUMN()),"")</f>
        <v>无封裤</v>
      </c>
      <c r="C245">
        <f>IFERROR(INDEX(装备库!$A$2:$Y$1047,MATCH(ROW()-1,装备库!$AO$2:$AO$1046,0),COLUMN()),"")</f>
        <v>12100</v>
      </c>
      <c r="D245" t="str">
        <f>IFERROR(INDEX(装备库!$A$2:$Y$1047,MATCH(ROW()-1,装备库!$AO$2:$AO$1046,0),COLUMN()),"")</f>
        <v>无封裤(12100精简攻会)</v>
      </c>
      <c r="E245">
        <f>IFERROR(INDEX(装备库!$A$2:$Y$1047,MATCH(ROW()-1,装备库!$AO$2:$AO$1046,0),COLUMN()),"")</f>
        <v>0</v>
      </c>
      <c r="F245">
        <f>IFERROR(INDEX(装备库!$A$2:$Y$1047,MATCH(ROW()-1,装备库!$AO$2:$AO$1046,0),COLUMN()),"")</f>
        <v>3585</v>
      </c>
      <c r="G245">
        <f>IFERROR(INDEX(装备库!$A$2:$Y$1047,MATCH(ROW()-1,装备库!$AO$2:$AO$1046,0),COLUMN()),"")</f>
        <v>8361</v>
      </c>
      <c r="H245">
        <f>IFERROR(INDEX(装备库!$A$2:$Y$1047,MATCH(ROW()-1,装备库!$AO$2:$AO$1046,0),COLUMN()),"")</f>
        <v>0</v>
      </c>
      <c r="I245">
        <f>IFERROR(INDEX(装备库!$A$2:$Y$1047,MATCH(ROW()-1,装备库!$AO$2:$AO$1046,0),COLUMN()),"")</f>
        <v>0</v>
      </c>
      <c r="J245">
        <f>IFERROR(INDEX(装备库!$A$2:$Y$1047,MATCH(ROW()-1,装备库!$AO$2:$AO$1046,0),COLUMN()),"")</f>
        <v>0</v>
      </c>
      <c r="K245">
        <f>IFERROR(INDEX(装备库!$A$2:$Y$1047,MATCH(ROW()-1,装备库!$AO$2:$AO$1046,0),COLUMN()),"")</f>
        <v>0</v>
      </c>
      <c r="L245">
        <f>IFERROR(INDEX(装备库!$A$2:$Y$1047,MATCH(ROW()-1,装备库!$AO$2:$AO$1046,0),COLUMN()),"")</f>
        <v>0</v>
      </c>
      <c r="M245">
        <f>IFERROR(INDEX(装备库!$A$2:$Y$1047,MATCH(ROW()-1,装备库!$AO$2:$AO$1046,0),COLUMN()),"")</f>
        <v>0</v>
      </c>
      <c r="N245">
        <f>IFERROR(INDEX(装备库!$A$2:$Y$1047,MATCH(ROW()-1,装备库!$AO$2:$AO$1046,0),COLUMN()),"")</f>
        <v>0</v>
      </c>
      <c r="O245">
        <f>IFERROR(INDEX(装备库!$A$2:$Y$1047,MATCH(ROW()-1,装备库!$AO$2:$AO$1046,0),COLUMN()),"")</f>
        <v>0</v>
      </c>
      <c r="P245">
        <f>IFERROR(INDEX(装备库!$A$2:$Y$1047,MATCH(ROW()-1,装备库!$AO$2:$AO$1046,0),COLUMN()),"")</f>
        <v>0</v>
      </c>
      <c r="Q245">
        <f>IFERROR(INDEX(装备库!$A$2:$Y$1047,MATCH(ROW()-1,装备库!$AO$2:$AO$1046,0),COLUMN()),"")</f>
        <v>1</v>
      </c>
      <c r="R245">
        <f>IFERROR(INDEX(装备库!$A$2:$Y$1047,MATCH(ROW()-1,装备库!$AO$2:$AO$1046,0),COLUMN()),"")</f>
        <v>1</v>
      </c>
      <c r="S245">
        <f>IFERROR(INDEX(装备库!$A$2:$Y$1047,MATCH(ROW()-1,装备库!$AO$2:$AO$1046,0),COLUMN()),"")</f>
        <v>0</v>
      </c>
      <c r="T245">
        <f>IFERROR(INDEX(装备库!$A$2:$Y$1047,MATCH(ROW()-1,装备库!$AO$2:$AO$1046,0),COLUMN()),"")</f>
        <v>0</v>
      </c>
      <c r="U245">
        <f>IFERROR(INDEX(装备库!$A$2:$Y$1047,MATCH(ROW()-1,装备库!$AO$2:$AO$1046,0),COLUMN()),"")</f>
        <v>0</v>
      </c>
      <c r="V245">
        <f>IFERROR(INDEX(装备库!$A$2:$Y$1047,MATCH(ROW()-1,装备库!$AO$2:$AO$1046,0),COLUMN()),"")</f>
        <v>0</v>
      </c>
      <c r="W245" t="str">
        <f>IFERROR(INDEX(装备库!$A$2:$Y$1047,MATCH(ROW()-1,装备库!$AO$2:$AO$1046,0),COLUMN()),"")</f>
        <v>精简攻会</v>
      </c>
      <c r="X245">
        <f>IFERROR(INDEX(装备库!$A$2:$Y$1047,MATCH(ROW()-1,装备库!$AO$2:$AO$1046,0),COLUMN()),"")</f>
        <v>3</v>
      </c>
      <c r="Y245" t="str">
        <f>IFERROR(INDEX(装备库!$A$2:$Y$1047,MATCH(ROW()-1,装备库!$AO$2:$AO$1046,0),COLUMN()),"")</f>
        <v>活动</v>
      </c>
    </row>
    <row r="246" spans="1:25" x14ac:dyDescent="0.35">
      <c r="A246" t="str">
        <f>IFERROR(INDEX(装备库!$A$2:$Y$1047,MATCH(ROW()-1,装备库!$AO$2:$AO$1046,0),COLUMN()),"")</f>
        <v>裤子</v>
      </c>
      <c r="B246" t="str">
        <f>IFERROR(INDEX(装备库!$A$2:$Y$1047,MATCH(ROW()-1,装备库!$AO$2:$AO$1046,0),COLUMN()),"")</f>
        <v>温刃裤</v>
      </c>
      <c r="C246">
        <f>IFERROR(INDEX(装备库!$A$2:$Y$1047,MATCH(ROW()-1,装备库!$AO$2:$AO$1046,0),COLUMN()),"")</f>
        <v>12450</v>
      </c>
      <c r="D246" t="str">
        <f>IFERROR(INDEX(装备库!$A$2:$Y$1047,MATCH(ROW()-1,装备库!$AO$2:$AO$1046,0),COLUMN()),"")</f>
        <v>温刃裤(12450招破)</v>
      </c>
      <c r="E246">
        <f>IFERROR(INDEX(装备库!$A$2:$Y$1047,MATCH(ROW()-1,装备库!$AO$2:$AO$1046,0),COLUMN()),"")</f>
        <v>869</v>
      </c>
      <c r="F246">
        <f>IFERROR(INDEX(装备库!$A$2:$Y$1047,MATCH(ROW()-1,装备库!$AO$2:$AO$1046,0),COLUMN()),"")</f>
        <v>1410</v>
      </c>
      <c r="G246">
        <f>IFERROR(INDEX(装备库!$A$2:$Y$1047,MATCH(ROW()-1,装备库!$AO$2:$AO$1046,0),COLUMN()),"")</f>
        <v>0</v>
      </c>
      <c r="H246">
        <f>IFERROR(INDEX(装备库!$A$2:$Y$1047,MATCH(ROW()-1,装备库!$AO$2:$AO$1046,0),COLUMN()),"")</f>
        <v>0</v>
      </c>
      <c r="I246">
        <f>IFERROR(INDEX(装备库!$A$2:$Y$1047,MATCH(ROW()-1,装备库!$AO$2:$AO$1046,0),COLUMN()),"")</f>
        <v>4362</v>
      </c>
      <c r="J246">
        <f>IFERROR(INDEX(装备库!$A$2:$Y$1047,MATCH(ROW()-1,装备库!$AO$2:$AO$1046,0),COLUMN()),"")</f>
        <v>3877</v>
      </c>
      <c r="K246">
        <f>IFERROR(INDEX(装备库!$A$2:$Y$1047,MATCH(ROW()-1,装备库!$AO$2:$AO$1046,0),COLUMN()),"")</f>
        <v>0</v>
      </c>
      <c r="L246">
        <f>IFERROR(INDEX(装备库!$A$2:$Y$1047,MATCH(ROW()-1,装备库!$AO$2:$AO$1046,0),COLUMN()),"")</f>
        <v>0</v>
      </c>
      <c r="M246">
        <f>IFERROR(INDEX(装备库!$A$2:$Y$1047,MATCH(ROW()-1,装备库!$AO$2:$AO$1046,0),COLUMN()),"")</f>
        <v>0</v>
      </c>
      <c r="N246">
        <f>IFERROR(INDEX(装备库!$A$2:$Y$1047,MATCH(ROW()-1,装备库!$AO$2:$AO$1046,0),COLUMN()),"")</f>
        <v>0</v>
      </c>
      <c r="O246">
        <f>IFERROR(INDEX(装备库!$A$2:$Y$1047,MATCH(ROW()-1,装备库!$AO$2:$AO$1046,0),COLUMN()),"")</f>
        <v>0</v>
      </c>
      <c r="P246">
        <f>IFERROR(INDEX(装备库!$A$2:$Y$1047,MATCH(ROW()-1,装备库!$AO$2:$AO$1046,0),COLUMN()),"")</f>
        <v>0</v>
      </c>
      <c r="Q246">
        <f>IFERROR(INDEX(装备库!$A$2:$Y$1047,MATCH(ROW()-1,装备库!$AO$2:$AO$1046,0),COLUMN()),"")</f>
        <v>0</v>
      </c>
      <c r="R246">
        <f>IFERROR(INDEX(装备库!$A$2:$Y$1047,MATCH(ROW()-1,装备库!$AO$2:$AO$1046,0),COLUMN()),"")</f>
        <v>0</v>
      </c>
      <c r="S246">
        <f>IFERROR(INDEX(装备库!$A$2:$Y$1047,MATCH(ROW()-1,装备库!$AO$2:$AO$1046,0),COLUMN()),"")</f>
        <v>1</v>
      </c>
      <c r="T246">
        <f>IFERROR(INDEX(装备库!$A$2:$Y$1047,MATCH(ROW()-1,装备库!$AO$2:$AO$1046,0),COLUMN()),"")</f>
        <v>1</v>
      </c>
      <c r="U246">
        <f>IFERROR(INDEX(装备库!$A$2:$Y$1047,MATCH(ROW()-1,装备库!$AO$2:$AO$1046,0),COLUMN()),"")</f>
        <v>0</v>
      </c>
      <c r="V246">
        <f>IFERROR(INDEX(装备库!$A$2:$Y$1047,MATCH(ROW()-1,装备库!$AO$2:$AO$1046,0),COLUMN()),"")</f>
        <v>0</v>
      </c>
      <c r="W246" t="str">
        <f>IFERROR(INDEX(装备库!$A$2:$Y$1047,MATCH(ROW()-1,装备库!$AO$2:$AO$1046,0),COLUMN()),"")</f>
        <v>招破</v>
      </c>
      <c r="X246">
        <f>IFERROR(INDEX(装备库!$A$2:$Y$1047,MATCH(ROW()-1,装备库!$AO$2:$AO$1046,0),COLUMN()),"")</f>
        <v>6</v>
      </c>
      <c r="Y246" t="str">
        <f>IFERROR(INDEX(装备库!$A$2:$Y$1047,MATCH(ROW()-1,装备库!$AO$2:$AO$1046,0),COLUMN()),"")</f>
        <v>副本</v>
      </c>
    </row>
    <row r="247" spans="1:25" x14ac:dyDescent="0.35">
      <c r="A247" t="str">
        <f>IFERROR(INDEX(装备库!$A$2:$Y$1047,MATCH(ROW()-1,装备库!$AO$2:$AO$1046,0),COLUMN()),"")</f>
        <v>裤子</v>
      </c>
      <c r="B247" t="str">
        <f>IFERROR(INDEX(装备库!$A$2:$Y$1047,MATCH(ROW()-1,装备库!$AO$2:$AO$1046,0),COLUMN()),"")</f>
        <v>安衿裤</v>
      </c>
      <c r="C247">
        <f>IFERROR(INDEX(装备库!$A$2:$Y$1047,MATCH(ROW()-1,装备库!$AO$2:$AO$1046,0),COLUMN()),"")</f>
        <v>12450</v>
      </c>
      <c r="D247" t="str">
        <f>IFERROR(INDEX(装备库!$A$2:$Y$1047,MATCH(ROW()-1,装备库!$AO$2:$AO$1046,0),COLUMN()),"")</f>
        <v>安衿裤(12450速无)</v>
      </c>
      <c r="E247">
        <f>IFERROR(INDEX(装备库!$A$2:$Y$1047,MATCH(ROW()-1,装备库!$AO$2:$AO$1046,0),COLUMN()),"")</f>
        <v>869</v>
      </c>
      <c r="F247">
        <f>IFERROR(INDEX(装备库!$A$2:$Y$1047,MATCH(ROW()-1,装备库!$AO$2:$AO$1046,0),COLUMN()),"")</f>
        <v>1410</v>
      </c>
      <c r="G247">
        <f>IFERROR(INDEX(装备库!$A$2:$Y$1047,MATCH(ROW()-1,装备库!$AO$2:$AO$1046,0),COLUMN()),"")</f>
        <v>0</v>
      </c>
      <c r="H247">
        <f>IFERROR(INDEX(装备库!$A$2:$Y$1047,MATCH(ROW()-1,装备库!$AO$2:$AO$1046,0),COLUMN()),"")</f>
        <v>0</v>
      </c>
      <c r="I247">
        <f>IFERROR(INDEX(装备库!$A$2:$Y$1047,MATCH(ROW()-1,装备库!$AO$2:$AO$1046,0),COLUMN()),"")</f>
        <v>0</v>
      </c>
      <c r="J247">
        <f>IFERROR(INDEX(装备库!$A$2:$Y$1047,MATCH(ROW()-1,装备库!$AO$2:$AO$1046,0),COLUMN()),"")</f>
        <v>0</v>
      </c>
      <c r="K247">
        <f>IFERROR(INDEX(装备库!$A$2:$Y$1047,MATCH(ROW()-1,装备库!$AO$2:$AO$1046,0),COLUMN()),"")</f>
        <v>3877</v>
      </c>
      <c r="L247">
        <f>IFERROR(INDEX(装备库!$A$2:$Y$1047,MATCH(ROW()-1,装备库!$AO$2:$AO$1046,0),COLUMN()),"")</f>
        <v>4362</v>
      </c>
      <c r="M247">
        <f>IFERROR(INDEX(装备库!$A$2:$Y$1047,MATCH(ROW()-1,装备库!$AO$2:$AO$1046,0),COLUMN()),"")</f>
        <v>0</v>
      </c>
      <c r="N247">
        <f>IFERROR(INDEX(装备库!$A$2:$Y$1047,MATCH(ROW()-1,装备库!$AO$2:$AO$1046,0),COLUMN()),"")</f>
        <v>0</v>
      </c>
      <c r="O247">
        <f>IFERROR(INDEX(装备库!$A$2:$Y$1047,MATCH(ROW()-1,装备库!$AO$2:$AO$1046,0),COLUMN()),"")</f>
        <v>0</v>
      </c>
      <c r="P247">
        <f>IFERROR(INDEX(装备库!$A$2:$Y$1047,MATCH(ROW()-1,装备库!$AO$2:$AO$1046,0),COLUMN()),"")</f>
        <v>0</v>
      </c>
      <c r="Q247">
        <f>IFERROR(INDEX(装备库!$A$2:$Y$1047,MATCH(ROW()-1,装备库!$AO$2:$AO$1046,0),COLUMN()),"")</f>
        <v>1</v>
      </c>
      <c r="R247">
        <f>IFERROR(INDEX(装备库!$A$2:$Y$1047,MATCH(ROW()-1,装备库!$AO$2:$AO$1046,0),COLUMN()),"")</f>
        <v>0</v>
      </c>
      <c r="S247">
        <f>IFERROR(INDEX(装备库!$A$2:$Y$1047,MATCH(ROW()-1,装备库!$AO$2:$AO$1046,0),COLUMN()),"")</f>
        <v>0</v>
      </c>
      <c r="T247">
        <f>IFERROR(INDEX(装备库!$A$2:$Y$1047,MATCH(ROW()-1,装备库!$AO$2:$AO$1046,0),COLUMN()),"")</f>
        <v>1</v>
      </c>
      <c r="U247">
        <f>IFERROR(INDEX(装备库!$A$2:$Y$1047,MATCH(ROW()-1,装备库!$AO$2:$AO$1046,0),COLUMN()),"")</f>
        <v>0</v>
      </c>
      <c r="V247">
        <f>IFERROR(INDEX(装备库!$A$2:$Y$1047,MATCH(ROW()-1,装备库!$AO$2:$AO$1046,0),COLUMN()),"")</f>
        <v>0</v>
      </c>
      <c r="W247" t="str">
        <f>IFERROR(INDEX(装备库!$A$2:$Y$1047,MATCH(ROW()-1,装备库!$AO$2:$AO$1046,0),COLUMN()),"")</f>
        <v>速无</v>
      </c>
      <c r="X247">
        <f>IFERROR(INDEX(装备库!$A$2:$Y$1047,MATCH(ROW()-1,装备库!$AO$2:$AO$1046,0),COLUMN()),"")</f>
        <v>6</v>
      </c>
      <c r="Y247" t="str">
        <f>IFERROR(INDEX(装备库!$A$2:$Y$1047,MATCH(ROW()-1,装备库!$AO$2:$AO$1046,0),COLUMN()),"")</f>
        <v>副本</v>
      </c>
    </row>
    <row r="248" spans="1:25" x14ac:dyDescent="0.35">
      <c r="A248" t="str">
        <f>IFERROR(INDEX(装备库!$A$2:$Y$1047,MATCH(ROW()-1,装备库!$AO$2:$AO$1046,0),COLUMN()),"")</f>
        <v>裤子</v>
      </c>
      <c r="B248" t="str">
        <f>IFERROR(INDEX(装备库!$A$2:$Y$1047,MATCH(ROW()-1,装备库!$AO$2:$AO$1046,0),COLUMN()),"")</f>
        <v>客行江湖·梦花下裳</v>
      </c>
      <c r="C248">
        <f>IFERROR(INDEX(装备库!$A$2:$Y$1047,MATCH(ROW()-1,装备库!$AO$2:$AO$1046,0),COLUMN()),"")</f>
        <v>12450</v>
      </c>
      <c r="D248" t="str">
        <f>IFERROR(INDEX(装备库!$A$2:$Y$1047,MATCH(ROW()-1,装备库!$AO$2:$AO$1046,0),COLUMN()),"")</f>
        <v>客行江湖·梦花下裳(12450破无)</v>
      </c>
      <c r="E248">
        <f>IFERROR(INDEX(装备库!$A$2:$Y$1047,MATCH(ROW()-1,装备库!$AO$2:$AO$1046,0),COLUMN()),"")</f>
        <v>869</v>
      </c>
      <c r="F248">
        <f>IFERROR(INDEX(装备库!$A$2:$Y$1047,MATCH(ROW()-1,装备库!$AO$2:$AO$1046,0),COLUMN()),"")</f>
        <v>1410</v>
      </c>
      <c r="G248">
        <f>IFERROR(INDEX(装备库!$A$2:$Y$1047,MATCH(ROW()-1,装备库!$AO$2:$AO$1046,0),COLUMN()),"")</f>
        <v>0</v>
      </c>
      <c r="H248">
        <f>IFERROR(INDEX(装备库!$A$2:$Y$1047,MATCH(ROW()-1,装备库!$AO$2:$AO$1046,0),COLUMN()),"")</f>
        <v>0</v>
      </c>
      <c r="I248">
        <f>IFERROR(INDEX(装备库!$A$2:$Y$1047,MATCH(ROW()-1,装备库!$AO$2:$AO$1046,0),COLUMN()),"")</f>
        <v>4362</v>
      </c>
      <c r="J248">
        <f>IFERROR(INDEX(装备库!$A$2:$Y$1047,MATCH(ROW()-1,装备库!$AO$2:$AO$1046,0),COLUMN()),"")</f>
        <v>0</v>
      </c>
      <c r="K248">
        <f>IFERROR(INDEX(装备库!$A$2:$Y$1047,MATCH(ROW()-1,装备库!$AO$2:$AO$1046,0),COLUMN()),"")</f>
        <v>3877</v>
      </c>
      <c r="L248">
        <f>IFERROR(INDEX(装备库!$A$2:$Y$1047,MATCH(ROW()-1,装备库!$AO$2:$AO$1046,0),COLUMN()),"")</f>
        <v>0</v>
      </c>
      <c r="M248">
        <f>IFERROR(INDEX(装备库!$A$2:$Y$1047,MATCH(ROW()-1,装备库!$AO$2:$AO$1046,0),COLUMN()),"")</f>
        <v>0</v>
      </c>
      <c r="N248">
        <f>IFERROR(INDEX(装备库!$A$2:$Y$1047,MATCH(ROW()-1,装备库!$AO$2:$AO$1046,0),COLUMN()),"")</f>
        <v>0</v>
      </c>
      <c r="O248">
        <f>IFERROR(INDEX(装备库!$A$2:$Y$1047,MATCH(ROW()-1,装备库!$AO$2:$AO$1046,0),COLUMN()),"")</f>
        <v>0</v>
      </c>
      <c r="P248">
        <f>IFERROR(INDEX(装备库!$A$2:$Y$1047,MATCH(ROW()-1,装备库!$AO$2:$AO$1046,0),COLUMN()),"")</f>
        <v>1</v>
      </c>
      <c r="Q248">
        <f>IFERROR(INDEX(装备库!$A$2:$Y$1047,MATCH(ROW()-1,装备库!$AO$2:$AO$1046,0),COLUMN()),"")</f>
        <v>1</v>
      </c>
      <c r="R248">
        <f>IFERROR(INDEX(装备库!$A$2:$Y$1047,MATCH(ROW()-1,装备库!$AO$2:$AO$1046,0),COLUMN()),"")</f>
        <v>0</v>
      </c>
      <c r="S248">
        <f>IFERROR(INDEX(装备库!$A$2:$Y$1047,MATCH(ROW()-1,装备库!$AO$2:$AO$1046,0),COLUMN()),"")</f>
        <v>0</v>
      </c>
      <c r="T248">
        <f>IFERROR(INDEX(装备库!$A$2:$Y$1047,MATCH(ROW()-1,装备库!$AO$2:$AO$1046,0),COLUMN()),"")</f>
        <v>0</v>
      </c>
      <c r="U248">
        <f>IFERROR(INDEX(装备库!$A$2:$Y$1047,MATCH(ROW()-1,装备库!$AO$2:$AO$1046,0),COLUMN()),"")</f>
        <v>0</v>
      </c>
      <c r="V248">
        <f>IFERROR(INDEX(装备库!$A$2:$Y$1047,MATCH(ROW()-1,装备库!$AO$2:$AO$1046,0),COLUMN()),"")</f>
        <v>0</v>
      </c>
      <c r="W248" t="str">
        <f>IFERROR(INDEX(装备库!$A$2:$Y$1047,MATCH(ROW()-1,装备库!$AO$2:$AO$1046,0),COLUMN()),"")</f>
        <v>破无</v>
      </c>
      <c r="X248">
        <f>IFERROR(INDEX(装备库!$A$2:$Y$1047,MATCH(ROW()-1,装备库!$AO$2:$AO$1046,0),COLUMN()),"")</f>
        <v>6</v>
      </c>
      <c r="Y248" t="str">
        <f>IFERROR(INDEX(装备库!$A$2:$Y$1047,MATCH(ROW()-1,装备库!$AO$2:$AO$1046,0),COLUMN()),"")</f>
        <v>浪客笺</v>
      </c>
    </row>
    <row r="249" spans="1:25" x14ac:dyDescent="0.35">
      <c r="A249" t="str">
        <f>IFERROR(INDEX(装备库!$A$2:$Y$1047,MATCH(ROW()-1,装备库!$AO$2:$AO$1046,0),COLUMN()),"")</f>
        <v>裤子</v>
      </c>
      <c r="B249" t="str">
        <f>IFERROR(INDEX(装备库!$A$2:$Y$1047,MATCH(ROW()-1,装备库!$AO$2:$AO$1046,0),COLUMN()),"")</f>
        <v>湖静裤</v>
      </c>
      <c r="C249">
        <f>IFERROR(INDEX(装备库!$A$2:$Y$1047,MATCH(ROW()-1,装备库!$AO$2:$AO$1046,0),COLUMN()),"")</f>
        <v>12450</v>
      </c>
      <c r="D249" t="str">
        <f>IFERROR(INDEX(装备库!$A$2:$Y$1047,MATCH(ROW()-1,装备库!$AO$2:$AO$1046,0),COLUMN()),"")</f>
        <v>湖静裤(12450会招)</v>
      </c>
      <c r="E249">
        <f>IFERROR(INDEX(装备库!$A$2:$Y$1047,MATCH(ROW()-1,装备库!$AO$2:$AO$1046,0),COLUMN()),"")</f>
        <v>869</v>
      </c>
      <c r="F249">
        <f>IFERROR(INDEX(装备库!$A$2:$Y$1047,MATCH(ROW()-1,装备库!$AO$2:$AO$1046,0),COLUMN()),"")</f>
        <v>1410</v>
      </c>
      <c r="G249">
        <f>IFERROR(INDEX(装备库!$A$2:$Y$1047,MATCH(ROW()-1,装备库!$AO$2:$AO$1046,0),COLUMN()),"")</f>
        <v>4362</v>
      </c>
      <c r="H249">
        <f>IFERROR(INDEX(装备库!$A$2:$Y$1047,MATCH(ROW()-1,装备库!$AO$2:$AO$1046,0),COLUMN()),"")</f>
        <v>0</v>
      </c>
      <c r="I249">
        <f>IFERROR(INDEX(装备库!$A$2:$Y$1047,MATCH(ROW()-1,装备库!$AO$2:$AO$1046,0),COLUMN()),"")</f>
        <v>0</v>
      </c>
      <c r="J249">
        <f>IFERROR(INDEX(装备库!$A$2:$Y$1047,MATCH(ROW()-1,装备库!$AO$2:$AO$1046,0),COLUMN()),"")</f>
        <v>3877</v>
      </c>
      <c r="K249">
        <f>IFERROR(INDEX(装备库!$A$2:$Y$1047,MATCH(ROW()-1,装备库!$AO$2:$AO$1046,0),COLUMN()),"")</f>
        <v>0</v>
      </c>
      <c r="L249">
        <f>IFERROR(INDEX(装备库!$A$2:$Y$1047,MATCH(ROW()-1,装备库!$AO$2:$AO$1046,0),COLUMN()),"")</f>
        <v>0</v>
      </c>
      <c r="M249">
        <f>IFERROR(INDEX(装备库!$A$2:$Y$1047,MATCH(ROW()-1,装备库!$AO$2:$AO$1046,0),COLUMN()),"")</f>
        <v>0</v>
      </c>
      <c r="N249">
        <f>IFERROR(INDEX(装备库!$A$2:$Y$1047,MATCH(ROW()-1,装备库!$AO$2:$AO$1046,0),COLUMN()),"")</f>
        <v>0</v>
      </c>
      <c r="O249">
        <f>IFERROR(INDEX(装备库!$A$2:$Y$1047,MATCH(ROW()-1,装备库!$AO$2:$AO$1046,0),COLUMN()),"")</f>
        <v>0</v>
      </c>
      <c r="P249">
        <f>IFERROR(INDEX(装备库!$A$2:$Y$1047,MATCH(ROW()-1,装备库!$AO$2:$AO$1046,0),COLUMN()),"")</f>
        <v>0</v>
      </c>
      <c r="Q249">
        <f>IFERROR(INDEX(装备库!$A$2:$Y$1047,MATCH(ROW()-1,装备库!$AO$2:$AO$1046,0),COLUMN()),"")</f>
        <v>0</v>
      </c>
      <c r="R249">
        <f>IFERROR(INDEX(装备库!$A$2:$Y$1047,MATCH(ROW()-1,装备库!$AO$2:$AO$1046,0),COLUMN()),"")</f>
        <v>0</v>
      </c>
      <c r="S249">
        <f>IFERROR(INDEX(装备库!$A$2:$Y$1047,MATCH(ROW()-1,装备库!$AO$2:$AO$1046,0),COLUMN()),"")</f>
        <v>1</v>
      </c>
      <c r="T249">
        <f>IFERROR(INDEX(装备库!$A$2:$Y$1047,MATCH(ROW()-1,装备库!$AO$2:$AO$1046,0),COLUMN()),"")</f>
        <v>1</v>
      </c>
      <c r="U249">
        <f>IFERROR(INDEX(装备库!$A$2:$Y$1047,MATCH(ROW()-1,装备库!$AO$2:$AO$1046,0),COLUMN()),"")</f>
        <v>0</v>
      </c>
      <c r="V249">
        <f>IFERROR(INDEX(装备库!$A$2:$Y$1047,MATCH(ROW()-1,装备库!$AO$2:$AO$1046,0),COLUMN()),"")</f>
        <v>0</v>
      </c>
      <c r="W249" t="str">
        <f>IFERROR(INDEX(装备库!$A$2:$Y$1047,MATCH(ROW()-1,装备库!$AO$2:$AO$1046,0),COLUMN()),"")</f>
        <v>会招</v>
      </c>
      <c r="X249">
        <f>IFERROR(INDEX(装备库!$A$2:$Y$1047,MATCH(ROW()-1,装备库!$AO$2:$AO$1046,0),COLUMN()),"")</f>
        <v>6</v>
      </c>
      <c r="Y249" t="str">
        <f>IFERROR(INDEX(装备库!$A$2:$Y$1047,MATCH(ROW()-1,装备库!$AO$2:$AO$1046,0),COLUMN()),"")</f>
        <v>世界BOSS</v>
      </c>
    </row>
    <row r="250" spans="1:25" x14ac:dyDescent="0.35">
      <c r="A250" t="str">
        <f>IFERROR(INDEX(装备库!$A$2:$Y$1047,MATCH(ROW()-1,装备库!$AO$2:$AO$1046,0),COLUMN()),"")</f>
        <v>裤子</v>
      </c>
      <c r="B250" t="str">
        <f>IFERROR(INDEX(装备库!$A$2:$Y$1047,MATCH(ROW()-1,装备库!$AO$2:$AO$1046,0),COLUMN()),"")</f>
        <v>锦堂裤</v>
      </c>
      <c r="C250">
        <f>IFERROR(INDEX(装备库!$A$2:$Y$1047,MATCH(ROW()-1,装备库!$AO$2:$AO$1046,0),COLUMN()),"")</f>
        <v>12450</v>
      </c>
      <c r="D250" t="str">
        <f>IFERROR(INDEX(装备库!$A$2:$Y$1047,MATCH(ROW()-1,装备库!$AO$2:$AO$1046,0),COLUMN()),"")</f>
        <v>锦堂裤(12450精简体攻招破)</v>
      </c>
      <c r="E250">
        <f>IFERROR(INDEX(装备库!$A$2:$Y$1047,MATCH(ROW()-1,装备库!$AO$2:$AO$1046,0),COLUMN()),"")</f>
        <v>0</v>
      </c>
      <c r="F250">
        <f>IFERROR(INDEX(装备库!$A$2:$Y$1047,MATCH(ROW()-1,装备库!$AO$2:$AO$1046,0),COLUMN()),"")</f>
        <v>3038</v>
      </c>
      <c r="G250">
        <f>IFERROR(INDEX(装备库!$A$2:$Y$1047,MATCH(ROW()-1,装备库!$AO$2:$AO$1046,0),COLUMN()),"")</f>
        <v>0</v>
      </c>
      <c r="H250">
        <f>IFERROR(INDEX(装备库!$A$2:$Y$1047,MATCH(ROW()-1,装备库!$AO$2:$AO$1046,0),COLUMN()),"")</f>
        <v>0</v>
      </c>
      <c r="I250">
        <f>IFERROR(INDEX(装备库!$A$2:$Y$1047,MATCH(ROW()-1,装备库!$AO$2:$AO$1046,0),COLUMN()),"")</f>
        <v>4604</v>
      </c>
      <c r="J250">
        <f>IFERROR(INDEX(装备库!$A$2:$Y$1047,MATCH(ROW()-1,装备库!$AO$2:$AO$1046,0),COLUMN()),"")</f>
        <v>5089</v>
      </c>
      <c r="K250">
        <f>IFERROR(INDEX(装备库!$A$2:$Y$1047,MATCH(ROW()-1,装备库!$AO$2:$AO$1046,0),COLUMN()),"")</f>
        <v>0</v>
      </c>
      <c r="L250">
        <f>IFERROR(INDEX(装备库!$A$2:$Y$1047,MATCH(ROW()-1,装备库!$AO$2:$AO$1046,0),COLUMN()),"")</f>
        <v>0</v>
      </c>
      <c r="M250">
        <f>IFERROR(INDEX(装备库!$A$2:$Y$1047,MATCH(ROW()-1,装备库!$AO$2:$AO$1046,0),COLUMN()),"")</f>
        <v>0</v>
      </c>
      <c r="N250">
        <f>IFERROR(INDEX(装备库!$A$2:$Y$1047,MATCH(ROW()-1,装备库!$AO$2:$AO$1046,0),COLUMN()),"")</f>
        <v>0</v>
      </c>
      <c r="O250">
        <f>IFERROR(INDEX(装备库!$A$2:$Y$1047,MATCH(ROW()-1,装备库!$AO$2:$AO$1046,0),COLUMN()),"")</f>
        <v>0</v>
      </c>
      <c r="P250">
        <f>IFERROR(INDEX(装备库!$A$2:$Y$1047,MATCH(ROW()-1,装备库!$AO$2:$AO$1046,0),COLUMN()),"")</f>
        <v>1</v>
      </c>
      <c r="Q250">
        <f>IFERROR(INDEX(装备库!$A$2:$Y$1047,MATCH(ROW()-1,装备库!$AO$2:$AO$1046,0),COLUMN()),"")</f>
        <v>1</v>
      </c>
      <c r="R250">
        <f>IFERROR(INDEX(装备库!$A$2:$Y$1047,MATCH(ROW()-1,装备库!$AO$2:$AO$1046,0),COLUMN()),"")</f>
        <v>0</v>
      </c>
      <c r="S250">
        <f>IFERROR(INDEX(装备库!$A$2:$Y$1047,MATCH(ROW()-1,装备库!$AO$2:$AO$1046,0),COLUMN()),"")</f>
        <v>0</v>
      </c>
      <c r="T250">
        <f>IFERROR(INDEX(装备库!$A$2:$Y$1047,MATCH(ROW()-1,装备库!$AO$2:$AO$1046,0),COLUMN()),"")</f>
        <v>0</v>
      </c>
      <c r="U250">
        <f>IFERROR(INDEX(装备库!$A$2:$Y$1047,MATCH(ROW()-1,装备库!$AO$2:$AO$1046,0),COLUMN()),"")</f>
        <v>0</v>
      </c>
      <c r="V250">
        <f>IFERROR(INDEX(装备库!$A$2:$Y$1047,MATCH(ROW()-1,装备库!$AO$2:$AO$1046,0),COLUMN()),"")</f>
        <v>0</v>
      </c>
      <c r="W250" t="str">
        <f>IFERROR(INDEX(装备库!$A$2:$Y$1047,MATCH(ROW()-1,装备库!$AO$2:$AO$1046,0),COLUMN()),"")</f>
        <v>精简体攻招破</v>
      </c>
      <c r="X250">
        <f>IFERROR(INDEX(装备库!$A$2:$Y$1047,MATCH(ROW()-1,装备库!$AO$2:$AO$1046,0),COLUMN()),"")</f>
        <v>4</v>
      </c>
      <c r="Y250" t="str">
        <f>IFERROR(INDEX(装备库!$A$2:$Y$1047,MATCH(ROW()-1,装备库!$AO$2:$AO$1046,0),COLUMN()),"")</f>
        <v>副本</v>
      </c>
    </row>
    <row r="251" spans="1:25" x14ac:dyDescent="0.35">
      <c r="A251" t="str">
        <f>IFERROR(INDEX(装备库!$A$2:$Y$1047,MATCH(ROW()-1,装备库!$AO$2:$AO$1046,0),COLUMN()),"")</f>
        <v>裤子</v>
      </c>
      <c r="B251" t="str">
        <f>IFERROR(INDEX(装备库!$A$2:$Y$1047,MATCH(ROW()-1,装备库!$AO$2:$AO$1046,0),COLUMN()),"")</f>
        <v>泛景裤</v>
      </c>
      <c r="C251">
        <f>IFERROR(INDEX(装备库!$A$2:$Y$1047,MATCH(ROW()-1,装备库!$AO$2:$AO$1046,0),COLUMN()),"")</f>
        <v>12450</v>
      </c>
      <c r="D251" t="str">
        <f>IFERROR(INDEX(装备库!$A$2:$Y$1047,MATCH(ROW()-1,装备库!$AO$2:$AO$1046,0),COLUMN()),"")</f>
        <v>泛景裤(12450精简体攻招)</v>
      </c>
      <c r="E251">
        <f>IFERROR(INDEX(装备库!$A$2:$Y$1047,MATCH(ROW()-1,装备库!$AO$2:$AO$1046,0),COLUMN()),"")</f>
        <v>0</v>
      </c>
      <c r="F251">
        <f>IFERROR(INDEX(装备库!$A$2:$Y$1047,MATCH(ROW()-1,装备库!$AO$2:$AO$1046,0),COLUMN()),"")</f>
        <v>3688</v>
      </c>
      <c r="G251">
        <f>IFERROR(INDEX(装备库!$A$2:$Y$1047,MATCH(ROW()-1,装备库!$AO$2:$AO$1046,0),COLUMN()),"")</f>
        <v>0</v>
      </c>
      <c r="H251">
        <f>IFERROR(INDEX(装备库!$A$2:$Y$1047,MATCH(ROW()-1,装备库!$AO$2:$AO$1046,0),COLUMN()),"")</f>
        <v>0</v>
      </c>
      <c r="I251">
        <f>IFERROR(INDEX(装备库!$A$2:$Y$1047,MATCH(ROW()-1,装备库!$AO$2:$AO$1046,0),COLUMN()),"")</f>
        <v>0</v>
      </c>
      <c r="J251">
        <f>IFERROR(INDEX(装备库!$A$2:$Y$1047,MATCH(ROW()-1,装备库!$AO$2:$AO$1046,0),COLUMN()),"")</f>
        <v>8118</v>
      </c>
      <c r="K251">
        <f>IFERROR(INDEX(装备库!$A$2:$Y$1047,MATCH(ROW()-1,装备库!$AO$2:$AO$1046,0),COLUMN()),"")</f>
        <v>0</v>
      </c>
      <c r="L251">
        <f>IFERROR(INDEX(装备库!$A$2:$Y$1047,MATCH(ROW()-1,装备库!$AO$2:$AO$1046,0),COLUMN()),"")</f>
        <v>0</v>
      </c>
      <c r="M251">
        <f>IFERROR(INDEX(装备库!$A$2:$Y$1047,MATCH(ROW()-1,装备库!$AO$2:$AO$1046,0),COLUMN()),"")</f>
        <v>0</v>
      </c>
      <c r="N251">
        <f>IFERROR(INDEX(装备库!$A$2:$Y$1047,MATCH(ROW()-1,装备库!$AO$2:$AO$1046,0),COLUMN()),"")</f>
        <v>0</v>
      </c>
      <c r="O251">
        <f>IFERROR(INDEX(装备库!$A$2:$Y$1047,MATCH(ROW()-1,装备库!$AO$2:$AO$1046,0),COLUMN()),"")</f>
        <v>0</v>
      </c>
      <c r="P251">
        <f>IFERROR(INDEX(装备库!$A$2:$Y$1047,MATCH(ROW()-1,装备库!$AO$2:$AO$1046,0),COLUMN()),"")</f>
        <v>0</v>
      </c>
      <c r="Q251">
        <f>IFERROR(INDEX(装备库!$A$2:$Y$1047,MATCH(ROW()-1,装备库!$AO$2:$AO$1046,0),COLUMN()),"")</f>
        <v>1</v>
      </c>
      <c r="R251">
        <f>IFERROR(INDEX(装备库!$A$2:$Y$1047,MATCH(ROW()-1,装备库!$AO$2:$AO$1046,0),COLUMN()),"")</f>
        <v>0</v>
      </c>
      <c r="S251">
        <f>IFERROR(INDEX(装备库!$A$2:$Y$1047,MATCH(ROW()-1,装备库!$AO$2:$AO$1046,0),COLUMN()),"")</f>
        <v>0</v>
      </c>
      <c r="T251">
        <f>IFERROR(INDEX(装备库!$A$2:$Y$1047,MATCH(ROW()-1,装备库!$AO$2:$AO$1046,0),COLUMN()),"")</f>
        <v>1</v>
      </c>
      <c r="U251">
        <f>IFERROR(INDEX(装备库!$A$2:$Y$1047,MATCH(ROW()-1,装备库!$AO$2:$AO$1046,0),COLUMN()),"")</f>
        <v>0</v>
      </c>
      <c r="V251">
        <f>IFERROR(INDEX(装备库!$A$2:$Y$1047,MATCH(ROW()-1,装备库!$AO$2:$AO$1046,0),COLUMN()),"")</f>
        <v>0</v>
      </c>
      <c r="W251" t="str">
        <f>IFERROR(INDEX(装备库!$A$2:$Y$1047,MATCH(ROW()-1,装备库!$AO$2:$AO$1046,0),COLUMN()),"")</f>
        <v>精简体攻招</v>
      </c>
      <c r="X251">
        <f>IFERROR(INDEX(装备库!$A$2:$Y$1047,MATCH(ROW()-1,装备库!$AO$2:$AO$1046,0),COLUMN()),"")</f>
        <v>4</v>
      </c>
      <c r="Y251" t="str">
        <f>IFERROR(INDEX(装备库!$A$2:$Y$1047,MATCH(ROW()-1,装备库!$AO$2:$AO$1046,0),COLUMN()),"")</f>
        <v>副本</v>
      </c>
    </row>
    <row r="252" spans="1:25" x14ac:dyDescent="0.35">
      <c r="A252" t="str">
        <f>IFERROR(INDEX(装备库!$A$2:$Y$1047,MATCH(ROW()-1,装备库!$AO$2:$AO$1046,0),COLUMN()),"")</f>
        <v>裤子</v>
      </c>
      <c r="B252" t="str">
        <f>IFERROR(INDEX(装备库!$A$2:$Y$1047,MATCH(ROW()-1,装备库!$AO$2:$AO$1046,0),COLUMN()),"")</f>
        <v>不暇裤</v>
      </c>
      <c r="C252">
        <f>IFERROR(INDEX(装备库!$A$2:$Y$1047,MATCH(ROW()-1,装备库!$AO$2:$AO$1046,0),COLUMN()),"")</f>
        <v>12450</v>
      </c>
      <c r="D252" t="str">
        <f>IFERROR(INDEX(装备库!$A$2:$Y$1047,MATCH(ROW()-1,装备库!$AO$2:$AO$1046,0),COLUMN()),"")</f>
        <v>不暇裤(12450精简体攻破无)</v>
      </c>
      <c r="E252">
        <f>IFERROR(INDEX(装备库!$A$2:$Y$1047,MATCH(ROW()-1,装备库!$AO$2:$AO$1046,0),COLUMN()),"")</f>
        <v>0</v>
      </c>
      <c r="F252">
        <f>IFERROR(INDEX(装备库!$A$2:$Y$1047,MATCH(ROW()-1,装备库!$AO$2:$AO$1046,0),COLUMN()),"")</f>
        <v>3038</v>
      </c>
      <c r="G252">
        <f>IFERROR(INDEX(装备库!$A$2:$Y$1047,MATCH(ROW()-1,装备库!$AO$2:$AO$1046,0),COLUMN()),"")</f>
        <v>0</v>
      </c>
      <c r="H252">
        <f>IFERROR(INDEX(装备库!$A$2:$Y$1047,MATCH(ROW()-1,装备库!$AO$2:$AO$1046,0),COLUMN()),"")</f>
        <v>0</v>
      </c>
      <c r="I252">
        <f>IFERROR(INDEX(装备库!$A$2:$Y$1047,MATCH(ROW()-1,装备库!$AO$2:$AO$1046,0),COLUMN()),"")</f>
        <v>4604</v>
      </c>
      <c r="J252">
        <f>IFERROR(INDEX(装备库!$A$2:$Y$1047,MATCH(ROW()-1,装备库!$AO$2:$AO$1046,0),COLUMN()),"")</f>
        <v>0</v>
      </c>
      <c r="K252">
        <f>IFERROR(INDEX(装备库!$A$2:$Y$1047,MATCH(ROW()-1,装备库!$AO$2:$AO$1046,0),COLUMN()),"")</f>
        <v>5089</v>
      </c>
      <c r="L252">
        <f>IFERROR(INDEX(装备库!$A$2:$Y$1047,MATCH(ROW()-1,装备库!$AO$2:$AO$1046,0),COLUMN()),"")</f>
        <v>0</v>
      </c>
      <c r="M252">
        <f>IFERROR(INDEX(装备库!$A$2:$Y$1047,MATCH(ROW()-1,装备库!$AO$2:$AO$1046,0),COLUMN()),"")</f>
        <v>0</v>
      </c>
      <c r="N252">
        <f>IFERROR(INDEX(装备库!$A$2:$Y$1047,MATCH(ROW()-1,装备库!$AO$2:$AO$1046,0),COLUMN()),"")</f>
        <v>0</v>
      </c>
      <c r="O252">
        <f>IFERROR(INDEX(装备库!$A$2:$Y$1047,MATCH(ROW()-1,装备库!$AO$2:$AO$1046,0),COLUMN()),"")</f>
        <v>0</v>
      </c>
      <c r="P252">
        <f>IFERROR(INDEX(装备库!$A$2:$Y$1047,MATCH(ROW()-1,装备库!$AO$2:$AO$1046,0),COLUMN()),"")</f>
        <v>1</v>
      </c>
      <c r="Q252">
        <f>IFERROR(INDEX(装备库!$A$2:$Y$1047,MATCH(ROW()-1,装备库!$AO$2:$AO$1046,0),COLUMN()),"")</f>
        <v>0</v>
      </c>
      <c r="R252">
        <f>IFERROR(INDEX(装备库!$A$2:$Y$1047,MATCH(ROW()-1,装备库!$AO$2:$AO$1046,0),COLUMN()),"")</f>
        <v>0</v>
      </c>
      <c r="S252">
        <f>IFERROR(INDEX(装备库!$A$2:$Y$1047,MATCH(ROW()-1,装备库!$AO$2:$AO$1046,0),COLUMN()),"")</f>
        <v>0</v>
      </c>
      <c r="T252">
        <f>IFERROR(INDEX(装备库!$A$2:$Y$1047,MATCH(ROW()-1,装备库!$AO$2:$AO$1046,0),COLUMN()),"")</f>
        <v>1</v>
      </c>
      <c r="U252">
        <f>IFERROR(INDEX(装备库!$A$2:$Y$1047,MATCH(ROW()-1,装备库!$AO$2:$AO$1046,0),COLUMN()),"")</f>
        <v>0</v>
      </c>
      <c r="V252">
        <f>IFERROR(INDEX(装备库!$A$2:$Y$1047,MATCH(ROW()-1,装备库!$AO$2:$AO$1046,0),COLUMN()),"")</f>
        <v>0</v>
      </c>
      <c r="W252" t="str">
        <f>IFERROR(INDEX(装备库!$A$2:$Y$1047,MATCH(ROW()-1,装备库!$AO$2:$AO$1046,0),COLUMN()),"")</f>
        <v>精简体攻破无</v>
      </c>
      <c r="X252">
        <f>IFERROR(INDEX(装备库!$A$2:$Y$1047,MATCH(ROW()-1,装备库!$AO$2:$AO$1046,0),COLUMN()),"")</f>
        <v>4</v>
      </c>
      <c r="Y252" t="str">
        <f>IFERROR(INDEX(装备库!$A$2:$Y$1047,MATCH(ROW()-1,装备库!$AO$2:$AO$1046,0),COLUMN()),"")</f>
        <v>副本</v>
      </c>
    </row>
    <row r="253" spans="1:25" x14ac:dyDescent="0.35">
      <c r="A253" t="str">
        <f>IFERROR(INDEX(装备库!$A$2:$Y$1047,MATCH(ROW()-1,装备库!$AO$2:$AO$1046,0),COLUMN()),"")</f>
        <v>裤子</v>
      </c>
      <c r="B253" t="str">
        <f>IFERROR(INDEX(装备库!$A$2:$Y$1047,MATCH(ROW()-1,装备库!$AO$2:$AO$1046,0),COLUMN()),"")</f>
        <v>思柔裤</v>
      </c>
      <c r="C253">
        <f>IFERROR(INDEX(装备库!$A$2:$Y$1047,MATCH(ROW()-1,装备库!$AO$2:$AO$1046,0),COLUMN()),"")</f>
        <v>12450</v>
      </c>
      <c r="D253" t="str">
        <f>IFERROR(INDEX(装备库!$A$2:$Y$1047,MATCH(ROW()-1,装备库!$AO$2:$AO$1046,0),COLUMN()),"")</f>
        <v>思柔裤(12450精简体攻会无)</v>
      </c>
      <c r="E253">
        <f>IFERROR(INDEX(装备库!$A$2:$Y$1047,MATCH(ROW()-1,装备库!$AO$2:$AO$1046,0),COLUMN()),"")</f>
        <v>0</v>
      </c>
      <c r="F253">
        <f>IFERROR(INDEX(装备库!$A$2:$Y$1047,MATCH(ROW()-1,装备库!$AO$2:$AO$1046,0),COLUMN()),"")</f>
        <v>2604</v>
      </c>
      <c r="G253">
        <f>IFERROR(INDEX(装备库!$A$2:$Y$1047,MATCH(ROW()-1,装备库!$AO$2:$AO$1046,0),COLUMN()),"")</f>
        <v>3150</v>
      </c>
      <c r="H253">
        <f>IFERROR(INDEX(装备库!$A$2:$Y$1047,MATCH(ROW()-1,装备库!$AO$2:$AO$1046,0),COLUMN()),"")</f>
        <v>0</v>
      </c>
      <c r="I253">
        <f>IFERROR(INDEX(装备库!$A$2:$Y$1047,MATCH(ROW()-1,装备库!$AO$2:$AO$1046,0),COLUMN()),"")</f>
        <v>0</v>
      </c>
      <c r="J253">
        <f>IFERROR(INDEX(装备库!$A$2:$Y$1047,MATCH(ROW()-1,装备库!$AO$2:$AO$1046,0),COLUMN()),"")</f>
        <v>0</v>
      </c>
      <c r="K253">
        <f>IFERROR(INDEX(装备库!$A$2:$Y$1047,MATCH(ROW()-1,装备库!$AO$2:$AO$1046,0),COLUMN()),"")</f>
        <v>7755</v>
      </c>
      <c r="L253">
        <f>IFERROR(INDEX(装备库!$A$2:$Y$1047,MATCH(ROW()-1,装备库!$AO$2:$AO$1046,0),COLUMN()),"")</f>
        <v>0</v>
      </c>
      <c r="M253">
        <f>IFERROR(INDEX(装备库!$A$2:$Y$1047,MATCH(ROW()-1,装备库!$AO$2:$AO$1046,0),COLUMN()),"")</f>
        <v>0</v>
      </c>
      <c r="N253">
        <f>IFERROR(INDEX(装备库!$A$2:$Y$1047,MATCH(ROW()-1,装备库!$AO$2:$AO$1046,0),COLUMN()),"")</f>
        <v>0</v>
      </c>
      <c r="O253">
        <f>IFERROR(INDEX(装备库!$A$2:$Y$1047,MATCH(ROW()-1,装备库!$AO$2:$AO$1046,0),COLUMN()),"")</f>
        <v>0</v>
      </c>
      <c r="P253">
        <f>IFERROR(INDEX(装备库!$A$2:$Y$1047,MATCH(ROW()-1,装备库!$AO$2:$AO$1046,0),COLUMN()),"")</f>
        <v>1</v>
      </c>
      <c r="Q253">
        <f>IFERROR(INDEX(装备库!$A$2:$Y$1047,MATCH(ROW()-1,装备库!$AO$2:$AO$1046,0),COLUMN()),"")</f>
        <v>0</v>
      </c>
      <c r="R253">
        <f>IFERROR(INDEX(装备库!$A$2:$Y$1047,MATCH(ROW()-1,装备库!$AO$2:$AO$1046,0),COLUMN()),"")</f>
        <v>0</v>
      </c>
      <c r="S253">
        <f>IFERROR(INDEX(装备库!$A$2:$Y$1047,MATCH(ROW()-1,装备库!$AO$2:$AO$1046,0),COLUMN()),"")</f>
        <v>0</v>
      </c>
      <c r="T253">
        <f>IFERROR(INDEX(装备库!$A$2:$Y$1047,MATCH(ROW()-1,装备库!$AO$2:$AO$1046,0),COLUMN()),"")</f>
        <v>1</v>
      </c>
      <c r="U253">
        <f>IFERROR(INDEX(装备库!$A$2:$Y$1047,MATCH(ROW()-1,装备库!$AO$2:$AO$1046,0),COLUMN()),"")</f>
        <v>0</v>
      </c>
      <c r="V253">
        <f>IFERROR(INDEX(装备库!$A$2:$Y$1047,MATCH(ROW()-1,装备库!$AO$2:$AO$1046,0),COLUMN()),"")</f>
        <v>0</v>
      </c>
      <c r="W253" t="str">
        <f>IFERROR(INDEX(装备库!$A$2:$Y$1047,MATCH(ROW()-1,装备库!$AO$2:$AO$1046,0),COLUMN()),"")</f>
        <v>精简体攻会无</v>
      </c>
      <c r="X253">
        <f>IFERROR(INDEX(装备库!$A$2:$Y$1047,MATCH(ROW()-1,装备库!$AO$2:$AO$1046,0),COLUMN()),"")</f>
        <v>4</v>
      </c>
      <c r="Y253" t="str">
        <f>IFERROR(INDEX(装备库!$A$2:$Y$1047,MATCH(ROW()-1,装备库!$AO$2:$AO$1046,0),COLUMN()),"")</f>
        <v>副本</v>
      </c>
    </row>
    <row r="254" spans="1:25" x14ac:dyDescent="0.35">
      <c r="A254" t="str">
        <f>IFERROR(INDEX(装备库!$A$2:$Y$1047,MATCH(ROW()-1,装备库!$AO$2:$AO$1046,0),COLUMN()),"")</f>
        <v>裤子</v>
      </c>
      <c r="B254" t="str">
        <f>IFERROR(INDEX(装备库!$A$2:$Y$1047,MATCH(ROW()-1,装备库!$AO$2:$AO$1046,0),COLUMN()),"")</f>
        <v>雪舞裤</v>
      </c>
      <c r="C254">
        <f>IFERROR(INDEX(装备库!$A$2:$Y$1047,MATCH(ROW()-1,装备库!$AO$2:$AO$1046,0),COLUMN()),"")</f>
        <v>12600</v>
      </c>
      <c r="D254" t="str">
        <f>IFERROR(INDEX(装备库!$A$2:$Y$1047,MATCH(ROW()-1,装备库!$AO$2:$AO$1046,0),COLUMN()),"")</f>
        <v>雪舞裤(12600会无)</v>
      </c>
      <c r="E254">
        <f>IFERROR(INDEX(装备库!$A$2:$Y$1047,MATCH(ROW()-1,装备库!$AO$2:$AO$1046,0),COLUMN()),"")</f>
        <v>880</v>
      </c>
      <c r="F254">
        <f>IFERROR(INDEX(装备库!$A$2:$Y$1047,MATCH(ROW()-1,装备库!$AO$2:$AO$1046,0),COLUMN()),"")</f>
        <v>1427</v>
      </c>
      <c r="G254">
        <f>IFERROR(INDEX(装备库!$A$2:$Y$1047,MATCH(ROW()-1,装备库!$AO$2:$AO$1046,0),COLUMN()),"")</f>
        <v>4415</v>
      </c>
      <c r="H254">
        <f>IFERROR(INDEX(装备库!$A$2:$Y$1047,MATCH(ROW()-1,装备库!$AO$2:$AO$1046,0),COLUMN()),"")</f>
        <v>0</v>
      </c>
      <c r="I254">
        <f>IFERROR(INDEX(装备库!$A$2:$Y$1047,MATCH(ROW()-1,装备库!$AO$2:$AO$1046,0),COLUMN()),"")</f>
        <v>0</v>
      </c>
      <c r="J254">
        <f>IFERROR(INDEX(装备库!$A$2:$Y$1047,MATCH(ROW()-1,装备库!$AO$2:$AO$1046,0),COLUMN()),"")</f>
        <v>0</v>
      </c>
      <c r="K254">
        <f>IFERROR(INDEX(装备库!$A$2:$Y$1047,MATCH(ROW()-1,装备库!$AO$2:$AO$1046,0),COLUMN()),"")</f>
        <v>3924</v>
      </c>
      <c r="L254">
        <f>IFERROR(INDEX(装备库!$A$2:$Y$1047,MATCH(ROW()-1,装备库!$AO$2:$AO$1046,0),COLUMN()),"")</f>
        <v>0</v>
      </c>
      <c r="M254">
        <f>IFERROR(INDEX(装备库!$A$2:$Y$1047,MATCH(ROW()-1,装备库!$AO$2:$AO$1046,0),COLUMN()),"")</f>
        <v>0</v>
      </c>
      <c r="N254">
        <f>IFERROR(INDEX(装备库!$A$2:$Y$1047,MATCH(ROW()-1,装备库!$AO$2:$AO$1046,0),COLUMN()),"")</f>
        <v>0</v>
      </c>
      <c r="O254">
        <f>IFERROR(INDEX(装备库!$A$2:$Y$1047,MATCH(ROW()-1,装备库!$AO$2:$AO$1046,0),COLUMN()),"")</f>
        <v>0</v>
      </c>
      <c r="P254">
        <f>IFERROR(INDEX(装备库!$A$2:$Y$1047,MATCH(ROW()-1,装备库!$AO$2:$AO$1046,0),COLUMN()),"")</f>
        <v>0</v>
      </c>
      <c r="Q254">
        <f>IFERROR(INDEX(装备库!$A$2:$Y$1047,MATCH(ROW()-1,装备库!$AO$2:$AO$1046,0),COLUMN()),"")</f>
        <v>1</v>
      </c>
      <c r="R254">
        <f>IFERROR(INDEX(装备库!$A$2:$Y$1047,MATCH(ROW()-1,装备库!$AO$2:$AO$1046,0),COLUMN()),"")</f>
        <v>0</v>
      </c>
      <c r="S254">
        <f>IFERROR(INDEX(装备库!$A$2:$Y$1047,MATCH(ROW()-1,装备库!$AO$2:$AO$1046,0),COLUMN()),"")</f>
        <v>0</v>
      </c>
      <c r="T254">
        <f>IFERROR(INDEX(装备库!$A$2:$Y$1047,MATCH(ROW()-1,装备库!$AO$2:$AO$1046,0),COLUMN()),"")</f>
        <v>1</v>
      </c>
      <c r="U254">
        <f>IFERROR(INDEX(装备库!$A$2:$Y$1047,MATCH(ROW()-1,装备库!$AO$2:$AO$1046,0),COLUMN()),"")</f>
        <v>0</v>
      </c>
      <c r="V254">
        <f>IFERROR(INDEX(装备库!$A$2:$Y$1047,MATCH(ROW()-1,装备库!$AO$2:$AO$1046,0),COLUMN()),"")</f>
        <v>0</v>
      </c>
      <c r="W254" t="str">
        <f>IFERROR(INDEX(装备库!$A$2:$Y$1047,MATCH(ROW()-1,装备库!$AO$2:$AO$1046,0),COLUMN()),"")</f>
        <v>会无</v>
      </c>
      <c r="X254">
        <f>IFERROR(INDEX(装备库!$A$2:$Y$1047,MATCH(ROW()-1,装备库!$AO$2:$AO$1046,0),COLUMN()),"")</f>
        <v>6</v>
      </c>
      <c r="Y254" t="str">
        <f>IFERROR(INDEX(装备库!$A$2:$Y$1047,MATCH(ROW()-1,装备库!$AO$2:$AO$1046,0),COLUMN()),"")</f>
        <v>生活技能</v>
      </c>
    </row>
    <row r="255" spans="1:25" x14ac:dyDescent="0.35">
      <c r="A255" t="str">
        <f>IFERROR(INDEX(装备库!$A$2:$Y$1047,MATCH(ROW()-1,装备库!$AO$2:$AO$1046,0),COLUMN()),"")</f>
        <v>帽子</v>
      </c>
      <c r="B255" t="str">
        <f>IFERROR(INDEX(装备库!$A$2:$Y$1047,MATCH(ROW()-1,装备库!$AO$2:$AO$1046,0),COLUMN()),"")</f>
        <v>浅梦帽</v>
      </c>
      <c r="C255">
        <f>IFERROR(INDEX(装备库!$A$2:$Y$1047,MATCH(ROW()-1,装备库!$AO$2:$AO$1046,0),COLUMN()),"")</f>
        <v>8000</v>
      </c>
      <c r="D255" t="str">
        <f>IFERROR(INDEX(装备库!$A$2:$Y$1047,MATCH(ROW()-1,装备库!$AO$2:$AO$1046,0),COLUMN()),"")</f>
        <v>浅梦帽(8000会招)</v>
      </c>
      <c r="E255">
        <f>IFERROR(INDEX(装备库!$A$2:$Y$1047,MATCH(ROW()-1,装备库!$AO$2:$AO$1046,0),COLUMN()),"")</f>
        <v>503</v>
      </c>
      <c r="F255">
        <f>IFERROR(INDEX(装备库!$A$2:$Y$1047,MATCH(ROW()-1,装备库!$AO$2:$AO$1046,0),COLUMN()),"")</f>
        <v>816</v>
      </c>
      <c r="G255">
        <f>IFERROR(INDEX(装备库!$A$2:$Y$1047,MATCH(ROW()-1,装备库!$AO$2:$AO$1046,0),COLUMN()),"")</f>
        <v>2523</v>
      </c>
      <c r="H255">
        <f>IFERROR(INDEX(装备库!$A$2:$Y$1047,MATCH(ROW()-1,装备库!$AO$2:$AO$1046,0),COLUMN()),"")</f>
        <v>0</v>
      </c>
      <c r="I255">
        <f>IFERROR(INDEX(装备库!$A$2:$Y$1047,MATCH(ROW()-1,装备库!$AO$2:$AO$1046,0),COLUMN()),"")</f>
        <v>0</v>
      </c>
      <c r="J255">
        <f>IFERROR(INDEX(装备库!$A$2:$Y$1047,MATCH(ROW()-1,装备库!$AO$2:$AO$1046,0),COLUMN()),"")</f>
        <v>2242</v>
      </c>
      <c r="K255">
        <f>IFERROR(INDEX(装备库!$A$2:$Y$1047,MATCH(ROW()-1,装备库!$AO$2:$AO$1046,0),COLUMN()),"")</f>
        <v>0</v>
      </c>
      <c r="L255">
        <f>IFERROR(INDEX(装备库!$A$2:$Y$1047,MATCH(ROW()-1,装备库!$AO$2:$AO$1046,0),COLUMN()),"")</f>
        <v>0</v>
      </c>
      <c r="M255">
        <f>IFERROR(INDEX(装备库!$A$2:$Y$1047,MATCH(ROW()-1,装备库!$AO$2:$AO$1046,0),COLUMN()),"")</f>
        <v>0</v>
      </c>
      <c r="N255">
        <f>IFERROR(INDEX(装备库!$A$2:$Y$1047,MATCH(ROW()-1,装备库!$AO$2:$AO$1046,0),COLUMN()),"")</f>
        <v>0</v>
      </c>
      <c r="O255">
        <f>IFERROR(INDEX(装备库!$A$2:$Y$1047,MATCH(ROW()-1,装备库!$AO$2:$AO$1046,0),COLUMN()),"")</f>
        <v>0</v>
      </c>
      <c r="P255">
        <f>IFERROR(INDEX(装备库!$A$2:$Y$1047,MATCH(ROW()-1,装备库!$AO$2:$AO$1046,0),COLUMN()),"")</f>
        <v>1</v>
      </c>
      <c r="Q255">
        <f>IFERROR(INDEX(装备库!$A$2:$Y$1047,MATCH(ROW()-1,装备库!$AO$2:$AO$1046,0),COLUMN()),"")</f>
        <v>0</v>
      </c>
      <c r="R255">
        <f>IFERROR(INDEX(装备库!$A$2:$Y$1047,MATCH(ROW()-1,装备库!$AO$2:$AO$1046,0),COLUMN()),"")</f>
        <v>0</v>
      </c>
      <c r="S255">
        <f>IFERROR(INDEX(装备库!$A$2:$Y$1047,MATCH(ROW()-1,装备库!$AO$2:$AO$1046,0),COLUMN()),"")</f>
        <v>1</v>
      </c>
      <c r="T255">
        <f>IFERROR(INDEX(装备库!$A$2:$Y$1047,MATCH(ROW()-1,装备库!$AO$2:$AO$1046,0),COLUMN()),"")</f>
        <v>0</v>
      </c>
      <c r="U255">
        <f>IFERROR(INDEX(装备库!$A$2:$Y$1047,MATCH(ROW()-1,装备库!$AO$2:$AO$1046,0),COLUMN()),"")</f>
        <v>0</v>
      </c>
      <c r="V255">
        <f>IFERROR(INDEX(装备库!$A$2:$Y$1047,MATCH(ROW()-1,装备库!$AO$2:$AO$1046,0),COLUMN()),"")</f>
        <v>0</v>
      </c>
      <c r="W255" t="str">
        <f>IFERROR(INDEX(装备库!$A$2:$Y$1047,MATCH(ROW()-1,装备库!$AO$2:$AO$1046,0),COLUMN()),"")</f>
        <v>会招</v>
      </c>
      <c r="X255">
        <f>IFERROR(INDEX(装备库!$A$2:$Y$1047,MATCH(ROW()-1,装备库!$AO$2:$AO$1046,0),COLUMN()),"")</f>
        <v>6</v>
      </c>
      <c r="Y255" t="str">
        <f>IFERROR(INDEX(装备库!$A$2:$Y$1047,MATCH(ROW()-1,装备库!$AO$2:$AO$1046,0),COLUMN()),"")</f>
        <v>副本</v>
      </c>
    </row>
    <row r="256" spans="1:25" x14ac:dyDescent="0.35">
      <c r="A256" t="str">
        <f>IFERROR(INDEX(装备库!$A$2:$Y$1047,MATCH(ROW()-1,装备库!$AO$2:$AO$1046,0),COLUMN()),"")</f>
        <v>帽子</v>
      </c>
      <c r="B256" t="str">
        <f>IFERROR(INDEX(装备库!$A$2:$Y$1047,MATCH(ROW()-1,装备库!$AO$2:$AO$1046,0),COLUMN()),"")</f>
        <v>崇月帽</v>
      </c>
      <c r="C256">
        <f>IFERROR(INDEX(装备库!$A$2:$Y$1047,MATCH(ROW()-1,装备库!$AO$2:$AO$1046,0),COLUMN()),"")</f>
        <v>8100</v>
      </c>
      <c r="D256" t="str">
        <f>IFERROR(INDEX(装备库!$A$2:$Y$1047,MATCH(ROW()-1,装备库!$AO$2:$AO$1046,0),COLUMN()),"")</f>
        <v>崇月帽(8100力道纯破)</v>
      </c>
      <c r="E256">
        <f>IFERROR(INDEX(装备库!$A$2:$Y$1047,MATCH(ROW()-1,装备库!$AO$2:$AO$1046,0),COLUMN()),"")</f>
        <v>636</v>
      </c>
      <c r="F256">
        <f>IFERROR(INDEX(装备库!$A$2:$Y$1047,MATCH(ROW()-1,装备库!$AO$2:$AO$1046,0),COLUMN()),"")</f>
        <v>1270</v>
      </c>
      <c r="G256">
        <f>IFERROR(INDEX(装备库!$A$2:$Y$1047,MATCH(ROW()-1,装备库!$AO$2:$AO$1046,0),COLUMN()),"")</f>
        <v>0</v>
      </c>
      <c r="H256">
        <f>IFERROR(INDEX(装备库!$A$2:$Y$1047,MATCH(ROW()-1,装备库!$AO$2:$AO$1046,0),COLUMN()),"")</f>
        <v>0</v>
      </c>
      <c r="I256">
        <f>IFERROR(INDEX(装备库!$A$2:$Y$1047,MATCH(ROW()-1,装备库!$AO$2:$AO$1046,0),COLUMN()),"")</f>
        <v>3264</v>
      </c>
      <c r="J256">
        <f>IFERROR(INDEX(装备库!$A$2:$Y$1047,MATCH(ROW()-1,装备库!$AO$2:$AO$1046,0),COLUMN()),"")</f>
        <v>0</v>
      </c>
      <c r="K256">
        <f>IFERROR(INDEX(装备库!$A$2:$Y$1047,MATCH(ROW()-1,装备库!$AO$2:$AO$1046,0),COLUMN()),"")</f>
        <v>0</v>
      </c>
      <c r="L256">
        <f>IFERROR(INDEX(装备库!$A$2:$Y$1047,MATCH(ROW()-1,装备库!$AO$2:$AO$1046,0),COLUMN()),"")</f>
        <v>0</v>
      </c>
      <c r="M256">
        <f>IFERROR(INDEX(装备库!$A$2:$Y$1047,MATCH(ROW()-1,装备库!$AO$2:$AO$1046,0),COLUMN()),"")</f>
        <v>0</v>
      </c>
      <c r="N256">
        <f>IFERROR(INDEX(装备库!$A$2:$Y$1047,MATCH(ROW()-1,装备库!$AO$2:$AO$1046,0),COLUMN()),"")</f>
        <v>0</v>
      </c>
      <c r="O256">
        <f>IFERROR(INDEX(装备库!$A$2:$Y$1047,MATCH(ROW()-1,装备库!$AO$2:$AO$1046,0),COLUMN()),"")</f>
        <v>0</v>
      </c>
      <c r="P256">
        <f>IFERROR(INDEX(装备库!$A$2:$Y$1047,MATCH(ROW()-1,装备库!$AO$2:$AO$1046,0),COLUMN()),"")</f>
        <v>0</v>
      </c>
      <c r="Q256">
        <f>IFERROR(INDEX(装备库!$A$2:$Y$1047,MATCH(ROW()-1,装备库!$AO$2:$AO$1046,0),COLUMN()),"")</f>
        <v>0</v>
      </c>
      <c r="R256">
        <f>IFERROR(INDEX(装备库!$A$2:$Y$1047,MATCH(ROW()-1,装备库!$AO$2:$AO$1046,0),COLUMN()),"")</f>
        <v>0</v>
      </c>
      <c r="S256">
        <f>IFERROR(INDEX(装备库!$A$2:$Y$1047,MATCH(ROW()-1,装备库!$AO$2:$AO$1046,0),COLUMN()),"")</f>
        <v>0</v>
      </c>
      <c r="T256">
        <f>IFERROR(INDEX(装备库!$A$2:$Y$1047,MATCH(ROW()-1,装备库!$AO$2:$AO$1046,0),COLUMN()),"")</f>
        <v>0</v>
      </c>
      <c r="U256">
        <f>IFERROR(INDEX(装备库!$A$2:$Y$1047,MATCH(ROW()-1,装备库!$AO$2:$AO$1046,0),COLUMN()),"")</f>
        <v>0</v>
      </c>
      <c r="V256">
        <f>IFERROR(INDEX(装备库!$A$2:$Y$1047,MATCH(ROW()-1,装备库!$AO$2:$AO$1046,0),COLUMN()),"")</f>
        <v>0</v>
      </c>
      <c r="W256" t="str">
        <f>IFERROR(INDEX(装备库!$A$2:$Y$1047,MATCH(ROW()-1,装备库!$AO$2:$AO$1046,0),COLUMN()),"")</f>
        <v>力道纯破</v>
      </c>
      <c r="X256">
        <f>IFERROR(INDEX(装备库!$A$2:$Y$1047,MATCH(ROW()-1,装备库!$AO$2:$AO$1046,0),COLUMN()),"")</f>
        <v>6</v>
      </c>
      <c r="Y256" t="str">
        <f>IFERROR(INDEX(装备库!$A$2:$Y$1047,MATCH(ROW()-1,装备库!$AO$2:$AO$1046,0),COLUMN()),"")</f>
        <v>任务</v>
      </c>
    </row>
    <row r="257" spans="1:25" x14ac:dyDescent="0.35">
      <c r="A257" t="str">
        <f>IFERROR(INDEX(装备库!$A$2:$Y$1047,MATCH(ROW()-1,装备库!$AO$2:$AO$1046,0),COLUMN()),"")</f>
        <v>帽子</v>
      </c>
      <c r="B257" t="str">
        <f>IFERROR(INDEX(装备库!$A$2:$Y$1047,MATCH(ROW()-1,装备库!$AO$2:$AO$1046,0),COLUMN()),"")</f>
        <v>画楼冠</v>
      </c>
      <c r="C257">
        <f>IFERROR(INDEX(装备库!$A$2:$Y$1047,MATCH(ROW()-1,装备库!$AO$2:$AO$1046,0),COLUMN()),"")</f>
        <v>8100</v>
      </c>
      <c r="D257" t="str">
        <f>IFERROR(INDEX(装备库!$A$2:$Y$1047,MATCH(ROW()-1,装备库!$AO$2:$AO$1046,0),COLUMN()),"")</f>
        <v>画楼冠(8100会招)</v>
      </c>
      <c r="E257">
        <f>IFERROR(INDEX(装备库!$A$2:$Y$1047,MATCH(ROW()-1,装备库!$AO$2:$AO$1046,0),COLUMN()),"")</f>
        <v>509</v>
      </c>
      <c r="F257">
        <f>IFERROR(INDEX(装备库!$A$2:$Y$1047,MATCH(ROW()-1,装备库!$AO$2:$AO$1046,0),COLUMN()),"")</f>
        <v>826</v>
      </c>
      <c r="G257">
        <f>IFERROR(INDEX(装备库!$A$2:$Y$1047,MATCH(ROW()-1,装备库!$AO$2:$AO$1046,0),COLUMN()),"")</f>
        <v>2554</v>
      </c>
      <c r="H257">
        <f>IFERROR(INDEX(装备库!$A$2:$Y$1047,MATCH(ROW()-1,装备库!$AO$2:$AO$1046,0),COLUMN()),"")</f>
        <v>0</v>
      </c>
      <c r="I257">
        <f>IFERROR(INDEX(装备库!$A$2:$Y$1047,MATCH(ROW()-1,装备库!$AO$2:$AO$1046,0),COLUMN()),"")</f>
        <v>0</v>
      </c>
      <c r="J257">
        <f>IFERROR(INDEX(装备库!$A$2:$Y$1047,MATCH(ROW()-1,装备库!$AO$2:$AO$1046,0),COLUMN()),"")</f>
        <v>2270</v>
      </c>
      <c r="K257">
        <f>IFERROR(INDEX(装备库!$A$2:$Y$1047,MATCH(ROW()-1,装备库!$AO$2:$AO$1046,0),COLUMN()),"")</f>
        <v>0</v>
      </c>
      <c r="L257">
        <f>IFERROR(INDEX(装备库!$A$2:$Y$1047,MATCH(ROW()-1,装备库!$AO$2:$AO$1046,0),COLUMN()),"")</f>
        <v>0</v>
      </c>
      <c r="M257">
        <f>IFERROR(INDEX(装备库!$A$2:$Y$1047,MATCH(ROW()-1,装备库!$AO$2:$AO$1046,0),COLUMN()),"")</f>
        <v>0</v>
      </c>
      <c r="N257">
        <f>IFERROR(INDEX(装备库!$A$2:$Y$1047,MATCH(ROW()-1,装备库!$AO$2:$AO$1046,0),COLUMN()),"")</f>
        <v>0</v>
      </c>
      <c r="O257">
        <f>IFERROR(INDEX(装备库!$A$2:$Y$1047,MATCH(ROW()-1,装备库!$AO$2:$AO$1046,0),COLUMN()),"")</f>
        <v>0</v>
      </c>
      <c r="P257">
        <f>IFERROR(INDEX(装备库!$A$2:$Y$1047,MATCH(ROW()-1,装备库!$AO$2:$AO$1046,0),COLUMN()),"")</f>
        <v>1</v>
      </c>
      <c r="Q257">
        <f>IFERROR(INDEX(装备库!$A$2:$Y$1047,MATCH(ROW()-1,装备库!$AO$2:$AO$1046,0),COLUMN()),"")</f>
        <v>0</v>
      </c>
      <c r="R257">
        <f>IFERROR(INDEX(装备库!$A$2:$Y$1047,MATCH(ROW()-1,装备库!$AO$2:$AO$1046,0),COLUMN()),"")</f>
        <v>0</v>
      </c>
      <c r="S257">
        <f>IFERROR(INDEX(装备库!$A$2:$Y$1047,MATCH(ROW()-1,装备库!$AO$2:$AO$1046,0),COLUMN()),"")</f>
        <v>1</v>
      </c>
      <c r="T257">
        <f>IFERROR(INDEX(装备库!$A$2:$Y$1047,MATCH(ROW()-1,装备库!$AO$2:$AO$1046,0),COLUMN()),"")</f>
        <v>0</v>
      </c>
      <c r="U257">
        <f>IFERROR(INDEX(装备库!$A$2:$Y$1047,MATCH(ROW()-1,装备库!$AO$2:$AO$1046,0),COLUMN()),"")</f>
        <v>0</v>
      </c>
      <c r="V257">
        <f>IFERROR(INDEX(装备库!$A$2:$Y$1047,MATCH(ROW()-1,装备库!$AO$2:$AO$1046,0),COLUMN()),"")</f>
        <v>0</v>
      </c>
      <c r="W257" t="str">
        <f>IFERROR(INDEX(装备库!$A$2:$Y$1047,MATCH(ROW()-1,装备库!$AO$2:$AO$1046,0),COLUMN()),"")</f>
        <v>会招</v>
      </c>
      <c r="X257">
        <f>IFERROR(INDEX(装备库!$A$2:$Y$1047,MATCH(ROW()-1,装备库!$AO$2:$AO$1046,0),COLUMN()),"")</f>
        <v>6</v>
      </c>
      <c r="Y257" t="str">
        <f>IFERROR(INDEX(装备库!$A$2:$Y$1047,MATCH(ROW()-1,装备库!$AO$2:$AO$1046,0),COLUMN()),"")</f>
        <v>任务</v>
      </c>
    </row>
    <row r="258" spans="1:25" x14ac:dyDescent="0.35">
      <c r="A258" t="str">
        <f>IFERROR(INDEX(装备库!$A$2:$Y$1047,MATCH(ROW()-1,装备库!$AO$2:$AO$1046,0),COLUMN()),"")</f>
        <v>帽子</v>
      </c>
      <c r="B258" t="str">
        <f>IFERROR(INDEX(装备库!$A$2:$Y$1047,MATCH(ROW()-1,装备库!$AO$2:$AO$1046,0),COLUMN()),"")</f>
        <v>临雾帽</v>
      </c>
      <c r="C258">
        <f>IFERROR(INDEX(装备库!$A$2:$Y$1047,MATCH(ROW()-1,装备库!$AO$2:$AO$1046,0),COLUMN()),"")</f>
        <v>8150</v>
      </c>
      <c r="D258" t="str">
        <f>IFERROR(INDEX(装备库!$A$2:$Y$1047,MATCH(ROW()-1,装备库!$AO$2:$AO$1046,0),COLUMN()),"")</f>
        <v>临雾帽(8150破无)</v>
      </c>
      <c r="E258">
        <f>IFERROR(INDEX(装备库!$A$2:$Y$1047,MATCH(ROW()-1,装备库!$AO$2:$AO$1046,0),COLUMN()),"")</f>
        <v>512</v>
      </c>
      <c r="F258">
        <f>IFERROR(INDEX(装备库!$A$2:$Y$1047,MATCH(ROW()-1,装备库!$AO$2:$AO$1046,0),COLUMN()),"")</f>
        <v>831</v>
      </c>
      <c r="G258">
        <f>IFERROR(INDEX(装备库!$A$2:$Y$1047,MATCH(ROW()-1,装备库!$AO$2:$AO$1046,0),COLUMN()),"")</f>
        <v>0</v>
      </c>
      <c r="H258">
        <f>IFERROR(INDEX(装备库!$A$2:$Y$1047,MATCH(ROW()-1,装备库!$AO$2:$AO$1046,0),COLUMN()),"")</f>
        <v>0</v>
      </c>
      <c r="I258">
        <f>IFERROR(INDEX(装备库!$A$2:$Y$1047,MATCH(ROW()-1,装备库!$AO$2:$AO$1046,0),COLUMN()),"")</f>
        <v>2570</v>
      </c>
      <c r="J258">
        <f>IFERROR(INDEX(装备库!$A$2:$Y$1047,MATCH(ROW()-1,装备库!$AO$2:$AO$1046,0),COLUMN()),"")</f>
        <v>0</v>
      </c>
      <c r="K258">
        <f>IFERROR(INDEX(装备库!$A$2:$Y$1047,MATCH(ROW()-1,装备库!$AO$2:$AO$1046,0),COLUMN()),"")</f>
        <v>2284</v>
      </c>
      <c r="L258">
        <f>IFERROR(INDEX(装备库!$A$2:$Y$1047,MATCH(ROW()-1,装备库!$AO$2:$AO$1046,0),COLUMN()),"")</f>
        <v>0</v>
      </c>
      <c r="M258">
        <f>IFERROR(INDEX(装备库!$A$2:$Y$1047,MATCH(ROW()-1,装备库!$AO$2:$AO$1046,0),COLUMN()),"")</f>
        <v>0</v>
      </c>
      <c r="N258">
        <f>IFERROR(INDEX(装备库!$A$2:$Y$1047,MATCH(ROW()-1,装备库!$AO$2:$AO$1046,0),COLUMN()),"")</f>
        <v>0</v>
      </c>
      <c r="O258">
        <f>IFERROR(INDEX(装备库!$A$2:$Y$1047,MATCH(ROW()-1,装备库!$AO$2:$AO$1046,0),COLUMN()),"")</f>
        <v>1</v>
      </c>
      <c r="P258">
        <f>IFERROR(INDEX(装备库!$A$2:$Y$1047,MATCH(ROW()-1,装备库!$AO$2:$AO$1046,0),COLUMN()),"")</f>
        <v>0</v>
      </c>
      <c r="Q258">
        <f>IFERROR(INDEX(装备库!$A$2:$Y$1047,MATCH(ROW()-1,装备库!$AO$2:$AO$1046,0),COLUMN()),"")</f>
        <v>0</v>
      </c>
      <c r="R258">
        <f>IFERROR(INDEX(装备库!$A$2:$Y$1047,MATCH(ROW()-1,装备库!$AO$2:$AO$1046,0),COLUMN()),"")</f>
        <v>0</v>
      </c>
      <c r="S258">
        <f>IFERROR(INDEX(装备库!$A$2:$Y$1047,MATCH(ROW()-1,装备库!$AO$2:$AO$1046,0),COLUMN()),"")</f>
        <v>1</v>
      </c>
      <c r="T258">
        <f>IFERROR(INDEX(装备库!$A$2:$Y$1047,MATCH(ROW()-1,装备库!$AO$2:$AO$1046,0),COLUMN()),"")</f>
        <v>0</v>
      </c>
      <c r="U258">
        <f>IFERROR(INDEX(装备库!$A$2:$Y$1047,MATCH(ROW()-1,装备库!$AO$2:$AO$1046,0),COLUMN()),"")</f>
        <v>0</v>
      </c>
      <c r="V258">
        <f>IFERROR(INDEX(装备库!$A$2:$Y$1047,MATCH(ROW()-1,装备库!$AO$2:$AO$1046,0),COLUMN()),"")</f>
        <v>0</v>
      </c>
      <c r="W258" t="str">
        <f>IFERROR(INDEX(装备库!$A$2:$Y$1047,MATCH(ROW()-1,装备库!$AO$2:$AO$1046,0),COLUMN()),"")</f>
        <v>破无</v>
      </c>
      <c r="X258">
        <f>IFERROR(INDEX(装备库!$A$2:$Y$1047,MATCH(ROW()-1,装备库!$AO$2:$AO$1046,0),COLUMN()),"")</f>
        <v>6</v>
      </c>
      <c r="Y258" t="str">
        <f>IFERROR(INDEX(装备库!$A$2:$Y$1047,MATCH(ROW()-1,装备库!$AO$2:$AO$1046,0),COLUMN()),"")</f>
        <v>声望</v>
      </c>
    </row>
    <row r="259" spans="1:25" x14ac:dyDescent="0.35">
      <c r="A259" t="str">
        <f>IFERROR(INDEX(装备库!$A$2:$Y$1047,MATCH(ROW()-1,装备库!$AO$2:$AO$1046,0),COLUMN()),"")</f>
        <v>帽子</v>
      </c>
      <c r="B259" t="str">
        <f>IFERROR(INDEX(装备库!$A$2:$Y$1047,MATCH(ROW()-1,装备库!$AO$2:$AO$1046,0),COLUMN()),"")</f>
        <v>少雪巾</v>
      </c>
      <c r="C259">
        <f>IFERROR(INDEX(装备库!$A$2:$Y$1047,MATCH(ROW()-1,装备库!$AO$2:$AO$1046,0),COLUMN()),"")</f>
        <v>8600</v>
      </c>
      <c r="D259" t="str">
        <f>IFERROR(INDEX(装备库!$A$2:$Y$1047,MATCH(ROW()-1,装备库!$AO$2:$AO$1046,0),COLUMN()),"")</f>
        <v>少雪巾(8600招破)</v>
      </c>
      <c r="E259">
        <f>IFERROR(INDEX(装备库!$A$2:$Y$1047,MATCH(ROW()-1,装备库!$AO$2:$AO$1046,0),COLUMN()),"")</f>
        <v>540</v>
      </c>
      <c r="F259">
        <f>IFERROR(INDEX(装备库!$A$2:$Y$1047,MATCH(ROW()-1,装备库!$AO$2:$AO$1046,0),COLUMN()),"")</f>
        <v>877</v>
      </c>
      <c r="G259">
        <f>IFERROR(INDEX(装备库!$A$2:$Y$1047,MATCH(ROW()-1,装备库!$AO$2:$AO$1046,0),COLUMN()),"")</f>
        <v>0</v>
      </c>
      <c r="H259">
        <f>IFERROR(INDEX(装备库!$A$2:$Y$1047,MATCH(ROW()-1,装备库!$AO$2:$AO$1046,0),COLUMN()),"")</f>
        <v>0</v>
      </c>
      <c r="I259">
        <f>IFERROR(INDEX(装备库!$A$2:$Y$1047,MATCH(ROW()-1,装备库!$AO$2:$AO$1046,0),COLUMN()),"")</f>
        <v>2712</v>
      </c>
      <c r="J259">
        <f>IFERROR(INDEX(装备库!$A$2:$Y$1047,MATCH(ROW()-1,装备库!$AO$2:$AO$1046,0),COLUMN()),"")</f>
        <v>2410</v>
      </c>
      <c r="K259">
        <f>IFERROR(INDEX(装备库!$A$2:$Y$1047,MATCH(ROW()-1,装备库!$AO$2:$AO$1046,0),COLUMN()),"")</f>
        <v>0</v>
      </c>
      <c r="L259">
        <f>IFERROR(INDEX(装备库!$A$2:$Y$1047,MATCH(ROW()-1,装备库!$AO$2:$AO$1046,0),COLUMN()),"")</f>
        <v>0</v>
      </c>
      <c r="M259">
        <f>IFERROR(INDEX(装备库!$A$2:$Y$1047,MATCH(ROW()-1,装备库!$AO$2:$AO$1046,0),COLUMN()),"")</f>
        <v>0</v>
      </c>
      <c r="N259">
        <f>IFERROR(INDEX(装备库!$A$2:$Y$1047,MATCH(ROW()-1,装备库!$AO$2:$AO$1046,0),COLUMN()),"")</f>
        <v>0</v>
      </c>
      <c r="O259">
        <f>IFERROR(INDEX(装备库!$A$2:$Y$1047,MATCH(ROW()-1,装备库!$AO$2:$AO$1046,0),COLUMN()),"")</f>
        <v>1</v>
      </c>
      <c r="P259">
        <f>IFERROR(INDEX(装备库!$A$2:$Y$1047,MATCH(ROW()-1,装备库!$AO$2:$AO$1046,0),COLUMN()),"")</f>
        <v>1</v>
      </c>
      <c r="Q259">
        <f>IFERROR(INDEX(装备库!$A$2:$Y$1047,MATCH(ROW()-1,装备库!$AO$2:$AO$1046,0),COLUMN()),"")</f>
        <v>0</v>
      </c>
      <c r="R259">
        <f>IFERROR(INDEX(装备库!$A$2:$Y$1047,MATCH(ROW()-1,装备库!$AO$2:$AO$1046,0),COLUMN()),"")</f>
        <v>0</v>
      </c>
      <c r="S259">
        <f>IFERROR(INDEX(装备库!$A$2:$Y$1047,MATCH(ROW()-1,装备库!$AO$2:$AO$1046,0),COLUMN()),"")</f>
        <v>0</v>
      </c>
      <c r="T259">
        <f>IFERROR(INDEX(装备库!$A$2:$Y$1047,MATCH(ROW()-1,装备库!$AO$2:$AO$1046,0),COLUMN()),"")</f>
        <v>0</v>
      </c>
      <c r="U259">
        <f>IFERROR(INDEX(装备库!$A$2:$Y$1047,MATCH(ROW()-1,装备库!$AO$2:$AO$1046,0),COLUMN()),"")</f>
        <v>0</v>
      </c>
      <c r="V259">
        <f>IFERROR(INDEX(装备库!$A$2:$Y$1047,MATCH(ROW()-1,装备库!$AO$2:$AO$1046,0),COLUMN()),"")</f>
        <v>0</v>
      </c>
      <c r="W259" t="str">
        <f>IFERROR(INDEX(装备库!$A$2:$Y$1047,MATCH(ROW()-1,装备库!$AO$2:$AO$1046,0),COLUMN()),"")</f>
        <v>招破</v>
      </c>
      <c r="X259">
        <f>IFERROR(INDEX(装备库!$A$2:$Y$1047,MATCH(ROW()-1,装备库!$AO$2:$AO$1046,0),COLUMN()),"")</f>
        <v>6</v>
      </c>
      <c r="Y259" t="str">
        <f>IFERROR(INDEX(装备库!$A$2:$Y$1047,MATCH(ROW()-1,装备库!$AO$2:$AO$1046,0),COLUMN()),"")</f>
        <v>精英怪</v>
      </c>
    </row>
    <row r="260" spans="1:25" x14ac:dyDescent="0.35">
      <c r="A260" t="str">
        <f>IFERROR(INDEX(装备库!$A$2:$Y$1047,MATCH(ROW()-1,装备库!$AO$2:$AO$1046,0),COLUMN()),"")</f>
        <v>帽子</v>
      </c>
      <c r="B260" t="str">
        <f>IFERROR(INDEX(装备库!$A$2:$Y$1047,MATCH(ROW()-1,装备库!$AO$2:$AO$1046,0),COLUMN()),"")</f>
        <v>临雾帽</v>
      </c>
      <c r="C260">
        <f>IFERROR(INDEX(装备库!$A$2:$Y$1047,MATCH(ROW()-1,装备库!$AO$2:$AO$1046,0),COLUMN()),"")</f>
        <v>8800</v>
      </c>
      <c r="D260" t="str">
        <f>IFERROR(INDEX(装备库!$A$2:$Y$1047,MATCH(ROW()-1,装备库!$AO$2:$AO$1046,0),COLUMN()),"")</f>
        <v>临雾帽(8800破无)</v>
      </c>
      <c r="E260">
        <f>IFERROR(INDEX(装备库!$A$2:$Y$1047,MATCH(ROW()-1,装备库!$AO$2:$AO$1046,0),COLUMN()),"")</f>
        <v>553</v>
      </c>
      <c r="F260">
        <f>IFERROR(INDEX(装备库!$A$2:$Y$1047,MATCH(ROW()-1,装备库!$AO$2:$AO$1046,0),COLUMN()),"")</f>
        <v>897</v>
      </c>
      <c r="G260">
        <f>IFERROR(INDEX(装备库!$A$2:$Y$1047,MATCH(ROW()-1,装备库!$AO$2:$AO$1046,0),COLUMN()),"")</f>
        <v>0</v>
      </c>
      <c r="H260">
        <f>IFERROR(INDEX(装备库!$A$2:$Y$1047,MATCH(ROW()-1,装备库!$AO$2:$AO$1046,0),COLUMN()),"")</f>
        <v>0</v>
      </c>
      <c r="I260">
        <f>IFERROR(INDEX(装备库!$A$2:$Y$1047,MATCH(ROW()-1,装备库!$AO$2:$AO$1046,0),COLUMN()),"")</f>
        <v>2775</v>
      </c>
      <c r="J260">
        <f>IFERROR(INDEX(装备库!$A$2:$Y$1047,MATCH(ROW()-1,装备库!$AO$2:$AO$1046,0),COLUMN()),"")</f>
        <v>0</v>
      </c>
      <c r="K260">
        <f>IFERROR(INDEX(装备库!$A$2:$Y$1047,MATCH(ROW()-1,装备库!$AO$2:$AO$1046,0),COLUMN()),"")</f>
        <v>2467</v>
      </c>
      <c r="L260">
        <f>IFERROR(INDEX(装备库!$A$2:$Y$1047,MATCH(ROW()-1,装备库!$AO$2:$AO$1046,0),COLUMN()),"")</f>
        <v>0</v>
      </c>
      <c r="M260">
        <f>IFERROR(INDEX(装备库!$A$2:$Y$1047,MATCH(ROW()-1,装备库!$AO$2:$AO$1046,0),COLUMN()),"")</f>
        <v>0</v>
      </c>
      <c r="N260">
        <f>IFERROR(INDEX(装备库!$A$2:$Y$1047,MATCH(ROW()-1,装备库!$AO$2:$AO$1046,0),COLUMN()),"")</f>
        <v>0</v>
      </c>
      <c r="O260">
        <f>IFERROR(INDEX(装备库!$A$2:$Y$1047,MATCH(ROW()-1,装备库!$AO$2:$AO$1046,0),COLUMN()),"")</f>
        <v>1</v>
      </c>
      <c r="P260">
        <f>IFERROR(INDEX(装备库!$A$2:$Y$1047,MATCH(ROW()-1,装备库!$AO$2:$AO$1046,0),COLUMN()),"")</f>
        <v>0</v>
      </c>
      <c r="Q260">
        <f>IFERROR(INDEX(装备库!$A$2:$Y$1047,MATCH(ROW()-1,装备库!$AO$2:$AO$1046,0),COLUMN()),"")</f>
        <v>0</v>
      </c>
      <c r="R260">
        <f>IFERROR(INDEX(装备库!$A$2:$Y$1047,MATCH(ROW()-1,装备库!$AO$2:$AO$1046,0),COLUMN()),"")</f>
        <v>0</v>
      </c>
      <c r="S260">
        <f>IFERROR(INDEX(装备库!$A$2:$Y$1047,MATCH(ROW()-1,装备库!$AO$2:$AO$1046,0),COLUMN()),"")</f>
        <v>1</v>
      </c>
      <c r="T260">
        <f>IFERROR(INDEX(装备库!$A$2:$Y$1047,MATCH(ROW()-1,装备库!$AO$2:$AO$1046,0),COLUMN()),"")</f>
        <v>0</v>
      </c>
      <c r="U260">
        <f>IFERROR(INDEX(装备库!$A$2:$Y$1047,MATCH(ROW()-1,装备库!$AO$2:$AO$1046,0),COLUMN()),"")</f>
        <v>0</v>
      </c>
      <c r="V260">
        <f>IFERROR(INDEX(装备库!$A$2:$Y$1047,MATCH(ROW()-1,装备库!$AO$2:$AO$1046,0),COLUMN()),"")</f>
        <v>0</v>
      </c>
      <c r="W260" t="str">
        <f>IFERROR(INDEX(装备库!$A$2:$Y$1047,MATCH(ROW()-1,装备库!$AO$2:$AO$1046,0),COLUMN()),"")</f>
        <v>破无</v>
      </c>
      <c r="X260">
        <f>IFERROR(INDEX(装备库!$A$2:$Y$1047,MATCH(ROW()-1,装备库!$AO$2:$AO$1046,0),COLUMN()),"")</f>
        <v>6</v>
      </c>
      <c r="Y260" t="str">
        <f>IFERROR(INDEX(装备库!$A$2:$Y$1047,MATCH(ROW()-1,装备库!$AO$2:$AO$1046,0),COLUMN()),"")</f>
        <v>声望</v>
      </c>
    </row>
    <row r="261" spans="1:25" x14ac:dyDescent="0.35">
      <c r="A261" t="str">
        <f>IFERROR(INDEX(装备库!$A$2:$Y$1047,MATCH(ROW()-1,装备库!$AO$2:$AO$1046,0),COLUMN()),"")</f>
        <v>帽子</v>
      </c>
      <c r="B261" t="str">
        <f>IFERROR(INDEX(装备库!$A$2:$Y$1047,MATCH(ROW()-1,装备库!$AO$2:$AO$1046,0),COLUMN()),"")</f>
        <v>画楼冠</v>
      </c>
      <c r="C261">
        <f>IFERROR(INDEX(装备库!$A$2:$Y$1047,MATCH(ROW()-1,装备库!$AO$2:$AO$1046,0),COLUMN()),"")</f>
        <v>8800</v>
      </c>
      <c r="D261" t="str">
        <f>IFERROR(INDEX(装备库!$A$2:$Y$1047,MATCH(ROW()-1,装备库!$AO$2:$AO$1046,0),COLUMN()),"")</f>
        <v>画楼冠(8800会招)</v>
      </c>
      <c r="E261">
        <f>IFERROR(INDEX(装备库!$A$2:$Y$1047,MATCH(ROW()-1,装备库!$AO$2:$AO$1046,0),COLUMN()),"")</f>
        <v>553</v>
      </c>
      <c r="F261">
        <f>IFERROR(INDEX(装备库!$A$2:$Y$1047,MATCH(ROW()-1,装备库!$AO$2:$AO$1046,0),COLUMN()),"")</f>
        <v>897</v>
      </c>
      <c r="G261">
        <f>IFERROR(INDEX(装备库!$A$2:$Y$1047,MATCH(ROW()-1,装备库!$AO$2:$AO$1046,0),COLUMN()),"")</f>
        <v>2775</v>
      </c>
      <c r="H261">
        <f>IFERROR(INDEX(装备库!$A$2:$Y$1047,MATCH(ROW()-1,装备库!$AO$2:$AO$1046,0),COLUMN()),"")</f>
        <v>0</v>
      </c>
      <c r="I261">
        <f>IFERROR(INDEX(装备库!$A$2:$Y$1047,MATCH(ROW()-1,装备库!$AO$2:$AO$1046,0),COLUMN()),"")</f>
        <v>0</v>
      </c>
      <c r="J261">
        <f>IFERROR(INDEX(装备库!$A$2:$Y$1047,MATCH(ROW()-1,装备库!$AO$2:$AO$1046,0),COLUMN()),"")</f>
        <v>2467</v>
      </c>
      <c r="K261">
        <f>IFERROR(INDEX(装备库!$A$2:$Y$1047,MATCH(ROW()-1,装备库!$AO$2:$AO$1046,0),COLUMN()),"")</f>
        <v>0</v>
      </c>
      <c r="L261">
        <f>IFERROR(INDEX(装备库!$A$2:$Y$1047,MATCH(ROW()-1,装备库!$AO$2:$AO$1046,0),COLUMN()),"")</f>
        <v>0</v>
      </c>
      <c r="M261">
        <f>IFERROR(INDEX(装备库!$A$2:$Y$1047,MATCH(ROW()-1,装备库!$AO$2:$AO$1046,0),COLUMN()),"")</f>
        <v>0</v>
      </c>
      <c r="N261">
        <f>IFERROR(INDEX(装备库!$A$2:$Y$1047,MATCH(ROW()-1,装备库!$AO$2:$AO$1046,0),COLUMN()),"")</f>
        <v>0</v>
      </c>
      <c r="O261">
        <f>IFERROR(INDEX(装备库!$A$2:$Y$1047,MATCH(ROW()-1,装备库!$AO$2:$AO$1046,0),COLUMN()),"")</f>
        <v>0</v>
      </c>
      <c r="P261">
        <f>IFERROR(INDEX(装备库!$A$2:$Y$1047,MATCH(ROW()-1,装备库!$AO$2:$AO$1046,0),COLUMN()),"")</f>
        <v>1</v>
      </c>
      <c r="Q261">
        <f>IFERROR(INDEX(装备库!$A$2:$Y$1047,MATCH(ROW()-1,装备库!$AO$2:$AO$1046,0),COLUMN()),"")</f>
        <v>0</v>
      </c>
      <c r="R261">
        <f>IFERROR(INDEX(装备库!$A$2:$Y$1047,MATCH(ROW()-1,装备库!$AO$2:$AO$1046,0),COLUMN()),"")</f>
        <v>0</v>
      </c>
      <c r="S261">
        <f>IFERROR(INDEX(装备库!$A$2:$Y$1047,MATCH(ROW()-1,装备库!$AO$2:$AO$1046,0),COLUMN()),"")</f>
        <v>1</v>
      </c>
      <c r="T261">
        <f>IFERROR(INDEX(装备库!$A$2:$Y$1047,MATCH(ROW()-1,装备库!$AO$2:$AO$1046,0),COLUMN()),"")</f>
        <v>0</v>
      </c>
      <c r="U261">
        <f>IFERROR(INDEX(装备库!$A$2:$Y$1047,MATCH(ROW()-1,装备库!$AO$2:$AO$1046,0),COLUMN()),"")</f>
        <v>0</v>
      </c>
      <c r="V261">
        <f>IFERROR(INDEX(装备库!$A$2:$Y$1047,MATCH(ROW()-1,装备库!$AO$2:$AO$1046,0),COLUMN()),"")</f>
        <v>0</v>
      </c>
      <c r="W261" t="str">
        <f>IFERROR(INDEX(装备库!$A$2:$Y$1047,MATCH(ROW()-1,装备库!$AO$2:$AO$1046,0),COLUMN()),"")</f>
        <v>会招</v>
      </c>
      <c r="X261">
        <f>IFERROR(INDEX(装备库!$A$2:$Y$1047,MATCH(ROW()-1,装备库!$AO$2:$AO$1046,0),COLUMN()),"")</f>
        <v>6</v>
      </c>
      <c r="Y261" t="str">
        <f>IFERROR(INDEX(装备库!$A$2:$Y$1047,MATCH(ROW()-1,装备库!$AO$2:$AO$1046,0),COLUMN()),"")</f>
        <v>任务</v>
      </c>
    </row>
    <row r="262" spans="1:25" x14ac:dyDescent="0.35">
      <c r="A262" t="str">
        <f>IFERROR(INDEX(装备库!$A$2:$Y$1047,MATCH(ROW()-1,装备库!$AO$2:$AO$1046,0),COLUMN()),"")</f>
        <v>帽子</v>
      </c>
      <c r="B262" t="str">
        <f>IFERROR(INDEX(装备库!$A$2:$Y$1047,MATCH(ROW()-1,装备库!$AO$2:$AO$1046,0),COLUMN()),"")</f>
        <v>分石帽</v>
      </c>
      <c r="C262">
        <f>IFERROR(INDEX(装备库!$A$2:$Y$1047,MATCH(ROW()-1,装备库!$AO$2:$AO$1046,0),COLUMN()),"")</f>
        <v>9100</v>
      </c>
      <c r="D262" t="str">
        <f>IFERROR(INDEX(装备库!$A$2:$Y$1047,MATCH(ROW()-1,装备库!$AO$2:$AO$1046,0),COLUMN()),"")</f>
        <v>分石帽(9100速招)</v>
      </c>
      <c r="E262">
        <f>IFERROR(INDEX(装备库!$A$2:$Y$1047,MATCH(ROW()-1,装备库!$AO$2:$AO$1046,0),COLUMN()),"")</f>
        <v>572</v>
      </c>
      <c r="F262">
        <f>IFERROR(INDEX(装备库!$A$2:$Y$1047,MATCH(ROW()-1,装备库!$AO$2:$AO$1046,0),COLUMN()),"")</f>
        <v>928</v>
      </c>
      <c r="G262">
        <f>IFERROR(INDEX(装备库!$A$2:$Y$1047,MATCH(ROW()-1,装备库!$AO$2:$AO$1046,0),COLUMN()),"")</f>
        <v>0</v>
      </c>
      <c r="H262">
        <f>IFERROR(INDEX(装备库!$A$2:$Y$1047,MATCH(ROW()-1,装备库!$AO$2:$AO$1046,0),COLUMN()),"")</f>
        <v>0</v>
      </c>
      <c r="I262">
        <f>IFERROR(INDEX(装备库!$A$2:$Y$1047,MATCH(ROW()-1,装备库!$AO$2:$AO$1046,0),COLUMN()),"")</f>
        <v>0</v>
      </c>
      <c r="J262">
        <f>IFERROR(INDEX(装备库!$A$2:$Y$1047,MATCH(ROW()-1,装备库!$AO$2:$AO$1046,0),COLUMN()),"")</f>
        <v>2551</v>
      </c>
      <c r="K262">
        <f>IFERROR(INDEX(装备库!$A$2:$Y$1047,MATCH(ROW()-1,装备库!$AO$2:$AO$1046,0),COLUMN()),"")</f>
        <v>0</v>
      </c>
      <c r="L262">
        <f>IFERROR(INDEX(装备库!$A$2:$Y$1047,MATCH(ROW()-1,装备库!$AO$2:$AO$1046,0),COLUMN()),"")</f>
        <v>2869</v>
      </c>
      <c r="M262">
        <f>IFERROR(INDEX(装备库!$A$2:$Y$1047,MATCH(ROW()-1,装备库!$AO$2:$AO$1046,0),COLUMN()),"")</f>
        <v>0</v>
      </c>
      <c r="N262">
        <f>IFERROR(INDEX(装备库!$A$2:$Y$1047,MATCH(ROW()-1,装备库!$AO$2:$AO$1046,0),COLUMN()),"")</f>
        <v>0</v>
      </c>
      <c r="O262">
        <f>IFERROR(INDEX(装备库!$A$2:$Y$1047,MATCH(ROW()-1,装备库!$AO$2:$AO$1046,0),COLUMN()),"")</f>
        <v>1</v>
      </c>
      <c r="P262">
        <f>IFERROR(INDEX(装备库!$A$2:$Y$1047,MATCH(ROW()-1,装备库!$AO$2:$AO$1046,0),COLUMN()),"")</f>
        <v>0</v>
      </c>
      <c r="Q262">
        <f>IFERROR(INDEX(装备库!$A$2:$Y$1047,MATCH(ROW()-1,装备库!$AO$2:$AO$1046,0),COLUMN()),"")</f>
        <v>0</v>
      </c>
      <c r="R262">
        <f>IFERROR(INDEX(装备库!$A$2:$Y$1047,MATCH(ROW()-1,装备库!$AO$2:$AO$1046,0),COLUMN()),"")</f>
        <v>0</v>
      </c>
      <c r="S262">
        <f>IFERROR(INDEX(装备库!$A$2:$Y$1047,MATCH(ROW()-1,装备库!$AO$2:$AO$1046,0),COLUMN()),"")</f>
        <v>1</v>
      </c>
      <c r="T262">
        <f>IFERROR(INDEX(装备库!$A$2:$Y$1047,MATCH(ROW()-1,装备库!$AO$2:$AO$1046,0),COLUMN()),"")</f>
        <v>0</v>
      </c>
      <c r="U262">
        <f>IFERROR(INDEX(装备库!$A$2:$Y$1047,MATCH(ROW()-1,装备库!$AO$2:$AO$1046,0),COLUMN()),"")</f>
        <v>0</v>
      </c>
      <c r="V262">
        <f>IFERROR(INDEX(装备库!$A$2:$Y$1047,MATCH(ROW()-1,装备库!$AO$2:$AO$1046,0),COLUMN()),"")</f>
        <v>0</v>
      </c>
      <c r="W262" t="str">
        <f>IFERROR(INDEX(装备库!$A$2:$Y$1047,MATCH(ROW()-1,装备库!$AO$2:$AO$1046,0),COLUMN()),"")</f>
        <v>速招</v>
      </c>
      <c r="X262">
        <f>IFERROR(INDEX(装备库!$A$2:$Y$1047,MATCH(ROW()-1,装备库!$AO$2:$AO$1046,0),COLUMN()),"")</f>
        <v>6</v>
      </c>
      <c r="Y262" t="str">
        <f>IFERROR(INDEX(装备库!$A$2:$Y$1047,MATCH(ROW()-1,装备库!$AO$2:$AO$1046,0),COLUMN()),"")</f>
        <v>副本</v>
      </c>
    </row>
    <row r="263" spans="1:25" x14ac:dyDescent="0.35">
      <c r="A263" t="str">
        <f>IFERROR(INDEX(装备库!$A$2:$Y$1047,MATCH(ROW()-1,装备库!$AO$2:$AO$1046,0),COLUMN()),"")</f>
        <v>帽子</v>
      </c>
      <c r="B263" t="str">
        <f>IFERROR(INDEX(装备库!$A$2:$Y$1047,MATCH(ROW()-1,装备库!$AO$2:$AO$1046,0),COLUMN()),"")</f>
        <v>无封头饰</v>
      </c>
      <c r="C263">
        <f>IFERROR(INDEX(装备库!$A$2:$Y$1047,MATCH(ROW()-1,装备库!$AO$2:$AO$1046,0),COLUMN()),"")</f>
        <v>9100</v>
      </c>
      <c r="D263" t="str">
        <f>IFERROR(INDEX(装备库!$A$2:$Y$1047,MATCH(ROW()-1,装备库!$AO$2:$AO$1046,0),COLUMN()),"")</f>
        <v>无封头饰(9100精简攻无)</v>
      </c>
      <c r="E263">
        <f>IFERROR(INDEX(装备库!$A$2:$Y$1047,MATCH(ROW()-1,装备库!$AO$2:$AO$1046,0),COLUMN()),"")</f>
        <v>0</v>
      </c>
      <c r="F263">
        <f>IFERROR(INDEX(装备库!$A$2:$Y$1047,MATCH(ROW()-1,装备库!$AO$2:$AO$1046,0),COLUMN()),"")</f>
        <v>2426</v>
      </c>
      <c r="G263">
        <f>IFERROR(INDEX(装备库!$A$2:$Y$1047,MATCH(ROW()-1,装备库!$AO$2:$AO$1046,0),COLUMN()),"")</f>
        <v>0</v>
      </c>
      <c r="H263">
        <f>IFERROR(INDEX(装备库!$A$2:$Y$1047,MATCH(ROW()-1,装备库!$AO$2:$AO$1046,0),COLUMN()),"")</f>
        <v>0</v>
      </c>
      <c r="I263">
        <f>IFERROR(INDEX(装备库!$A$2:$Y$1047,MATCH(ROW()-1,装备库!$AO$2:$AO$1046,0),COLUMN()),"")</f>
        <v>0</v>
      </c>
      <c r="J263">
        <f>IFERROR(INDEX(装备库!$A$2:$Y$1047,MATCH(ROW()-1,装备库!$AO$2:$AO$1046,0),COLUMN()),"")</f>
        <v>0</v>
      </c>
      <c r="K263">
        <f>IFERROR(INDEX(装备库!$A$2:$Y$1047,MATCH(ROW()-1,装备库!$AO$2:$AO$1046,0),COLUMN()),"")</f>
        <v>5500</v>
      </c>
      <c r="L263">
        <f>IFERROR(INDEX(装备库!$A$2:$Y$1047,MATCH(ROW()-1,装备库!$AO$2:$AO$1046,0),COLUMN()),"")</f>
        <v>0</v>
      </c>
      <c r="M263">
        <f>IFERROR(INDEX(装备库!$A$2:$Y$1047,MATCH(ROW()-1,装备库!$AO$2:$AO$1046,0),COLUMN()),"")</f>
        <v>0</v>
      </c>
      <c r="N263">
        <f>IFERROR(INDEX(装备库!$A$2:$Y$1047,MATCH(ROW()-1,装备库!$AO$2:$AO$1046,0),COLUMN()),"")</f>
        <v>0</v>
      </c>
      <c r="O263">
        <f>IFERROR(INDEX(装备库!$A$2:$Y$1047,MATCH(ROW()-1,装备库!$AO$2:$AO$1046,0),COLUMN()),"")</f>
        <v>0</v>
      </c>
      <c r="P263">
        <f>IFERROR(INDEX(装备库!$A$2:$Y$1047,MATCH(ROW()-1,装备库!$AO$2:$AO$1046,0),COLUMN()),"")</f>
        <v>0</v>
      </c>
      <c r="Q263">
        <f>IFERROR(INDEX(装备库!$A$2:$Y$1047,MATCH(ROW()-1,装备库!$AO$2:$AO$1046,0),COLUMN()),"")</f>
        <v>0</v>
      </c>
      <c r="R263">
        <f>IFERROR(INDEX(装备库!$A$2:$Y$1047,MATCH(ROW()-1,装备库!$AO$2:$AO$1046,0),COLUMN()),"")</f>
        <v>0</v>
      </c>
      <c r="S263">
        <f>IFERROR(INDEX(装备库!$A$2:$Y$1047,MATCH(ROW()-1,装备库!$AO$2:$AO$1046,0),COLUMN()),"")</f>
        <v>1</v>
      </c>
      <c r="T263">
        <f>IFERROR(INDEX(装备库!$A$2:$Y$1047,MATCH(ROW()-1,装备库!$AO$2:$AO$1046,0),COLUMN()),"")</f>
        <v>0</v>
      </c>
      <c r="U263">
        <f>IFERROR(INDEX(装备库!$A$2:$Y$1047,MATCH(ROW()-1,装备库!$AO$2:$AO$1046,0),COLUMN()),"")</f>
        <v>1</v>
      </c>
      <c r="V263">
        <f>IFERROR(INDEX(装备库!$A$2:$Y$1047,MATCH(ROW()-1,装备库!$AO$2:$AO$1046,0),COLUMN()),"")</f>
        <v>0</v>
      </c>
      <c r="W263" t="str">
        <f>IFERROR(INDEX(装备库!$A$2:$Y$1047,MATCH(ROW()-1,装备库!$AO$2:$AO$1046,0),COLUMN()),"")</f>
        <v>精简攻无</v>
      </c>
      <c r="X263">
        <f>IFERROR(INDEX(装备库!$A$2:$Y$1047,MATCH(ROW()-1,装备库!$AO$2:$AO$1046,0),COLUMN()),"")</f>
        <v>3</v>
      </c>
      <c r="Y263" t="str">
        <f>IFERROR(INDEX(装备库!$A$2:$Y$1047,MATCH(ROW()-1,装备库!$AO$2:$AO$1046,0),COLUMN()),"")</f>
        <v>活动</v>
      </c>
    </row>
    <row r="264" spans="1:25" x14ac:dyDescent="0.35">
      <c r="A264" t="str">
        <f>IFERROR(INDEX(装备库!$A$2:$Y$1047,MATCH(ROW()-1,装备库!$AO$2:$AO$1046,0),COLUMN()),"")</f>
        <v>帽子</v>
      </c>
      <c r="B264" t="str">
        <f>IFERROR(INDEX(装备库!$A$2:$Y$1047,MATCH(ROW()-1,装备库!$AO$2:$AO$1046,0),COLUMN()),"")</f>
        <v>无封头饰</v>
      </c>
      <c r="C264">
        <f>IFERROR(INDEX(装备库!$A$2:$Y$1047,MATCH(ROW()-1,装备库!$AO$2:$AO$1046,0),COLUMN()),"")</f>
        <v>9100</v>
      </c>
      <c r="D264" t="str">
        <f>IFERROR(INDEX(装备库!$A$2:$Y$1047,MATCH(ROW()-1,装备库!$AO$2:$AO$1046,0),COLUMN()),"")</f>
        <v>无封头饰(9100精简攻会招破)</v>
      </c>
      <c r="E264">
        <f>IFERROR(INDEX(装备库!$A$2:$Y$1047,MATCH(ROW()-1,装备库!$AO$2:$AO$1046,0),COLUMN()),"")</f>
        <v>0</v>
      </c>
      <c r="F264">
        <f>IFERROR(INDEX(装备库!$A$2:$Y$1047,MATCH(ROW()-1,装备库!$AO$2:$AO$1046,0),COLUMN()),"")</f>
        <v>2284</v>
      </c>
      <c r="G264">
        <f>IFERROR(INDEX(装备库!$A$2:$Y$1047,MATCH(ROW()-1,装备库!$AO$2:$AO$1046,0),COLUMN()),"")</f>
        <v>2072</v>
      </c>
      <c r="H264">
        <f>IFERROR(INDEX(装备库!$A$2:$Y$1047,MATCH(ROW()-1,装备库!$AO$2:$AO$1046,0),COLUMN()),"")</f>
        <v>0</v>
      </c>
      <c r="I264">
        <f>IFERROR(INDEX(装备库!$A$2:$Y$1047,MATCH(ROW()-1,装备库!$AO$2:$AO$1046,0),COLUMN()),"")</f>
        <v>2072</v>
      </c>
      <c r="J264">
        <f>IFERROR(INDEX(装备库!$A$2:$Y$1047,MATCH(ROW()-1,装备库!$AO$2:$AO$1046,0),COLUMN()),"")</f>
        <v>1754</v>
      </c>
      <c r="K264">
        <f>IFERROR(INDEX(装备库!$A$2:$Y$1047,MATCH(ROW()-1,装备库!$AO$2:$AO$1046,0),COLUMN()),"")</f>
        <v>0</v>
      </c>
      <c r="L264">
        <f>IFERROR(INDEX(装备库!$A$2:$Y$1047,MATCH(ROW()-1,装备库!$AO$2:$AO$1046,0),COLUMN()),"")</f>
        <v>0</v>
      </c>
      <c r="M264">
        <f>IFERROR(INDEX(装备库!$A$2:$Y$1047,MATCH(ROW()-1,装备库!$AO$2:$AO$1046,0),COLUMN()),"")</f>
        <v>0</v>
      </c>
      <c r="N264">
        <f>IFERROR(INDEX(装备库!$A$2:$Y$1047,MATCH(ROW()-1,装备库!$AO$2:$AO$1046,0),COLUMN()),"")</f>
        <v>0</v>
      </c>
      <c r="O264">
        <f>IFERROR(INDEX(装备库!$A$2:$Y$1047,MATCH(ROW()-1,装备库!$AO$2:$AO$1046,0),COLUMN()),"")</f>
        <v>0</v>
      </c>
      <c r="P264">
        <f>IFERROR(INDEX(装备库!$A$2:$Y$1047,MATCH(ROW()-1,装备库!$AO$2:$AO$1046,0),COLUMN()),"")</f>
        <v>0</v>
      </c>
      <c r="Q264">
        <f>IFERROR(INDEX(装备库!$A$2:$Y$1047,MATCH(ROW()-1,装备库!$AO$2:$AO$1046,0),COLUMN()),"")</f>
        <v>0</v>
      </c>
      <c r="R264">
        <f>IFERROR(INDEX(装备库!$A$2:$Y$1047,MATCH(ROW()-1,装备库!$AO$2:$AO$1046,0),COLUMN()),"")</f>
        <v>1</v>
      </c>
      <c r="S264">
        <f>IFERROR(INDEX(装备库!$A$2:$Y$1047,MATCH(ROW()-1,装备库!$AO$2:$AO$1046,0),COLUMN()),"")</f>
        <v>1</v>
      </c>
      <c r="T264">
        <f>IFERROR(INDEX(装备库!$A$2:$Y$1047,MATCH(ROW()-1,装备库!$AO$2:$AO$1046,0),COLUMN()),"")</f>
        <v>0</v>
      </c>
      <c r="U264">
        <f>IFERROR(INDEX(装备库!$A$2:$Y$1047,MATCH(ROW()-1,装备库!$AO$2:$AO$1046,0),COLUMN()),"")</f>
        <v>0</v>
      </c>
      <c r="V264">
        <f>IFERROR(INDEX(装备库!$A$2:$Y$1047,MATCH(ROW()-1,装备库!$AO$2:$AO$1046,0),COLUMN()),"")</f>
        <v>0</v>
      </c>
      <c r="W264" t="str">
        <f>IFERROR(INDEX(装备库!$A$2:$Y$1047,MATCH(ROW()-1,装备库!$AO$2:$AO$1046,0),COLUMN()),"")</f>
        <v>精简攻会招破</v>
      </c>
      <c r="X264">
        <f>IFERROR(INDEX(装备库!$A$2:$Y$1047,MATCH(ROW()-1,装备库!$AO$2:$AO$1046,0),COLUMN()),"")</f>
        <v>3</v>
      </c>
      <c r="Y264" t="str">
        <f>IFERROR(INDEX(装备库!$A$2:$Y$1047,MATCH(ROW()-1,装备库!$AO$2:$AO$1046,0),COLUMN()),"")</f>
        <v>活动</v>
      </c>
    </row>
    <row r="265" spans="1:25" x14ac:dyDescent="0.35">
      <c r="A265" t="str">
        <f>IFERROR(INDEX(装备库!$A$2:$Y$1047,MATCH(ROW()-1,装备库!$AO$2:$AO$1046,0),COLUMN()),"")</f>
        <v>帽子</v>
      </c>
      <c r="B265" t="str">
        <f>IFERROR(INDEX(装备库!$A$2:$Y$1047,MATCH(ROW()-1,装备库!$AO$2:$AO$1046,0),COLUMN()),"")</f>
        <v>无封头饰</v>
      </c>
      <c r="C265">
        <f>IFERROR(INDEX(装备库!$A$2:$Y$1047,MATCH(ROW()-1,装备库!$AO$2:$AO$1046,0),COLUMN()),"")</f>
        <v>9100</v>
      </c>
      <c r="D265" t="str">
        <f>IFERROR(INDEX(装备库!$A$2:$Y$1047,MATCH(ROW()-1,装备库!$AO$2:$AO$1046,0),COLUMN()),"")</f>
        <v>无封头饰(9100精简攻会无)</v>
      </c>
      <c r="E265">
        <f>IFERROR(INDEX(装备库!$A$2:$Y$1047,MATCH(ROW()-1,装备库!$AO$2:$AO$1046,0),COLUMN()),"")</f>
        <v>0</v>
      </c>
      <c r="F265">
        <f>IFERROR(INDEX(装备库!$A$2:$Y$1047,MATCH(ROW()-1,装备库!$AO$2:$AO$1046,0),COLUMN()),"")</f>
        <v>2070</v>
      </c>
      <c r="G265">
        <f>IFERROR(INDEX(装备库!$A$2:$Y$1047,MATCH(ROW()-1,装备库!$AO$2:$AO$1046,0),COLUMN()),"")</f>
        <v>3188</v>
      </c>
      <c r="H265">
        <f>IFERROR(INDEX(装备库!$A$2:$Y$1047,MATCH(ROW()-1,装备库!$AO$2:$AO$1046,0),COLUMN()),"")</f>
        <v>0</v>
      </c>
      <c r="I265">
        <f>IFERROR(INDEX(装备库!$A$2:$Y$1047,MATCH(ROW()-1,装备库!$AO$2:$AO$1046,0),COLUMN()),"")</f>
        <v>0</v>
      </c>
      <c r="J265">
        <f>IFERROR(INDEX(装备库!$A$2:$Y$1047,MATCH(ROW()-1,装备库!$AO$2:$AO$1046,0),COLUMN()),"")</f>
        <v>0</v>
      </c>
      <c r="K265">
        <f>IFERROR(INDEX(装备库!$A$2:$Y$1047,MATCH(ROW()-1,装备库!$AO$2:$AO$1046,0),COLUMN()),"")</f>
        <v>3188</v>
      </c>
      <c r="L265">
        <f>IFERROR(INDEX(装备库!$A$2:$Y$1047,MATCH(ROW()-1,装备库!$AO$2:$AO$1046,0),COLUMN()),"")</f>
        <v>0</v>
      </c>
      <c r="M265">
        <f>IFERROR(INDEX(装备库!$A$2:$Y$1047,MATCH(ROW()-1,装备库!$AO$2:$AO$1046,0),COLUMN()),"")</f>
        <v>0</v>
      </c>
      <c r="N265">
        <f>IFERROR(INDEX(装备库!$A$2:$Y$1047,MATCH(ROW()-1,装备库!$AO$2:$AO$1046,0),COLUMN()),"")</f>
        <v>0</v>
      </c>
      <c r="O265">
        <f>IFERROR(INDEX(装备库!$A$2:$Y$1047,MATCH(ROW()-1,装备库!$AO$2:$AO$1046,0),COLUMN()),"")</f>
        <v>0</v>
      </c>
      <c r="P265">
        <f>IFERROR(INDEX(装备库!$A$2:$Y$1047,MATCH(ROW()-1,装备库!$AO$2:$AO$1046,0),COLUMN()),"")</f>
        <v>0</v>
      </c>
      <c r="Q265">
        <f>IFERROR(INDEX(装备库!$A$2:$Y$1047,MATCH(ROW()-1,装备库!$AO$2:$AO$1046,0),COLUMN()),"")</f>
        <v>0</v>
      </c>
      <c r="R265">
        <f>IFERROR(INDEX(装备库!$A$2:$Y$1047,MATCH(ROW()-1,装备库!$AO$2:$AO$1046,0),COLUMN()),"")</f>
        <v>1</v>
      </c>
      <c r="S265">
        <f>IFERROR(INDEX(装备库!$A$2:$Y$1047,MATCH(ROW()-1,装备库!$AO$2:$AO$1046,0),COLUMN()),"")</f>
        <v>0</v>
      </c>
      <c r="T265">
        <f>IFERROR(INDEX(装备库!$A$2:$Y$1047,MATCH(ROW()-1,装备库!$AO$2:$AO$1046,0),COLUMN()),"")</f>
        <v>0</v>
      </c>
      <c r="U265">
        <f>IFERROR(INDEX(装备库!$A$2:$Y$1047,MATCH(ROW()-1,装备库!$AO$2:$AO$1046,0),COLUMN()),"")</f>
        <v>1</v>
      </c>
      <c r="V265">
        <f>IFERROR(INDEX(装备库!$A$2:$Y$1047,MATCH(ROW()-1,装备库!$AO$2:$AO$1046,0),COLUMN()),"")</f>
        <v>0</v>
      </c>
      <c r="W265" t="str">
        <f>IFERROR(INDEX(装备库!$A$2:$Y$1047,MATCH(ROW()-1,装备库!$AO$2:$AO$1046,0),COLUMN()),"")</f>
        <v>精简攻会无</v>
      </c>
      <c r="X265">
        <f>IFERROR(INDEX(装备库!$A$2:$Y$1047,MATCH(ROW()-1,装备库!$AO$2:$AO$1046,0),COLUMN()),"")</f>
        <v>3</v>
      </c>
      <c r="Y265" t="str">
        <f>IFERROR(INDEX(装备库!$A$2:$Y$1047,MATCH(ROW()-1,装备库!$AO$2:$AO$1046,0),COLUMN()),"")</f>
        <v>活动</v>
      </c>
    </row>
    <row r="266" spans="1:25" x14ac:dyDescent="0.35">
      <c r="A266" t="str">
        <f>IFERROR(INDEX(装备库!$A$2:$Y$1047,MATCH(ROW()-1,装备库!$AO$2:$AO$1046,0),COLUMN()),"")</f>
        <v>帽子</v>
      </c>
      <c r="B266" t="str">
        <f>IFERROR(INDEX(装备库!$A$2:$Y$1047,MATCH(ROW()-1,装备库!$AO$2:$AO$1046,0),COLUMN()),"")</f>
        <v>无封头饰</v>
      </c>
      <c r="C266">
        <f>IFERROR(INDEX(装备库!$A$2:$Y$1047,MATCH(ROW()-1,装备库!$AO$2:$AO$1046,0),COLUMN()),"")</f>
        <v>9400</v>
      </c>
      <c r="D266" t="str">
        <f>IFERROR(INDEX(装备库!$A$2:$Y$1047,MATCH(ROW()-1,装备库!$AO$2:$AO$1046,0),COLUMN()),"")</f>
        <v>无封头饰(9400精简攻会招)</v>
      </c>
      <c r="E266">
        <f>IFERROR(INDEX(装备库!$A$2:$Y$1047,MATCH(ROW()-1,装备库!$AO$2:$AO$1046,0),COLUMN()),"")</f>
        <v>0</v>
      </c>
      <c r="F266">
        <f>IFERROR(INDEX(装备库!$A$2:$Y$1047,MATCH(ROW()-1,装备库!$AO$2:$AO$1046,0),COLUMN()),"")</f>
        <v>2138</v>
      </c>
      <c r="G266">
        <f>IFERROR(INDEX(装备库!$A$2:$Y$1047,MATCH(ROW()-1,装备库!$AO$2:$AO$1046,0),COLUMN()),"")</f>
        <v>3293</v>
      </c>
      <c r="H266">
        <f>IFERROR(INDEX(装备库!$A$2:$Y$1047,MATCH(ROW()-1,装备库!$AO$2:$AO$1046,0),COLUMN()),"")</f>
        <v>0</v>
      </c>
      <c r="I266">
        <f>IFERROR(INDEX(装备库!$A$2:$Y$1047,MATCH(ROW()-1,装备库!$AO$2:$AO$1046,0),COLUMN()),"")</f>
        <v>0</v>
      </c>
      <c r="J266">
        <f>IFERROR(INDEX(装备库!$A$2:$Y$1047,MATCH(ROW()-1,装备库!$AO$2:$AO$1046,0),COLUMN()),"")</f>
        <v>3293</v>
      </c>
      <c r="K266">
        <f>IFERROR(INDEX(装备库!$A$2:$Y$1047,MATCH(ROW()-1,装备库!$AO$2:$AO$1046,0),COLUMN()),"")</f>
        <v>0</v>
      </c>
      <c r="L266">
        <f>IFERROR(INDEX(装备库!$A$2:$Y$1047,MATCH(ROW()-1,装备库!$AO$2:$AO$1046,0),COLUMN()),"")</f>
        <v>0</v>
      </c>
      <c r="M266">
        <f>IFERROR(INDEX(装备库!$A$2:$Y$1047,MATCH(ROW()-1,装备库!$AO$2:$AO$1046,0),COLUMN()),"")</f>
        <v>0</v>
      </c>
      <c r="N266">
        <f>IFERROR(INDEX(装备库!$A$2:$Y$1047,MATCH(ROW()-1,装备库!$AO$2:$AO$1046,0),COLUMN()),"")</f>
        <v>0</v>
      </c>
      <c r="O266">
        <f>IFERROR(INDEX(装备库!$A$2:$Y$1047,MATCH(ROW()-1,装备库!$AO$2:$AO$1046,0),COLUMN()),"")</f>
        <v>0</v>
      </c>
      <c r="P266">
        <f>IFERROR(INDEX(装备库!$A$2:$Y$1047,MATCH(ROW()-1,装备库!$AO$2:$AO$1046,0),COLUMN()),"")</f>
        <v>0</v>
      </c>
      <c r="Q266">
        <f>IFERROR(INDEX(装备库!$A$2:$Y$1047,MATCH(ROW()-1,装备库!$AO$2:$AO$1046,0),COLUMN()),"")</f>
        <v>0</v>
      </c>
      <c r="R266">
        <f>IFERROR(INDEX(装备库!$A$2:$Y$1047,MATCH(ROW()-1,装备库!$AO$2:$AO$1046,0),COLUMN()),"")</f>
        <v>1</v>
      </c>
      <c r="S266">
        <f>IFERROR(INDEX(装备库!$A$2:$Y$1047,MATCH(ROW()-1,装备库!$AO$2:$AO$1046,0),COLUMN()),"")</f>
        <v>0</v>
      </c>
      <c r="T266">
        <f>IFERROR(INDEX(装备库!$A$2:$Y$1047,MATCH(ROW()-1,装备库!$AO$2:$AO$1046,0),COLUMN()),"")</f>
        <v>1</v>
      </c>
      <c r="U266">
        <f>IFERROR(INDEX(装备库!$A$2:$Y$1047,MATCH(ROW()-1,装备库!$AO$2:$AO$1046,0),COLUMN()),"")</f>
        <v>0</v>
      </c>
      <c r="V266">
        <f>IFERROR(INDEX(装备库!$A$2:$Y$1047,MATCH(ROW()-1,装备库!$AO$2:$AO$1046,0),COLUMN()),"")</f>
        <v>0</v>
      </c>
      <c r="W266" t="str">
        <f>IFERROR(INDEX(装备库!$A$2:$Y$1047,MATCH(ROW()-1,装备库!$AO$2:$AO$1046,0),COLUMN()),"")</f>
        <v>精简攻会招</v>
      </c>
      <c r="X266">
        <f>IFERROR(INDEX(装备库!$A$2:$Y$1047,MATCH(ROW()-1,装备库!$AO$2:$AO$1046,0),COLUMN()),"")</f>
        <v>3</v>
      </c>
      <c r="Y266" t="str">
        <f>IFERROR(INDEX(装备库!$A$2:$Y$1047,MATCH(ROW()-1,装备库!$AO$2:$AO$1046,0),COLUMN()),"")</f>
        <v>活动</v>
      </c>
    </row>
    <row r="267" spans="1:25" x14ac:dyDescent="0.35">
      <c r="A267" t="str">
        <f>IFERROR(INDEX(装备库!$A$2:$Y$1047,MATCH(ROW()-1,装备库!$AO$2:$AO$1046,0),COLUMN()),"")</f>
        <v>帽子</v>
      </c>
      <c r="B267" t="str">
        <f>IFERROR(INDEX(装备库!$A$2:$Y$1047,MATCH(ROW()-1,装备库!$AO$2:$AO$1046,0),COLUMN()),"")</f>
        <v>无封头饰</v>
      </c>
      <c r="C267">
        <f>IFERROR(INDEX(装备库!$A$2:$Y$1047,MATCH(ROW()-1,装备库!$AO$2:$AO$1046,0),COLUMN()),"")</f>
        <v>9400</v>
      </c>
      <c r="D267" t="str">
        <f>IFERROR(INDEX(装备库!$A$2:$Y$1047,MATCH(ROW()-1,装备库!$AO$2:$AO$1046,0),COLUMN()),"")</f>
        <v>无封头饰(9400精简攻会破无)</v>
      </c>
      <c r="E267">
        <f>IFERROR(INDEX(装备库!$A$2:$Y$1047,MATCH(ROW()-1,装备库!$AO$2:$AO$1046,0),COLUMN()),"")</f>
        <v>0</v>
      </c>
      <c r="F267">
        <f>IFERROR(INDEX(装备库!$A$2:$Y$1047,MATCH(ROW()-1,装备库!$AO$2:$AO$1046,0),COLUMN()),"")</f>
        <v>2138</v>
      </c>
      <c r="G267">
        <f>IFERROR(INDEX(装备库!$A$2:$Y$1047,MATCH(ROW()-1,装备库!$AO$2:$AO$1046,0),COLUMN()),"")</f>
        <v>2635</v>
      </c>
      <c r="H267">
        <f>IFERROR(INDEX(装备库!$A$2:$Y$1047,MATCH(ROW()-1,装备库!$AO$2:$AO$1046,0),COLUMN()),"")</f>
        <v>0</v>
      </c>
      <c r="I267">
        <f>IFERROR(INDEX(装备库!$A$2:$Y$1047,MATCH(ROW()-1,装备库!$AO$2:$AO$1046,0),COLUMN()),"")</f>
        <v>2305</v>
      </c>
      <c r="J267">
        <f>IFERROR(INDEX(装备库!$A$2:$Y$1047,MATCH(ROW()-1,装备库!$AO$2:$AO$1046,0),COLUMN()),"")</f>
        <v>0</v>
      </c>
      <c r="K267">
        <f>IFERROR(INDEX(装备库!$A$2:$Y$1047,MATCH(ROW()-1,装备库!$AO$2:$AO$1046,0),COLUMN()),"")</f>
        <v>1647</v>
      </c>
      <c r="L267">
        <f>IFERROR(INDEX(装备库!$A$2:$Y$1047,MATCH(ROW()-1,装备库!$AO$2:$AO$1046,0),COLUMN()),"")</f>
        <v>0</v>
      </c>
      <c r="M267">
        <f>IFERROR(INDEX(装备库!$A$2:$Y$1047,MATCH(ROW()-1,装备库!$AO$2:$AO$1046,0),COLUMN()),"")</f>
        <v>0</v>
      </c>
      <c r="N267">
        <f>IFERROR(INDEX(装备库!$A$2:$Y$1047,MATCH(ROW()-1,装备库!$AO$2:$AO$1046,0),COLUMN()),"")</f>
        <v>0</v>
      </c>
      <c r="O267">
        <f>IFERROR(INDEX(装备库!$A$2:$Y$1047,MATCH(ROW()-1,装备库!$AO$2:$AO$1046,0),COLUMN()),"")</f>
        <v>0</v>
      </c>
      <c r="P267">
        <f>IFERROR(INDEX(装备库!$A$2:$Y$1047,MATCH(ROW()-1,装备库!$AO$2:$AO$1046,0),COLUMN()),"")</f>
        <v>1</v>
      </c>
      <c r="Q267">
        <f>IFERROR(INDEX(装备库!$A$2:$Y$1047,MATCH(ROW()-1,装备库!$AO$2:$AO$1046,0),COLUMN()),"")</f>
        <v>0</v>
      </c>
      <c r="R267">
        <f>IFERROR(INDEX(装备库!$A$2:$Y$1047,MATCH(ROW()-1,装备库!$AO$2:$AO$1046,0),COLUMN()),"")</f>
        <v>1</v>
      </c>
      <c r="S267">
        <f>IFERROR(INDEX(装备库!$A$2:$Y$1047,MATCH(ROW()-1,装备库!$AO$2:$AO$1046,0),COLUMN()),"")</f>
        <v>0</v>
      </c>
      <c r="T267">
        <f>IFERROR(INDEX(装备库!$A$2:$Y$1047,MATCH(ROW()-1,装备库!$AO$2:$AO$1046,0),COLUMN()),"")</f>
        <v>0</v>
      </c>
      <c r="U267">
        <f>IFERROR(INDEX(装备库!$A$2:$Y$1047,MATCH(ROW()-1,装备库!$AO$2:$AO$1046,0),COLUMN()),"")</f>
        <v>0</v>
      </c>
      <c r="V267">
        <f>IFERROR(INDEX(装备库!$A$2:$Y$1047,MATCH(ROW()-1,装备库!$AO$2:$AO$1046,0),COLUMN()),"")</f>
        <v>0</v>
      </c>
      <c r="W267" t="str">
        <f>IFERROR(INDEX(装备库!$A$2:$Y$1047,MATCH(ROW()-1,装备库!$AO$2:$AO$1046,0),COLUMN()),"")</f>
        <v>精简攻会破无</v>
      </c>
      <c r="X267">
        <f>IFERROR(INDEX(装备库!$A$2:$Y$1047,MATCH(ROW()-1,装备库!$AO$2:$AO$1046,0),COLUMN()),"")</f>
        <v>3</v>
      </c>
      <c r="Y267" t="str">
        <f>IFERROR(INDEX(装备库!$A$2:$Y$1047,MATCH(ROW()-1,装备库!$AO$2:$AO$1046,0),COLUMN()),"")</f>
        <v>活动</v>
      </c>
    </row>
    <row r="268" spans="1:25" x14ac:dyDescent="0.35">
      <c r="A268" t="str">
        <f>IFERROR(INDEX(装备库!$A$2:$Y$1047,MATCH(ROW()-1,装备库!$AO$2:$AO$1046,0),COLUMN()),"")</f>
        <v>帽子</v>
      </c>
      <c r="B268" t="str">
        <f>IFERROR(INDEX(装备库!$A$2:$Y$1047,MATCH(ROW()-1,装备库!$AO$2:$AO$1046,0),COLUMN()),"")</f>
        <v>无封头饰</v>
      </c>
      <c r="C268">
        <f>IFERROR(INDEX(装备库!$A$2:$Y$1047,MATCH(ROW()-1,装备库!$AO$2:$AO$1046,0),COLUMN()),"")</f>
        <v>9400</v>
      </c>
      <c r="D268" t="str">
        <f>IFERROR(INDEX(装备库!$A$2:$Y$1047,MATCH(ROW()-1,装备库!$AO$2:$AO$1046,0),COLUMN()),"")</f>
        <v>无封头饰(9400精简攻会)</v>
      </c>
      <c r="E268">
        <f>IFERROR(INDEX(装备库!$A$2:$Y$1047,MATCH(ROW()-1,装备库!$AO$2:$AO$1046,0),COLUMN()),"")</f>
        <v>0</v>
      </c>
      <c r="F268">
        <f>IFERROR(INDEX(装备库!$A$2:$Y$1047,MATCH(ROW()-1,装备库!$AO$2:$AO$1046,0),COLUMN()),"")</f>
        <v>2506</v>
      </c>
      <c r="G268">
        <f>IFERROR(INDEX(装备库!$A$2:$Y$1047,MATCH(ROW()-1,装备库!$AO$2:$AO$1046,0),COLUMN()),"")</f>
        <v>5681</v>
      </c>
      <c r="H268">
        <f>IFERROR(INDEX(装备库!$A$2:$Y$1047,MATCH(ROW()-1,装备库!$AO$2:$AO$1046,0),COLUMN()),"")</f>
        <v>0</v>
      </c>
      <c r="I268">
        <f>IFERROR(INDEX(装备库!$A$2:$Y$1047,MATCH(ROW()-1,装备库!$AO$2:$AO$1046,0),COLUMN()),"")</f>
        <v>0</v>
      </c>
      <c r="J268">
        <f>IFERROR(INDEX(装备库!$A$2:$Y$1047,MATCH(ROW()-1,装备库!$AO$2:$AO$1046,0),COLUMN()),"")</f>
        <v>0</v>
      </c>
      <c r="K268">
        <f>IFERROR(INDEX(装备库!$A$2:$Y$1047,MATCH(ROW()-1,装备库!$AO$2:$AO$1046,0),COLUMN()),"")</f>
        <v>0</v>
      </c>
      <c r="L268">
        <f>IFERROR(INDEX(装备库!$A$2:$Y$1047,MATCH(ROW()-1,装备库!$AO$2:$AO$1046,0),COLUMN()),"")</f>
        <v>0</v>
      </c>
      <c r="M268">
        <f>IFERROR(INDEX(装备库!$A$2:$Y$1047,MATCH(ROW()-1,装备库!$AO$2:$AO$1046,0),COLUMN()),"")</f>
        <v>0</v>
      </c>
      <c r="N268">
        <f>IFERROR(INDEX(装备库!$A$2:$Y$1047,MATCH(ROW()-1,装备库!$AO$2:$AO$1046,0),COLUMN()),"")</f>
        <v>0</v>
      </c>
      <c r="O268">
        <f>IFERROR(INDEX(装备库!$A$2:$Y$1047,MATCH(ROW()-1,装备库!$AO$2:$AO$1046,0),COLUMN()),"")</f>
        <v>0</v>
      </c>
      <c r="P268">
        <f>IFERROR(INDEX(装备库!$A$2:$Y$1047,MATCH(ROW()-1,装备库!$AO$2:$AO$1046,0),COLUMN()),"")</f>
        <v>0</v>
      </c>
      <c r="Q268">
        <f>IFERROR(INDEX(装备库!$A$2:$Y$1047,MATCH(ROW()-1,装备库!$AO$2:$AO$1046,0),COLUMN()),"")</f>
        <v>1</v>
      </c>
      <c r="R268">
        <f>IFERROR(INDEX(装备库!$A$2:$Y$1047,MATCH(ROW()-1,装备库!$AO$2:$AO$1046,0),COLUMN()),"")</f>
        <v>1</v>
      </c>
      <c r="S268">
        <f>IFERROR(INDEX(装备库!$A$2:$Y$1047,MATCH(ROW()-1,装备库!$AO$2:$AO$1046,0),COLUMN()),"")</f>
        <v>0</v>
      </c>
      <c r="T268">
        <f>IFERROR(INDEX(装备库!$A$2:$Y$1047,MATCH(ROW()-1,装备库!$AO$2:$AO$1046,0),COLUMN()),"")</f>
        <v>0</v>
      </c>
      <c r="U268">
        <f>IFERROR(INDEX(装备库!$A$2:$Y$1047,MATCH(ROW()-1,装备库!$AO$2:$AO$1046,0),COLUMN()),"")</f>
        <v>0</v>
      </c>
      <c r="V268">
        <f>IFERROR(INDEX(装备库!$A$2:$Y$1047,MATCH(ROW()-1,装备库!$AO$2:$AO$1046,0),COLUMN()),"")</f>
        <v>0</v>
      </c>
      <c r="W268" t="str">
        <f>IFERROR(INDEX(装备库!$A$2:$Y$1047,MATCH(ROW()-1,装备库!$AO$2:$AO$1046,0),COLUMN()),"")</f>
        <v>精简攻会</v>
      </c>
      <c r="X268">
        <f>IFERROR(INDEX(装备库!$A$2:$Y$1047,MATCH(ROW()-1,装备库!$AO$2:$AO$1046,0),COLUMN()),"")</f>
        <v>3</v>
      </c>
      <c r="Y268" t="str">
        <f>IFERROR(INDEX(装备库!$A$2:$Y$1047,MATCH(ROW()-1,装备库!$AO$2:$AO$1046,0),COLUMN()),"")</f>
        <v>活动</v>
      </c>
    </row>
    <row r="269" spans="1:25" x14ac:dyDescent="0.35">
      <c r="A269" t="str">
        <f>IFERROR(INDEX(装备库!$A$2:$Y$1047,MATCH(ROW()-1,装备库!$AO$2:$AO$1046,0),COLUMN()),"")</f>
        <v>帽子</v>
      </c>
      <c r="B269" t="str">
        <f>IFERROR(INDEX(装备库!$A$2:$Y$1047,MATCH(ROW()-1,装备库!$AO$2:$AO$1046,0),COLUMN()),"")</f>
        <v>临雾帽</v>
      </c>
      <c r="C269">
        <f>IFERROR(INDEX(装备库!$A$2:$Y$1047,MATCH(ROW()-1,装备库!$AO$2:$AO$1046,0),COLUMN()),"")</f>
        <v>9450</v>
      </c>
      <c r="D269" t="str">
        <f>IFERROR(INDEX(装备库!$A$2:$Y$1047,MATCH(ROW()-1,装备库!$AO$2:$AO$1046,0),COLUMN()),"")</f>
        <v>临雾帽(9450破无)</v>
      </c>
      <c r="E269">
        <f>IFERROR(INDEX(装备库!$A$2:$Y$1047,MATCH(ROW()-1,装备库!$AO$2:$AO$1046,0),COLUMN()),"")</f>
        <v>594</v>
      </c>
      <c r="F269">
        <f>IFERROR(INDEX(装备库!$A$2:$Y$1047,MATCH(ROW()-1,装备库!$AO$2:$AO$1046,0),COLUMN()),"")</f>
        <v>963</v>
      </c>
      <c r="G269">
        <f>IFERROR(INDEX(装备库!$A$2:$Y$1047,MATCH(ROW()-1,装备库!$AO$2:$AO$1046,0),COLUMN()),"")</f>
        <v>0</v>
      </c>
      <c r="H269">
        <f>IFERROR(INDEX(装备库!$A$2:$Y$1047,MATCH(ROW()-1,装备库!$AO$2:$AO$1046,0),COLUMN()),"")</f>
        <v>0</v>
      </c>
      <c r="I269">
        <f>IFERROR(INDEX(装备库!$A$2:$Y$1047,MATCH(ROW()-1,装备库!$AO$2:$AO$1046,0),COLUMN()),"")</f>
        <v>2980</v>
      </c>
      <c r="J269">
        <f>IFERROR(INDEX(装备库!$A$2:$Y$1047,MATCH(ROW()-1,装备库!$AO$2:$AO$1046,0),COLUMN()),"")</f>
        <v>0</v>
      </c>
      <c r="K269">
        <f>IFERROR(INDEX(装备库!$A$2:$Y$1047,MATCH(ROW()-1,装备库!$AO$2:$AO$1046,0),COLUMN()),"")</f>
        <v>2649</v>
      </c>
      <c r="L269">
        <f>IFERROR(INDEX(装备库!$A$2:$Y$1047,MATCH(ROW()-1,装备库!$AO$2:$AO$1046,0),COLUMN()),"")</f>
        <v>0</v>
      </c>
      <c r="M269">
        <f>IFERROR(INDEX(装备库!$A$2:$Y$1047,MATCH(ROW()-1,装备库!$AO$2:$AO$1046,0),COLUMN()),"")</f>
        <v>0</v>
      </c>
      <c r="N269">
        <f>IFERROR(INDEX(装备库!$A$2:$Y$1047,MATCH(ROW()-1,装备库!$AO$2:$AO$1046,0),COLUMN()),"")</f>
        <v>0</v>
      </c>
      <c r="O269">
        <f>IFERROR(INDEX(装备库!$A$2:$Y$1047,MATCH(ROW()-1,装备库!$AO$2:$AO$1046,0),COLUMN()),"")</f>
        <v>1</v>
      </c>
      <c r="P269">
        <f>IFERROR(INDEX(装备库!$A$2:$Y$1047,MATCH(ROW()-1,装备库!$AO$2:$AO$1046,0),COLUMN()),"")</f>
        <v>0</v>
      </c>
      <c r="Q269">
        <f>IFERROR(INDEX(装备库!$A$2:$Y$1047,MATCH(ROW()-1,装备库!$AO$2:$AO$1046,0),COLUMN()),"")</f>
        <v>0</v>
      </c>
      <c r="R269">
        <f>IFERROR(INDEX(装备库!$A$2:$Y$1047,MATCH(ROW()-1,装备库!$AO$2:$AO$1046,0),COLUMN()),"")</f>
        <v>0</v>
      </c>
      <c r="S269">
        <f>IFERROR(INDEX(装备库!$A$2:$Y$1047,MATCH(ROW()-1,装备库!$AO$2:$AO$1046,0),COLUMN()),"")</f>
        <v>1</v>
      </c>
      <c r="T269">
        <f>IFERROR(INDEX(装备库!$A$2:$Y$1047,MATCH(ROW()-1,装备库!$AO$2:$AO$1046,0),COLUMN()),"")</f>
        <v>0</v>
      </c>
      <c r="U269">
        <f>IFERROR(INDEX(装备库!$A$2:$Y$1047,MATCH(ROW()-1,装备库!$AO$2:$AO$1046,0),COLUMN()),"")</f>
        <v>0</v>
      </c>
      <c r="V269">
        <f>IFERROR(INDEX(装备库!$A$2:$Y$1047,MATCH(ROW()-1,装备库!$AO$2:$AO$1046,0),COLUMN()),"")</f>
        <v>0</v>
      </c>
      <c r="W269" t="str">
        <f>IFERROR(INDEX(装备库!$A$2:$Y$1047,MATCH(ROW()-1,装备库!$AO$2:$AO$1046,0),COLUMN()),"")</f>
        <v>破无</v>
      </c>
      <c r="X269">
        <f>IFERROR(INDEX(装备库!$A$2:$Y$1047,MATCH(ROW()-1,装备库!$AO$2:$AO$1046,0),COLUMN()),"")</f>
        <v>6</v>
      </c>
      <c r="Y269" t="str">
        <f>IFERROR(INDEX(装备库!$A$2:$Y$1047,MATCH(ROW()-1,装备库!$AO$2:$AO$1046,0),COLUMN()),"")</f>
        <v>声望</v>
      </c>
    </row>
    <row r="270" spans="1:25" x14ac:dyDescent="0.35">
      <c r="A270" t="str">
        <f>IFERROR(INDEX(装备库!$A$2:$Y$1047,MATCH(ROW()-1,装备库!$AO$2:$AO$1046,0),COLUMN()),"")</f>
        <v>帽子</v>
      </c>
      <c r="B270" t="str">
        <f>IFERROR(INDEX(装备库!$A$2:$Y$1047,MATCH(ROW()-1,装备库!$AO$2:$AO$1046,0),COLUMN()),"")</f>
        <v>女义帽</v>
      </c>
      <c r="C270">
        <f>IFERROR(INDEX(装备库!$A$2:$Y$1047,MATCH(ROW()-1,装备库!$AO$2:$AO$1046,0),COLUMN()),"")</f>
        <v>9600</v>
      </c>
      <c r="D270" t="str">
        <f>IFERROR(INDEX(装备库!$A$2:$Y$1047,MATCH(ROW()-1,装备库!$AO$2:$AO$1046,0),COLUMN()),"")</f>
        <v>女义帽(9600招破)</v>
      </c>
      <c r="E270">
        <f>IFERROR(INDEX(装备库!$A$2:$Y$1047,MATCH(ROW()-1,装备库!$AO$2:$AO$1046,0),COLUMN()),"")</f>
        <v>603</v>
      </c>
      <c r="F270">
        <f>IFERROR(INDEX(装备库!$A$2:$Y$1047,MATCH(ROW()-1,装备库!$AO$2:$AO$1046,0),COLUMN()),"")</f>
        <v>979</v>
      </c>
      <c r="G270">
        <f>IFERROR(INDEX(装备库!$A$2:$Y$1047,MATCH(ROW()-1,装备库!$AO$2:$AO$1046,0),COLUMN()),"")</f>
        <v>0</v>
      </c>
      <c r="H270">
        <f>IFERROR(INDEX(装备库!$A$2:$Y$1047,MATCH(ROW()-1,装备库!$AO$2:$AO$1046,0),COLUMN()),"")</f>
        <v>0</v>
      </c>
      <c r="I270">
        <f>IFERROR(INDEX(装备库!$A$2:$Y$1047,MATCH(ROW()-1,装备库!$AO$2:$AO$1046,0),COLUMN()),"")</f>
        <v>3027</v>
      </c>
      <c r="J270">
        <f>IFERROR(INDEX(装备库!$A$2:$Y$1047,MATCH(ROW()-1,装备库!$AO$2:$AO$1046,0),COLUMN()),"")</f>
        <v>2691</v>
      </c>
      <c r="K270">
        <f>IFERROR(INDEX(装备库!$A$2:$Y$1047,MATCH(ROW()-1,装备库!$AO$2:$AO$1046,0),COLUMN()),"")</f>
        <v>0</v>
      </c>
      <c r="L270">
        <f>IFERROR(INDEX(装备库!$A$2:$Y$1047,MATCH(ROW()-1,装备库!$AO$2:$AO$1046,0),COLUMN()),"")</f>
        <v>0</v>
      </c>
      <c r="M270">
        <f>IFERROR(INDEX(装备库!$A$2:$Y$1047,MATCH(ROW()-1,装备库!$AO$2:$AO$1046,0),COLUMN()),"")</f>
        <v>0</v>
      </c>
      <c r="N270">
        <f>IFERROR(INDEX(装备库!$A$2:$Y$1047,MATCH(ROW()-1,装备库!$AO$2:$AO$1046,0),COLUMN()),"")</f>
        <v>0</v>
      </c>
      <c r="O270">
        <f>IFERROR(INDEX(装备库!$A$2:$Y$1047,MATCH(ROW()-1,装备库!$AO$2:$AO$1046,0),COLUMN()),"")</f>
        <v>1</v>
      </c>
      <c r="P270">
        <f>IFERROR(INDEX(装备库!$A$2:$Y$1047,MATCH(ROW()-1,装备库!$AO$2:$AO$1046,0),COLUMN()),"")</f>
        <v>1</v>
      </c>
      <c r="Q270">
        <f>IFERROR(INDEX(装备库!$A$2:$Y$1047,MATCH(ROW()-1,装备库!$AO$2:$AO$1046,0),COLUMN()),"")</f>
        <v>0</v>
      </c>
      <c r="R270">
        <f>IFERROR(INDEX(装备库!$A$2:$Y$1047,MATCH(ROW()-1,装备库!$AO$2:$AO$1046,0),COLUMN()),"")</f>
        <v>0</v>
      </c>
      <c r="S270">
        <f>IFERROR(INDEX(装备库!$A$2:$Y$1047,MATCH(ROW()-1,装备库!$AO$2:$AO$1046,0),COLUMN()),"")</f>
        <v>0</v>
      </c>
      <c r="T270">
        <f>IFERROR(INDEX(装备库!$A$2:$Y$1047,MATCH(ROW()-1,装备库!$AO$2:$AO$1046,0),COLUMN()),"")</f>
        <v>0</v>
      </c>
      <c r="U270">
        <f>IFERROR(INDEX(装备库!$A$2:$Y$1047,MATCH(ROW()-1,装备库!$AO$2:$AO$1046,0),COLUMN()),"")</f>
        <v>0</v>
      </c>
      <c r="V270">
        <f>IFERROR(INDEX(装备库!$A$2:$Y$1047,MATCH(ROW()-1,装备库!$AO$2:$AO$1046,0),COLUMN()),"")</f>
        <v>0</v>
      </c>
      <c r="W270" t="str">
        <f>IFERROR(INDEX(装备库!$A$2:$Y$1047,MATCH(ROW()-1,装备库!$AO$2:$AO$1046,0),COLUMN()),"")</f>
        <v>招破</v>
      </c>
      <c r="X270">
        <f>IFERROR(INDEX(装备库!$A$2:$Y$1047,MATCH(ROW()-1,装备库!$AO$2:$AO$1046,0),COLUMN()),"")</f>
        <v>6</v>
      </c>
      <c r="Y270" t="str">
        <f>IFERROR(INDEX(装备库!$A$2:$Y$1047,MATCH(ROW()-1,装备库!$AO$2:$AO$1046,0),COLUMN()),"")</f>
        <v>侠义值</v>
      </c>
    </row>
    <row r="271" spans="1:25" x14ac:dyDescent="0.35">
      <c r="A271" t="str">
        <f>IFERROR(INDEX(装备库!$A$2:$Y$1047,MATCH(ROW()-1,装备库!$AO$2:$AO$1046,0),COLUMN()),"")</f>
        <v>帽子</v>
      </c>
      <c r="B271" t="str">
        <f>IFERROR(INDEX(装备库!$A$2:$Y$1047,MATCH(ROW()-1,装备库!$AO$2:$AO$1046,0),COLUMN()),"")</f>
        <v>寻踪觅宝·遮澜帽</v>
      </c>
      <c r="C271">
        <f>IFERROR(INDEX(装备库!$A$2:$Y$1047,MATCH(ROW()-1,装备库!$AO$2:$AO$1046,0),COLUMN()),"")</f>
        <v>9600</v>
      </c>
      <c r="D271" t="str">
        <f>IFERROR(INDEX(装备库!$A$2:$Y$1047,MATCH(ROW()-1,装备库!$AO$2:$AO$1046,0),COLUMN()),"")</f>
        <v>寻踪觅宝·遮澜帽(9600会无)</v>
      </c>
      <c r="E271">
        <f>IFERROR(INDEX(装备库!$A$2:$Y$1047,MATCH(ROW()-1,装备库!$AO$2:$AO$1046,0),COLUMN()),"")</f>
        <v>603</v>
      </c>
      <c r="F271">
        <f>IFERROR(INDEX(装备库!$A$2:$Y$1047,MATCH(ROW()-1,装备库!$AO$2:$AO$1046,0),COLUMN()),"")</f>
        <v>979</v>
      </c>
      <c r="G271">
        <f>IFERROR(INDEX(装备库!$A$2:$Y$1047,MATCH(ROW()-1,装备库!$AO$2:$AO$1046,0),COLUMN()),"")</f>
        <v>3027</v>
      </c>
      <c r="H271">
        <f>IFERROR(INDEX(装备库!$A$2:$Y$1047,MATCH(ROW()-1,装备库!$AO$2:$AO$1046,0),COLUMN()),"")</f>
        <v>0</v>
      </c>
      <c r="I271">
        <f>IFERROR(INDEX(装备库!$A$2:$Y$1047,MATCH(ROW()-1,装备库!$AO$2:$AO$1046,0),COLUMN()),"")</f>
        <v>0</v>
      </c>
      <c r="J271">
        <f>IFERROR(INDEX(装备库!$A$2:$Y$1047,MATCH(ROW()-1,装备库!$AO$2:$AO$1046,0),COLUMN()),"")</f>
        <v>0</v>
      </c>
      <c r="K271">
        <f>IFERROR(INDEX(装备库!$A$2:$Y$1047,MATCH(ROW()-1,装备库!$AO$2:$AO$1046,0),COLUMN()),"")</f>
        <v>2691</v>
      </c>
      <c r="L271">
        <f>IFERROR(INDEX(装备库!$A$2:$Y$1047,MATCH(ROW()-1,装备库!$AO$2:$AO$1046,0),COLUMN()),"")</f>
        <v>0</v>
      </c>
      <c r="M271">
        <f>IFERROR(INDEX(装备库!$A$2:$Y$1047,MATCH(ROW()-1,装备库!$AO$2:$AO$1046,0),COLUMN()),"")</f>
        <v>0</v>
      </c>
      <c r="N271">
        <f>IFERROR(INDEX(装备库!$A$2:$Y$1047,MATCH(ROW()-1,装备库!$AO$2:$AO$1046,0),COLUMN()),"")</f>
        <v>0</v>
      </c>
      <c r="O271">
        <f>IFERROR(INDEX(装备库!$A$2:$Y$1047,MATCH(ROW()-1,装备库!$AO$2:$AO$1046,0),COLUMN()),"")</f>
        <v>0</v>
      </c>
      <c r="P271">
        <f>IFERROR(INDEX(装备库!$A$2:$Y$1047,MATCH(ROW()-1,装备库!$AO$2:$AO$1046,0),COLUMN()),"")</f>
        <v>0</v>
      </c>
      <c r="Q271">
        <f>IFERROR(INDEX(装备库!$A$2:$Y$1047,MATCH(ROW()-1,装备库!$AO$2:$AO$1046,0),COLUMN()),"")</f>
        <v>0</v>
      </c>
      <c r="R271">
        <f>IFERROR(INDEX(装备库!$A$2:$Y$1047,MATCH(ROW()-1,装备库!$AO$2:$AO$1046,0),COLUMN()),"")</f>
        <v>0</v>
      </c>
      <c r="S271">
        <f>IFERROR(INDEX(装备库!$A$2:$Y$1047,MATCH(ROW()-1,装备库!$AO$2:$AO$1046,0),COLUMN()),"")</f>
        <v>1</v>
      </c>
      <c r="T271">
        <f>IFERROR(INDEX(装备库!$A$2:$Y$1047,MATCH(ROW()-1,装备库!$AO$2:$AO$1046,0),COLUMN()),"")</f>
        <v>0</v>
      </c>
      <c r="U271">
        <f>IFERROR(INDEX(装备库!$A$2:$Y$1047,MATCH(ROW()-1,装备库!$AO$2:$AO$1046,0),COLUMN()),"")</f>
        <v>1</v>
      </c>
      <c r="V271">
        <f>IFERROR(INDEX(装备库!$A$2:$Y$1047,MATCH(ROW()-1,装备库!$AO$2:$AO$1046,0),COLUMN()),"")</f>
        <v>0</v>
      </c>
      <c r="W271" t="str">
        <f>IFERROR(INDEX(装备库!$A$2:$Y$1047,MATCH(ROW()-1,装备库!$AO$2:$AO$1046,0),COLUMN()),"")</f>
        <v>会无</v>
      </c>
      <c r="X271">
        <f>IFERROR(INDEX(装备库!$A$2:$Y$1047,MATCH(ROW()-1,装备库!$AO$2:$AO$1046,0),COLUMN()),"")</f>
        <v>6</v>
      </c>
      <c r="Y271" t="str">
        <f>IFERROR(INDEX(装备库!$A$2:$Y$1047,MATCH(ROW()-1,装备库!$AO$2:$AO$1046,0),COLUMN()),"")</f>
        <v>挖宝</v>
      </c>
    </row>
    <row r="272" spans="1:25" x14ac:dyDescent="0.35">
      <c r="A272" t="str">
        <f>IFERROR(INDEX(装备库!$A$2:$Y$1047,MATCH(ROW()-1,装备库!$AO$2:$AO$1046,0),COLUMN()),"")</f>
        <v>帽子</v>
      </c>
      <c r="B272" t="str">
        <f>IFERROR(INDEX(装备库!$A$2:$Y$1047,MATCH(ROW()-1,装备库!$AO$2:$AO$1046,0),COLUMN()),"")</f>
        <v>无封头饰</v>
      </c>
      <c r="C272">
        <f>IFERROR(INDEX(装备库!$A$2:$Y$1047,MATCH(ROW()-1,装备库!$AO$2:$AO$1046,0),COLUMN()),"")</f>
        <v>9700</v>
      </c>
      <c r="D272" t="str">
        <f>IFERROR(INDEX(装备库!$A$2:$Y$1047,MATCH(ROW()-1,装备库!$AO$2:$AO$1046,0),COLUMN()),"")</f>
        <v>无封头饰(9700精简攻破)</v>
      </c>
      <c r="E272">
        <f>IFERROR(INDEX(装备库!$A$2:$Y$1047,MATCH(ROW()-1,装备库!$AO$2:$AO$1046,0),COLUMN()),"")</f>
        <v>0</v>
      </c>
      <c r="F272">
        <f>IFERROR(INDEX(装备库!$A$2:$Y$1047,MATCH(ROW()-1,装备库!$AO$2:$AO$1046,0),COLUMN()),"")</f>
        <v>2586</v>
      </c>
      <c r="G272">
        <f>IFERROR(INDEX(装备库!$A$2:$Y$1047,MATCH(ROW()-1,装备库!$AO$2:$AO$1046,0),COLUMN()),"")</f>
        <v>0</v>
      </c>
      <c r="H272">
        <f>IFERROR(INDEX(装备库!$A$2:$Y$1047,MATCH(ROW()-1,装备库!$AO$2:$AO$1046,0),COLUMN()),"")</f>
        <v>0</v>
      </c>
      <c r="I272">
        <f>IFERROR(INDEX(装备库!$A$2:$Y$1047,MATCH(ROW()-1,装备库!$AO$2:$AO$1046,0),COLUMN()),"")</f>
        <v>5862</v>
      </c>
      <c r="J272">
        <f>IFERROR(INDEX(装备库!$A$2:$Y$1047,MATCH(ROW()-1,装备库!$AO$2:$AO$1046,0),COLUMN()),"")</f>
        <v>0</v>
      </c>
      <c r="K272">
        <f>IFERROR(INDEX(装备库!$A$2:$Y$1047,MATCH(ROW()-1,装备库!$AO$2:$AO$1046,0),COLUMN()),"")</f>
        <v>0</v>
      </c>
      <c r="L272">
        <f>IFERROR(INDEX(装备库!$A$2:$Y$1047,MATCH(ROW()-1,装备库!$AO$2:$AO$1046,0),COLUMN()),"")</f>
        <v>0</v>
      </c>
      <c r="M272">
        <f>IFERROR(INDEX(装备库!$A$2:$Y$1047,MATCH(ROW()-1,装备库!$AO$2:$AO$1046,0),COLUMN()),"")</f>
        <v>0</v>
      </c>
      <c r="N272">
        <f>IFERROR(INDEX(装备库!$A$2:$Y$1047,MATCH(ROW()-1,装备库!$AO$2:$AO$1046,0),COLUMN()),"")</f>
        <v>0</v>
      </c>
      <c r="O272">
        <f>IFERROR(INDEX(装备库!$A$2:$Y$1047,MATCH(ROW()-1,装备库!$AO$2:$AO$1046,0),COLUMN()),"")</f>
        <v>0</v>
      </c>
      <c r="P272">
        <f>IFERROR(INDEX(装备库!$A$2:$Y$1047,MATCH(ROW()-1,装备库!$AO$2:$AO$1046,0),COLUMN()),"")</f>
        <v>1</v>
      </c>
      <c r="Q272">
        <f>IFERROR(INDEX(装备库!$A$2:$Y$1047,MATCH(ROW()-1,装备库!$AO$2:$AO$1046,0),COLUMN()),"")</f>
        <v>0</v>
      </c>
      <c r="R272">
        <f>IFERROR(INDEX(装备库!$A$2:$Y$1047,MATCH(ROW()-1,装备库!$AO$2:$AO$1046,0),COLUMN()),"")</f>
        <v>0</v>
      </c>
      <c r="S272">
        <f>IFERROR(INDEX(装备库!$A$2:$Y$1047,MATCH(ROW()-1,装备库!$AO$2:$AO$1046,0),COLUMN()),"")</f>
        <v>0</v>
      </c>
      <c r="T272">
        <f>IFERROR(INDEX(装备库!$A$2:$Y$1047,MATCH(ROW()-1,装备库!$AO$2:$AO$1046,0),COLUMN()),"")</f>
        <v>1</v>
      </c>
      <c r="U272">
        <f>IFERROR(INDEX(装备库!$A$2:$Y$1047,MATCH(ROW()-1,装备库!$AO$2:$AO$1046,0),COLUMN()),"")</f>
        <v>0</v>
      </c>
      <c r="V272">
        <f>IFERROR(INDEX(装备库!$A$2:$Y$1047,MATCH(ROW()-1,装备库!$AO$2:$AO$1046,0),COLUMN()),"")</f>
        <v>0</v>
      </c>
      <c r="W272" t="str">
        <f>IFERROR(INDEX(装备库!$A$2:$Y$1047,MATCH(ROW()-1,装备库!$AO$2:$AO$1046,0),COLUMN()),"")</f>
        <v>精简攻破</v>
      </c>
      <c r="X272">
        <f>IFERROR(INDEX(装备库!$A$2:$Y$1047,MATCH(ROW()-1,装备库!$AO$2:$AO$1046,0),COLUMN()),"")</f>
        <v>3</v>
      </c>
      <c r="Y272" t="str">
        <f>IFERROR(INDEX(装备库!$A$2:$Y$1047,MATCH(ROW()-1,装备库!$AO$2:$AO$1046,0),COLUMN()),"")</f>
        <v>活动</v>
      </c>
    </row>
    <row r="273" spans="1:25" x14ac:dyDescent="0.35">
      <c r="A273" t="str">
        <f>IFERROR(INDEX(装备库!$A$2:$Y$1047,MATCH(ROW()-1,装备库!$AO$2:$AO$1046,0),COLUMN()),"")</f>
        <v>帽子</v>
      </c>
      <c r="B273" t="str">
        <f>IFERROR(INDEX(装备库!$A$2:$Y$1047,MATCH(ROW()-1,装备库!$AO$2:$AO$1046,0),COLUMN()),"")</f>
        <v>无封头饰</v>
      </c>
      <c r="C273">
        <f>IFERROR(INDEX(装备库!$A$2:$Y$1047,MATCH(ROW()-1,装备库!$AO$2:$AO$1046,0),COLUMN()),"")</f>
        <v>9700</v>
      </c>
      <c r="D273" t="str">
        <f>IFERROR(INDEX(装备库!$A$2:$Y$1047,MATCH(ROW()-1,装备库!$AO$2:$AO$1046,0),COLUMN()),"")</f>
        <v>无封头饰(9700精简攻会招无)</v>
      </c>
      <c r="E273">
        <f>IFERROR(INDEX(装备库!$A$2:$Y$1047,MATCH(ROW()-1,装备库!$AO$2:$AO$1046,0),COLUMN()),"")</f>
        <v>0</v>
      </c>
      <c r="F273">
        <f>IFERROR(INDEX(装备库!$A$2:$Y$1047,MATCH(ROW()-1,装备库!$AO$2:$AO$1046,0),COLUMN()),"")</f>
        <v>2206</v>
      </c>
      <c r="G273">
        <f>IFERROR(INDEX(装备库!$A$2:$Y$1047,MATCH(ROW()-1,装备库!$AO$2:$AO$1046,0),COLUMN()),"")</f>
        <v>3229</v>
      </c>
      <c r="H273">
        <f>IFERROR(INDEX(装备库!$A$2:$Y$1047,MATCH(ROW()-1,装备库!$AO$2:$AO$1046,0),COLUMN()),"")</f>
        <v>0</v>
      </c>
      <c r="I273">
        <f>IFERROR(INDEX(装备库!$A$2:$Y$1047,MATCH(ROW()-1,装备库!$AO$2:$AO$1046,0),COLUMN()),"")</f>
        <v>0</v>
      </c>
      <c r="J273">
        <f>IFERROR(INDEX(装备库!$A$2:$Y$1047,MATCH(ROW()-1,装备库!$AO$2:$AO$1046,0),COLUMN()),"")</f>
        <v>1699</v>
      </c>
      <c r="K273">
        <f>IFERROR(INDEX(装备库!$A$2:$Y$1047,MATCH(ROW()-1,装备库!$AO$2:$AO$1046,0),COLUMN()),"")</f>
        <v>1869</v>
      </c>
      <c r="L273">
        <f>IFERROR(INDEX(装备库!$A$2:$Y$1047,MATCH(ROW()-1,装备库!$AO$2:$AO$1046,0),COLUMN()),"")</f>
        <v>0</v>
      </c>
      <c r="M273">
        <f>IFERROR(INDEX(装备库!$A$2:$Y$1047,MATCH(ROW()-1,装备库!$AO$2:$AO$1046,0),COLUMN()),"")</f>
        <v>0</v>
      </c>
      <c r="N273">
        <f>IFERROR(INDEX(装备库!$A$2:$Y$1047,MATCH(ROW()-1,装备库!$AO$2:$AO$1046,0),COLUMN()),"")</f>
        <v>0</v>
      </c>
      <c r="O273">
        <f>IFERROR(INDEX(装备库!$A$2:$Y$1047,MATCH(ROW()-1,装备库!$AO$2:$AO$1046,0),COLUMN()),"")</f>
        <v>0</v>
      </c>
      <c r="P273">
        <f>IFERROR(INDEX(装备库!$A$2:$Y$1047,MATCH(ROW()-1,装备库!$AO$2:$AO$1046,0),COLUMN()),"")</f>
        <v>0</v>
      </c>
      <c r="Q273">
        <f>IFERROR(INDEX(装备库!$A$2:$Y$1047,MATCH(ROW()-1,装备库!$AO$2:$AO$1046,0),COLUMN()),"")</f>
        <v>0</v>
      </c>
      <c r="R273">
        <f>IFERROR(INDEX(装备库!$A$2:$Y$1047,MATCH(ROW()-1,装备库!$AO$2:$AO$1046,0),COLUMN()),"")</f>
        <v>0</v>
      </c>
      <c r="S273">
        <f>IFERROR(INDEX(装备库!$A$2:$Y$1047,MATCH(ROW()-1,装备库!$AO$2:$AO$1046,0),COLUMN()),"")</f>
        <v>1</v>
      </c>
      <c r="T273">
        <f>IFERROR(INDEX(装备库!$A$2:$Y$1047,MATCH(ROW()-1,装备库!$AO$2:$AO$1046,0),COLUMN()),"")</f>
        <v>0</v>
      </c>
      <c r="U273">
        <f>IFERROR(INDEX(装备库!$A$2:$Y$1047,MATCH(ROW()-1,装备库!$AO$2:$AO$1046,0),COLUMN()),"")</f>
        <v>1</v>
      </c>
      <c r="V273">
        <f>IFERROR(INDEX(装备库!$A$2:$Y$1047,MATCH(ROW()-1,装备库!$AO$2:$AO$1046,0),COLUMN()),"")</f>
        <v>0</v>
      </c>
      <c r="W273" t="str">
        <f>IFERROR(INDEX(装备库!$A$2:$Y$1047,MATCH(ROW()-1,装备库!$AO$2:$AO$1046,0),COLUMN()),"")</f>
        <v>精简攻会招无</v>
      </c>
      <c r="X273">
        <f>IFERROR(INDEX(装备库!$A$2:$Y$1047,MATCH(ROW()-1,装备库!$AO$2:$AO$1046,0),COLUMN()),"")</f>
        <v>3</v>
      </c>
      <c r="Y273" t="str">
        <f>IFERROR(INDEX(装备库!$A$2:$Y$1047,MATCH(ROW()-1,装备库!$AO$2:$AO$1046,0),COLUMN()),"")</f>
        <v>活动</v>
      </c>
    </row>
    <row r="274" spans="1:25" x14ac:dyDescent="0.35">
      <c r="A274" t="str">
        <f>IFERROR(INDEX(装备库!$A$2:$Y$1047,MATCH(ROW()-1,装备库!$AO$2:$AO$1046,0),COLUMN()),"")</f>
        <v>帽子</v>
      </c>
      <c r="B274" t="str">
        <f>IFERROR(INDEX(装备库!$A$2:$Y$1047,MATCH(ROW()-1,装备库!$AO$2:$AO$1046,0),COLUMN()),"")</f>
        <v>无封头饰</v>
      </c>
      <c r="C274">
        <f>IFERROR(INDEX(装备库!$A$2:$Y$1047,MATCH(ROW()-1,装备库!$AO$2:$AO$1046,0),COLUMN()),"")</f>
        <v>9700</v>
      </c>
      <c r="D274" t="str">
        <f>IFERROR(INDEX(装备库!$A$2:$Y$1047,MATCH(ROW()-1,装备库!$AO$2:$AO$1046,0),COLUMN()),"")</f>
        <v>无封头饰(9700精简攻会会)</v>
      </c>
      <c r="E274">
        <f>IFERROR(INDEX(装备库!$A$2:$Y$1047,MATCH(ROW()-1,装备库!$AO$2:$AO$1046,0),COLUMN()),"")</f>
        <v>0</v>
      </c>
      <c r="F274">
        <f>IFERROR(INDEX(装备库!$A$2:$Y$1047,MATCH(ROW()-1,装备库!$AO$2:$AO$1046,0),COLUMN()),"")</f>
        <v>2206</v>
      </c>
      <c r="G274">
        <f>IFERROR(INDEX(装备库!$A$2:$Y$1047,MATCH(ROW()-1,装备库!$AO$2:$AO$1046,0),COLUMN()),"")</f>
        <v>4078</v>
      </c>
      <c r="H274">
        <f>IFERROR(INDEX(装备库!$A$2:$Y$1047,MATCH(ROW()-1,装备库!$AO$2:$AO$1046,0),COLUMN()),"")</f>
        <v>2549</v>
      </c>
      <c r="I274">
        <f>IFERROR(INDEX(装备库!$A$2:$Y$1047,MATCH(ROW()-1,装备库!$AO$2:$AO$1046,0),COLUMN()),"")</f>
        <v>0</v>
      </c>
      <c r="J274">
        <f>IFERROR(INDEX(装备库!$A$2:$Y$1047,MATCH(ROW()-1,装备库!$AO$2:$AO$1046,0),COLUMN()),"")</f>
        <v>0</v>
      </c>
      <c r="K274">
        <f>IFERROR(INDEX(装备库!$A$2:$Y$1047,MATCH(ROW()-1,装备库!$AO$2:$AO$1046,0),COLUMN()),"")</f>
        <v>0</v>
      </c>
      <c r="L274">
        <f>IFERROR(INDEX(装备库!$A$2:$Y$1047,MATCH(ROW()-1,装备库!$AO$2:$AO$1046,0),COLUMN()),"")</f>
        <v>0</v>
      </c>
      <c r="M274">
        <f>IFERROR(INDEX(装备库!$A$2:$Y$1047,MATCH(ROW()-1,装备库!$AO$2:$AO$1046,0),COLUMN()),"")</f>
        <v>0</v>
      </c>
      <c r="N274">
        <f>IFERROR(INDEX(装备库!$A$2:$Y$1047,MATCH(ROW()-1,装备库!$AO$2:$AO$1046,0),COLUMN()),"")</f>
        <v>0</v>
      </c>
      <c r="O274">
        <f>IFERROR(INDEX(装备库!$A$2:$Y$1047,MATCH(ROW()-1,装备库!$AO$2:$AO$1046,0),COLUMN()),"")</f>
        <v>0</v>
      </c>
      <c r="P274">
        <f>IFERROR(INDEX(装备库!$A$2:$Y$1047,MATCH(ROW()-1,装备库!$AO$2:$AO$1046,0),COLUMN()),"")</f>
        <v>1</v>
      </c>
      <c r="Q274">
        <f>IFERROR(INDEX(装备库!$A$2:$Y$1047,MATCH(ROW()-1,装备库!$AO$2:$AO$1046,0),COLUMN()),"")</f>
        <v>0</v>
      </c>
      <c r="R274">
        <f>IFERROR(INDEX(装备库!$A$2:$Y$1047,MATCH(ROW()-1,装备库!$AO$2:$AO$1046,0),COLUMN()),"")</f>
        <v>0</v>
      </c>
      <c r="S274">
        <f>IFERROR(INDEX(装备库!$A$2:$Y$1047,MATCH(ROW()-1,装备库!$AO$2:$AO$1046,0),COLUMN()),"")</f>
        <v>1</v>
      </c>
      <c r="T274">
        <f>IFERROR(INDEX(装备库!$A$2:$Y$1047,MATCH(ROW()-1,装备库!$AO$2:$AO$1046,0),COLUMN()),"")</f>
        <v>0</v>
      </c>
      <c r="U274">
        <f>IFERROR(INDEX(装备库!$A$2:$Y$1047,MATCH(ROW()-1,装备库!$AO$2:$AO$1046,0),COLUMN()),"")</f>
        <v>0</v>
      </c>
      <c r="V274">
        <f>IFERROR(INDEX(装备库!$A$2:$Y$1047,MATCH(ROW()-1,装备库!$AO$2:$AO$1046,0),COLUMN()),"")</f>
        <v>0</v>
      </c>
      <c r="W274" t="str">
        <f>IFERROR(INDEX(装备库!$A$2:$Y$1047,MATCH(ROW()-1,装备库!$AO$2:$AO$1046,0),COLUMN()),"")</f>
        <v>精简攻会会</v>
      </c>
      <c r="X274">
        <f>IFERROR(INDEX(装备库!$A$2:$Y$1047,MATCH(ROW()-1,装备库!$AO$2:$AO$1046,0),COLUMN()),"")</f>
        <v>3</v>
      </c>
      <c r="Y274" t="str">
        <f>IFERROR(INDEX(装备库!$A$2:$Y$1047,MATCH(ROW()-1,装备库!$AO$2:$AO$1046,0),COLUMN()),"")</f>
        <v>活动</v>
      </c>
    </row>
    <row r="275" spans="1:25" x14ac:dyDescent="0.35">
      <c r="A275" t="str">
        <f>IFERROR(INDEX(装备库!$A$2:$Y$1047,MATCH(ROW()-1,装备库!$AO$2:$AO$1046,0),COLUMN()),"")</f>
        <v>帽子</v>
      </c>
      <c r="B275" t="str">
        <f>IFERROR(INDEX(装备库!$A$2:$Y$1047,MATCH(ROW()-1,装备库!$AO$2:$AO$1046,0),COLUMN()),"")</f>
        <v>忆敬冠</v>
      </c>
      <c r="C275">
        <f>IFERROR(INDEX(装备库!$A$2:$Y$1047,MATCH(ROW()-1,装备库!$AO$2:$AO$1046,0),COLUMN()),"")</f>
        <v>10000</v>
      </c>
      <c r="D275" t="str">
        <f>IFERROR(INDEX(装备库!$A$2:$Y$1047,MATCH(ROW()-1,装备库!$AO$2:$AO$1046,0),COLUMN()),"")</f>
        <v>忆敬冠(10000招破)</v>
      </c>
      <c r="E275">
        <f>IFERROR(INDEX(装备库!$A$2:$Y$1047,MATCH(ROW()-1,装备库!$AO$2:$AO$1046,0),COLUMN()),"")</f>
        <v>628</v>
      </c>
      <c r="F275">
        <f>IFERROR(INDEX(装备库!$A$2:$Y$1047,MATCH(ROW()-1,装备库!$AO$2:$AO$1046,0),COLUMN()),"")</f>
        <v>1019</v>
      </c>
      <c r="G275">
        <f>IFERROR(INDEX(装备库!$A$2:$Y$1047,MATCH(ROW()-1,装备库!$AO$2:$AO$1046,0),COLUMN()),"")</f>
        <v>0</v>
      </c>
      <c r="H275">
        <f>IFERROR(INDEX(装备库!$A$2:$Y$1047,MATCH(ROW()-1,装备库!$AO$2:$AO$1046,0),COLUMN()),"")</f>
        <v>0</v>
      </c>
      <c r="I275">
        <f>IFERROR(INDEX(装备库!$A$2:$Y$1047,MATCH(ROW()-1,装备库!$AO$2:$AO$1046,0),COLUMN()),"")</f>
        <v>3153</v>
      </c>
      <c r="J275">
        <f>IFERROR(INDEX(装备库!$A$2:$Y$1047,MATCH(ROW()-1,装备库!$AO$2:$AO$1046,0),COLUMN()),"")</f>
        <v>2803</v>
      </c>
      <c r="K275">
        <f>IFERROR(INDEX(装备库!$A$2:$Y$1047,MATCH(ROW()-1,装备库!$AO$2:$AO$1046,0),COLUMN()),"")</f>
        <v>0</v>
      </c>
      <c r="L275">
        <f>IFERROR(INDEX(装备库!$A$2:$Y$1047,MATCH(ROW()-1,装备库!$AO$2:$AO$1046,0),COLUMN()),"")</f>
        <v>0</v>
      </c>
      <c r="M275">
        <f>IFERROR(INDEX(装备库!$A$2:$Y$1047,MATCH(ROW()-1,装备库!$AO$2:$AO$1046,0),COLUMN()),"")</f>
        <v>0</v>
      </c>
      <c r="N275">
        <f>IFERROR(INDEX(装备库!$A$2:$Y$1047,MATCH(ROW()-1,装备库!$AO$2:$AO$1046,0),COLUMN()),"")</f>
        <v>0</v>
      </c>
      <c r="O275">
        <f>IFERROR(INDEX(装备库!$A$2:$Y$1047,MATCH(ROW()-1,装备库!$AO$2:$AO$1046,0),COLUMN()),"")</f>
        <v>1</v>
      </c>
      <c r="P275">
        <f>IFERROR(INDEX(装备库!$A$2:$Y$1047,MATCH(ROW()-1,装备库!$AO$2:$AO$1046,0),COLUMN()),"")</f>
        <v>1</v>
      </c>
      <c r="Q275">
        <f>IFERROR(INDEX(装备库!$A$2:$Y$1047,MATCH(ROW()-1,装备库!$AO$2:$AO$1046,0),COLUMN()),"")</f>
        <v>0</v>
      </c>
      <c r="R275">
        <f>IFERROR(INDEX(装备库!$A$2:$Y$1047,MATCH(ROW()-1,装备库!$AO$2:$AO$1046,0),COLUMN()),"")</f>
        <v>0</v>
      </c>
      <c r="S275">
        <f>IFERROR(INDEX(装备库!$A$2:$Y$1047,MATCH(ROW()-1,装备库!$AO$2:$AO$1046,0),COLUMN()),"")</f>
        <v>0</v>
      </c>
      <c r="T275">
        <f>IFERROR(INDEX(装备库!$A$2:$Y$1047,MATCH(ROW()-1,装备库!$AO$2:$AO$1046,0),COLUMN()),"")</f>
        <v>0</v>
      </c>
      <c r="U275">
        <f>IFERROR(INDEX(装备库!$A$2:$Y$1047,MATCH(ROW()-1,装备库!$AO$2:$AO$1046,0),COLUMN()),"")</f>
        <v>0</v>
      </c>
      <c r="V275">
        <f>IFERROR(INDEX(装备库!$A$2:$Y$1047,MATCH(ROW()-1,装备库!$AO$2:$AO$1046,0),COLUMN()),"")</f>
        <v>0</v>
      </c>
      <c r="W275" t="str">
        <f>IFERROR(INDEX(装备库!$A$2:$Y$1047,MATCH(ROW()-1,装备库!$AO$2:$AO$1046,0),COLUMN()),"")</f>
        <v>招破</v>
      </c>
      <c r="X275">
        <f>IFERROR(INDEX(装备库!$A$2:$Y$1047,MATCH(ROW()-1,装备库!$AO$2:$AO$1046,0),COLUMN()),"")</f>
        <v>6</v>
      </c>
      <c r="Y275" t="str">
        <f>IFERROR(INDEX(装备库!$A$2:$Y$1047,MATCH(ROW()-1,装备库!$AO$2:$AO$1046,0),COLUMN()),"")</f>
        <v>副本</v>
      </c>
    </row>
    <row r="276" spans="1:25" x14ac:dyDescent="0.35">
      <c r="A276" t="str">
        <f>IFERROR(INDEX(装备库!$A$2:$Y$1047,MATCH(ROW()-1,装备库!$AO$2:$AO$1046,0),COLUMN()),"")</f>
        <v>帽子</v>
      </c>
      <c r="B276" t="str">
        <f>IFERROR(INDEX(装备库!$A$2:$Y$1047,MATCH(ROW()-1,装备库!$AO$2:$AO$1046,0),COLUMN()),"")</f>
        <v>【门派套装】展锋·望云战盔</v>
      </c>
      <c r="C276">
        <f>IFERROR(INDEX(装备库!$A$2:$Y$1047,MATCH(ROW()-1,装备库!$AO$2:$AO$1046,0),COLUMN()),"")</f>
        <v>10000</v>
      </c>
      <c r="D276" t="str">
        <f>IFERROR(INDEX(装备库!$A$2:$Y$1047,MATCH(ROW()-1,装备库!$AO$2:$AO$1046,0),COLUMN()),"")</f>
        <v>【门派套装】展锋·望云战盔(10000招破)</v>
      </c>
      <c r="E276">
        <f>IFERROR(INDEX(装备库!$A$2:$Y$1047,MATCH(ROW()-1,装备库!$AO$2:$AO$1046,0),COLUMN()),"")</f>
        <v>628</v>
      </c>
      <c r="F276">
        <f>IFERROR(INDEX(装备库!$A$2:$Y$1047,MATCH(ROW()-1,装备库!$AO$2:$AO$1046,0),COLUMN()),"")</f>
        <v>1019</v>
      </c>
      <c r="G276">
        <f>IFERROR(INDEX(装备库!$A$2:$Y$1047,MATCH(ROW()-1,装备库!$AO$2:$AO$1046,0),COLUMN()),"")</f>
        <v>0</v>
      </c>
      <c r="H276">
        <f>IFERROR(INDEX(装备库!$A$2:$Y$1047,MATCH(ROW()-1,装备库!$AO$2:$AO$1046,0),COLUMN()),"")</f>
        <v>0</v>
      </c>
      <c r="I276">
        <f>IFERROR(INDEX(装备库!$A$2:$Y$1047,MATCH(ROW()-1,装备库!$AO$2:$AO$1046,0),COLUMN()),"")</f>
        <v>3153</v>
      </c>
      <c r="J276">
        <f>IFERROR(INDEX(装备库!$A$2:$Y$1047,MATCH(ROW()-1,装备库!$AO$2:$AO$1046,0),COLUMN()),"")</f>
        <v>2803</v>
      </c>
      <c r="K276">
        <f>IFERROR(INDEX(装备库!$A$2:$Y$1047,MATCH(ROW()-1,装备库!$AO$2:$AO$1046,0),COLUMN()),"")</f>
        <v>0</v>
      </c>
      <c r="L276">
        <f>IFERROR(INDEX(装备库!$A$2:$Y$1047,MATCH(ROW()-1,装备库!$AO$2:$AO$1046,0),COLUMN()),"")</f>
        <v>0</v>
      </c>
      <c r="M276">
        <f>IFERROR(INDEX(装备库!$A$2:$Y$1047,MATCH(ROW()-1,装备库!$AO$2:$AO$1046,0),COLUMN()),"")</f>
        <v>0</v>
      </c>
      <c r="N276">
        <f>IFERROR(INDEX(装备库!$A$2:$Y$1047,MATCH(ROW()-1,装备库!$AO$2:$AO$1046,0),COLUMN()),"")</f>
        <v>0</v>
      </c>
      <c r="O276">
        <f>IFERROR(INDEX(装备库!$A$2:$Y$1047,MATCH(ROW()-1,装备库!$AO$2:$AO$1046,0),COLUMN()),"")</f>
        <v>1</v>
      </c>
      <c r="P276">
        <f>IFERROR(INDEX(装备库!$A$2:$Y$1047,MATCH(ROW()-1,装备库!$AO$2:$AO$1046,0),COLUMN()),"")</f>
        <v>1</v>
      </c>
      <c r="Q276">
        <f>IFERROR(INDEX(装备库!$A$2:$Y$1047,MATCH(ROW()-1,装备库!$AO$2:$AO$1046,0),COLUMN()),"")</f>
        <v>0</v>
      </c>
      <c r="R276">
        <f>IFERROR(INDEX(装备库!$A$2:$Y$1047,MATCH(ROW()-1,装备库!$AO$2:$AO$1046,0),COLUMN()),"")</f>
        <v>0</v>
      </c>
      <c r="S276">
        <f>IFERROR(INDEX(装备库!$A$2:$Y$1047,MATCH(ROW()-1,装备库!$AO$2:$AO$1046,0),COLUMN()),"")</f>
        <v>0</v>
      </c>
      <c r="T276">
        <f>IFERROR(INDEX(装备库!$A$2:$Y$1047,MATCH(ROW()-1,装备库!$AO$2:$AO$1046,0),COLUMN()),"")</f>
        <v>0</v>
      </c>
      <c r="U276">
        <f>IFERROR(INDEX(装备库!$A$2:$Y$1047,MATCH(ROW()-1,装备库!$AO$2:$AO$1046,0),COLUMN()),"")</f>
        <v>0</v>
      </c>
      <c r="V276">
        <f>IFERROR(INDEX(装备库!$A$2:$Y$1047,MATCH(ROW()-1,装备库!$AO$2:$AO$1046,0),COLUMN()),"")</f>
        <v>0</v>
      </c>
      <c r="W276" t="str">
        <f>IFERROR(INDEX(装备库!$A$2:$Y$1047,MATCH(ROW()-1,装备库!$AO$2:$AO$1046,0),COLUMN()),"")</f>
        <v>招破</v>
      </c>
      <c r="X276">
        <f>IFERROR(INDEX(装备库!$A$2:$Y$1047,MATCH(ROW()-1,装备库!$AO$2:$AO$1046,0),COLUMN()),"")</f>
        <v>6</v>
      </c>
      <c r="Y276" t="str">
        <f>IFERROR(INDEX(装备库!$A$2:$Y$1047,MATCH(ROW()-1,装备库!$AO$2:$AO$1046,0),COLUMN()),"")</f>
        <v>兑换牌</v>
      </c>
    </row>
    <row r="277" spans="1:25" x14ac:dyDescent="0.35">
      <c r="A277" t="str">
        <f>IFERROR(INDEX(装备库!$A$2:$Y$1047,MATCH(ROW()-1,装备库!$AO$2:$AO$1046,0),COLUMN()),"")</f>
        <v>帽子</v>
      </c>
      <c r="B277" t="str">
        <f>IFERROR(INDEX(装备库!$A$2:$Y$1047,MATCH(ROW()-1,装备库!$AO$2:$AO$1046,0),COLUMN()),"")</f>
        <v>曲郦冠</v>
      </c>
      <c r="C277">
        <f>IFERROR(INDEX(装备库!$A$2:$Y$1047,MATCH(ROW()-1,装备库!$AO$2:$AO$1046,0),COLUMN()),"")</f>
        <v>10000</v>
      </c>
      <c r="D277" t="str">
        <f>IFERROR(INDEX(装备库!$A$2:$Y$1047,MATCH(ROW()-1,装备库!$AO$2:$AO$1046,0),COLUMN()),"")</f>
        <v>曲郦冠(10000速招)</v>
      </c>
      <c r="E277">
        <f>IFERROR(INDEX(装备库!$A$2:$Y$1047,MATCH(ROW()-1,装备库!$AO$2:$AO$1046,0),COLUMN()),"")</f>
        <v>628</v>
      </c>
      <c r="F277">
        <f>IFERROR(INDEX(装备库!$A$2:$Y$1047,MATCH(ROW()-1,装备库!$AO$2:$AO$1046,0),COLUMN()),"")</f>
        <v>1019</v>
      </c>
      <c r="G277">
        <f>IFERROR(INDEX(装备库!$A$2:$Y$1047,MATCH(ROW()-1,装备库!$AO$2:$AO$1046,0),COLUMN()),"")</f>
        <v>0</v>
      </c>
      <c r="H277">
        <f>IFERROR(INDEX(装备库!$A$2:$Y$1047,MATCH(ROW()-1,装备库!$AO$2:$AO$1046,0),COLUMN()),"")</f>
        <v>0</v>
      </c>
      <c r="I277">
        <f>IFERROR(INDEX(装备库!$A$2:$Y$1047,MATCH(ROW()-1,装备库!$AO$2:$AO$1046,0),COLUMN()),"")</f>
        <v>0</v>
      </c>
      <c r="J277">
        <f>IFERROR(INDEX(装备库!$A$2:$Y$1047,MATCH(ROW()-1,装备库!$AO$2:$AO$1046,0),COLUMN()),"")</f>
        <v>2803</v>
      </c>
      <c r="K277">
        <f>IFERROR(INDEX(装备库!$A$2:$Y$1047,MATCH(ROW()-1,装备库!$AO$2:$AO$1046,0),COLUMN()),"")</f>
        <v>0</v>
      </c>
      <c r="L277">
        <f>IFERROR(INDEX(装备库!$A$2:$Y$1047,MATCH(ROW()-1,装备库!$AO$2:$AO$1046,0),COLUMN()),"")</f>
        <v>3153</v>
      </c>
      <c r="M277">
        <f>IFERROR(INDEX(装备库!$A$2:$Y$1047,MATCH(ROW()-1,装备库!$AO$2:$AO$1046,0),COLUMN()),"")</f>
        <v>0</v>
      </c>
      <c r="N277">
        <f>IFERROR(INDEX(装备库!$A$2:$Y$1047,MATCH(ROW()-1,装备库!$AO$2:$AO$1046,0),COLUMN()),"")</f>
        <v>0</v>
      </c>
      <c r="O277">
        <f>IFERROR(INDEX(装备库!$A$2:$Y$1047,MATCH(ROW()-1,装备库!$AO$2:$AO$1046,0),COLUMN()),"")</f>
        <v>1</v>
      </c>
      <c r="P277">
        <f>IFERROR(INDEX(装备库!$A$2:$Y$1047,MATCH(ROW()-1,装备库!$AO$2:$AO$1046,0),COLUMN()),"")</f>
        <v>0</v>
      </c>
      <c r="Q277">
        <f>IFERROR(INDEX(装备库!$A$2:$Y$1047,MATCH(ROW()-1,装备库!$AO$2:$AO$1046,0),COLUMN()),"")</f>
        <v>0</v>
      </c>
      <c r="R277">
        <f>IFERROR(INDEX(装备库!$A$2:$Y$1047,MATCH(ROW()-1,装备库!$AO$2:$AO$1046,0),COLUMN()),"")</f>
        <v>0</v>
      </c>
      <c r="S277">
        <f>IFERROR(INDEX(装备库!$A$2:$Y$1047,MATCH(ROW()-1,装备库!$AO$2:$AO$1046,0),COLUMN()),"")</f>
        <v>1</v>
      </c>
      <c r="T277">
        <f>IFERROR(INDEX(装备库!$A$2:$Y$1047,MATCH(ROW()-1,装备库!$AO$2:$AO$1046,0),COLUMN()),"")</f>
        <v>0</v>
      </c>
      <c r="U277">
        <f>IFERROR(INDEX(装备库!$A$2:$Y$1047,MATCH(ROW()-1,装备库!$AO$2:$AO$1046,0),COLUMN()),"")</f>
        <v>0</v>
      </c>
      <c r="V277">
        <f>IFERROR(INDEX(装备库!$A$2:$Y$1047,MATCH(ROW()-1,装备库!$AO$2:$AO$1046,0),COLUMN()),"")</f>
        <v>0</v>
      </c>
      <c r="W277" t="str">
        <f>IFERROR(INDEX(装备库!$A$2:$Y$1047,MATCH(ROW()-1,装备库!$AO$2:$AO$1046,0),COLUMN()),"")</f>
        <v>速招</v>
      </c>
      <c r="X277">
        <f>IFERROR(INDEX(装备库!$A$2:$Y$1047,MATCH(ROW()-1,装备库!$AO$2:$AO$1046,0),COLUMN()),"")</f>
        <v>6</v>
      </c>
      <c r="Y277" t="str">
        <f>IFERROR(INDEX(装备库!$A$2:$Y$1047,MATCH(ROW()-1,装备库!$AO$2:$AO$1046,0),COLUMN()),"")</f>
        <v>副本</v>
      </c>
    </row>
    <row r="278" spans="1:25" x14ac:dyDescent="0.35">
      <c r="A278" t="str">
        <f>IFERROR(INDEX(装备库!$A$2:$Y$1047,MATCH(ROW()-1,装备库!$AO$2:$AO$1046,0),COLUMN()),"")</f>
        <v>帽子</v>
      </c>
      <c r="B278" t="str">
        <f>IFERROR(INDEX(装备库!$A$2:$Y$1047,MATCH(ROW()-1,装备库!$AO$2:$AO$1046,0),COLUMN()),"")</f>
        <v>垣翰帽</v>
      </c>
      <c r="C278">
        <f>IFERROR(INDEX(装备库!$A$2:$Y$1047,MATCH(ROW()-1,装备库!$AO$2:$AO$1046,0),COLUMN()),"")</f>
        <v>10000</v>
      </c>
      <c r="D278" t="str">
        <f>IFERROR(INDEX(装备库!$A$2:$Y$1047,MATCH(ROW()-1,装备库!$AO$2:$AO$1046,0),COLUMN()),"")</f>
        <v>垣翰帽(10000速无)</v>
      </c>
      <c r="E278">
        <f>IFERROR(INDEX(装备库!$A$2:$Y$1047,MATCH(ROW()-1,装备库!$AO$2:$AO$1046,0),COLUMN()),"")</f>
        <v>628</v>
      </c>
      <c r="F278">
        <f>IFERROR(INDEX(装备库!$A$2:$Y$1047,MATCH(ROW()-1,装备库!$AO$2:$AO$1046,0),COLUMN()),"")</f>
        <v>1019</v>
      </c>
      <c r="G278">
        <f>IFERROR(INDEX(装备库!$A$2:$Y$1047,MATCH(ROW()-1,装备库!$AO$2:$AO$1046,0),COLUMN()),"")</f>
        <v>0</v>
      </c>
      <c r="H278">
        <f>IFERROR(INDEX(装备库!$A$2:$Y$1047,MATCH(ROW()-1,装备库!$AO$2:$AO$1046,0),COLUMN()),"")</f>
        <v>0</v>
      </c>
      <c r="I278">
        <f>IFERROR(INDEX(装备库!$A$2:$Y$1047,MATCH(ROW()-1,装备库!$AO$2:$AO$1046,0),COLUMN()),"")</f>
        <v>0</v>
      </c>
      <c r="J278">
        <f>IFERROR(INDEX(装备库!$A$2:$Y$1047,MATCH(ROW()-1,装备库!$AO$2:$AO$1046,0),COLUMN()),"")</f>
        <v>0</v>
      </c>
      <c r="K278">
        <f>IFERROR(INDEX(装备库!$A$2:$Y$1047,MATCH(ROW()-1,装备库!$AO$2:$AO$1046,0),COLUMN()),"")</f>
        <v>2803</v>
      </c>
      <c r="L278">
        <f>IFERROR(INDEX(装备库!$A$2:$Y$1047,MATCH(ROW()-1,装备库!$AO$2:$AO$1046,0),COLUMN()),"")</f>
        <v>3153</v>
      </c>
      <c r="M278">
        <f>IFERROR(INDEX(装备库!$A$2:$Y$1047,MATCH(ROW()-1,装备库!$AO$2:$AO$1046,0),COLUMN()),"")</f>
        <v>0</v>
      </c>
      <c r="N278">
        <f>IFERROR(INDEX(装备库!$A$2:$Y$1047,MATCH(ROW()-1,装备库!$AO$2:$AO$1046,0),COLUMN()),"")</f>
        <v>0</v>
      </c>
      <c r="O278">
        <f>IFERROR(INDEX(装备库!$A$2:$Y$1047,MATCH(ROW()-1,装备库!$AO$2:$AO$1046,0),COLUMN()),"")</f>
        <v>0</v>
      </c>
      <c r="P278">
        <f>IFERROR(INDEX(装备库!$A$2:$Y$1047,MATCH(ROW()-1,装备库!$AO$2:$AO$1046,0),COLUMN()),"")</f>
        <v>1</v>
      </c>
      <c r="Q278">
        <f>IFERROR(INDEX(装备库!$A$2:$Y$1047,MATCH(ROW()-1,装备库!$AO$2:$AO$1046,0),COLUMN()),"")</f>
        <v>0</v>
      </c>
      <c r="R278">
        <f>IFERROR(INDEX(装备库!$A$2:$Y$1047,MATCH(ROW()-1,装备库!$AO$2:$AO$1046,0),COLUMN()),"")</f>
        <v>0</v>
      </c>
      <c r="S278">
        <f>IFERROR(INDEX(装备库!$A$2:$Y$1047,MATCH(ROW()-1,装备库!$AO$2:$AO$1046,0),COLUMN()),"")</f>
        <v>0</v>
      </c>
      <c r="T278">
        <f>IFERROR(INDEX(装备库!$A$2:$Y$1047,MATCH(ROW()-1,装备库!$AO$2:$AO$1046,0),COLUMN()),"")</f>
        <v>0</v>
      </c>
      <c r="U278">
        <f>IFERROR(INDEX(装备库!$A$2:$Y$1047,MATCH(ROW()-1,装备库!$AO$2:$AO$1046,0),COLUMN()),"")</f>
        <v>1</v>
      </c>
      <c r="V278">
        <f>IFERROR(INDEX(装备库!$A$2:$Y$1047,MATCH(ROW()-1,装备库!$AO$2:$AO$1046,0),COLUMN()),"")</f>
        <v>0</v>
      </c>
      <c r="W278" t="str">
        <f>IFERROR(INDEX(装备库!$A$2:$Y$1047,MATCH(ROW()-1,装备库!$AO$2:$AO$1046,0),COLUMN()),"")</f>
        <v>速无</v>
      </c>
      <c r="X278">
        <f>IFERROR(INDEX(装备库!$A$2:$Y$1047,MATCH(ROW()-1,装备库!$AO$2:$AO$1046,0),COLUMN()),"")</f>
        <v>6</v>
      </c>
      <c r="Y278" t="str">
        <f>IFERROR(INDEX(装备库!$A$2:$Y$1047,MATCH(ROW()-1,装备库!$AO$2:$AO$1046,0),COLUMN()),"")</f>
        <v>副本</v>
      </c>
    </row>
    <row r="279" spans="1:25" x14ac:dyDescent="0.35">
      <c r="A279" t="str">
        <f>IFERROR(INDEX(装备库!$A$2:$Y$1047,MATCH(ROW()-1,装备库!$AO$2:$AO$1046,0),COLUMN()),"")</f>
        <v>帽子</v>
      </c>
      <c r="B279" t="str">
        <f>IFERROR(INDEX(装备库!$A$2:$Y$1047,MATCH(ROW()-1,装备库!$AO$2:$AO$1046,0),COLUMN()),"")</f>
        <v>拭江冠</v>
      </c>
      <c r="C279">
        <f>IFERROR(INDEX(装备库!$A$2:$Y$1047,MATCH(ROW()-1,装备库!$AO$2:$AO$1046,0),COLUMN()),"")</f>
        <v>10000</v>
      </c>
      <c r="D279" t="str">
        <f>IFERROR(INDEX(装备库!$A$2:$Y$1047,MATCH(ROW()-1,装备库!$AO$2:$AO$1046,0),COLUMN()),"")</f>
        <v>拭江冠(10000破无)</v>
      </c>
      <c r="E279">
        <f>IFERROR(INDEX(装备库!$A$2:$Y$1047,MATCH(ROW()-1,装备库!$AO$2:$AO$1046,0),COLUMN()),"")</f>
        <v>628</v>
      </c>
      <c r="F279">
        <f>IFERROR(INDEX(装备库!$A$2:$Y$1047,MATCH(ROW()-1,装备库!$AO$2:$AO$1046,0),COLUMN()),"")</f>
        <v>1019</v>
      </c>
      <c r="G279">
        <f>IFERROR(INDEX(装备库!$A$2:$Y$1047,MATCH(ROW()-1,装备库!$AO$2:$AO$1046,0),COLUMN()),"")</f>
        <v>0</v>
      </c>
      <c r="H279">
        <f>IFERROR(INDEX(装备库!$A$2:$Y$1047,MATCH(ROW()-1,装备库!$AO$2:$AO$1046,0),COLUMN()),"")</f>
        <v>0</v>
      </c>
      <c r="I279">
        <f>IFERROR(INDEX(装备库!$A$2:$Y$1047,MATCH(ROW()-1,装备库!$AO$2:$AO$1046,0),COLUMN()),"")</f>
        <v>3153</v>
      </c>
      <c r="J279">
        <f>IFERROR(INDEX(装备库!$A$2:$Y$1047,MATCH(ROW()-1,装备库!$AO$2:$AO$1046,0),COLUMN()),"")</f>
        <v>0</v>
      </c>
      <c r="K279">
        <f>IFERROR(INDEX(装备库!$A$2:$Y$1047,MATCH(ROW()-1,装备库!$AO$2:$AO$1046,0),COLUMN()),"")</f>
        <v>2803</v>
      </c>
      <c r="L279">
        <f>IFERROR(INDEX(装备库!$A$2:$Y$1047,MATCH(ROW()-1,装备库!$AO$2:$AO$1046,0),COLUMN()),"")</f>
        <v>0</v>
      </c>
      <c r="M279">
        <f>IFERROR(INDEX(装备库!$A$2:$Y$1047,MATCH(ROW()-1,装备库!$AO$2:$AO$1046,0),COLUMN()),"")</f>
        <v>0</v>
      </c>
      <c r="N279">
        <f>IFERROR(INDEX(装备库!$A$2:$Y$1047,MATCH(ROW()-1,装备库!$AO$2:$AO$1046,0),COLUMN()),"")</f>
        <v>0</v>
      </c>
      <c r="O279">
        <f>IFERROR(INDEX(装备库!$A$2:$Y$1047,MATCH(ROW()-1,装备库!$AO$2:$AO$1046,0),COLUMN()),"")</f>
        <v>1</v>
      </c>
      <c r="P279">
        <f>IFERROR(INDEX(装备库!$A$2:$Y$1047,MATCH(ROW()-1,装备库!$AO$2:$AO$1046,0),COLUMN()),"")</f>
        <v>0</v>
      </c>
      <c r="Q279">
        <f>IFERROR(INDEX(装备库!$A$2:$Y$1047,MATCH(ROW()-1,装备库!$AO$2:$AO$1046,0),COLUMN()),"")</f>
        <v>0</v>
      </c>
      <c r="R279">
        <f>IFERROR(INDEX(装备库!$A$2:$Y$1047,MATCH(ROW()-1,装备库!$AO$2:$AO$1046,0),COLUMN()),"")</f>
        <v>0</v>
      </c>
      <c r="S279">
        <f>IFERROR(INDEX(装备库!$A$2:$Y$1047,MATCH(ROW()-1,装备库!$AO$2:$AO$1046,0),COLUMN()),"")</f>
        <v>1</v>
      </c>
      <c r="T279">
        <f>IFERROR(INDEX(装备库!$A$2:$Y$1047,MATCH(ROW()-1,装备库!$AO$2:$AO$1046,0),COLUMN()),"")</f>
        <v>0</v>
      </c>
      <c r="U279">
        <f>IFERROR(INDEX(装备库!$A$2:$Y$1047,MATCH(ROW()-1,装备库!$AO$2:$AO$1046,0),COLUMN()),"")</f>
        <v>0</v>
      </c>
      <c r="V279">
        <f>IFERROR(INDEX(装备库!$A$2:$Y$1047,MATCH(ROW()-1,装备库!$AO$2:$AO$1046,0),COLUMN()),"")</f>
        <v>0</v>
      </c>
      <c r="W279" t="str">
        <f>IFERROR(INDEX(装备库!$A$2:$Y$1047,MATCH(ROW()-1,装备库!$AO$2:$AO$1046,0),COLUMN()),"")</f>
        <v>破无</v>
      </c>
      <c r="X279">
        <f>IFERROR(INDEX(装备库!$A$2:$Y$1047,MATCH(ROW()-1,装备库!$AO$2:$AO$1046,0),COLUMN()),"")</f>
        <v>6</v>
      </c>
      <c r="Y279" t="str">
        <f>IFERROR(INDEX(装备库!$A$2:$Y$1047,MATCH(ROW()-1,装备库!$AO$2:$AO$1046,0),COLUMN()),"")</f>
        <v>副本</v>
      </c>
    </row>
    <row r="280" spans="1:25" x14ac:dyDescent="0.35">
      <c r="A280" t="str">
        <f>IFERROR(INDEX(装备库!$A$2:$Y$1047,MATCH(ROW()-1,装备库!$AO$2:$AO$1046,0),COLUMN()),"")</f>
        <v>帽子</v>
      </c>
      <c r="B280" t="str">
        <f>IFERROR(INDEX(装备库!$A$2:$Y$1047,MATCH(ROW()-1,装备库!$AO$2:$AO$1046,0),COLUMN()),"")</f>
        <v>寻常斗笠</v>
      </c>
      <c r="C280">
        <f>IFERROR(INDEX(装备库!$A$2:$Y$1047,MATCH(ROW()-1,装备库!$AO$2:$AO$1046,0),COLUMN()),"")</f>
        <v>10000</v>
      </c>
      <c r="D280" t="str">
        <f>IFERROR(INDEX(装备库!$A$2:$Y$1047,MATCH(ROW()-1,装备库!$AO$2:$AO$1046,0),COLUMN()),"")</f>
        <v>寻常斗笠(10000破无)</v>
      </c>
      <c r="E280">
        <f>IFERROR(INDEX(装备库!$A$2:$Y$1047,MATCH(ROW()-1,装备库!$AO$2:$AO$1046,0),COLUMN()),"")</f>
        <v>628</v>
      </c>
      <c r="F280">
        <f>IFERROR(INDEX(装备库!$A$2:$Y$1047,MATCH(ROW()-1,装备库!$AO$2:$AO$1046,0),COLUMN()),"")</f>
        <v>1019</v>
      </c>
      <c r="G280">
        <f>IFERROR(INDEX(装备库!$A$2:$Y$1047,MATCH(ROW()-1,装备库!$AO$2:$AO$1046,0),COLUMN()),"")</f>
        <v>0</v>
      </c>
      <c r="H280">
        <f>IFERROR(INDEX(装备库!$A$2:$Y$1047,MATCH(ROW()-1,装备库!$AO$2:$AO$1046,0),COLUMN()),"")</f>
        <v>0</v>
      </c>
      <c r="I280">
        <f>IFERROR(INDEX(装备库!$A$2:$Y$1047,MATCH(ROW()-1,装备库!$AO$2:$AO$1046,0),COLUMN()),"")</f>
        <v>3153</v>
      </c>
      <c r="J280">
        <f>IFERROR(INDEX(装备库!$A$2:$Y$1047,MATCH(ROW()-1,装备库!$AO$2:$AO$1046,0),COLUMN()),"")</f>
        <v>0</v>
      </c>
      <c r="K280">
        <f>IFERROR(INDEX(装备库!$A$2:$Y$1047,MATCH(ROW()-1,装备库!$AO$2:$AO$1046,0),COLUMN()),"")</f>
        <v>2803</v>
      </c>
      <c r="L280">
        <f>IFERROR(INDEX(装备库!$A$2:$Y$1047,MATCH(ROW()-1,装备库!$AO$2:$AO$1046,0),COLUMN()),"")</f>
        <v>0</v>
      </c>
      <c r="M280">
        <f>IFERROR(INDEX(装备库!$A$2:$Y$1047,MATCH(ROW()-1,装备库!$AO$2:$AO$1046,0),COLUMN()),"")</f>
        <v>0</v>
      </c>
      <c r="N280">
        <f>IFERROR(INDEX(装备库!$A$2:$Y$1047,MATCH(ROW()-1,装备库!$AO$2:$AO$1046,0),COLUMN()),"")</f>
        <v>0</v>
      </c>
      <c r="O280">
        <f>IFERROR(INDEX(装备库!$A$2:$Y$1047,MATCH(ROW()-1,装备库!$AO$2:$AO$1046,0),COLUMN()),"")</f>
        <v>1</v>
      </c>
      <c r="P280">
        <f>IFERROR(INDEX(装备库!$A$2:$Y$1047,MATCH(ROW()-1,装备库!$AO$2:$AO$1046,0),COLUMN()),"")</f>
        <v>0</v>
      </c>
      <c r="Q280">
        <f>IFERROR(INDEX(装备库!$A$2:$Y$1047,MATCH(ROW()-1,装备库!$AO$2:$AO$1046,0),COLUMN()),"")</f>
        <v>0</v>
      </c>
      <c r="R280">
        <f>IFERROR(INDEX(装备库!$A$2:$Y$1047,MATCH(ROW()-1,装备库!$AO$2:$AO$1046,0),COLUMN()),"")</f>
        <v>0</v>
      </c>
      <c r="S280">
        <f>IFERROR(INDEX(装备库!$A$2:$Y$1047,MATCH(ROW()-1,装备库!$AO$2:$AO$1046,0),COLUMN()),"")</f>
        <v>1</v>
      </c>
      <c r="T280">
        <f>IFERROR(INDEX(装备库!$A$2:$Y$1047,MATCH(ROW()-1,装备库!$AO$2:$AO$1046,0),COLUMN()),"")</f>
        <v>0</v>
      </c>
      <c r="U280">
        <f>IFERROR(INDEX(装备库!$A$2:$Y$1047,MATCH(ROW()-1,装备库!$AO$2:$AO$1046,0),COLUMN()),"")</f>
        <v>0</v>
      </c>
      <c r="V280">
        <f>IFERROR(INDEX(装备库!$A$2:$Y$1047,MATCH(ROW()-1,装备库!$AO$2:$AO$1046,0),COLUMN()),"")</f>
        <v>0</v>
      </c>
      <c r="W280" t="str">
        <f>IFERROR(INDEX(装备库!$A$2:$Y$1047,MATCH(ROW()-1,装备库!$AO$2:$AO$1046,0),COLUMN()),"")</f>
        <v>破无</v>
      </c>
      <c r="X280">
        <f>IFERROR(INDEX(装备库!$A$2:$Y$1047,MATCH(ROW()-1,装备库!$AO$2:$AO$1046,0),COLUMN()),"")</f>
        <v>6</v>
      </c>
      <c r="Y280" t="str">
        <f>IFERROR(INDEX(装备库!$A$2:$Y$1047,MATCH(ROW()-1,装备库!$AO$2:$AO$1046,0),COLUMN()),"")</f>
        <v>活动</v>
      </c>
    </row>
    <row r="281" spans="1:25" x14ac:dyDescent="0.35">
      <c r="A281" t="str">
        <f>IFERROR(INDEX(装备库!$A$2:$Y$1047,MATCH(ROW()-1,装备库!$AO$2:$AO$1046,0),COLUMN()),"")</f>
        <v>帽子</v>
      </c>
      <c r="B281" t="str">
        <f>IFERROR(INDEX(装备库!$A$2:$Y$1047,MATCH(ROW()-1,装备库!$AO$2:$AO$1046,0),COLUMN()),"")</f>
        <v>重关帽</v>
      </c>
      <c r="C281">
        <f>IFERROR(INDEX(装备库!$A$2:$Y$1047,MATCH(ROW()-1,装备库!$AO$2:$AO$1046,0),COLUMN()),"")</f>
        <v>10000</v>
      </c>
      <c r="D281" t="str">
        <f>IFERROR(INDEX(装备库!$A$2:$Y$1047,MATCH(ROW()-1,装备库!$AO$2:$AO$1046,0),COLUMN()),"")</f>
        <v>重关帽(10000会招)</v>
      </c>
      <c r="E281">
        <f>IFERROR(INDEX(装备库!$A$2:$Y$1047,MATCH(ROW()-1,装备库!$AO$2:$AO$1046,0),COLUMN()),"")</f>
        <v>628</v>
      </c>
      <c r="F281">
        <f>IFERROR(INDEX(装备库!$A$2:$Y$1047,MATCH(ROW()-1,装备库!$AO$2:$AO$1046,0),COLUMN()),"")</f>
        <v>1019</v>
      </c>
      <c r="G281">
        <f>IFERROR(INDEX(装备库!$A$2:$Y$1047,MATCH(ROW()-1,装备库!$AO$2:$AO$1046,0),COLUMN()),"")</f>
        <v>3153</v>
      </c>
      <c r="H281">
        <f>IFERROR(INDEX(装备库!$A$2:$Y$1047,MATCH(ROW()-1,装备库!$AO$2:$AO$1046,0),COLUMN()),"")</f>
        <v>0</v>
      </c>
      <c r="I281">
        <f>IFERROR(INDEX(装备库!$A$2:$Y$1047,MATCH(ROW()-1,装备库!$AO$2:$AO$1046,0),COLUMN()),"")</f>
        <v>0</v>
      </c>
      <c r="J281">
        <f>IFERROR(INDEX(装备库!$A$2:$Y$1047,MATCH(ROW()-1,装备库!$AO$2:$AO$1046,0),COLUMN()),"")</f>
        <v>2803</v>
      </c>
      <c r="K281">
        <f>IFERROR(INDEX(装备库!$A$2:$Y$1047,MATCH(ROW()-1,装备库!$AO$2:$AO$1046,0),COLUMN()),"")</f>
        <v>0</v>
      </c>
      <c r="L281">
        <f>IFERROR(INDEX(装备库!$A$2:$Y$1047,MATCH(ROW()-1,装备库!$AO$2:$AO$1046,0),COLUMN()),"")</f>
        <v>0</v>
      </c>
      <c r="M281">
        <f>IFERROR(INDEX(装备库!$A$2:$Y$1047,MATCH(ROW()-1,装备库!$AO$2:$AO$1046,0),COLUMN()),"")</f>
        <v>0</v>
      </c>
      <c r="N281">
        <f>IFERROR(INDEX(装备库!$A$2:$Y$1047,MATCH(ROW()-1,装备库!$AO$2:$AO$1046,0),COLUMN()),"")</f>
        <v>0</v>
      </c>
      <c r="O281">
        <f>IFERROR(INDEX(装备库!$A$2:$Y$1047,MATCH(ROW()-1,装备库!$AO$2:$AO$1046,0),COLUMN()),"")</f>
        <v>0</v>
      </c>
      <c r="P281">
        <f>IFERROR(INDEX(装备库!$A$2:$Y$1047,MATCH(ROW()-1,装备库!$AO$2:$AO$1046,0),COLUMN()),"")</f>
        <v>1</v>
      </c>
      <c r="Q281">
        <f>IFERROR(INDEX(装备库!$A$2:$Y$1047,MATCH(ROW()-1,装备库!$AO$2:$AO$1046,0),COLUMN()),"")</f>
        <v>0</v>
      </c>
      <c r="R281">
        <f>IFERROR(INDEX(装备库!$A$2:$Y$1047,MATCH(ROW()-1,装备库!$AO$2:$AO$1046,0),COLUMN()),"")</f>
        <v>0</v>
      </c>
      <c r="S281">
        <f>IFERROR(INDEX(装备库!$A$2:$Y$1047,MATCH(ROW()-1,装备库!$AO$2:$AO$1046,0),COLUMN()),"")</f>
        <v>1</v>
      </c>
      <c r="T281">
        <f>IFERROR(INDEX(装备库!$A$2:$Y$1047,MATCH(ROW()-1,装备库!$AO$2:$AO$1046,0),COLUMN()),"")</f>
        <v>0</v>
      </c>
      <c r="U281">
        <f>IFERROR(INDEX(装备库!$A$2:$Y$1047,MATCH(ROW()-1,装备库!$AO$2:$AO$1046,0),COLUMN()),"")</f>
        <v>0</v>
      </c>
      <c r="V281">
        <f>IFERROR(INDEX(装备库!$A$2:$Y$1047,MATCH(ROW()-1,装备库!$AO$2:$AO$1046,0),COLUMN()),"")</f>
        <v>0</v>
      </c>
      <c r="W281" t="str">
        <f>IFERROR(INDEX(装备库!$A$2:$Y$1047,MATCH(ROW()-1,装备库!$AO$2:$AO$1046,0),COLUMN()),"")</f>
        <v>会招</v>
      </c>
      <c r="X281">
        <f>IFERROR(INDEX(装备库!$A$2:$Y$1047,MATCH(ROW()-1,装备库!$AO$2:$AO$1046,0),COLUMN()),"")</f>
        <v>6</v>
      </c>
      <c r="Y281" t="str">
        <f>IFERROR(INDEX(装备库!$A$2:$Y$1047,MATCH(ROW()-1,装备库!$AO$2:$AO$1046,0),COLUMN()),"")</f>
        <v>副本</v>
      </c>
    </row>
    <row r="282" spans="1:25" x14ac:dyDescent="0.35">
      <c r="A282" t="str">
        <f>IFERROR(INDEX(装备库!$A$2:$Y$1047,MATCH(ROW()-1,装备库!$AO$2:$AO$1046,0),COLUMN()),"")</f>
        <v>帽子</v>
      </c>
      <c r="B282" t="str">
        <f>IFERROR(INDEX(装备库!$A$2:$Y$1047,MATCH(ROW()-1,装备库!$AO$2:$AO$1046,0),COLUMN()),"")</f>
        <v>项昌冠</v>
      </c>
      <c r="C282">
        <f>IFERROR(INDEX(装备库!$A$2:$Y$1047,MATCH(ROW()-1,装备库!$AO$2:$AO$1046,0),COLUMN()),"")</f>
        <v>10000</v>
      </c>
      <c r="D282" t="str">
        <f>IFERROR(INDEX(装备库!$A$2:$Y$1047,MATCH(ROW()-1,装备库!$AO$2:$AO$1046,0),COLUMN()),"")</f>
        <v>项昌冠(10000会招)</v>
      </c>
      <c r="E282">
        <f>IFERROR(INDEX(装备库!$A$2:$Y$1047,MATCH(ROW()-1,装备库!$AO$2:$AO$1046,0),COLUMN()),"")</f>
        <v>628</v>
      </c>
      <c r="F282">
        <f>IFERROR(INDEX(装备库!$A$2:$Y$1047,MATCH(ROW()-1,装备库!$AO$2:$AO$1046,0),COLUMN()),"")</f>
        <v>1019</v>
      </c>
      <c r="G282">
        <f>IFERROR(INDEX(装备库!$A$2:$Y$1047,MATCH(ROW()-1,装备库!$AO$2:$AO$1046,0),COLUMN()),"")</f>
        <v>3153</v>
      </c>
      <c r="H282">
        <f>IFERROR(INDEX(装备库!$A$2:$Y$1047,MATCH(ROW()-1,装备库!$AO$2:$AO$1046,0),COLUMN()),"")</f>
        <v>0</v>
      </c>
      <c r="I282">
        <f>IFERROR(INDEX(装备库!$A$2:$Y$1047,MATCH(ROW()-1,装备库!$AO$2:$AO$1046,0),COLUMN()),"")</f>
        <v>0</v>
      </c>
      <c r="J282">
        <f>IFERROR(INDEX(装备库!$A$2:$Y$1047,MATCH(ROW()-1,装备库!$AO$2:$AO$1046,0),COLUMN()),"")</f>
        <v>2803</v>
      </c>
      <c r="K282">
        <f>IFERROR(INDEX(装备库!$A$2:$Y$1047,MATCH(ROW()-1,装备库!$AO$2:$AO$1046,0),COLUMN()),"")</f>
        <v>0</v>
      </c>
      <c r="L282">
        <f>IFERROR(INDEX(装备库!$A$2:$Y$1047,MATCH(ROW()-1,装备库!$AO$2:$AO$1046,0),COLUMN()),"")</f>
        <v>0</v>
      </c>
      <c r="M282">
        <f>IFERROR(INDEX(装备库!$A$2:$Y$1047,MATCH(ROW()-1,装备库!$AO$2:$AO$1046,0),COLUMN()),"")</f>
        <v>0</v>
      </c>
      <c r="N282">
        <f>IFERROR(INDEX(装备库!$A$2:$Y$1047,MATCH(ROW()-1,装备库!$AO$2:$AO$1046,0),COLUMN()),"")</f>
        <v>0</v>
      </c>
      <c r="O282">
        <f>IFERROR(INDEX(装备库!$A$2:$Y$1047,MATCH(ROW()-1,装备库!$AO$2:$AO$1046,0),COLUMN()),"")</f>
        <v>0</v>
      </c>
      <c r="P282">
        <f>IFERROR(INDEX(装备库!$A$2:$Y$1047,MATCH(ROW()-1,装备库!$AO$2:$AO$1046,0),COLUMN()),"")</f>
        <v>1</v>
      </c>
      <c r="Q282">
        <f>IFERROR(INDEX(装备库!$A$2:$Y$1047,MATCH(ROW()-1,装备库!$AO$2:$AO$1046,0),COLUMN()),"")</f>
        <v>0</v>
      </c>
      <c r="R282">
        <f>IFERROR(INDEX(装备库!$A$2:$Y$1047,MATCH(ROW()-1,装备库!$AO$2:$AO$1046,0),COLUMN()),"")</f>
        <v>0</v>
      </c>
      <c r="S282">
        <f>IFERROR(INDEX(装备库!$A$2:$Y$1047,MATCH(ROW()-1,装备库!$AO$2:$AO$1046,0),COLUMN()),"")</f>
        <v>1</v>
      </c>
      <c r="T282">
        <f>IFERROR(INDEX(装备库!$A$2:$Y$1047,MATCH(ROW()-1,装备库!$AO$2:$AO$1046,0),COLUMN()),"")</f>
        <v>0</v>
      </c>
      <c r="U282">
        <f>IFERROR(INDEX(装备库!$A$2:$Y$1047,MATCH(ROW()-1,装备库!$AO$2:$AO$1046,0),COLUMN()),"")</f>
        <v>0</v>
      </c>
      <c r="V282">
        <f>IFERROR(INDEX(装备库!$A$2:$Y$1047,MATCH(ROW()-1,装备库!$AO$2:$AO$1046,0),COLUMN()),"")</f>
        <v>0</v>
      </c>
      <c r="W282" t="str">
        <f>IFERROR(INDEX(装备库!$A$2:$Y$1047,MATCH(ROW()-1,装备库!$AO$2:$AO$1046,0),COLUMN()),"")</f>
        <v>会招</v>
      </c>
      <c r="X282">
        <f>IFERROR(INDEX(装备库!$A$2:$Y$1047,MATCH(ROW()-1,装备库!$AO$2:$AO$1046,0),COLUMN()),"")</f>
        <v>6</v>
      </c>
      <c r="Y282" t="str">
        <f>IFERROR(INDEX(装备库!$A$2:$Y$1047,MATCH(ROW()-1,装备库!$AO$2:$AO$1046,0),COLUMN()),"")</f>
        <v>副本</v>
      </c>
    </row>
    <row r="283" spans="1:25" x14ac:dyDescent="0.35">
      <c r="A283" t="str">
        <f>IFERROR(INDEX(装备库!$A$2:$Y$1047,MATCH(ROW()-1,装备库!$AO$2:$AO$1046,0),COLUMN()),"")</f>
        <v>帽子</v>
      </c>
      <c r="B283" t="str">
        <f>IFERROR(INDEX(装备库!$A$2:$Y$1047,MATCH(ROW()-1,装备库!$AO$2:$AO$1046,0),COLUMN()),"")</f>
        <v>羡双冠</v>
      </c>
      <c r="C283">
        <f>IFERROR(INDEX(装备库!$A$2:$Y$1047,MATCH(ROW()-1,装备库!$AO$2:$AO$1046,0),COLUMN()),"")</f>
        <v>10000</v>
      </c>
      <c r="D283" t="str">
        <f>IFERROR(INDEX(装备库!$A$2:$Y$1047,MATCH(ROW()-1,装备库!$AO$2:$AO$1046,0),COLUMN()),"")</f>
        <v>羡双冠(10000会无)</v>
      </c>
      <c r="E283">
        <f>IFERROR(INDEX(装备库!$A$2:$Y$1047,MATCH(ROW()-1,装备库!$AO$2:$AO$1046,0),COLUMN()),"")</f>
        <v>628</v>
      </c>
      <c r="F283">
        <f>IFERROR(INDEX(装备库!$A$2:$Y$1047,MATCH(ROW()-1,装备库!$AO$2:$AO$1046,0),COLUMN()),"")</f>
        <v>1019</v>
      </c>
      <c r="G283">
        <f>IFERROR(INDEX(装备库!$A$2:$Y$1047,MATCH(ROW()-1,装备库!$AO$2:$AO$1046,0),COLUMN()),"")</f>
        <v>3153</v>
      </c>
      <c r="H283">
        <f>IFERROR(INDEX(装备库!$A$2:$Y$1047,MATCH(ROW()-1,装备库!$AO$2:$AO$1046,0),COLUMN()),"")</f>
        <v>0</v>
      </c>
      <c r="I283">
        <f>IFERROR(INDEX(装备库!$A$2:$Y$1047,MATCH(ROW()-1,装备库!$AO$2:$AO$1046,0),COLUMN()),"")</f>
        <v>0</v>
      </c>
      <c r="J283">
        <f>IFERROR(INDEX(装备库!$A$2:$Y$1047,MATCH(ROW()-1,装备库!$AO$2:$AO$1046,0),COLUMN()),"")</f>
        <v>0</v>
      </c>
      <c r="K283">
        <f>IFERROR(INDEX(装备库!$A$2:$Y$1047,MATCH(ROW()-1,装备库!$AO$2:$AO$1046,0),COLUMN()),"")</f>
        <v>2803</v>
      </c>
      <c r="L283">
        <f>IFERROR(INDEX(装备库!$A$2:$Y$1047,MATCH(ROW()-1,装备库!$AO$2:$AO$1046,0),COLUMN()),"")</f>
        <v>0</v>
      </c>
      <c r="M283">
        <f>IFERROR(INDEX(装备库!$A$2:$Y$1047,MATCH(ROW()-1,装备库!$AO$2:$AO$1046,0),COLUMN()),"")</f>
        <v>0</v>
      </c>
      <c r="N283">
        <f>IFERROR(INDEX(装备库!$A$2:$Y$1047,MATCH(ROW()-1,装备库!$AO$2:$AO$1046,0),COLUMN()),"")</f>
        <v>0</v>
      </c>
      <c r="O283">
        <f>IFERROR(INDEX(装备库!$A$2:$Y$1047,MATCH(ROW()-1,装备库!$AO$2:$AO$1046,0),COLUMN()),"")</f>
        <v>0</v>
      </c>
      <c r="P283">
        <f>IFERROR(INDEX(装备库!$A$2:$Y$1047,MATCH(ROW()-1,装备库!$AO$2:$AO$1046,0),COLUMN()),"")</f>
        <v>0</v>
      </c>
      <c r="Q283">
        <f>IFERROR(INDEX(装备库!$A$2:$Y$1047,MATCH(ROW()-1,装备库!$AO$2:$AO$1046,0),COLUMN()),"")</f>
        <v>0</v>
      </c>
      <c r="R283">
        <f>IFERROR(INDEX(装备库!$A$2:$Y$1047,MATCH(ROW()-1,装备库!$AO$2:$AO$1046,0),COLUMN()),"")</f>
        <v>0</v>
      </c>
      <c r="S283">
        <f>IFERROR(INDEX(装备库!$A$2:$Y$1047,MATCH(ROW()-1,装备库!$AO$2:$AO$1046,0),COLUMN()),"")</f>
        <v>1</v>
      </c>
      <c r="T283">
        <f>IFERROR(INDEX(装备库!$A$2:$Y$1047,MATCH(ROW()-1,装备库!$AO$2:$AO$1046,0),COLUMN()),"")</f>
        <v>0</v>
      </c>
      <c r="U283">
        <f>IFERROR(INDEX(装备库!$A$2:$Y$1047,MATCH(ROW()-1,装备库!$AO$2:$AO$1046,0),COLUMN()),"")</f>
        <v>1</v>
      </c>
      <c r="V283">
        <f>IFERROR(INDEX(装备库!$A$2:$Y$1047,MATCH(ROW()-1,装备库!$AO$2:$AO$1046,0),COLUMN()),"")</f>
        <v>0</v>
      </c>
      <c r="W283" t="str">
        <f>IFERROR(INDEX(装备库!$A$2:$Y$1047,MATCH(ROW()-1,装备库!$AO$2:$AO$1046,0),COLUMN()),"")</f>
        <v>会无</v>
      </c>
      <c r="X283">
        <f>IFERROR(INDEX(装备库!$A$2:$Y$1047,MATCH(ROW()-1,装备库!$AO$2:$AO$1046,0),COLUMN()),"")</f>
        <v>6</v>
      </c>
      <c r="Y283" t="str">
        <f>IFERROR(INDEX(装备库!$A$2:$Y$1047,MATCH(ROW()-1,装备库!$AO$2:$AO$1046,0),COLUMN()),"")</f>
        <v>副本</v>
      </c>
    </row>
    <row r="284" spans="1:25" x14ac:dyDescent="0.35">
      <c r="A284" t="str">
        <f>IFERROR(INDEX(装备库!$A$2:$Y$1047,MATCH(ROW()-1,装备库!$AO$2:$AO$1046,0),COLUMN()),"")</f>
        <v>帽子</v>
      </c>
      <c r="B284" t="str">
        <f>IFERROR(INDEX(装备库!$A$2:$Y$1047,MATCH(ROW()-1,装备库!$AO$2:$AO$1046,0),COLUMN()),"")</f>
        <v>寻踪觅宝·光熙帽</v>
      </c>
      <c r="C284">
        <f>IFERROR(INDEX(装备库!$A$2:$Y$1047,MATCH(ROW()-1,装备库!$AO$2:$AO$1046,0),COLUMN()),"")</f>
        <v>10000</v>
      </c>
      <c r="D284" t="str">
        <f>IFERROR(INDEX(装备库!$A$2:$Y$1047,MATCH(ROW()-1,装备库!$AO$2:$AO$1046,0),COLUMN()),"")</f>
        <v>寻踪觅宝·光熙帽(10000会无)</v>
      </c>
      <c r="E284">
        <f>IFERROR(INDEX(装备库!$A$2:$Y$1047,MATCH(ROW()-1,装备库!$AO$2:$AO$1046,0),COLUMN()),"")</f>
        <v>628</v>
      </c>
      <c r="F284">
        <f>IFERROR(INDEX(装备库!$A$2:$Y$1047,MATCH(ROW()-1,装备库!$AO$2:$AO$1046,0),COLUMN()),"")</f>
        <v>1019</v>
      </c>
      <c r="G284">
        <f>IFERROR(INDEX(装备库!$A$2:$Y$1047,MATCH(ROW()-1,装备库!$AO$2:$AO$1046,0),COLUMN()),"")</f>
        <v>3153</v>
      </c>
      <c r="H284">
        <f>IFERROR(INDEX(装备库!$A$2:$Y$1047,MATCH(ROW()-1,装备库!$AO$2:$AO$1046,0),COLUMN()),"")</f>
        <v>0</v>
      </c>
      <c r="I284">
        <f>IFERROR(INDEX(装备库!$A$2:$Y$1047,MATCH(ROW()-1,装备库!$AO$2:$AO$1046,0),COLUMN()),"")</f>
        <v>0</v>
      </c>
      <c r="J284">
        <f>IFERROR(INDEX(装备库!$A$2:$Y$1047,MATCH(ROW()-1,装备库!$AO$2:$AO$1046,0),COLUMN()),"")</f>
        <v>0</v>
      </c>
      <c r="K284">
        <f>IFERROR(INDEX(装备库!$A$2:$Y$1047,MATCH(ROW()-1,装备库!$AO$2:$AO$1046,0),COLUMN()),"")</f>
        <v>2803</v>
      </c>
      <c r="L284">
        <f>IFERROR(INDEX(装备库!$A$2:$Y$1047,MATCH(ROW()-1,装备库!$AO$2:$AO$1046,0),COLUMN()),"")</f>
        <v>0</v>
      </c>
      <c r="M284">
        <f>IFERROR(INDEX(装备库!$A$2:$Y$1047,MATCH(ROW()-1,装备库!$AO$2:$AO$1046,0),COLUMN()),"")</f>
        <v>0</v>
      </c>
      <c r="N284">
        <f>IFERROR(INDEX(装备库!$A$2:$Y$1047,MATCH(ROW()-1,装备库!$AO$2:$AO$1046,0),COLUMN()),"")</f>
        <v>0</v>
      </c>
      <c r="O284">
        <f>IFERROR(INDEX(装备库!$A$2:$Y$1047,MATCH(ROW()-1,装备库!$AO$2:$AO$1046,0),COLUMN()),"")</f>
        <v>0</v>
      </c>
      <c r="P284">
        <f>IFERROR(INDEX(装备库!$A$2:$Y$1047,MATCH(ROW()-1,装备库!$AO$2:$AO$1046,0),COLUMN()),"")</f>
        <v>0</v>
      </c>
      <c r="Q284">
        <f>IFERROR(INDEX(装备库!$A$2:$Y$1047,MATCH(ROW()-1,装备库!$AO$2:$AO$1046,0),COLUMN()),"")</f>
        <v>0</v>
      </c>
      <c r="R284">
        <f>IFERROR(INDEX(装备库!$A$2:$Y$1047,MATCH(ROW()-1,装备库!$AO$2:$AO$1046,0),COLUMN()),"")</f>
        <v>0</v>
      </c>
      <c r="S284">
        <f>IFERROR(INDEX(装备库!$A$2:$Y$1047,MATCH(ROW()-1,装备库!$AO$2:$AO$1046,0),COLUMN()),"")</f>
        <v>1</v>
      </c>
      <c r="T284">
        <f>IFERROR(INDEX(装备库!$A$2:$Y$1047,MATCH(ROW()-1,装备库!$AO$2:$AO$1046,0),COLUMN()),"")</f>
        <v>0</v>
      </c>
      <c r="U284">
        <f>IFERROR(INDEX(装备库!$A$2:$Y$1047,MATCH(ROW()-1,装备库!$AO$2:$AO$1046,0),COLUMN()),"")</f>
        <v>1</v>
      </c>
      <c r="V284">
        <f>IFERROR(INDEX(装备库!$A$2:$Y$1047,MATCH(ROW()-1,装备库!$AO$2:$AO$1046,0),COLUMN()),"")</f>
        <v>0</v>
      </c>
      <c r="W284" t="str">
        <f>IFERROR(INDEX(装备库!$A$2:$Y$1047,MATCH(ROW()-1,装备库!$AO$2:$AO$1046,0),COLUMN()),"")</f>
        <v>会无</v>
      </c>
      <c r="X284">
        <f>IFERROR(INDEX(装备库!$A$2:$Y$1047,MATCH(ROW()-1,装备库!$AO$2:$AO$1046,0),COLUMN()),"")</f>
        <v>6</v>
      </c>
      <c r="Y284" t="str">
        <f>IFERROR(INDEX(装备库!$A$2:$Y$1047,MATCH(ROW()-1,装备库!$AO$2:$AO$1046,0),COLUMN()),"")</f>
        <v>挖宝</v>
      </c>
    </row>
    <row r="285" spans="1:25" x14ac:dyDescent="0.35">
      <c r="A285" t="str">
        <f>IFERROR(INDEX(装备库!$A$2:$Y$1047,MATCH(ROW()-1,装备库!$AO$2:$AO$1046,0),COLUMN()),"")</f>
        <v>帽子</v>
      </c>
      <c r="B285" t="str">
        <f>IFERROR(INDEX(装备库!$A$2:$Y$1047,MATCH(ROW()-1,装备库!$AO$2:$AO$1046,0),COLUMN()),"")</f>
        <v>沉龙荡波·淘浪冠</v>
      </c>
      <c r="C285">
        <f>IFERROR(INDEX(装备库!$A$2:$Y$1047,MATCH(ROW()-1,装备库!$AO$2:$AO$1046,0),COLUMN()),"")</f>
        <v>10000</v>
      </c>
      <c r="D285" t="str">
        <f>IFERROR(INDEX(装备库!$A$2:$Y$1047,MATCH(ROW()-1,装备库!$AO$2:$AO$1046,0),COLUMN()),"")</f>
        <v>沉龙荡波·淘浪冠(10000会无)</v>
      </c>
      <c r="E285">
        <f>IFERROR(INDEX(装备库!$A$2:$Y$1047,MATCH(ROW()-1,装备库!$AO$2:$AO$1046,0),COLUMN()),"")</f>
        <v>628</v>
      </c>
      <c r="F285">
        <f>IFERROR(INDEX(装备库!$A$2:$Y$1047,MATCH(ROW()-1,装备库!$AO$2:$AO$1046,0),COLUMN()),"")</f>
        <v>1019</v>
      </c>
      <c r="G285">
        <f>IFERROR(INDEX(装备库!$A$2:$Y$1047,MATCH(ROW()-1,装备库!$AO$2:$AO$1046,0),COLUMN()),"")</f>
        <v>3153</v>
      </c>
      <c r="H285">
        <f>IFERROR(INDEX(装备库!$A$2:$Y$1047,MATCH(ROW()-1,装备库!$AO$2:$AO$1046,0),COLUMN()),"")</f>
        <v>0</v>
      </c>
      <c r="I285">
        <f>IFERROR(INDEX(装备库!$A$2:$Y$1047,MATCH(ROW()-1,装备库!$AO$2:$AO$1046,0),COLUMN()),"")</f>
        <v>0</v>
      </c>
      <c r="J285">
        <f>IFERROR(INDEX(装备库!$A$2:$Y$1047,MATCH(ROW()-1,装备库!$AO$2:$AO$1046,0),COLUMN()),"")</f>
        <v>0</v>
      </c>
      <c r="K285">
        <f>IFERROR(INDEX(装备库!$A$2:$Y$1047,MATCH(ROW()-1,装备库!$AO$2:$AO$1046,0),COLUMN()),"")</f>
        <v>2803</v>
      </c>
      <c r="L285">
        <f>IFERROR(INDEX(装备库!$A$2:$Y$1047,MATCH(ROW()-1,装备库!$AO$2:$AO$1046,0),COLUMN()),"")</f>
        <v>0</v>
      </c>
      <c r="M285">
        <f>IFERROR(INDEX(装备库!$A$2:$Y$1047,MATCH(ROW()-1,装备库!$AO$2:$AO$1046,0),COLUMN()),"")</f>
        <v>0</v>
      </c>
      <c r="N285">
        <f>IFERROR(INDEX(装备库!$A$2:$Y$1047,MATCH(ROW()-1,装备库!$AO$2:$AO$1046,0),COLUMN()),"")</f>
        <v>0</v>
      </c>
      <c r="O285">
        <f>IFERROR(INDEX(装备库!$A$2:$Y$1047,MATCH(ROW()-1,装备库!$AO$2:$AO$1046,0),COLUMN()),"")</f>
        <v>0</v>
      </c>
      <c r="P285">
        <f>IFERROR(INDEX(装备库!$A$2:$Y$1047,MATCH(ROW()-1,装备库!$AO$2:$AO$1046,0),COLUMN()),"")</f>
        <v>0</v>
      </c>
      <c r="Q285">
        <f>IFERROR(INDEX(装备库!$A$2:$Y$1047,MATCH(ROW()-1,装备库!$AO$2:$AO$1046,0),COLUMN()),"")</f>
        <v>0</v>
      </c>
      <c r="R285">
        <f>IFERROR(INDEX(装备库!$A$2:$Y$1047,MATCH(ROW()-1,装备库!$AO$2:$AO$1046,0),COLUMN()),"")</f>
        <v>0</v>
      </c>
      <c r="S285">
        <f>IFERROR(INDEX(装备库!$A$2:$Y$1047,MATCH(ROW()-1,装备库!$AO$2:$AO$1046,0),COLUMN()),"")</f>
        <v>1</v>
      </c>
      <c r="T285">
        <f>IFERROR(INDEX(装备库!$A$2:$Y$1047,MATCH(ROW()-1,装备库!$AO$2:$AO$1046,0),COLUMN()),"")</f>
        <v>0</v>
      </c>
      <c r="U285">
        <f>IFERROR(INDEX(装备库!$A$2:$Y$1047,MATCH(ROW()-1,装备库!$AO$2:$AO$1046,0),COLUMN()),"")</f>
        <v>1</v>
      </c>
      <c r="V285">
        <f>IFERROR(INDEX(装备库!$A$2:$Y$1047,MATCH(ROW()-1,装备库!$AO$2:$AO$1046,0),COLUMN()),"")</f>
        <v>0</v>
      </c>
      <c r="W285" t="str">
        <f>IFERROR(INDEX(装备库!$A$2:$Y$1047,MATCH(ROW()-1,装备库!$AO$2:$AO$1046,0),COLUMN()),"")</f>
        <v>会无</v>
      </c>
      <c r="X285">
        <f>IFERROR(INDEX(装备库!$A$2:$Y$1047,MATCH(ROW()-1,装备库!$AO$2:$AO$1046,0),COLUMN()),"")</f>
        <v>6</v>
      </c>
      <c r="Y285" t="str">
        <f>IFERROR(INDEX(装备库!$A$2:$Y$1047,MATCH(ROW()-1,装备库!$AO$2:$AO$1046,0),COLUMN()),"")</f>
        <v>飞沙令</v>
      </c>
    </row>
    <row r="286" spans="1:25" x14ac:dyDescent="0.35">
      <c r="A286" t="str">
        <f>IFERROR(INDEX(装备库!$A$2:$Y$1047,MATCH(ROW()-1,装备库!$AO$2:$AO$1046,0),COLUMN()),"")</f>
        <v>帽子</v>
      </c>
      <c r="B286" t="str">
        <f>IFERROR(INDEX(装备库!$A$2:$Y$1047,MATCH(ROW()-1,装备库!$AO$2:$AO$1046,0),COLUMN()),"")</f>
        <v>无封头饰</v>
      </c>
      <c r="C286">
        <f>IFERROR(INDEX(装备库!$A$2:$Y$1047,MATCH(ROW()-1,装备库!$AO$2:$AO$1046,0),COLUMN()),"")</f>
        <v>10000</v>
      </c>
      <c r="D286" t="str">
        <f>IFERROR(INDEX(装备库!$A$2:$Y$1047,MATCH(ROW()-1,装备库!$AO$2:$AO$1046,0),COLUMN()),"")</f>
        <v>无封头饰(10000精简攻无)</v>
      </c>
      <c r="E286">
        <f>IFERROR(INDEX(装备库!$A$2:$Y$1047,MATCH(ROW()-1,装备库!$AO$2:$AO$1046,0),COLUMN()),"")</f>
        <v>0</v>
      </c>
      <c r="F286">
        <f>IFERROR(INDEX(装备库!$A$2:$Y$1047,MATCH(ROW()-1,装备库!$AO$2:$AO$1046,0),COLUMN()),"")</f>
        <v>2666</v>
      </c>
      <c r="G286">
        <f>IFERROR(INDEX(装备库!$A$2:$Y$1047,MATCH(ROW()-1,装备库!$AO$2:$AO$1046,0),COLUMN()),"")</f>
        <v>0</v>
      </c>
      <c r="H286">
        <f>IFERROR(INDEX(装备库!$A$2:$Y$1047,MATCH(ROW()-1,装备库!$AO$2:$AO$1046,0),COLUMN()),"")</f>
        <v>0</v>
      </c>
      <c r="I286">
        <f>IFERROR(INDEX(装备库!$A$2:$Y$1047,MATCH(ROW()-1,装备库!$AO$2:$AO$1046,0),COLUMN()),"")</f>
        <v>0</v>
      </c>
      <c r="J286">
        <f>IFERROR(INDEX(装备库!$A$2:$Y$1047,MATCH(ROW()-1,装备库!$AO$2:$AO$1046,0),COLUMN()),"")</f>
        <v>0</v>
      </c>
      <c r="K286">
        <f>IFERROR(INDEX(装备库!$A$2:$Y$1047,MATCH(ROW()-1,装备库!$AO$2:$AO$1046,0),COLUMN()),"")</f>
        <v>6044</v>
      </c>
      <c r="L286">
        <f>IFERROR(INDEX(装备库!$A$2:$Y$1047,MATCH(ROW()-1,装备库!$AO$2:$AO$1046,0),COLUMN()),"")</f>
        <v>0</v>
      </c>
      <c r="M286">
        <f>IFERROR(INDEX(装备库!$A$2:$Y$1047,MATCH(ROW()-1,装备库!$AO$2:$AO$1046,0),COLUMN()),"")</f>
        <v>0</v>
      </c>
      <c r="N286">
        <f>IFERROR(INDEX(装备库!$A$2:$Y$1047,MATCH(ROW()-1,装备库!$AO$2:$AO$1046,0),COLUMN()),"")</f>
        <v>0</v>
      </c>
      <c r="O286">
        <f>IFERROR(INDEX(装备库!$A$2:$Y$1047,MATCH(ROW()-1,装备库!$AO$2:$AO$1046,0),COLUMN()),"")</f>
        <v>0</v>
      </c>
      <c r="P286">
        <f>IFERROR(INDEX(装备库!$A$2:$Y$1047,MATCH(ROW()-1,装备库!$AO$2:$AO$1046,0),COLUMN()),"")</f>
        <v>0</v>
      </c>
      <c r="Q286">
        <f>IFERROR(INDEX(装备库!$A$2:$Y$1047,MATCH(ROW()-1,装备库!$AO$2:$AO$1046,0),COLUMN()),"")</f>
        <v>0</v>
      </c>
      <c r="R286">
        <f>IFERROR(INDEX(装备库!$A$2:$Y$1047,MATCH(ROW()-1,装备库!$AO$2:$AO$1046,0),COLUMN()),"")</f>
        <v>0</v>
      </c>
      <c r="S286">
        <f>IFERROR(INDEX(装备库!$A$2:$Y$1047,MATCH(ROW()-1,装备库!$AO$2:$AO$1046,0),COLUMN()),"")</f>
        <v>1</v>
      </c>
      <c r="T286">
        <f>IFERROR(INDEX(装备库!$A$2:$Y$1047,MATCH(ROW()-1,装备库!$AO$2:$AO$1046,0),COLUMN()),"")</f>
        <v>0</v>
      </c>
      <c r="U286">
        <f>IFERROR(INDEX(装备库!$A$2:$Y$1047,MATCH(ROW()-1,装备库!$AO$2:$AO$1046,0),COLUMN()),"")</f>
        <v>1</v>
      </c>
      <c r="V286">
        <f>IFERROR(INDEX(装备库!$A$2:$Y$1047,MATCH(ROW()-1,装备库!$AO$2:$AO$1046,0),COLUMN()),"")</f>
        <v>0</v>
      </c>
      <c r="W286" t="str">
        <f>IFERROR(INDEX(装备库!$A$2:$Y$1047,MATCH(ROW()-1,装备库!$AO$2:$AO$1046,0),COLUMN()),"")</f>
        <v>精简攻无</v>
      </c>
      <c r="X286">
        <f>IFERROR(INDEX(装备库!$A$2:$Y$1047,MATCH(ROW()-1,装备库!$AO$2:$AO$1046,0),COLUMN()),"")</f>
        <v>3</v>
      </c>
      <c r="Y286" t="str">
        <f>IFERROR(INDEX(装备库!$A$2:$Y$1047,MATCH(ROW()-1,装备库!$AO$2:$AO$1046,0),COLUMN()),"")</f>
        <v>活动</v>
      </c>
    </row>
    <row r="287" spans="1:25" x14ac:dyDescent="0.35">
      <c r="A287" t="str">
        <f>IFERROR(INDEX(装备库!$A$2:$Y$1047,MATCH(ROW()-1,装备库!$AO$2:$AO$1046,0),COLUMN()),"")</f>
        <v>帽子</v>
      </c>
      <c r="B287" t="str">
        <f>IFERROR(INDEX(装备库!$A$2:$Y$1047,MATCH(ROW()-1,装备库!$AO$2:$AO$1046,0),COLUMN()),"")</f>
        <v>无封头饰</v>
      </c>
      <c r="C287">
        <f>IFERROR(INDEX(装备库!$A$2:$Y$1047,MATCH(ROW()-1,装备库!$AO$2:$AO$1046,0),COLUMN()),"")</f>
        <v>10000</v>
      </c>
      <c r="D287" t="str">
        <f>IFERROR(INDEX(装备库!$A$2:$Y$1047,MATCH(ROW()-1,装备库!$AO$2:$AO$1046,0),COLUMN()),"")</f>
        <v>无封头饰(10000精简攻会招破)</v>
      </c>
      <c r="E287">
        <f>IFERROR(INDEX(装备库!$A$2:$Y$1047,MATCH(ROW()-1,装备库!$AO$2:$AO$1046,0),COLUMN()),"")</f>
        <v>0</v>
      </c>
      <c r="F287">
        <f>IFERROR(INDEX(装备库!$A$2:$Y$1047,MATCH(ROW()-1,装备库!$AO$2:$AO$1046,0),COLUMN()),"")</f>
        <v>2510</v>
      </c>
      <c r="G287">
        <f>IFERROR(INDEX(装备库!$A$2:$Y$1047,MATCH(ROW()-1,装备库!$AO$2:$AO$1046,0),COLUMN()),"")</f>
        <v>2277</v>
      </c>
      <c r="H287">
        <f>IFERROR(INDEX(装备库!$A$2:$Y$1047,MATCH(ROW()-1,装备库!$AO$2:$AO$1046,0),COLUMN()),"")</f>
        <v>0</v>
      </c>
      <c r="I287">
        <f>IFERROR(INDEX(装备库!$A$2:$Y$1047,MATCH(ROW()-1,装备库!$AO$2:$AO$1046,0),COLUMN()),"")</f>
        <v>2277</v>
      </c>
      <c r="J287">
        <f>IFERROR(INDEX(装备库!$A$2:$Y$1047,MATCH(ROW()-1,装备库!$AO$2:$AO$1046,0),COLUMN()),"")</f>
        <v>1927</v>
      </c>
      <c r="K287">
        <f>IFERROR(INDEX(装备库!$A$2:$Y$1047,MATCH(ROW()-1,装备库!$AO$2:$AO$1046,0),COLUMN()),"")</f>
        <v>0</v>
      </c>
      <c r="L287">
        <f>IFERROR(INDEX(装备库!$A$2:$Y$1047,MATCH(ROW()-1,装备库!$AO$2:$AO$1046,0),COLUMN()),"")</f>
        <v>0</v>
      </c>
      <c r="M287">
        <f>IFERROR(INDEX(装备库!$A$2:$Y$1047,MATCH(ROW()-1,装备库!$AO$2:$AO$1046,0),COLUMN()),"")</f>
        <v>0</v>
      </c>
      <c r="N287">
        <f>IFERROR(INDEX(装备库!$A$2:$Y$1047,MATCH(ROW()-1,装备库!$AO$2:$AO$1046,0),COLUMN()),"")</f>
        <v>0</v>
      </c>
      <c r="O287">
        <f>IFERROR(INDEX(装备库!$A$2:$Y$1047,MATCH(ROW()-1,装备库!$AO$2:$AO$1046,0),COLUMN()),"")</f>
        <v>0</v>
      </c>
      <c r="P287">
        <f>IFERROR(INDEX(装备库!$A$2:$Y$1047,MATCH(ROW()-1,装备库!$AO$2:$AO$1046,0),COLUMN()),"")</f>
        <v>0</v>
      </c>
      <c r="Q287">
        <f>IFERROR(INDEX(装备库!$A$2:$Y$1047,MATCH(ROW()-1,装备库!$AO$2:$AO$1046,0),COLUMN()),"")</f>
        <v>0</v>
      </c>
      <c r="R287">
        <f>IFERROR(INDEX(装备库!$A$2:$Y$1047,MATCH(ROW()-1,装备库!$AO$2:$AO$1046,0),COLUMN()),"")</f>
        <v>1</v>
      </c>
      <c r="S287">
        <f>IFERROR(INDEX(装备库!$A$2:$Y$1047,MATCH(ROW()-1,装备库!$AO$2:$AO$1046,0),COLUMN()),"")</f>
        <v>1</v>
      </c>
      <c r="T287">
        <f>IFERROR(INDEX(装备库!$A$2:$Y$1047,MATCH(ROW()-1,装备库!$AO$2:$AO$1046,0),COLUMN()),"")</f>
        <v>0</v>
      </c>
      <c r="U287">
        <f>IFERROR(INDEX(装备库!$A$2:$Y$1047,MATCH(ROW()-1,装备库!$AO$2:$AO$1046,0),COLUMN()),"")</f>
        <v>0</v>
      </c>
      <c r="V287">
        <f>IFERROR(INDEX(装备库!$A$2:$Y$1047,MATCH(ROW()-1,装备库!$AO$2:$AO$1046,0),COLUMN()),"")</f>
        <v>0</v>
      </c>
      <c r="W287" t="str">
        <f>IFERROR(INDEX(装备库!$A$2:$Y$1047,MATCH(ROW()-1,装备库!$AO$2:$AO$1046,0),COLUMN()),"")</f>
        <v>精简攻会招破</v>
      </c>
      <c r="X287">
        <f>IFERROR(INDEX(装备库!$A$2:$Y$1047,MATCH(ROW()-1,装备库!$AO$2:$AO$1046,0),COLUMN()),"")</f>
        <v>3</v>
      </c>
      <c r="Y287" t="str">
        <f>IFERROR(INDEX(装备库!$A$2:$Y$1047,MATCH(ROW()-1,装备库!$AO$2:$AO$1046,0),COLUMN()),"")</f>
        <v>活动</v>
      </c>
    </row>
    <row r="288" spans="1:25" x14ac:dyDescent="0.35">
      <c r="A288" t="str">
        <f>IFERROR(INDEX(装备库!$A$2:$Y$1047,MATCH(ROW()-1,装备库!$AO$2:$AO$1046,0),COLUMN()),"")</f>
        <v>帽子</v>
      </c>
      <c r="B288" t="str">
        <f>IFERROR(INDEX(装备库!$A$2:$Y$1047,MATCH(ROW()-1,装备库!$AO$2:$AO$1046,0),COLUMN()),"")</f>
        <v>无封头饰</v>
      </c>
      <c r="C288">
        <f>IFERROR(INDEX(装备库!$A$2:$Y$1047,MATCH(ROW()-1,装备库!$AO$2:$AO$1046,0),COLUMN()),"")</f>
        <v>10000</v>
      </c>
      <c r="D288" t="str">
        <f>IFERROR(INDEX(装备库!$A$2:$Y$1047,MATCH(ROW()-1,装备库!$AO$2:$AO$1046,0),COLUMN()),"")</f>
        <v>无封头饰(10000精简攻会无)</v>
      </c>
      <c r="E288">
        <f>IFERROR(INDEX(装备库!$A$2:$Y$1047,MATCH(ROW()-1,装备库!$AO$2:$AO$1046,0),COLUMN()),"")</f>
        <v>0</v>
      </c>
      <c r="F288">
        <f>IFERROR(INDEX(装备库!$A$2:$Y$1047,MATCH(ROW()-1,装备库!$AO$2:$AO$1046,0),COLUMN()),"")</f>
        <v>2274</v>
      </c>
      <c r="G288">
        <f>IFERROR(INDEX(装备库!$A$2:$Y$1047,MATCH(ROW()-1,装备库!$AO$2:$AO$1046,0),COLUMN()),"")</f>
        <v>3504</v>
      </c>
      <c r="H288">
        <f>IFERROR(INDEX(装备库!$A$2:$Y$1047,MATCH(ROW()-1,装备库!$AO$2:$AO$1046,0),COLUMN()),"")</f>
        <v>0</v>
      </c>
      <c r="I288">
        <f>IFERROR(INDEX(装备库!$A$2:$Y$1047,MATCH(ROW()-1,装备库!$AO$2:$AO$1046,0),COLUMN()),"")</f>
        <v>0</v>
      </c>
      <c r="J288">
        <f>IFERROR(INDEX(装备库!$A$2:$Y$1047,MATCH(ROW()-1,装备库!$AO$2:$AO$1046,0),COLUMN()),"")</f>
        <v>0</v>
      </c>
      <c r="K288">
        <f>IFERROR(INDEX(装备库!$A$2:$Y$1047,MATCH(ROW()-1,装备库!$AO$2:$AO$1046,0),COLUMN()),"")</f>
        <v>3504</v>
      </c>
      <c r="L288">
        <f>IFERROR(INDEX(装备库!$A$2:$Y$1047,MATCH(ROW()-1,装备库!$AO$2:$AO$1046,0),COLUMN()),"")</f>
        <v>0</v>
      </c>
      <c r="M288">
        <f>IFERROR(INDEX(装备库!$A$2:$Y$1047,MATCH(ROW()-1,装备库!$AO$2:$AO$1046,0),COLUMN()),"")</f>
        <v>0</v>
      </c>
      <c r="N288">
        <f>IFERROR(INDEX(装备库!$A$2:$Y$1047,MATCH(ROW()-1,装备库!$AO$2:$AO$1046,0),COLUMN()),"")</f>
        <v>0</v>
      </c>
      <c r="O288">
        <f>IFERROR(INDEX(装备库!$A$2:$Y$1047,MATCH(ROW()-1,装备库!$AO$2:$AO$1046,0),COLUMN()),"")</f>
        <v>0</v>
      </c>
      <c r="P288">
        <f>IFERROR(INDEX(装备库!$A$2:$Y$1047,MATCH(ROW()-1,装备库!$AO$2:$AO$1046,0),COLUMN()),"")</f>
        <v>0</v>
      </c>
      <c r="Q288">
        <f>IFERROR(INDEX(装备库!$A$2:$Y$1047,MATCH(ROW()-1,装备库!$AO$2:$AO$1046,0),COLUMN()),"")</f>
        <v>0</v>
      </c>
      <c r="R288">
        <f>IFERROR(INDEX(装备库!$A$2:$Y$1047,MATCH(ROW()-1,装备库!$AO$2:$AO$1046,0),COLUMN()),"")</f>
        <v>1</v>
      </c>
      <c r="S288">
        <f>IFERROR(INDEX(装备库!$A$2:$Y$1047,MATCH(ROW()-1,装备库!$AO$2:$AO$1046,0),COLUMN()),"")</f>
        <v>0</v>
      </c>
      <c r="T288">
        <f>IFERROR(INDEX(装备库!$A$2:$Y$1047,MATCH(ROW()-1,装备库!$AO$2:$AO$1046,0),COLUMN()),"")</f>
        <v>0</v>
      </c>
      <c r="U288">
        <f>IFERROR(INDEX(装备库!$A$2:$Y$1047,MATCH(ROW()-1,装备库!$AO$2:$AO$1046,0),COLUMN()),"")</f>
        <v>1</v>
      </c>
      <c r="V288">
        <f>IFERROR(INDEX(装备库!$A$2:$Y$1047,MATCH(ROW()-1,装备库!$AO$2:$AO$1046,0),COLUMN()),"")</f>
        <v>0</v>
      </c>
      <c r="W288" t="str">
        <f>IFERROR(INDEX(装备库!$A$2:$Y$1047,MATCH(ROW()-1,装备库!$AO$2:$AO$1046,0),COLUMN()),"")</f>
        <v>精简攻会无</v>
      </c>
      <c r="X288">
        <f>IFERROR(INDEX(装备库!$A$2:$Y$1047,MATCH(ROW()-1,装备库!$AO$2:$AO$1046,0),COLUMN()),"")</f>
        <v>3</v>
      </c>
      <c r="Y288" t="str">
        <f>IFERROR(INDEX(装备库!$A$2:$Y$1047,MATCH(ROW()-1,装备库!$AO$2:$AO$1046,0),COLUMN()),"")</f>
        <v>活动</v>
      </c>
    </row>
    <row r="289" spans="1:25" x14ac:dyDescent="0.35">
      <c r="A289" t="str">
        <f>IFERROR(INDEX(装备库!$A$2:$Y$1047,MATCH(ROW()-1,装备库!$AO$2:$AO$1046,0),COLUMN()),"")</f>
        <v>帽子</v>
      </c>
      <c r="B289" t="str">
        <f>IFERROR(INDEX(装备库!$A$2:$Y$1047,MATCH(ROW()-1,装备库!$AO$2:$AO$1046,0),COLUMN()),"")</f>
        <v>临雾帽</v>
      </c>
      <c r="C289">
        <f>IFERROR(INDEX(装备库!$A$2:$Y$1047,MATCH(ROW()-1,装备库!$AO$2:$AO$1046,0),COLUMN()),"")</f>
        <v>10100</v>
      </c>
      <c r="D289" t="str">
        <f>IFERROR(INDEX(装备库!$A$2:$Y$1047,MATCH(ROW()-1,装备库!$AO$2:$AO$1046,0),COLUMN()),"")</f>
        <v>临雾帽(10100破无)</v>
      </c>
      <c r="E289">
        <f>IFERROR(INDEX(装备库!$A$2:$Y$1047,MATCH(ROW()-1,装备库!$AO$2:$AO$1046,0),COLUMN()),"")</f>
        <v>635</v>
      </c>
      <c r="F289">
        <f>IFERROR(INDEX(装备库!$A$2:$Y$1047,MATCH(ROW()-1,装备库!$AO$2:$AO$1046,0),COLUMN()),"")</f>
        <v>1030</v>
      </c>
      <c r="G289">
        <f>IFERROR(INDEX(装备库!$A$2:$Y$1047,MATCH(ROW()-1,装备库!$AO$2:$AO$1046,0),COLUMN()),"")</f>
        <v>0</v>
      </c>
      <c r="H289">
        <f>IFERROR(INDEX(装备库!$A$2:$Y$1047,MATCH(ROW()-1,装备库!$AO$2:$AO$1046,0),COLUMN()),"")</f>
        <v>0</v>
      </c>
      <c r="I289">
        <f>IFERROR(INDEX(装备库!$A$2:$Y$1047,MATCH(ROW()-1,装备库!$AO$2:$AO$1046,0),COLUMN()),"")</f>
        <v>3185</v>
      </c>
      <c r="J289">
        <f>IFERROR(INDEX(装备库!$A$2:$Y$1047,MATCH(ROW()-1,装备库!$AO$2:$AO$1046,0),COLUMN()),"")</f>
        <v>0</v>
      </c>
      <c r="K289">
        <f>IFERROR(INDEX(装备库!$A$2:$Y$1047,MATCH(ROW()-1,装备库!$AO$2:$AO$1046,0),COLUMN()),"")</f>
        <v>2831</v>
      </c>
      <c r="L289">
        <f>IFERROR(INDEX(装备库!$A$2:$Y$1047,MATCH(ROW()-1,装备库!$AO$2:$AO$1046,0),COLUMN()),"")</f>
        <v>0</v>
      </c>
      <c r="M289">
        <f>IFERROR(INDEX(装备库!$A$2:$Y$1047,MATCH(ROW()-1,装备库!$AO$2:$AO$1046,0),COLUMN()),"")</f>
        <v>0</v>
      </c>
      <c r="N289">
        <f>IFERROR(INDEX(装备库!$A$2:$Y$1047,MATCH(ROW()-1,装备库!$AO$2:$AO$1046,0),COLUMN()),"")</f>
        <v>0</v>
      </c>
      <c r="O289">
        <f>IFERROR(INDEX(装备库!$A$2:$Y$1047,MATCH(ROW()-1,装备库!$AO$2:$AO$1046,0),COLUMN()),"")</f>
        <v>1</v>
      </c>
      <c r="P289">
        <f>IFERROR(INDEX(装备库!$A$2:$Y$1047,MATCH(ROW()-1,装备库!$AO$2:$AO$1046,0),COLUMN()),"")</f>
        <v>0</v>
      </c>
      <c r="Q289">
        <f>IFERROR(INDEX(装备库!$A$2:$Y$1047,MATCH(ROW()-1,装备库!$AO$2:$AO$1046,0),COLUMN()),"")</f>
        <v>0</v>
      </c>
      <c r="R289">
        <f>IFERROR(INDEX(装备库!$A$2:$Y$1047,MATCH(ROW()-1,装备库!$AO$2:$AO$1046,0),COLUMN()),"")</f>
        <v>0</v>
      </c>
      <c r="S289">
        <f>IFERROR(INDEX(装备库!$A$2:$Y$1047,MATCH(ROW()-1,装备库!$AO$2:$AO$1046,0),COLUMN()),"")</f>
        <v>1</v>
      </c>
      <c r="T289">
        <f>IFERROR(INDEX(装备库!$A$2:$Y$1047,MATCH(ROW()-1,装备库!$AO$2:$AO$1046,0),COLUMN()),"")</f>
        <v>0</v>
      </c>
      <c r="U289">
        <f>IFERROR(INDEX(装备库!$A$2:$Y$1047,MATCH(ROW()-1,装备库!$AO$2:$AO$1046,0),COLUMN()),"")</f>
        <v>0</v>
      </c>
      <c r="V289">
        <f>IFERROR(INDEX(装备库!$A$2:$Y$1047,MATCH(ROW()-1,装备库!$AO$2:$AO$1046,0),COLUMN()),"")</f>
        <v>0</v>
      </c>
      <c r="W289" t="str">
        <f>IFERROR(INDEX(装备库!$A$2:$Y$1047,MATCH(ROW()-1,装备库!$AO$2:$AO$1046,0),COLUMN()),"")</f>
        <v>破无</v>
      </c>
      <c r="X289">
        <f>IFERROR(INDEX(装备库!$A$2:$Y$1047,MATCH(ROW()-1,装备库!$AO$2:$AO$1046,0),COLUMN()),"")</f>
        <v>6</v>
      </c>
      <c r="Y289" t="str">
        <f>IFERROR(INDEX(装备库!$A$2:$Y$1047,MATCH(ROW()-1,装备库!$AO$2:$AO$1046,0),COLUMN()),"")</f>
        <v>声望</v>
      </c>
    </row>
    <row r="290" spans="1:25" x14ac:dyDescent="0.35">
      <c r="A290" t="str">
        <f>IFERROR(INDEX(装备库!$A$2:$Y$1047,MATCH(ROW()-1,装备库!$AO$2:$AO$1046,0),COLUMN()),"")</f>
        <v>帽子</v>
      </c>
      <c r="B290" t="str">
        <f>IFERROR(INDEX(装备库!$A$2:$Y$1047,MATCH(ROW()-1,装备库!$AO$2:$AO$1046,0),COLUMN()),"")</f>
        <v>闲月帽</v>
      </c>
      <c r="C290">
        <f>IFERROR(INDEX(装备库!$A$2:$Y$1047,MATCH(ROW()-1,装备库!$AO$2:$AO$1046,0),COLUMN()),"")</f>
        <v>10150</v>
      </c>
      <c r="D290" t="str">
        <f>IFERROR(INDEX(装备库!$A$2:$Y$1047,MATCH(ROW()-1,装备库!$AO$2:$AO$1046,0),COLUMN()),"")</f>
        <v>闲月帽(10150速招)</v>
      </c>
      <c r="E290">
        <f>IFERROR(INDEX(装备库!$A$2:$Y$1047,MATCH(ROW()-1,装备库!$AO$2:$AO$1046,0),COLUMN()),"")</f>
        <v>638</v>
      </c>
      <c r="F290">
        <f>IFERROR(INDEX(装备库!$A$2:$Y$1047,MATCH(ROW()-1,装备库!$AO$2:$AO$1046,0),COLUMN()),"")</f>
        <v>1035</v>
      </c>
      <c r="G290">
        <f>IFERROR(INDEX(装备库!$A$2:$Y$1047,MATCH(ROW()-1,装备库!$AO$2:$AO$1046,0),COLUMN()),"")</f>
        <v>0</v>
      </c>
      <c r="H290">
        <f>IFERROR(INDEX(装备库!$A$2:$Y$1047,MATCH(ROW()-1,装备库!$AO$2:$AO$1046,0),COLUMN()),"")</f>
        <v>0</v>
      </c>
      <c r="I290">
        <f>IFERROR(INDEX(装备库!$A$2:$Y$1047,MATCH(ROW()-1,装备库!$AO$2:$AO$1046,0),COLUMN()),"")</f>
        <v>0</v>
      </c>
      <c r="J290">
        <f>IFERROR(INDEX(装备库!$A$2:$Y$1047,MATCH(ROW()-1,装备库!$AO$2:$AO$1046,0),COLUMN()),"")</f>
        <v>2845</v>
      </c>
      <c r="K290">
        <f>IFERROR(INDEX(装备库!$A$2:$Y$1047,MATCH(ROW()-1,装备库!$AO$2:$AO$1046,0),COLUMN()),"")</f>
        <v>0</v>
      </c>
      <c r="L290">
        <f>IFERROR(INDEX(装备库!$A$2:$Y$1047,MATCH(ROW()-1,装备库!$AO$2:$AO$1046,0),COLUMN()),"")</f>
        <v>3201</v>
      </c>
      <c r="M290">
        <f>IFERROR(INDEX(装备库!$A$2:$Y$1047,MATCH(ROW()-1,装备库!$AO$2:$AO$1046,0),COLUMN()),"")</f>
        <v>0</v>
      </c>
      <c r="N290">
        <f>IFERROR(INDEX(装备库!$A$2:$Y$1047,MATCH(ROW()-1,装备库!$AO$2:$AO$1046,0),COLUMN()),"")</f>
        <v>0</v>
      </c>
      <c r="O290">
        <f>IFERROR(INDEX(装备库!$A$2:$Y$1047,MATCH(ROW()-1,装备库!$AO$2:$AO$1046,0),COLUMN()),"")</f>
        <v>1</v>
      </c>
      <c r="P290">
        <f>IFERROR(INDEX(装备库!$A$2:$Y$1047,MATCH(ROW()-1,装备库!$AO$2:$AO$1046,0),COLUMN()),"")</f>
        <v>0</v>
      </c>
      <c r="Q290">
        <f>IFERROR(INDEX(装备库!$A$2:$Y$1047,MATCH(ROW()-1,装备库!$AO$2:$AO$1046,0),COLUMN()),"")</f>
        <v>0</v>
      </c>
      <c r="R290">
        <f>IFERROR(INDEX(装备库!$A$2:$Y$1047,MATCH(ROW()-1,装备库!$AO$2:$AO$1046,0),COLUMN()),"")</f>
        <v>0</v>
      </c>
      <c r="S290">
        <f>IFERROR(INDEX(装备库!$A$2:$Y$1047,MATCH(ROW()-1,装备库!$AO$2:$AO$1046,0),COLUMN()),"")</f>
        <v>1</v>
      </c>
      <c r="T290">
        <f>IFERROR(INDEX(装备库!$A$2:$Y$1047,MATCH(ROW()-1,装备库!$AO$2:$AO$1046,0),COLUMN()),"")</f>
        <v>0</v>
      </c>
      <c r="U290">
        <f>IFERROR(INDEX(装备库!$A$2:$Y$1047,MATCH(ROW()-1,装备库!$AO$2:$AO$1046,0),COLUMN()),"")</f>
        <v>0</v>
      </c>
      <c r="V290">
        <f>IFERROR(INDEX(装备库!$A$2:$Y$1047,MATCH(ROW()-1,装备库!$AO$2:$AO$1046,0),COLUMN()),"")</f>
        <v>0</v>
      </c>
      <c r="W290" t="str">
        <f>IFERROR(INDEX(装备库!$A$2:$Y$1047,MATCH(ROW()-1,装备库!$AO$2:$AO$1046,0),COLUMN()),"")</f>
        <v>速招</v>
      </c>
      <c r="X290">
        <f>IFERROR(INDEX(装备库!$A$2:$Y$1047,MATCH(ROW()-1,装备库!$AO$2:$AO$1046,0),COLUMN()),"")</f>
        <v>6</v>
      </c>
      <c r="Y290" t="str">
        <f>IFERROR(INDEX(装备库!$A$2:$Y$1047,MATCH(ROW()-1,装备库!$AO$2:$AO$1046,0),COLUMN()),"")</f>
        <v>副本</v>
      </c>
    </row>
    <row r="291" spans="1:25" x14ac:dyDescent="0.35">
      <c r="A291" t="str">
        <f>IFERROR(INDEX(装备库!$A$2:$Y$1047,MATCH(ROW()-1,装备库!$AO$2:$AO$1046,0),COLUMN()),"")</f>
        <v>帽子</v>
      </c>
      <c r="B291" t="str">
        <f>IFERROR(INDEX(装备库!$A$2:$Y$1047,MATCH(ROW()-1,装备库!$AO$2:$AO$1046,0),COLUMN()),"")</f>
        <v>客行江湖·近楼冠</v>
      </c>
      <c r="C291">
        <f>IFERROR(INDEX(装备库!$A$2:$Y$1047,MATCH(ROW()-1,装备库!$AO$2:$AO$1046,0),COLUMN()),"")</f>
        <v>10150</v>
      </c>
      <c r="D291" t="str">
        <f>IFERROR(INDEX(装备库!$A$2:$Y$1047,MATCH(ROW()-1,装备库!$AO$2:$AO$1046,0),COLUMN()),"")</f>
        <v>客行江湖·近楼冠(10150会招)</v>
      </c>
      <c r="E291">
        <f>IFERROR(INDEX(装备库!$A$2:$Y$1047,MATCH(ROW()-1,装备库!$AO$2:$AO$1046,0),COLUMN()),"")</f>
        <v>638</v>
      </c>
      <c r="F291">
        <f>IFERROR(INDEX(装备库!$A$2:$Y$1047,MATCH(ROW()-1,装备库!$AO$2:$AO$1046,0),COLUMN()),"")</f>
        <v>1035</v>
      </c>
      <c r="G291">
        <f>IFERROR(INDEX(装备库!$A$2:$Y$1047,MATCH(ROW()-1,装备库!$AO$2:$AO$1046,0),COLUMN()),"")</f>
        <v>3201</v>
      </c>
      <c r="H291">
        <f>IFERROR(INDEX(装备库!$A$2:$Y$1047,MATCH(ROW()-1,装备库!$AO$2:$AO$1046,0),COLUMN()),"")</f>
        <v>0</v>
      </c>
      <c r="I291">
        <f>IFERROR(INDEX(装备库!$A$2:$Y$1047,MATCH(ROW()-1,装备库!$AO$2:$AO$1046,0),COLUMN()),"")</f>
        <v>0</v>
      </c>
      <c r="J291">
        <f>IFERROR(INDEX(装备库!$A$2:$Y$1047,MATCH(ROW()-1,装备库!$AO$2:$AO$1046,0),COLUMN()),"")</f>
        <v>2845</v>
      </c>
      <c r="K291">
        <f>IFERROR(INDEX(装备库!$A$2:$Y$1047,MATCH(ROW()-1,装备库!$AO$2:$AO$1046,0),COLUMN()),"")</f>
        <v>0</v>
      </c>
      <c r="L291">
        <f>IFERROR(INDEX(装备库!$A$2:$Y$1047,MATCH(ROW()-1,装备库!$AO$2:$AO$1046,0),COLUMN()),"")</f>
        <v>0</v>
      </c>
      <c r="M291">
        <f>IFERROR(INDEX(装备库!$A$2:$Y$1047,MATCH(ROW()-1,装备库!$AO$2:$AO$1046,0),COLUMN()),"")</f>
        <v>0</v>
      </c>
      <c r="N291">
        <f>IFERROR(INDEX(装备库!$A$2:$Y$1047,MATCH(ROW()-1,装备库!$AO$2:$AO$1046,0),COLUMN()),"")</f>
        <v>0</v>
      </c>
      <c r="O291">
        <f>IFERROR(INDEX(装备库!$A$2:$Y$1047,MATCH(ROW()-1,装备库!$AO$2:$AO$1046,0),COLUMN()),"")</f>
        <v>0</v>
      </c>
      <c r="P291">
        <f>IFERROR(INDEX(装备库!$A$2:$Y$1047,MATCH(ROW()-1,装备库!$AO$2:$AO$1046,0),COLUMN()),"")</f>
        <v>1</v>
      </c>
      <c r="Q291">
        <f>IFERROR(INDEX(装备库!$A$2:$Y$1047,MATCH(ROW()-1,装备库!$AO$2:$AO$1046,0),COLUMN()),"")</f>
        <v>0</v>
      </c>
      <c r="R291">
        <f>IFERROR(INDEX(装备库!$A$2:$Y$1047,MATCH(ROW()-1,装备库!$AO$2:$AO$1046,0),COLUMN()),"")</f>
        <v>0</v>
      </c>
      <c r="S291">
        <f>IFERROR(INDEX(装备库!$A$2:$Y$1047,MATCH(ROW()-1,装备库!$AO$2:$AO$1046,0),COLUMN()),"")</f>
        <v>1</v>
      </c>
      <c r="T291">
        <f>IFERROR(INDEX(装备库!$A$2:$Y$1047,MATCH(ROW()-1,装备库!$AO$2:$AO$1046,0),COLUMN()),"")</f>
        <v>0</v>
      </c>
      <c r="U291">
        <f>IFERROR(INDEX(装备库!$A$2:$Y$1047,MATCH(ROW()-1,装备库!$AO$2:$AO$1046,0),COLUMN()),"")</f>
        <v>0</v>
      </c>
      <c r="V291">
        <f>IFERROR(INDEX(装备库!$A$2:$Y$1047,MATCH(ROW()-1,装备库!$AO$2:$AO$1046,0),COLUMN()),"")</f>
        <v>0</v>
      </c>
      <c r="W291" t="str">
        <f>IFERROR(INDEX(装备库!$A$2:$Y$1047,MATCH(ROW()-1,装备库!$AO$2:$AO$1046,0),COLUMN()),"")</f>
        <v>会招</v>
      </c>
      <c r="X291">
        <f>IFERROR(INDEX(装备库!$A$2:$Y$1047,MATCH(ROW()-1,装备库!$AO$2:$AO$1046,0),COLUMN()),"")</f>
        <v>6</v>
      </c>
      <c r="Y291" t="str">
        <f>IFERROR(INDEX(装备库!$A$2:$Y$1047,MATCH(ROW()-1,装备库!$AO$2:$AO$1046,0),COLUMN()),"")</f>
        <v>浪客笺</v>
      </c>
    </row>
    <row r="292" spans="1:25" x14ac:dyDescent="0.35">
      <c r="A292" t="str">
        <f>IFERROR(INDEX(装备库!$A$2:$Y$1047,MATCH(ROW()-1,装备库!$AO$2:$AO$1046,0),COLUMN()),"")</f>
        <v>帽子</v>
      </c>
      <c r="B292" t="str">
        <f>IFERROR(INDEX(装备库!$A$2:$Y$1047,MATCH(ROW()-1,装备库!$AO$2:$AO$1046,0),COLUMN()),"")</f>
        <v>玄卢冠</v>
      </c>
      <c r="C292">
        <f>IFERROR(INDEX(装备库!$A$2:$Y$1047,MATCH(ROW()-1,装备库!$AO$2:$AO$1046,0),COLUMN()),"")</f>
        <v>10150</v>
      </c>
      <c r="D292" t="str">
        <f>IFERROR(INDEX(装备库!$A$2:$Y$1047,MATCH(ROW()-1,装备库!$AO$2:$AO$1046,0),COLUMN()),"")</f>
        <v>玄卢冠(10150会无)</v>
      </c>
      <c r="E292">
        <f>IFERROR(INDEX(装备库!$A$2:$Y$1047,MATCH(ROW()-1,装备库!$AO$2:$AO$1046,0),COLUMN()),"")</f>
        <v>638</v>
      </c>
      <c r="F292">
        <f>IFERROR(INDEX(装备库!$A$2:$Y$1047,MATCH(ROW()-1,装备库!$AO$2:$AO$1046,0),COLUMN()),"")</f>
        <v>1035</v>
      </c>
      <c r="G292">
        <f>IFERROR(INDEX(装备库!$A$2:$Y$1047,MATCH(ROW()-1,装备库!$AO$2:$AO$1046,0),COLUMN()),"")</f>
        <v>3201</v>
      </c>
      <c r="H292">
        <f>IFERROR(INDEX(装备库!$A$2:$Y$1047,MATCH(ROW()-1,装备库!$AO$2:$AO$1046,0),COLUMN()),"")</f>
        <v>0</v>
      </c>
      <c r="I292">
        <f>IFERROR(INDEX(装备库!$A$2:$Y$1047,MATCH(ROW()-1,装备库!$AO$2:$AO$1046,0),COLUMN()),"")</f>
        <v>0</v>
      </c>
      <c r="J292">
        <f>IFERROR(INDEX(装备库!$A$2:$Y$1047,MATCH(ROW()-1,装备库!$AO$2:$AO$1046,0),COLUMN()),"")</f>
        <v>0</v>
      </c>
      <c r="K292">
        <f>IFERROR(INDEX(装备库!$A$2:$Y$1047,MATCH(ROW()-1,装备库!$AO$2:$AO$1046,0),COLUMN()),"")</f>
        <v>2845</v>
      </c>
      <c r="L292">
        <f>IFERROR(INDEX(装备库!$A$2:$Y$1047,MATCH(ROW()-1,装备库!$AO$2:$AO$1046,0),COLUMN()),"")</f>
        <v>0</v>
      </c>
      <c r="M292">
        <f>IFERROR(INDEX(装备库!$A$2:$Y$1047,MATCH(ROW()-1,装备库!$AO$2:$AO$1046,0),COLUMN()),"")</f>
        <v>0</v>
      </c>
      <c r="N292">
        <f>IFERROR(INDEX(装备库!$A$2:$Y$1047,MATCH(ROW()-1,装备库!$AO$2:$AO$1046,0),COLUMN()),"")</f>
        <v>0</v>
      </c>
      <c r="O292">
        <f>IFERROR(INDEX(装备库!$A$2:$Y$1047,MATCH(ROW()-1,装备库!$AO$2:$AO$1046,0),COLUMN()),"")</f>
        <v>0</v>
      </c>
      <c r="P292">
        <f>IFERROR(INDEX(装备库!$A$2:$Y$1047,MATCH(ROW()-1,装备库!$AO$2:$AO$1046,0),COLUMN()),"")</f>
        <v>0</v>
      </c>
      <c r="Q292">
        <f>IFERROR(INDEX(装备库!$A$2:$Y$1047,MATCH(ROW()-1,装备库!$AO$2:$AO$1046,0),COLUMN()),"")</f>
        <v>0</v>
      </c>
      <c r="R292">
        <f>IFERROR(INDEX(装备库!$A$2:$Y$1047,MATCH(ROW()-1,装备库!$AO$2:$AO$1046,0),COLUMN()),"")</f>
        <v>0</v>
      </c>
      <c r="S292">
        <f>IFERROR(INDEX(装备库!$A$2:$Y$1047,MATCH(ROW()-1,装备库!$AO$2:$AO$1046,0),COLUMN()),"")</f>
        <v>1</v>
      </c>
      <c r="T292">
        <f>IFERROR(INDEX(装备库!$A$2:$Y$1047,MATCH(ROW()-1,装备库!$AO$2:$AO$1046,0),COLUMN()),"")</f>
        <v>0</v>
      </c>
      <c r="U292">
        <f>IFERROR(INDEX(装备库!$A$2:$Y$1047,MATCH(ROW()-1,装备库!$AO$2:$AO$1046,0),COLUMN()),"")</f>
        <v>1</v>
      </c>
      <c r="V292">
        <f>IFERROR(INDEX(装备库!$A$2:$Y$1047,MATCH(ROW()-1,装备库!$AO$2:$AO$1046,0),COLUMN()),"")</f>
        <v>0</v>
      </c>
      <c r="W292" t="str">
        <f>IFERROR(INDEX(装备库!$A$2:$Y$1047,MATCH(ROW()-1,装备库!$AO$2:$AO$1046,0),COLUMN()),"")</f>
        <v>会无</v>
      </c>
      <c r="X292">
        <f>IFERROR(INDEX(装备库!$A$2:$Y$1047,MATCH(ROW()-1,装备库!$AO$2:$AO$1046,0),COLUMN()),"")</f>
        <v>6</v>
      </c>
      <c r="Y292" t="str">
        <f>IFERROR(INDEX(装备库!$A$2:$Y$1047,MATCH(ROW()-1,装备库!$AO$2:$AO$1046,0),COLUMN()),"")</f>
        <v>副本</v>
      </c>
    </row>
    <row r="293" spans="1:25" x14ac:dyDescent="0.35">
      <c r="A293" t="str">
        <f>IFERROR(INDEX(装备库!$A$2:$Y$1047,MATCH(ROW()-1,装备库!$AO$2:$AO$1046,0),COLUMN()),"")</f>
        <v>帽子</v>
      </c>
      <c r="B293" t="str">
        <f>IFERROR(INDEX(装备库!$A$2:$Y$1047,MATCH(ROW()-1,装备库!$AO$2:$AO$1046,0),COLUMN()),"")</f>
        <v>无封头饰</v>
      </c>
      <c r="C293">
        <f>IFERROR(INDEX(装备库!$A$2:$Y$1047,MATCH(ROW()-1,装备库!$AO$2:$AO$1046,0),COLUMN()),"")</f>
        <v>10300</v>
      </c>
      <c r="D293" t="str">
        <f>IFERROR(INDEX(装备库!$A$2:$Y$1047,MATCH(ROW()-1,装备库!$AO$2:$AO$1046,0),COLUMN()),"")</f>
        <v>无封头饰(10300精简攻会招)</v>
      </c>
      <c r="E293">
        <f>IFERROR(INDEX(装备库!$A$2:$Y$1047,MATCH(ROW()-1,装备库!$AO$2:$AO$1046,0),COLUMN()),"")</f>
        <v>0</v>
      </c>
      <c r="F293">
        <f>IFERROR(INDEX(装备库!$A$2:$Y$1047,MATCH(ROW()-1,装备库!$AO$2:$AO$1046,0),COLUMN()),"")</f>
        <v>2342</v>
      </c>
      <c r="G293">
        <f>IFERROR(INDEX(装备库!$A$2:$Y$1047,MATCH(ROW()-1,装备库!$AO$2:$AO$1046,0),COLUMN()),"")</f>
        <v>3609</v>
      </c>
      <c r="H293">
        <f>IFERROR(INDEX(装备库!$A$2:$Y$1047,MATCH(ROW()-1,装备库!$AO$2:$AO$1046,0),COLUMN()),"")</f>
        <v>0</v>
      </c>
      <c r="I293">
        <f>IFERROR(INDEX(装备库!$A$2:$Y$1047,MATCH(ROW()-1,装备库!$AO$2:$AO$1046,0),COLUMN()),"")</f>
        <v>0</v>
      </c>
      <c r="J293">
        <f>IFERROR(INDEX(装备库!$A$2:$Y$1047,MATCH(ROW()-1,装备库!$AO$2:$AO$1046,0),COLUMN()),"")</f>
        <v>3609</v>
      </c>
      <c r="K293">
        <f>IFERROR(INDEX(装备库!$A$2:$Y$1047,MATCH(ROW()-1,装备库!$AO$2:$AO$1046,0),COLUMN()),"")</f>
        <v>0</v>
      </c>
      <c r="L293">
        <f>IFERROR(INDEX(装备库!$A$2:$Y$1047,MATCH(ROW()-1,装备库!$AO$2:$AO$1046,0),COLUMN()),"")</f>
        <v>0</v>
      </c>
      <c r="M293">
        <f>IFERROR(INDEX(装备库!$A$2:$Y$1047,MATCH(ROW()-1,装备库!$AO$2:$AO$1046,0),COLUMN()),"")</f>
        <v>0</v>
      </c>
      <c r="N293">
        <f>IFERROR(INDEX(装备库!$A$2:$Y$1047,MATCH(ROW()-1,装备库!$AO$2:$AO$1046,0),COLUMN()),"")</f>
        <v>0</v>
      </c>
      <c r="O293">
        <f>IFERROR(INDEX(装备库!$A$2:$Y$1047,MATCH(ROW()-1,装备库!$AO$2:$AO$1046,0),COLUMN()),"")</f>
        <v>0</v>
      </c>
      <c r="P293">
        <f>IFERROR(INDEX(装备库!$A$2:$Y$1047,MATCH(ROW()-1,装备库!$AO$2:$AO$1046,0),COLUMN()),"")</f>
        <v>0</v>
      </c>
      <c r="Q293">
        <f>IFERROR(INDEX(装备库!$A$2:$Y$1047,MATCH(ROW()-1,装备库!$AO$2:$AO$1046,0),COLUMN()),"")</f>
        <v>0</v>
      </c>
      <c r="R293">
        <f>IFERROR(INDEX(装备库!$A$2:$Y$1047,MATCH(ROW()-1,装备库!$AO$2:$AO$1046,0),COLUMN()),"")</f>
        <v>1</v>
      </c>
      <c r="S293">
        <f>IFERROR(INDEX(装备库!$A$2:$Y$1047,MATCH(ROW()-1,装备库!$AO$2:$AO$1046,0),COLUMN()),"")</f>
        <v>0</v>
      </c>
      <c r="T293">
        <f>IFERROR(INDEX(装备库!$A$2:$Y$1047,MATCH(ROW()-1,装备库!$AO$2:$AO$1046,0),COLUMN()),"")</f>
        <v>1</v>
      </c>
      <c r="U293">
        <f>IFERROR(INDEX(装备库!$A$2:$Y$1047,MATCH(ROW()-1,装备库!$AO$2:$AO$1046,0),COLUMN()),"")</f>
        <v>0</v>
      </c>
      <c r="V293">
        <f>IFERROR(INDEX(装备库!$A$2:$Y$1047,MATCH(ROW()-1,装备库!$AO$2:$AO$1046,0),COLUMN()),"")</f>
        <v>0</v>
      </c>
      <c r="W293" t="str">
        <f>IFERROR(INDEX(装备库!$A$2:$Y$1047,MATCH(ROW()-1,装备库!$AO$2:$AO$1046,0),COLUMN()),"")</f>
        <v>精简攻会招</v>
      </c>
      <c r="X293">
        <f>IFERROR(INDEX(装备库!$A$2:$Y$1047,MATCH(ROW()-1,装备库!$AO$2:$AO$1046,0),COLUMN()),"")</f>
        <v>3</v>
      </c>
      <c r="Y293" t="str">
        <f>IFERROR(INDEX(装备库!$A$2:$Y$1047,MATCH(ROW()-1,装备库!$AO$2:$AO$1046,0),COLUMN()),"")</f>
        <v>活动</v>
      </c>
    </row>
    <row r="294" spans="1:25" x14ac:dyDescent="0.35">
      <c r="A294" t="str">
        <f>IFERROR(INDEX(装备库!$A$2:$Y$1047,MATCH(ROW()-1,装备库!$AO$2:$AO$1046,0),COLUMN()),"")</f>
        <v>帽子</v>
      </c>
      <c r="B294" t="str">
        <f>IFERROR(INDEX(装备库!$A$2:$Y$1047,MATCH(ROW()-1,装备库!$AO$2:$AO$1046,0),COLUMN()),"")</f>
        <v>无封头饰</v>
      </c>
      <c r="C294">
        <f>IFERROR(INDEX(装备库!$A$2:$Y$1047,MATCH(ROW()-1,装备库!$AO$2:$AO$1046,0),COLUMN()),"")</f>
        <v>10300</v>
      </c>
      <c r="D294" t="str">
        <f>IFERROR(INDEX(装备库!$A$2:$Y$1047,MATCH(ROW()-1,装备库!$AO$2:$AO$1046,0),COLUMN()),"")</f>
        <v>无封头饰(10300精简攻会破无)</v>
      </c>
      <c r="E294">
        <f>IFERROR(INDEX(装备库!$A$2:$Y$1047,MATCH(ROW()-1,装备库!$AO$2:$AO$1046,0),COLUMN()),"")</f>
        <v>0</v>
      </c>
      <c r="F294">
        <f>IFERROR(INDEX(装备库!$A$2:$Y$1047,MATCH(ROW()-1,装备库!$AO$2:$AO$1046,0),COLUMN()),"")</f>
        <v>2342</v>
      </c>
      <c r="G294">
        <f>IFERROR(INDEX(装备库!$A$2:$Y$1047,MATCH(ROW()-1,装备库!$AO$2:$AO$1046,0),COLUMN()),"")</f>
        <v>2887</v>
      </c>
      <c r="H294">
        <f>IFERROR(INDEX(装备库!$A$2:$Y$1047,MATCH(ROW()-1,装备库!$AO$2:$AO$1046,0),COLUMN()),"")</f>
        <v>0</v>
      </c>
      <c r="I294">
        <f>IFERROR(INDEX(装备库!$A$2:$Y$1047,MATCH(ROW()-1,装备库!$AO$2:$AO$1046,0),COLUMN()),"")</f>
        <v>2526</v>
      </c>
      <c r="J294">
        <f>IFERROR(INDEX(装备库!$A$2:$Y$1047,MATCH(ROW()-1,装备库!$AO$2:$AO$1046,0),COLUMN()),"")</f>
        <v>0</v>
      </c>
      <c r="K294">
        <f>IFERROR(INDEX(装备库!$A$2:$Y$1047,MATCH(ROW()-1,装备库!$AO$2:$AO$1046,0),COLUMN()),"")</f>
        <v>1804</v>
      </c>
      <c r="L294">
        <f>IFERROR(INDEX(装备库!$A$2:$Y$1047,MATCH(ROW()-1,装备库!$AO$2:$AO$1046,0),COLUMN()),"")</f>
        <v>0</v>
      </c>
      <c r="M294">
        <f>IFERROR(INDEX(装备库!$A$2:$Y$1047,MATCH(ROW()-1,装备库!$AO$2:$AO$1046,0),COLUMN()),"")</f>
        <v>0</v>
      </c>
      <c r="N294">
        <f>IFERROR(INDEX(装备库!$A$2:$Y$1047,MATCH(ROW()-1,装备库!$AO$2:$AO$1046,0),COLUMN()),"")</f>
        <v>0</v>
      </c>
      <c r="O294">
        <f>IFERROR(INDEX(装备库!$A$2:$Y$1047,MATCH(ROW()-1,装备库!$AO$2:$AO$1046,0),COLUMN()),"")</f>
        <v>0</v>
      </c>
      <c r="P294">
        <f>IFERROR(INDEX(装备库!$A$2:$Y$1047,MATCH(ROW()-1,装备库!$AO$2:$AO$1046,0),COLUMN()),"")</f>
        <v>1</v>
      </c>
      <c r="Q294">
        <f>IFERROR(INDEX(装备库!$A$2:$Y$1047,MATCH(ROW()-1,装备库!$AO$2:$AO$1046,0),COLUMN()),"")</f>
        <v>0</v>
      </c>
      <c r="R294">
        <f>IFERROR(INDEX(装备库!$A$2:$Y$1047,MATCH(ROW()-1,装备库!$AO$2:$AO$1046,0),COLUMN()),"")</f>
        <v>1</v>
      </c>
      <c r="S294">
        <f>IFERROR(INDEX(装备库!$A$2:$Y$1047,MATCH(ROW()-1,装备库!$AO$2:$AO$1046,0),COLUMN()),"")</f>
        <v>0</v>
      </c>
      <c r="T294">
        <f>IFERROR(INDEX(装备库!$A$2:$Y$1047,MATCH(ROW()-1,装备库!$AO$2:$AO$1046,0),COLUMN()),"")</f>
        <v>0</v>
      </c>
      <c r="U294">
        <f>IFERROR(INDEX(装备库!$A$2:$Y$1047,MATCH(ROW()-1,装备库!$AO$2:$AO$1046,0),COLUMN()),"")</f>
        <v>0</v>
      </c>
      <c r="V294">
        <f>IFERROR(INDEX(装备库!$A$2:$Y$1047,MATCH(ROW()-1,装备库!$AO$2:$AO$1046,0),COLUMN()),"")</f>
        <v>0</v>
      </c>
      <c r="W294" t="str">
        <f>IFERROR(INDEX(装备库!$A$2:$Y$1047,MATCH(ROW()-1,装备库!$AO$2:$AO$1046,0),COLUMN()),"")</f>
        <v>精简攻会破无</v>
      </c>
      <c r="X294">
        <f>IFERROR(INDEX(装备库!$A$2:$Y$1047,MATCH(ROW()-1,装备库!$AO$2:$AO$1046,0),COLUMN()),"")</f>
        <v>3</v>
      </c>
      <c r="Y294" t="str">
        <f>IFERROR(INDEX(装备库!$A$2:$Y$1047,MATCH(ROW()-1,装备库!$AO$2:$AO$1046,0),COLUMN()),"")</f>
        <v>活动</v>
      </c>
    </row>
    <row r="295" spans="1:25" x14ac:dyDescent="0.35">
      <c r="A295" t="str">
        <f>IFERROR(INDEX(装备库!$A$2:$Y$1047,MATCH(ROW()-1,装备库!$AO$2:$AO$1046,0),COLUMN()),"")</f>
        <v>帽子</v>
      </c>
      <c r="B295" t="str">
        <f>IFERROR(INDEX(装备库!$A$2:$Y$1047,MATCH(ROW()-1,装备库!$AO$2:$AO$1046,0),COLUMN()),"")</f>
        <v>无封头饰</v>
      </c>
      <c r="C295">
        <f>IFERROR(INDEX(装备库!$A$2:$Y$1047,MATCH(ROW()-1,装备库!$AO$2:$AO$1046,0),COLUMN()),"")</f>
        <v>10300</v>
      </c>
      <c r="D295" t="str">
        <f>IFERROR(INDEX(装备库!$A$2:$Y$1047,MATCH(ROW()-1,装备库!$AO$2:$AO$1046,0),COLUMN()),"")</f>
        <v>无封头饰(10300精简攻会)</v>
      </c>
      <c r="E295">
        <f>IFERROR(INDEX(装备库!$A$2:$Y$1047,MATCH(ROW()-1,装备库!$AO$2:$AO$1046,0),COLUMN()),"")</f>
        <v>0</v>
      </c>
      <c r="F295">
        <f>IFERROR(INDEX(装备库!$A$2:$Y$1047,MATCH(ROW()-1,装备库!$AO$2:$AO$1046,0),COLUMN()),"")</f>
        <v>2746</v>
      </c>
      <c r="G295">
        <f>IFERROR(INDEX(装备库!$A$2:$Y$1047,MATCH(ROW()-1,装备库!$AO$2:$AO$1046,0),COLUMN()),"")</f>
        <v>6225</v>
      </c>
      <c r="H295">
        <f>IFERROR(INDEX(装备库!$A$2:$Y$1047,MATCH(ROW()-1,装备库!$AO$2:$AO$1046,0),COLUMN()),"")</f>
        <v>0</v>
      </c>
      <c r="I295">
        <f>IFERROR(INDEX(装备库!$A$2:$Y$1047,MATCH(ROW()-1,装备库!$AO$2:$AO$1046,0),COLUMN()),"")</f>
        <v>0</v>
      </c>
      <c r="J295">
        <f>IFERROR(INDEX(装备库!$A$2:$Y$1047,MATCH(ROW()-1,装备库!$AO$2:$AO$1046,0),COLUMN()),"")</f>
        <v>0</v>
      </c>
      <c r="K295">
        <f>IFERROR(INDEX(装备库!$A$2:$Y$1047,MATCH(ROW()-1,装备库!$AO$2:$AO$1046,0),COLUMN()),"")</f>
        <v>0</v>
      </c>
      <c r="L295">
        <f>IFERROR(INDEX(装备库!$A$2:$Y$1047,MATCH(ROW()-1,装备库!$AO$2:$AO$1046,0),COLUMN()),"")</f>
        <v>0</v>
      </c>
      <c r="M295">
        <f>IFERROR(INDEX(装备库!$A$2:$Y$1047,MATCH(ROW()-1,装备库!$AO$2:$AO$1046,0),COLUMN()),"")</f>
        <v>0</v>
      </c>
      <c r="N295">
        <f>IFERROR(INDEX(装备库!$A$2:$Y$1047,MATCH(ROW()-1,装备库!$AO$2:$AO$1046,0),COLUMN()),"")</f>
        <v>0</v>
      </c>
      <c r="O295">
        <f>IFERROR(INDEX(装备库!$A$2:$Y$1047,MATCH(ROW()-1,装备库!$AO$2:$AO$1046,0),COLUMN()),"")</f>
        <v>0</v>
      </c>
      <c r="P295">
        <f>IFERROR(INDEX(装备库!$A$2:$Y$1047,MATCH(ROW()-1,装备库!$AO$2:$AO$1046,0),COLUMN()),"")</f>
        <v>0</v>
      </c>
      <c r="Q295">
        <f>IFERROR(INDEX(装备库!$A$2:$Y$1047,MATCH(ROW()-1,装备库!$AO$2:$AO$1046,0),COLUMN()),"")</f>
        <v>1</v>
      </c>
      <c r="R295">
        <f>IFERROR(INDEX(装备库!$A$2:$Y$1047,MATCH(ROW()-1,装备库!$AO$2:$AO$1046,0),COLUMN()),"")</f>
        <v>1</v>
      </c>
      <c r="S295">
        <f>IFERROR(INDEX(装备库!$A$2:$Y$1047,MATCH(ROW()-1,装备库!$AO$2:$AO$1046,0),COLUMN()),"")</f>
        <v>0</v>
      </c>
      <c r="T295">
        <f>IFERROR(INDEX(装备库!$A$2:$Y$1047,MATCH(ROW()-1,装备库!$AO$2:$AO$1046,0),COLUMN()),"")</f>
        <v>0</v>
      </c>
      <c r="U295">
        <f>IFERROR(INDEX(装备库!$A$2:$Y$1047,MATCH(ROW()-1,装备库!$AO$2:$AO$1046,0),COLUMN()),"")</f>
        <v>0</v>
      </c>
      <c r="V295">
        <f>IFERROR(INDEX(装备库!$A$2:$Y$1047,MATCH(ROW()-1,装备库!$AO$2:$AO$1046,0),COLUMN()),"")</f>
        <v>0</v>
      </c>
      <c r="W295" t="str">
        <f>IFERROR(INDEX(装备库!$A$2:$Y$1047,MATCH(ROW()-1,装备库!$AO$2:$AO$1046,0),COLUMN()),"")</f>
        <v>精简攻会</v>
      </c>
      <c r="X295">
        <f>IFERROR(INDEX(装备库!$A$2:$Y$1047,MATCH(ROW()-1,装备库!$AO$2:$AO$1046,0),COLUMN()),"")</f>
        <v>3</v>
      </c>
      <c r="Y295" t="str">
        <f>IFERROR(INDEX(装备库!$A$2:$Y$1047,MATCH(ROW()-1,装备库!$AO$2:$AO$1046,0),COLUMN()),"")</f>
        <v>活动</v>
      </c>
    </row>
    <row r="296" spans="1:25" x14ac:dyDescent="0.35">
      <c r="A296" t="str">
        <f>IFERROR(INDEX(装备库!$A$2:$Y$1047,MATCH(ROW()-1,装备库!$AO$2:$AO$1046,0),COLUMN()),"")</f>
        <v>帽子</v>
      </c>
      <c r="B296" t="str">
        <f>IFERROR(INDEX(装备库!$A$2:$Y$1047,MATCH(ROW()-1,装备库!$AO$2:$AO$1046,0),COLUMN()),"")</f>
        <v>虚韵帽</v>
      </c>
      <c r="C296">
        <f>IFERROR(INDEX(装备库!$A$2:$Y$1047,MATCH(ROW()-1,装备库!$AO$2:$AO$1046,0),COLUMN()),"")</f>
        <v>10400</v>
      </c>
      <c r="D296" t="str">
        <f>IFERROR(INDEX(装备库!$A$2:$Y$1047,MATCH(ROW()-1,装备库!$AO$2:$AO$1046,0),COLUMN()),"")</f>
        <v>虚韵帽(10400招破)</v>
      </c>
      <c r="E296">
        <f>IFERROR(INDEX(装备库!$A$2:$Y$1047,MATCH(ROW()-1,装备库!$AO$2:$AO$1046,0),COLUMN()),"")</f>
        <v>654</v>
      </c>
      <c r="F296">
        <f>IFERROR(INDEX(装备库!$A$2:$Y$1047,MATCH(ROW()-1,装备库!$AO$2:$AO$1046,0),COLUMN()),"")</f>
        <v>1060</v>
      </c>
      <c r="G296">
        <f>IFERROR(INDEX(装备库!$A$2:$Y$1047,MATCH(ROW()-1,装备库!$AO$2:$AO$1046,0),COLUMN()),"")</f>
        <v>0</v>
      </c>
      <c r="H296">
        <f>IFERROR(INDEX(装备库!$A$2:$Y$1047,MATCH(ROW()-1,装备库!$AO$2:$AO$1046,0),COLUMN()),"")</f>
        <v>0</v>
      </c>
      <c r="I296">
        <f>IFERROR(INDEX(装备库!$A$2:$Y$1047,MATCH(ROW()-1,装备库!$AO$2:$AO$1046,0),COLUMN()),"")</f>
        <v>3279</v>
      </c>
      <c r="J296">
        <f>IFERROR(INDEX(装备库!$A$2:$Y$1047,MATCH(ROW()-1,装备库!$AO$2:$AO$1046,0),COLUMN()),"")</f>
        <v>2915</v>
      </c>
      <c r="K296">
        <f>IFERROR(INDEX(装备库!$A$2:$Y$1047,MATCH(ROW()-1,装备库!$AO$2:$AO$1046,0),COLUMN()),"")</f>
        <v>0</v>
      </c>
      <c r="L296">
        <f>IFERROR(INDEX(装备库!$A$2:$Y$1047,MATCH(ROW()-1,装备库!$AO$2:$AO$1046,0),COLUMN()),"")</f>
        <v>0</v>
      </c>
      <c r="M296">
        <f>IFERROR(INDEX(装备库!$A$2:$Y$1047,MATCH(ROW()-1,装备库!$AO$2:$AO$1046,0),COLUMN()),"")</f>
        <v>0</v>
      </c>
      <c r="N296">
        <f>IFERROR(INDEX(装备库!$A$2:$Y$1047,MATCH(ROW()-1,装备库!$AO$2:$AO$1046,0),COLUMN()),"")</f>
        <v>0</v>
      </c>
      <c r="O296">
        <f>IFERROR(INDEX(装备库!$A$2:$Y$1047,MATCH(ROW()-1,装备库!$AO$2:$AO$1046,0),COLUMN()),"")</f>
        <v>1</v>
      </c>
      <c r="P296">
        <f>IFERROR(INDEX(装备库!$A$2:$Y$1047,MATCH(ROW()-1,装备库!$AO$2:$AO$1046,0),COLUMN()),"")</f>
        <v>1</v>
      </c>
      <c r="Q296">
        <f>IFERROR(INDEX(装备库!$A$2:$Y$1047,MATCH(ROW()-1,装备库!$AO$2:$AO$1046,0),COLUMN()),"")</f>
        <v>0</v>
      </c>
      <c r="R296">
        <f>IFERROR(INDEX(装备库!$A$2:$Y$1047,MATCH(ROW()-1,装备库!$AO$2:$AO$1046,0),COLUMN()),"")</f>
        <v>0</v>
      </c>
      <c r="S296">
        <f>IFERROR(INDEX(装备库!$A$2:$Y$1047,MATCH(ROW()-1,装备库!$AO$2:$AO$1046,0),COLUMN()),"")</f>
        <v>0</v>
      </c>
      <c r="T296">
        <f>IFERROR(INDEX(装备库!$A$2:$Y$1047,MATCH(ROW()-1,装备库!$AO$2:$AO$1046,0),COLUMN()),"")</f>
        <v>0</v>
      </c>
      <c r="U296">
        <f>IFERROR(INDEX(装备库!$A$2:$Y$1047,MATCH(ROW()-1,装备库!$AO$2:$AO$1046,0),COLUMN()),"")</f>
        <v>0</v>
      </c>
      <c r="V296">
        <f>IFERROR(INDEX(装备库!$A$2:$Y$1047,MATCH(ROW()-1,装备库!$AO$2:$AO$1046,0),COLUMN()),"")</f>
        <v>0</v>
      </c>
      <c r="W296" t="str">
        <f>IFERROR(INDEX(装备库!$A$2:$Y$1047,MATCH(ROW()-1,装备库!$AO$2:$AO$1046,0),COLUMN()),"")</f>
        <v>招破</v>
      </c>
      <c r="X296">
        <f>IFERROR(INDEX(装备库!$A$2:$Y$1047,MATCH(ROW()-1,装备库!$AO$2:$AO$1046,0),COLUMN()),"")</f>
        <v>6</v>
      </c>
      <c r="Y296" t="str">
        <f>IFERROR(INDEX(装备库!$A$2:$Y$1047,MATCH(ROW()-1,装备库!$AO$2:$AO$1046,0),COLUMN()),"")</f>
        <v>侠义值</v>
      </c>
    </row>
    <row r="297" spans="1:25" x14ac:dyDescent="0.35">
      <c r="A297" t="str">
        <f>IFERROR(INDEX(装备库!$A$2:$Y$1047,MATCH(ROW()-1,装备库!$AO$2:$AO$1046,0),COLUMN()),"")</f>
        <v>帽子</v>
      </c>
      <c r="B297" t="str">
        <f>IFERROR(INDEX(装备库!$A$2:$Y$1047,MATCH(ROW()-1,装备库!$AO$2:$AO$1046,0),COLUMN()),"")</f>
        <v>无封头饰</v>
      </c>
      <c r="C297">
        <f>IFERROR(INDEX(装备库!$A$2:$Y$1047,MATCH(ROW()-1,装备库!$AO$2:$AO$1046,0),COLUMN()),"")</f>
        <v>10600</v>
      </c>
      <c r="D297" t="str">
        <f>IFERROR(INDEX(装备库!$A$2:$Y$1047,MATCH(ROW()-1,装备库!$AO$2:$AO$1046,0),COLUMN()),"")</f>
        <v>无封头饰(10600精简攻破)</v>
      </c>
      <c r="E297">
        <f>IFERROR(INDEX(装备库!$A$2:$Y$1047,MATCH(ROW()-1,装备库!$AO$2:$AO$1046,0),COLUMN()),"")</f>
        <v>0</v>
      </c>
      <c r="F297">
        <f>IFERROR(INDEX(装备库!$A$2:$Y$1047,MATCH(ROW()-1,装备库!$AO$2:$AO$1046,0),COLUMN()),"")</f>
        <v>2826</v>
      </c>
      <c r="G297">
        <f>IFERROR(INDEX(装备库!$A$2:$Y$1047,MATCH(ROW()-1,装备库!$AO$2:$AO$1046,0),COLUMN()),"")</f>
        <v>0</v>
      </c>
      <c r="H297">
        <f>IFERROR(INDEX(装备库!$A$2:$Y$1047,MATCH(ROW()-1,装备库!$AO$2:$AO$1046,0),COLUMN()),"")</f>
        <v>0</v>
      </c>
      <c r="I297">
        <f>IFERROR(INDEX(装备库!$A$2:$Y$1047,MATCH(ROW()-1,装备库!$AO$2:$AO$1046,0),COLUMN()),"")</f>
        <v>6406</v>
      </c>
      <c r="J297">
        <f>IFERROR(INDEX(装备库!$A$2:$Y$1047,MATCH(ROW()-1,装备库!$AO$2:$AO$1046,0),COLUMN()),"")</f>
        <v>0</v>
      </c>
      <c r="K297">
        <f>IFERROR(INDEX(装备库!$A$2:$Y$1047,MATCH(ROW()-1,装备库!$AO$2:$AO$1046,0),COLUMN()),"")</f>
        <v>0</v>
      </c>
      <c r="L297">
        <f>IFERROR(INDEX(装备库!$A$2:$Y$1047,MATCH(ROW()-1,装备库!$AO$2:$AO$1046,0),COLUMN()),"")</f>
        <v>0</v>
      </c>
      <c r="M297">
        <f>IFERROR(INDEX(装备库!$A$2:$Y$1047,MATCH(ROW()-1,装备库!$AO$2:$AO$1046,0),COLUMN()),"")</f>
        <v>0</v>
      </c>
      <c r="N297">
        <f>IFERROR(INDEX(装备库!$A$2:$Y$1047,MATCH(ROW()-1,装备库!$AO$2:$AO$1046,0),COLUMN()),"")</f>
        <v>0</v>
      </c>
      <c r="O297">
        <f>IFERROR(INDEX(装备库!$A$2:$Y$1047,MATCH(ROW()-1,装备库!$AO$2:$AO$1046,0),COLUMN()),"")</f>
        <v>0</v>
      </c>
      <c r="P297">
        <f>IFERROR(INDEX(装备库!$A$2:$Y$1047,MATCH(ROW()-1,装备库!$AO$2:$AO$1046,0),COLUMN()),"")</f>
        <v>1</v>
      </c>
      <c r="Q297">
        <f>IFERROR(INDEX(装备库!$A$2:$Y$1047,MATCH(ROW()-1,装备库!$AO$2:$AO$1046,0),COLUMN()),"")</f>
        <v>0</v>
      </c>
      <c r="R297">
        <f>IFERROR(INDEX(装备库!$A$2:$Y$1047,MATCH(ROW()-1,装备库!$AO$2:$AO$1046,0),COLUMN()),"")</f>
        <v>0</v>
      </c>
      <c r="S297">
        <f>IFERROR(INDEX(装备库!$A$2:$Y$1047,MATCH(ROW()-1,装备库!$AO$2:$AO$1046,0),COLUMN()),"")</f>
        <v>0</v>
      </c>
      <c r="T297">
        <f>IFERROR(INDEX(装备库!$A$2:$Y$1047,MATCH(ROW()-1,装备库!$AO$2:$AO$1046,0),COLUMN()),"")</f>
        <v>1</v>
      </c>
      <c r="U297">
        <f>IFERROR(INDEX(装备库!$A$2:$Y$1047,MATCH(ROW()-1,装备库!$AO$2:$AO$1046,0),COLUMN()),"")</f>
        <v>0</v>
      </c>
      <c r="V297">
        <f>IFERROR(INDEX(装备库!$A$2:$Y$1047,MATCH(ROW()-1,装备库!$AO$2:$AO$1046,0),COLUMN()),"")</f>
        <v>0</v>
      </c>
      <c r="W297" t="str">
        <f>IFERROR(INDEX(装备库!$A$2:$Y$1047,MATCH(ROW()-1,装备库!$AO$2:$AO$1046,0),COLUMN()),"")</f>
        <v>精简攻破</v>
      </c>
      <c r="X297">
        <f>IFERROR(INDEX(装备库!$A$2:$Y$1047,MATCH(ROW()-1,装备库!$AO$2:$AO$1046,0),COLUMN()),"")</f>
        <v>3</v>
      </c>
      <c r="Y297" t="str">
        <f>IFERROR(INDEX(装备库!$A$2:$Y$1047,MATCH(ROW()-1,装备库!$AO$2:$AO$1046,0),COLUMN()),"")</f>
        <v>活动</v>
      </c>
    </row>
    <row r="298" spans="1:25" x14ac:dyDescent="0.35">
      <c r="A298" t="str">
        <f>IFERROR(INDEX(装备库!$A$2:$Y$1047,MATCH(ROW()-1,装备库!$AO$2:$AO$1046,0),COLUMN()),"")</f>
        <v>帽子</v>
      </c>
      <c r="B298" t="str">
        <f>IFERROR(INDEX(装备库!$A$2:$Y$1047,MATCH(ROW()-1,装备库!$AO$2:$AO$1046,0),COLUMN()),"")</f>
        <v>无封头饰</v>
      </c>
      <c r="C298">
        <f>IFERROR(INDEX(装备库!$A$2:$Y$1047,MATCH(ROW()-1,装备库!$AO$2:$AO$1046,0),COLUMN()),"")</f>
        <v>10600</v>
      </c>
      <c r="D298" t="str">
        <f>IFERROR(INDEX(装备库!$A$2:$Y$1047,MATCH(ROW()-1,装备库!$AO$2:$AO$1046,0),COLUMN()),"")</f>
        <v>无封头饰(10600精简攻会招无)</v>
      </c>
      <c r="E298">
        <f>IFERROR(INDEX(装备库!$A$2:$Y$1047,MATCH(ROW()-1,装备库!$AO$2:$AO$1046,0),COLUMN()),"")</f>
        <v>0</v>
      </c>
      <c r="F298">
        <f>IFERROR(INDEX(装备库!$A$2:$Y$1047,MATCH(ROW()-1,装备库!$AO$2:$AO$1046,0),COLUMN()),"")</f>
        <v>2411</v>
      </c>
      <c r="G298">
        <f>IFERROR(INDEX(装备库!$A$2:$Y$1047,MATCH(ROW()-1,装备库!$AO$2:$AO$1046,0),COLUMN()),"")</f>
        <v>3528</v>
      </c>
      <c r="H298">
        <f>IFERROR(INDEX(装备库!$A$2:$Y$1047,MATCH(ROW()-1,装备库!$AO$2:$AO$1046,0),COLUMN()),"")</f>
        <v>0</v>
      </c>
      <c r="I298">
        <f>IFERROR(INDEX(装备库!$A$2:$Y$1047,MATCH(ROW()-1,装备库!$AO$2:$AO$1046,0),COLUMN()),"")</f>
        <v>0</v>
      </c>
      <c r="J298">
        <f>IFERROR(INDEX(装备库!$A$2:$Y$1047,MATCH(ROW()-1,装备库!$AO$2:$AO$1046,0),COLUMN()),"")</f>
        <v>1857</v>
      </c>
      <c r="K298">
        <f>IFERROR(INDEX(装备库!$A$2:$Y$1047,MATCH(ROW()-1,装备库!$AO$2:$AO$1046,0),COLUMN()),"")</f>
        <v>2043</v>
      </c>
      <c r="L298">
        <f>IFERROR(INDEX(装备库!$A$2:$Y$1047,MATCH(ROW()-1,装备库!$AO$2:$AO$1046,0),COLUMN()),"")</f>
        <v>0</v>
      </c>
      <c r="M298">
        <f>IFERROR(INDEX(装备库!$A$2:$Y$1047,MATCH(ROW()-1,装备库!$AO$2:$AO$1046,0),COLUMN()),"")</f>
        <v>0</v>
      </c>
      <c r="N298">
        <f>IFERROR(INDEX(装备库!$A$2:$Y$1047,MATCH(ROW()-1,装备库!$AO$2:$AO$1046,0),COLUMN()),"")</f>
        <v>0</v>
      </c>
      <c r="O298">
        <f>IFERROR(INDEX(装备库!$A$2:$Y$1047,MATCH(ROW()-1,装备库!$AO$2:$AO$1046,0),COLUMN()),"")</f>
        <v>0</v>
      </c>
      <c r="P298">
        <f>IFERROR(INDEX(装备库!$A$2:$Y$1047,MATCH(ROW()-1,装备库!$AO$2:$AO$1046,0),COLUMN()),"")</f>
        <v>0</v>
      </c>
      <c r="Q298">
        <f>IFERROR(INDEX(装备库!$A$2:$Y$1047,MATCH(ROW()-1,装备库!$AO$2:$AO$1046,0),COLUMN()),"")</f>
        <v>0</v>
      </c>
      <c r="R298">
        <f>IFERROR(INDEX(装备库!$A$2:$Y$1047,MATCH(ROW()-1,装备库!$AO$2:$AO$1046,0),COLUMN()),"")</f>
        <v>0</v>
      </c>
      <c r="S298">
        <f>IFERROR(INDEX(装备库!$A$2:$Y$1047,MATCH(ROW()-1,装备库!$AO$2:$AO$1046,0),COLUMN()),"")</f>
        <v>1</v>
      </c>
      <c r="T298">
        <f>IFERROR(INDEX(装备库!$A$2:$Y$1047,MATCH(ROW()-1,装备库!$AO$2:$AO$1046,0),COLUMN()),"")</f>
        <v>0</v>
      </c>
      <c r="U298">
        <f>IFERROR(INDEX(装备库!$A$2:$Y$1047,MATCH(ROW()-1,装备库!$AO$2:$AO$1046,0),COLUMN()),"")</f>
        <v>1</v>
      </c>
      <c r="V298">
        <f>IFERROR(INDEX(装备库!$A$2:$Y$1047,MATCH(ROW()-1,装备库!$AO$2:$AO$1046,0),COLUMN()),"")</f>
        <v>0</v>
      </c>
      <c r="W298" t="str">
        <f>IFERROR(INDEX(装备库!$A$2:$Y$1047,MATCH(ROW()-1,装备库!$AO$2:$AO$1046,0),COLUMN()),"")</f>
        <v>精简攻会招无</v>
      </c>
      <c r="X298">
        <f>IFERROR(INDEX(装备库!$A$2:$Y$1047,MATCH(ROW()-1,装备库!$AO$2:$AO$1046,0),COLUMN()),"")</f>
        <v>3</v>
      </c>
      <c r="Y298" t="str">
        <f>IFERROR(INDEX(装备库!$A$2:$Y$1047,MATCH(ROW()-1,装备库!$AO$2:$AO$1046,0),COLUMN()),"")</f>
        <v>活动</v>
      </c>
    </row>
    <row r="299" spans="1:25" x14ac:dyDescent="0.35">
      <c r="A299" t="str">
        <f>IFERROR(INDEX(装备库!$A$2:$Y$1047,MATCH(ROW()-1,装备库!$AO$2:$AO$1046,0),COLUMN()),"")</f>
        <v>帽子</v>
      </c>
      <c r="B299" t="str">
        <f>IFERROR(INDEX(装备库!$A$2:$Y$1047,MATCH(ROW()-1,装备库!$AO$2:$AO$1046,0),COLUMN()),"")</f>
        <v>无封头饰</v>
      </c>
      <c r="C299">
        <f>IFERROR(INDEX(装备库!$A$2:$Y$1047,MATCH(ROW()-1,装备库!$AO$2:$AO$1046,0),COLUMN()),"")</f>
        <v>10600</v>
      </c>
      <c r="D299" t="str">
        <f>IFERROR(INDEX(装备库!$A$2:$Y$1047,MATCH(ROW()-1,装备库!$AO$2:$AO$1046,0),COLUMN()),"")</f>
        <v>无封头饰(10600精简攻会会)</v>
      </c>
      <c r="E299">
        <f>IFERROR(INDEX(装备库!$A$2:$Y$1047,MATCH(ROW()-1,装备库!$AO$2:$AO$1046,0),COLUMN()),"")</f>
        <v>0</v>
      </c>
      <c r="F299">
        <f>IFERROR(INDEX(装备库!$A$2:$Y$1047,MATCH(ROW()-1,装备库!$AO$2:$AO$1046,0),COLUMN()),"")</f>
        <v>2411</v>
      </c>
      <c r="G299">
        <f>IFERROR(INDEX(装备库!$A$2:$Y$1047,MATCH(ROW()-1,装备库!$AO$2:$AO$1046,0),COLUMN()),"")</f>
        <v>4457</v>
      </c>
      <c r="H299">
        <f>IFERROR(INDEX(装备库!$A$2:$Y$1047,MATCH(ROW()-1,装备库!$AO$2:$AO$1046,0),COLUMN()),"")</f>
        <v>2785</v>
      </c>
      <c r="I299">
        <f>IFERROR(INDEX(装备库!$A$2:$Y$1047,MATCH(ROW()-1,装备库!$AO$2:$AO$1046,0),COLUMN()),"")</f>
        <v>0</v>
      </c>
      <c r="J299">
        <f>IFERROR(INDEX(装备库!$A$2:$Y$1047,MATCH(ROW()-1,装备库!$AO$2:$AO$1046,0),COLUMN()),"")</f>
        <v>0</v>
      </c>
      <c r="K299">
        <f>IFERROR(INDEX(装备库!$A$2:$Y$1047,MATCH(ROW()-1,装备库!$AO$2:$AO$1046,0),COLUMN()),"")</f>
        <v>0</v>
      </c>
      <c r="L299">
        <f>IFERROR(INDEX(装备库!$A$2:$Y$1047,MATCH(ROW()-1,装备库!$AO$2:$AO$1046,0),COLUMN()),"")</f>
        <v>0</v>
      </c>
      <c r="M299">
        <f>IFERROR(INDEX(装备库!$A$2:$Y$1047,MATCH(ROW()-1,装备库!$AO$2:$AO$1046,0),COLUMN()),"")</f>
        <v>0</v>
      </c>
      <c r="N299">
        <f>IFERROR(INDEX(装备库!$A$2:$Y$1047,MATCH(ROW()-1,装备库!$AO$2:$AO$1046,0),COLUMN()),"")</f>
        <v>0</v>
      </c>
      <c r="O299">
        <f>IFERROR(INDEX(装备库!$A$2:$Y$1047,MATCH(ROW()-1,装备库!$AO$2:$AO$1046,0),COLUMN()),"")</f>
        <v>0</v>
      </c>
      <c r="P299">
        <f>IFERROR(INDEX(装备库!$A$2:$Y$1047,MATCH(ROW()-1,装备库!$AO$2:$AO$1046,0),COLUMN()),"")</f>
        <v>1</v>
      </c>
      <c r="Q299">
        <f>IFERROR(INDEX(装备库!$A$2:$Y$1047,MATCH(ROW()-1,装备库!$AO$2:$AO$1046,0),COLUMN()),"")</f>
        <v>0</v>
      </c>
      <c r="R299">
        <f>IFERROR(INDEX(装备库!$A$2:$Y$1047,MATCH(ROW()-1,装备库!$AO$2:$AO$1046,0),COLUMN()),"")</f>
        <v>0</v>
      </c>
      <c r="S299">
        <f>IFERROR(INDEX(装备库!$A$2:$Y$1047,MATCH(ROW()-1,装备库!$AO$2:$AO$1046,0),COLUMN()),"")</f>
        <v>1</v>
      </c>
      <c r="T299">
        <f>IFERROR(INDEX(装备库!$A$2:$Y$1047,MATCH(ROW()-1,装备库!$AO$2:$AO$1046,0),COLUMN()),"")</f>
        <v>0</v>
      </c>
      <c r="U299">
        <f>IFERROR(INDEX(装备库!$A$2:$Y$1047,MATCH(ROW()-1,装备库!$AO$2:$AO$1046,0),COLUMN()),"")</f>
        <v>0</v>
      </c>
      <c r="V299">
        <f>IFERROR(INDEX(装备库!$A$2:$Y$1047,MATCH(ROW()-1,装备库!$AO$2:$AO$1046,0),COLUMN()),"")</f>
        <v>0</v>
      </c>
      <c r="W299" t="str">
        <f>IFERROR(INDEX(装备库!$A$2:$Y$1047,MATCH(ROW()-1,装备库!$AO$2:$AO$1046,0),COLUMN()),"")</f>
        <v>精简攻会会</v>
      </c>
      <c r="X299">
        <f>IFERROR(INDEX(装备库!$A$2:$Y$1047,MATCH(ROW()-1,装备库!$AO$2:$AO$1046,0),COLUMN()),"")</f>
        <v>3</v>
      </c>
      <c r="Y299" t="str">
        <f>IFERROR(INDEX(装备库!$A$2:$Y$1047,MATCH(ROW()-1,装备库!$AO$2:$AO$1046,0),COLUMN()),"")</f>
        <v>活动</v>
      </c>
    </row>
    <row r="300" spans="1:25" x14ac:dyDescent="0.35">
      <c r="A300" t="str">
        <f>IFERROR(INDEX(装备库!$A$2:$Y$1047,MATCH(ROW()-1,装备库!$AO$2:$AO$1046,0),COLUMN()),"")</f>
        <v>帽子</v>
      </c>
      <c r="B300" t="str">
        <f>IFERROR(INDEX(装备库!$A$2:$Y$1047,MATCH(ROW()-1,装备库!$AO$2:$AO$1046,0),COLUMN()),"")</f>
        <v>无封头饰</v>
      </c>
      <c r="C300">
        <f>IFERROR(INDEX(装备库!$A$2:$Y$1047,MATCH(ROW()-1,装备库!$AO$2:$AO$1046,0),COLUMN()),"")</f>
        <v>10900</v>
      </c>
      <c r="D300" t="str">
        <f>IFERROR(INDEX(装备库!$A$2:$Y$1047,MATCH(ROW()-1,装备库!$AO$2:$AO$1046,0),COLUMN()),"")</f>
        <v>无封头饰(10900精简攻无)</v>
      </c>
      <c r="E300">
        <f>IFERROR(INDEX(装备库!$A$2:$Y$1047,MATCH(ROW()-1,装备库!$AO$2:$AO$1046,0),COLUMN()),"")</f>
        <v>0</v>
      </c>
      <c r="F300">
        <f>IFERROR(INDEX(装备库!$A$2:$Y$1047,MATCH(ROW()-1,装备库!$AO$2:$AO$1046,0),COLUMN()),"")</f>
        <v>2906</v>
      </c>
      <c r="G300">
        <f>IFERROR(INDEX(装备库!$A$2:$Y$1047,MATCH(ROW()-1,装备库!$AO$2:$AO$1046,0),COLUMN()),"")</f>
        <v>0</v>
      </c>
      <c r="H300">
        <f>IFERROR(INDEX(装备库!$A$2:$Y$1047,MATCH(ROW()-1,装备库!$AO$2:$AO$1046,0),COLUMN()),"")</f>
        <v>0</v>
      </c>
      <c r="I300">
        <f>IFERROR(INDEX(装备库!$A$2:$Y$1047,MATCH(ROW()-1,装备库!$AO$2:$AO$1046,0),COLUMN()),"")</f>
        <v>0</v>
      </c>
      <c r="J300">
        <f>IFERROR(INDEX(装备库!$A$2:$Y$1047,MATCH(ROW()-1,装备库!$AO$2:$AO$1046,0),COLUMN()),"")</f>
        <v>0</v>
      </c>
      <c r="K300">
        <f>IFERROR(INDEX(装备库!$A$2:$Y$1047,MATCH(ROW()-1,装备库!$AO$2:$AO$1046,0),COLUMN()),"")</f>
        <v>6588</v>
      </c>
      <c r="L300">
        <f>IFERROR(INDEX(装备库!$A$2:$Y$1047,MATCH(ROW()-1,装备库!$AO$2:$AO$1046,0),COLUMN()),"")</f>
        <v>0</v>
      </c>
      <c r="M300">
        <f>IFERROR(INDEX(装备库!$A$2:$Y$1047,MATCH(ROW()-1,装备库!$AO$2:$AO$1046,0),COLUMN()),"")</f>
        <v>0</v>
      </c>
      <c r="N300">
        <f>IFERROR(INDEX(装备库!$A$2:$Y$1047,MATCH(ROW()-1,装备库!$AO$2:$AO$1046,0),COLUMN()),"")</f>
        <v>0</v>
      </c>
      <c r="O300">
        <f>IFERROR(INDEX(装备库!$A$2:$Y$1047,MATCH(ROW()-1,装备库!$AO$2:$AO$1046,0),COLUMN()),"")</f>
        <v>0</v>
      </c>
      <c r="P300">
        <f>IFERROR(INDEX(装备库!$A$2:$Y$1047,MATCH(ROW()-1,装备库!$AO$2:$AO$1046,0),COLUMN()),"")</f>
        <v>0</v>
      </c>
      <c r="Q300">
        <f>IFERROR(INDEX(装备库!$A$2:$Y$1047,MATCH(ROW()-1,装备库!$AO$2:$AO$1046,0),COLUMN()),"")</f>
        <v>0</v>
      </c>
      <c r="R300">
        <f>IFERROR(INDEX(装备库!$A$2:$Y$1047,MATCH(ROW()-1,装备库!$AO$2:$AO$1046,0),COLUMN()),"")</f>
        <v>0</v>
      </c>
      <c r="S300">
        <f>IFERROR(INDEX(装备库!$A$2:$Y$1047,MATCH(ROW()-1,装备库!$AO$2:$AO$1046,0),COLUMN()),"")</f>
        <v>1</v>
      </c>
      <c r="T300">
        <f>IFERROR(INDEX(装备库!$A$2:$Y$1047,MATCH(ROW()-1,装备库!$AO$2:$AO$1046,0),COLUMN()),"")</f>
        <v>0</v>
      </c>
      <c r="U300">
        <f>IFERROR(INDEX(装备库!$A$2:$Y$1047,MATCH(ROW()-1,装备库!$AO$2:$AO$1046,0),COLUMN()),"")</f>
        <v>1</v>
      </c>
      <c r="V300">
        <f>IFERROR(INDEX(装备库!$A$2:$Y$1047,MATCH(ROW()-1,装备库!$AO$2:$AO$1046,0),COLUMN()),"")</f>
        <v>0</v>
      </c>
      <c r="W300" t="str">
        <f>IFERROR(INDEX(装备库!$A$2:$Y$1047,MATCH(ROW()-1,装备库!$AO$2:$AO$1046,0),COLUMN()),"")</f>
        <v>精简攻无</v>
      </c>
      <c r="X300">
        <f>IFERROR(INDEX(装备库!$A$2:$Y$1047,MATCH(ROW()-1,装备库!$AO$2:$AO$1046,0),COLUMN()),"")</f>
        <v>3</v>
      </c>
      <c r="Y300" t="str">
        <f>IFERROR(INDEX(装备库!$A$2:$Y$1047,MATCH(ROW()-1,装备库!$AO$2:$AO$1046,0),COLUMN()),"")</f>
        <v>活动</v>
      </c>
    </row>
    <row r="301" spans="1:25" x14ac:dyDescent="0.35">
      <c r="A301" t="str">
        <f>IFERROR(INDEX(装备库!$A$2:$Y$1047,MATCH(ROW()-1,装备库!$AO$2:$AO$1046,0),COLUMN()),"")</f>
        <v>帽子</v>
      </c>
      <c r="B301" t="str">
        <f>IFERROR(INDEX(装备库!$A$2:$Y$1047,MATCH(ROW()-1,装备库!$AO$2:$AO$1046,0),COLUMN()),"")</f>
        <v>无封头饰</v>
      </c>
      <c r="C301">
        <f>IFERROR(INDEX(装备库!$A$2:$Y$1047,MATCH(ROW()-1,装备库!$AO$2:$AO$1046,0),COLUMN()),"")</f>
        <v>10900</v>
      </c>
      <c r="D301" t="str">
        <f>IFERROR(INDEX(装备库!$A$2:$Y$1047,MATCH(ROW()-1,装备库!$AO$2:$AO$1046,0),COLUMN()),"")</f>
        <v>无封头饰(10900精简攻会招破)</v>
      </c>
      <c r="E301">
        <f>IFERROR(INDEX(装备库!$A$2:$Y$1047,MATCH(ROW()-1,装备库!$AO$2:$AO$1046,0),COLUMN()),"")</f>
        <v>0</v>
      </c>
      <c r="F301">
        <f>IFERROR(INDEX(装备库!$A$2:$Y$1047,MATCH(ROW()-1,装备库!$AO$2:$AO$1046,0),COLUMN()),"")</f>
        <v>2735</v>
      </c>
      <c r="G301">
        <f>IFERROR(INDEX(装备库!$A$2:$Y$1047,MATCH(ROW()-1,装备库!$AO$2:$AO$1046,0),COLUMN()),"")</f>
        <v>2482</v>
      </c>
      <c r="H301">
        <f>IFERROR(INDEX(装备库!$A$2:$Y$1047,MATCH(ROW()-1,装备库!$AO$2:$AO$1046,0),COLUMN()),"")</f>
        <v>0</v>
      </c>
      <c r="I301">
        <f>IFERROR(INDEX(装备库!$A$2:$Y$1047,MATCH(ROW()-1,装备库!$AO$2:$AO$1046,0),COLUMN()),"")</f>
        <v>2482</v>
      </c>
      <c r="J301">
        <f>IFERROR(INDEX(装备库!$A$2:$Y$1047,MATCH(ROW()-1,装备库!$AO$2:$AO$1046,0),COLUMN()),"")</f>
        <v>2100</v>
      </c>
      <c r="K301">
        <f>IFERROR(INDEX(装备库!$A$2:$Y$1047,MATCH(ROW()-1,装备库!$AO$2:$AO$1046,0),COLUMN()),"")</f>
        <v>0</v>
      </c>
      <c r="L301">
        <f>IFERROR(INDEX(装备库!$A$2:$Y$1047,MATCH(ROW()-1,装备库!$AO$2:$AO$1046,0),COLUMN()),"")</f>
        <v>0</v>
      </c>
      <c r="M301">
        <f>IFERROR(INDEX(装备库!$A$2:$Y$1047,MATCH(ROW()-1,装备库!$AO$2:$AO$1046,0),COLUMN()),"")</f>
        <v>0</v>
      </c>
      <c r="N301">
        <f>IFERROR(INDEX(装备库!$A$2:$Y$1047,MATCH(ROW()-1,装备库!$AO$2:$AO$1046,0),COLUMN()),"")</f>
        <v>0</v>
      </c>
      <c r="O301">
        <f>IFERROR(INDEX(装备库!$A$2:$Y$1047,MATCH(ROW()-1,装备库!$AO$2:$AO$1046,0),COLUMN()),"")</f>
        <v>0</v>
      </c>
      <c r="P301">
        <f>IFERROR(INDEX(装备库!$A$2:$Y$1047,MATCH(ROW()-1,装备库!$AO$2:$AO$1046,0),COLUMN()),"")</f>
        <v>0</v>
      </c>
      <c r="Q301">
        <f>IFERROR(INDEX(装备库!$A$2:$Y$1047,MATCH(ROW()-1,装备库!$AO$2:$AO$1046,0),COLUMN()),"")</f>
        <v>0</v>
      </c>
      <c r="R301">
        <f>IFERROR(INDEX(装备库!$A$2:$Y$1047,MATCH(ROW()-1,装备库!$AO$2:$AO$1046,0),COLUMN()),"")</f>
        <v>1</v>
      </c>
      <c r="S301">
        <f>IFERROR(INDEX(装备库!$A$2:$Y$1047,MATCH(ROW()-1,装备库!$AO$2:$AO$1046,0),COLUMN()),"")</f>
        <v>1</v>
      </c>
      <c r="T301">
        <f>IFERROR(INDEX(装备库!$A$2:$Y$1047,MATCH(ROW()-1,装备库!$AO$2:$AO$1046,0),COLUMN()),"")</f>
        <v>0</v>
      </c>
      <c r="U301">
        <f>IFERROR(INDEX(装备库!$A$2:$Y$1047,MATCH(ROW()-1,装备库!$AO$2:$AO$1046,0),COLUMN()),"")</f>
        <v>0</v>
      </c>
      <c r="V301">
        <f>IFERROR(INDEX(装备库!$A$2:$Y$1047,MATCH(ROW()-1,装备库!$AO$2:$AO$1046,0),COLUMN()),"")</f>
        <v>0</v>
      </c>
      <c r="W301" t="str">
        <f>IFERROR(INDEX(装备库!$A$2:$Y$1047,MATCH(ROW()-1,装备库!$AO$2:$AO$1046,0),COLUMN()),"")</f>
        <v>精简攻会招破</v>
      </c>
      <c r="X301">
        <f>IFERROR(INDEX(装备库!$A$2:$Y$1047,MATCH(ROW()-1,装备库!$AO$2:$AO$1046,0),COLUMN()),"")</f>
        <v>3</v>
      </c>
      <c r="Y301" t="str">
        <f>IFERROR(INDEX(装备库!$A$2:$Y$1047,MATCH(ROW()-1,装备库!$AO$2:$AO$1046,0),COLUMN()),"")</f>
        <v>活动</v>
      </c>
    </row>
    <row r="302" spans="1:25" x14ac:dyDescent="0.35">
      <c r="A302" t="str">
        <f>IFERROR(INDEX(装备库!$A$2:$Y$1047,MATCH(ROW()-1,装备库!$AO$2:$AO$1046,0),COLUMN()),"")</f>
        <v>帽子</v>
      </c>
      <c r="B302" t="str">
        <f>IFERROR(INDEX(装备库!$A$2:$Y$1047,MATCH(ROW()-1,装备库!$AO$2:$AO$1046,0),COLUMN()),"")</f>
        <v>无封头饰</v>
      </c>
      <c r="C302">
        <f>IFERROR(INDEX(装备库!$A$2:$Y$1047,MATCH(ROW()-1,装备库!$AO$2:$AO$1046,0),COLUMN()),"")</f>
        <v>10900</v>
      </c>
      <c r="D302" t="str">
        <f>IFERROR(INDEX(装备库!$A$2:$Y$1047,MATCH(ROW()-1,装备库!$AO$2:$AO$1046,0),COLUMN()),"")</f>
        <v>无封头饰(10900精简攻会无)</v>
      </c>
      <c r="E302">
        <f>IFERROR(INDEX(装备库!$A$2:$Y$1047,MATCH(ROW()-1,装备库!$AO$2:$AO$1046,0),COLUMN()),"")</f>
        <v>0</v>
      </c>
      <c r="F302">
        <f>IFERROR(INDEX(装备库!$A$2:$Y$1047,MATCH(ROW()-1,装备库!$AO$2:$AO$1046,0),COLUMN()),"")</f>
        <v>2479</v>
      </c>
      <c r="G302">
        <f>IFERROR(INDEX(装备库!$A$2:$Y$1047,MATCH(ROW()-1,装备库!$AO$2:$AO$1046,0),COLUMN()),"")</f>
        <v>3819</v>
      </c>
      <c r="H302">
        <f>IFERROR(INDEX(装备库!$A$2:$Y$1047,MATCH(ROW()-1,装备库!$AO$2:$AO$1046,0),COLUMN()),"")</f>
        <v>0</v>
      </c>
      <c r="I302">
        <f>IFERROR(INDEX(装备库!$A$2:$Y$1047,MATCH(ROW()-1,装备库!$AO$2:$AO$1046,0),COLUMN()),"")</f>
        <v>0</v>
      </c>
      <c r="J302">
        <f>IFERROR(INDEX(装备库!$A$2:$Y$1047,MATCH(ROW()-1,装备库!$AO$2:$AO$1046,0),COLUMN()),"")</f>
        <v>0</v>
      </c>
      <c r="K302">
        <f>IFERROR(INDEX(装备库!$A$2:$Y$1047,MATCH(ROW()-1,装备库!$AO$2:$AO$1046,0),COLUMN()),"")</f>
        <v>3819</v>
      </c>
      <c r="L302">
        <f>IFERROR(INDEX(装备库!$A$2:$Y$1047,MATCH(ROW()-1,装备库!$AO$2:$AO$1046,0),COLUMN()),"")</f>
        <v>0</v>
      </c>
      <c r="M302">
        <f>IFERROR(INDEX(装备库!$A$2:$Y$1047,MATCH(ROW()-1,装备库!$AO$2:$AO$1046,0),COLUMN()),"")</f>
        <v>0</v>
      </c>
      <c r="N302">
        <f>IFERROR(INDEX(装备库!$A$2:$Y$1047,MATCH(ROW()-1,装备库!$AO$2:$AO$1046,0),COLUMN()),"")</f>
        <v>0</v>
      </c>
      <c r="O302">
        <f>IFERROR(INDEX(装备库!$A$2:$Y$1047,MATCH(ROW()-1,装备库!$AO$2:$AO$1046,0),COLUMN()),"")</f>
        <v>0</v>
      </c>
      <c r="P302">
        <f>IFERROR(INDEX(装备库!$A$2:$Y$1047,MATCH(ROW()-1,装备库!$AO$2:$AO$1046,0),COLUMN()),"")</f>
        <v>0</v>
      </c>
      <c r="Q302">
        <f>IFERROR(INDEX(装备库!$A$2:$Y$1047,MATCH(ROW()-1,装备库!$AO$2:$AO$1046,0),COLUMN()),"")</f>
        <v>0</v>
      </c>
      <c r="R302">
        <f>IFERROR(INDEX(装备库!$A$2:$Y$1047,MATCH(ROW()-1,装备库!$AO$2:$AO$1046,0),COLUMN()),"")</f>
        <v>1</v>
      </c>
      <c r="S302">
        <f>IFERROR(INDEX(装备库!$A$2:$Y$1047,MATCH(ROW()-1,装备库!$AO$2:$AO$1046,0),COLUMN()),"")</f>
        <v>0</v>
      </c>
      <c r="T302">
        <f>IFERROR(INDEX(装备库!$A$2:$Y$1047,MATCH(ROW()-1,装备库!$AO$2:$AO$1046,0),COLUMN()),"")</f>
        <v>0</v>
      </c>
      <c r="U302">
        <f>IFERROR(INDEX(装备库!$A$2:$Y$1047,MATCH(ROW()-1,装备库!$AO$2:$AO$1046,0),COLUMN()),"")</f>
        <v>1</v>
      </c>
      <c r="V302">
        <f>IFERROR(INDEX(装备库!$A$2:$Y$1047,MATCH(ROW()-1,装备库!$AO$2:$AO$1046,0),COLUMN()),"")</f>
        <v>0</v>
      </c>
      <c r="W302" t="str">
        <f>IFERROR(INDEX(装备库!$A$2:$Y$1047,MATCH(ROW()-1,装备库!$AO$2:$AO$1046,0),COLUMN()),"")</f>
        <v>精简攻会无</v>
      </c>
      <c r="X302">
        <f>IFERROR(INDEX(装备库!$A$2:$Y$1047,MATCH(ROW()-1,装备库!$AO$2:$AO$1046,0),COLUMN()),"")</f>
        <v>3</v>
      </c>
      <c r="Y302" t="str">
        <f>IFERROR(INDEX(装备库!$A$2:$Y$1047,MATCH(ROW()-1,装备库!$AO$2:$AO$1046,0),COLUMN()),"")</f>
        <v>活动</v>
      </c>
    </row>
    <row r="303" spans="1:25" x14ac:dyDescent="0.35">
      <c r="A303" t="str">
        <f>IFERROR(INDEX(装备库!$A$2:$Y$1047,MATCH(ROW()-1,装备库!$AO$2:$AO$1046,0),COLUMN()),"")</f>
        <v>帽子</v>
      </c>
      <c r="B303" t="str">
        <f>IFERROR(INDEX(装备库!$A$2:$Y$1047,MATCH(ROW()-1,装备库!$AO$2:$AO$1046,0),COLUMN()),"")</f>
        <v>【门派套装】揽江·诛翳战盔</v>
      </c>
      <c r="C303">
        <f>IFERROR(INDEX(装备库!$A$2:$Y$1047,MATCH(ROW()-1,装备库!$AO$2:$AO$1046,0),COLUMN()),"")</f>
        <v>11000</v>
      </c>
      <c r="D303" t="str">
        <f>IFERROR(INDEX(装备库!$A$2:$Y$1047,MATCH(ROW()-1,装备库!$AO$2:$AO$1046,0),COLUMN()),"")</f>
        <v>【门派套装】揽江·诛翳战盔(11000招破)</v>
      </c>
      <c r="E303">
        <f>IFERROR(INDEX(装备库!$A$2:$Y$1047,MATCH(ROW()-1,装备库!$AO$2:$AO$1046,0),COLUMN()),"")</f>
        <v>691</v>
      </c>
      <c r="F303">
        <f>IFERROR(INDEX(装备库!$A$2:$Y$1047,MATCH(ROW()-1,装备库!$AO$2:$AO$1046,0),COLUMN()),"")</f>
        <v>1121</v>
      </c>
      <c r="G303">
        <f>IFERROR(INDEX(装备库!$A$2:$Y$1047,MATCH(ROW()-1,装备库!$AO$2:$AO$1046,0),COLUMN()),"")</f>
        <v>0</v>
      </c>
      <c r="H303">
        <f>IFERROR(INDEX(装备库!$A$2:$Y$1047,MATCH(ROW()-1,装备库!$AO$2:$AO$1046,0),COLUMN()),"")</f>
        <v>0</v>
      </c>
      <c r="I303">
        <f>IFERROR(INDEX(装备库!$A$2:$Y$1047,MATCH(ROW()-1,装备库!$AO$2:$AO$1046,0),COLUMN()),"")</f>
        <v>3469</v>
      </c>
      <c r="J303">
        <f>IFERROR(INDEX(装备库!$A$2:$Y$1047,MATCH(ROW()-1,装备库!$AO$2:$AO$1046,0),COLUMN()),"")</f>
        <v>3083</v>
      </c>
      <c r="K303">
        <f>IFERROR(INDEX(装备库!$A$2:$Y$1047,MATCH(ROW()-1,装备库!$AO$2:$AO$1046,0),COLUMN()),"")</f>
        <v>0</v>
      </c>
      <c r="L303">
        <f>IFERROR(INDEX(装备库!$A$2:$Y$1047,MATCH(ROW()-1,装备库!$AO$2:$AO$1046,0),COLUMN()),"")</f>
        <v>0</v>
      </c>
      <c r="M303">
        <f>IFERROR(INDEX(装备库!$A$2:$Y$1047,MATCH(ROW()-1,装备库!$AO$2:$AO$1046,0),COLUMN()),"")</f>
        <v>0</v>
      </c>
      <c r="N303">
        <f>IFERROR(INDEX(装备库!$A$2:$Y$1047,MATCH(ROW()-1,装备库!$AO$2:$AO$1046,0),COLUMN()),"")</f>
        <v>0</v>
      </c>
      <c r="O303">
        <f>IFERROR(INDEX(装备库!$A$2:$Y$1047,MATCH(ROW()-1,装备库!$AO$2:$AO$1046,0),COLUMN()),"")</f>
        <v>1</v>
      </c>
      <c r="P303">
        <f>IFERROR(INDEX(装备库!$A$2:$Y$1047,MATCH(ROW()-1,装备库!$AO$2:$AO$1046,0),COLUMN()),"")</f>
        <v>1</v>
      </c>
      <c r="Q303">
        <f>IFERROR(INDEX(装备库!$A$2:$Y$1047,MATCH(ROW()-1,装备库!$AO$2:$AO$1046,0),COLUMN()),"")</f>
        <v>0</v>
      </c>
      <c r="R303">
        <f>IFERROR(INDEX(装备库!$A$2:$Y$1047,MATCH(ROW()-1,装备库!$AO$2:$AO$1046,0),COLUMN()),"")</f>
        <v>0</v>
      </c>
      <c r="S303">
        <f>IFERROR(INDEX(装备库!$A$2:$Y$1047,MATCH(ROW()-1,装备库!$AO$2:$AO$1046,0),COLUMN()),"")</f>
        <v>0</v>
      </c>
      <c r="T303">
        <f>IFERROR(INDEX(装备库!$A$2:$Y$1047,MATCH(ROW()-1,装备库!$AO$2:$AO$1046,0),COLUMN()),"")</f>
        <v>0</v>
      </c>
      <c r="U303">
        <f>IFERROR(INDEX(装备库!$A$2:$Y$1047,MATCH(ROW()-1,装备库!$AO$2:$AO$1046,0),COLUMN()),"")</f>
        <v>0</v>
      </c>
      <c r="V303">
        <f>IFERROR(INDEX(装备库!$A$2:$Y$1047,MATCH(ROW()-1,装备库!$AO$2:$AO$1046,0),COLUMN()),"")</f>
        <v>0</v>
      </c>
      <c r="W303" t="str">
        <f>IFERROR(INDEX(装备库!$A$2:$Y$1047,MATCH(ROW()-1,装备库!$AO$2:$AO$1046,0),COLUMN()),"")</f>
        <v>招破</v>
      </c>
      <c r="X303">
        <f>IFERROR(INDEX(装备库!$A$2:$Y$1047,MATCH(ROW()-1,装备库!$AO$2:$AO$1046,0),COLUMN()),"")</f>
        <v>6</v>
      </c>
      <c r="Y303" t="str">
        <f>IFERROR(INDEX(装备库!$A$2:$Y$1047,MATCH(ROW()-1,装备库!$AO$2:$AO$1046,0),COLUMN()),"")</f>
        <v>兑换牌</v>
      </c>
    </row>
    <row r="304" spans="1:25" x14ac:dyDescent="0.35">
      <c r="A304" t="str">
        <f>IFERROR(INDEX(装备库!$A$2:$Y$1047,MATCH(ROW()-1,装备库!$AO$2:$AO$1046,0),COLUMN()),"")</f>
        <v>帽子</v>
      </c>
      <c r="B304" t="str">
        <f>IFERROR(INDEX(装备库!$A$2:$Y$1047,MATCH(ROW()-1,装备库!$AO$2:$AO$1046,0),COLUMN()),"")</f>
        <v>寻踪觅宝·盼归帽</v>
      </c>
      <c r="C304">
        <f>IFERROR(INDEX(装备库!$A$2:$Y$1047,MATCH(ROW()-1,装备库!$AO$2:$AO$1046,0),COLUMN()),"")</f>
        <v>11000</v>
      </c>
      <c r="D304" t="str">
        <f>IFERROR(INDEX(装备库!$A$2:$Y$1047,MATCH(ROW()-1,装备库!$AO$2:$AO$1046,0),COLUMN()),"")</f>
        <v>寻踪觅宝·盼归帽(11000会无)</v>
      </c>
      <c r="E304">
        <f>IFERROR(INDEX(装备库!$A$2:$Y$1047,MATCH(ROW()-1,装备库!$AO$2:$AO$1046,0),COLUMN()),"")</f>
        <v>691</v>
      </c>
      <c r="F304">
        <f>IFERROR(INDEX(装备库!$A$2:$Y$1047,MATCH(ROW()-1,装备库!$AO$2:$AO$1046,0),COLUMN()),"")</f>
        <v>1121</v>
      </c>
      <c r="G304">
        <f>IFERROR(INDEX(装备库!$A$2:$Y$1047,MATCH(ROW()-1,装备库!$AO$2:$AO$1046,0),COLUMN()),"")</f>
        <v>3469</v>
      </c>
      <c r="H304">
        <f>IFERROR(INDEX(装备库!$A$2:$Y$1047,MATCH(ROW()-1,装备库!$AO$2:$AO$1046,0),COLUMN()),"")</f>
        <v>0</v>
      </c>
      <c r="I304">
        <f>IFERROR(INDEX(装备库!$A$2:$Y$1047,MATCH(ROW()-1,装备库!$AO$2:$AO$1046,0),COLUMN()),"")</f>
        <v>0</v>
      </c>
      <c r="J304">
        <f>IFERROR(INDEX(装备库!$A$2:$Y$1047,MATCH(ROW()-1,装备库!$AO$2:$AO$1046,0),COLUMN()),"")</f>
        <v>0</v>
      </c>
      <c r="K304">
        <f>IFERROR(INDEX(装备库!$A$2:$Y$1047,MATCH(ROW()-1,装备库!$AO$2:$AO$1046,0),COLUMN()),"")</f>
        <v>3083</v>
      </c>
      <c r="L304">
        <f>IFERROR(INDEX(装备库!$A$2:$Y$1047,MATCH(ROW()-1,装备库!$AO$2:$AO$1046,0),COLUMN()),"")</f>
        <v>0</v>
      </c>
      <c r="M304">
        <f>IFERROR(INDEX(装备库!$A$2:$Y$1047,MATCH(ROW()-1,装备库!$AO$2:$AO$1046,0),COLUMN()),"")</f>
        <v>0</v>
      </c>
      <c r="N304">
        <f>IFERROR(INDEX(装备库!$A$2:$Y$1047,MATCH(ROW()-1,装备库!$AO$2:$AO$1046,0),COLUMN()),"")</f>
        <v>0</v>
      </c>
      <c r="O304">
        <f>IFERROR(INDEX(装备库!$A$2:$Y$1047,MATCH(ROW()-1,装备库!$AO$2:$AO$1046,0),COLUMN()),"")</f>
        <v>0</v>
      </c>
      <c r="P304">
        <f>IFERROR(INDEX(装备库!$A$2:$Y$1047,MATCH(ROW()-1,装备库!$AO$2:$AO$1046,0),COLUMN()),"")</f>
        <v>0</v>
      </c>
      <c r="Q304">
        <f>IFERROR(INDEX(装备库!$A$2:$Y$1047,MATCH(ROW()-1,装备库!$AO$2:$AO$1046,0),COLUMN()),"")</f>
        <v>0</v>
      </c>
      <c r="R304">
        <f>IFERROR(INDEX(装备库!$A$2:$Y$1047,MATCH(ROW()-1,装备库!$AO$2:$AO$1046,0),COLUMN()),"")</f>
        <v>0</v>
      </c>
      <c r="S304">
        <f>IFERROR(INDEX(装备库!$A$2:$Y$1047,MATCH(ROW()-1,装备库!$AO$2:$AO$1046,0),COLUMN()),"")</f>
        <v>1</v>
      </c>
      <c r="T304">
        <f>IFERROR(INDEX(装备库!$A$2:$Y$1047,MATCH(ROW()-1,装备库!$AO$2:$AO$1046,0),COLUMN()),"")</f>
        <v>0</v>
      </c>
      <c r="U304">
        <f>IFERROR(INDEX(装备库!$A$2:$Y$1047,MATCH(ROW()-1,装备库!$AO$2:$AO$1046,0),COLUMN()),"")</f>
        <v>1</v>
      </c>
      <c r="V304">
        <f>IFERROR(INDEX(装备库!$A$2:$Y$1047,MATCH(ROW()-1,装备库!$AO$2:$AO$1046,0),COLUMN()),"")</f>
        <v>0</v>
      </c>
      <c r="W304" t="str">
        <f>IFERROR(INDEX(装备库!$A$2:$Y$1047,MATCH(ROW()-1,装备库!$AO$2:$AO$1046,0),COLUMN()),"")</f>
        <v>会无</v>
      </c>
      <c r="X304">
        <f>IFERROR(INDEX(装备库!$A$2:$Y$1047,MATCH(ROW()-1,装备库!$AO$2:$AO$1046,0),COLUMN()),"")</f>
        <v>6</v>
      </c>
      <c r="Y304" t="str">
        <f>IFERROR(INDEX(装备库!$A$2:$Y$1047,MATCH(ROW()-1,装备库!$AO$2:$AO$1046,0),COLUMN()),"")</f>
        <v>挖宝</v>
      </c>
    </row>
    <row r="305" spans="1:25" x14ac:dyDescent="0.35">
      <c r="A305" t="str">
        <f>IFERROR(INDEX(装备库!$A$2:$Y$1047,MATCH(ROW()-1,装备库!$AO$2:$AO$1046,0),COLUMN()),"")</f>
        <v>帽子</v>
      </c>
      <c r="B305" t="str">
        <f>IFERROR(INDEX(装备库!$A$2:$Y$1047,MATCH(ROW()-1,装备库!$AO$2:$AO$1046,0),COLUMN()),"")</f>
        <v>风销残烟·承平冠</v>
      </c>
      <c r="C305">
        <f>IFERROR(INDEX(装备库!$A$2:$Y$1047,MATCH(ROW()-1,装备库!$AO$2:$AO$1046,0),COLUMN()),"")</f>
        <v>11000</v>
      </c>
      <c r="D305" t="str">
        <f>IFERROR(INDEX(装备库!$A$2:$Y$1047,MATCH(ROW()-1,装备库!$AO$2:$AO$1046,0),COLUMN()),"")</f>
        <v>风销残烟·承平冠(11000会无)</v>
      </c>
      <c r="E305">
        <f>IFERROR(INDEX(装备库!$A$2:$Y$1047,MATCH(ROW()-1,装备库!$AO$2:$AO$1046,0),COLUMN()),"")</f>
        <v>691</v>
      </c>
      <c r="F305">
        <f>IFERROR(INDEX(装备库!$A$2:$Y$1047,MATCH(ROW()-1,装备库!$AO$2:$AO$1046,0),COLUMN()),"")</f>
        <v>1121</v>
      </c>
      <c r="G305">
        <f>IFERROR(INDEX(装备库!$A$2:$Y$1047,MATCH(ROW()-1,装备库!$AO$2:$AO$1046,0),COLUMN()),"")</f>
        <v>3469</v>
      </c>
      <c r="H305">
        <f>IFERROR(INDEX(装备库!$A$2:$Y$1047,MATCH(ROW()-1,装备库!$AO$2:$AO$1046,0),COLUMN()),"")</f>
        <v>0</v>
      </c>
      <c r="I305">
        <f>IFERROR(INDEX(装备库!$A$2:$Y$1047,MATCH(ROW()-1,装备库!$AO$2:$AO$1046,0),COLUMN()),"")</f>
        <v>0</v>
      </c>
      <c r="J305">
        <f>IFERROR(INDEX(装备库!$A$2:$Y$1047,MATCH(ROW()-1,装备库!$AO$2:$AO$1046,0),COLUMN()),"")</f>
        <v>0</v>
      </c>
      <c r="K305">
        <f>IFERROR(INDEX(装备库!$A$2:$Y$1047,MATCH(ROW()-1,装备库!$AO$2:$AO$1046,0),COLUMN()),"")</f>
        <v>3083</v>
      </c>
      <c r="L305">
        <f>IFERROR(INDEX(装备库!$A$2:$Y$1047,MATCH(ROW()-1,装备库!$AO$2:$AO$1046,0),COLUMN()),"")</f>
        <v>0</v>
      </c>
      <c r="M305">
        <f>IFERROR(INDEX(装备库!$A$2:$Y$1047,MATCH(ROW()-1,装备库!$AO$2:$AO$1046,0),COLUMN()),"")</f>
        <v>0</v>
      </c>
      <c r="N305">
        <f>IFERROR(INDEX(装备库!$A$2:$Y$1047,MATCH(ROW()-1,装备库!$AO$2:$AO$1046,0),COLUMN()),"")</f>
        <v>0</v>
      </c>
      <c r="O305">
        <f>IFERROR(INDEX(装备库!$A$2:$Y$1047,MATCH(ROW()-1,装备库!$AO$2:$AO$1046,0),COLUMN()),"")</f>
        <v>0</v>
      </c>
      <c r="P305">
        <f>IFERROR(INDEX(装备库!$A$2:$Y$1047,MATCH(ROW()-1,装备库!$AO$2:$AO$1046,0),COLUMN()),"")</f>
        <v>0</v>
      </c>
      <c r="Q305">
        <f>IFERROR(INDEX(装备库!$A$2:$Y$1047,MATCH(ROW()-1,装备库!$AO$2:$AO$1046,0),COLUMN()),"")</f>
        <v>0</v>
      </c>
      <c r="R305">
        <f>IFERROR(INDEX(装备库!$A$2:$Y$1047,MATCH(ROW()-1,装备库!$AO$2:$AO$1046,0),COLUMN()),"")</f>
        <v>0</v>
      </c>
      <c r="S305">
        <f>IFERROR(INDEX(装备库!$A$2:$Y$1047,MATCH(ROW()-1,装备库!$AO$2:$AO$1046,0),COLUMN()),"")</f>
        <v>1</v>
      </c>
      <c r="T305">
        <f>IFERROR(INDEX(装备库!$A$2:$Y$1047,MATCH(ROW()-1,装备库!$AO$2:$AO$1046,0),COLUMN()),"")</f>
        <v>0</v>
      </c>
      <c r="U305">
        <f>IFERROR(INDEX(装备库!$A$2:$Y$1047,MATCH(ROW()-1,装备库!$AO$2:$AO$1046,0),COLUMN()),"")</f>
        <v>1</v>
      </c>
      <c r="V305">
        <f>IFERROR(INDEX(装备库!$A$2:$Y$1047,MATCH(ROW()-1,装备库!$AO$2:$AO$1046,0),COLUMN()),"")</f>
        <v>0</v>
      </c>
      <c r="W305" t="str">
        <f>IFERROR(INDEX(装备库!$A$2:$Y$1047,MATCH(ROW()-1,装备库!$AO$2:$AO$1046,0),COLUMN()),"")</f>
        <v>会无</v>
      </c>
      <c r="X305">
        <f>IFERROR(INDEX(装备库!$A$2:$Y$1047,MATCH(ROW()-1,装备库!$AO$2:$AO$1046,0),COLUMN()),"")</f>
        <v>6</v>
      </c>
      <c r="Y305" t="str">
        <f>IFERROR(INDEX(装备库!$A$2:$Y$1047,MATCH(ROW()-1,装备库!$AO$2:$AO$1046,0),COLUMN()),"")</f>
        <v>飞沙令</v>
      </c>
    </row>
    <row r="306" spans="1:25" x14ac:dyDescent="0.35">
      <c r="A306" t="str">
        <f>IFERROR(INDEX(装备库!$A$2:$Y$1047,MATCH(ROW()-1,装备库!$AO$2:$AO$1046,0),COLUMN()),"")</f>
        <v>帽子</v>
      </c>
      <c r="B306" t="str">
        <f>IFERROR(INDEX(装备库!$A$2:$Y$1047,MATCH(ROW()-1,装备库!$AO$2:$AO$1046,0),COLUMN()),"")</f>
        <v>烟梦帽</v>
      </c>
      <c r="C306">
        <f>IFERROR(INDEX(装备库!$A$2:$Y$1047,MATCH(ROW()-1,装备库!$AO$2:$AO$1046,0),COLUMN()),"")</f>
        <v>11150</v>
      </c>
      <c r="D306" t="str">
        <f>IFERROR(INDEX(装备库!$A$2:$Y$1047,MATCH(ROW()-1,装备库!$AO$2:$AO$1046,0),COLUMN()),"")</f>
        <v>烟梦帽(11150速招)</v>
      </c>
      <c r="E306">
        <f>IFERROR(INDEX(装备库!$A$2:$Y$1047,MATCH(ROW()-1,装备库!$AO$2:$AO$1046,0),COLUMN()),"")</f>
        <v>701</v>
      </c>
      <c r="F306">
        <f>IFERROR(INDEX(装备库!$A$2:$Y$1047,MATCH(ROW()-1,装备库!$AO$2:$AO$1046,0),COLUMN()),"")</f>
        <v>1137</v>
      </c>
      <c r="G306">
        <f>IFERROR(INDEX(装备库!$A$2:$Y$1047,MATCH(ROW()-1,装备库!$AO$2:$AO$1046,0),COLUMN()),"")</f>
        <v>0</v>
      </c>
      <c r="H306">
        <f>IFERROR(INDEX(装备库!$A$2:$Y$1047,MATCH(ROW()-1,装备库!$AO$2:$AO$1046,0),COLUMN()),"")</f>
        <v>0</v>
      </c>
      <c r="I306">
        <f>IFERROR(INDEX(装备库!$A$2:$Y$1047,MATCH(ROW()-1,装备库!$AO$2:$AO$1046,0),COLUMN()),"")</f>
        <v>0</v>
      </c>
      <c r="J306">
        <f>IFERROR(INDEX(装备库!$A$2:$Y$1047,MATCH(ROW()-1,装备库!$AO$2:$AO$1046,0),COLUMN()),"")</f>
        <v>3125</v>
      </c>
      <c r="K306">
        <f>IFERROR(INDEX(装备库!$A$2:$Y$1047,MATCH(ROW()-1,装备库!$AO$2:$AO$1046,0),COLUMN()),"")</f>
        <v>0</v>
      </c>
      <c r="L306">
        <f>IFERROR(INDEX(装备库!$A$2:$Y$1047,MATCH(ROW()-1,装备库!$AO$2:$AO$1046,0),COLUMN()),"")</f>
        <v>3516</v>
      </c>
      <c r="M306">
        <f>IFERROR(INDEX(装备库!$A$2:$Y$1047,MATCH(ROW()-1,装备库!$AO$2:$AO$1046,0),COLUMN()),"")</f>
        <v>0</v>
      </c>
      <c r="N306">
        <f>IFERROR(INDEX(装备库!$A$2:$Y$1047,MATCH(ROW()-1,装备库!$AO$2:$AO$1046,0),COLUMN()),"")</f>
        <v>0</v>
      </c>
      <c r="O306">
        <f>IFERROR(INDEX(装备库!$A$2:$Y$1047,MATCH(ROW()-1,装备库!$AO$2:$AO$1046,0),COLUMN()),"")</f>
        <v>1</v>
      </c>
      <c r="P306">
        <f>IFERROR(INDEX(装备库!$A$2:$Y$1047,MATCH(ROW()-1,装备库!$AO$2:$AO$1046,0),COLUMN()),"")</f>
        <v>0</v>
      </c>
      <c r="Q306">
        <f>IFERROR(INDEX(装备库!$A$2:$Y$1047,MATCH(ROW()-1,装备库!$AO$2:$AO$1046,0),COLUMN()),"")</f>
        <v>0</v>
      </c>
      <c r="R306">
        <f>IFERROR(INDEX(装备库!$A$2:$Y$1047,MATCH(ROW()-1,装备库!$AO$2:$AO$1046,0),COLUMN()),"")</f>
        <v>0</v>
      </c>
      <c r="S306">
        <f>IFERROR(INDEX(装备库!$A$2:$Y$1047,MATCH(ROW()-1,装备库!$AO$2:$AO$1046,0),COLUMN()),"")</f>
        <v>1</v>
      </c>
      <c r="T306">
        <f>IFERROR(INDEX(装备库!$A$2:$Y$1047,MATCH(ROW()-1,装备库!$AO$2:$AO$1046,0),COLUMN()),"")</f>
        <v>0</v>
      </c>
      <c r="U306">
        <f>IFERROR(INDEX(装备库!$A$2:$Y$1047,MATCH(ROW()-1,装备库!$AO$2:$AO$1046,0),COLUMN()),"")</f>
        <v>0</v>
      </c>
      <c r="V306">
        <f>IFERROR(INDEX(装备库!$A$2:$Y$1047,MATCH(ROW()-1,装备库!$AO$2:$AO$1046,0),COLUMN()),"")</f>
        <v>0</v>
      </c>
      <c r="W306" t="str">
        <f>IFERROR(INDEX(装备库!$A$2:$Y$1047,MATCH(ROW()-1,装备库!$AO$2:$AO$1046,0),COLUMN()),"")</f>
        <v>速招</v>
      </c>
      <c r="X306">
        <f>IFERROR(INDEX(装备库!$A$2:$Y$1047,MATCH(ROW()-1,装备库!$AO$2:$AO$1046,0),COLUMN()),"")</f>
        <v>6</v>
      </c>
      <c r="Y306" t="str">
        <f>IFERROR(INDEX(装备库!$A$2:$Y$1047,MATCH(ROW()-1,装备库!$AO$2:$AO$1046,0),COLUMN()),"")</f>
        <v>副本</v>
      </c>
    </row>
    <row r="307" spans="1:25" x14ac:dyDescent="0.35">
      <c r="A307" t="str">
        <f>IFERROR(INDEX(装备库!$A$2:$Y$1047,MATCH(ROW()-1,装备库!$AO$2:$AO$1046,0),COLUMN()),"")</f>
        <v>帽子</v>
      </c>
      <c r="B307" t="str">
        <f>IFERROR(INDEX(装备库!$A$2:$Y$1047,MATCH(ROW()-1,装备库!$AO$2:$AO$1046,0),COLUMN()),"")</f>
        <v>湘灿冠</v>
      </c>
      <c r="C307">
        <f>IFERROR(INDEX(装备库!$A$2:$Y$1047,MATCH(ROW()-1,装备库!$AO$2:$AO$1046,0),COLUMN()),"")</f>
        <v>11150</v>
      </c>
      <c r="D307" t="str">
        <f>IFERROR(INDEX(装备库!$A$2:$Y$1047,MATCH(ROW()-1,装备库!$AO$2:$AO$1046,0),COLUMN()),"")</f>
        <v>湘灿冠(11150会招)</v>
      </c>
      <c r="E307">
        <f>IFERROR(INDEX(装备库!$A$2:$Y$1047,MATCH(ROW()-1,装备库!$AO$2:$AO$1046,0),COLUMN()),"")</f>
        <v>701</v>
      </c>
      <c r="F307">
        <f>IFERROR(INDEX(装备库!$A$2:$Y$1047,MATCH(ROW()-1,装备库!$AO$2:$AO$1046,0),COLUMN()),"")</f>
        <v>1137</v>
      </c>
      <c r="G307">
        <f>IFERROR(INDEX(装备库!$A$2:$Y$1047,MATCH(ROW()-1,装备库!$AO$2:$AO$1046,0),COLUMN()),"")</f>
        <v>3516</v>
      </c>
      <c r="H307">
        <f>IFERROR(INDEX(装备库!$A$2:$Y$1047,MATCH(ROW()-1,装备库!$AO$2:$AO$1046,0),COLUMN()),"")</f>
        <v>0</v>
      </c>
      <c r="I307">
        <f>IFERROR(INDEX(装备库!$A$2:$Y$1047,MATCH(ROW()-1,装备库!$AO$2:$AO$1046,0),COLUMN()),"")</f>
        <v>0</v>
      </c>
      <c r="J307">
        <f>IFERROR(INDEX(装备库!$A$2:$Y$1047,MATCH(ROW()-1,装备库!$AO$2:$AO$1046,0),COLUMN()),"")</f>
        <v>3125</v>
      </c>
      <c r="K307">
        <f>IFERROR(INDEX(装备库!$A$2:$Y$1047,MATCH(ROW()-1,装备库!$AO$2:$AO$1046,0),COLUMN()),"")</f>
        <v>0</v>
      </c>
      <c r="L307">
        <f>IFERROR(INDEX(装备库!$A$2:$Y$1047,MATCH(ROW()-1,装备库!$AO$2:$AO$1046,0),COLUMN()),"")</f>
        <v>0</v>
      </c>
      <c r="M307">
        <f>IFERROR(INDEX(装备库!$A$2:$Y$1047,MATCH(ROW()-1,装备库!$AO$2:$AO$1046,0),COLUMN()),"")</f>
        <v>0</v>
      </c>
      <c r="N307">
        <f>IFERROR(INDEX(装备库!$A$2:$Y$1047,MATCH(ROW()-1,装备库!$AO$2:$AO$1046,0),COLUMN()),"")</f>
        <v>0</v>
      </c>
      <c r="O307">
        <f>IFERROR(INDEX(装备库!$A$2:$Y$1047,MATCH(ROW()-1,装备库!$AO$2:$AO$1046,0),COLUMN()),"")</f>
        <v>0</v>
      </c>
      <c r="P307">
        <f>IFERROR(INDEX(装备库!$A$2:$Y$1047,MATCH(ROW()-1,装备库!$AO$2:$AO$1046,0),COLUMN()),"")</f>
        <v>1</v>
      </c>
      <c r="Q307">
        <f>IFERROR(INDEX(装备库!$A$2:$Y$1047,MATCH(ROW()-1,装备库!$AO$2:$AO$1046,0),COLUMN()),"")</f>
        <v>0</v>
      </c>
      <c r="R307">
        <f>IFERROR(INDEX(装备库!$A$2:$Y$1047,MATCH(ROW()-1,装备库!$AO$2:$AO$1046,0),COLUMN()),"")</f>
        <v>0</v>
      </c>
      <c r="S307">
        <f>IFERROR(INDEX(装备库!$A$2:$Y$1047,MATCH(ROW()-1,装备库!$AO$2:$AO$1046,0),COLUMN()),"")</f>
        <v>1</v>
      </c>
      <c r="T307">
        <f>IFERROR(INDEX(装备库!$A$2:$Y$1047,MATCH(ROW()-1,装备库!$AO$2:$AO$1046,0),COLUMN()),"")</f>
        <v>0</v>
      </c>
      <c r="U307">
        <f>IFERROR(INDEX(装备库!$A$2:$Y$1047,MATCH(ROW()-1,装备库!$AO$2:$AO$1046,0),COLUMN()),"")</f>
        <v>0</v>
      </c>
      <c r="V307">
        <f>IFERROR(INDEX(装备库!$A$2:$Y$1047,MATCH(ROW()-1,装备库!$AO$2:$AO$1046,0),COLUMN()),"")</f>
        <v>0</v>
      </c>
      <c r="W307" t="str">
        <f>IFERROR(INDEX(装备库!$A$2:$Y$1047,MATCH(ROW()-1,装备库!$AO$2:$AO$1046,0),COLUMN()),"")</f>
        <v>会招</v>
      </c>
      <c r="X307">
        <f>IFERROR(INDEX(装备库!$A$2:$Y$1047,MATCH(ROW()-1,装备库!$AO$2:$AO$1046,0),COLUMN()),"")</f>
        <v>6</v>
      </c>
      <c r="Y307" t="str">
        <f>IFERROR(INDEX(装备库!$A$2:$Y$1047,MATCH(ROW()-1,装备库!$AO$2:$AO$1046,0),COLUMN()),"")</f>
        <v>世界BOSS</v>
      </c>
    </row>
    <row r="308" spans="1:25" x14ac:dyDescent="0.35">
      <c r="A308" t="str">
        <f>IFERROR(INDEX(装备库!$A$2:$Y$1047,MATCH(ROW()-1,装备库!$AO$2:$AO$1046,0),COLUMN()),"")</f>
        <v>帽子</v>
      </c>
      <c r="B308" t="str">
        <f>IFERROR(INDEX(装备库!$A$2:$Y$1047,MATCH(ROW()-1,装备库!$AO$2:$AO$1046,0),COLUMN()),"")</f>
        <v>客行江湖·凶炽冠</v>
      </c>
      <c r="C308">
        <f>IFERROR(INDEX(装备库!$A$2:$Y$1047,MATCH(ROW()-1,装备库!$AO$2:$AO$1046,0),COLUMN()),"")</f>
        <v>11150</v>
      </c>
      <c r="D308" t="str">
        <f>IFERROR(INDEX(装备库!$A$2:$Y$1047,MATCH(ROW()-1,装备库!$AO$2:$AO$1046,0),COLUMN()),"")</f>
        <v>客行江湖·凶炽冠(11150会招)</v>
      </c>
      <c r="E308">
        <f>IFERROR(INDEX(装备库!$A$2:$Y$1047,MATCH(ROW()-1,装备库!$AO$2:$AO$1046,0),COLUMN()),"")</f>
        <v>701</v>
      </c>
      <c r="F308">
        <f>IFERROR(INDEX(装备库!$A$2:$Y$1047,MATCH(ROW()-1,装备库!$AO$2:$AO$1046,0),COLUMN()),"")</f>
        <v>1137</v>
      </c>
      <c r="G308">
        <f>IFERROR(INDEX(装备库!$A$2:$Y$1047,MATCH(ROW()-1,装备库!$AO$2:$AO$1046,0),COLUMN()),"")</f>
        <v>3516</v>
      </c>
      <c r="H308">
        <f>IFERROR(INDEX(装备库!$A$2:$Y$1047,MATCH(ROW()-1,装备库!$AO$2:$AO$1046,0),COLUMN()),"")</f>
        <v>0</v>
      </c>
      <c r="I308">
        <f>IFERROR(INDEX(装备库!$A$2:$Y$1047,MATCH(ROW()-1,装备库!$AO$2:$AO$1046,0),COLUMN()),"")</f>
        <v>0</v>
      </c>
      <c r="J308">
        <f>IFERROR(INDEX(装备库!$A$2:$Y$1047,MATCH(ROW()-1,装备库!$AO$2:$AO$1046,0),COLUMN()),"")</f>
        <v>3125</v>
      </c>
      <c r="K308">
        <f>IFERROR(INDEX(装备库!$A$2:$Y$1047,MATCH(ROW()-1,装备库!$AO$2:$AO$1046,0),COLUMN()),"")</f>
        <v>0</v>
      </c>
      <c r="L308">
        <f>IFERROR(INDEX(装备库!$A$2:$Y$1047,MATCH(ROW()-1,装备库!$AO$2:$AO$1046,0),COLUMN()),"")</f>
        <v>0</v>
      </c>
      <c r="M308">
        <f>IFERROR(INDEX(装备库!$A$2:$Y$1047,MATCH(ROW()-1,装备库!$AO$2:$AO$1046,0),COLUMN()),"")</f>
        <v>0</v>
      </c>
      <c r="N308">
        <f>IFERROR(INDEX(装备库!$A$2:$Y$1047,MATCH(ROW()-1,装备库!$AO$2:$AO$1046,0),COLUMN()),"")</f>
        <v>0</v>
      </c>
      <c r="O308">
        <f>IFERROR(INDEX(装备库!$A$2:$Y$1047,MATCH(ROW()-1,装备库!$AO$2:$AO$1046,0),COLUMN()),"")</f>
        <v>0</v>
      </c>
      <c r="P308">
        <f>IFERROR(INDEX(装备库!$A$2:$Y$1047,MATCH(ROW()-1,装备库!$AO$2:$AO$1046,0),COLUMN()),"")</f>
        <v>1</v>
      </c>
      <c r="Q308">
        <f>IFERROR(INDEX(装备库!$A$2:$Y$1047,MATCH(ROW()-1,装备库!$AO$2:$AO$1046,0),COLUMN()),"")</f>
        <v>0</v>
      </c>
      <c r="R308">
        <f>IFERROR(INDEX(装备库!$A$2:$Y$1047,MATCH(ROW()-1,装备库!$AO$2:$AO$1046,0),COLUMN()),"")</f>
        <v>0</v>
      </c>
      <c r="S308">
        <f>IFERROR(INDEX(装备库!$A$2:$Y$1047,MATCH(ROW()-1,装备库!$AO$2:$AO$1046,0),COLUMN()),"")</f>
        <v>1</v>
      </c>
      <c r="T308">
        <f>IFERROR(INDEX(装备库!$A$2:$Y$1047,MATCH(ROW()-1,装备库!$AO$2:$AO$1046,0),COLUMN()),"")</f>
        <v>0</v>
      </c>
      <c r="U308">
        <f>IFERROR(INDEX(装备库!$A$2:$Y$1047,MATCH(ROW()-1,装备库!$AO$2:$AO$1046,0),COLUMN()),"")</f>
        <v>0</v>
      </c>
      <c r="V308">
        <f>IFERROR(INDEX(装备库!$A$2:$Y$1047,MATCH(ROW()-1,装备库!$AO$2:$AO$1046,0),COLUMN()),"")</f>
        <v>0</v>
      </c>
      <c r="W308" t="str">
        <f>IFERROR(INDEX(装备库!$A$2:$Y$1047,MATCH(ROW()-1,装备库!$AO$2:$AO$1046,0),COLUMN()),"")</f>
        <v>会招</v>
      </c>
      <c r="X308">
        <f>IFERROR(INDEX(装备库!$A$2:$Y$1047,MATCH(ROW()-1,装备库!$AO$2:$AO$1046,0),COLUMN()),"")</f>
        <v>6</v>
      </c>
      <c r="Y308" t="str">
        <f>IFERROR(INDEX(装备库!$A$2:$Y$1047,MATCH(ROW()-1,装备库!$AO$2:$AO$1046,0),COLUMN()),"")</f>
        <v>浪客笺</v>
      </c>
    </row>
    <row r="309" spans="1:25" x14ac:dyDescent="0.35">
      <c r="A309" t="str">
        <f>IFERROR(INDEX(装备库!$A$2:$Y$1047,MATCH(ROW()-1,装备库!$AO$2:$AO$1046,0),COLUMN()),"")</f>
        <v>帽子</v>
      </c>
      <c r="B309" t="str">
        <f>IFERROR(INDEX(装备库!$A$2:$Y$1047,MATCH(ROW()-1,装备库!$AO$2:$AO$1046,0),COLUMN()),"")</f>
        <v>旋山冠</v>
      </c>
      <c r="C309">
        <f>IFERROR(INDEX(装备库!$A$2:$Y$1047,MATCH(ROW()-1,装备库!$AO$2:$AO$1046,0),COLUMN()),"")</f>
        <v>11150</v>
      </c>
      <c r="D309" t="str">
        <f>IFERROR(INDEX(装备库!$A$2:$Y$1047,MATCH(ROW()-1,装备库!$AO$2:$AO$1046,0),COLUMN()),"")</f>
        <v>旋山冠(11150会无)</v>
      </c>
      <c r="E309">
        <f>IFERROR(INDEX(装备库!$A$2:$Y$1047,MATCH(ROW()-1,装备库!$AO$2:$AO$1046,0),COLUMN()),"")</f>
        <v>701</v>
      </c>
      <c r="F309">
        <f>IFERROR(INDEX(装备库!$A$2:$Y$1047,MATCH(ROW()-1,装备库!$AO$2:$AO$1046,0),COLUMN()),"")</f>
        <v>1137</v>
      </c>
      <c r="G309">
        <f>IFERROR(INDEX(装备库!$A$2:$Y$1047,MATCH(ROW()-1,装备库!$AO$2:$AO$1046,0),COLUMN()),"")</f>
        <v>3516</v>
      </c>
      <c r="H309">
        <f>IFERROR(INDEX(装备库!$A$2:$Y$1047,MATCH(ROW()-1,装备库!$AO$2:$AO$1046,0),COLUMN()),"")</f>
        <v>0</v>
      </c>
      <c r="I309">
        <f>IFERROR(INDEX(装备库!$A$2:$Y$1047,MATCH(ROW()-1,装备库!$AO$2:$AO$1046,0),COLUMN()),"")</f>
        <v>0</v>
      </c>
      <c r="J309">
        <f>IFERROR(INDEX(装备库!$A$2:$Y$1047,MATCH(ROW()-1,装备库!$AO$2:$AO$1046,0),COLUMN()),"")</f>
        <v>0</v>
      </c>
      <c r="K309">
        <f>IFERROR(INDEX(装备库!$A$2:$Y$1047,MATCH(ROW()-1,装备库!$AO$2:$AO$1046,0),COLUMN()),"")</f>
        <v>3125</v>
      </c>
      <c r="L309">
        <f>IFERROR(INDEX(装备库!$A$2:$Y$1047,MATCH(ROW()-1,装备库!$AO$2:$AO$1046,0),COLUMN()),"")</f>
        <v>0</v>
      </c>
      <c r="M309">
        <f>IFERROR(INDEX(装备库!$A$2:$Y$1047,MATCH(ROW()-1,装备库!$AO$2:$AO$1046,0),COLUMN()),"")</f>
        <v>0</v>
      </c>
      <c r="N309">
        <f>IFERROR(INDEX(装备库!$A$2:$Y$1047,MATCH(ROW()-1,装备库!$AO$2:$AO$1046,0),COLUMN()),"")</f>
        <v>0</v>
      </c>
      <c r="O309">
        <f>IFERROR(INDEX(装备库!$A$2:$Y$1047,MATCH(ROW()-1,装备库!$AO$2:$AO$1046,0),COLUMN()),"")</f>
        <v>0</v>
      </c>
      <c r="P309">
        <f>IFERROR(INDEX(装备库!$A$2:$Y$1047,MATCH(ROW()-1,装备库!$AO$2:$AO$1046,0),COLUMN()),"")</f>
        <v>0</v>
      </c>
      <c r="Q309">
        <f>IFERROR(INDEX(装备库!$A$2:$Y$1047,MATCH(ROW()-1,装备库!$AO$2:$AO$1046,0),COLUMN()),"")</f>
        <v>0</v>
      </c>
      <c r="R309">
        <f>IFERROR(INDEX(装备库!$A$2:$Y$1047,MATCH(ROW()-1,装备库!$AO$2:$AO$1046,0),COLUMN()),"")</f>
        <v>0</v>
      </c>
      <c r="S309">
        <f>IFERROR(INDEX(装备库!$A$2:$Y$1047,MATCH(ROW()-1,装备库!$AO$2:$AO$1046,0),COLUMN()),"")</f>
        <v>1</v>
      </c>
      <c r="T309">
        <f>IFERROR(INDEX(装备库!$A$2:$Y$1047,MATCH(ROW()-1,装备库!$AO$2:$AO$1046,0),COLUMN()),"")</f>
        <v>0</v>
      </c>
      <c r="U309">
        <f>IFERROR(INDEX(装备库!$A$2:$Y$1047,MATCH(ROW()-1,装备库!$AO$2:$AO$1046,0),COLUMN()),"")</f>
        <v>1</v>
      </c>
      <c r="V309">
        <f>IFERROR(INDEX(装备库!$A$2:$Y$1047,MATCH(ROW()-1,装备库!$AO$2:$AO$1046,0),COLUMN()),"")</f>
        <v>0</v>
      </c>
      <c r="W309" t="str">
        <f>IFERROR(INDEX(装备库!$A$2:$Y$1047,MATCH(ROW()-1,装备库!$AO$2:$AO$1046,0),COLUMN()),"")</f>
        <v>会无</v>
      </c>
      <c r="X309">
        <f>IFERROR(INDEX(装备库!$A$2:$Y$1047,MATCH(ROW()-1,装备库!$AO$2:$AO$1046,0),COLUMN()),"")</f>
        <v>6</v>
      </c>
      <c r="Y309" t="str">
        <f>IFERROR(INDEX(装备库!$A$2:$Y$1047,MATCH(ROW()-1,装备库!$AO$2:$AO$1046,0),COLUMN()),"")</f>
        <v>副本</v>
      </c>
    </row>
    <row r="310" spans="1:25" x14ac:dyDescent="0.35">
      <c r="A310" t="str">
        <f>IFERROR(INDEX(装备库!$A$2:$Y$1047,MATCH(ROW()-1,装备库!$AO$2:$AO$1046,0),COLUMN()),"")</f>
        <v>帽子</v>
      </c>
      <c r="B310" t="str">
        <f>IFERROR(INDEX(装备库!$A$2:$Y$1047,MATCH(ROW()-1,装备库!$AO$2:$AO$1046,0),COLUMN()),"")</f>
        <v>暮祁冠</v>
      </c>
      <c r="C310">
        <f>IFERROR(INDEX(装备库!$A$2:$Y$1047,MATCH(ROW()-1,装备库!$AO$2:$AO$1046,0),COLUMN()),"")</f>
        <v>11300</v>
      </c>
      <c r="D310" t="str">
        <f>IFERROR(INDEX(装备库!$A$2:$Y$1047,MATCH(ROW()-1,装备库!$AO$2:$AO$1046,0),COLUMN()),"")</f>
        <v>暮祁冠(11300会招)</v>
      </c>
      <c r="E310">
        <f>IFERROR(INDEX(装备库!$A$2:$Y$1047,MATCH(ROW()-1,装备库!$AO$2:$AO$1046,0),COLUMN()),"")</f>
        <v>710</v>
      </c>
      <c r="F310">
        <f>IFERROR(INDEX(装备库!$A$2:$Y$1047,MATCH(ROW()-1,装备库!$AO$2:$AO$1046,0),COLUMN()),"")</f>
        <v>1152</v>
      </c>
      <c r="G310">
        <f>IFERROR(INDEX(装备库!$A$2:$Y$1047,MATCH(ROW()-1,装备库!$AO$2:$AO$1046,0),COLUMN()),"")</f>
        <v>3563</v>
      </c>
      <c r="H310">
        <f>IFERROR(INDEX(装备库!$A$2:$Y$1047,MATCH(ROW()-1,装备库!$AO$2:$AO$1046,0),COLUMN()),"")</f>
        <v>0</v>
      </c>
      <c r="I310">
        <f>IFERROR(INDEX(装备库!$A$2:$Y$1047,MATCH(ROW()-1,装备库!$AO$2:$AO$1046,0),COLUMN()),"")</f>
        <v>0</v>
      </c>
      <c r="J310">
        <f>IFERROR(INDEX(装备库!$A$2:$Y$1047,MATCH(ROW()-1,装备库!$AO$2:$AO$1046,0),COLUMN()),"")</f>
        <v>3167</v>
      </c>
      <c r="K310">
        <f>IFERROR(INDEX(装备库!$A$2:$Y$1047,MATCH(ROW()-1,装备库!$AO$2:$AO$1046,0),COLUMN()),"")</f>
        <v>0</v>
      </c>
      <c r="L310">
        <f>IFERROR(INDEX(装备库!$A$2:$Y$1047,MATCH(ROW()-1,装备库!$AO$2:$AO$1046,0),COLUMN()),"")</f>
        <v>0</v>
      </c>
      <c r="M310">
        <f>IFERROR(INDEX(装备库!$A$2:$Y$1047,MATCH(ROW()-1,装备库!$AO$2:$AO$1046,0),COLUMN()),"")</f>
        <v>0</v>
      </c>
      <c r="N310">
        <f>IFERROR(INDEX(装备库!$A$2:$Y$1047,MATCH(ROW()-1,装备库!$AO$2:$AO$1046,0),COLUMN()),"")</f>
        <v>0</v>
      </c>
      <c r="O310">
        <f>IFERROR(INDEX(装备库!$A$2:$Y$1047,MATCH(ROW()-1,装备库!$AO$2:$AO$1046,0),COLUMN()),"")</f>
        <v>0</v>
      </c>
      <c r="P310">
        <f>IFERROR(INDEX(装备库!$A$2:$Y$1047,MATCH(ROW()-1,装备库!$AO$2:$AO$1046,0),COLUMN()),"")</f>
        <v>1</v>
      </c>
      <c r="Q310">
        <f>IFERROR(INDEX(装备库!$A$2:$Y$1047,MATCH(ROW()-1,装备库!$AO$2:$AO$1046,0),COLUMN()),"")</f>
        <v>0</v>
      </c>
      <c r="R310">
        <f>IFERROR(INDEX(装备库!$A$2:$Y$1047,MATCH(ROW()-1,装备库!$AO$2:$AO$1046,0),COLUMN()),"")</f>
        <v>0</v>
      </c>
      <c r="S310">
        <f>IFERROR(INDEX(装备库!$A$2:$Y$1047,MATCH(ROW()-1,装备库!$AO$2:$AO$1046,0),COLUMN()),"")</f>
        <v>1</v>
      </c>
      <c r="T310">
        <f>IFERROR(INDEX(装备库!$A$2:$Y$1047,MATCH(ROW()-1,装备库!$AO$2:$AO$1046,0),COLUMN()),"")</f>
        <v>0</v>
      </c>
      <c r="U310">
        <f>IFERROR(INDEX(装备库!$A$2:$Y$1047,MATCH(ROW()-1,装备库!$AO$2:$AO$1046,0),COLUMN()),"")</f>
        <v>0</v>
      </c>
      <c r="V310">
        <f>IFERROR(INDEX(装备库!$A$2:$Y$1047,MATCH(ROW()-1,装备库!$AO$2:$AO$1046,0),COLUMN()),"")</f>
        <v>0</v>
      </c>
      <c r="W310" t="str">
        <f>IFERROR(INDEX(装备库!$A$2:$Y$1047,MATCH(ROW()-1,装备库!$AO$2:$AO$1046,0),COLUMN()),"")</f>
        <v>会招</v>
      </c>
      <c r="X310">
        <f>IFERROR(INDEX(装备库!$A$2:$Y$1047,MATCH(ROW()-1,装备库!$AO$2:$AO$1046,0),COLUMN()),"")</f>
        <v>6</v>
      </c>
      <c r="Y310" t="str">
        <f>IFERROR(INDEX(装备库!$A$2:$Y$1047,MATCH(ROW()-1,装备库!$AO$2:$AO$1046,0),COLUMN()),"")</f>
        <v>生活技能</v>
      </c>
    </row>
    <row r="311" spans="1:25" x14ac:dyDescent="0.35">
      <c r="A311" t="str">
        <f>IFERROR(INDEX(装备库!$A$2:$Y$1047,MATCH(ROW()-1,装备库!$AO$2:$AO$1046,0),COLUMN()),"")</f>
        <v>帽子</v>
      </c>
      <c r="B311" t="str">
        <f>IFERROR(INDEX(装备库!$A$2:$Y$1047,MATCH(ROW()-1,装备库!$AO$2:$AO$1046,0),COLUMN()),"")</f>
        <v>无封头饰</v>
      </c>
      <c r="C311">
        <f>IFERROR(INDEX(装备库!$A$2:$Y$1047,MATCH(ROW()-1,装备库!$AO$2:$AO$1046,0),COLUMN()),"")</f>
        <v>11500</v>
      </c>
      <c r="D311" t="str">
        <f>IFERROR(INDEX(装备库!$A$2:$Y$1047,MATCH(ROW()-1,装备库!$AO$2:$AO$1046,0),COLUMN()),"")</f>
        <v>无封头饰(11500精简攻会招)</v>
      </c>
      <c r="E311">
        <f>IFERROR(INDEX(装备库!$A$2:$Y$1047,MATCH(ROW()-1,装备库!$AO$2:$AO$1046,0),COLUMN()),"")</f>
        <v>0</v>
      </c>
      <c r="F311">
        <f>IFERROR(INDEX(装备库!$A$2:$Y$1047,MATCH(ROW()-1,装备库!$AO$2:$AO$1046,0),COLUMN()),"")</f>
        <v>2615</v>
      </c>
      <c r="G311">
        <f>IFERROR(INDEX(装备库!$A$2:$Y$1047,MATCH(ROW()-1,装备库!$AO$2:$AO$1046,0),COLUMN()),"")</f>
        <v>4029</v>
      </c>
      <c r="H311">
        <f>IFERROR(INDEX(装备库!$A$2:$Y$1047,MATCH(ROW()-1,装备库!$AO$2:$AO$1046,0),COLUMN()),"")</f>
        <v>0</v>
      </c>
      <c r="I311">
        <f>IFERROR(INDEX(装备库!$A$2:$Y$1047,MATCH(ROW()-1,装备库!$AO$2:$AO$1046,0),COLUMN()),"")</f>
        <v>0</v>
      </c>
      <c r="J311">
        <f>IFERROR(INDEX(装备库!$A$2:$Y$1047,MATCH(ROW()-1,装备库!$AO$2:$AO$1046,0),COLUMN()),"")</f>
        <v>4231</v>
      </c>
      <c r="K311">
        <f>IFERROR(INDEX(装备库!$A$2:$Y$1047,MATCH(ROW()-1,装备库!$AO$2:$AO$1046,0),COLUMN()),"")</f>
        <v>0</v>
      </c>
      <c r="L311">
        <f>IFERROR(INDEX(装备库!$A$2:$Y$1047,MATCH(ROW()-1,装备库!$AO$2:$AO$1046,0),COLUMN()),"")</f>
        <v>0</v>
      </c>
      <c r="M311">
        <f>IFERROR(INDEX(装备库!$A$2:$Y$1047,MATCH(ROW()-1,装备库!$AO$2:$AO$1046,0),COLUMN()),"")</f>
        <v>0</v>
      </c>
      <c r="N311">
        <f>IFERROR(INDEX(装备库!$A$2:$Y$1047,MATCH(ROW()-1,装备库!$AO$2:$AO$1046,0),COLUMN()),"")</f>
        <v>0</v>
      </c>
      <c r="O311">
        <f>IFERROR(INDEX(装备库!$A$2:$Y$1047,MATCH(ROW()-1,装备库!$AO$2:$AO$1046,0),COLUMN()),"")</f>
        <v>0</v>
      </c>
      <c r="P311">
        <f>IFERROR(INDEX(装备库!$A$2:$Y$1047,MATCH(ROW()-1,装备库!$AO$2:$AO$1046,0),COLUMN()),"")</f>
        <v>0</v>
      </c>
      <c r="Q311">
        <f>IFERROR(INDEX(装备库!$A$2:$Y$1047,MATCH(ROW()-1,装备库!$AO$2:$AO$1046,0),COLUMN()),"")</f>
        <v>0</v>
      </c>
      <c r="R311">
        <f>IFERROR(INDEX(装备库!$A$2:$Y$1047,MATCH(ROW()-1,装备库!$AO$2:$AO$1046,0),COLUMN()),"")</f>
        <v>1</v>
      </c>
      <c r="S311">
        <f>IFERROR(INDEX(装备库!$A$2:$Y$1047,MATCH(ROW()-1,装备库!$AO$2:$AO$1046,0),COLUMN()),"")</f>
        <v>0</v>
      </c>
      <c r="T311">
        <f>IFERROR(INDEX(装备库!$A$2:$Y$1047,MATCH(ROW()-1,装备库!$AO$2:$AO$1046,0),COLUMN()),"")</f>
        <v>1</v>
      </c>
      <c r="U311">
        <f>IFERROR(INDEX(装备库!$A$2:$Y$1047,MATCH(ROW()-1,装备库!$AO$2:$AO$1046,0),COLUMN()),"")</f>
        <v>0</v>
      </c>
      <c r="V311">
        <f>IFERROR(INDEX(装备库!$A$2:$Y$1047,MATCH(ROW()-1,装备库!$AO$2:$AO$1046,0),COLUMN()),"")</f>
        <v>0</v>
      </c>
      <c r="W311" t="str">
        <f>IFERROR(INDEX(装备库!$A$2:$Y$1047,MATCH(ROW()-1,装备库!$AO$2:$AO$1046,0),COLUMN()),"")</f>
        <v>精简攻会招</v>
      </c>
      <c r="X311">
        <f>IFERROR(INDEX(装备库!$A$2:$Y$1047,MATCH(ROW()-1,装备库!$AO$2:$AO$1046,0),COLUMN()),"")</f>
        <v>3</v>
      </c>
      <c r="Y311" t="str">
        <f>IFERROR(INDEX(装备库!$A$2:$Y$1047,MATCH(ROW()-1,装备库!$AO$2:$AO$1046,0),COLUMN()),"")</f>
        <v>活动</v>
      </c>
    </row>
    <row r="312" spans="1:25" x14ac:dyDescent="0.35">
      <c r="A312" t="str">
        <f>IFERROR(INDEX(装备库!$A$2:$Y$1047,MATCH(ROW()-1,装备库!$AO$2:$AO$1046,0),COLUMN()),"")</f>
        <v>帽子</v>
      </c>
      <c r="B312" t="str">
        <f>IFERROR(INDEX(装备库!$A$2:$Y$1047,MATCH(ROW()-1,装备库!$AO$2:$AO$1046,0),COLUMN()),"")</f>
        <v>无封头饰</v>
      </c>
      <c r="C312">
        <f>IFERROR(INDEX(装备库!$A$2:$Y$1047,MATCH(ROW()-1,装备库!$AO$2:$AO$1046,0),COLUMN()),"")</f>
        <v>11500</v>
      </c>
      <c r="D312" t="str">
        <f>IFERROR(INDEX(装备库!$A$2:$Y$1047,MATCH(ROW()-1,装备库!$AO$2:$AO$1046,0),COLUMN()),"")</f>
        <v>无封头饰(11500精简攻会破无)</v>
      </c>
      <c r="E312">
        <f>IFERROR(INDEX(装备库!$A$2:$Y$1047,MATCH(ROW()-1,装备库!$AO$2:$AO$1046,0),COLUMN()),"")</f>
        <v>0</v>
      </c>
      <c r="F312">
        <f>IFERROR(INDEX(装备库!$A$2:$Y$1047,MATCH(ROW()-1,装备库!$AO$2:$AO$1046,0),COLUMN()),"")</f>
        <v>2615</v>
      </c>
      <c r="G312">
        <f>IFERROR(INDEX(装备库!$A$2:$Y$1047,MATCH(ROW()-1,装备库!$AO$2:$AO$1046,0),COLUMN()),"")</f>
        <v>3223</v>
      </c>
      <c r="H312">
        <f>IFERROR(INDEX(装备库!$A$2:$Y$1047,MATCH(ROW()-1,装备库!$AO$2:$AO$1046,0),COLUMN()),"")</f>
        <v>0</v>
      </c>
      <c r="I312">
        <f>IFERROR(INDEX(装备库!$A$2:$Y$1047,MATCH(ROW()-1,装备库!$AO$2:$AO$1046,0),COLUMN()),"")</f>
        <v>2820</v>
      </c>
      <c r="J312">
        <f>IFERROR(INDEX(装备库!$A$2:$Y$1047,MATCH(ROW()-1,装备库!$AO$2:$AO$1046,0),COLUMN()),"")</f>
        <v>0</v>
      </c>
      <c r="K312">
        <f>IFERROR(INDEX(装备库!$A$2:$Y$1047,MATCH(ROW()-1,装备库!$AO$2:$AO$1046,0),COLUMN()),"")</f>
        <v>2216</v>
      </c>
      <c r="L312">
        <f>IFERROR(INDEX(装备库!$A$2:$Y$1047,MATCH(ROW()-1,装备库!$AO$2:$AO$1046,0),COLUMN()),"")</f>
        <v>0</v>
      </c>
      <c r="M312">
        <f>IFERROR(INDEX(装备库!$A$2:$Y$1047,MATCH(ROW()-1,装备库!$AO$2:$AO$1046,0),COLUMN()),"")</f>
        <v>0</v>
      </c>
      <c r="N312">
        <f>IFERROR(INDEX(装备库!$A$2:$Y$1047,MATCH(ROW()-1,装备库!$AO$2:$AO$1046,0),COLUMN()),"")</f>
        <v>0</v>
      </c>
      <c r="O312">
        <f>IFERROR(INDEX(装备库!$A$2:$Y$1047,MATCH(ROW()-1,装备库!$AO$2:$AO$1046,0),COLUMN()),"")</f>
        <v>0</v>
      </c>
      <c r="P312">
        <f>IFERROR(INDEX(装备库!$A$2:$Y$1047,MATCH(ROW()-1,装备库!$AO$2:$AO$1046,0),COLUMN()),"")</f>
        <v>1</v>
      </c>
      <c r="Q312">
        <f>IFERROR(INDEX(装备库!$A$2:$Y$1047,MATCH(ROW()-1,装备库!$AO$2:$AO$1046,0),COLUMN()),"")</f>
        <v>0</v>
      </c>
      <c r="R312">
        <f>IFERROR(INDEX(装备库!$A$2:$Y$1047,MATCH(ROW()-1,装备库!$AO$2:$AO$1046,0),COLUMN()),"")</f>
        <v>1</v>
      </c>
      <c r="S312">
        <f>IFERROR(INDEX(装备库!$A$2:$Y$1047,MATCH(ROW()-1,装备库!$AO$2:$AO$1046,0),COLUMN()),"")</f>
        <v>0</v>
      </c>
      <c r="T312">
        <f>IFERROR(INDEX(装备库!$A$2:$Y$1047,MATCH(ROW()-1,装备库!$AO$2:$AO$1046,0),COLUMN()),"")</f>
        <v>0</v>
      </c>
      <c r="U312">
        <f>IFERROR(INDEX(装备库!$A$2:$Y$1047,MATCH(ROW()-1,装备库!$AO$2:$AO$1046,0),COLUMN()),"")</f>
        <v>0</v>
      </c>
      <c r="V312">
        <f>IFERROR(INDEX(装备库!$A$2:$Y$1047,MATCH(ROW()-1,装备库!$AO$2:$AO$1046,0),COLUMN()),"")</f>
        <v>0</v>
      </c>
      <c r="W312" t="str">
        <f>IFERROR(INDEX(装备库!$A$2:$Y$1047,MATCH(ROW()-1,装备库!$AO$2:$AO$1046,0),COLUMN()),"")</f>
        <v>精简攻会破无</v>
      </c>
      <c r="X312">
        <f>IFERROR(INDEX(装备库!$A$2:$Y$1047,MATCH(ROW()-1,装备库!$AO$2:$AO$1046,0),COLUMN()),"")</f>
        <v>3</v>
      </c>
      <c r="Y312" t="str">
        <f>IFERROR(INDEX(装备库!$A$2:$Y$1047,MATCH(ROW()-1,装备库!$AO$2:$AO$1046,0),COLUMN()),"")</f>
        <v>活动</v>
      </c>
    </row>
    <row r="313" spans="1:25" x14ac:dyDescent="0.35">
      <c r="A313" t="str">
        <f>IFERROR(INDEX(装备库!$A$2:$Y$1047,MATCH(ROW()-1,装备库!$AO$2:$AO$1046,0),COLUMN()),"")</f>
        <v>帽子</v>
      </c>
      <c r="B313" t="str">
        <f>IFERROR(INDEX(装备库!$A$2:$Y$1047,MATCH(ROW()-1,装备库!$AO$2:$AO$1046,0),COLUMN()),"")</f>
        <v>无封头饰</v>
      </c>
      <c r="C313">
        <f>IFERROR(INDEX(装备库!$A$2:$Y$1047,MATCH(ROW()-1,装备库!$AO$2:$AO$1046,0),COLUMN()),"")</f>
        <v>11500</v>
      </c>
      <c r="D313" t="str">
        <f>IFERROR(INDEX(装备库!$A$2:$Y$1047,MATCH(ROW()-1,装备库!$AO$2:$AO$1046,0),COLUMN()),"")</f>
        <v>无封头饰(11500精简攻会)</v>
      </c>
      <c r="E313">
        <f>IFERROR(INDEX(装备库!$A$2:$Y$1047,MATCH(ROW()-1,装备库!$AO$2:$AO$1046,0),COLUMN()),"")</f>
        <v>0</v>
      </c>
      <c r="F313">
        <f>IFERROR(INDEX(装备库!$A$2:$Y$1047,MATCH(ROW()-1,装备库!$AO$2:$AO$1046,0),COLUMN()),"")</f>
        <v>3066</v>
      </c>
      <c r="G313">
        <f>IFERROR(INDEX(装备库!$A$2:$Y$1047,MATCH(ROW()-1,装备库!$AO$2:$AO$1046,0),COLUMN()),"")</f>
        <v>7152</v>
      </c>
      <c r="H313">
        <f>IFERROR(INDEX(装备库!$A$2:$Y$1047,MATCH(ROW()-1,装备库!$AO$2:$AO$1046,0),COLUMN()),"")</f>
        <v>0</v>
      </c>
      <c r="I313">
        <f>IFERROR(INDEX(装备库!$A$2:$Y$1047,MATCH(ROW()-1,装备库!$AO$2:$AO$1046,0),COLUMN()),"")</f>
        <v>0</v>
      </c>
      <c r="J313">
        <f>IFERROR(INDEX(装备库!$A$2:$Y$1047,MATCH(ROW()-1,装备库!$AO$2:$AO$1046,0),COLUMN()),"")</f>
        <v>0</v>
      </c>
      <c r="K313">
        <f>IFERROR(INDEX(装备库!$A$2:$Y$1047,MATCH(ROW()-1,装备库!$AO$2:$AO$1046,0),COLUMN()),"")</f>
        <v>0</v>
      </c>
      <c r="L313">
        <f>IFERROR(INDEX(装备库!$A$2:$Y$1047,MATCH(ROW()-1,装备库!$AO$2:$AO$1046,0),COLUMN()),"")</f>
        <v>0</v>
      </c>
      <c r="M313">
        <f>IFERROR(INDEX(装备库!$A$2:$Y$1047,MATCH(ROW()-1,装备库!$AO$2:$AO$1046,0),COLUMN()),"")</f>
        <v>0</v>
      </c>
      <c r="N313">
        <f>IFERROR(INDEX(装备库!$A$2:$Y$1047,MATCH(ROW()-1,装备库!$AO$2:$AO$1046,0),COLUMN()),"")</f>
        <v>0</v>
      </c>
      <c r="O313">
        <f>IFERROR(INDEX(装备库!$A$2:$Y$1047,MATCH(ROW()-1,装备库!$AO$2:$AO$1046,0),COLUMN()),"")</f>
        <v>0</v>
      </c>
      <c r="P313">
        <f>IFERROR(INDEX(装备库!$A$2:$Y$1047,MATCH(ROW()-1,装备库!$AO$2:$AO$1046,0),COLUMN()),"")</f>
        <v>0</v>
      </c>
      <c r="Q313">
        <f>IFERROR(INDEX(装备库!$A$2:$Y$1047,MATCH(ROW()-1,装备库!$AO$2:$AO$1046,0),COLUMN()),"")</f>
        <v>1</v>
      </c>
      <c r="R313">
        <f>IFERROR(INDEX(装备库!$A$2:$Y$1047,MATCH(ROW()-1,装备库!$AO$2:$AO$1046,0),COLUMN()),"")</f>
        <v>1</v>
      </c>
      <c r="S313">
        <f>IFERROR(INDEX(装备库!$A$2:$Y$1047,MATCH(ROW()-1,装备库!$AO$2:$AO$1046,0),COLUMN()),"")</f>
        <v>0</v>
      </c>
      <c r="T313">
        <f>IFERROR(INDEX(装备库!$A$2:$Y$1047,MATCH(ROW()-1,装备库!$AO$2:$AO$1046,0),COLUMN()),"")</f>
        <v>0</v>
      </c>
      <c r="U313">
        <f>IFERROR(INDEX(装备库!$A$2:$Y$1047,MATCH(ROW()-1,装备库!$AO$2:$AO$1046,0),COLUMN()),"")</f>
        <v>0</v>
      </c>
      <c r="V313">
        <f>IFERROR(INDEX(装备库!$A$2:$Y$1047,MATCH(ROW()-1,装备库!$AO$2:$AO$1046,0),COLUMN()),"")</f>
        <v>0</v>
      </c>
      <c r="W313" t="str">
        <f>IFERROR(INDEX(装备库!$A$2:$Y$1047,MATCH(ROW()-1,装备库!$AO$2:$AO$1046,0),COLUMN()),"")</f>
        <v>精简攻会</v>
      </c>
      <c r="X313">
        <f>IFERROR(INDEX(装备库!$A$2:$Y$1047,MATCH(ROW()-1,装备库!$AO$2:$AO$1046,0),COLUMN()),"")</f>
        <v>3</v>
      </c>
      <c r="Y313" t="str">
        <f>IFERROR(INDEX(装备库!$A$2:$Y$1047,MATCH(ROW()-1,装备库!$AO$2:$AO$1046,0),COLUMN()),"")</f>
        <v>活动</v>
      </c>
    </row>
    <row r="314" spans="1:25" x14ac:dyDescent="0.35">
      <c r="A314" t="str">
        <f>IFERROR(INDEX(装备库!$A$2:$Y$1047,MATCH(ROW()-1,装备库!$AO$2:$AO$1046,0),COLUMN()),"")</f>
        <v>帽子</v>
      </c>
      <c r="B314" t="str">
        <f>IFERROR(INDEX(装备库!$A$2:$Y$1047,MATCH(ROW()-1,装备库!$AO$2:$AO$1046,0),COLUMN()),"")</f>
        <v>无封头饰</v>
      </c>
      <c r="C314">
        <f>IFERROR(INDEX(装备库!$A$2:$Y$1047,MATCH(ROW()-1,装备库!$AO$2:$AO$1046,0),COLUMN()),"")</f>
        <v>12100</v>
      </c>
      <c r="D314" t="str">
        <f>IFERROR(INDEX(装备库!$A$2:$Y$1047,MATCH(ROW()-1,装备库!$AO$2:$AO$1046,0),COLUMN()),"")</f>
        <v>无封头饰(12100精简攻破)</v>
      </c>
      <c r="E314">
        <f>IFERROR(INDEX(装备库!$A$2:$Y$1047,MATCH(ROW()-1,装备库!$AO$2:$AO$1046,0),COLUMN()),"")</f>
        <v>0</v>
      </c>
      <c r="F314">
        <f>IFERROR(INDEX(装备库!$A$2:$Y$1047,MATCH(ROW()-1,装备库!$AO$2:$AO$1046,0),COLUMN()),"")</f>
        <v>3226</v>
      </c>
      <c r="G314">
        <f>IFERROR(INDEX(装备库!$A$2:$Y$1047,MATCH(ROW()-1,装备库!$AO$2:$AO$1046,0),COLUMN()),"")</f>
        <v>0</v>
      </c>
      <c r="H314">
        <f>IFERROR(INDEX(装备库!$A$2:$Y$1047,MATCH(ROW()-1,装备库!$AO$2:$AO$1046,0),COLUMN()),"")</f>
        <v>0</v>
      </c>
      <c r="I314">
        <f>IFERROR(INDEX(装备库!$A$2:$Y$1047,MATCH(ROW()-1,装备库!$AO$2:$AO$1046,0),COLUMN()),"")</f>
        <v>7525</v>
      </c>
      <c r="J314">
        <f>IFERROR(INDEX(装备库!$A$2:$Y$1047,MATCH(ROW()-1,装备库!$AO$2:$AO$1046,0),COLUMN()),"")</f>
        <v>0</v>
      </c>
      <c r="K314">
        <f>IFERROR(INDEX(装备库!$A$2:$Y$1047,MATCH(ROW()-1,装备库!$AO$2:$AO$1046,0),COLUMN()),"")</f>
        <v>0</v>
      </c>
      <c r="L314">
        <f>IFERROR(INDEX(装备库!$A$2:$Y$1047,MATCH(ROW()-1,装备库!$AO$2:$AO$1046,0),COLUMN()),"")</f>
        <v>0</v>
      </c>
      <c r="M314">
        <f>IFERROR(INDEX(装备库!$A$2:$Y$1047,MATCH(ROW()-1,装备库!$AO$2:$AO$1046,0),COLUMN()),"")</f>
        <v>0</v>
      </c>
      <c r="N314">
        <f>IFERROR(INDEX(装备库!$A$2:$Y$1047,MATCH(ROW()-1,装备库!$AO$2:$AO$1046,0),COLUMN()),"")</f>
        <v>0</v>
      </c>
      <c r="O314">
        <f>IFERROR(INDEX(装备库!$A$2:$Y$1047,MATCH(ROW()-1,装备库!$AO$2:$AO$1046,0),COLUMN()),"")</f>
        <v>0</v>
      </c>
      <c r="P314">
        <f>IFERROR(INDEX(装备库!$A$2:$Y$1047,MATCH(ROW()-1,装备库!$AO$2:$AO$1046,0),COLUMN()),"")</f>
        <v>1</v>
      </c>
      <c r="Q314">
        <f>IFERROR(INDEX(装备库!$A$2:$Y$1047,MATCH(ROW()-1,装备库!$AO$2:$AO$1046,0),COLUMN()),"")</f>
        <v>0</v>
      </c>
      <c r="R314">
        <f>IFERROR(INDEX(装备库!$A$2:$Y$1047,MATCH(ROW()-1,装备库!$AO$2:$AO$1046,0),COLUMN()),"")</f>
        <v>0</v>
      </c>
      <c r="S314">
        <f>IFERROR(INDEX(装备库!$A$2:$Y$1047,MATCH(ROW()-1,装备库!$AO$2:$AO$1046,0),COLUMN()),"")</f>
        <v>0</v>
      </c>
      <c r="T314">
        <f>IFERROR(INDEX(装备库!$A$2:$Y$1047,MATCH(ROW()-1,装备库!$AO$2:$AO$1046,0),COLUMN()),"")</f>
        <v>1</v>
      </c>
      <c r="U314">
        <f>IFERROR(INDEX(装备库!$A$2:$Y$1047,MATCH(ROW()-1,装备库!$AO$2:$AO$1046,0),COLUMN()),"")</f>
        <v>0</v>
      </c>
      <c r="V314">
        <f>IFERROR(INDEX(装备库!$A$2:$Y$1047,MATCH(ROW()-1,装备库!$AO$2:$AO$1046,0),COLUMN()),"")</f>
        <v>0</v>
      </c>
      <c r="W314" t="str">
        <f>IFERROR(INDEX(装备库!$A$2:$Y$1047,MATCH(ROW()-1,装备库!$AO$2:$AO$1046,0),COLUMN()),"")</f>
        <v>精简攻破</v>
      </c>
      <c r="X314">
        <f>IFERROR(INDEX(装备库!$A$2:$Y$1047,MATCH(ROW()-1,装备库!$AO$2:$AO$1046,0),COLUMN()),"")</f>
        <v>3</v>
      </c>
      <c r="Y314" t="str">
        <f>IFERROR(INDEX(装备库!$A$2:$Y$1047,MATCH(ROW()-1,装备库!$AO$2:$AO$1046,0),COLUMN()),"")</f>
        <v>活动</v>
      </c>
    </row>
    <row r="315" spans="1:25" x14ac:dyDescent="0.35">
      <c r="A315" t="str">
        <f>IFERROR(INDEX(装备库!$A$2:$Y$1047,MATCH(ROW()-1,装备库!$AO$2:$AO$1046,0),COLUMN()),"")</f>
        <v>帽子</v>
      </c>
      <c r="B315" t="str">
        <f>IFERROR(INDEX(装备库!$A$2:$Y$1047,MATCH(ROW()-1,装备库!$AO$2:$AO$1046,0),COLUMN()),"")</f>
        <v>无封头饰</v>
      </c>
      <c r="C315">
        <f>IFERROR(INDEX(装备库!$A$2:$Y$1047,MATCH(ROW()-1,装备库!$AO$2:$AO$1046,0),COLUMN()),"")</f>
        <v>12100</v>
      </c>
      <c r="D315" t="str">
        <f>IFERROR(INDEX(装备库!$A$2:$Y$1047,MATCH(ROW()-1,装备库!$AO$2:$AO$1046,0),COLUMN()),"")</f>
        <v>无封头饰(12100精简攻会招无)</v>
      </c>
      <c r="E315">
        <f>IFERROR(INDEX(装备库!$A$2:$Y$1047,MATCH(ROW()-1,装备库!$AO$2:$AO$1046,0),COLUMN()),"")</f>
        <v>0</v>
      </c>
      <c r="F315">
        <f>IFERROR(INDEX(装备库!$A$2:$Y$1047,MATCH(ROW()-1,装备库!$AO$2:$AO$1046,0),COLUMN()),"")</f>
        <v>2752</v>
      </c>
      <c r="G315">
        <f>IFERROR(INDEX(装备库!$A$2:$Y$1047,MATCH(ROW()-1,装备库!$AO$2:$AO$1046,0),COLUMN()),"")</f>
        <v>4027</v>
      </c>
      <c r="H315">
        <f>IFERROR(INDEX(装备库!$A$2:$Y$1047,MATCH(ROW()-1,装备库!$AO$2:$AO$1046,0),COLUMN()),"")</f>
        <v>0</v>
      </c>
      <c r="I315">
        <f>IFERROR(INDEX(装备库!$A$2:$Y$1047,MATCH(ROW()-1,装备库!$AO$2:$AO$1046,0),COLUMN()),"")</f>
        <v>0</v>
      </c>
      <c r="J315">
        <f>IFERROR(INDEX(装备库!$A$2:$Y$1047,MATCH(ROW()-1,装备库!$AO$2:$AO$1046,0),COLUMN()),"")</f>
        <v>2332</v>
      </c>
      <c r="K315">
        <f>IFERROR(INDEX(装备库!$A$2:$Y$1047,MATCH(ROW()-1,装备库!$AO$2:$AO$1046,0),COLUMN()),"")</f>
        <v>2332</v>
      </c>
      <c r="L315">
        <f>IFERROR(INDEX(装备库!$A$2:$Y$1047,MATCH(ROW()-1,装备库!$AO$2:$AO$1046,0),COLUMN()),"")</f>
        <v>0</v>
      </c>
      <c r="M315">
        <f>IFERROR(INDEX(装备库!$A$2:$Y$1047,MATCH(ROW()-1,装备库!$AO$2:$AO$1046,0),COLUMN()),"")</f>
        <v>0</v>
      </c>
      <c r="N315">
        <f>IFERROR(INDEX(装备库!$A$2:$Y$1047,MATCH(ROW()-1,装备库!$AO$2:$AO$1046,0),COLUMN()),"")</f>
        <v>0</v>
      </c>
      <c r="O315">
        <f>IFERROR(INDEX(装备库!$A$2:$Y$1047,MATCH(ROW()-1,装备库!$AO$2:$AO$1046,0),COLUMN()),"")</f>
        <v>0</v>
      </c>
      <c r="P315">
        <f>IFERROR(INDEX(装备库!$A$2:$Y$1047,MATCH(ROW()-1,装备库!$AO$2:$AO$1046,0),COLUMN()),"")</f>
        <v>0</v>
      </c>
      <c r="Q315">
        <f>IFERROR(INDEX(装备库!$A$2:$Y$1047,MATCH(ROW()-1,装备库!$AO$2:$AO$1046,0),COLUMN()),"")</f>
        <v>0</v>
      </c>
      <c r="R315">
        <f>IFERROR(INDEX(装备库!$A$2:$Y$1047,MATCH(ROW()-1,装备库!$AO$2:$AO$1046,0),COLUMN()),"")</f>
        <v>0</v>
      </c>
      <c r="S315">
        <f>IFERROR(INDEX(装备库!$A$2:$Y$1047,MATCH(ROW()-1,装备库!$AO$2:$AO$1046,0),COLUMN()),"")</f>
        <v>1</v>
      </c>
      <c r="T315">
        <f>IFERROR(INDEX(装备库!$A$2:$Y$1047,MATCH(ROW()-1,装备库!$AO$2:$AO$1046,0),COLUMN()),"")</f>
        <v>0</v>
      </c>
      <c r="U315">
        <f>IFERROR(INDEX(装备库!$A$2:$Y$1047,MATCH(ROW()-1,装备库!$AO$2:$AO$1046,0),COLUMN()),"")</f>
        <v>1</v>
      </c>
      <c r="V315">
        <f>IFERROR(INDEX(装备库!$A$2:$Y$1047,MATCH(ROW()-1,装备库!$AO$2:$AO$1046,0),COLUMN()),"")</f>
        <v>0</v>
      </c>
      <c r="W315" t="str">
        <f>IFERROR(INDEX(装备库!$A$2:$Y$1047,MATCH(ROW()-1,装备库!$AO$2:$AO$1046,0),COLUMN()),"")</f>
        <v>精简攻会招无</v>
      </c>
      <c r="X315">
        <f>IFERROR(INDEX(装备库!$A$2:$Y$1047,MATCH(ROW()-1,装备库!$AO$2:$AO$1046,0),COLUMN()),"")</f>
        <v>3</v>
      </c>
      <c r="Y315" t="str">
        <f>IFERROR(INDEX(装备库!$A$2:$Y$1047,MATCH(ROW()-1,装备库!$AO$2:$AO$1046,0),COLUMN()),"")</f>
        <v>活动</v>
      </c>
    </row>
    <row r="316" spans="1:25" x14ac:dyDescent="0.35">
      <c r="A316" t="str">
        <f>IFERROR(INDEX(装备库!$A$2:$Y$1047,MATCH(ROW()-1,装备库!$AO$2:$AO$1046,0),COLUMN()),"")</f>
        <v>帽子</v>
      </c>
      <c r="B316" t="str">
        <f>IFERROR(INDEX(装备库!$A$2:$Y$1047,MATCH(ROW()-1,装备库!$AO$2:$AO$1046,0),COLUMN()),"")</f>
        <v>无封头饰</v>
      </c>
      <c r="C316">
        <f>IFERROR(INDEX(装备库!$A$2:$Y$1047,MATCH(ROW()-1,装备库!$AO$2:$AO$1046,0),COLUMN()),"")</f>
        <v>12100</v>
      </c>
      <c r="D316" t="str">
        <f>IFERROR(INDEX(装备库!$A$2:$Y$1047,MATCH(ROW()-1,装备库!$AO$2:$AO$1046,0),COLUMN()),"")</f>
        <v>无封头饰(12100精简攻会会)</v>
      </c>
      <c r="E316">
        <f>IFERROR(INDEX(装备库!$A$2:$Y$1047,MATCH(ROW()-1,装备库!$AO$2:$AO$1046,0),COLUMN()),"")</f>
        <v>0</v>
      </c>
      <c r="F316">
        <f>IFERROR(INDEX(装备库!$A$2:$Y$1047,MATCH(ROW()-1,装备库!$AO$2:$AO$1046,0),COLUMN()),"")</f>
        <v>2752</v>
      </c>
      <c r="G316">
        <f>IFERROR(INDEX(装备库!$A$2:$Y$1047,MATCH(ROW()-1,装备库!$AO$2:$AO$1046,0),COLUMN()),"")</f>
        <v>5299</v>
      </c>
      <c r="H316">
        <f>IFERROR(INDEX(装备库!$A$2:$Y$1047,MATCH(ROW()-1,装备库!$AO$2:$AO$1046,0),COLUMN()),"")</f>
        <v>3180</v>
      </c>
      <c r="I316">
        <f>IFERROR(INDEX(装备库!$A$2:$Y$1047,MATCH(ROW()-1,装备库!$AO$2:$AO$1046,0),COLUMN()),"")</f>
        <v>0</v>
      </c>
      <c r="J316">
        <f>IFERROR(INDEX(装备库!$A$2:$Y$1047,MATCH(ROW()-1,装备库!$AO$2:$AO$1046,0),COLUMN()),"")</f>
        <v>0</v>
      </c>
      <c r="K316">
        <f>IFERROR(INDEX(装备库!$A$2:$Y$1047,MATCH(ROW()-1,装备库!$AO$2:$AO$1046,0),COLUMN()),"")</f>
        <v>0</v>
      </c>
      <c r="L316">
        <f>IFERROR(INDEX(装备库!$A$2:$Y$1047,MATCH(ROW()-1,装备库!$AO$2:$AO$1046,0),COLUMN()),"")</f>
        <v>0</v>
      </c>
      <c r="M316">
        <f>IFERROR(INDEX(装备库!$A$2:$Y$1047,MATCH(ROW()-1,装备库!$AO$2:$AO$1046,0),COLUMN()),"")</f>
        <v>0</v>
      </c>
      <c r="N316">
        <f>IFERROR(INDEX(装备库!$A$2:$Y$1047,MATCH(ROW()-1,装备库!$AO$2:$AO$1046,0),COLUMN()),"")</f>
        <v>0</v>
      </c>
      <c r="O316">
        <f>IFERROR(INDEX(装备库!$A$2:$Y$1047,MATCH(ROW()-1,装备库!$AO$2:$AO$1046,0),COLUMN()),"")</f>
        <v>0</v>
      </c>
      <c r="P316">
        <f>IFERROR(INDEX(装备库!$A$2:$Y$1047,MATCH(ROW()-1,装备库!$AO$2:$AO$1046,0),COLUMN()),"")</f>
        <v>1</v>
      </c>
      <c r="Q316">
        <f>IFERROR(INDEX(装备库!$A$2:$Y$1047,MATCH(ROW()-1,装备库!$AO$2:$AO$1046,0),COLUMN()),"")</f>
        <v>0</v>
      </c>
      <c r="R316">
        <f>IFERROR(INDEX(装备库!$A$2:$Y$1047,MATCH(ROW()-1,装备库!$AO$2:$AO$1046,0),COLUMN()),"")</f>
        <v>0</v>
      </c>
      <c r="S316">
        <f>IFERROR(INDEX(装备库!$A$2:$Y$1047,MATCH(ROW()-1,装备库!$AO$2:$AO$1046,0),COLUMN()),"")</f>
        <v>1</v>
      </c>
      <c r="T316">
        <f>IFERROR(INDEX(装备库!$A$2:$Y$1047,MATCH(ROW()-1,装备库!$AO$2:$AO$1046,0),COLUMN()),"")</f>
        <v>0</v>
      </c>
      <c r="U316">
        <f>IFERROR(INDEX(装备库!$A$2:$Y$1047,MATCH(ROW()-1,装备库!$AO$2:$AO$1046,0),COLUMN()),"")</f>
        <v>0</v>
      </c>
      <c r="V316">
        <f>IFERROR(INDEX(装备库!$A$2:$Y$1047,MATCH(ROW()-1,装备库!$AO$2:$AO$1046,0),COLUMN()),"")</f>
        <v>0</v>
      </c>
      <c r="W316" t="str">
        <f>IFERROR(INDEX(装备库!$A$2:$Y$1047,MATCH(ROW()-1,装备库!$AO$2:$AO$1046,0),COLUMN()),"")</f>
        <v>精简攻会会</v>
      </c>
      <c r="X316">
        <f>IFERROR(INDEX(装备库!$A$2:$Y$1047,MATCH(ROW()-1,装备库!$AO$2:$AO$1046,0),COLUMN()),"")</f>
        <v>3</v>
      </c>
      <c r="Y316" t="str">
        <f>IFERROR(INDEX(装备库!$A$2:$Y$1047,MATCH(ROW()-1,装备库!$AO$2:$AO$1046,0),COLUMN()),"")</f>
        <v>活动</v>
      </c>
    </row>
    <row r="317" spans="1:25" x14ac:dyDescent="0.35">
      <c r="A317" t="str">
        <f>IFERROR(INDEX(装备库!$A$2:$Y$1047,MATCH(ROW()-1,装备库!$AO$2:$AO$1046,0),COLUMN()),"")</f>
        <v>帽子</v>
      </c>
      <c r="B317" t="str">
        <f>IFERROR(INDEX(装备库!$A$2:$Y$1047,MATCH(ROW()-1,装备库!$AO$2:$AO$1046,0),COLUMN()),"")</f>
        <v>【门派套装】濯心·映寒冠</v>
      </c>
      <c r="C317">
        <f>IFERROR(INDEX(装备库!$A$2:$Y$1047,MATCH(ROW()-1,装备库!$AO$2:$AO$1046,0),COLUMN()),"")</f>
        <v>12300</v>
      </c>
      <c r="D317" t="str">
        <f>IFERROR(INDEX(装备库!$A$2:$Y$1047,MATCH(ROW()-1,装备库!$AO$2:$AO$1046,0),COLUMN()),"")</f>
        <v>【门派套装】濯心·映寒冠(12300招破)</v>
      </c>
      <c r="E317">
        <f>IFERROR(INDEX(装备库!$A$2:$Y$1047,MATCH(ROW()-1,装备库!$AO$2:$AO$1046,0),COLUMN()),"")</f>
        <v>773</v>
      </c>
      <c r="F317">
        <f>IFERROR(INDEX(装备库!$A$2:$Y$1047,MATCH(ROW()-1,装备库!$AO$2:$AO$1046,0),COLUMN()),"")</f>
        <v>1254</v>
      </c>
      <c r="G317">
        <f>IFERROR(INDEX(装备库!$A$2:$Y$1047,MATCH(ROW()-1,装备库!$AO$2:$AO$1046,0),COLUMN()),"")</f>
        <v>0</v>
      </c>
      <c r="H317">
        <f>IFERROR(INDEX(装备库!$A$2:$Y$1047,MATCH(ROW()-1,装备库!$AO$2:$AO$1046,0),COLUMN()),"")</f>
        <v>0</v>
      </c>
      <c r="I317">
        <f>IFERROR(INDEX(装备库!$A$2:$Y$1047,MATCH(ROW()-1,装备库!$AO$2:$AO$1046,0),COLUMN()),"")</f>
        <v>3879</v>
      </c>
      <c r="J317">
        <f>IFERROR(INDEX(装备库!$A$2:$Y$1047,MATCH(ROW()-1,装备库!$AO$2:$AO$1046,0),COLUMN()),"")</f>
        <v>3448</v>
      </c>
      <c r="K317">
        <f>IFERROR(INDEX(装备库!$A$2:$Y$1047,MATCH(ROW()-1,装备库!$AO$2:$AO$1046,0),COLUMN()),"")</f>
        <v>0</v>
      </c>
      <c r="L317">
        <f>IFERROR(INDEX(装备库!$A$2:$Y$1047,MATCH(ROW()-1,装备库!$AO$2:$AO$1046,0),COLUMN()),"")</f>
        <v>0</v>
      </c>
      <c r="M317">
        <f>IFERROR(INDEX(装备库!$A$2:$Y$1047,MATCH(ROW()-1,装备库!$AO$2:$AO$1046,0),COLUMN()),"")</f>
        <v>0</v>
      </c>
      <c r="N317">
        <f>IFERROR(INDEX(装备库!$A$2:$Y$1047,MATCH(ROW()-1,装备库!$AO$2:$AO$1046,0),COLUMN()),"")</f>
        <v>0</v>
      </c>
      <c r="O317">
        <f>IFERROR(INDEX(装备库!$A$2:$Y$1047,MATCH(ROW()-1,装备库!$AO$2:$AO$1046,0),COLUMN()),"")</f>
        <v>1</v>
      </c>
      <c r="P317">
        <f>IFERROR(INDEX(装备库!$A$2:$Y$1047,MATCH(ROW()-1,装备库!$AO$2:$AO$1046,0),COLUMN()),"")</f>
        <v>1</v>
      </c>
      <c r="Q317">
        <f>IFERROR(INDEX(装备库!$A$2:$Y$1047,MATCH(ROW()-1,装备库!$AO$2:$AO$1046,0),COLUMN()),"")</f>
        <v>0</v>
      </c>
      <c r="R317">
        <f>IFERROR(INDEX(装备库!$A$2:$Y$1047,MATCH(ROW()-1,装备库!$AO$2:$AO$1046,0),COLUMN()),"")</f>
        <v>0</v>
      </c>
      <c r="S317">
        <f>IFERROR(INDEX(装备库!$A$2:$Y$1047,MATCH(ROW()-1,装备库!$AO$2:$AO$1046,0),COLUMN()),"")</f>
        <v>0</v>
      </c>
      <c r="T317">
        <f>IFERROR(INDEX(装备库!$A$2:$Y$1047,MATCH(ROW()-1,装备库!$AO$2:$AO$1046,0),COLUMN()),"")</f>
        <v>0</v>
      </c>
      <c r="U317">
        <f>IFERROR(INDEX(装备库!$A$2:$Y$1047,MATCH(ROW()-1,装备库!$AO$2:$AO$1046,0),COLUMN()),"")</f>
        <v>0</v>
      </c>
      <c r="V317">
        <f>IFERROR(INDEX(装备库!$A$2:$Y$1047,MATCH(ROW()-1,装备库!$AO$2:$AO$1046,0),COLUMN()),"")</f>
        <v>0</v>
      </c>
      <c r="W317" t="str">
        <f>IFERROR(INDEX(装备库!$A$2:$Y$1047,MATCH(ROW()-1,装备库!$AO$2:$AO$1046,0),COLUMN()),"")</f>
        <v>招破</v>
      </c>
      <c r="X317">
        <f>IFERROR(INDEX(装备库!$A$2:$Y$1047,MATCH(ROW()-1,装备库!$AO$2:$AO$1046,0),COLUMN()),"")</f>
        <v>6</v>
      </c>
      <c r="Y317" t="str">
        <f>IFERROR(INDEX(装备库!$A$2:$Y$1047,MATCH(ROW()-1,装备库!$AO$2:$AO$1046,0),COLUMN()),"")</f>
        <v>兑换牌</v>
      </c>
    </row>
    <row r="318" spans="1:25" x14ac:dyDescent="0.35">
      <c r="A318" t="str">
        <f>IFERROR(INDEX(装备库!$A$2:$Y$1047,MATCH(ROW()-1,装备库!$AO$2:$AO$1046,0),COLUMN()),"")</f>
        <v>帽子</v>
      </c>
      <c r="B318" t="str">
        <f>IFERROR(INDEX(装备库!$A$2:$Y$1047,MATCH(ROW()-1,装备库!$AO$2:$AO$1046,0),COLUMN()),"")</f>
        <v>温刃冠</v>
      </c>
      <c r="C318">
        <f>IFERROR(INDEX(装备库!$A$2:$Y$1047,MATCH(ROW()-1,装备库!$AO$2:$AO$1046,0),COLUMN()),"")</f>
        <v>12450</v>
      </c>
      <c r="D318" t="str">
        <f>IFERROR(INDEX(装备库!$A$2:$Y$1047,MATCH(ROW()-1,装备库!$AO$2:$AO$1046,0),COLUMN()),"")</f>
        <v>温刃冠(12450速招)</v>
      </c>
      <c r="E318">
        <f>IFERROR(INDEX(装备库!$A$2:$Y$1047,MATCH(ROW()-1,装备库!$AO$2:$AO$1046,0),COLUMN()),"")</f>
        <v>782</v>
      </c>
      <c r="F318">
        <f>IFERROR(INDEX(装备库!$A$2:$Y$1047,MATCH(ROW()-1,装备库!$AO$2:$AO$1046,0),COLUMN()),"")</f>
        <v>1269</v>
      </c>
      <c r="G318">
        <f>IFERROR(INDEX(装备库!$A$2:$Y$1047,MATCH(ROW()-1,装备库!$AO$2:$AO$1046,0),COLUMN()),"")</f>
        <v>0</v>
      </c>
      <c r="H318">
        <f>IFERROR(INDEX(装备库!$A$2:$Y$1047,MATCH(ROW()-1,装备库!$AO$2:$AO$1046,0),COLUMN()),"")</f>
        <v>0</v>
      </c>
      <c r="I318">
        <f>IFERROR(INDEX(装备库!$A$2:$Y$1047,MATCH(ROW()-1,装备库!$AO$2:$AO$1046,0),COLUMN()),"")</f>
        <v>0</v>
      </c>
      <c r="J318">
        <f>IFERROR(INDEX(装备库!$A$2:$Y$1047,MATCH(ROW()-1,装备库!$AO$2:$AO$1046,0),COLUMN()),"")</f>
        <v>3490</v>
      </c>
      <c r="K318">
        <f>IFERROR(INDEX(装备库!$A$2:$Y$1047,MATCH(ROW()-1,装备库!$AO$2:$AO$1046,0),COLUMN()),"")</f>
        <v>0</v>
      </c>
      <c r="L318">
        <f>IFERROR(INDEX(装备库!$A$2:$Y$1047,MATCH(ROW()-1,装备库!$AO$2:$AO$1046,0),COLUMN()),"")</f>
        <v>3926</v>
      </c>
      <c r="M318">
        <f>IFERROR(INDEX(装备库!$A$2:$Y$1047,MATCH(ROW()-1,装备库!$AO$2:$AO$1046,0),COLUMN()),"")</f>
        <v>0</v>
      </c>
      <c r="N318">
        <f>IFERROR(INDEX(装备库!$A$2:$Y$1047,MATCH(ROW()-1,装备库!$AO$2:$AO$1046,0),COLUMN()),"")</f>
        <v>0</v>
      </c>
      <c r="O318">
        <f>IFERROR(INDEX(装备库!$A$2:$Y$1047,MATCH(ROW()-1,装备库!$AO$2:$AO$1046,0),COLUMN()),"")</f>
        <v>1</v>
      </c>
      <c r="P318">
        <f>IFERROR(INDEX(装备库!$A$2:$Y$1047,MATCH(ROW()-1,装备库!$AO$2:$AO$1046,0),COLUMN()),"")</f>
        <v>0</v>
      </c>
      <c r="Q318">
        <f>IFERROR(INDEX(装备库!$A$2:$Y$1047,MATCH(ROW()-1,装备库!$AO$2:$AO$1046,0),COLUMN()),"")</f>
        <v>0</v>
      </c>
      <c r="R318">
        <f>IFERROR(INDEX(装备库!$A$2:$Y$1047,MATCH(ROW()-1,装备库!$AO$2:$AO$1046,0),COLUMN()),"")</f>
        <v>0</v>
      </c>
      <c r="S318">
        <f>IFERROR(INDEX(装备库!$A$2:$Y$1047,MATCH(ROW()-1,装备库!$AO$2:$AO$1046,0),COLUMN()),"")</f>
        <v>1</v>
      </c>
      <c r="T318">
        <f>IFERROR(INDEX(装备库!$A$2:$Y$1047,MATCH(ROW()-1,装备库!$AO$2:$AO$1046,0),COLUMN()),"")</f>
        <v>0</v>
      </c>
      <c r="U318">
        <f>IFERROR(INDEX(装备库!$A$2:$Y$1047,MATCH(ROW()-1,装备库!$AO$2:$AO$1046,0),COLUMN()),"")</f>
        <v>0</v>
      </c>
      <c r="V318">
        <f>IFERROR(INDEX(装备库!$A$2:$Y$1047,MATCH(ROW()-1,装备库!$AO$2:$AO$1046,0),COLUMN()),"")</f>
        <v>0</v>
      </c>
      <c r="W318" t="str">
        <f>IFERROR(INDEX(装备库!$A$2:$Y$1047,MATCH(ROW()-1,装备库!$AO$2:$AO$1046,0),COLUMN()),"")</f>
        <v>速招</v>
      </c>
      <c r="X318">
        <f>IFERROR(INDEX(装备库!$A$2:$Y$1047,MATCH(ROW()-1,装备库!$AO$2:$AO$1046,0),COLUMN()),"")</f>
        <v>6</v>
      </c>
      <c r="Y318" t="str">
        <f>IFERROR(INDEX(装备库!$A$2:$Y$1047,MATCH(ROW()-1,装备库!$AO$2:$AO$1046,0),COLUMN()),"")</f>
        <v>副本</v>
      </c>
    </row>
    <row r="319" spans="1:25" x14ac:dyDescent="0.35">
      <c r="A319" t="str">
        <f>IFERROR(INDEX(装备库!$A$2:$Y$1047,MATCH(ROW()-1,装备库!$AO$2:$AO$1046,0),COLUMN()),"")</f>
        <v>帽子</v>
      </c>
      <c r="B319" t="str">
        <f>IFERROR(INDEX(装备库!$A$2:$Y$1047,MATCH(ROW()-1,装备库!$AO$2:$AO$1046,0),COLUMN()),"")</f>
        <v>客行江湖·梦花冠</v>
      </c>
      <c r="C319">
        <f>IFERROR(INDEX(装备库!$A$2:$Y$1047,MATCH(ROW()-1,装备库!$AO$2:$AO$1046,0),COLUMN()),"")</f>
        <v>12450</v>
      </c>
      <c r="D319" t="str">
        <f>IFERROR(INDEX(装备库!$A$2:$Y$1047,MATCH(ROW()-1,装备库!$AO$2:$AO$1046,0),COLUMN()),"")</f>
        <v>客行江湖·梦花冠(12450会招)</v>
      </c>
      <c r="E319">
        <f>IFERROR(INDEX(装备库!$A$2:$Y$1047,MATCH(ROW()-1,装备库!$AO$2:$AO$1046,0),COLUMN()),"")</f>
        <v>782</v>
      </c>
      <c r="F319">
        <f>IFERROR(INDEX(装备库!$A$2:$Y$1047,MATCH(ROW()-1,装备库!$AO$2:$AO$1046,0),COLUMN()),"")</f>
        <v>1269</v>
      </c>
      <c r="G319">
        <f>IFERROR(INDEX(装备库!$A$2:$Y$1047,MATCH(ROW()-1,装备库!$AO$2:$AO$1046,0),COLUMN()),"")</f>
        <v>3926</v>
      </c>
      <c r="H319">
        <f>IFERROR(INDEX(装备库!$A$2:$Y$1047,MATCH(ROW()-1,装备库!$AO$2:$AO$1046,0),COLUMN()),"")</f>
        <v>0</v>
      </c>
      <c r="I319">
        <f>IFERROR(INDEX(装备库!$A$2:$Y$1047,MATCH(ROW()-1,装备库!$AO$2:$AO$1046,0),COLUMN()),"")</f>
        <v>0</v>
      </c>
      <c r="J319">
        <f>IFERROR(INDEX(装备库!$A$2:$Y$1047,MATCH(ROW()-1,装备库!$AO$2:$AO$1046,0),COLUMN()),"")</f>
        <v>3490</v>
      </c>
      <c r="K319">
        <f>IFERROR(INDEX(装备库!$A$2:$Y$1047,MATCH(ROW()-1,装备库!$AO$2:$AO$1046,0),COLUMN()),"")</f>
        <v>0</v>
      </c>
      <c r="L319">
        <f>IFERROR(INDEX(装备库!$A$2:$Y$1047,MATCH(ROW()-1,装备库!$AO$2:$AO$1046,0),COLUMN()),"")</f>
        <v>0</v>
      </c>
      <c r="M319">
        <f>IFERROR(INDEX(装备库!$A$2:$Y$1047,MATCH(ROW()-1,装备库!$AO$2:$AO$1046,0),COLUMN()),"")</f>
        <v>0</v>
      </c>
      <c r="N319">
        <f>IFERROR(INDEX(装备库!$A$2:$Y$1047,MATCH(ROW()-1,装备库!$AO$2:$AO$1046,0),COLUMN()),"")</f>
        <v>0</v>
      </c>
      <c r="O319">
        <f>IFERROR(INDEX(装备库!$A$2:$Y$1047,MATCH(ROW()-1,装备库!$AO$2:$AO$1046,0),COLUMN()),"")</f>
        <v>0</v>
      </c>
      <c r="P319">
        <f>IFERROR(INDEX(装备库!$A$2:$Y$1047,MATCH(ROW()-1,装备库!$AO$2:$AO$1046,0),COLUMN()),"")</f>
        <v>1</v>
      </c>
      <c r="Q319">
        <f>IFERROR(INDEX(装备库!$A$2:$Y$1047,MATCH(ROW()-1,装备库!$AO$2:$AO$1046,0),COLUMN()),"")</f>
        <v>0</v>
      </c>
      <c r="R319">
        <f>IFERROR(INDEX(装备库!$A$2:$Y$1047,MATCH(ROW()-1,装备库!$AO$2:$AO$1046,0),COLUMN()),"")</f>
        <v>0</v>
      </c>
      <c r="S319">
        <f>IFERROR(INDEX(装备库!$A$2:$Y$1047,MATCH(ROW()-1,装备库!$AO$2:$AO$1046,0),COLUMN()),"")</f>
        <v>1</v>
      </c>
      <c r="T319">
        <f>IFERROR(INDEX(装备库!$A$2:$Y$1047,MATCH(ROW()-1,装备库!$AO$2:$AO$1046,0),COLUMN()),"")</f>
        <v>0</v>
      </c>
      <c r="U319">
        <f>IFERROR(INDEX(装备库!$A$2:$Y$1047,MATCH(ROW()-1,装备库!$AO$2:$AO$1046,0),COLUMN()),"")</f>
        <v>0</v>
      </c>
      <c r="V319">
        <f>IFERROR(INDEX(装备库!$A$2:$Y$1047,MATCH(ROW()-1,装备库!$AO$2:$AO$1046,0),COLUMN()),"")</f>
        <v>0</v>
      </c>
      <c r="W319" t="str">
        <f>IFERROR(INDEX(装备库!$A$2:$Y$1047,MATCH(ROW()-1,装备库!$AO$2:$AO$1046,0),COLUMN()),"")</f>
        <v>会招</v>
      </c>
      <c r="X319">
        <f>IFERROR(INDEX(装备库!$A$2:$Y$1047,MATCH(ROW()-1,装备库!$AO$2:$AO$1046,0),COLUMN()),"")</f>
        <v>6</v>
      </c>
      <c r="Y319" t="str">
        <f>IFERROR(INDEX(装备库!$A$2:$Y$1047,MATCH(ROW()-1,装备库!$AO$2:$AO$1046,0),COLUMN()),"")</f>
        <v>浪客笺</v>
      </c>
    </row>
    <row r="320" spans="1:25" x14ac:dyDescent="0.35">
      <c r="A320" t="str">
        <f>IFERROR(INDEX(装备库!$A$2:$Y$1047,MATCH(ROW()-1,装备库!$AO$2:$AO$1046,0),COLUMN()),"")</f>
        <v>帽子</v>
      </c>
      <c r="B320" t="str">
        <f>IFERROR(INDEX(装备库!$A$2:$Y$1047,MATCH(ROW()-1,装备库!$AO$2:$AO$1046,0),COLUMN()),"")</f>
        <v>湖静冠</v>
      </c>
      <c r="C320">
        <f>IFERROR(INDEX(装备库!$A$2:$Y$1047,MATCH(ROW()-1,装备库!$AO$2:$AO$1046,0),COLUMN()),"")</f>
        <v>12450</v>
      </c>
      <c r="D320" t="str">
        <f>IFERROR(INDEX(装备库!$A$2:$Y$1047,MATCH(ROW()-1,装备库!$AO$2:$AO$1046,0),COLUMN()),"")</f>
        <v>湖静冠(12450会招)</v>
      </c>
      <c r="E320">
        <f>IFERROR(INDEX(装备库!$A$2:$Y$1047,MATCH(ROW()-1,装备库!$AO$2:$AO$1046,0),COLUMN()),"")</f>
        <v>782</v>
      </c>
      <c r="F320">
        <f>IFERROR(INDEX(装备库!$A$2:$Y$1047,MATCH(ROW()-1,装备库!$AO$2:$AO$1046,0),COLUMN()),"")</f>
        <v>1269</v>
      </c>
      <c r="G320">
        <f>IFERROR(INDEX(装备库!$A$2:$Y$1047,MATCH(ROW()-1,装备库!$AO$2:$AO$1046,0),COLUMN()),"")</f>
        <v>3926</v>
      </c>
      <c r="H320">
        <f>IFERROR(INDEX(装备库!$A$2:$Y$1047,MATCH(ROW()-1,装备库!$AO$2:$AO$1046,0),COLUMN()),"")</f>
        <v>0</v>
      </c>
      <c r="I320">
        <f>IFERROR(INDEX(装备库!$A$2:$Y$1047,MATCH(ROW()-1,装备库!$AO$2:$AO$1046,0),COLUMN()),"")</f>
        <v>0</v>
      </c>
      <c r="J320">
        <f>IFERROR(INDEX(装备库!$A$2:$Y$1047,MATCH(ROW()-1,装备库!$AO$2:$AO$1046,0),COLUMN()),"")</f>
        <v>3490</v>
      </c>
      <c r="K320">
        <f>IFERROR(INDEX(装备库!$A$2:$Y$1047,MATCH(ROW()-1,装备库!$AO$2:$AO$1046,0),COLUMN()),"")</f>
        <v>0</v>
      </c>
      <c r="L320">
        <f>IFERROR(INDEX(装备库!$A$2:$Y$1047,MATCH(ROW()-1,装备库!$AO$2:$AO$1046,0),COLUMN()),"")</f>
        <v>0</v>
      </c>
      <c r="M320">
        <f>IFERROR(INDEX(装备库!$A$2:$Y$1047,MATCH(ROW()-1,装备库!$AO$2:$AO$1046,0),COLUMN()),"")</f>
        <v>0</v>
      </c>
      <c r="N320">
        <f>IFERROR(INDEX(装备库!$A$2:$Y$1047,MATCH(ROW()-1,装备库!$AO$2:$AO$1046,0),COLUMN()),"")</f>
        <v>0</v>
      </c>
      <c r="O320">
        <f>IFERROR(INDEX(装备库!$A$2:$Y$1047,MATCH(ROW()-1,装备库!$AO$2:$AO$1046,0),COLUMN()),"")</f>
        <v>0</v>
      </c>
      <c r="P320">
        <f>IFERROR(INDEX(装备库!$A$2:$Y$1047,MATCH(ROW()-1,装备库!$AO$2:$AO$1046,0),COLUMN()),"")</f>
        <v>1</v>
      </c>
      <c r="Q320">
        <f>IFERROR(INDEX(装备库!$A$2:$Y$1047,MATCH(ROW()-1,装备库!$AO$2:$AO$1046,0),COLUMN()),"")</f>
        <v>0</v>
      </c>
      <c r="R320">
        <f>IFERROR(INDEX(装备库!$A$2:$Y$1047,MATCH(ROW()-1,装备库!$AO$2:$AO$1046,0),COLUMN()),"")</f>
        <v>0</v>
      </c>
      <c r="S320">
        <f>IFERROR(INDEX(装备库!$A$2:$Y$1047,MATCH(ROW()-1,装备库!$AO$2:$AO$1046,0),COLUMN()),"")</f>
        <v>1</v>
      </c>
      <c r="T320">
        <f>IFERROR(INDEX(装备库!$A$2:$Y$1047,MATCH(ROW()-1,装备库!$AO$2:$AO$1046,0),COLUMN()),"")</f>
        <v>0</v>
      </c>
      <c r="U320">
        <f>IFERROR(INDEX(装备库!$A$2:$Y$1047,MATCH(ROW()-1,装备库!$AO$2:$AO$1046,0),COLUMN()),"")</f>
        <v>0</v>
      </c>
      <c r="V320">
        <f>IFERROR(INDEX(装备库!$A$2:$Y$1047,MATCH(ROW()-1,装备库!$AO$2:$AO$1046,0),COLUMN()),"")</f>
        <v>0</v>
      </c>
      <c r="W320" t="str">
        <f>IFERROR(INDEX(装备库!$A$2:$Y$1047,MATCH(ROW()-1,装备库!$AO$2:$AO$1046,0),COLUMN()),"")</f>
        <v>会招</v>
      </c>
      <c r="X320">
        <f>IFERROR(INDEX(装备库!$A$2:$Y$1047,MATCH(ROW()-1,装备库!$AO$2:$AO$1046,0),COLUMN()),"")</f>
        <v>6</v>
      </c>
      <c r="Y320" t="str">
        <f>IFERROR(INDEX(装备库!$A$2:$Y$1047,MATCH(ROW()-1,装备库!$AO$2:$AO$1046,0),COLUMN()),"")</f>
        <v>世界BOSS</v>
      </c>
    </row>
    <row r="321" spans="1:25" x14ac:dyDescent="0.35">
      <c r="A321" t="str">
        <f>IFERROR(INDEX(装备库!$A$2:$Y$1047,MATCH(ROW()-1,装备库!$AO$2:$AO$1046,0),COLUMN()),"")</f>
        <v>帽子</v>
      </c>
      <c r="B321" t="str">
        <f>IFERROR(INDEX(装备库!$A$2:$Y$1047,MATCH(ROW()-1,装备库!$AO$2:$AO$1046,0),COLUMN()),"")</f>
        <v>安衿冠</v>
      </c>
      <c r="C321">
        <f>IFERROR(INDEX(装备库!$A$2:$Y$1047,MATCH(ROW()-1,装备库!$AO$2:$AO$1046,0),COLUMN()),"")</f>
        <v>12450</v>
      </c>
      <c r="D321" t="str">
        <f>IFERROR(INDEX(装备库!$A$2:$Y$1047,MATCH(ROW()-1,装备库!$AO$2:$AO$1046,0),COLUMN()),"")</f>
        <v>安衿冠(12450会无)</v>
      </c>
      <c r="E321">
        <f>IFERROR(INDEX(装备库!$A$2:$Y$1047,MATCH(ROW()-1,装备库!$AO$2:$AO$1046,0),COLUMN()),"")</f>
        <v>782</v>
      </c>
      <c r="F321">
        <f>IFERROR(INDEX(装备库!$A$2:$Y$1047,MATCH(ROW()-1,装备库!$AO$2:$AO$1046,0),COLUMN()),"")</f>
        <v>1269</v>
      </c>
      <c r="G321">
        <f>IFERROR(INDEX(装备库!$A$2:$Y$1047,MATCH(ROW()-1,装备库!$AO$2:$AO$1046,0),COLUMN()),"")</f>
        <v>3926</v>
      </c>
      <c r="H321">
        <f>IFERROR(INDEX(装备库!$A$2:$Y$1047,MATCH(ROW()-1,装备库!$AO$2:$AO$1046,0),COLUMN()),"")</f>
        <v>0</v>
      </c>
      <c r="I321">
        <f>IFERROR(INDEX(装备库!$A$2:$Y$1047,MATCH(ROW()-1,装备库!$AO$2:$AO$1046,0),COLUMN()),"")</f>
        <v>0</v>
      </c>
      <c r="J321">
        <f>IFERROR(INDEX(装备库!$A$2:$Y$1047,MATCH(ROW()-1,装备库!$AO$2:$AO$1046,0),COLUMN()),"")</f>
        <v>0</v>
      </c>
      <c r="K321">
        <f>IFERROR(INDEX(装备库!$A$2:$Y$1047,MATCH(ROW()-1,装备库!$AO$2:$AO$1046,0),COLUMN()),"")</f>
        <v>3490</v>
      </c>
      <c r="L321">
        <f>IFERROR(INDEX(装备库!$A$2:$Y$1047,MATCH(ROW()-1,装备库!$AO$2:$AO$1046,0),COLUMN()),"")</f>
        <v>0</v>
      </c>
      <c r="M321">
        <f>IFERROR(INDEX(装备库!$A$2:$Y$1047,MATCH(ROW()-1,装备库!$AO$2:$AO$1046,0),COLUMN()),"")</f>
        <v>0</v>
      </c>
      <c r="N321">
        <f>IFERROR(INDEX(装备库!$A$2:$Y$1047,MATCH(ROW()-1,装备库!$AO$2:$AO$1046,0),COLUMN()),"")</f>
        <v>0</v>
      </c>
      <c r="O321">
        <f>IFERROR(INDEX(装备库!$A$2:$Y$1047,MATCH(ROW()-1,装备库!$AO$2:$AO$1046,0),COLUMN()),"")</f>
        <v>0</v>
      </c>
      <c r="P321">
        <f>IFERROR(INDEX(装备库!$A$2:$Y$1047,MATCH(ROW()-1,装备库!$AO$2:$AO$1046,0),COLUMN()),"")</f>
        <v>0</v>
      </c>
      <c r="Q321">
        <f>IFERROR(INDEX(装备库!$A$2:$Y$1047,MATCH(ROW()-1,装备库!$AO$2:$AO$1046,0),COLUMN()),"")</f>
        <v>0</v>
      </c>
      <c r="R321">
        <f>IFERROR(INDEX(装备库!$A$2:$Y$1047,MATCH(ROW()-1,装备库!$AO$2:$AO$1046,0),COLUMN()),"")</f>
        <v>0</v>
      </c>
      <c r="S321">
        <f>IFERROR(INDEX(装备库!$A$2:$Y$1047,MATCH(ROW()-1,装备库!$AO$2:$AO$1046,0),COLUMN()),"")</f>
        <v>1</v>
      </c>
      <c r="T321">
        <f>IFERROR(INDEX(装备库!$A$2:$Y$1047,MATCH(ROW()-1,装备库!$AO$2:$AO$1046,0),COLUMN()),"")</f>
        <v>0</v>
      </c>
      <c r="U321">
        <f>IFERROR(INDEX(装备库!$A$2:$Y$1047,MATCH(ROW()-1,装备库!$AO$2:$AO$1046,0),COLUMN()),"")</f>
        <v>1</v>
      </c>
      <c r="V321">
        <f>IFERROR(INDEX(装备库!$A$2:$Y$1047,MATCH(ROW()-1,装备库!$AO$2:$AO$1046,0),COLUMN()),"")</f>
        <v>0</v>
      </c>
      <c r="W321" t="str">
        <f>IFERROR(INDEX(装备库!$A$2:$Y$1047,MATCH(ROW()-1,装备库!$AO$2:$AO$1046,0),COLUMN()),"")</f>
        <v>会无</v>
      </c>
      <c r="X321">
        <f>IFERROR(INDEX(装备库!$A$2:$Y$1047,MATCH(ROW()-1,装备库!$AO$2:$AO$1046,0),COLUMN()),"")</f>
        <v>6</v>
      </c>
      <c r="Y321" t="str">
        <f>IFERROR(INDEX(装备库!$A$2:$Y$1047,MATCH(ROW()-1,装备库!$AO$2:$AO$1046,0),COLUMN()),"")</f>
        <v>副本</v>
      </c>
    </row>
    <row r="322" spans="1:25" x14ac:dyDescent="0.35">
      <c r="A322" t="str">
        <f>IFERROR(INDEX(装备库!$A$2:$Y$1047,MATCH(ROW()-1,装备库!$AO$2:$AO$1046,0),COLUMN()),"")</f>
        <v>帽子</v>
      </c>
      <c r="B322" t="str">
        <f>IFERROR(INDEX(装备库!$A$2:$Y$1047,MATCH(ROW()-1,装备库!$AO$2:$AO$1046,0),COLUMN()),"")</f>
        <v>雪舞冠</v>
      </c>
      <c r="C322">
        <f>IFERROR(INDEX(装备库!$A$2:$Y$1047,MATCH(ROW()-1,装备库!$AO$2:$AO$1046,0),COLUMN()),"")</f>
        <v>12600</v>
      </c>
      <c r="D322" t="str">
        <f>IFERROR(INDEX(装备库!$A$2:$Y$1047,MATCH(ROW()-1,装备库!$AO$2:$AO$1046,0),COLUMN()),"")</f>
        <v>雪舞冠(12600会招)</v>
      </c>
      <c r="E322">
        <f>IFERROR(INDEX(装备库!$A$2:$Y$1047,MATCH(ROW()-1,装备库!$AO$2:$AO$1046,0),COLUMN()),"")</f>
        <v>792</v>
      </c>
      <c r="F322">
        <f>IFERROR(INDEX(装备库!$A$2:$Y$1047,MATCH(ROW()-1,装备库!$AO$2:$AO$1046,0),COLUMN()),"")</f>
        <v>1285</v>
      </c>
      <c r="G322">
        <f>IFERROR(INDEX(装备库!$A$2:$Y$1047,MATCH(ROW()-1,装备库!$AO$2:$AO$1046,0),COLUMN()),"")</f>
        <v>3973</v>
      </c>
      <c r="H322">
        <f>IFERROR(INDEX(装备库!$A$2:$Y$1047,MATCH(ROW()-1,装备库!$AO$2:$AO$1046,0),COLUMN()),"")</f>
        <v>0</v>
      </c>
      <c r="I322">
        <f>IFERROR(INDEX(装备库!$A$2:$Y$1047,MATCH(ROW()-1,装备库!$AO$2:$AO$1046,0),COLUMN()),"")</f>
        <v>0</v>
      </c>
      <c r="J322">
        <f>IFERROR(INDEX(装备库!$A$2:$Y$1047,MATCH(ROW()-1,装备库!$AO$2:$AO$1046,0),COLUMN()),"")</f>
        <v>3532</v>
      </c>
      <c r="K322">
        <f>IFERROR(INDEX(装备库!$A$2:$Y$1047,MATCH(ROW()-1,装备库!$AO$2:$AO$1046,0),COLUMN()),"")</f>
        <v>0</v>
      </c>
      <c r="L322">
        <f>IFERROR(INDEX(装备库!$A$2:$Y$1047,MATCH(ROW()-1,装备库!$AO$2:$AO$1046,0),COLUMN()),"")</f>
        <v>0</v>
      </c>
      <c r="M322">
        <f>IFERROR(INDEX(装备库!$A$2:$Y$1047,MATCH(ROW()-1,装备库!$AO$2:$AO$1046,0),COLUMN()),"")</f>
        <v>0</v>
      </c>
      <c r="N322">
        <f>IFERROR(INDEX(装备库!$A$2:$Y$1047,MATCH(ROW()-1,装备库!$AO$2:$AO$1046,0),COLUMN()),"")</f>
        <v>0</v>
      </c>
      <c r="O322">
        <f>IFERROR(INDEX(装备库!$A$2:$Y$1047,MATCH(ROW()-1,装备库!$AO$2:$AO$1046,0),COLUMN()),"")</f>
        <v>0</v>
      </c>
      <c r="P322">
        <f>IFERROR(INDEX(装备库!$A$2:$Y$1047,MATCH(ROW()-1,装备库!$AO$2:$AO$1046,0),COLUMN()),"")</f>
        <v>1</v>
      </c>
      <c r="Q322">
        <f>IFERROR(INDEX(装备库!$A$2:$Y$1047,MATCH(ROW()-1,装备库!$AO$2:$AO$1046,0),COLUMN()),"")</f>
        <v>0</v>
      </c>
      <c r="R322">
        <f>IFERROR(INDEX(装备库!$A$2:$Y$1047,MATCH(ROW()-1,装备库!$AO$2:$AO$1046,0),COLUMN()),"")</f>
        <v>0</v>
      </c>
      <c r="S322">
        <f>IFERROR(INDEX(装备库!$A$2:$Y$1047,MATCH(ROW()-1,装备库!$AO$2:$AO$1046,0),COLUMN()),"")</f>
        <v>1</v>
      </c>
      <c r="T322">
        <f>IFERROR(INDEX(装备库!$A$2:$Y$1047,MATCH(ROW()-1,装备库!$AO$2:$AO$1046,0),COLUMN()),"")</f>
        <v>0</v>
      </c>
      <c r="U322">
        <f>IFERROR(INDEX(装备库!$A$2:$Y$1047,MATCH(ROW()-1,装备库!$AO$2:$AO$1046,0),COLUMN()),"")</f>
        <v>0</v>
      </c>
      <c r="V322">
        <f>IFERROR(INDEX(装备库!$A$2:$Y$1047,MATCH(ROW()-1,装备库!$AO$2:$AO$1046,0),COLUMN()),"")</f>
        <v>0</v>
      </c>
      <c r="W322" t="str">
        <f>IFERROR(INDEX(装备库!$A$2:$Y$1047,MATCH(ROW()-1,装备库!$AO$2:$AO$1046,0),COLUMN()),"")</f>
        <v>会招</v>
      </c>
      <c r="X322">
        <f>IFERROR(INDEX(装备库!$A$2:$Y$1047,MATCH(ROW()-1,装备库!$AO$2:$AO$1046,0),COLUMN()),"")</f>
        <v>6</v>
      </c>
      <c r="Y322" t="str">
        <f>IFERROR(INDEX(装备库!$A$2:$Y$1047,MATCH(ROW()-1,装备库!$AO$2:$AO$1046,0),COLUMN()),"")</f>
        <v>生活技能</v>
      </c>
    </row>
    <row r="323" spans="1:25" x14ac:dyDescent="0.35">
      <c r="A323" t="str">
        <f>IFERROR(INDEX(装备库!$A$2:$Y$1047,MATCH(ROW()-1,装备库!$AO$2:$AO$1046,0),COLUMN()),"")</f>
        <v>上衣</v>
      </c>
      <c r="B323" t="str">
        <f>IFERROR(INDEX(装备库!$A$2:$Y$1047,MATCH(ROW()-1,装备库!$AO$2:$AO$1046,0),COLUMN()),"")</f>
        <v>浅梦衣</v>
      </c>
      <c r="C323">
        <f>IFERROR(INDEX(装备库!$A$2:$Y$1047,MATCH(ROW()-1,装备库!$AO$2:$AO$1046,0),COLUMN()),"")</f>
        <v>8000</v>
      </c>
      <c r="D323" t="str">
        <f>IFERROR(INDEX(装备库!$A$2:$Y$1047,MATCH(ROW()-1,装备库!$AO$2:$AO$1046,0),COLUMN()),"")</f>
        <v>浅梦衣(8000速招)</v>
      </c>
      <c r="E323">
        <f>IFERROR(INDEX(装备库!$A$2:$Y$1047,MATCH(ROW()-1,装备库!$AO$2:$AO$1046,0),COLUMN()),"")</f>
        <v>559</v>
      </c>
      <c r="F323">
        <f>IFERROR(INDEX(装备库!$A$2:$Y$1047,MATCH(ROW()-1,装备库!$AO$2:$AO$1046,0),COLUMN()),"")</f>
        <v>906</v>
      </c>
      <c r="G323">
        <f>IFERROR(INDEX(装备库!$A$2:$Y$1047,MATCH(ROW()-1,装备库!$AO$2:$AO$1046,0),COLUMN()),"")</f>
        <v>0</v>
      </c>
      <c r="H323">
        <f>IFERROR(INDEX(装备库!$A$2:$Y$1047,MATCH(ROW()-1,装备库!$AO$2:$AO$1046,0),COLUMN()),"")</f>
        <v>0</v>
      </c>
      <c r="I323">
        <f>IFERROR(INDEX(装备库!$A$2:$Y$1047,MATCH(ROW()-1,装备库!$AO$2:$AO$1046,0),COLUMN()),"")</f>
        <v>0</v>
      </c>
      <c r="J323">
        <f>IFERROR(INDEX(装备库!$A$2:$Y$1047,MATCH(ROW()-1,装备库!$AO$2:$AO$1046,0),COLUMN()),"")</f>
        <v>2491</v>
      </c>
      <c r="K323">
        <f>IFERROR(INDEX(装备库!$A$2:$Y$1047,MATCH(ROW()-1,装备库!$AO$2:$AO$1046,0),COLUMN()),"")</f>
        <v>0</v>
      </c>
      <c r="L323">
        <f>IFERROR(INDEX(装备库!$A$2:$Y$1047,MATCH(ROW()-1,装备库!$AO$2:$AO$1046,0),COLUMN()),"")</f>
        <v>2803</v>
      </c>
      <c r="M323">
        <f>IFERROR(INDEX(装备库!$A$2:$Y$1047,MATCH(ROW()-1,装备库!$AO$2:$AO$1046,0),COLUMN()),"")</f>
        <v>0</v>
      </c>
      <c r="N323">
        <f>IFERROR(INDEX(装备库!$A$2:$Y$1047,MATCH(ROW()-1,装备库!$AO$2:$AO$1046,0),COLUMN()),"")</f>
        <v>0</v>
      </c>
      <c r="O323">
        <f>IFERROR(INDEX(装备库!$A$2:$Y$1047,MATCH(ROW()-1,装备库!$AO$2:$AO$1046,0),COLUMN()),"")</f>
        <v>1</v>
      </c>
      <c r="P323">
        <f>IFERROR(INDEX(装备库!$A$2:$Y$1047,MATCH(ROW()-1,装备库!$AO$2:$AO$1046,0),COLUMN()),"")</f>
        <v>0</v>
      </c>
      <c r="Q323">
        <f>IFERROR(INDEX(装备库!$A$2:$Y$1047,MATCH(ROW()-1,装备库!$AO$2:$AO$1046,0),COLUMN()),"")</f>
        <v>1</v>
      </c>
      <c r="R323">
        <f>IFERROR(INDEX(装备库!$A$2:$Y$1047,MATCH(ROW()-1,装备库!$AO$2:$AO$1046,0),COLUMN()),"")</f>
        <v>0</v>
      </c>
      <c r="S323">
        <f>IFERROR(INDEX(装备库!$A$2:$Y$1047,MATCH(ROW()-1,装备库!$AO$2:$AO$1046,0),COLUMN()),"")</f>
        <v>0</v>
      </c>
      <c r="T323">
        <f>IFERROR(INDEX(装备库!$A$2:$Y$1047,MATCH(ROW()-1,装备库!$AO$2:$AO$1046,0),COLUMN()),"")</f>
        <v>0</v>
      </c>
      <c r="U323">
        <f>IFERROR(INDEX(装备库!$A$2:$Y$1047,MATCH(ROW()-1,装备库!$AO$2:$AO$1046,0),COLUMN()),"")</f>
        <v>0</v>
      </c>
      <c r="V323">
        <f>IFERROR(INDEX(装备库!$A$2:$Y$1047,MATCH(ROW()-1,装备库!$AO$2:$AO$1046,0),COLUMN()),"")</f>
        <v>0</v>
      </c>
      <c r="W323" t="str">
        <f>IFERROR(INDEX(装备库!$A$2:$Y$1047,MATCH(ROW()-1,装备库!$AO$2:$AO$1046,0),COLUMN()),"")</f>
        <v>速招</v>
      </c>
      <c r="X323">
        <f>IFERROR(INDEX(装备库!$A$2:$Y$1047,MATCH(ROW()-1,装备库!$AO$2:$AO$1046,0),COLUMN()),"")</f>
        <v>6</v>
      </c>
      <c r="Y323" t="str">
        <f>IFERROR(INDEX(装备库!$A$2:$Y$1047,MATCH(ROW()-1,装备库!$AO$2:$AO$1046,0),COLUMN()),"")</f>
        <v>副本</v>
      </c>
    </row>
    <row r="324" spans="1:25" x14ac:dyDescent="0.35">
      <c r="A324" t="str">
        <f>IFERROR(INDEX(装备库!$A$2:$Y$1047,MATCH(ROW()-1,装备库!$AO$2:$AO$1046,0),COLUMN()),"")</f>
        <v>上衣</v>
      </c>
      <c r="B324" t="str">
        <f>IFERROR(INDEX(装备库!$A$2:$Y$1047,MATCH(ROW()-1,装备库!$AO$2:$AO$1046,0),COLUMN()),"")</f>
        <v>崇月衣</v>
      </c>
      <c r="C324">
        <f>IFERROR(INDEX(装备库!$A$2:$Y$1047,MATCH(ROW()-1,装备库!$AO$2:$AO$1046,0),COLUMN()),"")</f>
        <v>8100</v>
      </c>
      <c r="D324" t="str">
        <f>IFERROR(INDEX(装备库!$A$2:$Y$1047,MATCH(ROW()-1,装备库!$AO$2:$AO$1046,0),COLUMN()),"")</f>
        <v>崇月衣(8100招破)</v>
      </c>
      <c r="E324">
        <f>IFERROR(INDEX(装备库!$A$2:$Y$1047,MATCH(ROW()-1,装备库!$AO$2:$AO$1046,0),COLUMN()),"")</f>
        <v>566</v>
      </c>
      <c r="F324">
        <f>IFERROR(INDEX(装备库!$A$2:$Y$1047,MATCH(ROW()-1,装备库!$AO$2:$AO$1046,0),COLUMN()),"")</f>
        <v>918</v>
      </c>
      <c r="G324">
        <f>IFERROR(INDEX(装备库!$A$2:$Y$1047,MATCH(ROW()-1,装备库!$AO$2:$AO$1046,0),COLUMN()),"")</f>
        <v>0</v>
      </c>
      <c r="H324">
        <f>IFERROR(INDEX(装备库!$A$2:$Y$1047,MATCH(ROW()-1,装备库!$AO$2:$AO$1046,0),COLUMN()),"")</f>
        <v>0</v>
      </c>
      <c r="I324">
        <f>IFERROR(INDEX(装备库!$A$2:$Y$1047,MATCH(ROW()-1,装备库!$AO$2:$AO$1046,0),COLUMN()),"")</f>
        <v>2838</v>
      </c>
      <c r="J324">
        <f>IFERROR(INDEX(装备库!$A$2:$Y$1047,MATCH(ROW()-1,装备库!$AO$2:$AO$1046,0),COLUMN()),"")</f>
        <v>2523</v>
      </c>
      <c r="K324">
        <f>IFERROR(INDEX(装备库!$A$2:$Y$1047,MATCH(ROW()-1,装备库!$AO$2:$AO$1046,0),COLUMN()),"")</f>
        <v>0</v>
      </c>
      <c r="L324">
        <f>IFERROR(INDEX(装备库!$A$2:$Y$1047,MATCH(ROW()-1,装备库!$AO$2:$AO$1046,0),COLUMN()),"")</f>
        <v>0</v>
      </c>
      <c r="M324">
        <f>IFERROR(INDEX(装备库!$A$2:$Y$1047,MATCH(ROW()-1,装备库!$AO$2:$AO$1046,0),COLUMN()),"")</f>
        <v>0</v>
      </c>
      <c r="N324">
        <f>IFERROR(INDEX(装备库!$A$2:$Y$1047,MATCH(ROW()-1,装备库!$AO$2:$AO$1046,0),COLUMN()),"")</f>
        <v>0</v>
      </c>
      <c r="O324">
        <f>IFERROR(INDEX(装备库!$A$2:$Y$1047,MATCH(ROW()-1,装备库!$AO$2:$AO$1046,0),COLUMN()),"")</f>
        <v>0</v>
      </c>
      <c r="P324">
        <f>IFERROR(INDEX(装备库!$A$2:$Y$1047,MATCH(ROW()-1,装备库!$AO$2:$AO$1046,0),COLUMN()),"")</f>
        <v>0</v>
      </c>
      <c r="Q324">
        <f>IFERROR(INDEX(装备库!$A$2:$Y$1047,MATCH(ROW()-1,装备库!$AO$2:$AO$1046,0),COLUMN()),"")</f>
        <v>0</v>
      </c>
      <c r="R324">
        <f>IFERROR(INDEX(装备库!$A$2:$Y$1047,MATCH(ROW()-1,装备库!$AO$2:$AO$1046,0),COLUMN()),"")</f>
        <v>0</v>
      </c>
      <c r="S324">
        <f>IFERROR(INDEX(装备库!$A$2:$Y$1047,MATCH(ROW()-1,装备库!$AO$2:$AO$1046,0),COLUMN()),"")</f>
        <v>0</v>
      </c>
      <c r="T324">
        <f>IFERROR(INDEX(装备库!$A$2:$Y$1047,MATCH(ROW()-1,装备库!$AO$2:$AO$1046,0),COLUMN()),"")</f>
        <v>0</v>
      </c>
      <c r="U324">
        <f>IFERROR(INDEX(装备库!$A$2:$Y$1047,MATCH(ROW()-1,装备库!$AO$2:$AO$1046,0),COLUMN()),"")</f>
        <v>0</v>
      </c>
      <c r="V324">
        <f>IFERROR(INDEX(装备库!$A$2:$Y$1047,MATCH(ROW()-1,装备库!$AO$2:$AO$1046,0),COLUMN()),"")</f>
        <v>0</v>
      </c>
      <c r="W324" t="str">
        <f>IFERROR(INDEX(装备库!$A$2:$Y$1047,MATCH(ROW()-1,装备库!$AO$2:$AO$1046,0),COLUMN()),"")</f>
        <v>招破</v>
      </c>
      <c r="X324">
        <f>IFERROR(INDEX(装备库!$A$2:$Y$1047,MATCH(ROW()-1,装备库!$AO$2:$AO$1046,0),COLUMN()),"")</f>
        <v>6</v>
      </c>
      <c r="Y324" t="str">
        <f>IFERROR(INDEX(装备库!$A$2:$Y$1047,MATCH(ROW()-1,装备库!$AO$2:$AO$1046,0),COLUMN()),"")</f>
        <v>任务</v>
      </c>
    </row>
    <row r="325" spans="1:25" x14ac:dyDescent="0.35">
      <c r="A325" t="str">
        <f>IFERROR(INDEX(装备库!$A$2:$Y$1047,MATCH(ROW()-1,装备库!$AO$2:$AO$1046,0),COLUMN()),"")</f>
        <v>上衣</v>
      </c>
      <c r="B325" t="str">
        <f>IFERROR(INDEX(装备库!$A$2:$Y$1047,MATCH(ROW()-1,装备库!$AO$2:$AO$1046,0),COLUMN()),"")</f>
        <v>画楼衫</v>
      </c>
      <c r="C325">
        <f>IFERROR(INDEX(装备库!$A$2:$Y$1047,MATCH(ROW()-1,装备库!$AO$2:$AO$1046,0),COLUMN()),"")</f>
        <v>8100</v>
      </c>
      <c r="D325" t="str">
        <f>IFERROR(INDEX(装备库!$A$2:$Y$1047,MATCH(ROW()-1,装备库!$AO$2:$AO$1046,0),COLUMN()),"")</f>
        <v>画楼衫(8100会招)</v>
      </c>
      <c r="E325">
        <f>IFERROR(INDEX(装备库!$A$2:$Y$1047,MATCH(ROW()-1,装备库!$AO$2:$AO$1046,0),COLUMN()),"")</f>
        <v>566</v>
      </c>
      <c r="F325">
        <f>IFERROR(INDEX(装备库!$A$2:$Y$1047,MATCH(ROW()-1,装备库!$AO$2:$AO$1046,0),COLUMN()),"")</f>
        <v>918</v>
      </c>
      <c r="G325">
        <f>IFERROR(INDEX(装备库!$A$2:$Y$1047,MATCH(ROW()-1,装备库!$AO$2:$AO$1046,0),COLUMN()),"")</f>
        <v>2838</v>
      </c>
      <c r="H325">
        <f>IFERROR(INDEX(装备库!$A$2:$Y$1047,MATCH(ROW()-1,装备库!$AO$2:$AO$1046,0),COLUMN()),"")</f>
        <v>0</v>
      </c>
      <c r="I325">
        <f>IFERROR(INDEX(装备库!$A$2:$Y$1047,MATCH(ROW()-1,装备库!$AO$2:$AO$1046,0),COLUMN()),"")</f>
        <v>0</v>
      </c>
      <c r="J325">
        <f>IFERROR(INDEX(装备库!$A$2:$Y$1047,MATCH(ROW()-1,装备库!$AO$2:$AO$1046,0),COLUMN()),"")</f>
        <v>2523</v>
      </c>
      <c r="K325">
        <f>IFERROR(INDEX(装备库!$A$2:$Y$1047,MATCH(ROW()-1,装备库!$AO$2:$AO$1046,0),COLUMN()),"")</f>
        <v>0</v>
      </c>
      <c r="L325">
        <f>IFERROR(INDEX(装备库!$A$2:$Y$1047,MATCH(ROW()-1,装备库!$AO$2:$AO$1046,0),COLUMN()),"")</f>
        <v>0</v>
      </c>
      <c r="M325">
        <f>IFERROR(INDEX(装备库!$A$2:$Y$1047,MATCH(ROW()-1,装备库!$AO$2:$AO$1046,0),COLUMN()),"")</f>
        <v>0</v>
      </c>
      <c r="N325">
        <f>IFERROR(INDEX(装备库!$A$2:$Y$1047,MATCH(ROW()-1,装备库!$AO$2:$AO$1046,0),COLUMN()),"")</f>
        <v>0</v>
      </c>
      <c r="O325">
        <f>IFERROR(INDEX(装备库!$A$2:$Y$1047,MATCH(ROW()-1,装备库!$AO$2:$AO$1046,0),COLUMN()),"")</f>
        <v>0</v>
      </c>
      <c r="P325">
        <f>IFERROR(INDEX(装备库!$A$2:$Y$1047,MATCH(ROW()-1,装备库!$AO$2:$AO$1046,0),COLUMN()),"")</f>
        <v>1</v>
      </c>
      <c r="Q325">
        <f>IFERROR(INDEX(装备库!$A$2:$Y$1047,MATCH(ROW()-1,装备库!$AO$2:$AO$1046,0),COLUMN()),"")</f>
        <v>1</v>
      </c>
      <c r="R325">
        <f>IFERROR(INDEX(装备库!$A$2:$Y$1047,MATCH(ROW()-1,装备库!$AO$2:$AO$1046,0),COLUMN()),"")</f>
        <v>0</v>
      </c>
      <c r="S325">
        <f>IFERROR(INDEX(装备库!$A$2:$Y$1047,MATCH(ROW()-1,装备库!$AO$2:$AO$1046,0),COLUMN()),"")</f>
        <v>0</v>
      </c>
      <c r="T325">
        <f>IFERROR(INDEX(装备库!$A$2:$Y$1047,MATCH(ROW()-1,装备库!$AO$2:$AO$1046,0),COLUMN()),"")</f>
        <v>0</v>
      </c>
      <c r="U325">
        <f>IFERROR(INDEX(装备库!$A$2:$Y$1047,MATCH(ROW()-1,装备库!$AO$2:$AO$1046,0),COLUMN()),"")</f>
        <v>0</v>
      </c>
      <c r="V325">
        <f>IFERROR(INDEX(装备库!$A$2:$Y$1047,MATCH(ROW()-1,装备库!$AO$2:$AO$1046,0),COLUMN()),"")</f>
        <v>0</v>
      </c>
      <c r="W325" t="str">
        <f>IFERROR(INDEX(装备库!$A$2:$Y$1047,MATCH(ROW()-1,装备库!$AO$2:$AO$1046,0),COLUMN()),"")</f>
        <v>会招</v>
      </c>
      <c r="X325">
        <f>IFERROR(INDEX(装备库!$A$2:$Y$1047,MATCH(ROW()-1,装备库!$AO$2:$AO$1046,0),COLUMN()),"")</f>
        <v>6</v>
      </c>
      <c r="Y325" t="str">
        <f>IFERROR(INDEX(装备库!$A$2:$Y$1047,MATCH(ROW()-1,装备库!$AO$2:$AO$1046,0),COLUMN()),"")</f>
        <v>任务</v>
      </c>
    </row>
    <row r="326" spans="1:25" x14ac:dyDescent="0.35">
      <c r="A326" t="str">
        <f>IFERROR(INDEX(装备库!$A$2:$Y$1047,MATCH(ROW()-1,装备库!$AO$2:$AO$1046,0),COLUMN()),"")</f>
        <v>上衣</v>
      </c>
      <c r="B326" t="str">
        <f>IFERROR(INDEX(装备库!$A$2:$Y$1047,MATCH(ROW()-1,装备库!$AO$2:$AO$1046,0),COLUMN()),"")</f>
        <v>少雪衫</v>
      </c>
      <c r="C326">
        <f>IFERROR(INDEX(装备库!$A$2:$Y$1047,MATCH(ROW()-1,装备库!$AO$2:$AO$1046,0),COLUMN()),"")</f>
        <v>8600</v>
      </c>
      <c r="D326" t="str">
        <f>IFERROR(INDEX(装备库!$A$2:$Y$1047,MATCH(ROW()-1,装备库!$AO$2:$AO$1046,0),COLUMN()),"")</f>
        <v>少雪衫(8600招破)</v>
      </c>
      <c r="E326">
        <f>IFERROR(INDEX(装备库!$A$2:$Y$1047,MATCH(ROW()-1,装备库!$AO$2:$AO$1046,0),COLUMN()),"")</f>
        <v>601</v>
      </c>
      <c r="F326">
        <f>IFERROR(INDEX(装备库!$A$2:$Y$1047,MATCH(ROW()-1,装备库!$AO$2:$AO$1046,0),COLUMN()),"")</f>
        <v>974</v>
      </c>
      <c r="G326">
        <f>IFERROR(INDEX(装备库!$A$2:$Y$1047,MATCH(ROW()-1,装备库!$AO$2:$AO$1046,0),COLUMN()),"")</f>
        <v>0</v>
      </c>
      <c r="H326">
        <f>IFERROR(INDEX(装备库!$A$2:$Y$1047,MATCH(ROW()-1,装备库!$AO$2:$AO$1046,0),COLUMN()),"")</f>
        <v>0</v>
      </c>
      <c r="I326">
        <f>IFERROR(INDEX(装备库!$A$2:$Y$1047,MATCH(ROW()-1,装备库!$AO$2:$AO$1046,0),COLUMN()),"")</f>
        <v>3013</v>
      </c>
      <c r="J326">
        <f>IFERROR(INDEX(装备库!$A$2:$Y$1047,MATCH(ROW()-1,装备库!$AO$2:$AO$1046,0),COLUMN()),"")</f>
        <v>2678</v>
      </c>
      <c r="K326">
        <f>IFERROR(INDEX(装备库!$A$2:$Y$1047,MATCH(ROW()-1,装备库!$AO$2:$AO$1046,0),COLUMN()),"")</f>
        <v>0</v>
      </c>
      <c r="L326">
        <f>IFERROR(INDEX(装备库!$A$2:$Y$1047,MATCH(ROW()-1,装备库!$AO$2:$AO$1046,0),COLUMN()),"")</f>
        <v>0</v>
      </c>
      <c r="M326">
        <f>IFERROR(INDEX(装备库!$A$2:$Y$1047,MATCH(ROW()-1,装备库!$AO$2:$AO$1046,0),COLUMN()),"")</f>
        <v>0</v>
      </c>
      <c r="N326">
        <f>IFERROR(INDEX(装备库!$A$2:$Y$1047,MATCH(ROW()-1,装备库!$AO$2:$AO$1046,0),COLUMN()),"")</f>
        <v>0</v>
      </c>
      <c r="O326">
        <f>IFERROR(INDEX(装备库!$A$2:$Y$1047,MATCH(ROW()-1,装备库!$AO$2:$AO$1046,0),COLUMN()),"")</f>
        <v>1</v>
      </c>
      <c r="P326">
        <f>IFERROR(INDEX(装备库!$A$2:$Y$1047,MATCH(ROW()-1,装备库!$AO$2:$AO$1046,0),COLUMN()),"")</f>
        <v>0</v>
      </c>
      <c r="Q326">
        <f>IFERROR(INDEX(装备库!$A$2:$Y$1047,MATCH(ROW()-1,装备库!$AO$2:$AO$1046,0),COLUMN()),"")</f>
        <v>1</v>
      </c>
      <c r="R326">
        <f>IFERROR(INDEX(装备库!$A$2:$Y$1047,MATCH(ROW()-1,装备库!$AO$2:$AO$1046,0),COLUMN()),"")</f>
        <v>0</v>
      </c>
      <c r="S326">
        <f>IFERROR(INDEX(装备库!$A$2:$Y$1047,MATCH(ROW()-1,装备库!$AO$2:$AO$1046,0),COLUMN()),"")</f>
        <v>0</v>
      </c>
      <c r="T326">
        <f>IFERROR(INDEX(装备库!$A$2:$Y$1047,MATCH(ROW()-1,装备库!$AO$2:$AO$1046,0),COLUMN()),"")</f>
        <v>0</v>
      </c>
      <c r="U326">
        <f>IFERROR(INDEX(装备库!$A$2:$Y$1047,MATCH(ROW()-1,装备库!$AO$2:$AO$1046,0),COLUMN()),"")</f>
        <v>0</v>
      </c>
      <c r="V326">
        <f>IFERROR(INDEX(装备库!$A$2:$Y$1047,MATCH(ROW()-1,装备库!$AO$2:$AO$1046,0),COLUMN()),"")</f>
        <v>0</v>
      </c>
      <c r="W326" t="str">
        <f>IFERROR(INDEX(装备库!$A$2:$Y$1047,MATCH(ROW()-1,装备库!$AO$2:$AO$1046,0),COLUMN()),"")</f>
        <v>招破</v>
      </c>
      <c r="X326">
        <f>IFERROR(INDEX(装备库!$A$2:$Y$1047,MATCH(ROW()-1,装备库!$AO$2:$AO$1046,0),COLUMN()),"")</f>
        <v>6</v>
      </c>
      <c r="Y326" t="str">
        <f>IFERROR(INDEX(装备库!$A$2:$Y$1047,MATCH(ROW()-1,装备库!$AO$2:$AO$1046,0),COLUMN()),"")</f>
        <v>精英怪</v>
      </c>
    </row>
    <row r="327" spans="1:25" x14ac:dyDescent="0.35">
      <c r="A327" t="str">
        <f>IFERROR(INDEX(装备库!$A$2:$Y$1047,MATCH(ROW()-1,装备库!$AO$2:$AO$1046,0),COLUMN()),"")</f>
        <v>上衣</v>
      </c>
      <c r="B327" t="str">
        <f>IFERROR(INDEX(装备库!$A$2:$Y$1047,MATCH(ROW()-1,装备库!$AO$2:$AO$1046,0),COLUMN()),"")</f>
        <v>画楼衫</v>
      </c>
      <c r="C327">
        <f>IFERROR(INDEX(装备库!$A$2:$Y$1047,MATCH(ROW()-1,装备库!$AO$2:$AO$1046,0),COLUMN()),"")</f>
        <v>8800</v>
      </c>
      <c r="D327" t="str">
        <f>IFERROR(INDEX(装备库!$A$2:$Y$1047,MATCH(ROW()-1,装备库!$AO$2:$AO$1046,0),COLUMN()),"")</f>
        <v>画楼衫(8800会招)</v>
      </c>
      <c r="E327">
        <f>IFERROR(INDEX(装备库!$A$2:$Y$1047,MATCH(ROW()-1,装备库!$AO$2:$AO$1046,0),COLUMN()),"")</f>
        <v>614</v>
      </c>
      <c r="F327">
        <f>IFERROR(INDEX(装备库!$A$2:$Y$1047,MATCH(ROW()-1,装备库!$AO$2:$AO$1046,0),COLUMN()),"")</f>
        <v>997</v>
      </c>
      <c r="G327">
        <f>IFERROR(INDEX(装备库!$A$2:$Y$1047,MATCH(ROW()-1,装备库!$AO$2:$AO$1046,0),COLUMN()),"")</f>
        <v>3083</v>
      </c>
      <c r="H327">
        <f>IFERROR(INDEX(装备库!$A$2:$Y$1047,MATCH(ROW()-1,装备库!$AO$2:$AO$1046,0),COLUMN()),"")</f>
        <v>0</v>
      </c>
      <c r="I327">
        <f>IFERROR(INDEX(装备库!$A$2:$Y$1047,MATCH(ROW()-1,装备库!$AO$2:$AO$1046,0),COLUMN()),"")</f>
        <v>0</v>
      </c>
      <c r="J327">
        <f>IFERROR(INDEX(装备库!$A$2:$Y$1047,MATCH(ROW()-1,装备库!$AO$2:$AO$1046,0),COLUMN()),"")</f>
        <v>2741</v>
      </c>
      <c r="K327">
        <f>IFERROR(INDEX(装备库!$A$2:$Y$1047,MATCH(ROW()-1,装备库!$AO$2:$AO$1046,0),COLUMN()),"")</f>
        <v>0</v>
      </c>
      <c r="L327">
        <f>IFERROR(INDEX(装备库!$A$2:$Y$1047,MATCH(ROW()-1,装备库!$AO$2:$AO$1046,0),COLUMN()),"")</f>
        <v>0</v>
      </c>
      <c r="M327">
        <f>IFERROR(INDEX(装备库!$A$2:$Y$1047,MATCH(ROW()-1,装备库!$AO$2:$AO$1046,0),COLUMN()),"")</f>
        <v>0</v>
      </c>
      <c r="N327">
        <f>IFERROR(INDEX(装备库!$A$2:$Y$1047,MATCH(ROW()-1,装备库!$AO$2:$AO$1046,0),COLUMN()),"")</f>
        <v>0</v>
      </c>
      <c r="O327">
        <f>IFERROR(INDEX(装备库!$A$2:$Y$1047,MATCH(ROW()-1,装备库!$AO$2:$AO$1046,0),COLUMN()),"")</f>
        <v>0</v>
      </c>
      <c r="P327">
        <f>IFERROR(INDEX(装备库!$A$2:$Y$1047,MATCH(ROW()-1,装备库!$AO$2:$AO$1046,0),COLUMN()),"")</f>
        <v>1</v>
      </c>
      <c r="Q327">
        <f>IFERROR(INDEX(装备库!$A$2:$Y$1047,MATCH(ROW()-1,装备库!$AO$2:$AO$1046,0),COLUMN()),"")</f>
        <v>1</v>
      </c>
      <c r="R327">
        <f>IFERROR(INDEX(装备库!$A$2:$Y$1047,MATCH(ROW()-1,装备库!$AO$2:$AO$1046,0),COLUMN()),"")</f>
        <v>0</v>
      </c>
      <c r="S327">
        <f>IFERROR(INDEX(装备库!$A$2:$Y$1047,MATCH(ROW()-1,装备库!$AO$2:$AO$1046,0),COLUMN()),"")</f>
        <v>0</v>
      </c>
      <c r="T327">
        <f>IFERROR(INDEX(装备库!$A$2:$Y$1047,MATCH(ROW()-1,装备库!$AO$2:$AO$1046,0),COLUMN()),"")</f>
        <v>0</v>
      </c>
      <c r="U327">
        <f>IFERROR(INDEX(装备库!$A$2:$Y$1047,MATCH(ROW()-1,装备库!$AO$2:$AO$1046,0),COLUMN()),"")</f>
        <v>0</v>
      </c>
      <c r="V327">
        <f>IFERROR(INDEX(装备库!$A$2:$Y$1047,MATCH(ROW()-1,装备库!$AO$2:$AO$1046,0),COLUMN()),"")</f>
        <v>0</v>
      </c>
      <c r="W327" t="str">
        <f>IFERROR(INDEX(装备库!$A$2:$Y$1047,MATCH(ROW()-1,装备库!$AO$2:$AO$1046,0),COLUMN()),"")</f>
        <v>会招</v>
      </c>
      <c r="X327">
        <f>IFERROR(INDEX(装备库!$A$2:$Y$1047,MATCH(ROW()-1,装备库!$AO$2:$AO$1046,0),COLUMN()),"")</f>
        <v>6</v>
      </c>
      <c r="Y327" t="str">
        <f>IFERROR(INDEX(装备库!$A$2:$Y$1047,MATCH(ROW()-1,装备库!$AO$2:$AO$1046,0),COLUMN()),"")</f>
        <v>任务</v>
      </c>
    </row>
    <row r="328" spans="1:25" x14ac:dyDescent="0.35">
      <c r="A328" t="str">
        <f>IFERROR(INDEX(装备库!$A$2:$Y$1047,MATCH(ROW()-1,装备库!$AO$2:$AO$1046,0),COLUMN()),"")</f>
        <v>上衣</v>
      </c>
      <c r="B328" t="str">
        <f>IFERROR(INDEX(装备库!$A$2:$Y$1047,MATCH(ROW()-1,装备库!$AO$2:$AO$1046,0),COLUMN()),"")</f>
        <v>分石衣</v>
      </c>
      <c r="C328">
        <f>IFERROR(INDEX(装备库!$A$2:$Y$1047,MATCH(ROW()-1,装备库!$AO$2:$AO$1046,0),COLUMN()),"")</f>
        <v>9100</v>
      </c>
      <c r="D328" t="str">
        <f>IFERROR(INDEX(装备库!$A$2:$Y$1047,MATCH(ROW()-1,装备库!$AO$2:$AO$1046,0),COLUMN()),"")</f>
        <v>分石衣(9100会招)</v>
      </c>
      <c r="E328">
        <f>IFERROR(INDEX(装备库!$A$2:$Y$1047,MATCH(ROW()-1,装备库!$AO$2:$AO$1046,0),COLUMN()),"")</f>
        <v>635</v>
      </c>
      <c r="F328">
        <f>IFERROR(INDEX(装备库!$A$2:$Y$1047,MATCH(ROW()-1,装备库!$AO$2:$AO$1046,0),COLUMN()),"")</f>
        <v>1031</v>
      </c>
      <c r="G328">
        <f>IFERROR(INDEX(装备库!$A$2:$Y$1047,MATCH(ROW()-1,装备库!$AO$2:$AO$1046,0),COLUMN()),"")</f>
        <v>3188</v>
      </c>
      <c r="H328">
        <f>IFERROR(INDEX(装备库!$A$2:$Y$1047,MATCH(ROW()-1,装备库!$AO$2:$AO$1046,0),COLUMN()),"")</f>
        <v>0</v>
      </c>
      <c r="I328">
        <f>IFERROR(INDEX(装备库!$A$2:$Y$1047,MATCH(ROW()-1,装备库!$AO$2:$AO$1046,0),COLUMN()),"")</f>
        <v>0</v>
      </c>
      <c r="J328">
        <f>IFERROR(INDEX(装备库!$A$2:$Y$1047,MATCH(ROW()-1,装备库!$AO$2:$AO$1046,0),COLUMN()),"")</f>
        <v>2834</v>
      </c>
      <c r="K328">
        <f>IFERROR(INDEX(装备库!$A$2:$Y$1047,MATCH(ROW()-1,装备库!$AO$2:$AO$1046,0),COLUMN()),"")</f>
        <v>0</v>
      </c>
      <c r="L328">
        <f>IFERROR(INDEX(装备库!$A$2:$Y$1047,MATCH(ROW()-1,装备库!$AO$2:$AO$1046,0),COLUMN()),"")</f>
        <v>0</v>
      </c>
      <c r="M328">
        <f>IFERROR(INDEX(装备库!$A$2:$Y$1047,MATCH(ROW()-1,装备库!$AO$2:$AO$1046,0),COLUMN()),"")</f>
        <v>0</v>
      </c>
      <c r="N328">
        <f>IFERROR(INDEX(装备库!$A$2:$Y$1047,MATCH(ROW()-1,装备库!$AO$2:$AO$1046,0),COLUMN()),"")</f>
        <v>0</v>
      </c>
      <c r="O328">
        <f>IFERROR(INDEX(装备库!$A$2:$Y$1047,MATCH(ROW()-1,装备库!$AO$2:$AO$1046,0),COLUMN()),"")</f>
        <v>0</v>
      </c>
      <c r="P328">
        <f>IFERROR(INDEX(装备库!$A$2:$Y$1047,MATCH(ROW()-1,装备库!$AO$2:$AO$1046,0),COLUMN()),"")</f>
        <v>1</v>
      </c>
      <c r="Q328">
        <f>IFERROR(INDEX(装备库!$A$2:$Y$1047,MATCH(ROW()-1,装备库!$AO$2:$AO$1046,0),COLUMN()),"")</f>
        <v>1</v>
      </c>
      <c r="R328">
        <f>IFERROR(INDEX(装备库!$A$2:$Y$1047,MATCH(ROW()-1,装备库!$AO$2:$AO$1046,0),COLUMN()),"")</f>
        <v>0</v>
      </c>
      <c r="S328">
        <f>IFERROR(INDEX(装备库!$A$2:$Y$1047,MATCH(ROW()-1,装备库!$AO$2:$AO$1046,0),COLUMN()),"")</f>
        <v>0</v>
      </c>
      <c r="T328">
        <f>IFERROR(INDEX(装备库!$A$2:$Y$1047,MATCH(ROW()-1,装备库!$AO$2:$AO$1046,0),COLUMN()),"")</f>
        <v>0</v>
      </c>
      <c r="U328">
        <f>IFERROR(INDEX(装备库!$A$2:$Y$1047,MATCH(ROW()-1,装备库!$AO$2:$AO$1046,0),COLUMN()),"")</f>
        <v>0</v>
      </c>
      <c r="V328">
        <f>IFERROR(INDEX(装备库!$A$2:$Y$1047,MATCH(ROW()-1,装备库!$AO$2:$AO$1046,0),COLUMN()),"")</f>
        <v>0</v>
      </c>
      <c r="W328" t="str">
        <f>IFERROR(INDEX(装备库!$A$2:$Y$1047,MATCH(ROW()-1,装备库!$AO$2:$AO$1046,0),COLUMN()),"")</f>
        <v>会招</v>
      </c>
      <c r="X328">
        <f>IFERROR(INDEX(装备库!$A$2:$Y$1047,MATCH(ROW()-1,装备库!$AO$2:$AO$1046,0),COLUMN()),"")</f>
        <v>6</v>
      </c>
      <c r="Y328" t="str">
        <f>IFERROR(INDEX(装备库!$A$2:$Y$1047,MATCH(ROW()-1,装备库!$AO$2:$AO$1046,0),COLUMN()),"")</f>
        <v>副本</v>
      </c>
    </row>
    <row r="329" spans="1:25" x14ac:dyDescent="0.35">
      <c r="A329" t="str">
        <f>IFERROR(INDEX(装备库!$A$2:$Y$1047,MATCH(ROW()-1,装备库!$AO$2:$AO$1046,0),COLUMN()),"")</f>
        <v>上衣</v>
      </c>
      <c r="B329" t="str">
        <f>IFERROR(INDEX(装备库!$A$2:$Y$1047,MATCH(ROW()-1,装备库!$AO$2:$AO$1046,0),COLUMN()),"")</f>
        <v>女义衫</v>
      </c>
      <c r="C329">
        <f>IFERROR(INDEX(装备库!$A$2:$Y$1047,MATCH(ROW()-1,装备库!$AO$2:$AO$1046,0),COLUMN()),"")</f>
        <v>9600</v>
      </c>
      <c r="D329" t="str">
        <f>IFERROR(INDEX(装备库!$A$2:$Y$1047,MATCH(ROW()-1,装备库!$AO$2:$AO$1046,0),COLUMN()),"")</f>
        <v>女义衫(9600招无)</v>
      </c>
      <c r="E329">
        <f>IFERROR(INDEX(装备库!$A$2:$Y$1047,MATCH(ROW()-1,装备库!$AO$2:$AO$1046,0),COLUMN()),"")</f>
        <v>670</v>
      </c>
      <c r="F329">
        <f>IFERROR(INDEX(装备库!$A$2:$Y$1047,MATCH(ROW()-1,装备库!$AO$2:$AO$1046,0),COLUMN()),"")</f>
        <v>1087</v>
      </c>
      <c r="G329">
        <f>IFERROR(INDEX(装备库!$A$2:$Y$1047,MATCH(ROW()-1,装备库!$AO$2:$AO$1046,0),COLUMN()),"")</f>
        <v>0</v>
      </c>
      <c r="H329">
        <f>IFERROR(INDEX(装备库!$A$2:$Y$1047,MATCH(ROW()-1,装备库!$AO$2:$AO$1046,0),COLUMN()),"")</f>
        <v>0</v>
      </c>
      <c r="I329">
        <f>IFERROR(INDEX(装备库!$A$2:$Y$1047,MATCH(ROW()-1,装备库!$AO$2:$AO$1046,0),COLUMN()),"")</f>
        <v>0</v>
      </c>
      <c r="J329">
        <f>IFERROR(INDEX(装备库!$A$2:$Y$1047,MATCH(ROW()-1,装备库!$AO$2:$AO$1046,0),COLUMN()),"")</f>
        <v>3363</v>
      </c>
      <c r="K329">
        <f>IFERROR(INDEX(装备库!$A$2:$Y$1047,MATCH(ROW()-1,装备库!$AO$2:$AO$1046,0),COLUMN()),"")</f>
        <v>2990</v>
      </c>
      <c r="L329">
        <f>IFERROR(INDEX(装备库!$A$2:$Y$1047,MATCH(ROW()-1,装备库!$AO$2:$AO$1046,0),COLUMN()),"")</f>
        <v>0</v>
      </c>
      <c r="M329">
        <f>IFERROR(INDEX(装备库!$A$2:$Y$1047,MATCH(ROW()-1,装备库!$AO$2:$AO$1046,0),COLUMN()),"")</f>
        <v>0</v>
      </c>
      <c r="N329">
        <f>IFERROR(INDEX(装备库!$A$2:$Y$1047,MATCH(ROW()-1,装备库!$AO$2:$AO$1046,0),COLUMN()),"")</f>
        <v>0</v>
      </c>
      <c r="O329">
        <f>IFERROR(INDEX(装备库!$A$2:$Y$1047,MATCH(ROW()-1,装备库!$AO$2:$AO$1046,0),COLUMN()),"")</f>
        <v>0</v>
      </c>
      <c r="P329">
        <f>IFERROR(INDEX(装备库!$A$2:$Y$1047,MATCH(ROW()-1,装备库!$AO$2:$AO$1046,0),COLUMN()),"")</f>
        <v>0</v>
      </c>
      <c r="Q329">
        <f>IFERROR(INDEX(装备库!$A$2:$Y$1047,MATCH(ROW()-1,装备库!$AO$2:$AO$1046,0),COLUMN()),"")</f>
        <v>1</v>
      </c>
      <c r="R329">
        <f>IFERROR(INDEX(装备库!$A$2:$Y$1047,MATCH(ROW()-1,装备库!$AO$2:$AO$1046,0),COLUMN()),"")</f>
        <v>0</v>
      </c>
      <c r="S329">
        <f>IFERROR(INDEX(装备库!$A$2:$Y$1047,MATCH(ROW()-1,装备库!$AO$2:$AO$1046,0),COLUMN()),"")</f>
        <v>0</v>
      </c>
      <c r="T329">
        <f>IFERROR(INDEX(装备库!$A$2:$Y$1047,MATCH(ROW()-1,装备库!$AO$2:$AO$1046,0),COLUMN()),"")</f>
        <v>1</v>
      </c>
      <c r="U329">
        <f>IFERROR(INDEX(装备库!$A$2:$Y$1047,MATCH(ROW()-1,装备库!$AO$2:$AO$1046,0),COLUMN()),"")</f>
        <v>0</v>
      </c>
      <c r="V329">
        <f>IFERROR(INDEX(装备库!$A$2:$Y$1047,MATCH(ROW()-1,装备库!$AO$2:$AO$1046,0),COLUMN()),"")</f>
        <v>0</v>
      </c>
      <c r="W329" t="str">
        <f>IFERROR(INDEX(装备库!$A$2:$Y$1047,MATCH(ROW()-1,装备库!$AO$2:$AO$1046,0),COLUMN()),"")</f>
        <v>招无</v>
      </c>
      <c r="X329">
        <f>IFERROR(INDEX(装备库!$A$2:$Y$1047,MATCH(ROW()-1,装备库!$AO$2:$AO$1046,0),COLUMN()),"")</f>
        <v>6</v>
      </c>
      <c r="Y329" t="str">
        <f>IFERROR(INDEX(装备库!$A$2:$Y$1047,MATCH(ROW()-1,装备库!$AO$2:$AO$1046,0),COLUMN()),"")</f>
        <v>侠义值</v>
      </c>
    </row>
    <row r="330" spans="1:25" x14ac:dyDescent="0.35">
      <c r="A330" t="str">
        <f>IFERROR(INDEX(装备库!$A$2:$Y$1047,MATCH(ROW()-1,装备库!$AO$2:$AO$1046,0),COLUMN()),"")</f>
        <v>上衣</v>
      </c>
      <c r="B330" t="str">
        <f>IFERROR(INDEX(装备库!$A$2:$Y$1047,MATCH(ROW()-1,装备库!$AO$2:$AO$1046,0),COLUMN()),"")</f>
        <v>寻踪觅宝·遮澜衣</v>
      </c>
      <c r="C330">
        <f>IFERROR(INDEX(装备库!$A$2:$Y$1047,MATCH(ROW()-1,装备库!$AO$2:$AO$1046,0),COLUMN()),"")</f>
        <v>9600</v>
      </c>
      <c r="D330" t="str">
        <f>IFERROR(INDEX(装备库!$A$2:$Y$1047,MATCH(ROW()-1,装备库!$AO$2:$AO$1046,0),COLUMN()),"")</f>
        <v>寻踪觅宝·遮澜衣(9600速招)</v>
      </c>
      <c r="E330">
        <f>IFERROR(INDEX(装备库!$A$2:$Y$1047,MATCH(ROW()-1,装备库!$AO$2:$AO$1046,0),COLUMN()),"")</f>
        <v>670</v>
      </c>
      <c r="F330">
        <f>IFERROR(INDEX(装备库!$A$2:$Y$1047,MATCH(ROW()-1,装备库!$AO$2:$AO$1046,0),COLUMN()),"")</f>
        <v>1087</v>
      </c>
      <c r="G330">
        <f>IFERROR(INDEX(装备库!$A$2:$Y$1047,MATCH(ROW()-1,装备库!$AO$2:$AO$1046,0),COLUMN()),"")</f>
        <v>0</v>
      </c>
      <c r="H330">
        <f>IFERROR(INDEX(装备库!$A$2:$Y$1047,MATCH(ROW()-1,装备库!$AO$2:$AO$1046,0),COLUMN()),"")</f>
        <v>0</v>
      </c>
      <c r="I330">
        <f>IFERROR(INDEX(装备库!$A$2:$Y$1047,MATCH(ROW()-1,装备库!$AO$2:$AO$1046,0),COLUMN()),"")</f>
        <v>0</v>
      </c>
      <c r="J330">
        <f>IFERROR(INDEX(装备库!$A$2:$Y$1047,MATCH(ROW()-1,装备库!$AO$2:$AO$1046,0),COLUMN()),"")</f>
        <v>2990</v>
      </c>
      <c r="K330">
        <f>IFERROR(INDEX(装备库!$A$2:$Y$1047,MATCH(ROW()-1,装备库!$AO$2:$AO$1046,0),COLUMN()),"")</f>
        <v>0</v>
      </c>
      <c r="L330">
        <f>IFERROR(INDEX(装备库!$A$2:$Y$1047,MATCH(ROW()-1,装备库!$AO$2:$AO$1046,0),COLUMN()),"")</f>
        <v>3363</v>
      </c>
      <c r="M330">
        <f>IFERROR(INDEX(装备库!$A$2:$Y$1047,MATCH(ROW()-1,装备库!$AO$2:$AO$1046,0),COLUMN()),"")</f>
        <v>0</v>
      </c>
      <c r="N330">
        <f>IFERROR(INDEX(装备库!$A$2:$Y$1047,MATCH(ROW()-1,装备库!$AO$2:$AO$1046,0),COLUMN()),"")</f>
        <v>0</v>
      </c>
      <c r="O330">
        <f>IFERROR(INDEX(装备库!$A$2:$Y$1047,MATCH(ROW()-1,装备库!$AO$2:$AO$1046,0),COLUMN()),"")</f>
        <v>1</v>
      </c>
      <c r="P330">
        <f>IFERROR(INDEX(装备库!$A$2:$Y$1047,MATCH(ROW()-1,装备库!$AO$2:$AO$1046,0),COLUMN()),"")</f>
        <v>0</v>
      </c>
      <c r="Q330">
        <f>IFERROR(INDEX(装备库!$A$2:$Y$1047,MATCH(ROW()-1,装备库!$AO$2:$AO$1046,0),COLUMN()),"")</f>
        <v>1</v>
      </c>
      <c r="R330">
        <f>IFERROR(INDEX(装备库!$A$2:$Y$1047,MATCH(ROW()-1,装备库!$AO$2:$AO$1046,0),COLUMN()),"")</f>
        <v>0</v>
      </c>
      <c r="S330">
        <f>IFERROR(INDEX(装备库!$A$2:$Y$1047,MATCH(ROW()-1,装备库!$AO$2:$AO$1046,0),COLUMN()),"")</f>
        <v>0</v>
      </c>
      <c r="T330">
        <f>IFERROR(INDEX(装备库!$A$2:$Y$1047,MATCH(ROW()-1,装备库!$AO$2:$AO$1046,0),COLUMN()),"")</f>
        <v>0</v>
      </c>
      <c r="U330">
        <f>IFERROR(INDEX(装备库!$A$2:$Y$1047,MATCH(ROW()-1,装备库!$AO$2:$AO$1046,0),COLUMN()),"")</f>
        <v>0</v>
      </c>
      <c r="V330">
        <f>IFERROR(INDEX(装备库!$A$2:$Y$1047,MATCH(ROW()-1,装备库!$AO$2:$AO$1046,0),COLUMN()),"")</f>
        <v>0</v>
      </c>
      <c r="W330" t="str">
        <f>IFERROR(INDEX(装备库!$A$2:$Y$1047,MATCH(ROW()-1,装备库!$AO$2:$AO$1046,0),COLUMN()),"")</f>
        <v>速招</v>
      </c>
      <c r="X330">
        <f>IFERROR(INDEX(装备库!$A$2:$Y$1047,MATCH(ROW()-1,装备库!$AO$2:$AO$1046,0),COLUMN()),"")</f>
        <v>6</v>
      </c>
      <c r="Y330" t="str">
        <f>IFERROR(INDEX(装备库!$A$2:$Y$1047,MATCH(ROW()-1,装备库!$AO$2:$AO$1046,0),COLUMN()),"")</f>
        <v>挖宝</v>
      </c>
    </row>
    <row r="331" spans="1:25" x14ac:dyDescent="0.35">
      <c r="A331" t="str">
        <f>IFERROR(INDEX(装备库!$A$2:$Y$1047,MATCH(ROW()-1,装备库!$AO$2:$AO$1046,0),COLUMN()),"")</f>
        <v>上衣</v>
      </c>
      <c r="B331" t="str">
        <f>IFERROR(INDEX(装备库!$A$2:$Y$1047,MATCH(ROW()-1,装备库!$AO$2:$AO$1046,0),COLUMN()),"")</f>
        <v>项昌衣</v>
      </c>
      <c r="C331">
        <f>IFERROR(INDEX(装备库!$A$2:$Y$1047,MATCH(ROW()-1,装备库!$AO$2:$AO$1046,0),COLUMN()),"")</f>
        <v>10000</v>
      </c>
      <c r="D331" t="str">
        <f>IFERROR(INDEX(装备库!$A$2:$Y$1047,MATCH(ROW()-1,装备库!$AO$2:$AO$1046,0),COLUMN()),"")</f>
        <v>项昌衣(10000招破)</v>
      </c>
      <c r="E331">
        <f>IFERROR(INDEX(装备库!$A$2:$Y$1047,MATCH(ROW()-1,装备库!$AO$2:$AO$1046,0),COLUMN()),"")</f>
        <v>698</v>
      </c>
      <c r="F331">
        <f>IFERROR(INDEX(装备库!$A$2:$Y$1047,MATCH(ROW()-1,装备库!$AO$2:$AO$1046,0),COLUMN()),"")</f>
        <v>1133</v>
      </c>
      <c r="G331">
        <f>IFERROR(INDEX(装备库!$A$2:$Y$1047,MATCH(ROW()-1,装备库!$AO$2:$AO$1046,0),COLUMN()),"")</f>
        <v>0</v>
      </c>
      <c r="H331">
        <f>IFERROR(INDEX(装备库!$A$2:$Y$1047,MATCH(ROW()-1,装备库!$AO$2:$AO$1046,0),COLUMN()),"")</f>
        <v>0</v>
      </c>
      <c r="I331">
        <f>IFERROR(INDEX(装备库!$A$2:$Y$1047,MATCH(ROW()-1,装备库!$AO$2:$AO$1046,0),COLUMN()),"")</f>
        <v>3504</v>
      </c>
      <c r="J331">
        <f>IFERROR(INDEX(装备库!$A$2:$Y$1047,MATCH(ROW()-1,装备库!$AO$2:$AO$1046,0),COLUMN()),"")</f>
        <v>3114</v>
      </c>
      <c r="K331">
        <f>IFERROR(INDEX(装备库!$A$2:$Y$1047,MATCH(ROW()-1,装备库!$AO$2:$AO$1046,0),COLUMN()),"")</f>
        <v>0</v>
      </c>
      <c r="L331">
        <f>IFERROR(INDEX(装备库!$A$2:$Y$1047,MATCH(ROW()-1,装备库!$AO$2:$AO$1046,0),COLUMN()),"")</f>
        <v>0</v>
      </c>
      <c r="M331">
        <f>IFERROR(INDEX(装备库!$A$2:$Y$1047,MATCH(ROW()-1,装备库!$AO$2:$AO$1046,0),COLUMN()),"")</f>
        <v>0</v>
      </c>
      <c r="N331">
        <f>IFERROR(INDEX(装备库!$A$2:$Y$1047,MATCH(ROW()-1,装备库!$AO$2:$AO$1046,0),COLUMN()),"")</f>
        <v>0</v>
      </c>
      <c r="O331">
        <f>IFERROR(INDEX(装备库!$A$2:$Y$1047,MATCH(ROW()-1,装备库!$AO$2:$AO$1046,0),COLUMN()),"")</f>
        <v>1</v>
      </c>
      <c r="P331">
        <f>IFERROR(INDEX(装备库!$A$2:$Y$1047,MATCH(ROW()-1,装备库!$AO$2:$AO$1046,0),COLUMN()),"")</f>
        <v>0</v>
      </c>
      <c r="Q331">
        <f>IFERROR(INDEX(装备库!$A$2:$Y$1047,MATCH(ROW()-1,装备库!$AO$2:$AO$1046,0),COLUMN()),"")</f>
        <v>1</v>
      </c>
      <c r="R331">
        <f>IFERROR(INDEX(装备库!$A$2:$Y$1047,MATCH(ROW()-1,装备库!$AO$2:$AO$1046,0),COLUMN()),"")</f>
        <v>0</v>
      </c>
      <c r="S331">
        <f>IFERROR(INDEX(装备库!$A$2:$Y$1047,MATCH(ROW()-1,装备库!$AO$2:$AO$1046,0),COLUMN()),"")</f>
        <v>0</v>
      </c>
      <c r="T331">
        <f>IFERROR(INDEX(装备库!$A$2:$Y$1047,MATCH(ROW()-1,装备库!$AO$2:$AO$1046,0),COLUMN()),"")</f>
        <v>0</v>
      </c>
      <c r="U331">
        <f>IFERROR(INDEX(装备库!$A$2:$Y$1047,MATCH(ROW()-1,装备库!$AO$2:$AO$1046,0),COLUMN()),"")</f>
        <v>0</v>
      </c>
      <c r="V331">
        <f>IFERROR(INDEX(装备库!$A$2:$Y$1047,MATCH(ROW()-1,装备库!$AO$2:$AO$1046,0),COLUMN()),"")</f>
        <v>0</v>
      </c>
      <c r="W331" t="str">
        <f>IFERROR(INDEX(装备库!$A$2:$Y$1047,MATCH(ROW()-1,装备库!$AO$2:$AO$1046,0),COLUMN()),"")</f>
        <v>招破</v>
      </c>
      <c r="X331">
        <f>IFERROR(INDEX(装备库!$A$2:$Y$1047,MATCH(ROW()-1,装备库!$AO$2:$AO$1046,0),COLUMN()),"")</f>
        <v>6</v>
      </c>
      <c r="Y331" t="str">
        <f>IFERROR(INDEX(装备库!$A$2:$Y$1047,MATCH(ROW()-1,装备库!$AO$2:$AO$1046,0),COLUMN()),"")</f>
        <v>副本</v>
      </c>
    </row>
    <row r="332" spans="1:25" x14ac:dyDescent="0.35">
      <c r="A332" t="str">
        <f>IFERROR(INDEX(装备库!$A$2:$Y$1047,MATCH(ROW()-1,装备库!$AO$2:$AO$1046,0),COLUMN()),"")</f>
        <v>上衣</v>
      </c>
      <c r="B332" t="str">
        <f>IFERROR(INDEX(装备库!$A$2:$Y$1047,MATCH(ROW()-1,装备库!$AO$2:$AO$1046,0),COLUMN()),"")</f>
        <v>沉龙荡波·淘浪衣</v>
      </c>
      <c r="C332">
        <f>IFERROR(INDEX(装备库!$A$2:$Y$1047,MATCH(ROW()-1,装备库!$AO$2:$AO$1046,0),COLUMN()),"")</f>
        <v>10000</v>
      </c>
      <c r="D332" t="str">
        <f>IFERROR(INDEX(装备库!$A$2:$Y$1047,MATCH(ROW()-1,装备库!$AO$2:$AO$1046,0),COLUMN()),"")</f>
        <v>沉龙荡波·淘浪衣(10000招破)</v>
      </c>
      <c r="E332">
        <f>IFERROR(INDEX(装备库!$A$2:$Y$1047,MATCH(ROW()-1,装备库!$AO$2:$AO$1046,0),COLUMN()),"")</f>
        <v>698</v>
      </c>
      <c r="F332">
        <f>IFERROR(INDEX(装备库!$A$2:$Y$1047,MATCH(ROW()-1,装备库!$AO$2:$AO$1046,0),COLUMN()),"")</f>
        <v>1133</v>
      </c>
      <c r="G332">
        <f>IFERROR(INDEX(装备库!$A$2:$Y$1047,MATCH(ROW()-1,装备库!$AO$2:$AO$1046,0),COLUMN()),"")</f>
        <v>0</v>
      </c>
      <c r="H332">
        <f>IFERROR(INDEX(装备库!$A$2:$Y$1047,MATCH(ROW()-1,装备库!$AO$2:$AO$1046,0),COLUMN()),"")</f>
        <v>0</v>
      </c>
      <c r="I332">
        <f>IFERROR(INDEX(装备库!$A$2:$Y$1047,MATCH(ROW()-1,装备库!$AO$2:$AO$1046,0),COLUMN()),"")</f>
        <v>3504</v>
      </c>
      <c r="J332">
        <f>IFERROR(INDEX(装备库!$A$2:$Y$1047,MATCH(ROW()-1,装备库!$AO$2:$AO$1046,0),COLUMN()),"")</f>
        <v>3114</v>
      </c>
      <c r="K332">
        <f>IFERROR(INDEX(装备库!$A$2:$Y$1047,MATCH(ROW()-1,装备库!$AO$2:$AO$1046,0),COLUMN()),"")</f>
        <v>0</v>
      </c>
      <c r="L332">
        <f>IFERROR(INDEX(装备库!$A$2:$Y$1047,MATCH(ROW()-1,装备库!$AO$2:$AO$1046,0),COLUMN()),"")</f>
        <v>0</v>
      </c>
      <c r="M332">
        <f>IFERROR(INDEX(装备库!$A$2:$Y$1047,MATCH(ROW()-1,装备库!$AO$2:$AO$1046,0),COLUMN()),"")</f>
        <v>0</v>
      </c>
      <c r="N332">
        <f>IFERROR(INDEX(装备库!$A$2:$Y$1047,MATCH(ROW()-1,装备库!$AO$2:$AO$1046,0),COLUMN()),"")</f>
        <v>0</v>
      </c>
      <c r="O332">
        <f>IFERROR(INDEX(装备库!$A$2:$Y$1047,MATCH(ROW()-1,装备库!$AO$2:$AO$1046,0),COLUMN()),"")</f>
        <v>1</v>
      </c>
      <c r="P332">
        <f>IFERROR(INDEX(装备库!$A$2:$Y$1047,MATCH(ROW()-1,装备库!$AO$2:$AO$1046,0),COLUMN()),"")</f>
        <v>0</v>
      </c>
      <c r="Q332">
        <f>IFERROR(INDEX(装备库!$A$2:$Y$1047,MATCH(ROW()-1,装备库!$AO$2:$AO$1046,0),COLUMN()),"")</f>
        <v>1</v>
      </c>
      <c r="R332">
        <f>IFERROR(INDEX(装备库!$A$2:$Y$1047,MATCH(ROW()-1,装备库!$AO$2:$AO$1046,0),COLUMN()),"")</f>
        <v>0</v>
      </c>
      <c r="S332">
        <f>IFERROR(INDEX(装备库!$A$2:$Y$1047,MATCH(ROW()-1,装备库!$AO$2:$AO$1046,0),COLUMN()),"")</f>
        <v>0</v>
      </c>
      <c r="T332">
        <f>IFERROR(INDEX(装备库!$A$2:$Y$1047,MATCH(ROW()-1,装备库!$AO$2:$AO$1046,0),COLUMN()),"")</f>
        <v>0</v>
      </c>
      <c r="U332">
        <f>IFERROR(INDEX(装备库!$A$2:$Y$1047,MATCH(ROW()-1,装备库!$AO$2:$AO$1046,0),COLUMN()),"")</f>
        <v>0</v>
      </c>
      <c r="V332">
        <f>IFERROR(INDEX(装备库!$A$2:$Y$1047,MATCH(ROW()-1,装备库!$AO$2:$AO$1046,0),COLUMN()),"")</f>
        <v>0</v>
      </c>
      <c r="W332" t="str">
        <f>IFERROR(INDEX(装备库!$A$2:$Y$1047,MATCH(ROW()-1,装备库!$AO$2:$AO$1046,0),COLUMN()),"")</f>
        <v>招破</v>
      </c>
      <c r="X332">
        <f>IFERROR(INDEX(装备库!$A$2:$Y$1047,MATCH(ROW()-1,装备库!$AO$2:$AO$1046,0),COLUMN()),"")</f>
        <v>6</v>
      </c>
      <c r="Y332" t="str">
        <f>IFERROR(INDEX(装备库!$A$2:$Y$1047,MATCH(ROW()-1,装备库!$AO$2:$AO$1046,0),COLUMN()),"")</f>
        <v>飞沙令</v>
      </c>
    </row>
    <row r="333" spans="1:25" x14ac:dyDescent="0.35">
      <c r="A333" t="str">
        <f>IFERROR(INDEX(装备库!$A$2:$Y$1047,MATCH(ROW()-1,装备库!$AO$2:$AO$1046,0),COLUMN()),"")</f>
        <v>上衣</v>
      </c>
      <c r="B333" t="str">
        <f>IFERROR(INDEX(装备库!$A$2:$Y$1047,MATCH(ROW()-1,装备库!$AO$2:$AO$1046,0),COLUMN()),"")</f>
        <v>寻踪觅宝·光熙衣</v>
      </c>
      <c r="C333">
        <f>IFERROR(INDEX(装备库!$A$2:$Y$1047,MATCH(ROW()-1,装备库!$AO$2:$AO$1046,0),COLUMN()),"")</f>
        <v>10000</v>
      </c>
      <c r="D333" t="str">
        <f>IFERROR(INDEX(装备库!$A$2:$Y$1047,MATCH(ROW()-1,装备库!$AO$2:$AO$1046,0),COLUMN()),"")</f>
        <v>寻踪觅宝·光熙衣(10000速招)</v>
      </c>
      <c r="E333">
        <f>IFERROR(INDEX(装备库!$A$2:$Y$1047,MATCH(ROW()-1,装备库!$AO$2:$AO$1046,0),COLUMN()),"")</f>
        <v>698</v>
      </c>
      <c r="F333">
        <f>IFERROR(INDEX(装备库!$A$2:$Y$1047,MATCH(ROW()-1,装备库!$AO$2:$AO$1046,0),COLUMN()),"")</f>
        <v>1133</v>
      </c>
      <c r="G333">
        <f>IFERROR(INDEX(装备库!$A$2:$Y$1047,MATCH(ROW()-1,装备库!$AO$2:$AO$1046,0),COLUMN()),"")</f>
        <v>0</v>
      </c>
      <c r="H333">
        <f>IFERROR(INDEX(装备库!$A$2:$Y$1047,MATCH(ROW()-1,装备库!$AO$2:$AO$1046,0),COLUMN()),"")</f>
        <v>0</v>
      </c>
      <c r="I333">
        <f>IFERROR(INDEX(装备库!$A$2:$Y$1047,MATCH(ROW()-1,装备库!$AO$2:$AO$1046,0),COLUMN()),"")</f>
        <v>0</v>
      </c>
      <c r="J333">
        <f>IFERROR(INDEX(装备库!$A$2:$Y$1047,MATCH(ROW()-1,装备库!$AO$2:$AO$1046,0),COLUMN()),"")</f>
        <v>3114</v>
      </c>
      <c r="K333">
        <f>IFERROR(INDEX(装备库!$A$2:$Y$1047,MATCH(ROW()-1,装备库!$AO$2:$AO$1046,0),COLUMN()),"")</f>
        <v>0</v>
      </c>
      <c r="L333">
        <f>IFERROR(INDEX(装备库!$A$2:$Y$1047,MATCH(ROW()-1,装备库!$AO$2:$AO$1046,0),COLUMN()),"")</f>
        <v>3504</v>
      </c>
      <c r="M333">
        <f>IFERROR(INDEX(装备库!$A$2:$Y$1047,MATCH(ROW()-1,装备库!$AO$2:$AO$1046,0),COLUMN()),"")</f>
        <v>0</v>
      </c>
      <c r="N333">
        <f>IFERROR(INDEX(装备库!$A$2:$Y$1047,MATCH(ROW()-1,装备库!$AO$2:$AO$1046,0),COLUMN()),"")</f>
        <v>0</v>
      </c>
      <c r="O333">
        <f>IFERROR(INDEX(装备库!$A$2:$Y$1047,MATCH(ROW()-1,装备库!$AO$2:$AO$1046,0),COLUMN()),"")</f>
        <v>1</v>
      </c>
      <c r="P333">
        <f>IFERROR(INDEX(装备库!$A$2:$Y$1047,MATCH(ROW()-1,装备库!$AO$2:$AO$1046,0),COLUMN()),"")</f>
        <v>0</v>
      </c>
      <c r="Q333">
        <f>IFERROR(INDEX(装备库!$A$2:$Y$1047,MATCH(ROW()-1,装备库!$AO$2:$AO$1046,0),COLUMN()),"")</f>
        <v>1</v>
      </c>
      <c r="R333">
        <f>IFERROR(INDEX(装备库!$A$2:$Y$1047,MATCH(ROW()-1,装备库!$AO$2:$AO$1046,0),COLUMN()),"")</f>
        <v>0</v>
      </c>
      <c r="S333">
        <f>IFERROR(INDEX(装备库!$A$2:$Y$1047,MATCH(ROW()-1,装备库!$AO$2:$AO$1046,0),COLUMN()),"")</f>
        <v>0</v>
      </c>
      <c r="T333">
        <f>IFERROR(INDEX(装备库!$A$2:$Y$1047,MATCH(ROW()-1,装备库!$AO$2:$AO$1046,0),COLUMN()),"")</f>
        <v>0</v>
      </c>
      <c r="U333">
        <f>IFERROR(INDEX(装备库!$A$2:$Y$1047,MATCH(ROW()-1,装备库!$AO$2:$AO$1046,0),COLUMN()),"")</f>
        <v>0</v>
      </c>
      <c r="V333">
        <f>IFERROR(INDEX(装备库!$A$2:$Y$1047,MATCH(ROW()-1,装备库!$AO$2:$AO$1046,0),COLUMN()),"")</f>
        <v>0</v>
      </c>
      <c r="W333" t="str">
        <f>IFERROR(INDEX(装备库!$A$2:$Y$1047,MATCH(ROW()-1,装备库!$AO$2:$AO$1046,0),COLUMN()),"")</f>
        <v>速招</v>
      </c>
      <c r="X333">
        <f>IFERROR(INDEX(装备库!$A$2:$Y$1047,MATCH(ROW()-1,装备库!$AO$2:$AO$1046,0),COLUMN()),"")</f>
        <v>6</v>
      </c>
      <c r="Y333" t="str">
        <f>IFERROR(INDEX(装备库!$A$2:$Y$1047,MATCH(ROW()-1,装备库!$AO$2:$AO$1046,0),COLUMN()),"")</f>
        <v>挖宝</v>
      </c>
    </row>
    <row r="334" spans="1:25" x14ac:dyDescent="0.35">
      <c r="A334" t="str">
        <f>IFERROR(INDEX(装备库!$A$2:$Y$1047,MATCH(ROW()-1,装备库!$AO$2:$AO$1046,0),COLUMN()),"")</f>
        <v>上衣</v>
      </c>
      <c r="B334" t="str">
        <f>IFERROR(INDEX(装备库!$A$2:$Y$1047,MATCH(ROW()-1,装备库!$AO$2:$AO$1046,0),COLUMN()),"")</f>
        <v>垣翰衫</v>
      </c>
      <c r="C334">
        <f>IFERROR(INDEX(装备库!$A$2:$Y$1047,MATCH(ROW()-1,装备库!$AO$2:$AO$1046,0),COLUMN()),"")</f>
        <v>10000</v>
      </c>
      <c r="D334" t="str">
        <f>IFERROR(INDEX(装备库!$A$2:$Y$1047,MATCH(ROW()-1,装备库!$AO$2:$AO$1046,0),COLUMN()),"")</f>
        <v>垣翰衫(10000速无)</v>
      </c>
      <c r="E334">
        <f>IFERROR(INDEX(装备库!$A$2:$Y$1047,MATCH(ROW()-1,装备库!$AO$2:$AO$1046,0),COLUMN()),"")</f>
        <v>698</v>
      </c>
      <c r="F334">
        <f>IFERROR(INDEX(装备库!$A$2:$Y$1047,MATCH(ROW()-1,装备库!$AO$2:$AO$1046,0),COLUMN()),"")</f>
        <v>1133</v>
      </c>
      <c r="G334">
        <f>IFERROR(INDEX(装备库!$A$2:$Y$1047,MATCH(ROW()-1,装备库!$AO$2:$AO$1046,0),COLUMN()),"")</f>
        <v>0</v>
      </c>
      <c r="H334">
        <f>IFERROR(INDEX(装备库!$A$2:$Y$1047,MATCH(ROW()-1,装备库!$AO$2:$AO$1046,0),COLUMN()),"")</f>
        <v>0</v>
      </c>
      <c r="I334">
        <f>IFERROR(INDEX(装备库!$A$2:$Y$1047,MATCH(ROW()-1,装备库!$AO$2:$AO$1046,0),COLUMN()),"")</f>
        <v>0</v>
      </c>
      <c r="J334">
        <f>IFERROR(INDEX(装备库!$A$2:$Y$1047,MATCH(ROW()-1,装备库!$AO$2:$AO$1046,0),COLUMN()),"")</f>
        <v>0</v>
      </c>
      <c r="K334">
        <f>IFERROR(INDEX(装备库!$A$2:$Y$1047,MATCH(ROW()-1,装备库!$AO$2:$AO$1046,0),COLUMN()),"")</f>
        <v>3114</v>
      </c>
      <c r="L334">
        <f>IFERROR(INDEX(装备库!$A$2:$Y$1047,MATCH(ROW()-1,装备库!$AO$2:$AO$1046,0),COLUMN()),"")</f>
        <v>3504</v>
      </c>
      <c r="M334">
        <f>IFERROR(INDEX(装备库!$A$2:$Y$1047,MATCH(ROW()-1,装备库!$AO$2:$AO$1046,0),COLUMN()),"")</f>
        <v>0</v>
      </c>
      <c r="N334">
        <f>IFERROR(INDEX(装备库!$A$2:$Y$1047,MATCH(ROW()-1,装备库!$AO$2:$AO$1046,0),COLUMN()),"")</f>
        <v>0</v>
      </c>
      <c r="O334">
        <f>IFERROR(INDEX(装备库!$A$2:$Y$1047,MATCH(ROW()-1,装备库!$AO$2:$AO$1046,0),COLUMN()),"")</f>
        <v>0</v>
      </c>
      <c r="P334">
        <f>IFERROR(INDEX(装备库!$A$2:$Y$1047,MATCH(ROW()-1,装备库!$AO$2:$AO$1046,0),COLUMN()),"")</f>
        <v>0</v>
      </c>
      <c r="Q334">
        <f>IFERROR(INDEX(装备库!$A$2:$Y$1047,MATCH(ROW()-1,装备库!$AO$2:$AO$1046,0),COLUMN()),"")</f>
        <v>1</v>
      </c>
      <c r="R334">
        <f>IFERROR(INDEX(装备库!$A$2:$Y$1047,MATCH(ROW()-1,装备库!$AO$2:$AO$1046,0),COLUMN()),"")</f>
        <v>0</v>
      </c>
      <c r="S334">
        <f>IFERROR(INDEX(装备库!$A$2:$Y$1047,MATCH(ROW()-1,装备库!$AO$2:$AO$1046,0),COLUMN()),"")</f>
        <v>0</v>
      </c>
      <c r="T334">
        <f>IFERROR(INDEX(装备库!$A$2:$Y$1047,MATCH(ROW()-1,装备库!$AO$2:$AO$1046,0),COLUMN()),"")</f>
        <v>1</v>
      </c>
      <c r="U334">
        <f>IFERROR(INDEX(装备库!$A$2:$Y$1047,MATCH(ROW()-1,装备库!$AO$2:$AO$1046,0),COLUMN()),"")</f>
        <v>0</v>
      </c>
      <c r="V334">
        <f>IFERROR(INDEX(装备库!$A$2:$Y$1047,MATCH(ROW()-1,装备库!$AO$2:$AO$1046,0),COLUMN()),"")</f>
        <v>0</v>
      </c>
      <c r="W334" t="str">
        <f>IFERROR(INDEX(装备库!$A$2:$Y$1047,MATCH(ROW()-1,装备库!$AO$2:$AO$1046,0),COLUMN()),"")</f>
        <v>速无</v>
      </c>
      <c r="X334">
        <f>IFERROR(INDEX(装备库!$A$2:$Y$1047,MATCH(ROW()-1,装备库!$AO$2:$AO$1046,0),COLUMN()),"")</f>
        <v>6</v>
      </c>
      <c r="Y334" t="str">
        <f>IFERROR(INDEX(装备库!$A$2:$Y$1047,MATCH(ROW()-1,装备库!$AO$2:$AO$1046,0),COLUMN()),"")</f>
        <v>副本</v>
      </c>
    </row>
    <row r="335" spans="1:25" x14ac:dyDescent="0.35">
      <c r="A335" t="str">
        <f>IFERROR(INDEX(装备库!$A$2:$Y$1047,MATCH(ROW()-1,装备库!$AO$2:$AO$1046,0),COLUMN()),"")</f>
        <v>上衣</v>
      </c>
      <c r="B335" t="str">
        <f>IFERROR(INDEX(装备库!$A$2:$Y$1047,MATCH(ROW()-1,装备库!$AO$2:$AO$1046,0),COLUMN()),"")</f>
        <v>忆敬衫</v>
      </c>
      <c r="C335">
        <f>IFERROR(INDEX(装备库!$A$2:$Y$1047,MATCH(ROW()-1,装备库!$AO$2:$AO$1046,0),COLUMN()),"")</f>
        <v>10000</v>
      </c>
      <c r="D335" t="str">
        <f>IFERROR(INDEX(装备库!$A$2:$Y$1047,MATCH(ROW()-1,装备库!$AO$2:$AO$1046,0),COLUMN()),"")</f>
        <v>忆敬衫(10000破无)</v>
      </c>
      <c r="E335">
        <f>IFERROR(INDEX(装备库!$A$2:$Y$1047,MATCH(ROW()-1,装备库!$AO$2:$AO$1046,0),COLUMN()),"")</f>
        <v>698</v>
      </c>
      <c r="F335">
        <f>IFERROR(INDEX(装备库!$A$2:$Y$1047,MATCH(ROW()-1,装备库!$AO$2:$AO$1046,0),COLUMN()),"")</f>
        <v>1133</v>
      </c>
      <c r="G335">
        <f>IFERROR(INDEX(装备库!$A$2:$Y$1047,MATCH(ROW()-1,装备库!$AO$2:$AO$1046,0),COLUMN()),"")</f>
        <v>0</v>
      </c>
      <c r="H335">
        <f>IFERROR(INDEX(装备库!$A$2:$Y$1047,MATCH(ROW()-1,装备库!$AO$2:$AO$1046,0),COLUMN()),"")</f>
        <v>0</v>
      </c>
      <c r="I335">
        <f>IFERROR(INDEX(装备库!$A$2:$Y$1047,MATCH(ROW()-1,装备库!$AO$2:$AO$1046,0),COLUMN()),"")</f>
        <v>3504</v>
      </c>
      <c r="J335">
        <f>IFERROR(INDEX(装备库!$A$2:$Y$1047,MATCH(ROW()-1,装备库!$AO$2:$AO$1046,0),COLUMN()),"")</f>
        <v>0</v>
      </c>
      <c r="K335">
        <f>IFERROR(INDEX(装备库!$A$2:$Y$1047,MATCH(ROW()-1,装备库!$AO$2:$AO$1046,0),COLUMN()),"")</f>
        <v>3114</v>
      </c>
      <c r="L335">
        <f>IFERROR(INDEX(装备库!$A$2:$Y$1047,MATCH(ROW()-1,装备库!$AO$2:$AO$1046,0),COLUMN()),"")</f>
        <v>0</v>
      </c>
      <c r="M335">
        <f>IFERROR(INDEX(装备库!$A$2:$Y$1047,MATCH(ROW()-1,装备库!$AO$2:$AO$1046,0),COLUMN()),"")</f>
        <v>0</v>
      </c>
      <c r="N335">
        <f>IFERROR(INDEX(装备库!$A$2:$Y$1047,MATCH(ROW()-1,装备库!$AO$2:$AO$1046,0),COLUMN()),"")</f>
        <v>0</v>
      </c>
      <c r="O335">
        <f>IFERROR(INDEX(装备库!$A$2:$Y$1047,MATCH(ROW()-1,装备库!$AO$2:$AO$1046,0),COLUMN()),"")</f>
        <v>1</v>
      </c>
      <c r="P335">
        <f>IFERROR(INDEX(装备库!$A$2:$Y$1047,MATCH(ROW()-1,装备库!$AO$2:$AO$1046,0),COLUMN()),"")</f>
        <v>0</v>
      </c>
      <c r="Q335">
        <f>IFERROR(INDEX(装备库!$A$2:$Y$1047,MATCH(ROW()-1,装备库!$AO$2:$AO$1046,0),COLUMN()),"")</f>
        <v>1</v>
      </c>
      <c r="R335">
        <f>IFERROR(INDEX(装备库!$A$2:$Y$1047,MATCH(ROW()-1,装备库!$AO$2:$AO$1046,0),COLUMN()),"")</f>
        <v>0</v>
      </c>
      <c r="S335">
        <f>IFERROR(INDEX(装备库!$A$2:$Y$1047,MATCH(ROW()-1,装备库!$AO$2:$AO$1046,0),COLUMN()),"")</f>
        <v>0</v>
      </c>
      <c r="T335">
        <f>IFERROR(INDEX(装备库!$A$2:$Y$1047,MATCH(ROW()-1,装备库!$AO$2:$AO$1046,0),COLUMN()),"")</f>
        <v>0</v>
      </c>
      <c r="U335">
        <f>IFERROR(INDEX(装备库!$A$2:$Y$1047,MATCH(ROW()-1,装备库!$AO$2:$AO$1046,0),COLUMN()),"")</f>
        <v>0</v>
      </c>
      <c r="V335">
        <f>IFERROR(INDEX(装备库!$A$2:$Y$1047,MATCH(ROW()-1,装备库!$AO$2:$AO$1046,0),COLUMN()),"")</f>
        <v>0</v>
      </c>
      <c r="W335" t="str">
        <f>IFERROR(INDEX(装备库!$A$2:$Y$1047,MATCH(ROW()-1,装备库!$AO$2:$AO$1046,0),COLUMN()),"")</f>
        <v>破无</v>
      </c>
      <c r="X335">
        <f>IFERROR(INDEX(装备库!$A$2:$Y$1047,MATCH(ROW()-1,装备库!$AO$2:$AO$1046,0),COLUMN()),"")</f>
        <v>6</v>
      </c>
      <c r="Y335" t="str">
        <f>IFERROR(INDEX(装备库!$A$2:$Y$1047,MATCH(ROW()-1,装备库!$AO$2:$AO$1046,0),COLUMN()),"")</f>
        <v>副本</v>
      </c>
    </row>
    <row r="336" spans="1:25" x14ac:dyDescent="0.35">
      <c r="A336" t="str">
        <f>IFERROR(INDEX(装备库!$A$2:$Y$1047,MATCH(ROW()-1,装备库!$AO$2:$AO$1046,0),COLUMN()),"")</f>
        <v>上衣</v>
      </c>
      <c r="B336" t="str">
        <f>IFERROR(INDEX(装备库!$A$2:$Y$1047,MATCH(ROW()-1,装备库!$AO$2:$AO$1046,0),COLUMN()),"")</f>
        <v>羡双衣</v>
      </c>
      <c r="C336">
        <f>IFERROR(INDEX(装备库!$A$2:$Y$1047,MATCH(ROW()-1,装备库!$AO$2:$AO$1046,0),COLUMN()),"")</f>
        <v>10000</v>
      </c>
      <c r="D336" t="str">
        <f>IFERROR(INDEX(装备库!$A$2:$Y$1047,MATCH(ROW()-1,装备库!$AO$2:$AO$1046,0),COLUMN()),"")</f>
        <v>羡双衣(10000破无)</v>
      </c>
      <c r="E336">
        <f>IFERROR(INDEX(装备库!$A$2:$Y$1047,MATCH(ROW()-1,装备库!$AO$2:$AO$1046,0),COLUMN()),"")</f>
        <v>698</v>
      </c>
      <c r="F336">
        <f>IFERROR(INDEX(装备库!$A$2:$Y$1047,MATCH(ROW()-1,装备库!$AO$2:$AO$1046,0),COLUMN()),"")</f>
        <v>1133</v>
      </c>
      <c r="G336">
        <f>IFERROR(INDEX(装备库!$A$2:$Y$1047,MATCH(ROW()-1,装备库!$AO$2:$AO$1046,0),COLUMN()),"")</f>
        <v>0</v>
      </c>
      <c r="H336">
        <f>IFERROR(INDEX(装备库!$A$2:$Y$1047,MATCH(ROW()-1,装备库!$AO$2:$AO$1046,0),COLUMN()),"")</f>
        <v>0</v>
      </c>
      <c r="I336">
        <f>IFERROR(INDEX(装备库!$A$2:$Y$1047,MATCH(ROW()-1,装备库!$AO$2:$AO$1046,0),COLUMN()),"")</f>
        <v>3504</v>
      </c>
      <c r="J336">
        <f>IFERROR(INDEX(装备库!$A$2:$Y$1047,MATCH(ROW()-1,装备库!$AO$2:$AO$1046,0),COLUMN()),"")</f>
        <v>0</v>
      </c>
      <c r="K336">
        <f>IFERROR(INDEX(装备库!$A$2:$Y$1047,MATCH(ROW()-1,装备库!$AO$2:$AO$1046,0),COLUMN()),"")</f>
        <v>3114</v>
      </c>
      <c r="L336">
        <f>IFERROR(INDEX(装备库!$A$2:$Y$1047,MATCH(ROW()-1,装备库!$AO$2:$AO$1046,0),COLUMN()),"")</f>
        <v>0</v>
      </c>
      <c r="M336">
        <f>IFERROR(INDEX(装备库!$A$2:$Y$1047,MATCH(ROW()-1,装备库!$AO$2:$AO$1046,0),COLUMN()),"")</f>
        <v>0</v>
      </c>
      <c r="N336">
        <f>IFERROR(INDEX(装备库!$A$2:$Y$1047,MATCH(ROW()-1,装备库!$AO$2:$AO$1046,0),COLUMN()),"")</f>
        <v>0</v>
      </c>
      <c r="O336">
        <f>IFERROR(INDEX(装备库!$A$2:$Y$1047,MATCH(ROW()-1,装备库!$AO$2:$AO$1046,0),COLUMN()),"")</f>
        <v>1</v>
      </c>
      <c r="P336">
        <f>IFERROR(INDEX(装备库!$A$2:$Y$1047,MATCH(ROW()-1,装备库!$AO$2:$AO$1046,0),COLUMN()),"")</f>
        <v>0</v>
      </c>
      <c r="Q336">
        <f>IFERROR(INDEX(装备库!$A$2:$Y$1047,MATCH(ROW()-1,装备库!$AO$2:$AO$1046,0),COLUMN()),"")</f>
        <v>1</v>
      </c>
      <c r="R336">
        <f>IFERROR(INDEX(装备库!$A$2:$Y$1047,MATCH(ROW()-1,装备库!$AO$2:$AO$1046,0),COLUMN()),"")</f>
        <v>0</v>
      </c>
      <c r="S336">
        <f>IFERROR(INDEX(装备库!$A$2:$Y$1047,MATCH(ROW()-1,装备库!$AO$2:$AO$1046,0),COLUMN()),"")</f>
        <v>0</v>
      </c>
      <c r="T336">
        <f>IFERROR(INDEX(装备库!$A$2:$Y$1047,MATCH(ROW()-1,装备库!$AO$2:$AO$1046,0),COLUMN()),"")</f>
        <v>0</v>
      </c>
      <c r="U336">
        <f>IFERROR(INDEX(装备库!$A$2:$Y$1047,MATCH(ROW()-1,装备库!$AO$2:$AO$1046,0),COLUMN()),"")</f>
        <v>0</v>
      </c>
      <c r="V336">
        <f>IFERROR(INDEX(装备库!$A$2:$Y$1047,MATCH(ROW()-1,装备库!$AO$2:$AO$1046,0),COLUMN()),"")</f>
        <v>0</v>
      </c>
      <c r="W336" t="str">
        <f>IFERROR(INDEX(装备库!$A$2:$Y$1047,MATCH(ROW()-1,装备库!$AO$2:$AO$1046,0),COLUMN()),"")</f>
        <v>破无</v>
      </c>
      <c r="X336">
        <f>IFERROR(INDEX(装备库!$A$2:$Y$1047,MATCH(ROW()-1,装备库!$AO$2:$AO$1046,0),COLUMN()),"")</f>
        <v>6</v>
      </c>
      <c r="Y336" t="str">
        <f>IFERROR(INDEX(装备库!$A$2:$Y$1047,MATCH(ROW()-1,装备库!$AO$2:$AO$1046,0),COLUMN()),"")</f>
        <v>副本</v>
      </c>
    </row>
    <row r="337" spans="1:25" x14ac:dyDescent="0.35">
      <c r="A337" t="str">
        <f>IFERROR(INDEX(装备库!$A$2:$Y$1047,MATCH(ROW()-1,装备库!$AO$2:$AO$1046,0),COLUMN()),"")</f>
        <v>上衣</v>
      </c>
      <c r="B337" t="str">
        <f>IFERROR(INDEX(装备库!$A$2:$Y$1047,MATCH(ROW()-1,装备库!$AO$2:$AO$1046,0),COLUMN()),"")</f>
        <v>御赐御厨上衣·刀功</v>
      </c>
      <c r="C337">
        <f>IFERROR(INDEX(装备库!$A$2:$Y$1047,MATCH(ROW()-1,装备库!$AO$2:$AO$1046,0),COLUMN()),"")</f>
        <v>10000</v>
      </c>
      <c r="D337" t="str">
        <f>IFERROR(INDEX(装备库!$A$2:$Y$1047,MATCH(ROW()-1,装备库!$AO$2:$AO$1046,0),COLUMN()),"")</f>
        <v>御赐御厨上衣·刀功(10000破无)</v>
      </c>
      <c r="E337">
        <f>IFERROR(INDEX(装备库!$A$2:$Y$1047,MATCH(ROW()-1,装备库!$AO$2:$AO$1046,0),COLUMN()),"")</f>
        <v>698</v>
      </c>
      <c r="F337">
        <f>IFERROR(INDEX(装备库!$A$2:$Y$1047,MATCH(ROW()-1,装备库!$AO$2:$AO$1046,0),COLUMN()),"")</f>
        <v>1133</v>
      </c>
      <c r="G337">
        <f>IFERROR(INDEX(装备库!$A$2:$Y$1047,MATCH(ROW()-1,装备库!$AO$2:$AO$1046,0),COLUMN()),"")</f>
        <v>0</v>
      </c>
      <c r="H337">
        <f>IFERROR(INDEX(装备库!$A$2:$Y$1047,MATCH(ROW()-1,装备库!$AO$2:$AO$1046,0),COLUMN()),"")</f>
        <v>0</v>
      </c>
      <c r="I337">
        <f>IFERROR(INDEX(装备库!$A$2:$Y$1047,MATCH(ROW()-1,装备库!$AO$2:$AO$1046,0),COLUMN()),"")</f>
        <v>3504</v>
      </c>
      <c r="J337">
        <f>IFERROR(INDEX(装备库!$A$2:$Y$1047,MATCH(ROW()-1,装备库!$AO$2:$AO$1046,0),COLUMN()),"")</f>
        <v>0</v>
      </c>
      <c r="K337">
        <f>IFERROR(INDEX(装备库!$A$2:$Y$1047,MATCH(ROW()-1,装备库!$AO$2:$AO$1046,0),COLUMN()),"")</f>
        <v>3114</v>
      </c>
      <c r="L337">
        <f>IFERROR(INDEX(装备库!$A$2:$Y$1047,MATCH(ROW()-1,装备库!$AO$2:$AO$1046,0),COLUMN()),"")</f>
        <v>0</v>
      </c>
      <c r="M337">
        <f>IFERROR(INDEX(装备库!$A$2:$Y$1047,MATCH(ROW()-1,装备库!$AO$2:$AO$1046,0),COLUMN()),"")</f>
        <v>0</v>
      </c>
      <c r="N337">
        <f>IFERROR(INDEX(装备库!$A$2:$Y$1047,MATCH(ROW()-1,装备库!$AO$2:$AO$1046,0),COLUMN()),"")</f>
        <v>0</v>
      </c>
      <c r="O337">
        <f>IFERROR(INDEX(装备库!$A$2:$Y$1047,MATCH(ROW()-1,装备库!$AO$2:$AO$1046,0),COLUMN()),"")</f>
        <v>1</v>
      </c>
      <c r="P337">
        <f>IFERROR(INDEX(装备库!$A$2:$Y$1047,MATCH(ROW()-1,装备库!$AO$2:$AO$1046,0),COLUMN()),"")</f>
        <v>0</v>
      </c>
      <c r="Q337">
        <f>IFERROR(INDEX(装备库!$A$2:$Y$1047,MATCH(ROW()-1,装备库!$AO$2:$AO$1046,0),COLUMN()),"")</f>
        <v>1</v>
      </c>
      <c r="R337">
        <f>IFERROR(INDEX(装备库!$A$2:$Y$1047,MATCH(ROW()-1,装备库!$AO$2:$AO$1046,0),COLUMN()),"")</f>
        <v>0</v>
      </c>
      <c r="S337">
        <f>IFERROR(INDEX(装备库!$A$2:$Y$1047,MATCH(ROW()-1,装备库!$AO$2:$AO$1046,0),COLUMN()),"")</f>
        <v>0</v>
      </c>
      <c r="T337">
        <f>IFERROR(INDEX(装备库!$A$2:$Y$1047,MATCH(ROW()-1,装备库!$AO$2:$AO$1046,0),COLUMN()),"")</f>
        <v>0</v>
      </c>
      <c r="U337">
        <f>IFERROR(INDEX(装备库!$A$2:$Y$1047,MATCH(ROW()-1,装备库!$AO$2:$AO$1046,0),COLUMN()),"")</f>
        <v>0</v>
      </c>
      <c r="V337">
        <f>IFERROR(INDEX(装备库!$A$2:$Y$1047,MATCH(ROW()-1,装备库!$AO$2:$AO$1046,0),COLUMN()),"")</f>
        <v>0</v>
      </c>
      <c r="W337" t="str">
        <f>IFERROR(INDEX(装备库!$A$2:$Y$1047,MATCH(ROW()-1,装备库!$AO$2:$AO$1046,0),COLUMN()),"")</f>
        <v>破无</v>
      </c>
      <c r="X337">
        <f>IFERROR(INDEX(装备库!$A$2:$Y$1047,MATCH(ROW()-1,装备库!$AO$2:$AO$1046,0),COLUMN()),"")</f>
        <v>6</v>
      </c>
      <c r="Y337" t="str">
        <f>IFERROR(INDEX(装备库!$A$2:$Y$1047,MATCH(ROW()-1,装备库!$AO$2:$AO$1046,0),COLUMN()),"")</f>
        <v>活动</v>
      </c>
    </row>
    <row r="338" spans="1:25" x14ac:dyDescent="0.35">
      <c r="A338" t="str">
        <f>IFERROR(INDEX(装备库!$A$2:$Y$1047,MATCH(ROW()-1,装备库!$AO$2:$AO$1046,0),COLUMN()),"")</f>
        <v>上衣</v>
      </c>
      <c r="B338" t="str">
        <f>IFERROR(INDEX(装备库!$A$2:$Y$1047,MATCH(ROW()-1,装备库!$AO$2:$AO$1046,0),COLUMN()),"")</f>
        <v>重关衫</v>
      </c>
      <c r="C338">
        <f>IFERROR(INDEX(装备库!$A$2:$Y$1047,MATCH(ROW()-1,装备库!$AO$2:$AO$1046,0),COLUMN()),"")</f>
        <v>10000</v>
      </c>
      <c r="D338" t="str">
        <f>IFERROR(INDEX(装备库!$A$2:$Y$1047,MATCH(ROW()-1,装备库!$AO$2:$AO$1046,0),COLUMN()),"")</f>
        <v>重关衫(10000会招)</v>
      </c>
      <c r="E338">
        <f>IFERROR(INDEX(装备库!$A$2:$Y$1047,MATCH(ROW()-1,装备库!$AO$2:$AO$1046,0),COLUMN()),"")</f>
        <v>698</v>
      </c>
      <c r="F338">
        <f>IFERROR(INDEX(装备库!$A$2:$Y$1047,MATCH(ROW()-1,装备库!$AO$2:$AO$1046,0),COLUMN()),"")</f>
        <v>1133</v>
      </c>
      <c r="G338">
        <f>IFERROR(INDEX(装备库!$A$2:$Y$1047,MATCH(ROW()-1,装备库!$AO$2:$AO$1046,0),COLUMN()),"")</f>
        <v>3504</v>
      </c>
      <c r="H338">
        <f>IFERROR(INDEX(装备库!$A$2:$Y$1047,MATCH(ROW()-1,装备库!$AO$2:$AO$1046,0),COLUMN()),"")</f>
        <v>0</v>
      </c>
      <c r="I338">
        <f>IFERROR(INDEX(装备库!$A$2:$Y$1047,MATCH(ROW()-1,装备库!$AO$2:$AO$1046,0),COLUMN()),"")</f>
        <v>0</v>
      </c>
      <c r="J338">
        <f>IFERROR(INDEX(装备库!$A$2:$Y$1047,MATCH(ROW()-1,装备库!$AO$2:$AO$1046,0),COLUMN()),"")</f>
        <v>3114</v>
      </c>
      <c r="K338">
        <f>IFERROR(INDEX(装备库!$A$2:$Y$1047,MATCH(ROW()-1,装备库!$AO$2:$AO$1046,0),COLUMN()),"")</f>
        <v>0</v>
      </c>
      <c r="L338">
        <f>IFERROR(INDEX(装备库!$A$2:$Y$1047,MATCH(ROW()-1,装备库!$AO$2:$AO$1046,0),COLUMN()),"")</f>
        <v>0</v>
      </c>
      <c r="M338">
        <f>IFERROR(INDEX(装备库!$A$2:$Y$1047,MATCH(ROW()-1,装备库!$AO$2:$AO$1046,0),COLUMN()),"")</f>
        <v>0</v>
      </c>
      <c r="N338">
        <f>IFERROR(INDEX(装备库!$A$2:$Y$1047,MATCH(ROW()-1,装备库!$AO$2:$AO$1046,0),COLUMN()),"")</f>
        <v>0</v>
      </c>
      <c r="O338">
        <f>IFERROR(INDEX(装备库!$A$2:$Y$1047,MATCH(ROW()-1,装备库!$AO$2:$AO$1046,0),COLUMN()),"")</f>
        <v>0</v>
      </c>
      <c r="P338">
        <f>IFERROR(INDEX(装备库!$A$2:$Y$1047,MATCH(ROW()-1,装备库!$AO$2:$AO$1046,0),COLUMN()),"")</f>
        <v>1</v>
      </c>
      <c r="Q338">
        <f>IFERROR(INDEX(装备库!$A$2:$Y$1047,MATCH(ROW()-1,装备库!$AO$2:$AO$1046,0),COLUMN()),"")</f>
        <v>1</v>
      </c>
      <c r="R338">
        <f>IFERROR(INDEX(装备库!$A$2:$Y$1047,MATCH(ROW()-1,装备库!$AO$2:$AO$1046,0),COLUMN()),"")</f>
        <v>0</v>
      </c>
      <c r="S338">
        <f>IFERROR(INDEX(装备库!$A$2:$Y$1047,MATCH(ROW()-1,装备库!$AO$2:$AO$1046,0),COLUMN()),"")</f>
        <v>0</v>
      </c>
      <c r="T338">
        <f>IFERROR(INDEX(装备库!$A$2:$Y$1047,MATCH(ROW()-1,装备库!$AO$2:$AO$1046,0),COLUMN()),"")</f>
        <v>0</v>
      </c>
      <c r="U338">
        <f>IFERROR(INDEX(装备库!$A$2:$Y$1047,MATCH(ROW()-1,装备库!$AO$2:$AO$1046,0),COLUMN()),"")</f>
        <v>0</v>
      </c>
      <c r="V338">
        <f>IFERROR(INDEX(装备库!$A$2:$Y$1047,MATCH(ROW()-1,装备库!$AO$2:$AO$1046,0),COLUMN()),"")</f>
        <v>0</v>
      </c>
      <c r="W338" t="str">
        <f>IFERROR(INDEX(装备库!$A$2:$Y$1047,MATCH(ROW()-1,装备库!$AO$2:$AO$1046,0),COLUMN()),"")</f>
        <v>会招</v>
      </c>
      <c r="X338">
        <f>IFERROR(INDEX(装备库!$A$2:$Y$1047,MATCH(ROW()-1,装备库!$AO$2:$AO$1046,0),COLUMN()),"")</f>
        <v>6</v>
      </c>
      <c r="Y338" t="str">
        <f>IFERROR(INDEX(装备库!$A$2:$Y$1047,MATCH(ROW()-1,装备库!$AO$2:$AO$1046,0),COLUMN()),"")</f>
        <v>副本</v>
      </c>
    </row>
    <row r="339" spans="1:25" x14ac:dyDescent="0.35">
      <c r="A339" t="str">
        <f>IFERROR(INDEX(装备库!$A$2:$Y$1047,MATCH(ROW()-1,装备库!$AO$2:$AO$1046,0),COLUMN()),"")</f>
        <v>上衣</v>
      </c>
      <c r="B339" t="str">
        <f>IFERROR(INDEX(装备库!$A$2:$Y$1047,MATCH(ROW()-1,装备库!$AO$2:$AO$1046,0),COLUMN()),"")</f>
        <v>曲郦衣</v>
      </c>
      <c r="C339">
        <f>IFERROR(INDEX(装备库!$A$2:$Y$1047,MATCH(ROW()-1,装备库!$AO$2:$AO$1046,0),COLUMN()),"")</f>
        <v>10000</v>
      </c>
      <c r="D339" t="str">
        <f>IFERROR(INDEX(装备库!$A$2:$Y$1047,MATCH(ROW()-1,装备库!$AO$2:$AO$1046,0),COLUMN()),"")</f>
        <v>曲郦衣(10000会招)</v>
      </c>
      <c r="E339">
        <f>IFERROR(INDEX(装备库!$A$2:$Y$1047,MATCH(ROW()-1,装备库!$AO$2:$AO$1046,0),COLUMN()),"")</f>
        <v>698</v>
      </c>
      <c r="F339">
        <f>IFERROR(INDEX(装备库!$A$2:$Y$1047,MATCH(ROW()-1,装备库!$AO$2:$AO$1046,0),COLUMN()),"")</f>
        <v>1133</v>
      </c>
      <c r="G339">
        <f>IFERROR(INDEX(装备库!$A$2:$Y$1047,MATCH(ROW()-1,装备库!$AO$2:$AO$1046,0),COLUMN()),"")</f>
        <v>3504</v>
      </c>
      <c r="H339">
        <f>IFERROR(INDEX(装备库!$A$2:$Y$1047,MATCH(ROW()-1,装备库!$AO$2:$AO$1046,0),COLUMN()),"")</f>
        <v>0</v>
      </c>
      <c r="I339">
        <f>IFERROR(INDEX(装备库!$A$2:$Y$1047,MATCH(ROW()-1,装备库!$AO$2:$AO$1046,0),COLUMN()),"")</f>
        <v>0</v>
      </c>
      <c r="J339">
        <f>IFERROR(INDEX(装备库!$A$2:$Y$1047,MATCH(ROW()-1,装备库!$AO$2:$AO$1046,0),COLUMN()),"")</f>
        <v>3114</v>
      </c>
      <c r="K339">
        <f>IFERROR(INDEX(装备库!$A$2:$Y$1047,MATCH(ROW()-1,装备库!$AO$2:$AO$1046,0),COLUMN()),"")</f>
        <v>0</v>
      </c>
      <c r="L339">
        <f>IFERROR(INDEX(装备库!$A$2:$Y$1047,MATCH(ROW()-1,装备库!$AO$2:$AO$1046,0),COLUMN()),"")</f>
        <v>0</v>
      </c>
      <c r="M339">
        <f>IFERROR(INDEX(装备库!$A$2:$Y$1047,MATCH(ROW()-1,装备库!$AO$2:$AO$1046,0),COLUMN()),"")</f>
        <v>0</v>
      </c>
      <c r="N339">
        <f>IFERROR(INDEX(装备库!$A$2:$Y$1047,MATCH(ROW()-1,装备库!$AO$2:$AO$1046,0),COLUMN()),"")</f>
        <v>0</v>
      </c>
      <c r="O339">
        <f>IFERROR(INDEX(装备库!$A$2:$Y$1047,MATCH(ROW()-1,装备库!$AO$2:$AO$1046,0),COLUMN()),"")</f>
        <v>0</v>
      </c>
      <c r="P339">
        <f>IFERROR(INDEX(装备库!$A$2:$Y$1047,MATCH(ROW()-1,装备库!$AO$2:$AO$1046,0),COLUMN()),"")</f>
        <v>1</v>
      </c>
      <c r="Q339">
        <f>IFERROR(INDEX(装备库!$A$2:$Y$1047,MATCH(ROW()-1,装备库!$AO$2:$AO$1046,0),COLUMN()),"")</f>
        <v>1</v>
      </c>
      <c r="R339">
        <f>IFERROR(INDEX(装备库!$A$2:$Y$1047,MATCH(ROW()-1,装备库!$AO$2:$AO$1046,0),COLUMN()),"")</f>
        <v>0</v>
      </c>
      <c r="S339">
        <f>IFERROR(INDEX(装备库!$A$2:$Y$1047,MATCH(ROW()-1,装备库!$AO$2:$AO$1046,0),COLUMN()),"")</f>
        <v>0</v>
      </c>
      <c r="T339">
        <f>IFERROR(INDEX(装备库!$A$2:$Y$1047,MATCH(ROW()-1,装备库!$AO$2:$AO$1046,0),COLUMN()),"")</f>
        <v>0</v>
      </c>
      <c r="U339">
        <f>IFERROR(INDEX(装备库!$A$2:$Y$1047,MATCH(ROW()-1,装备库!$AO$2:$AO$1046,0),COLUMN()),"")</f>
        <v>0</v>
      </c>
      <c r="V339">
        <f>IFERROR(INDEX(装备库!$A$2:$Y$1047,MATCH(ROW()-1,装备库!$AO$2:$AO$1046,0),COLUMN()),"")</f>
        <v>0</v>
      </c>
      <c r="W339" t="str">
        <f>IFERROR(INDEX(装备库!$A$2:$Y$1047,MATCH(ROW()-1,装备库!$AO$2:$AO$1046,0),COLUMN()),"")</f>
        <v>会招</v>
      </c>
      <c r="X339">
        <f>IFERROR(INDEX(装备库!$A$2:$Y$1047,MATCH(ROW()-1,装备库!$AO$2:$AO$1046,0),COLUMN()),"")</f>
        <v>6</v>
      </c>
      <c r="Y339" t="str">
        <f>IFERROR(INDEX(装备库!$A$2:$Y$1047,MATCH(ROW()-1,装备库!$AO$2:$AO$1046,0),COLUMN()),"")</f>
        <v>副本</v>
      </c>
    </row>
    <row r="340" spans="1:25" x14ac:dyDescent="0.35">
      <c r="A340" t="str">
        <f>IFERROR(INDEX(装备库!$A$2:$Y$1047,MATCH(ROW()-1,装备库!$AO$2:$AO$1046,0),COLUMN()),"")</f>
        <v>上衣</v>
      </c>
      <c r="B340" t="str">
        <f>IFERROR(INDEX(装备库!$A$2:$Y$1047,MATCH(ROW()-1,装备库!$AO$2:$AO$1046,0),COLUMN()),"")</f>
        <v>拭江衣</v>
      </c>
      <c r="C340">
        <f>IFERROR(INDEX(装备库!$A$2:$Y$1047,MATCH(ROW()-1,装备库!$AO$2:$AO$1046,0),COLUMN()),"")</f>
        <v>10000</v>
      </c>
      <c r="D340" t="str">
        <f>IFERROR(INDEX(装备库!$A$2:$Y$1047,MATCH(ROW()-1,装备库!$AO$2:$AO$1046,0),COLUMN()),"")</f>
        <v>拭江衣(10000会无)</v>
      </c>
      <c r="E340">
        <f>IFERROR(INDEX(装备库!$A$2:$Y$1047,MATCH(ROW()-1,装备库!$AO$2:$AO$1046,0),COLUMN()),"")</f>
        <v>698</v>
      </c>
      <c r="F340">
        <f>IFERROR(INDEX(装备库!$A$2:$Y$1047,MATCH(ROW()-1,装备库!$AO$2:$AO$1046,0),COLUMN()),"")</f>
        <v>1133</v>
      </c>
      <c r="G340">
        <f>IFERROR(INDEX(装备库!$A$2:$Y$1047,MATCH(ROW()-1,装备库!$AO$2:$AO$1046,0),COLUMN()),"")</f>
        <v>3504</v>
      </c>
      <c r="H340">
        <f>IFERROR(INDEX(装备库!$A$2:$Y$1047,MATCH(ROW()-1,装备库!$AO$2:$AO$1046,0),COLUMN()),"")</f>
        <v>0</v>
      </c>
      <c r="I340">
        <f>IFERROR(INDEX(装备库!$A$2:$Y$1047,MATCH(ROW()-1,装备库!$AO$2:$AO$1046,0),COLUMN()),"")</f>
        <v>0</v>
      </c>
      <c r="J340">
        <f>IFERROR(INDEX(装备库!$A$2:$Y$1047,MATCH(ROW()-1,装备库!$AO$2:$AO$1046,0),COLUMN()),"")</f>
        <v>0</v>
      </c>
      <c r="K340">
        <f>IFERROR(INDEX(装备库!$A$2:$Y$1047,MATCH(ROW()-1,装备库!$AO$2:$AO$1046,0),COLUMN()),"")</f>
        <v>3114</v>
      </c>
      <c r="L340">
        <f>IFERROR(INDEX(装备库!$A$2:$Y$1047,MATCH(ROW()-1,装备库!$AO$2:$AO$1046,0),COLUMN()),"")</f>
        <v>0</v>
      </c>
      <c r="M340">
        <f>IFERROR(INDEX(装备库!$A$2:$Y$1047,MATCH(ROW()-1,装备库!$AO$2:$AO$1046,0),COLUMN()),"")</f>
        <v>0</v>
      </c>
      <c r="N340">
        <f>IFERROR(INDEX(装备库!$A$2:$Y$1047,MATCH(ROW()-1,装备库!$AO$2:$AO$1046,0),COLUMN()),"")</f>
        <v>0</v>
      </c>
      <c r="O340">
        <f>IFERROR(INDEX(装备库!$A$2:$Y$1047,MATCH(ROW()-1,装备库!$AO$2:$AO$1046,0),COLUMN()),"")</f>
        <v>0</v>
      </c>
      <c r="P340">
        <f>IFERROR(INDEX(装备库!$A$2:$Y$1047,MATCH(ROW()-1,装备库!$AO$2:$AO$1046,0),COLUMN()),"")</f>
        <v>0</v>
      </c>
      <c r="Q340">
        <f>IFERROR(INDEX(装备库!$A$2:$Y$1047,MATCH(ROW()-1,装备库!$AO$2:$AO$1046,0),COLUMN()),"")</f>
        <v>1</v>
      </c>
      <c r="R340">
        <f>IFERROR(INDEX(装备库!$A$2:$Y$1047,MATCH(ROW()-1,装备库!$AO$2:$AO$1046,0),COLUMN()),"")</f>
        <v>1</v>
      </c>
      <c r="S340">
        <f>IFERROR(INDEX(装备库!$A$2:$Y$1047,MATCH(ROW()-1,装备库!$AO$2:$AO$1046,0),COLUMN()),"")</f>
        <v>0</v>
      </c>
      <c r="T340">
        <f>IFERROR(INDEX(装备库!$A$2:$Y$1047,MATCH(ROW()-1,装备库!$AO$2:$AO$1046,0),COLUMN()),"")</f>
        <v>0</v>
      </c>
      <c r="U340">
        <f>IFERROR(INDEX(装备库!$A$2:$Y$1047,MATCH(ROW()-1,装备库!$AO$2:$AO$1046,0),COLUMN()),"")</f>
        <v>0</v>
      </c>
      <c r="V340">
        <f>IFERROR(INDEX(装备库!$A$2:$Y$1047,MATCH(ROW()-1,装备库!$AO$2:$AO$1046,0),COLUMN()),"")</f>
        <v>0</v>
      </c>
      <c r="W340" t="str">
        <f>IFERROR(INDEX(装备库!$A$2:$Y$1047,MATCH(ROW()-1,装备库!$AO$2:$AO$1046,0),COLUMN()),"")</f>
        <v>会无</v>
      </c>
      <c r="X340">
        <f>IFERROR(INDEX(装备库!$A$2:$Y$1047,MATCH(ROW()-1,装备库!$AO$2:$AO$1046,0),COLUMN()),"")</f>
        <v>6</v>
      </c>
      <c r="Y340" t="str">
        <f>IFERROR(INDEX(装备库!$A$2:$Y$1047,MATCH(ROW()-1,装备库!$AO$2:$AO$1046,0),COLUMN()),"")</f>
        <v>副本</v>
      </c>
    </row>
    <row r="341" spans="1:25" x14ac:dyDescent="0.35">
      <c r="A341" t="str">
        <f>IFERROR(INDEX(装备库!$A$2:$Y$1047,MATCH(ROW()-1,装备库!$AO$2:$AO$1046,0),COLUMN()),"")</f>
        <v>上衣</v>
      </c>
      <c r="B341" t="str">
        <f>IFERROR(INDEX(装备库!$A$2:$Y$1047,MATCH(ROW()-1,装备库!$AO$2:$AO$1046,0),COLUMN()),"")</f>
        <v>【门派套装】展锋·望云战甲</v>
      </c>
      <c r="C341">
        <f>IFERROR(INDEX(装备库!$A$2:$Y$1047,MATCH(ROW()-1,装备库!$AO$2:$AO$1046,0),COLUMN()),"")</f>
        <v>10000</v>
      </c>
      <c r="D341" t="str">
        <f>IFERROR(INDEX(装备库!$A$2:$Y$1047,MATCH(ROW()-1,装备库!$AO$2:$AO$1046,0),COLUMN()),"")</f>
        <v>【门派套装】展锋·望云战甲(10000会无)</v>
      </c>
      <c r="E341">
        <f>IFERROR(INDEX(装备库!$A$2:$Y$1047,MATCH(ROW()-1,装备库!$AO$2:$AO$1046,0),COLUMN()),"")</f>
        <v>698</v>
      </c>
      <c r="F341">
        <f>IFERROR(INDEX(装备库!$A$2:$Y$1047,MATCH(ROW()-1,装备库!$AO$2:$AO$1046,0),COLUMN()),"")</f>
        <v>1133</v>
      </c>
      <c r="G341">
        <f>IFERROR(INDEX(装备库!$A$2:$Y$1047,MATCH(ROW()-1,装备库!$AO$2:$AO$1046,0),COLUMN()),"")</f>
        <v>3504</v>
      </c>
      <c r="H341">
        <f>IFERROR(INDEX(装备库!$A$2:$Y$1047,MATCH(ROW()-1,装备库!$AO$2:$AO$1046,0),COLUMN()),"")</f>
        <v>0</v>
      </c>
      <c r="I341">
        <f>IFERROR(INDEX(装备库!$A$2:$Y$1047,MATCH(ROW()-1,装备库!$AO$2:$AO$1046,0),COLUMN()),"")</f>
        <v>0</v>
      </c>
      <c r="J341">
        <f>IFERROR(INDEX(装备库!$A$2:$Y$1047,MATCH(ROW()-1,装备库!$AO$2:$AO$1046,0),COLUMN()),"")</f>
        <v>0</v>
      </c>
      <c r="K341">
        <f>IFERROR(INDEX(装备库!$A$2:$Y$1047,MATCH(ROW()-1,装备库!$AO$2:$AO$1046,0),COLUMN()),"")</f>
        <v>3114</v>
      </c>
      <c r="L341">
        <f>IFERROR(INDEX(装备库!$A$2:$Y$1047,MATCH(ROW()-1,装备库!$AO$2:$AO$1046,0),COLUMN()),"")</f>
        <v>0</v>
      </c>
      <c r="M341">
        <f>IFERROR(INDEX(装备库!$A$2:$Y$1047,MATCH(ROW()-1,装备库!$AO$2:$AO$1046,0),COLUMN()),"")</f>
        <v>0</v>
      </c>
      <c r="N341">
        <f>IFERROR(INDEX(装备库!$A$2:$Y$1047,MATCH(ROW()-1,装备库!$AO$2:$AO$1046,0),COLUMN()),"")</f>
        <v>0</v>
      </c>
      <c r="O341">
        <f>IFERROR(INDEX(装备库!$A$2:$Y$1047,MATCH(ROW()-1,装备库!$AO$2:$AO$1046,0),COLUMN()),"")</f>
        <v>0</v>
      </c>
      <c r="P341">
        <f>IFERROR(INDEX(装备库!$A$2:$Y$1047,MATCH(ROW()-1,装备库!$AO$2:$AO$1046,0),COLUMN()),"")</f>
        <v>0</v>
      </c>
      <c r="Q341">
        <f>IFERROR(INDEX(装备库!$A$2:$Y$1047,MATCH(ROW()-1,装备库!$AO$2:$AO$1046,0),COLUMN()),"")</f>
        <v>1</v>
      </c>
      <c r="R341">
        <f>IFERROR(INDEX(装备库!$A$2:$Y$1047,MATCH(ROW()-1,装备库!$AO$2:$AO$1046,0),COLUMN()),"")</f>
        <v>1</v>
      </c>
      <c r="S341">
        <f>IFERROR(INDEX(装备库!$A$2:$Y$1047,MATCH(ROW()-1,装备库!$AO$2:$AO$1046,0),COLUMN()),"")</f>
        <v>0</v>
      </c>
      <c r="T341">
        <f>IFERROR(INDEX(装备库!$A$2:$Y$1047,MATCH(ROW()-1,装备库!$AO$2:$AO$1046,0),COLUMN()),"")</f>
        <v>0</v>
      </c>
      <c r="U341">
        <f>IFERROR(INDEX(装备库!$A$2:$Y$1047,MATCH(ROW()-1,装备库!$AO$2:$AO$1046,0),COLUMN()),"")</f>
        <v>0</v>
      </c>
      <c r="V341">
        <f>IFERROR(INDEX(装备库!$A$2:$Y$1047,MATCH(ROW()-1,装备库!$AO$2:$AO$1046,0),COLUMN()),"")</f>
        <v>0</v>
      </c>
      <c r="W341" t="str">
        <f>IFERROR(INDEX(装备库!$A$2:$Y$1047,MATCH(ROW()-1,装备库!$AO$2:$AO$1046,0),COLUMN()),"")</f>
        <v>会无</v>
      </c>
      <c r="X341">
        <f>IFERROR(INDEX(装备库!$A$2:$Y$1047,MATCH(ROW()-1,装备库!$AO$2:$AO$1046,0),COLUMN()),"")</f>
        <v>6</v>
      </c>
      <c r="Y341" t="str">
        <f>IFERROR(INDEX(装备库!$A$2:$Y$1047,MATCH(ROW()-1,装备库!$AO$2:$AO$1046,0),COLUMN()),"")</f>
        <v>兑换牌</v>
      </c>
    </row>
    <row r="342" spans="1:25" x14ac:dyDescent="0.35">
      <c r="A342" t="str">
        <f>IFERROR(INDEX(装备库!$A$2:$Y$1047,MATCH(ROW()-1,装备库!$AO$2:$AO$1046,0),COLUMN()),"")</f>
        <v>上衣</v>
      </c>
      <c r="B342" t="str">
        <f>IFERROR(INDEX(装备库!$A$2:$Y$1047,MATCH(ROW()-1,装备库!$AO$2:$AO$1046,0),COLUMN()),"")</f>
        <v>玄卢衫</v>
      </c>
      <c r="C342">
        <f>IFERROR(INDEX(装备库!$A$2:$Y$1047,MATCH(ROW()-1,装备库!$AO$2:$AO$1046,0),COLUMN()),"")</f>
        <v>10150</v>
      </c>
      <c r="D342" t="str">
        <f>IFERROR(INDEX(装备库!$A$2:$Y$1047,MATCH(ROW()-1,装备库!$AO$2:$AO$1046,0),COLUMN()),"")</f>
        <v>玄卢衫(10150招破)</v>
      </c>
      <c r="E342">
        <f>IFERROR(INDEX(装备库!$A$2:$Y$1047,MATCH(ROW()-1,装备库!$AO$2:$AO$1046,0),COLUMN()),"")</f>
        <v>709</v>
      </c>
      <c r="F342">
        <f>IFERROR(INDEX(装备库!$A$2:$Y$1047,MATCH(ROW()-1,装备库!$AO$2:$AO$1046,0),COLUMN()),"")</f>
        <v>1150</v>
      </c>
      <c r="G342">
        <f>IFERROR(INDEX(装备库!$A$2:$Y$1047,MATCH(ROW()-1,装备库!$AO$2:$AO$1046,0),COLUMN()),"")</f>
        <v>0</v>
      </c>
      <c r="H342">
        <f>IFERROR(INDEX(装备库!$A$2:$Y$1047,MATCH(ROW()-1,装备库!$AO$2:$AO$1046,0),COLUMN()),"")</f>
        <v>0</v>
      </c>
      <c r="I342">
        <f>IFERROR(INDEX(装备库!$A$2:$Y$1047,MATCH(ROW()-1,装备库!$AO$2:$AO$1046,0),COLUMN()),"")</f>
        <v>3556</v>
      </c>
      <c r="J342">
        <f>IFERROR(INDEX(装备库!$A$2:$Y$1047,MATCH(ROW()-1,装备库!$AO$2:$AO$1046,0),COLUMN()),"")</f>
        <v>3161</v>
      </c>
      <c r="K342">
        <f>IFERROR(INDEX(装备库!$A$2:$Y$1047,MATCH(ROW()-1,装备库!$AO$2:$AO$1046,0),COLUMN()),"")</f>
        <v>0</v>
      </c>
      <c r="L342">
        <f>IFERROR(INDEX(装备库!$A$2:$Y$1047,MATCH(ROW()-1,装备库!$AO$2:$AO$1046,0),COLUMN()),"")</f>
        <v>0</v>
      </c>
      <c r="M342">
        <f>IFERROR(INDEX(装备库!$A$2:$Y$1047,MATCH(ROW()-1,装备库!$AO$2:$AO$1046,0),COLUMN()),"")</f>
        <v>0</v>
      </c>
      <c r="N342">
        <f>IFERROR(INDEX(装备库!$A$2:$Y$1047,MATCH(ROW()-1,装备库!$AO$2:$AO$1046,0),COLUMN()),"")</f>
        <v>0</v>
      </c>
      <c r="O342">
        <f>IFERROR(INDEX(装备库!$A$2:$Y$1047,MATCH(ROW()-1,装备库!$AO$2:$AO$1046,0),COLUMN()),"")</f>
        <v>1</v>
      </c>
      <c r="P342">
        <f>IFERROR(INDEX(装备库!$A$2:$Y$1047,MATCH(ROW()-1,装备库!$AO$2:$AO$1046,0),COLUMN()),"")</f>
        <v>0</v>
      </c>
      <c r="Q342">
        <f>IFERROR(INDEX(装备库!$A$2:$Y$1047,MATCH(ROW()-1,装备库!$AO$2:$AO$1046,0),COLUMN()),"")</f>
        <v>1</v>
      </c>
      <c r="R342">
        <f>IFERROR(INDEX(装备库!$A$2:$Y$1047,MATCH(ROW()-1,装备库!$AO$2:$AO$1046,0),COLUMN()),"")</f>
        <v>0</v>
      </c>
      <c r="S342">
        <f>IFERROR(INDEX(装备库!$A$2:$Y$1047,MATCH(ROW()-1,装备库!$AO$2:$AO$1046,0),COLUMN()),"")</f>
        <v>0</v>
      </c>
      <c r="T342">
        <f>IFERROR(INDEX(装备库!$A$2:$Y$1047,MATCH(ROW()-1,装备库!$AO$2:$AO$1046,0),COLUMN()),"")</f>
        <v>0</v>
      </c>
      <c r="U342">
        <f>IFERROR(INDEX(装备库!$A$2:$Y$1047,MATCH(ROW()-1,装备库!$AO$2:$AO$1046,0),COLUMN()),"")</f>
        <v>0</v>
      </c>
      <c r="V342">
        <f>IFERROR(INDEX(装备库!$A$2:$Y$1047,MATCH(ROW()-1,装备库!$AO$2:$AO$1046,0),COLUMN()),"")</f>
        <v>0</v>
      </c>
      <c r="W342" t="str">
        <f>IFERROR(INDEX(装备库!$A$2:$Y$1047,MATCH(ROW()-1,装备库!$AO$2:$AO$1046,0),COLUMN()),"")</f>
        <v>招破</v>
      </c>
      <c r="X342">
        <f>IFERROR(INDEX(装备库!$A$2:$Y$1047,MATCH(ROW()-1,装备库!$AO$2:$AO$1046,0),COLUMN()),"")</f>
        <v>6</v>
      </c>
      <c r="Y342" t="str">
        <f>IFERROR(INDEX(装备库!$A$2:$Y$1047,MATCH(ROW()-1,装备库!$AO$2:$AO$1046,0),COLUMN()),"")</f>
        <v>副本</v>
      </c>
    </row>
    <row r="343" spans="1:25" x14ac:dyDescent="0.35">
      <c r="A343" t="str">
        <f>IFERROR(INDEX(装备库!$A$2:$Y$1047,MATCH(ROW()-1,装备库!$AO$2:$AO$1046,0),COLUMN()),"")</f>
        <v>上衣</v>
      </c>
      <c r="B343" t="str">
        <f>IFERROR(INDEX(装备库!$A$2:$Y$1047,MATCH(ROW()-1,装备库!$AO$2:$AO$1046,0),COLUMN()),"")</f>
        <v>闲月衣</v>
      </c>
      <c r="C343">
        <f>IFERROR(INDEX(装备库!$A$2:$Y$1047,MATCH(ROW()-1,装备库!$AO$2:$AO$1046,0),COLUMN()),"")</f>
        <v>10150</v>
      </c>
      <c r="D343" t="str">
        <f>IFERROR(INDEX(装备库!$A$2:$Y$1047,MATCH(ROW()-1,装备库!$AO$2:$AO$1046,0),COLUMN()),"")</f>
        <v>闲月衣(10150会招)</v>
      </c>
      <c r="E343">
        <f>IFERROR(INDEX(装备库!$A$2:$Y$1047,MATCH(ROW()-1,装备库!$AO$2:$AO$1046,0),COLUMN()),"")</f>
        <v>709</v>
      </c>
      <c r="F343">
        <f>IFERROR(INDEX(装备库!$A$2:$Y$1047,MATCH(ROW()-1,装备库!$AO$2:$AO$1046,0),COLUMN()),"")</f>
        <v>1150</v>
      </c>
      <c r="G343">
        <f>IFERROR(INDEX(装备库!$A$2:$Y$1047,MATCH(ROW()-1,装备库!$AO$2:$AO$1046,0),COLUMN()),"")</f>
        <v>3556</v>
      </c>
      <c r="H343">
        <f>IFERROR(INDEX(装备库!$A$2:$Y$1047,MATCH(ROW()-1,装备库!$AO$2:$AO$1046,0),COLUMN()),"")</f>
        <v>0</v>
      </c>
      <c r="I343">
        <f>IFERROR(INDEX(装备库!$A$2:$Y$1047,MATCH(ROW()-1,装备库!$AO$2:$AO$1046,0),COLUMN()),"")</f>
        <v>0</v>
      </c>
      <c r="J343">
        <f>IFERROR(INDEX(装备库!$A$2:$Y$1047,MATCH(ROW()-1,装备库!$AO$2:$AO$1046,0),COLUMN()),"")</f>
        <v>3161</v>
      </c>
      <c r="K343">
        <f>IFERROR(INDEX(装备库!$A$2:$Y$1047,MATCH(ROW()-1,装备库!$AO$2:$AO$1046,0),COLUMN()),"")</f>
        <v>0</v>
      </c>
      <c r="L343">
        <f>IFERROR(INDEX(装备库!$A$2:$Y$1047,MATCH(ROW()-1,装备库!$AO$2:$AO$1046,0),COLUMN()),"")</f>
        <v>0</v>
      </c>
      <c r="M343">
        <f>IFERROR(INDEX(装备库!$A$2:$Y$1047,MATCH(ROW()-1,装备库!$AO$2:$AO$1046,0),COLUMN()),"")</f>
        <v>0</v>
      </c>
      <c r="N343">
        <f>IFERROR(INDEX(装备库!$A$2:$Y$1047,MATCH(ROW()-1,装备库!$AO$2:$AO$1046,0),COLUMN()),"")</f>
        <v>0</v>
      </c>
      <c r="O343">
        <f>IFERROR(INDEX(装备库!$A$2:$Y$1047,MATCH(ROW()-1,装备库!$AO$2:$AO$1046,0),COLUMN()),"")</f>
        <v>0</v>
      </c>
      <c r="P343">
        <f>IFERROR(INDEX(装备库!$A$2:$Y$1047,MATCH(ROW()-1,装备库!$AO$2:$AO$1046,0),COLUMN()),"")</f>
        <v>1</v>
      </c>
      <c r="Q343">
        <f>IFERROR(INDEX(装备库!$A$2:$Y$1047,MATCH(ROW()-1,装备库!$AO$2:$AO$1046,0),COLUMN()),"")</f>
        <v>1</v>
      </c>
      <c r="R343">
        <f>IFERROR(INDEX(装备库!$A$2:$Y$1047,MATCH(ROW()-1,装备库!$AO$2:$AO$1046,0),COLUMN()),"")</f>
        <v>0</v>
      </c>
      <c r="S343">
        <f>IFERROR(INDEX(装备库!$A$2:$Y$1047,MATCH(ROW()-1,装备库!$AO$2:$AO$1046,0),COLUMN()),"")</f>
        <v>0</v>
      </c>
      <c r="T343">
        <f>IFERROR(INDEX(装备库!$A$2:$Y$1047,MATCH(ROW()-1,装备库!$AO$2:$AO$1046,0),COLUMN()),"")</f>
        <v>0</v>
      </c>
      <c r="U343">
        <f>IFERROR(INDEX(装备库!$A$2:$Y$1047,MATCH(ROW()-1,装备库!$AO$2:$AO$1046,0),COLUMN()),"")</f>
        <v>0</v>
      </c>
      <c r="V343">
        <f>IFERROR(INDEX(装备库!$A$2:$Y$1047,MATCH(ROW()-1,装备库!$AO$2:$AO$1046,0),COLUMN()),"")</f>
        <v>0</v>
      </c>
      <c r="W343" t="str">
        <f>IFERROR(INDEX(装备库!$A$2:$Y$1047,MATCH(ROW()-1,装备库!$AO$2:$AO$1046,0),COLUMN()),"")</f>
        <v>会招</v>
      </c>
      <c r="X343">
        <f>IFERROR(INDEX(装备库!$A$2:$Y$1047,MATCH(ROW()-1,装备库!$AO$2:$AO$1046,0),COLUMN()),"")</f>
        <v>6</v>
      </c>
      <c r="Y343" t="str">
        <f>IFERROR(INDEX(装备库!$A$2:$Y$1047,MATCH(ROW()-1,装备库!$AO$2:$AO$1046,0),COLUMN()),"")</f>
        <v>副本</v>
      </c>
    </row>
    <row r="344" spans="1:25" x14ac:dyDescent="0.35">
      <c r="A344" t="str">
        <f>IFERROR(INDEX(装备库!$A$2:$Y$1047,MATCH(ROW()-1,装备库!$AO$2:$AO$1046,0),COLUMN()),"")</f>
        <v>上衣</v>
      </c>
      <c r="B344" t="str">
        <f>IFERROR(INDEX(装备库!$A$2:$Y$1047,MATCH(ROW()-1,装备库!$AO$2:$AO$1046,0),COLUMN()),"")</f>
        <v>虚韵衣</v>
      </c>
      <c r="C344">
        <f>IFERROR(INDEX(装备库!$A$2:$Y$1047,MATCH(ROW()-1,装备库!$AO$2:$AO$1046,0),COLUMN()),"")</f>
        <v>10400</v>
      </c>
      <c r="D344" t="str">
        <f>IFERROR(INDEX(装备库!$A$2:$Y$1047,MATCH(ROW()-1,装备库!$AO$2:$AO$1046,0),COLUMN()),"")</f>
        <v>虚韵衣(10400招无)</v>
      </c>
      <c r="E344">
        <f>IFERROR(INDEX(装备库!$A$2:$Y$1047,MATCH(ROW()-1,装备库!$AO$2:$AO$1046,0),COLUMN()),"")</f>
        <v>726</v>
      </c>
      <c r="F344">
        <f>IFERROR(INDEX(装备库!$A$2:$Y$1047,MATCH(ROW()-1,装备库!$AO$2:$AO$1046,0),COLUMN()),"")</f>
        <v>1178</v>
      </c>
      <c r="G344">
        <f>IFERROR(INDEX(装备库!$A$2:$Y$1047,MATCH(ROW()-1,装备库!$AO$2:$AO$1046,0),COLUMN()),"")</f>
        <v>0</v>
      </c>
      <c r="H344">
        <f>IFERROR(INDEX(装备库!$A$2:$Y$1047,MATCH(ROW()-1,装备库!$AO$2:$AO$1046,0),COLUMN()),"")</f>
        <v>0</v>
      </c>
      <c r="I344">
        <f>IFERROR(INDEX(装备库!$A$2:$Y$1047,MATCH(ROW()-1,装备库!$AO$2:$AO$1046,0),COLUMN()),"")</f>
        <v>0</v>
      </c>
      <c r="J344">
        <f>IFERROR(INDEX(装备库!$A$2:$Y$1047,MATCH(ROW()-1,装备库!$AO$2:$AO$1046,0),COLUMN()),"")</f>
        <v>3644</v>
      </c>
      <c r="K344">
        <f>IFERROR(INDEX(装备库!$A$2:$Y$1047,MATCH(ROW()-1,装备库!$AO$2:$AO$1046,0),COLUMN()),"")</f>
        <v>3239</v>
      </c>
      <c r="L344">
        <f>IFERROR(INDEX(装备库!$A$2:$Y$1047,MATCH(ROW()-1,装备库!$AO$2:$AO$1046,0),COLUMN()),"")</f>
        <v>0</v>
      </c>
      <c r="M344">
        <f>IFERROR(INDEX(装备库!$A$2:$Y$1047,MATCH(ROW()-1,装备库!$AO$2:$AO$1046,0),COLUMN()),"")</f>
        <v>0</v>
      </c>
      <c r="N344">
        <f>IFERROR(INDEX(装备库!$A$2:$Y$1047,MATCH(ROW()-1,装备库!$AO$2:$AO$1046,0),COLUMN()),"")</f>
        <v>0</v>
      </c>
      <c r="O344">
        <f>IFERROR(INDEX(装备库!$A$2:$Y$1047,MATCH(ROW()-1,装备库!$AO$2:$AO$1046,0),COLUMN()),"")</f>
        <v>0</v>
      </c>
      <c r="P344">
        <f>IFERROR(INDEX(装备库!$A$2:$Y$1047,MATCH(ROW()-1,装备库!$AO$2:$AO$1046,0),COLUMN()),"")</f>
        <v>0</v>
      </c>
      <c r="Q344">
        <f>IFERROR(INDEX(装备库!$A$2:$Y$1047,MATCH(ROW()-1,装备库!$AO$2:$AO$1046,0),COLUMN()),"")</f>
        <v>1</v>
      </c>
      <c r="R344">
        <f>IFERROR(INDEX(装备库!$A$2:$Y$1047,MATCH(ROW()-1,装备库!$AO$2:$AO$1046,0),COLUMN()),"")</f>
        <v>0</v>
      </c>
      <c r="S344">
        <f>IFERROR(INDEX(装备库!$A$2:$Y$1047,MATCH(ROW()-1,装备库!$AO$2:$AO$1046,0),COLUMN()),"")</f>
        <v>0</v>
      </c>
      <c r="T344">
        <f>IFERROR(INDEX(装备库!$A$2:$Y$1047,MATCH(ROW()-1,装备库!$AO$2:$AO$1046,0),COLUMN()),"")</f>
        <v>1</v>
      </c>
      <c r="U344">
        <f>IFERROR(INDEX(装备库!$A$2:$Y$1047,MATCH(ROW()-1,装备库!$AO$2:$AO$1046,0),COLUMN()),"")</f>
        <v>0</v>
      </c>
      <c r="V344">
        <f>IFERROR(INDEX(装备库!$A$2:$Y$1047,MATCH(ROW()-1,装备库!$AO$2:$AO$1046,0),COLUMN()),"")</f>
        <v>0</v>
      </c>
      <c r="W344" t="str">
        <f>IFERROR(INDEX(装备库!$A$2:$Y$1047,MATCH(ROW()-1,装备库!$AO$2:$AO$1046,0),COLUMN()),"")</f>
        <v>招无</v>
      </c>
      <c r="X344">
        <f>IFERROR(INDEX(装备库!$A$2:$Y$1047,MATCH(ROW()-1,装备库!$AO$2:$AO$1046,0),COLUMN()),"")</f>
        <v>6</v>
      </c>
      <c r="Y344" t="str">
        <f>IFERROR(INDEX(装备库!$A$2:$Y$1047,MATCH(ROW()-1,装备库!$AO$2:$AO$1046,0),COLUMN()),"")</f>
        <v>侠义值</v>
      </c>
    </row>
    <row r="345" spans="1:25" x14ac:dyDescent="0.35">
      <c r="A345" t="str">
        <f>IFERROR(INDEX(装备库!$A$2:$Y$1047,MATCH(ROW()-1,装备库!$AO$2:$AO$1046,0),COLUMN()),"")</f>
        <v>上衣</v>
      </c>
      <c r="B345" t="str">
        <f>IFERROR(INDEX(装备库!$A$2:$Y$1047,MATCH(ROW()-1,装备库!$AO$2:$AO$1046,0),COLUMN()),"")</f>
        <v>风销残烟·承平衣</v>
      </c>
      <c r="C345">
        <f>IFERROR(INDEX(装备库!$A$2:$Y$1047,MATCH(ROW()-1,装备库!$AO$2:$AO$1046,0),COLUMN()),"")</f>
        <v>11000</v>
      </c>
      <c r="D345" t="str">
        <f>IFERROR(INDEX(装备库!$A$2:$Y$1047,MATCH(ROW()-1,装备库!$AO$2:$AO$1046,0),COLUMN()),"")</f>
        <v>风销残烟·承平衣(11000招破)</v>
      </c>
      <c r="E345">
        <f>IFERROR(INDEX(装备库!$A$2:$Y$1047,MATCH(ROW()-1,装备库!$AO$2:$AO$1046,0),COLUMN()),"")</f>
        <v>768</v>
      </c>
      <c r="F345">
        <f>IFERROR(INDEX(装备库!$A$2:$Y$1047,MATCH(ROW()-1,装备库!$AO$2:$AO$1046,0),COLUMN()),"")</f>
        <v>1246</v>
      </c>
      <c r="G345">
        <f>IFERROR(INDEX(装备库!$A$2:$Y$1047,MATCH(ROW()-1,装备库!$AO$2:$AO$1046,0),COLUMN()),"")</f>
        <v>0</v>
      </c>
      <c r="H345">
        <f>IFERROR(INDEX(装备库!$A$2:$Y$1047,MATCH(ROW()-1,装备库!$AO$2:$AO$1046,0),COLUMN()),"")</f>
        <v>0</v>
      </c>
      <c r="I345">
        <f>IFERROR(INDEX(装备库!$A$2:$Y$1047,MATCH(ROW()-1,装备库!$AO$2:$AO$1046,0),COLUMN()),"")</f>
        <v>3854</v>
      </c>
      <c r="J345">
        <f>IFERROR(INDEX(装备库!$A$2:$Y$1047,MATCH(ROW()-1,装备库!$AO$2:$AO$1046,0),COLUMN()),"")</f>
        <v>3426</v>
      </c>
      <c r="K345">
        <f>IFERROR(INDEX(装备库!$A$2:$Y$1047,MATCH(ROW()-1,装备库!$AO$2:$AO$1046,0),COLUMN()),"")</f>
        <v>0</v>
      </c>
      <c r="L345">
        <f>IFERROR(INDEX(装备库!$A$2:$Y$1047,MATCH(ROW()-1,装备库!$AO$2:$AO$1046,0),COLUMN()),"")</f>
        <v>0</v>
      </c>
      <c r="M345">
        <f>IFERROR(INDEX(装备库!$A$2:$Y$1047,MATCH(ROW()-1,装备库!$AO$2:$AO$1046,0),COLUMN()),"")</f>
        <v>0</v>
      </c>
      <c r="N345">
        <f>IFERROR(INDEX(装备库!$A$2:$Y$1047,MATCH(ROW()-1,装备库!$AO$2:$AO$1046,0),COLUMN()),"")</f>
        <v>0</v>
      </c>
      <c r="O345">
        <f>IFERROR(INDEX(装备库!$A$2:$Y$1047,MATCH(ROW()-1,装备库!$AO$2:$AO$1046,0),COLUMN()),"")</f>
        <v>1</v>
      </c>
      <c r="P345">
        <f>IFERROR(INDEX(装备库!$A$2:$Y$1047,MATCH(ROW()-1,装备库!$AO$2:$AO$1046,0),COLUMN()),"")</f>
        <v>0</v>
      </c>
      <c r="Q345">
        <f>IFERROR(INDEX(装备库!$A$2:$Y$1047,MATCH(ROW()-1,装备库!$AO$2:$AO$1046,0),COLUMN()),"")</f>
        <v>1</v>
      </c>
      <c r="R345">
        <f>IFERROR(INDEX(装备库!$A$2:$Y$1047,MATCH(ROW()-1,装备库!$AO$2:$AO$1046,0),COLUMN()),"")</f>
        <v>0</v>
      </c>
      <c r="S345">
        <f>IFERROR(INDEX(装备库!$A$2:$Y$1047,MATCH(ROW()-1,装备库!$AO$2:$AO$1046,0),COLUMN()),"")</f>
        <v>0</v>
      </c>
      <c r="T345">
        <f>IFERROR(INDEX(装备库!$A$2:$Y$1047,MATCH(ROW()-1,装备库!$AO$2:$AO$1046,0),COLUMN()),"")</f>
        <v>0</v>
      </c>
      <c r="U345">
        <f>IFERROR(INDEX(装备库!$A$2:$Y$1047,MATCH(ROW()-1,装备库!$AO$2:$AO$1046,0),COLUMN()),"")</f>
        <v>0</v>
      </c>
      <c r="V345">
        <f>IFERROR(INDEX(装备库!$A$2:$Y$1047,MATCH(ROW()-1,装备库!$AO$2:$AO$1046,0),COLUMN()),"")</f>
        <v>0</v>
      </c>
      <c r="W345" t="str">
        <f>IFERROR(INDEX(装备库!$A$2:$Y$1047,MATCH(ROW()-1,装备库!$AO$2:$AO$1046,0),COLUMN()),"")</f>
        <v>招破</v>
      </c>
      <c r="X345">
        <f>IFERROR(INDEX(装备库!$A$2:$Y$1047,MATCH(ROW()-1,装备库!$AO$2:$AO$1046,0),COLUMN()),"")</f>
        <v>6</v>
      </c>
      <c r="Y345" t="str">
        <f>IFERROR(INDEX(装备库!$A$2:$Y$1047,MATCH(ROW()-1,装备库!$AO$2:$AO$1046,0),COLUMN()),"")</f>
        <v>飞沙令</v>
      </c>
    </row>
    <row r="346" spans="1:25" x14ac:dyDescent="0.35">
      <c r="A346" t="str">
        <f>IFERROR(INDEX(装备库!$A$2:$Y$1047,MATCH(ROW()-1,装备库!$AO$2:$AO$1046,0),COLUMN()),"")</f>
        <v>上衣</v>
      </c>
      <c r="B346" t="str">
        <f>IFERROR(INDEX(装备库!$A$2:$Y$1047,MATCH(ROW()-1,装备库!$AO$2:$AO$1046,0),COLUMN()),"")</f>
        <v>寻踪觅宝·盼归衣</v>
      </c>
      <c r="C346">
        <f>IFERROR(INDEX(装备库!$A$2:$Y$1047,MATCH(ROW()-1,装备库!$AO$2:$AO$1046,0),COLUMN()),"")</f>
        <v>11000</v>
      </c>
      <c r="D346" t="str">
        <f>IFERROR(INDEX(装备库!$A$2:$Y$1047,MATCH(ROW()-1,装备库!$AO$2:$AO$1046,0),COLUMN()),"")</f>
        <v>寻踪觅宝·盼归衣(11000速招)</v>
      </c>
      <c r="E346">
        <f>IFERROR(INDEX(装备库!$A$2:$Y$1047,MATCH(ROW()-1,装备库!$AO$2:$AO$1046,0),COLUMN()),"")</f>
        <v>768</v>
      </c>
      <c r="F346">
        <f>IFERROR(INDEX(装备库!$A$2:$Y$1047,MATCH(ROW()-1,装备库!$AO$2:$AO$1046,0),COLUMN()),"")</f>
        <v>1246</v>
      </c>
      <c r="G346">
        <f>IFERROR(INDEX(装备库!$A$2:$Y$1047,MATCH(ROW()-1,装备库!$AO$2:$AO$1046,0),COLUMN()),"")</f>
        <v>0</v>
      </c>
      <c r="H346">
        <f>IFERROR(INDEX(装备库!$A$2:$Y$1047,MATCH(ROW()-1,装备库!$AO$2:$AO$1046,0),COLUMN()),"")</f>
        <v>0</v>
      </c>
      <c r="I346">
        <f>IFERROR(INDEX(装备库!$A$2:$Y$1047,MATCH(ROW()-1,装备库!$AO$2:$AO$1046,0),COLUMN()),"")</f>
        <v>0</v>
      </c>
      <c r="J346">
        <f>IFERROR(INDEX(装备库!$A$2:$Y$1047,MATCH(ROW()-1,装备库!$AO$2:$AO$1046,0),COLUMN()),"")</f>
        <v>3426</v>
      </c>
      <c r="K346">
        <f>IFERROR(INDEX(装备库!$A$2:$Y$1047,MATCH(ROW()-1,装备库!$AO$2:$AO$1046,0),COLUMN()),"")</f>
        <v>0</v>
      </c>
      <c r="L346">
        <f>IFERROR(INDEX(装备库!$A$2:$Y$1047,MATCH(ROW()-1,装备库!$AO$2:$AO$1046,0),COLUMN()),"")</f>
        <v>3854</v>
      </c>
      <c r="M346">
        <f>IFERROR(INDEX(装备库!$A$2:$Y$1047,MATCH(ROW()-1,装备库!$AO$2:$AO$1046,0),COLUMN()),"")</f>
        <v>0</v>
      </c>
      <c r="N346">
        <f>IFERROR(INDEX(装备库!$A$2:$Y$1047,MATCH(ROW()-1,装备库!$AO$2:$AO$1046,0),COLUMN()),"")</f>
        <v>0</v>
      </c>
      <c r="O346">
        <f>IFERROR(INDEX(装备库!$A$2:$Y$1047,MATCH(ROW()-1,装备库!$AO$2:$AO$1046,0),COLUMN()),"")</f>
        <v>1</v>
      </c>
      <c r="P346">
        <f>IFERROR(INDEX(装备库!$A$2:$Y$1047,MATCH(ROW()-1,装备库!$AO$2:$AO$1046,0),COLUMN()),"")</f>
        <v>0</v>
      </c>
      <c r="Q346">
        <f>IFERROR(INDEX(装备库!$A$2:$Y$1047,MATCH(ROW()-1,装备库!$AO$2:$AO$1046,0),COLUMN()),"")</f>
        <v>1</v>
      </c>
      <c r="R346">
        <f>IFERROR(INDEX(装备库!$A$2:$Y$1047,MATCH(ROW()-1,装备库!$AO$2:$AO$1046,0),COLUMN()),"")</f>
        <v>0</v>
      </c>
      <c r="S346">
        <f>IFERROR(INDEX(装备库!$A$2:$Y$1047,MATCH(ROW()-1,装备库!$AO$2:$AO$1046,0),COLUMN()),"")</f>
        <v>0</v>
      </c>
      <c r="T346">
        <f>IFERROR(INDEX(装备库!$A$2:$Y$1047,MATCH(ROW()-1,装备库!$AO$2:$AO$1046,0),COLUMN()),"")</f>
        <v>0</v>
      </c>
      <c r="U346">
        <f>IFERROR(INDEX(装备库!$A$2:$Y$1047,MATCH(ROW()-1,装备库!$AO$2:$AO$1046,0),COLUMN()),"")</f>
        <v>0</v>
      </c>
      <c r="V346">
        <f>IFERROR(INDEX(装备库!$A$2:$Y$1047,MATCH(ROW()-1,装备库!$AO$2:$AO$1046,0),COLUMN()),"")</f>
        <v>0</v>
      </c>
      <c r="W346" t="str">
        <f>IFERROR(INDEX(装备库!$A$2:$Y$1047,MATCH(ROW()-1,装备库!$AO$2:$AO$1046,0),COLUMN()),"")</f>
        <v>速招</v>
      </c>
      <c r="X346">
        <f>IFERROR(INDEX(装备库!$A$2:$Y$1047,MATCH(ROW()-1,装备库!$AO$2:$AO$1046,0),COLUMN()),"")</f>
        <v>6</v>
      </c>
      <c r="Y346" t="str">
        <f>IFERROR(INDEX(装备库!$A$2:$Y$1047,MATCH(ROW()-1,装备库!$AO$2:$AO$1046,0),COLUMN()),"")</f>
        <v>挖宝</v>
      </c>
    </row>
    <row r="347" spans="1:25" x14ac:dyDescent="0.35">
      <c r="A347" t="str">
        <f>IFERROR(INDEX(装备库!$A$2:$Y$1047,MATCH(ROW()-1,装备库!$AO$2:$AO$1046,0),COLUMN()),"")</f>
        <v>上衣</v>
      </c>
      <c r="B347" t="str">
        <f>IFERROR(INDEX(装备库!$A$2:$Y$1047,MATCH(ROW()-1,装备库!$AO$2:$AO$1046,0),COLUMN()),"")</f>
        <v>【门派套装】揽江·诛翳战甲</v>
      </c>
      <c r="C347">
        <f>IFERROR(INDEX(装备库!$A$2:$Y$1047,MATCH(ROW()-1,装备库!$AO$2:$AO$1046,0),COLUMN()),"")</f>
        <v>11000</v>
      </c>
      <c r="D347" t="str">
        <f>IFERROR(INDEX(装备库!$A$2:$Y$1047,MATCH(ROW()-1,装备库!$AO$2:$AO$1046,0),COLUMN()),"")</f>
        <v>【门派套装】揽江·诛翳战甲(11000会无)</v>
      </c>
      <c r="E347">
        <f>IFERROR(INDEX(装备库!$A$2:$Y$1047,MATCH(ROW()-1,装备库!$AO$2:$AO$1046,0),COLUMN()),"")</f>
        <v>768</v>
      </c>
      <c r="F347">
        <f>IFERROR(INDEX(装备库!$A$2:$Y$1047,MATCH(ROW()-1,装备库!$AO$2:$AO$1046,0),COLUMN()),"")</f>
        <v>1246</v>
      </c>
      <c r="G347">
        <f>IFERROR(INDEX(装备库!$A$2:$Y$1047,MATCH(ROW()-1,装备库!$AO$2:$AO$1046,0),COLUMN()),"")</f>
        <v>3854</v>
      </c>
      <c r="H347">
        <f>IFERROR(INDEX(装备库!$A$2:$Y$1047,MATCH(ROW()-1,装备库!$AO$2:$AO$1046,0),COLUMN()),"")</f>
        <v>0</v>
      </c>
      <c r="I347">
        <f>IFERROR(INDEX(装备库!$A$2:$Y$1047,MATCH(ROW()-1,装备库!$AO$2:$AO$1046,0),COLUMN()),"")</f>
        <v>0</v>
      </c>
      <c r="J347">
        <f>IFERROR(INDEX(装备库!$A$2:$Y$1047,MATCH(ROW()-1,装备库!$AO$2:$AO$1046,0),COLUMN()),"")</f>
        <v>0</v>
      </c>
      <c r="K347">
        <f>IFERROR(INDEX(装备库!$A$2:$Y$1047,MATCH(ROW()-1,装备库!$AO$2:$AO$1046,0),COLUMN()),"")</f>
        <v>3426</v>
      </c>
      <c r="L347">
        <f>IFERROR(INDEX(装备库!$A$2:$Y$1047,MATCH(ROW()-1,装备库!$AO$2:$AO$1046,0),COLUMN()),"")</f>
        <v>0</v>
      </c>
      <c r="M347">
        <f>IFERROR(INDEX(装备库!$A$2:$Y$1047,MATCH(ROW()-1,装备库!$AO$2:$AO$1046,0),COLUMN()),"")</f>
        <v>0</v>
      </c>
      <c r="N347">
        <f>IFERROR(INDEX(装备库!$A$2:$Y$1047,MATCH(ROW()-1,装备库!$AO$2:$AO$1046,0),COLUMN()),"")</f>
        <v>0</v>
      </c>
      <c r="O347">
        <f>IFERROR(INDEX(装备库!$A$2:$Y$1047,MATCH(ROW()-1,装备库!$AO$2:$AO$1046,0),COLUMN()),"")</f>
        <v>0</v>
      </c>
      <c r="P347">
        <f>IFERROR(INDEX(装备库!$A$2:$Y$1047,MATCH(ROW()-1,装备库!$AO$2:$AO$1046,0),COLUMN()),"")</f>
        <v>0</v>
      </c>
      <c r="Q347">
        <f>IFERROR(INDEX(装备库!$A$2:$Y$1047,MATCH(ROW()-1,装备库!$AO$2:$AO$1046,0),COLUMN()),"")</f>
        <v>1</v>
      </c>
      <c r="R347">
        <f>IFERROR(INDEX(装备库!$A$2:$Y$1047,MATCH(ROW()-1,装备库!$AO$2:$AO$1046,0),COLUMN()),"")</f>
        <v>1</v>
      </c>
      <c r="S347">
        <f>IFERROR(INDEX(装备库!$A$2:$Y$1047,MATCH(ROW()-1,装备库!$AO$2:$AO$1046,0),COLUMN()),"")</f>
        <v>0</v>
      </c>
      <c r="T347">
        <f>IFERROR(INDEX(装备库!$A$2:$Y$1047,MATCH(ROW()-1,装备库!$AO$2:$AO$1046,0),COLUMN()),"")</f>
        <v>0</v>
      </c>
      <c r="U347">
        <f>IFERROR(INDEX(装备库!$A$2:$Y$1047,MATCH(ROW()-1,装备库!$AO$2:$AO$1046,0),COLUMN()),"")</f>
        <v>0</v>
      </c>
      <c r="V347">
        <f>IFERROR(INDEX(装备库!$A$2:$Y$1047,MATCH(ROW()-1,装备库!$AO$2:$AO$1046,0),COLUMN()),"")</f>
        <v>0</v>
      </c>
      <c r="W347" t="str">
        <f>IFERROR(INDEX(装备库!$A$2:$Y$1047,MATCH(ROW()-1,装备库!$AO$2:$AO$1046,0),COLUMN()),"")</f>
        <v>会无</v>
      </c>
      <c r="X347">
        <f>IFERROR(INDEX(装备库!$A$2:$Y$1047,MATCH(ROW()-1,装备库!$AO$2:$AO$1046,0),COLUMN()),"")</f>
        <v>6</v>
      </c>
      <c r="Y347" t="str">
        <f>IFERROR(INDEX(装备库!$A$2:$Y$1047,MATCH(ROW()-1,装备库!$AO$2:$AO$1046,0),COLUMN()),"")</f>
        <v>兑换牌</v>
      </c>
    </row>
    <row r="348" spans="1:25" x14ac:dyDescent="0.35">
      <c r="A348" t="str">
        <f>IFERROR(INDEX(装备库!$A$2:$Y$1047,MATCH(ROW()-1,装备库!$AO$2:$AO$1046,0),COLUMN()),"")</f>
        <v>上衣</v>
      </c>
      <c r="B348" t="str">
        <f>IFERROR(INDEX(装备库!$A$2:$Y$1047,MATCH(ROW()-1,装备库!$AO$2:$AO$1046,0),COLUMN()),"")</f>
        <v>旋山衫</v>
      </c>
      <c r="C348">
        <f>IFERROR(INDEX(装备库!$A$2:$Y$1047,MATCH(ROW()-1,装备库!$AO$2:$AO$1046,0),COLUMN()),"")</f>
        <v>11150</v>
      </c>
      <c r="D348" t="str">
        <f>IFERROR(INDEX(装备库!$A$2:$Y$1047,MATCH(ROW()-1,装备库!$AO$2:$AO$1046,0),COLUMN()),"")</f>
        <v>旋山衫(11150招破)</v>
      </c>
      <c r="E348">
        <f>IFERROR(INDEX(装备库!$A$2:$Y$1047,MATCH(ROW()-1,装备库!$AO$2:$AO$1046,0),COLUMN()),"")</f>
        <v>779</v>
      </c>
      <c r="F348">
        <f>IFERROR(INDEX(装备库!$A$2:$Y$1047,MATCH(ROW()-1,装备库!$AO$2:$AO$1046,0),COLUMN()),"")</f>
        <v>1263</v>
      </c>
      <c r="G348">
        <f>IFERROR(INDEX(装备库!$A$2:$Y$1047,MATCH(ROW()-1,装备库!$AO$2:$AO$1046,0),COLUMN()),"")</f>
        <v>0</v>
      </c>
      <c r="H348">
        <f>IFERROR(INDEX(装备库!$A$2:$Y$1047,MATCH(ROW()-1,装备库!$AO$2:$AO$1046,0),COLUMN()),"")</f>
        <v>0</v>
      </c>
      <c r="I348">
        <f>IFERROR(INDEX(装备库!$A$2:$Y$1047,MATCH(ROW()-1,装备库!$AO$2:$AO$1046,0),COLUMN()),"")</f>
        <v>3907</v>
      </c>
      <c r="J348">
        <f>IFERROR(INDEX(装备库!$A$2:$Y$1047,MATCH(ROW()-1,装备库!$AO$2:$AO$1046,0),COLUMN()),"")</f>
        <v>3472</v>
      </c>
      <c r="K348">
        <f>IFERROR(INDEX(装备库!$A$2:$Y$1047,MATCH(ROW()-1,装备库!$AO$2:$AO$1046,0),COLUMN()),"")</f>
        <v>0</v>
      </c>
      <c r="L348">
        <f>IFERROR(INDEX(装备库!$A$2:$Y$1047,MATCH(ROW()-1,装备库!$AO$2:$AO$1046,0),COLUMN()),"")</f>
        <v>0</v>
      </c>
      <c r="M348">
        <f>IFERROR(INDEX(装备库!$A$2:$Y$1047,MATCH(ROW()-1,装备库!$AO$2:$AO$1046,0),COLUMN()),"")</f>
        <v>0</v>
      </c>
      <c r="N348">
        <f>IFERROR(INDEX(装备库!$A$2:$Y$1047,MATCH(ROW()-1,装备库!$AO$2:$AO$1046,0),COLUMN()),"")</f>
        <v>0</v>
      </c>
      <c r="O348">
        <f>IFERROR(INDEX(装备库!$A$2:$Y$1047,MATCH(ROW()-1,装备库!$AO$2:$AO$1046,0),COLUMN()),"")</f>
        <v>1</v>
      </c>
      <c r="P348">
        <f>IFERROR(INDEX(装备库!$A$2:$Y$1047,MATCH(ROW()-1,装备库!$AO$2:$AO$1046,0),COLUMN()),"")</f>
        <v>0</v>
      </c>
      <c r="Q348">
        <f>IFERROR(INDEX(装备库!$A$2:$Y$1047,MATCH(ROW()-1,装备库!$AO$2:$AO$1046,0),COLUMN()),"")</f>
        <v>1</v>
      </c>
      <c r="R348">
        <f>IFERROR(INDEX(装备库!$A$2:$Y$1047,MATCH(ROW()-1,装备库!$AO$2:$AO$1046,0),COLUMN()),"")</f>
        <v>0</v>
      </c>
      <c r="S348">
        <f>IFERROR(INDEX(装备库!$A$2:$Y$1047,MATCH(ROW()-1,装备库!$AO$2:$AO$1046,0),COLUMN()),"")</f>
        <v>0</v>
      </c>
      <c r="T348">
        <f>IFERROR(INDEX(装备库!$A$2:$Y$1047,MATCH(ROW()-1,装备库!$AO$2:$AO$1046,0),COLUMN()),"")</f>
        <v>0</v>
      </c>
      <c r="U348">
        <f>IFERROR(INDEX(装备库!$A$2:$Y$1047,MATCH(ROW()-1,装备库!$AO$2:$AO$1046,0),COLUMN()),"")</f>
        <v>0</v>
      </c>
      <c r="V348">
        <f>IFERROR(INDEX(装备库!$A$2:$Y$1047,MATCH(ROW()-1,装备库!$AO$2:$AO$1046,0),COLUMN()),"")</f>
        <v>0</v>
      </c>
      <c r="W348" t="str">
        <f>IFERROR(INDEX(装备库!$A$2:$Y$1047,MATCH(ROW()-1,装备库!$AO$2:$AO$1046,0),COLUMN()),"")</f>
        <v>招破</v>
      </c>
      <c r="X348">
        <f>IFERROR(INDEX(装备库!$A$2:$Y$1047,MATCH(ROW()-1,装备库!$AO$2:$AO$1046,0),COLUMN()),"")</f>
        <v>6</v>
      </c>
      <c r="Y348" t="str">
        <f>IFERROR(INDEX(装备库!$A$2:$Y$1047,MATCH(ROW()-1,装备库!$AO$2:$AO$1046,0),COLUMN()),"")</f>
        <v>副本</v>
      </c>
    </row>
    <row r="349" spans="1:25" x14ac:dyDescent="0.35">
      <c r="A349" t="str">
        <f>IFERROR(INDEX(装备库!$A$2:$Y$1047,MATCH(ROW()-1,装备库!$AO$2:$AO$1046,0),COLUMN()),"")</f>
        <v>上衣</v>
      </c>
      <c r="B349" t="str">
        <f>IFERROR(INDEX(装备库!$A$2:$Y$1047,MATCH(ROW()-1,装备库!$AO$2:$AO$1046,0),COLUMN()),"")</f>
        <v>烟梦衣</v>
      </c>
      <c r="C349">
        <f>IFERROR(INDEX(装备库!$A$2:$Y$1047,MATCH(ROW()-1,装备库!$AO$2:$AO$1046,0),COLUMN()),"")</f>
        <v>11150</v>
      </c>
      <c r="D349" t="str">
        <f>IFERROR(INDEX(装备库!$A$2:$Y$1047,MATCH(ROW()-1,装备库!$AO$2:$AO$1046,0),COLUMN()),"")</f>
        <v>烟梦衣(11150会招)</v>
      </c>
      <c r="E349">
        <f>IFERROR(INDEX(装备库!$A$2:$Y$1047,MATCH(ROW()-1,装备库!$AO$2:$AO$1046,0),COLUMN()),"")</f>
        <v>779</v>
      </c>
      <c r="F349">
        <f>IFERROR(INDEX(装备库!$A$2:$Y$1047,MATCH(ROW()-1,装备库!$AO$2:$AO$1046,0),COLUMN()),"")</f>
        <v>1263</v>
      </c>
      <c r="G349">
        <f>IFERROR(INDEX(装备库!$A$2:$Y$1047,MATCH(ROW()-1,装备库!$AO$2:$AO$1046,0),COLUMN()),"")</f>
        <v>3907</v>
      </c>
      <c r="H349">
        <f>IFERROR(INDEX(装备库!$A$2:$Y$1047,MATCH(ROW()-1,装备库!$AO$2:$AO$1046,0),COLUMN()),"")</f>
        <v>0</v>
      </c>
      <c r="I349">
        <f>IFERROR(INDEX(装备库!$A$2:$Y$1047,MATCH(ROW()-1,装备库!$AO$2:$AO$1046,0),COLUMN()),"")</f>
        <v>0</v>
      </c>
      <c r="J349">
        <f>IFERROR(INDEX(装备库!$A$2:$Y$1047,MATCH(ROW()-1,装备库!$AO$2:$AO$1046,0),COLUMN()),"")</f>
        <v>3472</v>
      </c>
      <c r="K349">
        <f>IFERROR(INDEX(装备库!$A$2:$Y$1047,MATCH(ROW()-1,装备库!$AO$2:$AO$1046,0),COLUMN()),"")</f>
        <v>0</v>
      </c>
      <c r="L349">
        <f>IFERROR(INDEX(装备库!$A$2:$Y$1047,MATCH(ROW()-1,装备库!$AO$2:$AO$1046,0),COLUMN()),"")</f>
        <v>0</v>
      </c>
      <c r="M349">
        <f>IFERROR(INDEX(装备库!$A$2:$Y$1047,MATCH(ROW()-1,装备库!$AO$2:$AO$1046,0),COLUMN()),"")</f>
        <v>0</v>
      </c>
      <c r="N349">
        <f>IFERROR(INDEX(装备库!$A$2:$Y$1047,MATCH(ROW()-1,装备库!$AO$2:$AO$1046,0),COLUMN()),"")</f>
        <v>0</v>
      </c>
      <c r="O349">
        <f>IFERROR(INDEX(装备库!$A$2:$Y$1047,MATCH(ROW()-1,装备库!$AO$2:$AO$1046,0),COLUMN()),"")</f>
        <v>0</v>
      </c>
      <c r="P349">
        <f>IFERROR(INDEX(装备库!$A$2:$Y$1047,MATCH(ROW()-1,装备库!$AO$2:$AO$1046,0),COLUMN()),"")</f>
        <v>1</v>
      </c>
      <c r="Q349">
        <f>IFERROR(INDEX(装备库!$A$2:$Y$1047,MATCH(ROW()-1,装备库!$AO$2:$AO$1046,0),COLUMN()),"")</f>
        <v>1</v>
      </c>
      <c r="R349">
        <f>IFERROR(INDEX(装备库!$A$2:$Y$1047,MATCH(ROW()-1,装备库!$AO$2:$AO$1046,0),COLUMN()),"")</f>
        <v>0</v>
      </c>
      <c r="S349">
        <f>IFERROR(INDEX(装备库!$A$2:$Y$1047,MATCH(ROW()-1,装备库!$AO$2:$AO$1046,0),COLUMN()),"")</f>
        <v>0</v>
      </c>
      <c r="T349">
        <f>IFERROR(INDEX(装备库!$A$2:$Y$1047,MATCH(ROW()-1,装备库!$AO$2:$AO$1046,0),COLUMN()),"")</f>
        <v>0</v>
      </c>
      <c r="U349">
        <f>IFERROR(INDEX(装备库!$A$2:$Y$1047,MATCH(ROW()-1,装备库!$AO$2:$AO$1046,0),COLUMN()),"")</f>
        <v>0</v>
      </c>
      <c r="V349">
        <f>IFERROR(INDEX(装备库!$A$2:$Y$1047,MATCH(ROW()-1,装备库!$AO$2:$AO$1046,0),COLUMN()),"")</f>
        <v>0</v>
      </c>
      <c r="W349" t="str">
        <f>IFERROR(INDEX(装备库!$A$2:$Y$1047,MATCH(ROW()-1,装备库!$AO$2:$AO$1046,0),COLUMN()),"")</f>
        <v>会招</v>
      </c>
      <c r="X349">
        <f>IFERROR(INDEX(装备库!$A$2:$Y$1047,MATCH(ROW()-1,装备库!$AO$2:$AO$1046,0),COLUMN()),"")</f>
        <v>6</v>
      </c>
      <c r="Y349" t="str">
        <f>IFERROR(INDEX(装备库!$A$2:$Y$1047,MATCH(ROW()-1,装备库!$AO$2:$AO$1046,0),COLUMN()),"")</f>
        <v>副本</v>
      </c>
    </row>
    <row r="350" spans="1:25" x14ac:dyDescent="0.35">
      <c r="A350" t="str">
        <f>IFERROR(INDEX(装备库!$A$2:$Y$1047,MATCH(ROW()-1,装备库!$AO$2:$AO$1046,0),COLUMN()),"")</f>
        <v>上衣</v>
      </c>
      <c r="B350" t="str">
        <f>IFERROR(INDEX(装备库!$A$2:$Y$1047,MATCH(ROW()-1,装备库!$AO$2:$AO$1046,0),COLUMN()),"")</f>
        <v>湘灿衣</v>
      </c>
      <c r="C350">
        <f>IFERROR(INDEX(装备库!$A$2:$Y$1047,MATCH(ROW()-1,装备库!$AO$2:$AO$1046,0),COLUMN()),"")</f>
        <v>11150</v>
      </c>
      <c r="D350" t="str">
        <f>IFERROR(INDEX(装备库!$A$2:$Y$1047,MATCH(ROW()-1,装备库!$AO$2:$AO$1046,0),COLUMN()),"")</f>
        <v>湘灿衣(11150会无)</v>
      </c>
      <c r="E350">
        <f>IFERROR(INDEX(装备库!$A$2:$Y$1047,MATCH(ROW()-1,装备库!$AO$2:$AO$1046,0),COLUMN()),"")</f>
        <v>779</v>
      </c>
      <c r="F350">
        <f>IFERROR(INDEX(装备库!$A$2:$Y$1047,MATCH(ROW()-1,装备库!$AO$2:$AO$1046,0),COLUMN()),"")</f>
        <v>1263</v>
      </c>
      <c r="G350">
        <f>IFERROR(INDEX(装备库!$A$2:$Y$1047,MATCH(ROW()-1,装备库!$AO$2:$AO$1046,0),COLUMN()),"")</f>
        <v>3907</v>
      </c>
      <c r="H350">
        <f>IFERROR(INDEX(装备库!$A$2:$Y$1047,MATCH(ROW()-1,装备库!$AO$2:$AO$1046,0),COLUMN()),"")</f>
        <v>0</v>
      </c>
      <c r="I350">
        <f>IFERROR(INDEX(装备库!$A$2:$Y$1047,MATCH(ROW()-1,装备库!$AO$2:$AO$1046,0),COLUMN()),"")</f>
        <v>0</v>
      </c>
      <c r="J350">
        <f>IFERROR(INDEX(装备库!$A$2:$Y$1047,MATCH(ROW()-1,装备库!$AO$2:$AO$1046,0),COLUMN()),"")</f>
        <v>0</v>
      </c>
      <c r="K350">
        <f>IFERROR(INDEX(装备库!$A$2:$Y$1047,MATCH(ROW()-1,装备库!$AO$2:$AO$1046,0),COLUMN()),"")</f>
        <v>3472</v>
      </c>
      <c r="L350">
        <f>IFERROR(INDEX(装备库!$A$2:$Y$1047,MATCH(ROW()-1,装备库!$AO$2:$AO$1046,0),COLUMN()),"")</f>
        <v>0</v>
      </c>
      <c r="M350">
        <f>IFERROR(INDEX(装备库!$A$2:$Y$1047,MATCH(ROW()-1,装备库!$AO$2:$AO$1046,0),COLUMN()),"")</f>
        <v>0</v>
      </c>
      <c r="N350">
        <f>IFERROR(INDEX(装备库!$A$2:$Y$1047,MATCH(ROW()-1,装备库!$AO$2:$AO$1046,0),COLUMN()),"")</f>
        <v>0</v>
      </c>
      <c r="O350">
        <f>IFERROR(INDEX(装备库!$A$2:$Y$1047,MATCH(ROW()-1,装备库!$AO$2:$AO$1046,0),COLUMN()),"")</f>
        <v>0</v>
      </c>
      <c r="P350">
        <f>IFERROR(INDEX(装备库!$A$2:$Y$1047,MATCH(ROW()-1,装备库!$AO$2:$AO$1046,0),COLUMN()),"")</f>
        <v>0</v>
      </c>
      <c r="Q350">
        <f>IFERROR(INDEX(装备库!$A$2:$Y$1047,MATCH(ROW()-1,装备库!$AO$2:$AO$1046,0),COLUMN()),"")</f>
        <v>1</v>
      </c>
      <c r="R350">
        <f>IFERROR(INDEX(装备库!$A$2:$Y$1047,MATCH(ROW()-1,装备库!$AO$2:$AO$1046,0),COLUMN()),"")</f>
        <v>1</v>
      </c>
      <c r="S350">
        <f>IFERROR(INDEX(装备库!$A$2:$Y$1047,MATCH(ROW()-1,装备库!$AO$2:$AO$1046,0),COLUMN()),"")</f>
        <v>0</v>
      </c>
      <c r="T350">
        <f>IFERROR(INDEX(装备库!$A$2:$Y$1047,MATCH(ROW()-1,装备库!$AO$2:$AO$1046,0),COLUMN()),"")</f>
        <v>0</v>
      </c>
      <c r="U350">
        <f>IFERROR(INDEX(装备库!$A$2:$Y$1047,MATCH(ROW()-1,装备库!$AO$2:$AO$1046,0),COLUMN()),"")</f>
        <v>0</v>
      </c>
      <c r="V350">
        <f>IFERROR(INDEX(装备库!$A$2:$Y$1047,MATCH(ROW()-1,装备库!$AO$2:$AO$1046,0),COLUMN()),"")</f>
        <v>0</v>
      </c>
      <c r="W350" t="str">
        <f>IFERROR(INDEX(装备库!$A$2:$Y$1047,MATCH(ROW()-1,装备库!$AO$2:$AO$1046,0),COLUMN()),"")</f>
        <v>会无</v>
      </c>
      <c r="X350">
        <f>IFERROR(INDEX(装备库!$A$2:$Y$1047,MATCH(ROW()-1,装备库!$AO$2:$AO$1046,0),COLUMN()),"")</f>
        <v>6</v>
      </c>
      <c r="Y350" t="str">
        <f>IFERROR(INDEX(装备库!$A$2:$Y$1047,MATCH(ROW()-1,装备库!$AO$2:$AO$1046,0),COLUMN()),"")</f>
        <v>世界BOSS</v>
      </c>
    </row>
    <row r="351" spans="1:25" x14ac:dyDescent="0.35">
      <c r="A351" t="str">
        <f>IFERROR(INDEX(装备库!$A$2:$Y$1047,MATCH(ROW()-1,装备库!$AO$2:$AO$1046,0),COLUMN()),"")</f>
        <v>上衣</v>
      </c>
      <c r="B351" t="str">
        <f>IFERROR(INDEX(装备库!$A$2:$Y$1047,MATCH(ROW()-1,装备库!$AO$2:$AO$1046,0),COLUMN()),"")</f>
        <v>暮祁衣</v>
      </c>
      <c r="C351">
        <f>IFERROR(INDEX(装备库!$A$2:$Y$1047,MATCH(ROW()-1,装备库!$AO$2:$AO$1046,0),COLUMN()),"")</f>
        <v>11300</v>
      </c>
      <c r="D351" t="str">
        <f>IFERROR(INDEX(装备库!$A$2:$Y$1047,MATCH(ROW()-1,装备库!$AO$2:$AO$1046,0),COLUMN()),"")</f>
        <v>暮祁衣(11300破无)</v>
      </c>
      <c r="E351">
        <f>IFERROR(INDEX(装备库!$A$2:$Y$1047,MATCH(ROW()-1,装备库!$AO$2:$AO$1046,0),COLUMN()),"")</f>
        <v>789</v>
      </c>
      <c r="F351">
        <f>IFERROR(INDEX(装备库!$A$2:$Y$1047,MATCH(ROW()-1,装备库!$AO$2:$AO$1046,0),COLUMN()),"")</f>
        <v>1280</v>
      </c>
      <c r="G351">
        <f>IFERROR(INDEX(装备库!$A$2:$Y$1047,MATCH(ROW()-1,装备库!$AO$2:$AO$1046,0),COLUMN()),"")</f>
        <v>0</v>
      </c>
      <c r="H351">
        <f>IFERROR(INDEX(装备库!$A$2:$Y$1047,MATCH(ROW()-1,装备库!$AO$2:$AO$1046,0),COLUMN()),"")</f>
        <v>0</v>
      </c>
      <c r="I351">
        <f>IFERROR(INDEX(装备库!$A$2:$Y$1047,MATCH(ROW()-1,装备库!$AO$2:$AO$1046,0),COLUMN()),"")</f>
        <v>3959</v>
      </c>
      <c r="J351">
        <f>IFERROR(INDEX(装备库!$A$2:$Y$1047,MATCH(ROW()-1,装备库!$AO$2:$AO$1046,0),COLUMN()),"")</f>
        <v>0</v>
      </c>
      <c r="K351">
        <f>IFERROR(INDEX(装备库!$A$2:$Y$1047,MATCH(ROW()-1,装备库!$AO$2:$AO$1046,0),COLUMN()),"")</f>
        <v>3519</v>
      </c>
      <c r="L351">
        <f>IFERROR(INDEX(装备库!$A$2:$Y$1047,MATCH(ROW()-1,装备库!$AO$2:$AO$1046,0),COLUMN()),"")</f>
        <v>0</v>
      </c>
      <c r="M351">
        <f>IFERROR(INDEX(装备库!$A$2:$Y$1047,MATCH(ROW()-1,装备库!$AO$2:$AO$1046,0),COLUMN()),"")</f>
        <v>0</v>
      </c>
      <c r="N351">
        <f>IFERROR(INDEX(装备库!$A$2:$Y$1047,MATCH(ROW()-1,装备库!$AO$2:$AO$1046,0),COLUMN()),"")</f>
        <v>0</v>
      </c>
      <c r="O351">
        <f>IFERROR(INDEX(装备库!$A$2:$Y$1047,MATCH(ROW()-1,装备库!$AO$2:$AO$1046,0),COLUMN()),"")</f>
        <v>1</v>
      </c>
      <c r="P351">
        <f>IFERROR(INDEX(装备库!$A$2:$Y$1047,MATCH(ROW()-1,装备库!$AO$2:$AO$1046,0),COLUMN()),"")</f>
        <v>0</v>
      </c>
      <c r="Q351">
        <f>IFERROR(INDEX(装备库!$A$2:$Y$1047,MATCH(ROW()-1,装备库!$AO$2:$AO$1046,0),COLUMN()),"")</f>
        <v>1</v>
      </c>
      <c r="R351">
        <f>IFERROR(INDEX(装备库!$A$2:$Y$1047,MATCH(ROW()-1,装备库!$AO$2:$AO$1046,0),COLUMN()),"")</f>
        <v>0</v>
      </c>
      <c r="S351">
        <f>IFERROR(INDEX(装备库!$A$2:$Y$1047,MATCH(ROW()-1,装备库!$AO$2:$AO$1046,0),COLUMN()),"")</f>
        <v>0</v>
      </c>
      <c r="T351">
        <f>IFERROR(INDEX(装备库!$A$2:$Y$1047,MATCH(ROW()-1,装备库!$AO$2:$AO$1046,0),COLUMN()),"")</f>
        <v>0</v>
      </c>
      <c r="U351">
        <f>IFERROR(INDEX(装备库!$A$2:$Y$1047,MATCH(ROW()-1,装备库!$AO$2:$AO$1046,0),COLUMN()),"")</f>
        <v>0</v>
      </c>
      <c r="V351">
        <f>IFERROR(INDEX(装备库!$A$2:$Y$1047,MATCH(ROW()-1,装备库!$AO$2:$AO$1046,0),COLUMN()),"")</f>
        <v>0</v>
      </c>
      <c r="W351" t="str">
        <f>IFERROR(INDEX(装备库!$A$2:$Y$1047,MATCH(ROW()-1,装备库!$AO$2:$AO$1046,0),COLUMN()),"")</f>
        <v>破无</v>
      </c>
      <c r="X351">
        <f>IFERROR(INDEX(装备库!$A$2:$Y$1047,MATCH(ROW()-1,装备库!$AO$2:$AO$1046,0),COLUMN()),"")</f>
        <v>6</v>
      </c>
      <c r="Y351" t="str">
        <f>IFERROR(INDEX(装备库!$A$2:$Y$1047,MATCH(ROW()-1,装备库!$AO$2:$AO$1046,0),COLUMN()),"")</f>
        <v>生活技能</v>
      </c>
    </row>
    <row r="352" spans="1:25" x14ac:dyDescent="0.35">
      <c r="A352" t="str">
        <f>IFERROR(INDEX(装备库!$A$2:$Y$1047,MATCH(ROW()-1,装备库!$AO$2:$AO$1046,0),COLUMN()),"")</f>
        <v>上衣</v>
      </c>
      <c r="B352" t="str">
        <f>IFERROR(INDEX(装备库!$A$2:$Y$1047,MATCH(ROW()-1,装备库!$AO$2:$AO$1046,0),COLUMN()),"")</f>
        <v>【门派套装】濯心·映寒衣</v>
      </c>
      <c r="C352">
        <f>IFERROR(INDEX(装备库!$A$2:$Y$1047,MATCH(ROW()-1,装备库!$AO$2:$AO$1046,0),COLUMN()),"")</f>
        <v>12300</v>
      </c>
      <c r="D352" t="str">
        <f>IFERROR(INDEX(装备库!$A$2:$Y$1047,MATCH(ROW()-1,装备库!$AO$2:$AO$1046,0),COLUMN()),"")</f>
        <v>【门派套装】濯心·映寒衣(12300会无)</v>
      </c>
      <c r="E352">
        <f>IFERROR(INDEX(装备库!$A$2:$Y$1047,MATCH(ROW()-1,装备库!$AO$2:$AO$1046,0),COLUMN()),"")</f>
        <v>859</v>
      </c>
      <c r="F352">
        <f>IFERROR(INDEX(装备库!$A$2:$Y$1047,MATCH(ROW()-1,装备库!$AO$2:$AO$1046,0),COLUMN()),"")</f>
        <v>1393</v>
      </c>
      <c r="G352">
        <f>IFERROR(INDEX(装备库!$A$2:$Y$1047,MATCH(ROW()-1,装备库!$AO$2:$AO$1046,0),COLUMN()),"")</f>
        <v>4309</v>
      </c>
      <c r="H352">
        <f>IFERROR(INDEX(装备库!$A$2:$Y$1047,MATCH(ROW()-1,装备库!$AO$2:$AO$1046,0),COLUMN()),"")</f>
        <v>0</v>
      </c>
      <c r="I352">
        <f>IFERROR(INDEX(装备库!$A$2:$Y$1047,MATCH(ROW()-1,装备库!$AO$2:$AO$1046,0),COLUMN()),"")</f>
        <v>0</v>
      </c>
      <c r="J352">
        <f>IFERROR(INDEX(装备库!$A$2:$Y$1047,MATCH(ROW()-1,装备库!$AO$2:$AO$1046,0),COLUMN()),"")</f>
        <v>0</v>
      </c>
      <c r="K352">
        <f>IFERROR(INDEX(装备库!$A$2:$Y$1047,MATCH(ROW()-1,装备库!$AO$2:$AO$1046,0),COLUMN()),"")</f>
        <v>3831</v>
      </c>
      <c r="L352">
        <f>IFERROR(INDEX(装备库!$A$2:$Y$1047,MATCH(ROW()-1,装备库!$AO$2:$AO$1046,0),COLUMN()),"")</f>
        <v>0</v>
      </c>
      <c r="M352">
        <f>IFERROR(INDEX(装备库!$A$2:$Y$1047,MATCH(ROW()-1,装备库!$AO$2:$AO$1046,0),COLUMN()),"")</f>
        <v>0</v>
      </c>
      <c r="N352">
        <f>IFERROR(INDEX(装备库!$A$2:$Y$1047,MATCH(ROW()-1,装备库!$AO$2:$AO$1046,0),COLUMN()),"")</f>
        <v>0</v>
      </c>
      <c r="O352">
        <f>IFERROR(INDEX(装备库!$A$2:$Y$1047,MATCH(ROW()-1,装备库!$AO$2:$AO$1046,0),COLUMN()),"")</f>
        <v>0</v>
      </c>
      <c r="P352">
        <f>IFERROR(INDEX(装备库!$A$2:$Y$1047,MATCH(ROW()-1,装备库!$AO$2:$AO$1046,0),COLUMN()),"")</f>
        <v>0</v>
      </c>
      <c r="Q352">
        <f>IFERROR(INDEX(装备库!$A$2:$Y$1047,MATCH(ROW()-1,装备库!$AO$2:$AO$1046,0),COLUMN()),"")</f>
        <v>1</v>
      </c>
      <c r="R352">
        <f>IFERROR(INDEX(装备库!$A$2:$Y$1047,MATCH(ROW()-1,装备库!$AO$2:$AO$1046,0),COLUMN()),"")</f>
        <v>1</v>
      </c>
      <c r="S352">
        <f>IFERROR(INDEX(装备库!$A$2:$Y$1047,MATCH(ROW()-1,装备库!$AO$2:$AO$1046,0),COLUMN()),"")</f>
        <v>0</v>
      </c>
      <c r="T352">
        <f>IFERROR(INDEX(装备库!$A$2:$Y$1047,MATCH(ROW()-1,装备库!$AO$2:$AO$1046,0),COLUMN()),"")</f>
        <v>0</v>
      </c>
      <c r="U352">
        <f>IFERROR(INDEX(装备库!$A$2:$Y$1047,MATCH(ROW()-1,装备库!$AO$2:$AO$1046,0),COLUMN()),"")</f>
        <v>0</v>
      </c>
      <c r="V352">
        <f>IFERROR(INDEX(装备库!$A$2:$Y$1047,MATCH(ROW()-1,装备库!$AO$2:$AO$1046,0),COLUMN()),"")</f>
        <v>0</v>
      </c>
      <c r="W352" t="str">
        <f>IFERROR(INDEX(装备库!$A$2:$Y$1047,MATCH(ROW()-1,装备库!$AO$2:$AO$1046,0),COLUMN()),"")</f>
        <v>会无</v>
      </c>
      <c r="X352">
        <f>IFERROR(INDEX(装备库!$A$2:$Y$1047,MATCH(ROW()-1,装备库!$AO$2:$AO$1046,0),COLUMN()),"")</f>
        <v>6</v>
      </c>
      <c r="Y352" t="str">
        <f>IFERROR(INDEX(装备库!$A$2:$Y$1047,MATCH(ROW()-1,装备库!$AO$2:$AO$1046,0),COLUMN()),"")</f>
        <v>兑换牌</v>
      </c>
    </row>
    <row r="353" spans="1:25" x14ac:dyDescent="0.35">
      <c r="A353" t="str">
        <f>IFERROR(INDEX(装备库!$A$2:$Y$1047,MATCH(ROW()-1,装备库!$AO$2:$AO$1046,0),COLUMN()),"")</f>
        <v>上衣</v>
      </c>
      <c r="B353" t="str">
        <f>IFERROR(INDEX(装备库!$A$2:$Y$1047,MATCH(ROW()-1,装备库!$AO$2:$AO$1046,0),COLUMN()),"")</f>
        <v>安衿衫</v>
      </c>
      <c r="C353">
        <f>IFERROR(INDEX(装备库!$A$2:$Y$1047,MATCH(ROW()-1,装备库!$AO$2:$AO$1046,0),COLUMN()),"")</f>
        <v>12450</v>
      </c>
      <c r="D353" t="str">
        <f>IFERROR(INDEX(装备库!$A$2:$Y$1047,MATCH(ROW()-1,装备库!$AO$2:$AO$1046,0),COLUMN()),"")</f>
        <v>安衿衫(12450招破)</v>
      </c>
      <c r="E353">
        <f>IFERROR(INDEX(装备库!$A$2:$Y$1047,MATCH(ROW()-1,装备库!$AO$2:$AO$1046,0),COLUMN()),"")</f>
        <v>869</v>
      </c>
      <c r="F353">
        <f>IFERROR(INDEX(装备库!$A$2:$Y$1047,MATCH(ROW()-1,装备库!$AO$2:$AO$1046,0),COLUMN()),"")</f>
        <v>1410</v>
      </c>
      <c r="G353">
        <f>IFERROR(INDEX(装备库!$A$2:$Y$1047,MATCH(ROW()-1,装备库!$AO$2:$AO$1046,0),COLUMN()),"")</f>
        <v>0</v>
      </c>
      <c r="H353">
        <f>IFERROR(INDEX(装备库!$A$2:$Y$1047,MATCH(ROW()-1,装备库!$AO$2:$AO$1046,0),COLUMN()),"")</f>
        <v>0</v>
      </c>
      <c r="I353">
        <f>IFERROR(INDEX(装备库!$A$2:$Y$1047,MATCH(ROW()-1,装备库!$AO$2:$AO$1046,0),COLUMN()),"")</f>
        <v>4362</v>
      </c>
      <c r="J353">
        <f>IFERROR(INDEX(装备库!$A$2:$Y$1047,MATCH(ROW()-1,装备库!$AO$2:$AO$1046,0),COLUMN()),"")</f>
        <v>3877</v>
      </c>
      <c r="K353">
        <f>IFERROR(INDEX(装备库!$A$2:$Y$1047,MATCH(ROW()-1,装备库!$AO$2:$AO$1046,0),COLUMN()),"")</f>
        <v>0</v>
      </c>
      <c r="L353">
        <f>IFERROR(INDEX(装备库!$A$2:$Y$1047,MATCH(ROW()-1,装备库!$AO$2:$AO$1046,0),COLUMN()),"")</f>
        <v>0</v>
      </c>
      <c r="M353">
        <f>IFERROR(INDEX(装备库!$A$2:$Y$1047,MATCH(ROW()-1,装备库!$AO$2:$AO$1046,0),COLUMN()),"")</f>
        <v>0</v>
      </c>
      <c r="N353">
        <f>IFERROR(INDEX(装备库!$A$2:$Y$1047,MATCH(ROW()-1,装备库!$AO$2:$AO$1046,0),COLUMN()),"")</f>
        <v>0</v>
      </c>
      <c r="O353">
        <f>IFERROR(INDEX(装备库!$A$2:$Y$1047,MATCH(ROW()-1,装备库!$AO$2:$AO$1046,0),COLUMN()),"")</f>
        <v>1</v>
      </c>
      <c r="P353">
        <f>IFERROR(INDEX(装备库!$A$2:$Y$1047,MATCH(ROW()-1,装备库!$AO$2:$AO$1046,0),COLUMN()),"")</f>
        <v>0</v>
      </c>
      <c r="Q353">
        <f>IFERROR(INDEX(装备库!$A$2:$Y$1047,MATCH(ROW()-1,装备库!$AO$2:$AO$1046,0),COLUMN()),"")</f>
        <v>1</v>
      </c>
      <c r="R353">
        <f>IFERROR(INDEX(装备库!$A$2:$Y$1047,MATCH(ROW()-1,装备库!$AO$2:$AO$1046,0),COLUMN()),"")</f>
        <v>0</v>
      </c>
      <c r="S353">
        <f>IFERROR(INDEX(装备库!$A$2:$Y$1047,MATCH(ROW()-1,装备库!$AO$2:$AO$1046,0),COLUMN()),"")</f>
        <v>0</v>
      </c>
      <c r="T353">
        <f>IFERROR(INDEX(装备库!$A$2:$Y$1047,MATCH(ROW()-1,装备库!$AO$2:$AO$1046,0),COLUMN()),"")</f>
        <v>0</v>
      </c>
      <c r="U353">
        <f>IFERROR(INDEX(装备库!$A$2:$Y$1047,MATCH(ROW()-1,装备库!$AO$2:$AO$1046,0),COLUMN()),"")</f>
        <v>0</v>
      </c>
      <c r="V353">
        <f>IFERROR(INDEX(装备库!$A$2:$Y$1047,MATCH(ROW()-1,装备库!$AO$2:$AO$1046,0),COLUMN()),"")</f>
        <v>0</v>
      </c>
      <c r="W353" t="str">
        <f>IFERROR(INDEX(装备库!$A$2:$Y$1047,MATCH(ROW()-1,装备库!$AO$2:$AO$1046,0),COLUMN()),"")</f>
        <v>招破</v>
      </c>
      <c r="X353">
        <f>IFERROR(INDEX(装备库!$A$2:$Y$1047,MATCH(ROW()-1,装备库!$AO$2:$AO$1046,0),COLUMN()),"")</f>
        <v>6</v>
      </c>
      <c r="Y353" t="str">
        <f>IFERROR(INDEX(装备库!$A$2:$Y$1047,MATCH(ROW()-1,装备库!$AO$2:$AO$1046,0),COLUMN()),"")</f>
        <v>副本</v>
      </c>
    </row>
    <row r="354" spans="1:25" x14ac:dyDescent="0.35">
      <c r="A354" t="str">
        <f>IFERROR(INDEX(装备库!$A$2:$Y$1047,MATCH(ROW()-1,装备库!$AO$2:$AO$1046,0),COLUMN()),"")</f>
        <v>上衣</v>
      </c>
      <c r="B354" t="str">
        <f>IFERROR(INDEX(装备库!$A$2:$Y$1047,MATCH(ROW()-1,装备库!$AO$2:$AO$1046,0),COLUMN()),"")</f>
        <v>温刃衣</v>
      </c>
      <c r="C354">
        <f>IFERROR(INDEX(装备库!$A$2:$Y$1047,MATCH(ROW()-1,装备库!$AO$2:$AO$1046,0),COLUMN()),"")</f>
        <v>12450</v>
      </c>
      <c r="D354" t="str">
        <f>IFERROR(INDEX(装备库!$A$2:$Y$1047,MATCH(ROW()-1,装备库!$AO$2:$AO$1046,0),COLUMN()),"")</f>
        <v>温刃衣(12450会招)</v>
      </c>
      <c r="E354">
        <f>IFERROR(INDEX(装备库!$A$2:$Y$1047,MATCH(ROW()-1,装备库!$AO$2:$AO$1046,0),COLUMN()),"")</f>
        <v>869</v>
      </c>
      <c r="F354">
        <f>IFERROR(INDEX(装备库!$A$2:$Y$1047,MATCH(ROW()-1,装备库!$AO$2:$AO$1046,0),COLUMN()),"")</f>
        <v>1410</v>
      </c>
      <c r="G354">
        <f>IFERROR(INDEX(装备库!$A$2:$Y$1047,MATCH(ROW()-1,装备库!$AO$2:$AO$1046,0),COLUMN()),"")</f>
        <v>4362</v>
      </c>
      <c r="H354">
        <f>IFERROR(INDEX(装备库!$A$2:$Y$1047,MATCH(ROW()-1,装备库!$AO$2:$AO$1046,0),COLUMN()),"")</f>
        <v>0</v>
      </c>
      <c r="I354">
        <f>IFERROR(INDEX(装备库!$A$2:$Y$1047,MATCH(ROW()-1,装备库!$AO$2:$AO$1046,0),COLUMN()),"")</f>
        <v>0</v>
      </c>
      <c r="J354">
        <f>IFERROR(INDEX(装备库!$A$2:$Y$1047,MATCH(ROW()-1,装备库!$AO$2:$AO$1046,0),COLUMN()),"")</f>
        <v>3877</v>
      </c>
      <c r="K354">
        <f>IFERROR(INDEX(装备库!$A$2:$Y$1047,MATCH(ROW()-1,装备库!$AO$2:$AO$1046,0),COLUMN()),"")</f>
        <v>0</v>
      </c>
      <c r="L354">
        <f>IFERROR(INDEX(装备库!$A$2:$Y$1047,MATCH(ROW()-1,装备库!$AO$2:$AO$1046,0),COLUMN()),"")</f>
        <v>0</v>
      </c>
      <c r="M354">
        <f>IFERROR(INDEX(装备库!$A$2:$Y$1047,MATCH(ROW()-1,装备库!$AO$2:$AO$1046,0),COLUMN()),"")</f>
        <v>0</v>
      </c>
      <c r="N354">
        <f>IFERROR(INDEX(装备库!$A$2:$Y$1047,MATCH(ROW()-1,装备库!$AO$2:$AO$1046,0),COLUMN()),"")</f>
        <v>0</v>
      </c>
      <c r="O354">
        <f>IFERROR(INDEX(装备库!$A$2:$Y$1047,MATCH(ROW()-1,装备库!$AO$2:$AO$1046,0),COLUMN()),"")</f>
        <v>0</v>
      </c>
      <c r="P354">
        <f>IFERROR(INDEX(装备库!$A$2:$Y$1047,MATCH(ROW()-1,装备库!$AO$2:$AO$1046,0),COLUMN()),"")</f>
        <v>1</v>
      </c>
      <c r="Q354">
        <f>IFERROR(INDEX(装备库!$A$2:$Y$1047,MATCH(ROW()-1,装备库!$AO$2:$AO$1046,0),COLUMN()),"")</f>
        <v>1</v>
      </c>
      <c r="R354">
        <f>IFERROR(INDEX(装备库!$A$2:$Y$1047,MATCH(ROW()-1,装备库!$AO$2:$AO$1046,0),COLUMN()),"")</f>
        <v>0</v>
      </c>
      <c r="S354">
        <f>IFERROR(INDEX(装备库!$A$2:$Y$1047,MATCH(ROW()-1,装备库!$AO$2:$AO$1046,0),COLUMN()),"")</f>
        <v>0</v>
      </c>
      <c r="T354">
        <f>IFERROR(INDEX(装备库!$A$2:$Y$1047,MATCH(ROW()-1,装备库!$AO$2:$AO$1046,0),COLUMN()),"")</f>
        <v>0</v>
      </c>
      <c r="U354">
        <f>IFERROR(INDEX(装备库!$A$2:$Y$1047,MATCH(ROW()-1,装备库!$AO$2:$AO$1046,0),COLUMN()),"")</f>
        <v>0</v>
      </c>
      <c r="V354">
        <f>IFERROR(INDEX(装备库!$A$2:$Y$1047,MATCH(ROW()-1,装备库!$AO$2:$AO$1046,0),COLUMN()),"")</f>
        <v>0</v>
      </c>
      <c r="W354" t="str">
        <f>IFERROR(INDEX(装备库!$A$2:$Y$1047,MATCH(ROW()-1,装备库!$AO$2:$AO$1046,0),COLUMN()),"")</f>
        <v>会招</v>
      </c>
      <c r="X354">
        <f>IFERROR(INDEX(装备库!$A$2:$Y$1047,MATCH(ROW()-1,装备库!$AO$2:$AO$1046,0),COLUMN()),"")</f>
        <v>6</v>
      </c>
      <c r="Y354" t="str">
        <f>IFERROR(INDEX(装备库!$A$2:$Y$1047,MATCH(ROW()-1,装备库!$AO$2:$AO$1046,0),COLUMN()),"")</f>
        <v>副本</v>
      </c>
    </row>
    <row r="355" spans="1:25" x14ac:dyDescent="0.35">
      <c r="A355" t="str">
        <f>IFERROR(INDEX(装备库!$A$2:$Y$1047,MATCH(ROW()-1,装备库!$AO$2:$AO$1046,0),COLUMN()),"")</f>
        <v>上衣</v>
      </c>
      <c r="B355" t="str">
        <f>IFERROR(INDEX(装备库!$A$2:$Y$1047,MATCH(ROW()-1,装备库!$AO$2:$AO$1046,0),COLUMN()),"")</f>
        <v>湖静衣</v>
      </c>
      <c r="C355">
        <f>IFERROR(INDEX(装备库!$A$2:$Y$1047,MATCH(ROW()-1,装备库!$AO$2:$AO$1046,0),COLUMN()),"")</f>
        <v>12450</v>
      </c>
      <c r="D355" t="str">
        <f>IFERROR(INDEX(装备库!$A$2:$Y$1047,MATCH(ROW()-1,装备库!$AO$2:$AO$1046,0),COLUMN()),"")</f>
        <v>湖静衣(12450会无)</v>
      </c>
      <c r="E355">
        <f>IFERROR(INDEX(装备库!$A$2:$Y$1047,MATCH(ROW()-1,装备库!$AO$2:$AO$1046,0),COLUMN()),"")</f>
        <v>869</v>
      </c>
      <c r="F355">
        <f>IFERROR(INDEX(装备库!$A$2:$Y$1047,MATCH(ROW()-1,装备库!$AO$2:$AO$1046,0),COLUMN()),"")</f>
        <v>1410</v>
      </c>
      <c r="G355">
        <f>IFERROR(INDEX(装备库!$A$2:$Y$1047,MATCH(ROW()-1,装备库!$AO$2:$AO$1046,0),COLUMN()),"")</f>
        <v>4362</v>
      </c>
      <c r="H355">
        <f>IFERROR(INDEX(装备库!$A$2:$Y$1047,MATCH(ROW()-1,装备库!$AO$2:$AO$1046,0),COLUMN()),"")</f>
        <v>0</v>
      </c>
      <c r="I355">
        <f>IFERROR(INDEX(装备库!$A$2:$Y$1047,MATCH(ROW()-1,装备库!$AO$2:$AO$1046,0),COLUMN()),"")</f>
        <v>0</v>
      </c>
      <c r="J355">
        <f>IFERROR(INDEX(装备库!$A$2:$Y$1047,MATCH(ROW()-1,装备库!$AO$2:$AO$1046,0),COLUMN()),"")</f>
        <v>0</v>
      </c>
      <c r="K355">
        <f>IFERROR(INDEX(装备库!$A$2:$Y$1047,MATCH(ROW()-1,装备库!$AO$2:$AO$1046,0),COLUMN()),"")</f>
        <v>3877</v>
      </c>
      <c r="L355">
        <f>IFERROR(INDEX(装备库!$A$2:$Y$1047,MATCH(ROW()-1,装备库!$AO$2:$AO$1046,0),COLUMN()),"")</f>
        <v>0</v>
      </c>
      <c r="M355">
        <f>IFERROR(INDEX(装备库!$A$2:$Y$1047,MATCH(ROW()-1,装备库!$AO$2:$AO$1046,0),COLUMN()),"")</f>
        <v>0</v>
      </c>
      <c r="N355">
        <f>IFERROR(INDEX(装备库!$A$2:$Y$1047,MATCH(ROW()-1,装备库!$AO$2:$AO$1046,0),COLUMN()),"")</f>
        <v>0</v>
      </c>
      <c r="O355">
        <f>IFERROR(INDEX(装备库!$A$2:$Y$1047,MATCH(ROW()-1,装备库!$AO$2:$AO$1046,0),COLUMN()),"")</f>
        <v>0</v>
      </c>
      <c r="P355">
        <f>IFERROR(INDEX(装备库!$A$2:$Y$1047,MATCH(ROW()-1,装备库!$AO$2:$AO$1046,0),COLUMN()),"")</f>
        <v>0</v>
      </c>
      <c r="Q355">
        <f>IFERROR(INDEX(装备库!$A$2:$Y$1047,MATCH(ROW()-1,装备库!$AO$2:$AO$1046,0),COLUMN()),"")</f>
        <v>1</v>
      </c>
      <c r="R355">
        <f>IFERROR(INDEX(装备库!$A$2:$Y$1047,MATCH(ROW()-1,装备库!$AO$2:$AO$1046,0),COLUMN()),"")</f>
        <v>1</v>
      </c>
      <c r="S355">
        <f>IFERROR(INDEX(装备库!$A$2:$Y$1047,MATCH(ROW()-1,装备库!$AO$2:$AO$1046,0),COLUMN()),"")</f>
        <v>0</v>
      </c>
      <c r="T355">
        <f>IFERROR(INDEX(装备库!$A$2:$Y$1047,MATCH(ROW()-1,装备库!$AO$2:$AO$1046,0),COLUMN()),"")</f>
        <v>0</v>
      </c>
      <c r="U355">
        <f>IFERROR(INDEX(装备库!$A$2:$Y$1047,MATCH(ROW()-1,装备库!$AO$2:$AO$1046,0),COLUMN()),"")</f>
        <v>0</v>
      </c>
      <c r="V355">
        <f>IFERROR(INDEX(装备库!$A$2:$Y$1047,MATCH(ROW()-1,装备库!$AO$2:$AO$1046,0),COLUMN()),"")</f>
        <v>0</v>
      </c>
      <c r="W355" t="str">
        <f>IFERROR(INDEX(装备库!$A$2:$Y$1047,MATCH(ROW()-1,装备库!$AO$2:$AO$1046,0),COLUMN()),"")</f>
        <v>会无</v>
      </c>
      <c r="X355">
        <f>IFERROR(INDEX(装备库!$A$2:$Y$1047,MATCH(ROW()-1,装备库!$AO$2:$AO$1046,0),COLUMN()),"")</f>
        <v>6</v>
      </c>
      <c r="Y355" t="str">
        <f>IFERROR(INDEX(装备库!$A$2:$Y$1047,MATCH(ROW()-1,装备库!$AO$2:$AO$1046,0),COLUMN()),"")</f>
        <v>世界BOSS</v>
      </c>
    </row>
    <row r="356" spans="1:25" x14ac:dyDescent="0.35">
      <c r="A356" t="str">
        <f>IFERROR(INDEX(装备库!$A$2:$Y$1047,MATCH(ROW()-1,装备库!$AO$2:$AO$1046,0),COLUMN()),"")</f>
        <v>上衣</v>
      </c>
      <c r="B356" t="str">
        <f>IFERROR(INDEX(装备库!$A$2:$Y$1047,MATCH(ROW()-1,装备库!$AO$2:$AO$1046,0),COLUMN()),"")</f>
        <v>雪舞衣</v>
      </c>
      <c r="C356">
        <f>IFERROR(INDEX(装备库!$A$2:$Y$1047,MATCH(ROW()-1,装备库!$AO$2:$AO$1046,0),COLUMN()),"")</f>
        <v>12600</v>
      </c>
      <c r="D356" t="str">
        <f>IFERROR(INDEX(装备库!$A$2:$Y$1047,MATCH(ROW()-1,装备库!$AO$2:$AO$1046,0),COLUMN()),"")</f>
        <v>雪舞衣(12600破无)</v>
      </c>
      <c r="E356">
        <f>IFERROR(INDEX(装备库!$A$2:$Y$1047,MATCH(ROW()-1,装备库!$AO$2:$AO$1046,0),COLUMN()),"")</f>
        <v>880</v>
      </c>
      <c r="F356">
        <f>IFERROR(INDEX(装备库!$A$2:$Y$1047,MATCH(ROW()-1,装备库!$AO$2:$AO$1046,0),COLUMN()),"")</f>
        <v>1427</v>
      </c>
      <c r="G356">
        <f>IFERROR(INDEX(装备库!$A$2:$Y$1047,MATCH(ROW()-1,装备库!$AO$2:$AO$1046,0),COLUMN()),"")</f>
        <v>0</v>
      </c>
      <c r="H356">
        <f>IFERROR(INDEX(装备库!$A$2:$Y$1047,MATCH(ROW()-1,装备库!$AO$2:$AO$1046,0),COLUMN()),"")</f>
        <v>0</v>
      </c>
      <c r="I356">
        <f>IFERROR(INDEX(装备库!$A$2:$Y$1047,MATCH(ROW()-1,装备库!$AO$2:$AO$1046,0),COLUMN()),"")</f>
        <v>4415</v>
      </c>
      <c r="J356">
        <f>IFERROR(INDEX(装备库!$A$2:$Y$1047,MATCH(ROW()-1,装备库!$AO$2:$AO$1046,0),COLUMN()),"")</f>
        <v>0</v>
      </c>
      <c r="K356">
        <f>IFERROR(INDEX(装备库!$A$2:$Y$1047,MATCH(ROW()-1,装备库!$AO$2:$AO$1046,0),COLUMN()),"")</f>
        <v>3924</v>
      </c>
      <c r="L356">
        <f>IFERROR(INDEX(装备库!$A$2:$Y$1047,MATCH(ROW()-1,装备库!$AO$2:$AO$1046,0),COLUMN()),"")</f>
        <v>0</v>
      </c>
      <c r="M356">
        <f>IFERROR(INDEX(装备库!$A$2:$Y$1047,MATCH(ROW()-1,装备库!$AO$2:$AO$1046,0),COLUMN()),"")</f>
        <v>0</v>
      </c>
      <c r="N356">
        <f>IFERROR(INDEX(装备库!$A$2:$Y$1047,MATCH(ROW()-1,装备库!$AO$2:$AO$1046,0),COLUMN()),"")</f>
        <v>0</v>
      </c>
      <c r="O356">
        <f>IFERROR(INDEX(装备库!$A$2:$Y$1047,MATCH(ROW()-1,装备库!$AO$2:$AO$1046,0),COLUMN()),"")</f>
        <v>1</v>
      </c>
      <c r="P356">
        <f>IFERROR(INDEX(装备库!$A$2:$Y$1047,MATCH(ROW()-1,装备库!$AO$2:$AO$1046,0),COLUMN()),"")</f>
        <v>0</v>
      </c>
      <c r="Q356">
        <f>IFERROR(INDEX(装备库!$A$2:$Y$1047,MATCH(ROW()-1,装备库!$AO$2:$AO$1046,0),COLUMN()),"")</f>
        <v>1</v>
      </c>
      <c r="R356">
        <f>IFERROR(INDEX(装备库!$A$2:$Y$1047,MATCH(ROW()-1,装备库!$AO$2:$AO$1046,0),COLUMN()),"")</f>
        <v>0</v>
      </c>
      <c r="S356">
        <f>IFERROR(INDEX(装备库!$A$2:$Y$1047,MATCH(ROW()-1,装备库!$AO$2:$AO$1046,0),COLUMN()),"")</f>
        <v>0</v>
      </c>
      <c r="T356">
        <f>IFERROR(INDEX(装备库!$A$2:$Y$1047,MATCH(ROW()-1,装备库!$AO$2:$AO$1046,0),COLUMN()),"")</f>
        <v>0</v>
      </c>
      <c r="U356">
        <f>IFERROR(INDEX(装备库!$A$2:$Y$1047,MATCH(ROW()-1,装备库!$AO$2:$AO$1046,0),COLUMN()),"")</f>
        <v>0</v>
      </c>
      <c r="V356">
        <f>IFERROR(INDEX(装备库!$A$2:$Y$1047,MATCH(ROW()-1,装备库!$AO$2:$AO$1046,0),COLUMN()),"")</f>
        <v>0</v>
      </c>
      <c r="W356" t="str">
        <f>IFERROR(INDEX(装备库!$A$2:$Y$1047,MATCH(ROW()-1,装备库!$AO$2:$AO$1046,0),COLUMN()),"")</f>
        <v>破无</v>
      </c>
      <c r="X356">
        <f>IFERROR(INDEX(装备库!$A$2:$Y$1047,MATCH(ROW()-1,装备库!$AO$2:$AO$1046,0),COLUMN()),"")</f>
        <v>6</v>
      </c>
      <c r="Y356" t="str">
        <f>IFERROR(INDEX(装备库!$A$2:$Y$1047,MATCH(ROW()-1,装备库!$AO$2:$AO$1046,0),COLUMN()),"")</f>
        <v>生活技能</v>
      </c>
    </row>
    <row r="357" spans="1:25" x14ac:dyDescent="0.35">
      <c r="A357" t="str">
        <f>IFERROR(INDEX(装备库!$A$2:$Y$1047,MATCH(ROW()-1,装备库!$AO$2:$AO$1046,0),COLUMN()),"")</f>
        <v>项链</v>
      </c>
      <c r="B357" t="str">
        <f>IFERROR(INDEX(装备库!$A$2:$Y$1047,MATCH(ROW()-1,装备库!$AO$2:$AO$1046,0),COLUMN()),"")</f>
        <v>浅梦链</v>
      </c>
      <c r="C357">
        <f>IFERROR(INDEX(装备库!$A$2:$Y$1047,MATCH(ROW()-1,装备库!$AO$2:$AO$1046,0),COLUMN()),"")</f>
        <v>8000</v>
      </c>
      <c r="D357" t="str">
        <f>IFERROR(INDEX(装备库!$A$2:$Y$1047,MATCH(ROW()-1,装备库!$AO$2:$AO$1046,0),COLUMN()),"")</f>
        <v>浅梦链(8000会无)</v>
      </c>
      <c r="E357">
        <f>IFERROR(INDEX(装备库!$A$2:$Y$1047,MATCH(ROW()-1,装备库!$AO$2:$AO$1046,0),COLUMN()),"")</f>
        <v>279</v>
      </c>
      <c r="F357">
        <f>IFERROR(INDEX(装备库!$A$2:$Y$1047,MATCH(ROW()-1,装备库!$AO$2:$AO$1046,0),COLUMN()),"")</f>
        <v>453</v>
      </c>
      <c r="G357">
        <f>IFERROR(INDEX(装备库!$A$2:$Y$1047,MATCH(ROW()-1,装备库!$AO$2:$AO$1046,0),COLUMN()),"")</f>
        <v>1401</v>
      </c>
      <c r="H357">
        <f>IFERROR(INDEX(装备库!$A$2:$Y$1047,MATCH(ROW()-1,装备库!$AO$2:$AO$1046,0),COLUMN()),"")</f>
        <v>0</v>
      </c>
      <c r="I357">
        <f>IFERROR(INDEX(装备库!$A$2:$Y$1047,MATCH(ROW()-1,装备库!$AO$2:$AO$1046,0),COLUMN()),"")</f>
        <v>0</v>
      </c>
      <c r="J357">
        <f>IFERROR(INDEX(装备库!$A$2:$Y$1047,MATCH(ROW()-1,装备库!$AO$2:$AO$1046,0),COLUMN()),"")</f>
        <v>0</v>
      </c>
      <c r="K357">
        <f>IFERROR(INDEX(装备库!$A$2:$Y$1047,MATCH(ROW()-1,装备库!$AO$2:$AO$1046,0),COLUMN()),"")</f>
        <v>1246</v>
      </c>
      <c r="L357">
        <f>IFERROR(INDEX(装备库!$A$2:$Y$1047,MATCH(ROW()-1,装备库!$AO$2:$AO$1046,0),COLUMN()),"")</f>
        <v>0</v>
      </c>
      <c r="M357">
        <f>IFERROR(INDEX(装备库!$A$2:$Y$1047,MATCH(ROW()-1,装备库!$AO$2:$AO$1046,0),COLUMN()),"")</f>
        <v>0</v>
      </c>
      <c r="N357">
        <f>IFERROR(INDEX(装备库!$A$2:$Y$1047,MATCH(ROW()-1,装备库!$AO$2:$AO$1046,0),COLUMN()),"")</f>
        <v>0</v>
      </c>
      <c r="O357">
        <f>IFERROR(INDEX(装备库!$A$2:$Y$1047,MATCH(ROW()-1,装备库!$AO$2:$AO$1046,0),COLUMN()),"")</f>
        <v>0</v>
      </c>
      <c r="P357">
        <f>IFERROR(INDEX(装备库!$A$2:$Y$1047,MATCH(ROW()-1,装备库!$AO$2:$AO$1046,0),COLUMN()),"")</f>
        <v>0</v>
      </c>
      <c r="Q357">
        <f>IFERROR(INDEX(装备库!$A$2:$Y$1047,MATCH(ROW()-1,装备库!$AO$2:$AO$1046,0),COLUMN()),"")</f>
        <v>0</v>
      </c>
      <c r="R357">
        <f>IFERROR(INDEX(装备库!$A$2:$Y$1047,MATCH(ROW()-1,装备库!$AO$2:$AO$1046,0),COLUMN()),"")</f>
        <v>0</v>
      </c>
      <c r="S357">
        <f>IFERROR(INDEX(装备库!$A$2:$Y$1047,MATCH(ROW()-1,装备库!$AO$2:$AO$1046,0),COLUMN()),"")</f>
        <v>1</v>
      </c>
      <c r="T357">
        <f>IFERROR(INDEX(装备库!$A$2:$Y$1047,MATCH(ROW()-1,装备库!$AO$2:$AO$1046,0),COLUMN()),"")</f>
        <v>0</v>
      </c>
      <c r="U357">
        <f>IFERROR(INDEX(装备库!$A$2:$Y$1047,MATCH(ROW()-1,装备库!$AO$2:$AO$1046,0),COLUMN()),"")</f>
        <v>0</v>
      </c>
      <c r="V357">
        <f>IFERROR(INDEX(装备库!$A$2:$Y$1047,MATCH(ROW()-1,装备库!$AO$2:$AO$1046,0),COLUMN()),"")</f>
        <v>0</v>
      </c>
      <c r="W357" t="str">
        <f>IFERROR(INDEX(装备库!$A$2:$Y$1047,MATCH(ROW()-1,装备库!$AO$2:$AO$1046,0),COLUMN()),"")</f>
        <v>会无</v>
      </c>
      <c r="X357">
        <f>IFERROR(INDEX(装备库!$A$2:$Y$1047,MATCH(ROW()-1,装备库!$AO$2:$AO$1046,0),COLUMN()),"")</f>
        <v>6</v>
      </c>
      <c r="Y357" t="str">
        <f>IFERROR(INDEX(装备库!$A$2:$Y$1047,MATCH(ROW()-1,装备库!$AO$2:$AO$1046,0),COLUMN()),"")</f>
        <v>副本</v>
      </c>
    </row>
    <row r="358" spans="1:25" x14ac:dyDescent="0.35">
      <c r="A358" t="str">
        <f>IFERROR(INDEX(装备库!$A$2:$Y$1047,MATCH(ROW()-1,装备库!$AO$2:$AO$1046,0),COLUMN()),"")</f>
        <v>项链</v>
      </c>
      <c r="B358" t="str">
        <f>IFERROR(INDEX(装备库!$A$2:$Y$1047,MATCH(ROW()-1,装备库!$AO$2:$AO$1046,0),COLUMN()),"")</f>
        <v>崇月链</v>
      </c>
      <c r="C358">
        <f>IFERROR(INDEX(装备库!$A$2:$Y$1047,MATCH(ROW()-1,装备库!$AO$2:$AO$1046,0),COLUMN()),"")</f>
        <v>8100</v>
      </c>
      <c r="D358" t="str">
        <f>IFERROR(INDEX(装备库!$A$2:$Y$1047,MATCH(ROW()-1,装备库!$AO$2:$AO$1046,0),COLUMN()),"")</f>
        <v>崇月链(8100力道纯会)</v>
      </c>
      <c r="E358">
        <f>IFERROR(INDEX(装备库!$A$2:$Y$1047,MATCH(ROW()-1,装备库!$AO$2:$AO$1046,0),COLUMN()),"")</f>
        <v>354</v>
      </c>
      <c r="F358">
        <f>IFERROR(INDEX(装备库!$A$2:$Y$1047,MATCH(ROW()-1,装备库!$AO$2:$AO$1046,0),COLUMN()),"")</f>
        <v>706</v>
      </c>
      <c r="G358">
        <f>IFERROR(INDEX(装备库!$A$2:$Y$1047,MATCH(ROW()-1,装备库!$AO$2:$AO$1046,0),COLUMN()),"")</f>
        <v>1813</v>
      </c>
      <c r="H358">
        <f>IFERROR(INDEX(装备库!$A$2:$Y$1047,MATCH(ROW()-1,装备库!$AO$2:$AO$1046,0),COLUMN()),"")</f>
        <v>0</v>
      </c>
      <c r="I358">
        <f>IFERROR(INDEX(装备库!$A$2:$Y$1047,MATCH(ROW()-1,装备库!$AO$2:$AO$1046,0),COLUMN()),"")</f>
        <v>0</v>
      </c>
      <c r="J358">
        <f>IFERROR(INDEX(装备库!$A$2:$Y$1047,MATCH(ROW()-1,装备库!$AO$2:$AO$1046,0),COLUMN()),"")</f>
        <v>0</v>
      </c>
      <c r="K358">
        <f>IFERROR(INDEX(装备库!$A$2:$Y$1047,MATCH(ROW()-1,装备库!$AO$2:$AO$1046,0),COLUMN()),"")</f>
        <v>0</v>
      </c>
      <c r="L358">
        <f>IFERROR(INDEX(装备库!$A$2:$Y$1047,MATCH(ROW()-1,装备库!$AO$2:$AO$1046,0),COLUMN()),"")</f>
        <v>0</v>
      </c>
      <c r="M358">
        <f>IFERROR(INDEX(装备库!$A$2:$Y$1047,MATCH(ROW()-1,装备库!$AO$2:$AO$1046,0),COLUMN()),"")</f>
        <v>0</v>
      </c>
      <c r="N358">
        <f>IFERROR(INDEX(装备库!$A$2:$Y$1047,MATCH(ROW()-1,装备库!$AO$2:$AO$1046,0),COLUMN()),"")</f>
        <v>0</v>
      </c>
      <c r="O358">
        <f>IFERROR(INDEX(装备库!$A$2:$Y$1047,MATCH(ROW()-1,装备库!$AO$2:$AO$1046,0),COLUMN()),"")</f>
        <v>0</v>
      </c>
      <c r="P358">
        <f>IFERROR(INDEX(装备库!$A$2:$Y$1047,MATCH(ROW()-1,装备库!$AO$2:$AO$1046,0),COLUMN()),"")</f>
        <v>0</v>
      </c>
      <c r="Q358">
        <f>IFERROR(INDEX(装备库!$A$2:$Y$1047,MATCH(ROW()-1,装备库!$AO$2:$AO$1046,0),COLUMN()),"")</f>
        <v>0</v>
      </c>
      <c r="R358">
        <f>IFERROR(INDEX(装备库!$A$2:$Y$1047,MATCH(ROW()-1,装备库!$AO$2:$AO$1046,0),COLUMN()),"")</f>
        <v>0</v>
      </c>
      <c r="S358">
        <f>IFERROR(INDEX(装备库!$A$2:$Y$1047,MATCH(ROW()-1,装备库!$AO$2:$AO$1046,0),COLUMN()),"")</f>
        <v>0</v>
      </c>
      <c r="T358">
        <f>IFERROR(INDEX(装备库!$A$2:$Y$1047,MATCH(ROW()-1,装备库!$AO$2:$AO$1046,0),COLUMN()),"")</f>
        <v>0</v>
      </c>
      <c r="U358">
        <f>IFERROR(INDEX(装备库!$A$2:$Y$1047,MATCH(ROW()-1,装备库!$AO$2:$AO$1046,0),COLUMN()),"")</f>
        <v>0</v>
      </c>
      <c r="V358">
        <f>IFERROR(INDEX(装备库!$A$2:$Y$1047,MATCH(ROW()-1,装备库!$AO$2:$AO$1046,0),COLUMN()),"")</f>
        <v>0</v>
      </c>
      <c r="W358" t="str">
        <f>IFERROR(INDEX(装备库!$A$2:$Y$1047,MATCH(ROW()-1,装备库!$AO$2:$AO$1046,0),COLUMN()),"")</f>
        <v>力道纯会</v>
      </c>
      <c r="X358">
        <f>IFERROR(INDEX(装备库!$A$2:$Y$1047,MATCH(ROW()-1,装备库!$AO$2:$AO$1046,0),COLUMN()),"")</f>
        <v>6</v>
      </c>
      <c r="Y358" t="str">
        <f>IFERROR(INDEX(装备库!$A$2:$Y$1047,MATCH(ROW()-1,装备库!$AO$2:$AO$1046,0),COLUMN()),"")</f>
        <v>任务</v>
      </c>
    </row>
    <row r="359" spans="1:25" x14ac:dyDescent="0.35">
      <c r="A359" t="str">
        <f>IFERROR(INDEX(装备库!$A$2:$Y$1047,MATCH(ROW()-1,装备库!$AO$2:$AO$1046,0),COLUMN()),"")</f>
        <v>项链</v>
      </c>
      <c r="B359" t="str">
        <f>IFERROR(INDEX(装备库!$A$2:$Y$1047,MATCH(ROW()-1,装备库!$AO$2:$AO$1046,0),COLUMN()),"")</f>
        <v>画楼链</v>
      </c>
      <c r="C359">
        <f>IFERROR(INDEX(装备库!$A$2:$Y$1047,MATCH(ROW()-1,装备库!$AO$2:$AO$1046,0),COLUMN()),"")</f>
        <v>8100</v>
      </c>
      <c r="D359" t="str">
        <f>IFERROR(INDEX(装备库!$A$2:$Y$1047,MATCH(ROW()-1,装备库!$AO$2:$AO$1046,0),COLUMN()),"")</f>
        <v>画楼链(8100会无)</v>
      </c>
      <c r="E359">
        <f>IFERROR(INDEX(装备库!$A$2:$Y$1047,MATCH(ROW()-1,装备库!$AO$2:$AO$1046,0),COLUMN()),"")</f>
        <v>283</v>
      </c>
      <c r="F359">
        <f>IFERROR(INDEX(装备库!$A$2:$Y$1047,MATCH(ROW()-1,装备库!$AO$2:$AO$1046,0),COLUMN()),"")</f>
        <v>459</v>
      </c>
      <c r="G359">
        <f>IFERROR(INDEX(装备库!$A$2:$Y$1047,MATCH(ROW()-1,装备库!$AO$2:$AO$1046,0),COLUMN()),"")</f>
        <v>1419</v>
      </c>
      <c r="H359">
        <f>IFERROR(INDEX(装备库!$A$2:$Y$1047,MATCH(ROW()-1,装备库!$AO$2:$AO$1046,0),COLUMN()),"")</f>
        <v>0</v>
      </c>
      <c r="I359">
        <f>IFERROR(INDEX(装备库!$A$2:$Y$1047,MATCH(ROW()-1,装备库!$AO$2:$AO$1046,0),COLUMN()),"")</f>
        <v>0</v>
      </c>
      <c r="J359">
        <f>IFERROR(INDEX(装备库!$A$2:$Y$1047,MATCH(ROW()-1,装备库!$AO$2:$AO$1046,0),COLUMN()),"")</f>
        <v>0</v>
      </c>
      <c r="K359">
        <f>IFERROR(INDEX(装备库!$A$2:$Y$1047,MATCH(ROW()-1,装备库!$AO$2:$AO$1046,0),COLUMN()),"")</f>
        <v>1261</v>
      </c>
      <c r="L359">
        <f>IFERROR(INDEX(装备库!$A$2:$Y$1047,MATCH(ROW()-1,装备库!$AO$2:$AO$1046,0),COLUMN()),"")</f>
        <v>0</v>
      </c>
      <c r="M359">
        <f>IFERROR(INDEX(装备库!$A$2:$Y$1047,MATCH(ROW()-1,装备库!$AO$2:$AO$1046,0),COLUMN()),"")</f>
        <v>0</v>
      </c>
      <c r="N359">
        <f>IFERROR(INDEX(装备库!$A$2:$Y$1047,MATCH(ROW()-1,装备库!$AO$2:$AO$1046,0),COLUMN()),"")</f>
        <v>0</v>
      </c>
      <c r="O359">
        <f>IFERROR(INDEX(装备库!$A$2:$Y$1047,MATCH(ROW()-1,装备库!$AO$2:$AO$1046,0),COLUMN()),"")</f>
        <v>0</v>
      </c>
      <c r="P359">
        <f>IFERROR(INDEX(装备库!$A$2:$Y$1047,MATCH(ROW()-1,装备库!$AO$2:$AO$1046,0),COLUMN()),"")</f>
        <v>0</v>
      </c>
      <c r="Q359">
        <f>IFERROR(INDEX(装备库!$A$2:$Y$1047,MATCH(ROW()-1,装备库!$AO$2:$AO$1046,0),COLUMN()),"")</f>
        <v>0</v>
      </c>
      <c r="R359">
        <f>IFERROR(INDEX(装备库!$A$2:$Y$1047,MATCH(ROW()-1,装备库!$AO$2:$AO$1046,0),COLUMN()),"")</f>
        <v>0</v>
      </c>
      <c r="S359">
        <f>IFERROR(INDEX(装备库!$A$2:$Y$1047,MATCH(ROW()-1,装备库!$AO$2:$AO$1046,0),COLUMN()),"")</f>
        <v>1</v>
      </c>
      <c r="T359">
        <f>IFERROR(INDEX(装备库!$A$2:$Y$1047,MATCH(ROW()-1,装备库!$AO$2:$AO$1046,0),COLUMN()),"")</f>
        <v>0</v>
      </c>
      <c r="U359">
        <f>IFERROR(INDEX(装备库!$A$2:$Y$1047,MATCH(ROW()-1,装备库!$AO$2:$AO$1046,0),COLUMN()),"")</f>
        <v>0</v>
      </c>
      <c r="V359">
        <f>IFERROR(INDEX(装备库!$A$2:$Y$1047,MATCH(ROW()-1,装备库!$AO$2:$AO$1046,0),COLUMN()),"")</f>
        <v>0</v>
      </c>
      <c r="W359" t="str">
        <f>IFERROR(INDEX(装备库!$A$2:$Y$1047,MATCH(ROW()-1,装备库!$AO$2:$AO$1046,0),COLUMN()),"")</f>
        <v>会无</v>
      </c>
      <c r="X359">
        <f>IFERROR(INDEX(装备库!$A$2:$Y$1047,MATCH(ROW()-1,装备库!$AO$2:$AO$1046,0),COLUMN()),"")</f>
        <v>6</v>
      </c>
      <c r="Y359" t="str">
        <f>IFERROR(INDEX(装备库!$A$2:$Y$1047,MATCH(ROW()-1,装备库!$AO$2:$AO$1046,0),COLUMN()),"")</f>
        <v>任务</v>
      </c>
    </row>
    <row r="360" spans="1:25" x14ac:dyDescent="0.35">
      <c r="A360" t="str">
        <f>IFERROR(INDEX(装备库!$A$2:$Y$1047,MATCH(ROW()-1,装备库!$AO$2:$AO$1046,0),COLUMN()),"")</f>
        <v>项链</v>
      </c>
      <c r="B360" t="str">
        <f>IFERROR(INDEX(装备库!$A$2:$Y$1047,MATCH(ROW()-1,装备库!$AO$2:$AO$1046,0),COLUMN()),"")</f>
        <v>临邦链</v>
      </c>
      <c r="C360">
        <f>IFERROR(INDEX(装备库!$A$2:$Y$1047,MATCH(ROW()-1,装备库!$AO$2:$AO$1046,0),COLUMN()),"")</f>
        <v>8150</v>
      </c>
      <c r="D360" t="str">
        <f>IFERROR(INDEX(装备库!$A$2:$Y$1047,MATCH(ROW()-1,装备库!$AO$2:$AO$1046,0),COLUMN()),"")</f>
        <v>临邦链(8150招破)</v>
      </c>
      <c r="E360">
        <f>IFERROR(INDEX(装备库!$A$2:$Y$1047,MATCH(ROW()-1,装备库!$AO$2:$AO$1046,0),COLUMN()),"")</f>
        <v>285</v>
      </c>
      <c r="F360">
        <f>IFERROR(INDEX(装备库!$A$2:$Y$1047,MATCH(ROW()-1,装备库!$AO$2:$AO$1046,0),COLUMN()),"")</f>
        <v>462</v>
      </c>
      <c r="G360">
        <f>IFERROR(INDEX(装备库!$A$2:$Y$1047,MATCH(ROW()-1,装备库!$AO$2:$AO$1046,0),COLUMN()),"")</f>
        <v>0</v>
      </c>
      <c r="H360">
        <f>IFERROR(INDEX(装备库!$A$2:$Y$1047,MATCH(ROW()-1,装备库!$AO$2:$AO$1046,0),COLUMN()),"")</f>
        <v>0</v>
      </c>
      <c r="I360">
        <f>IFERROR(INDEX(装备库!$A$2:$Y$1047,MATCH(ROW()-1,装备库!$AO$2:$AO$1046,0),COLUMN()),"")</f>
        <v>1428</v>
      </c>
      <c r="J360">
        <f>IFERROR(INDEX(装备库!$A$2:$Y$1047,MATCH(ROW()-1,装备库!$AO$2:$AO$1046,0),COLUMN()),"")</f>
        <v>1269</v>
      </c>
      <c r="K360">
        <f>IFERROR(INDEX(装备库!$A$2:$Y$1047,MATCH(ROW()-1,装备库!$AO$2:$AO$1046,0),COLUMN()),"")</f>
        <v>0</v>
      </c>
      <c r="L360">
        <f>IFERROR(INDEX(装备库!$A$2:$Y$1047,MATCH(ROW()-1,装备库!$AO$2:$AO$1046,0),COLUMN()),"")</f>
        <v>0</v>
      </c>
      <c r="M360">
        <f>IFERROR(INDEX(装备库!$A$2:$Y$1047,MATCH(ROW()-1,装备库!$AO$2:$AO$1046,0),COLUMN()),"")</f>
        <v>0</v>
      </c>
      <c r="N360">
        <f>IFERROR(INDEX(装备库!$A$2:$Y$1047,MATCH(ROW()-1,装备库!$AO$2:$AO$1046,0),COLUMN()),"")</f>
        <v>0</v>
      </c>
      <c r="O360">
        <f>IFERROR(INDEX(装备库!$A$2:$Y$1047,MATCH(ROW()-1,装备库!$AO$2:$AO$1046,0),COLUMN()),"")</f>
        <v>0</v>
      </c>
      <c r="P360">
        <f>IFERROR(INDEX(装备库!$A$2:$Y$1047,MATCH(ROW()-1,装备库!$AO$2:$AO$1046,0),COLUMN()),"")</f>
        <v>1</v>
      </c>
      <c r="Q360">
        <f>IFERROR(INDEX(装备库!$A$2:$Y$1047,MATCH(ROW()-1,装备库!$AO$2:$AO$1046,0),COLUMN()),"")</f>
        <v>0</v>
      </c>
      <c r="R360">
        <f>IFERROR(INDEX(装备库!$A$2:$Y$1047,MATCH(ROW()-1,装备库!$AO$2:$AO$1046,0),COLUMN()),"")</f>
        <v>0</v>
      </c>
      <c r="S360">
        <f>IFERROR(INDEX(装备库!$A$2:$Y$1047,MATCH(ROW()-1,装备库!$AO$2:$AO$1046,0),COLUMN()),"")</f>
        <v>0</v>
      </c>
      <c r="T360">
        <f>IFERROR(INDEX(装备库!$A$2:$Y$1047,MATCH(ROW()-1,装备库!$AO$2:$AO$1046,0),COLUMN()),"")</f>
        <v>0</v>
      </c>
      <c r="U360">
        <f>IFERROR(INDEX(装备库!$A$2:$Y$1047,MATCH(ROW()-1,装备库!$AO$2:$AO$1046,0),COLUMN()),"")</f>
        <v>0</v>
      </c>
      <c r="V360">
        <f>IFERROR(INDEX(装备库!$A$2:$Y$1047,MATCH(ROW()-1,装备库!$AO$2:$AO$1046,0),COLUMN()),"")</f>
        <v>0</v>
      </c>
      <c r="W360" t="str">
        <f>IFERROR(INDEX(装备库!$A$2:$Y$1047,MATCH(ROW()-1,装备库!$AO$2:$AO$1046,0),COLUMN()),"")</f>
        <v>招破</v>
      </c>
      <c r="X360">
        <f>IFERROR(INDEX(装备库!$A$2:$Y$1047,MATCH(ROW()-1,装备库!$AO$2:$AO$1046,0),COLUMN()),"")</f>
        <v>6</v>
      </c>
      <c r="Y360" t="str">
        <f>IFERROR(INDEX(装备库!$A$2:$Y$1047,MATCH(ROW()-1,装备库!$AO$2:$AO$1046,0),COLUMN()),"")</f>
        <v>声望</v>
      </c>
    </row>
    <row r="361" spans="1:25" x14ac:dyDescent="0.35">
      <c r="A361" t="str">
        <f>IFERROR(INDEX(装备库!$A$2:$Y$1047,MATCH(ROW()-1,装备库!$AO$2:$AO$1046,0),COLUMN()),"")</f>
        <v>项链</v>
      </c>
      <c r="B361" t="str">
        <f>IFERROR(INDEX(装备库!$A$2:$Y$1047,MATCH(ROW()-1,装备库!$AO$2:$AO$1046,0),COLUMN()),"")</f>
        <v>少雪链</v>
      </c>
      <c r="C361">
        <f>IFERROR(INDEX(装备库!$A$2:$Y$1047,MATCH(ROW()-1,装备库!$AO$2:$AO$1046,0),COLUMN()),"")</f>
        <v>8600</v>
      </c>
      <c r="D361" t="str">
        <f>IFERROR(INDEX(装备库!$A$2:$Y$1047,MATCH(ROW()-1,装备库!$AO$2:$AO$1046,0),COLUMN()),"")</f>
        <v>少雪链(8600速招)</v>
      </c>
      <c r="E361">
        <f>IFERROR(INDEX(装备库!$A$2:$Y$1047,MATCH(ROW()-1,装备库!$AO$2:$AO$1046,0),COLUMN()),"")</f>
        <v>300</v>
      </c>
      <c r="F361">
        <f>IFERROR(INDEX(装备库!$A$2:$Y$1047,MATCH(ROW()-1,装备库!$AO$2:$AO$1046,0),COLUMN()),"")</f>
        <v>487</v>
      </c>
      <c r="G361">
        <f>IFERROR(INDEX(装备库!$A$2:$Y$1047,MATCH(ROW()-1,装备库!$AO$2:$AO$1046,0),COLUMN()),"")</f>
        <v>0</v>
      </c>
      <c r="H361">
        <f>IFERROR(INDEX(装备库!$A$2:$Y$1047,MATCH(ROW()-1,装备库!$AO$2:$AO$1046,0),COLUMN()),"")</f>
        <v>0</v>
      </c>
      <c r="I361">
        <f>IFERROR(INDEX(装备库!$A$2:$Y$1047,MATCH(ROW()-1,装备库!$AO$2:$AO$1046,0),COLUMN()),"")</f>
        <v>0</v>
      </c>
      <c r="J361">
        <f>IFERROR(INDEX(装备库!$A$2:$Y$1047,MATCH(ROW()-1,装备库!$AO$2:$AO$1046,0),COLUMN()),"")</f>
        <v>1339</v>
      </c>
      <c r="K361">
        <f>IFERROR(INDEX(装备库!$A$2:$Y$1047,MATCH(ROW()-1,装备库!$AO$2:$AO$1046,0),COLUMN()),"")</f>
        <v>0</v>
      </c>
      <c r="L361">
        <f>IFERROR(INDEX(装备库!$A$2:$Y$1047,MATCH(ROW()-1,装备库!$AO$2:$AO$1046,0),COLUMN()),"")</f>
        <v>1507</v>
      </c>
      <c r="M361">
        <f>IFERROR(INDEX(装备库!$A$2:$Y$1047,MATCH(ROW()-1,装备库!$AO$2:$AO$1046,0),COLUMN()),"")</f>
        <v>0</v>
      </c>
      <c r="N361">
        <f>IFERROR(INDEX(装备库!$A$2:$Y$1047,MATCH(ROW()-1,装备库!$AO$2:$AO$1046,0),COLUMN()),"")</f>
        <v>0</v>
      </c>
      <c r="O361">
        <f>IFERROR(INDEX(装备库!$A$2:$Y$1047,MATCH(ROW()-1,装备库!$AO$2:$AO$1046,0),COLUMN()),"")</f>
        <v>0</v>
      </c>
      <c r="P361">
        <f>IFERROR(INDEX(装备库!$A$2:$Y$1047,MATCH(ROW()-1,装备库!$AO$2:$AO$1046,0),COLUMN()),"")</f>
        <v>1</v>
      </c>
      <c r="Q361">
        <f>IFERROR(INDEX(装备库!$A$2:$Y$1047,MATCH(ROW()-1,装备库!$AO$2:$AO$1046,0),COLUMN()),"")</f>
        <v>0</v>
      </c>
      <c r="R361">
        <f>IFERROR(INDEX(装备库!$A$2:$Y$1047,MATCH(ROW()-1,装备库!$AO$2:$AO$1046,0),COLUMN()),"")</f>
        <v>0</v>
      </c>
      <c r="S361">
        <f>IFERROR(INDEX(装备库!$A$2:$Y$1047,MATCH(ROW()-1,装备库!$AO$2:$AO$1046,0),COLUMN()),"")</f>
        <v>0</v>
      </c>
      <c r="T361">
        <f>IFERROR(INDEX(装备库!$A$2:$Y$1047,MATCH(ROW()-1,装备库!$AO$2:$AO$1046,0),COLUMN()),"")</f>
        <v>0</v>
      </c>
      <c r="U361">
        <f>IFERROR(INDEX(装备库!$A$2:$Y$1047,MATCH(ROW()-1,装备库!$AO$2:$AO$1046,0),COLUMN()),"")</f>
        <v>0</v>
      </c>
      <c r="V361">
        <f>IFERROR(INDEX(装备库!$A$2:$Y$1047,MATCH(ROW()-1,装备库!$AO$2:$AO$1046,0),COLUMN()),"")</f>
        <v>0</v>
      </c>
      <c r="W361" t="str">
        <f>IFERROR(INDEX(装备库!$A$2:$Y$1047,MATCH(ROW()-1,装备库!$AO$2:$AO$1046,0),COLUMN()),"")</f>
        <v>速招</v>
      </c>
      <c r="X361">
        <f>IFERROR(INDEX(装备库!$A$2:$Y$1047,MATCH(ROW()-1,装备库!$AO$2:$AO$1046,0),COLUMN()),"")</f>
        <v>6</v>
      </c>
      <c r="Y361" t="str">
        <f>IFERROR(INDEX(装备库!$A$2:$Y$1047,MATCH(ROW()-1,装备库!$AO$2:$AO$1046,0),COLUMN()),"")</f>
        <v>精英怪</v>
      </c>
    </row>
    <row r="362" spans="1:25" x14ac:dyDescent="0.35">
      <c r="A362" t="str">
        <f>IFERROR(INDEX(装备库!$A$2:$Y$1047,MATCH(ROW()-1,装备库!$AO$2:$AO$1046,0),COLUMN()),"")</f>
        <v>项链</v>
      </c>
      <c r="B362" t="str">
        <f>IFERROR(INDEX(装备库!$A$2:$Y$1047,MATCH(ROW()-1,装备库!$AO$2:$AO$1046,0),COLUMN()),"")</f>
        <v>临邦链</v>
      </c>
      <c r="C362">
        <f>IFERROR(INDEX(装备库!$A$2:$Y$1047,MATCH(ROW()-1,装备库!$AO$2:$AO$1046,0),COLUMN()),"")</f>
        <v>8800</v>
      </c>
      <c r="D362" t="str">
        <f>IFERROR(INDEX(装备库!$A$2:$Y$1047,MATCH(ROW()-1,装备库!$AO$2:$AO$1046,0),COLUMN()),"")</f>
        <v>临邦链(8800招破)</v>
      </c>
      <c r="E362">
        <f>IFERROR(INDEX(装备库!$A$2:$Y$1047,MATCH(ROW()-1,装备库!$AO$2:$AO$1046,0),COLUMN()),"")</f>
        <v>307</v>
      </c>
      <c r="F362">
        <f>IFERROR(INDEX(装备库!$A$2:$Y$1047,MATCH(ROW()-1,装备库!$AO$2:$AO$1046,0),COLUMN()),"")</f>
        <v>498</v>
      </c>
      <c r="G362">
        <f>IFERROR(INDEX(装备库!$A$2:$Y$1047,MATCH(ROW()-1,装备库!$AO$2:$AO$1046,0),COLUMN()),"")</f>
        <v>0</v>
      </c>
      <c r="H362">
        <f>IFERROR(INDEX(装备库!$A$2:$Y$1047,MATCH(ROW()-1,装备库!$AO$2:$AO$1046,0),COLUMN()),"")</f>
        <v>0</v>
      </c>
      <c r="I362">
        <f>IFERROR(INDEX(装备库!$A$2:$Y$1047,MATCH(ROW()-1,装备库!$AO$2:$AO$1046,0),COLUMN()),"")</f>
        <v>1542</v>
      </c>
      <c r="J362">
        <f>IFERROR(INDEX(装备库!$A$2:$Y$1047,MATCH(ROW()-1,装备库!$AO$2:$AO$1046,0),COLUMN()),"")</f>
        <v>1370</v>
      </c>
      <c r="K362">
        <f>IFERROR(INDEX(装备库!$A$2:$Y$1047,MATCH(ROW()-1,装备库!$AO$2:$AO$1046,0),COLUMN()),"")</f>
        <v>0</v>
      </c>
      <c r="L362">
        <f>IFERROR(INDEX(装备库!$A$2:$Y$1047,MATCH(ROW()-1,装备库!$AO$2:$AO$1046,0),COLUMN()),"")</f>
        <v>0</v>
      </c>
      <c r="M362">
        <f>IFERROR(INDEX(装备库!$A$2:$Y$1047,MATCH(ROW()-1,装备库!$AO$2:$AO$1046,0),COLUMN()),"")</f>
        <v>0</v>
      </c>
      <c r="N362">
        <f>IFERROR(INDEX(装备库!$A$2:$Y$1047,MATCH(ROW()-1,装备库!$AO$2:$AO$1046,0),COLUMN()),"")</f>
        <v>0</v>
      </c>
      <c r="O362">
        <f>IFERROR(INDEX(装备库!$A$2:$Y$1047,MATCH(ROW()-1,装备库!$AO$2:$AO$1046,0),COLUMN()),"")</f>
        <v>0</v>
      </c>
      <c r="P362">
        <f>IFERROR(INDEX(装备库!$A$2:$Y$1047,MATCH(ROW()-1,装备库!$AO$2:$AO$1046,0),COLUMN()),"")</f>
        <v>1</v>
      </c>
      <c r="Q362">
        <f>IFERROR(INDEX(装备库!$A$2:$Y$1047,MATCH(ROW()-1,装备库!$AO$2:$AO$1046,0),COLUMN()),"")</f>
        <v>0</v>
      </c>
      <c r="R362">
        <f>IFERROR(INDEX(装备库!$A$2:$Y$1047,MATCH(ROW()-1,装备库!$AO$2:$AO$1046,0),COLUMN()),"")</f>
        <v>0</v>
      </c>
      <c r="S362">
        <f>IFERROR(INDEX(装备库!$A$2:$Y$1047,MATCH(ROW()-1,装备库!$AO$2:$AO$1046,0),COLUMN()),"")</f>
        <v>0</v>
      </c>
      <c r="T362">
        <f>IFERROR(INDEX(装备库!$A$2:$Y$1047,MATCH(ROW()-1,装备库!$AO$2:$AO$1046,0),COLUMN()),"")</f>
        <v>0</v>
      </c>
      <c r="U362">
        <f>IFERROR(INDEX(装备库!$A$2:$Y$1047,MATCH(ROW()-1,装备库!$AO$2:$AO$1046,0),COLUMN()),"")</f>
        <v>0</v>
      </c>
      <c r="V362">
        <f>IFERROR(INDEX(装备库!$A$2:$Y$1047,MATCH(ROW()-1,装备库!$AO$2:$AO$1046,0),COLUMN()),"")</f>
        <v>0</v>
      </c>
      <c r="W362" t="str">
        <f>IFERROR(INDEX(装备库!$A$2:$Y$1047,MATCH(ROW()-1,装备库!$AO$2:$AO$1046,0),COLUMN()),"")</f>
        <v>招破</v>
      </c>
      <c r="X362">
        <f>IFERROR(INDEX(装备库!$A$2:$Y$1047,MATCH(ROW()-1,装备库!$AO$2:$AO$1046,0),COLUMN()),"")</f>
        <v>6</v>
      </c>
      <c r="Y362" t="str">
        <f>IFERROR(INDEX(装备库!$A$2:$Y$1047,MATCH(ROW()-1,装备库!$AO$2:$AO$1046,0),COLUMN()),"")</f>
        <v>声望</v>
      </c>
    </row>
    <row r="363" spans="1:25" x14ac:dyDescent="0.35">
      <c r="A363" t="str">
        <f>IFERROR(INDEX(装备库!$A$2:$Y$1047,MATCH(ROW()-1,装备库!$AO$2:$AO$1046,0),COLUMN()),"")</f>
        <v>项链</v>
      </c>
      <c r="B363" t="str">
        <f>IFERROR(INDEX(装备库!$A$2:$Y$1047,MATCH(ROW()-1,装备库!$AO$2:$AO$1046,0),COLUMN()),"")</f>
        <v>画楼链</v>
      </c>
      <c r="C363">
        <f>IFERROR(INDEX(装备库!$A$2:$Y$1047,MATCH(ROW()-1,装备库!$AO$2:$AO$1046,0),COLUMN()),"")</f>
        <v>8800</v>
      </c>
      <c r="D363" t="str">
        <f>IFERROR(INDEX(装备库!$A$2:$Y$1047,MATCH(ROW()-1,装备库!$AO$2:$AO$1046,0),COLUMN()),"")</f>
        <v>画楼链(8800会无)</v>
      </c>
      <c r="E363">
        <f>IFERROR(INDEX(装备库!$A$2:$Y$1047,MATCH(ROW()-1,装备库!$AO$2:$AO$1046,0),COLUMN()),"")</f>
        <v>307</v>
      </c>
      <c r="F363">
        <f>IFERROR(INDEX(装备库!$A$2:$Y$1047,MATCH(ROW()-1,装备库!$AO$2:$AO$1046,0),COLUMN()),"")</f>
        <v>498</v>
      </c>
      <c r="G363">
        <f>IFERROR(INDEX(装备库!$A$2:$Y$1047,MATCH(ROW()-1,装备库!$AO$2:$AO$1046,0),COLUMN()),"")</f>
        <v>1542</v>
      </c>
      <c r="H363">
        <f>IFERROR(INDEX(装备库!$A$2:$Y$1047,MATCH(ROW()-1,装备库!$AO$2:$AO$1046,0),COLUMN()),"")</f>
        <v>0</v>
      </c>
      <c r="I363">
        <f>IFERROR(INDEX(装备库!$A$2:$Y$1047,MATCH(ROW()-1,装备库!$AO$2:$AO$1046,0),COLUMN()),"")</f>
        <v>0</v>
      </c>
      <c r="J363">
        <f>IFERROR(INDEX(装备库!$A$2:$Y$1047,MATCH(ROW()-1,装备库!$AO$2:$AO$1046,0),COLUMN()),"")</f>
        <v>0</v>
      </c>
      <c r="K363">
        <f>IFERROR(INDEX(装备库!$A$2:$Y$1047,MATCH(ROW()-1,装备库!$AO$2:$AO$1046,0),COLUMN()),"")</f>
        <v>1370</v>
      </c>
      <c r="L363">
        <f>IFERROR(INDEX(装备库!$A$2:$Y$1047,MATCH(ROW()-1,装备库!$AO$2:$AO$1046,0),COLUMN()),"")</f>
        <v>0</v>
      </c>
      <c r="M363">
        <f>IFERROR(INDEX(装备库!$A$2:$Y$1047,MATCH(ROW()-1,装备库!$AO$2:$AO$1046,0),COLUMN()),"")</f>
        <v>0</v>
      </c>
      <c r="N363">
        <f>IFERROR(INDEX(装备库!$A$2:$Y$1047,MATCH(ROW()-1,装备库!$AO$2:$AO$1046,0),COLUMN()),"")</f>
        <v>0</v>
      </c>
      <c r="O363">
        <f>IFERROR(INDEX(装备库!$A$2:$Y$1047,MATCH(ROW()-1,装备库!$AO$2:$AO$1046,0),COLUMN()),"")</f>
        <v>0</v>
      </c>
      <c r="P363">
        <f>IFERROR(INDEX(装备库!$A$2:$Y$1047,MATCH(ROW()-1,装备库!$AO$2:$AO$1046,0),COLUMN()),"")</f>
        <v>0</v>
      </c>
      <c r="Q363">
        <f>IFERROR(INDEX(装备库!$A$2:$Y$1047,MATCH(ROW()-1,装备库!$AO$2:$AO$1046,0),COLUMN()),"")</f>
        <v>0</v>
      </c>
      <c r="R363">
        <f>IFERROR(INDEX(装备库!$A$2:$Y$1047,MATCH(ROW()-1,装备库!$AO$2:$AO$1046,0),COLUMN()),"")</f>
        <v>0</v>
      </c>
      <c r="S363">
        <f>IFERROR(INDEX(装备库!$A$2:$Y$1047,MATCH(ROW()-1,装备库!$AO$2:$AO$1046,0),COLUMN()),"")</f>
        <v>1</v>
      </c>
      <c r="T363">
        <f>IFERROR(INDEX(装备库!$A$2:$Y$1047,MATCH(ROW()-1,装备库!$AO$2:$AO$1046,0),COLUMN()),"")</f>
        <v>0</v>
      </c>
      <c r="U363">
        <f>IFERROR(INDEX(装备库!$A$2:$Y$1047,MATCH(ROW()-1,装备库!$AO$2:$AO$1046,0),COLUMN()),"")</f>
        <v>0</v>
      </c>
      <c r="V363">
        <f>IFERROR(INDEX(装备库!$A$2:$Y$1047,MATCH(ROW()-1,装备库!$AO$2:$AO$1046,0),COLUMN()),"")</f>
        <v>0</v>
      </c>
      <c r="W363" t="str">
        <f>IFERROR(INDEX(装备库!$A$2:$Y$1047,MATCH(ROW()-1,装备库!$AO$2:$AO$1046,0),COLUMN()),"")</f>
        <v>会无</v>
      </c>
      <c r="X363">
        <f>IFERROR(INDEX(装备库!$A$2:$Y$1047,MATCH(ROW()-1,装备库!$AO$2:$AO$1046,0),COLUMN()),"")</f>
        <v>6</v>
      </c>
      <c r="Y363" t="str">
        <f>IFERROR(INDEX(装备库!$A$2:$Y$1047,MATCH(ROW()-1,装备库!$AO$2:$AO$1046,0),COLUMN()),"")</f>
        <v>任务</v>
      </c>
    </row>
    <row r="364" spans="1:25" x14ac:dyDescent="0.35">
      <c r="A364" t="str">
        <f>IFERROR(INDEX(装备库!$A$2:$Y$1047,MATCH(ROW()-1,装备库!$AO$2:$AO$1046,0),COLUMN()),"")</f>
        <v>项链</v>
      </c>
      <c r="B364" t="str">
        <f>IFERROR(INDEX(装备库!$A$2:$Y$1047,MATCH(ROW()-1,装备库!$AO$2:$AO$1046,0),COLUMN()),"")</f>
        <v>分石链</v>
      </c>
      <c r="C364">
        <f>IFERROR(INDEX(装备库!$A$2:$Y$1047,MATCH(ROW()-1,装备库!$AO$2:$AO$1046,0),COLUMN()),"")</f>
        <v>9100</v>
      </c>
      <c r="D364" t="str">
        <f>IFERROR(INDEX(装备库!$A$2:$Y$1047,MATCH(ROW()-1,装备库!$AO$2:$AO$1046,0),COLUMN()),"")</f>
        <v>分石链(9100招无)</v>
      </c>
      <c r="E364">
        <f>IFERROR(INDEX(装备库!$A$2:$Y$1047,MATCH(ROW()-1,装备库!$AO$2:$AO$1046,0),COLUMN()),"")</f>
        <v>318</v>
      </c>
      <c r="F364">
        <f>IFERROR(INDEX(装备库!$A$2:$Y$1047,MATCH(ROW()-1,装备库!$AO$2:$AO$1046,0),COLUMN()),"")</f>
        <v>515</v>
      </c>
      <c r="G364">
        <f>IFERROR(INDEX(装备库!$A$2:$Y$1047,MATCH(ROW()-1,装备库!$AO$2:$AO$1046,0),COLUMN()),"")</f>
        <v>0</v>
      </c>
      <c r="H364">
        <f>IFERROR(INDEX(装备库!$A$2:$Y$1047,MATCH(ROW()-1,装备库!$AO$2:$AO$1046,0),COLUMN()),"")</f>
        <v>0</v>
      </c>
      <c r="I364">
        <f>IFERROR(INDEX(装备库!$A$2:$Y$1047,MATCH(ROW()-1,装备库!$AO$2:$AO$1046,0),COLUMN()),"")</f>
        <v>0</v>
      </c>
      <c r="J364">
        <f>IFERROR(INDEX(装备库!$A$2:$Y$1047,MATCH(ROW()-1,装备库!$AO$2:$AO$1046,0),COLUMN()),"")</f>
        <v>1594</v>
      </c>
      <c r="K364">
        <f>IFERROR(INDEX(装备库!$A$2:$Y$1047,MATCH(ROW()-1,装备库!$AO$2:$AO$1046,0),COLUMN()),"")</f>
        <v>1417</v>
      </c>
      <c r="L364">
        <f>IFERROR(INDEX(装备库!$A$2:$Y$1047,MATCH(ROW()-1,装备库!$AO$2:$AO$1046,0),COLUMN()),"")</f>
        <v>0</v>
      </c>
      <c r="M364">
        <f>IFERROR(INDEX(装备库!$A$2:$Y$1047,MATCH(ROW()-1,装备库!$AO$2:$AO$1046,0),COLUMN()),"")</f>
        <v>0</v>
      </c>
      <c r="N364">
        <f>IFERROR(INDEX(装备库!$A$2:$Y$1047,MATCH(ROW()-1,装备库!$AO$2:$AO$1046,0),COLUMN()),"")</f>
        <v>0</v>
      </c>
      <c r="O364">
        <f>IFERROR(INDEX(装备库!$A$2:$Y$1047,MATCH(ROW()-1,装备库!$AO$2:$AO$1046,0),COLUMN()),"")</f>
        <v>0</v>
      </c>
      <c r="P364">
        <f>IFERROR(INDEX(装备库!$A$2:$Y$1047,MATCH(ROW()-1,装备库!$AO$2:$AO$1046,0),COLUMN()),"")</f>
        <v>1</v>
      </c>
      <c r="Q364">
        <f>IFERROR(INDEX(装备库!$A$2:$Y$1047,MATCH(ROW()-1,装备库!$AO$2:$AO$1046,0),COLUMN()),"")</f>
        <v>0</v>
      </c>
      <c r="R364">
        <f>IFERROR(INDEX(装备库!$A$2:$Y$1047,MATCH(ROW()-1,装备库!$AO$2:$AO$1046,0),COLUMN()),"")</f>
        <v>0</v>
      </c>
      <c r="S364">
        <f>IFERROR(INDEX(装备库!$A$2:$Y$1047,MATCH(ROW()-1,装备库!$AO$2:$AO$1046,0),COLUMN()),"")</f>
        <v>0</v>
      </c>
      <c r="T364">
        <f>IFERROR(INDEX(装备库!$A$2:$Y$1047,MATCH(ROW()-1,装备库!$AO$2:$AO$1046,0),COLUMN()),"")</f>
        <v>0</v>
      </c>
      <c r="U364">
        <f>IFERROR(INDEX(装备库!$A$2:$Y$1047,MATCH(ROW()-1,装备库!$AO$2:$AO$1046,0),COLUMN()),"")</f>
        <v>0</v>
      </c>
      <c r="V364">
        <f>IFERROR(INDEX(装备库!$A$2:$Y$1047,MATCH(ROW()-1,装备库!$AO$2:$AO$1046,0),COLUMN()),"")</f>
        <v>0</v>
      </c>
      <c r="W364" t="str">
        <f>IFERROR(INDEX(装备库!$A$2:$Y$1047,MATCH(ROW()-1,装备库!$AO$2:$AO$1046,0),COLUMN()),"")</f>
        <v>招无</v>
      </c>
      <c r="X364">
        <f>IFERROR(INDEX(装备库!$A$2:$Y$1047,MATCH(ROW()-1,装备库!$AO$2:$AO$1046,0),COLUMN()),"")</f>
        <v>6</v>
      </c>
      <c r="Y364" t="str">
        <f>IFERROR(INDEX(装备库!$A$2:$Y$1047,MATCH(ROW()-1,装备库!$AO$2:$AO$1046,0),COLUMN()),"")</f>
        <v>副本</v>
      </c>
    </row>
    <row r="365" spans="1:25" x14ac:dyDescent="0.35">
      <c r="A365" t="str">
        <f>IFERROR(INDEX(装备库!$A$2:$Y$1047,MATCH(ROW()-1,装备库!$AO$2:$AO$1046,0),COLUMN()),"")</f>
        <v>项链</v>
      </c>
      <c r="B365" t="str">
        <f>IFERROR(INDEX(装备库!$A$2:$Y$1047,MATCH(ROW()-1,装备库!$AO$2:$AO$1046,0),COLUMN()),"")</f>
        <v>无封项链</v>
      </c>
      <c r="C365">
        <f>IFERROR(INDEX(装备库!$A$2:$Y$1047,MATCH(ROW()-1,装备库!$AO$2:$AO$1046,0),COLUMN()),"")</f>
        <v>9100</v>
      </c>
      <c r="D365" t="str">
        <f>IFERROR(INDEX(装备库!$A$2:$Y$1047,MATCH(ROW()-1,装备库!$AO$2:$AO$1046,0),COLUMN()),"")</f>
        <v>无封项链(9100精简攻招破无)</v>
      </c>
      <c r="E365">
        <f>IFERROR(INDEX(装备库!$A$2:$Y$1047,MATCH(ROW()-1,装备库!$AO$2:$AO$1046,0),COLUMN()),"")</f>
        <v>0</v>
      </c>
      <c r="F365">
        <f>IFERROR(INDEX(装备库!$A$2:$Y$1047,MATCH(ROW()-1,装备库!$AO$2:$AO$1046,0),COLUMN()),"")</f>
        <v>1150</v>
      </c>
      <c r="G365">
        <f>IFERROR(INDEX(装备库!$A$2:$Y$1047,MATCH(ROW()-1,装备库!$AO$2:$AO$1046,0),COLUMN()),"")</f>
        <v>0</v>
      </c>
      <c r="H365">
        <f>IFERROR(INDEX(装备库!$A$2:$Y$1047,MATCH(ROW()-1,装备库!$AO$2:$AO$1046,0),COLUMN()),"")</f>
        <v>0</v>
      </c>
      <c r="I365">
        <f>IFERROR(INDEX(装备库!$A$2:$Y$1047,MATCH(ROW()-1,装备库!$AO$2:$AO$1046,0),COLUMN()),"")</f>
        <v>1506</v>
      </c>
      <c r="J365">
        <f>IFERROR(INDEX(装备库!$A$2:$Y$1047,MATCH(ROW()-1,装备库!$AO$2:$AO$1046,0),COLUMN()),"")</f>
        <v>1151</v>
      </c>
      <c r="K365">
        <f>IFERROR(INDEX(装备库!$A$2:$Y$1047,MATCH(ROW()-1,装备库!$AO$2:$AO$1046,0),COLUMN()),"")</f>
        <v>886</v>
      </c>
      <c r="L365">
        <f>IFERROR(INDEX(装备库!$A$2:$Y$1047,MATCH(ROW()-1,装备库!$AO$2:$AO$1046,0),COLUMN()),"")</f>
        <v>0</v>
      </c>
      <c r="M365">
        <f>IFERROR(INDEX(装备库!$A$2:$Y$1047,MATCH(ROW()-1,装备库!$AO$2:$AO$1046,0),COLUMN()),"")</f>
        <v>0</v>
      </c>
      <c r="N365">
        <f>IFERROR(INDEX(装备库!$A$2:$Y$1047,MATCH(ROW()-1,装备库!$AO$2:$AO$1046,0),COLUMN()),"")</f>
        <v>0</v>
      </c>
      <c r="O365">
        <f>IFERROR(INDEX(装备库!$A$2:$Y$1047,MATCH(ROW()-1,装备库!$AO$2:$AO$1046,0),COLUMN()),"")</f>
        <v>0</v>
      </c>
      <c r="P365">
        <f>IFERROR(INDEX(装备库!$A$2:$Y$1047,MATCH(ROW()-1,装备库!$AO$2:$AO$1046,0),COLUMN()),"")</f>
        <v>0</v>
      </c>
      <c r="Q365">
        <f>IFERROR(INDEX(装备库!$A$2:$Y$1047,MATCH(ROW()-1,装备库!$AO$2:$AO$1046,0),COLUMN()),"")</f>
        <v>1</v>
      </c>
      <c r="R365">
        <f>IFERROR(INDEX(装备库!$A$2:$Y$1047,MATCH(ROW()-1,装备库!$AO$2:$AO$1046,0),COLUMN()),"")</f>
        <v>0</v>
      </c>
      <c r="S365">
        <f>IFERROR(INDEX(装备库!$A$2:$Y$1047,MATCH(ROW()-1,装备库!$AO$2:$AO$1046,0),COLUMN()),"")</f>
        <v>0</v>
      </c>
      <c r="T365">
        <f>IFERROR(INDEX(装备库!$A$2:$Y$1047,MATCH(ROW()-1,装备库!$AO$2:$AO$1046,0),COLUMN()),"")</f>
        <v>0</v>
      </c>
      <c r="U365">
        <f>IFERROR(INDEX(装备库!$A$2:$Y$1047,MATCH(ROW()-1,装备库!$AO$2:$AO$1046,0),COLUMN()),"")</f>
        <v>0</v>
      </c>
      <c r="V365">
        <f>IFERROR(INDEX(装备库!$A$2:$Y$1047,MATCH(ROW()-1,装备库!$AO$2:$AO$1046,0),COLUMN()),"")</f>
        <v>0</v>
      </c>
      <c r="W365" t="str">
        <f>IFERROR(INDEX(装备库!$A$2:$Y$1047,MATCH(ROW()-1,装备库!$AO$2:$AO$1046,0),COLUMN()),"")</f>
        <v>精简攻招破无</v>
      </c>
      <c r="X365">
        <f>IFERROR(INDEX(装备库!$A$2:$Y$1047,MATCH(ROW()-1,装备库!$AO$2:$AO$1046,0),COLUMN()),"")</f>
        <v>3</v>
      </c>
      <c r="Y365" t="str">
        <f>IFERROR(INDEX(装备库!$A$2:$Y$1047,MATCH(ROW()-1,装备库!$AO$2:$AO$1046,0),COLUMN()),"")</f>
        <v>活动</v>
      </c>
    </row>
    <row r="366" spans="1:25" x14ac:dyDescent="0.35">
      <c r="A366" t="str">
        <f>IFERROR(INDEX(装备库!$A$2:$Y$1047,MATCH(ROW()-1,装备库!$AO$2:$AO$1046,0),COLUMN()),"")</f>
        <v>项链</v>
      </c>
      <c r="B366" t="str">
        <f>IFERROR(INDEX(装备库!$A$2:$Y$1047,MATCH(ROW()-1,装备库!$AO$2:$AO$1046,0),COLUMN()),"")</f>
        <v>无封项链</v>
      </c>
      <c r="C366">
        <f>IFERROR(INDEX(装备库!$A$2:$Y$1047,MATCH(ROW()-1,装备库!$AO$2:$AO$1046,0),COLUMN()),"")</f>
        <v>9100</v>
      </c>
      <c r="D366" t="str">
        <f>IFERROR(INDEX(装备库!$A$2:$Y$1047,MATCH(ROW()-1,装备库!$AO$2:$AO$1046,0),COLUMN()),"")</f>
        <v>无封项链(9100精简攻破)</v>
      </c>
      <c r="E366">
        <f>IFERROR(INDEX(装备库!$A$2:$Y$1047,MATCH(ROW()-1,装备库!$AO$2:$AO$1046,0),COLUMN()),"")</f>
        <v>0</v>
      </c>
      <c r="F366">
        <f>IFERROR(INDEX(装备库!$A$2:$Y$1047,MATCH(ROW()-1,装备库!$AO$2:$AO$1046,0),COLUMN()),"")</f>
        <v>1348</v>
      </c>
      <c r="G366">
        <f>IFERROR(INDEX(装备库!$A$2:$Y$1047,MATCH(ROW()-1,装备库!$AO$2:$AO$1046,0),COLUMN()),"")</f>
        <v>0</v>
      </c>
      <c r="H366">
        <f>IFERROR(INDEX(装备库!$A$2:$Y$1047,MATCH(ROW()-1,装备库!$AO$2:$AO$1046,0),COLUMN()),"")</f>
        <v>0</v>
      </c>
      <c r="I366">
        <f>IFERROR(INDEX(装备库!$A$2:$Y$1047,MATCH(ROW()-1,装备库!$AO$2:$AO$1046,0),COLUMN()),"")</f>
        <v>3055</v>
      </c>
      <c r="J366">
        <f>IFERROR(INDEX(装备库!$A$2:$Y$1047,MATCH(ROW()-1,装备库!$AO$2:$AO$1046,0),COLUMN()),"")</f>
        <v>0</v>
      </c>
      <c r="K366">
        <f>IFERROR(INDEX(装备库!$A$2:$Y$1047,MATCH(ROW()-1,装备库!$AO$2:$AO$1046,0),COLUMN()),"")</f>
        <v>0</v>
      </c>
      <c r="L366">
        <f>IFERROR(INDEX(装备库!$A$2:$Y$1047,MATCH(ROW()-1,装备库!$AO$2:$AO$1046,0),COLUMN()),"")</f>
        <v>0</v>
      </c>
      <c r="M366">
        <f>IFERROR(INDEX(装备库!$A$2:$Y$1047,MATCH(ROW()-1,装备库!$AO$2:$AO$1046,0),COLUMN()),"")</f>
        <v>0</v>
      </c>
      <c r="N366">
        <f>IFERROR(INDEX(装备库!$A$2:$Y$1047,MATCH(ROW()-1,装备库!$AO$2:$AO$1046,0),COLUMN()),"")</f>
        <v>0</v>
      </c>
      <c r="O366">
        <f>IFERROR(INDEX(装备库!$A$2:$Y$1047,MATCH(ROW()-1,装备库!$AO$2:$AO$1046,0),COLUMN()),"")</f>
        <v>0</v>
      </c>
      <c r="P366">
        <f>IFERROR(INDEX(装备库!$A$2:$Y$1047,MATCH(ROW()-1,装备库!$AO$2:$AO$1046,0),COLUMN()),"")</f>
        <v>0</v>
      </c>
      <c r="Q366">
        <f>IFERROR(INDEX(装备库!$A$2:$Y$1047,MATCH(ROW()-1,装备库!$AO$2:$AO$1046,0),COLUMN()),"")</f>
        <v>0</v>
      </c>
      <c r="R366">
        <f>IFERROR(INDEX(装备库!$A$2:$Y$1047,MATCH(ROW()-1,装备库!$AO$2:$AO$1046,0),COLUMN()),"")</f>
        <v>0</v>
      </c>
      <c r="S366">
        <f>IFERROR(INDEX(装备库!$A$2:$Y$1047,MATCH(ROW()-1,装备库!$AO$2:$AO$1046,0),COLUMN()),"")</f>
        <v>0</v>
      </c>
      <c r="T366">
        <f>IFERROR(INDEX(装备库!$A$2:$Y$1047,MATCH(ROW()-1,装备库!$AO$2:$AO$1046,0),COLUMN()),"")</f>
        <v>1</v>
      </c>
      <c r="U366">
        <f>IFERROR(INDEX(装备库!$A$2:$Y$1047,MATCH(ROW()-1,装备库!$AO$2:$AO$1046,0),COLUMN()),"")</f>
        <v>0</v>
      </c>
      <c r="V366">
        <f>IFERROR(INDEX(装备库!$A$2:$Y$1047,MATCH(ROW()-1,装备库!$AO$2:$AO$1046,0),COLUMN()),"")</f>
        <v>0</v>
      </c>
      <c r="W366" t="str">
        <f>IFERROR(INDEX(装备库!$A$2:$Y$1047,MATCH(ROW()-1,装备库!$AO$2:$AO$1046,0),COLUMN()),"")</f>
        <v>精简攻破</v>
      </c>
      <c r="X366">
        <f>IFERROR(INDEX(装备库!$A$2:$Y$1047,MATCH(ROW()-1,装备库!$AO$2:$AO$1046,0),COLUMN()),"")</f>
        <v>3</v>
      </c>
      <c r="Y366" t="str">
        <f>IFERROR(INDEX(装备库!$A$2:$Y$1047,MATCH(ROW()-1,装备库!$AO$2:$AO$1046,0),COLUMN()),"")</f>
        <v>活动</v>
      </c>
    </row>
    <row r="367" spans="1:25" x14ac:dyDescent="0.35">
      <c r="A367" t="str">
        <f>IFERROR(INDEX(装备库!$A$2:$Y$1047,MATCH(ROW()-1,装备库!$AO$2:$AO$1046,0),COLUMN()),"")</f>
        <v>项链</v>
      </c>
      <c r="B367" t="str">
        <f>IFERROR(INDEX(装备库!$A$2:$Y$1047,MATCH(ROW()-1,装备库!$AO$2:$AO$1046,0),COLUMN()),"")</f>
        <v>无封项链</v>
      </c>
      <c r="C367">
        <f>IFERROR(INDEX(装备库!$A$2:$Y$1047,MATCH(ROW()-1,装备库!$AO$2:$AO$1046,0),COLUMN()),"")</f>
        <v>9100</v>
      </c>
      <c r="D367" t="str">
        <f>IFERROR(INDEX(装备库!$A$2:$Y$1047,MATCH(ROW()-1,装备库!$AO$2:$AO$1046,0),COLUMN()),"")</f>
        <v>无封项链(9100精简攻会招)</v>
      </c>
      <c r="E367">
        <f>IFERROR(INDEX(装备库!$A$2:$Y$1047,MATCH(ROW()-1,装备库!$AO$2:$AO$1046,0),COLUMN()),"")</f>
        <v>0</v>
      </c>
      <c r="F367">
        <f>IFERROR(INDEX(装备库!$A$2:$Y$1047,MATCH(ROW()-1,装备库!$AO$2:$AO$1046,0),COLUMN()),"")</f>
        <v>1150</v>
      </c>
      <c r="G367">
        <f>IFERROR(INDEX(装备库!$A$2:$Y$1047,MATCH(ROW()-1,装备库!$AO$2:$AO$1046,0),COLUMN()),"")</f>
        <v>1771</v>
      </c>
      <c r="H367">
        <f>IFERROR(INDEX(装备库!$A$2:$Y$1047,MATCH(ROW()-1,装备库!$AO$2:$AO$1046,0),COLUMN()),"")</f>
        <v>0</v>
      </c>
      <c r="I367">
        <f>IFERROR(INDEX(装备库!$A$2:$Y$1047,MATCH(ROW()-1,装备库!$AO$2:$AO$1046,0),COLUMN()),"")</f>
        <v>0</v>
      </c>
      <c r="J367">
        <f>IFERROR(INDEX(装备库!$A$2:$Y$1047,MATCH(ROW()-1,装备库!$AO$2:$AO$1046,0),COLUMN()),"")</f>
        <v>1771</v>
      </c>
      <c r="K367">
        <f>IFERROR(INDEX(装备库!$A$2:$Y$1047,MATCH(ROW()-1,装备库!$AO$2:$AO$1046,0),COLUMN()),"")</f>
        <v>0</v>
      </c>
      <c r="L367">
        <f>IFERROR(INDEX(装备库!$A$2:$Y$1047,MATCH(ROW()-1,装备库!$AO$2:$AO$1046,0),COLUMN()),"")</f>
        <v>0</v>
      </c>
      <c r="M367">
        <f>IFERROR(INDEX(装备库!$A$2:$Y$1047,MATCH(ROW()-1,装备库!$AO$2:$AO$1046,0),COLUMN()),"")</f>
        <v>0</v>
      </c>
      <c r="N367">
        <f>IFERROR(INDEX(装备库!$A$2:$Y$1047,MATCH(ROW()-1,装备库!$AO$2:$AO$1046,0),COLUMN()),"")</f>
        <v>0</v>
      </c>
      <c r="O367">
        <f>IFERROR(INDEX(装备库!$A$2:$Y$1047,MATCH(ROW()-1,装备库!$AO$2:$AO$1046,0),COLUMN()),"")</f>
        <v>0</v>
      </c>
      <c r="P367">
        <f>IFERROR(INDEX(装备库!$A$2:$Y$1047,MATCH(ROW()-1,装备库!$AO$2:$AO$1046,0),COLUMN()),"")</f>
        <v>0</v>
      </c>
      <c r="Q367">
        <f>IFERROR(INDEX(装备库!$A$2:$Y$1047,MATCH(ROW()-1,装备库!$AO$2:$AO$1046,0),COLUMN()),"")</f>
        <v>0</v>
      </c>
      <c r="R367">
        <f>IFERROR(INDEX(装备库!$A$2:$Y$1047,MATCH(ROW()-1,装备库!$AO$2:$AO$1046,0),COLUMN()),"")</f>
        <v>1</v>
      </c>
      <c r="S367">
        <f>IFERROR(INDEX(装备库!$A$2:$Y$1047,MATCH(ROW()-1,装备库!$AO$2:$AO$1046,0),COLUMN()),"")</f>
        <v>0</v>
      </c>
      <c r="T367">
        <f>IFERROR(INDEX(装备库!$A$2:$Y$1047,MATCH(ROW()-1,装备库!$AO$2:$AO$1046,0),COLUMN()),"")</f>
        <v>0</v>
      </c>
      <c r="U367">
        <f>IFERROR(INDEX(装备库!$A$2:$Y$1047,MATCH(ROW()-1,装备库!$AO$2:$AO$1046,0),COLUMN()),"")</f>
        <v>0</v>
      </c>
      <c r="V367">
        <f>IFERROR(INDEX(装备库!$A$2:$Y$1047,MATCH(ROW()-1,装备库!$AO$2:$AO$1046,0),COLUMN()),"")</f>
        <v>0</v>
      </c>
      <c r="W367" t="str">
        <f>IFERROR(INDEX(装备库!$A$2:$Y$1047,MATCH(ROW()-1,装备库!$AO$2:$AO$1046,0),COLUMN()),"")</f>
        <v>精简攻会招</v>
      </c>
      <c r="X367">
        <f>IFERROR(INDEX(装备库!$A$2:$Y$1047,MATCH(ROW()-1,装备库!$AO$2:$AO$1046,0),COLUMN()),"")</f>
        <v>3</v>
      </c>
      <c r="Y367" t="str">
        <f>IFERROR(INDEX(装备库!$A$2:$Y$1047,MATCH(ROW()-1,装备库!$AO$2:$AO$1046,0),COLUMN()),"")</f>
        <v>活动</v>
      </c>
    </row>
    <row r="368" spans="1:25" x14ac:dyDescent="0.35">
      <c r="A368" t="str">
        <f>IFERROR(INDEX(装备库!$A$2:$Y$1047,MATCH(ROW()-1,装备库!$AO$2:$AO$1046,0),COLUMN()),"")</f>
        <v>项链</v>
      </c>
      <c r="B368" t="str">
        <f>IFERROR(INDEX(装备库!$A$2:$Y$1047,MATCH(ROW()-1,装备库!$AO$2:$AO$1046,0),COLUMN()),"")</f>
        <v>无封项链</v>
      </c>
      <c r="C368">
        <f>IFERROR(INDEX(装备库!$A$2:$Y$1047,MATCH(ROW()-1,装备库!$AO$2:$AO$1046,0),COLUMN()),"")</f>
        <v>9400</v>
      </c>
      <c r="D368" t="str">
        <f>IFERROR(INDEX(装备库!$A$2:$Y$1047,MATCH(ROW()-1,装备库!$AO$2:$AO$1046,0),COLUMN()),"")</f>
        <v>无封项链(9400精简攻无)</v>
      </c>
      <c r="E368">
        <f>IFERROR(INDEX(装备库!$A$2:$Y$1047,MATCH(ROW()-1,装备库!$AO$2:$AO$1046,0),COLUMN()),"")</f>
        <v>0</v>
      </c>
      <c r="F368">
        <f>IFERROR(INDEX(装备库!$A$2:$Y$1047,MATCH(ROW()-1,装备库!$AO$2:$AO$1046,0),COLUMN()),"")</f>
        <v>1392</v>
      </c>
      <c r="G368">
        <f>IFERROR(INDEX(装备库!$A$2:$Y$1047,MATCH(ROW()-1,装备库!$AO$2:$AO$1046,0),COLUMN()),"")</f>
        <v>0</v>
      </c>
      <c r="H368">
        <f>IFERROR(INDEX(装备库!$A$2:$Y$1047,MATCH(ROW()-1,装备库!$AO$2:$AO$1046,0),COLUMN()),"")</f>
        <v>0</v>
      </c>
      <c r="I368">
        <f>IFERROR(INDEX(装备库!$A$2:$Y$1047,MATCH(ROW()-1,装备库!$AO$2:$AO$1046,0),COLUMN()),"")</f>
        <v>0</v>
      </c>
      <c r="J368">
        <f>IFERROR(INDEX(装备库!$A$2:$Y$1047,MATCH(ROW()-1,装备库!$AO$2:$AO$1046,0),COLUMN()),"")</f>
        <v>0</v>
      </c>
      <c r="K368">
        <f>IFERROR(INDEX(装备库!$A$2:$Y$1047,MATCH(ROW()-1,装备库!$AO$2:$AO$1046,0),COLUMN()),"")</f>
        <v>3156</v>
      </c>
      <c r="L368">
        <f>IFERROR(INDEX(装备库!$A$2:$Y$1047,MATCH(ROW()-1,装备库!$AO$2:$AO$1046,0),COLUMN()),"")</f>
        <v>0</v>
      </c>
      <c r="M368">
        <f>IFERROR(INDEX(装备库!$A$2:$Y$1047,MATCH(ROW()-1,装备库!$AO$2:$AO$1046,0),COLUMN()),"")</f>
        <v>0</v>
      </c>
      <c r="N368">
        <f>IFERROR(INDEX(装备库!$A$2:$Y$1047,MATCH(ROW()-1,装备库!$AO$2:$AO$1046,0),COLUMN()),"")</f>
        <v>0</v>
      </c>
      <c r="O368">
        <f>IFERROR(INDEX(装备库!$A$2:$Y$1047,MATCH(ROW()-1,装备库!$AO$2:$AO$1046,0),COLUMN()),"")</f>
        <v>0</v>
      </c>
      <c r="P368">
        <f>IFERROR(INDEX(装备库!$A$2:$Y$1047,MATCH(ROW()-1,装备库!$AO$2:$AO$1046,0),COLUMN()),"")</f>
        <v>0</v>
      </c>
      <c r="Q368">
        <f>IFERROR(INDEX(装备库!$A$2:$Y$1047,MATCH(ROW()-1,装备库!$AO$2:$AO$1046,0),COLUMN()),"")</f>
        <v>0</v>
      </c>
      <c r="R368">
        <f>IFERROR(INDEX(装备库!$A$2:$Y$1047,MATCH(ROW()-1,装备库!$AO$2:$AO$1046,0),COLUMN()),"")</f>
        <v>0</v>
      </c>
      <c r="S368">
        <f>IFERROR(INDEX(装备库!$A$2:$Y$1047,MATCH(ROW()-1,装备库!$AO$2:$AO$1046,0),COLUMN()),"")</f>
        <v>1</v>
      </c>
      <c r="T368">
        <f>IFERROR(INDEX(装备库!$A$2:$Y$1047,MATCH(ROW()-1,装备库!$AO$2:$AO$1046,0),COLUMN()),"")</f>
        <v>0</v>
      </c>
      <c r="U368">
        <f>IFERROR(INDEX(装备库!$A$2:$Y$1047,MATCH(ROW()-1,装备库!$AO$2:$AO$1046,0),COLUMN()),"")</f>
        <v>0</v>
      </c>
      <c r="V368">
        <f>IFERROR(INDEX(装备库!$A$2:$Y$1047,MATCH(ROW()-1,装备库!$AO$2:$AO$1046,0),COLUMN()),"")</f>
        <v>0</v>
      </c>
      <c r="W368" t="str">
        <f>IFERROR(INDEX(装备库!$A$2:$Y$1047,MATCH(ROW()-1,装备库!$AO$2:$AO$1046,0),COLUMN()),"")</f>
        <v>精简攻无</v>
      </c>
      <c r="X368">
        <f>IFERROR(INDEX(装备库!$A$2:$Y$1047,MATCH(ROW()-1,装备库!$AO$2:$AO$1046,0),COLUMN()),"")</f>
        <v>3</v>
      </c>
      <c r="Y368" t="str">
        <f>IFERROR(INDEX(装备库!$A$2:$Y$1047,MATCH(ROW()-1,装备库!$AO$2:$AO$1046,0),COLUMN()),"")</f>
        <v>活动</v>
      </c>
    </row>
    <row r="369" spans="1:25" x14ac:dyDescent="0.35">
      <c r="A369" t="str">
        <f>IFERROR(INDEX(装备库!$A$2:$Y$1047,MATCH(ROW()-1,装备库!$AO$2:$AO$1046,0),COLUMN()),"")</f>
        <v>项链</v>
      </c>
      <c r="B369" t="str">
        <f>IFERROR(INDEX(装备库!$A$2:$Y$1047,MATCH(ROW()-1,装备库!$AO$2:$AO$1046,0),COLUMN()),"")</f>
        <v>无封项链</v>
      </c>
      <c r="C369">
        <f>IFERROR(INDEX(装备库!$A$2:$Y$1047,MATCH(ROW()-1,装备库!$AO$2:$AO$1046,0),COLUMN()),"")</f>
        <v>9400</v>
      </c>
      <c r="D369" t="str">
        <f>IFERROR(INDEX(装备库!$A$2:$Y$1047,MATCH(ROW()-1,装备库!$AO$2:$AO$1046,0),COLUMN()),"")</f>
        <v>无封项链(9400精简攻破无)</v>
      </c>
      <c r="E369">
        <f>IFERROR(INDEX(装备库!$A$2:$Y$1047,MATCH(ROW()-1,装备库!$AO$2:$AO$1046,0),COLUMN()),"")</f>
        <v>0</v>
      </c>
      <c r="F369">
        <f>IFERROR(INDEX(装备库!$A$2:$Y$1047,MATCH(ROW()-1,装备库!$AO$2:$AO$1046,0),COLUMN()),"")</f>
        <v>1188</v>
      </c>
      <c r="G369">
        <f>IFERROR(INDEX(装备库!$A$2:$Y$1047,MATCH(ROW()-1,装备库!$AO$2:$AO$1046,0),COLUMN()),"")</f>
        <v>0</v>
      </c>
      <c r="H369">
        <f>IFERROR(INDEX(装备库!$A$2:$Y$1047,MATCH(ROW()-1,装备库!$AO$2:$AO$1046,0),COLUMN()),"")</f>
        <v>0</v>
      </c>
      <c r="I369">
        <f>IFERROR(INDEX(装备库!$A$2:$Y$1047,MATCH(ROW()-1,装备库!$AO$2:$AO$1046,0),COLUMN()),"")</f>
        <v>1830</v>
      </c>
      <c r="J369">
        <f>IFERROR(INDEX(装备库!$A$2:$Y$1047,MATCH(ROW()-1,装备库!$AO$2:$AO$1046,0),COLUMN()),"")</f>
        <v>0</v>
      </c>
      <c r="K369">
        <f>IFERROR(INDEX(装备库!$A$2:$Y$1047,MATCH(ROW()-1,装备库!$AO$2:$AO$1046,0),COLUMN()),"")</f>
        <v>1830</v>
      </c>
      <c r="L369">
        <f>IFERROR(INDEX(装备库!$A$2:$Y$1047,MATCH(ROW()-1,装备库!$AO$2:$AO$1046,0),COLUMN()),"")</f>
        <v>0</v>
      </c>
      <c r="M369">
        <f>IFERROR(INDEX(装备库!$A$2:$Y$1047,MATCH(ROW()-1,装备库!$AO$2:$AO$1046,0),COLUMN()),"")</f>
        <v>0</v>
      </c>
      <c r="N369">
        <f>IFERROR(INDEX(装备库!$A$2:$Y$1047,MATCH(ROW()-1,装备库!$AO$2:$AO$1046,0),COLUMN()),"")</f>
        <v>0</v>
      </c>
      <c r="O369">
        <f>IFERROR(INDEX(装备库!$A$2:$Y$1047,MATCH(ROW()-1,装备库!$AO$2:$AO$1046,0),COLUMN()),"")</f>
        <v>0</v>
      </c>
      <c r="P369">
        <f>IFERROR(INDEX(装备库!$A$2:$Y$1047,MATCH(ROW()-1,装备库!$AO$2:$AO$1046,0),COLUMN()),"")</f>
        <v>0</v>
      </c>
      <c r="Q369">
        <f>IFERROR(INDEX(装备库!$A$2:$Y$1047,MATCH(ROW()-1,装备库!$AO$2:$AO$1046,0),COLUMN()),"")</f>
        <v>0</v>
      </c>
      <c r="R369">
        <f>IFERROR(INDEX(装备库!$A$2:$Y$1047,MATCH(ROW()-1,装备库!$AO$2:$AO$1046,0),COLUMN()),"")</f>
        <v>0</v>
      </c>
      <c r="S369">
        <f>IFERROR(INDEX(装备库!$A$2:$Y$1047,MATCH(ROW()-1,装备库!$AO$2:$AO$1046,0),COLUMN()),"")</f>
        <v>0</v>
      </c>
      <c r="T369">
        <f>IFERROR(INDEX(装备库!$A$2:$Y$1047,MATCH(ROW()-1,装备库!$AO$2:$AO$1046,0),COLUMN()),"")</f>
        <v>1</v>
      </c>
      <c r="U369">
        <f>IFERROR(INDEX(装备库!$A$2:$Y$1047,MATCH(ROW()-1,装备库!$AO$2:$AO$1046,0),COLUMN()),"")</f>
        <v>0</v>
      </c>
      <c r="V369">
        <f>IFERROR(INDEX(装备库!$A$2:$Y$1047,MATCH(ROW()-1,装备库!$AO$2:$AO$1046,0),COLUMN()),"")</f>
        <v>0</v>
      </c>
      <c r="W369" t="str">
        <f>IFERROR(INDEX(装备库!$A$2:$Y$1047,MATCH(ROW()-1,装备库!$AO$2:$AO$1046,0),COLUMN()),"")</f>
        <v>精简攻破无</v>
      </c>
      <c r="X369">
        <f>IFERROR(INDEX(装备库!$A$2:$Y$1047,MATCH(ROW()-1,装备库!$AO$2:$AO$1046,0),COLUMN()),"")</f>
        <v>3</v>
      </c>
      <c r="Y369" t="str">
        <f>IFERROR(INDEX(装备库!$A$2:$Y$1047,MATCH(ROW()-1,装备库!$AO$2:$AO$1046,0),COLUMN()),"")</f>
        <v>活动</v>
      </c>
    </row>
    <row r="370" spans="1:25" x14ac:dyDescent="0.35">
      <c r="A370" t="str">
        <f>IFERROR(INDEX(装备库!$A$2:$Y$1047,MATCH(ROW()-1,装备库!$AO$2:$AO$1046,0),COLUMN()),"")</f>
        <v>项链</v>
      </c>
      <c r="B370" t="str">
        <f>IFERROR(INDEX(装备库!$A$2:$Y$1047,MATCH(ROW()-1,装备库!$AO$2:$AO$1046,0),COLUMN()),"")</f>
        <v>无封项链</v>
      </c>
      <c r="C370">
        <f>IFERROR(INDEX(装备库!$A$2:$Y$1047,MATCH(ROW()-1,装备库!$AO$2:$AO$1046,0),COLUMN()),"")</f>
        <v>9400</v>
      </c>
      <c r="D370" t="str">
        <f>IFERROR(INDEX(装备库!$A$2:$Y$1047,MATCH(ROW()-1,装备库!$AO$2:$AO$1046,0),COLUMN()),"")</f>
        <v>无封项链(9400精简攻会招无)</v>
      </c>
      <c r="E370">
        <f>IFERROR(INDEX(装备库!$A$2:$Y$1047,MATCH(ROW()-1,装备库!$AO$2:$AO$1046,0),COLUMN()),"")</f>
        <v>0</v>
      </c>
      <c r="F370">
        <f>IFERROR(INDEX(装备库!$A$2:$Y$1047,MATCH(ROW()-1,装备库!$AO$2:$AO$1046,0),COLUMN()),"")</f>
        <v>1188</v>
      </c>
      <c r="G370">
        <f>IFERROR(INDEX(装备库!$A$2:$Y$1047,MATCH(ROW()-1,装备库!$AO$2:$AO$1046,0),COLUMN()),"")</f>
        <v>1738</v>
      </c>
      <c r="H370">
        <f>IFERROR(INDEX(装备库!$A$2:$Y$1047,MATCH(ROW()-1,装备库!$AO$2:$AO$1046,0),COLUMN()),"")</f>
        <v>0</v>
      </c>
      <c r="I370">
        <f>IFERROR(INDEX(装备库!$A$2:$Y$1047,MATCH(ROW()-1,装备库!$AO$2:$AO$1046,0),COLUMN()),"")</f>
        <v>0</v>
      </c>
      <c r="J370">
        <f>IFERROR(INDEX(装备库!$A$2:$Y$1047,MATCH(ROW()-1,装备库!$AO$2:$AO$1046,0),COLUMN()),"")</f>
        <v>915</v>
      </c>
      <c r="K370">
        <f>IFERROR(INDEX(装备库!$A$2:$Y$1047,MATCH(ROW()-1,装备库!$AO$2:$AO$1046,0),COLUMN()),"")</f>
        <v>1006</v>
      </c>
      <c r="L370">
        <f>IFERROR(INDEX(装备库!$A$2:$Y$1047,MATCH(ROW()-1,装备库!$AO$2:$AO$1046,0),COLUMN()),"")</f>
        <v>0</v>
      </c>
      <c r="M370">
        <f>IFERROR(INDEX(装备库!$A$2:$Y$1047,MATCH(ROW()-1,装备库!$AO$2:$AO$1046,0),COLUMN()),"")</f>
        <v>0</v>
      </c>
      <c r="N370">
        <f>IFERROR(INDEX(装备库!$A$2:$Y$1047,MATCH(ROW()-1,装备库!$AO$2:$AO$1046,0),COLUMN()),"")</f>
        <v>0</v>
      </c>
      <c r="O370">
        <f>IFERROR(INDEX(装备库!$A$2:$Y$1047,MATCH(ROW()-1,装备库!$AO$2:$AO$1046,0),COLUMN()),"")</f>
        <v>0</v>
      </c>
      <c r="P370">
        <f>IFERROR(INDEX(装备库!$A$2:$Y$1047,MATCH(ROW()-1,装备库!$AO$2:$AO$1046,0),COLUMN()),"")</f>
        <v>0</v>
      </c>
      <c r="Q370">
        <f>IFERROR(INDEX(装备库!$A$2:$Y$1047,MATCH(ROW()-1,装备库!$AO$2:$AO$1046,0),COLUMN()),"")</f>
        <v>0</v>
      </c>
      <c r="R370">
        <f>IFERROR(INDEX(装备库!$A$2:$Y$1047,MATCH(ROW()-1,装备库!$AO$2:$AO$1046,0),COLUMN()),"")</f>
        <v>0</v>
      </c>
      <c r="S370">
        <f>IFERROR(INDEX(装备库!$A$2:$Y$1047,MATCH(ROW()-1,装备库!$AO$2:$AO$1046,0),COLUMN()),"")</f>
        <v>1</v>
      </c>
      <c r="T370">
        <f>IFERROR(INDEX(装备库!$A$2:$Y$1047,MATCH(ROW()-1,装备库!$AO$2:$AO$1046,0),COLUMN()),"")</f>
        <v>0</v>
      </c>
      <c r="U370">
        <f>IFERROR(INDEX(装备库!$A$2:$Y$1047,MATCH(ROW()-1,装备库!$AO$2:$AO$1046,0),COLUMN()),"")</f>
        <v>0</v>
      </c>
      <c r="V370">
        <f>IFERROR(INDEX(装备库!$A$2:$Y$1047,MATCH(ROW()-1,装备库!$AO$2:$AO$1046,0),COLUMN()),"")</f>
        <v>0</v>
      </c>
      <c r="W370" t="str">
        <f>IFERROR(INDEX(装备库!$A$2:$Y$1047,MATCH(ROW()-1,装备库!$AO$2:$AO$1046,0),COLUMN()),"")</f>
        <v>精简攻会招无</v>
      </c>
      <c r="X370">
        <f>IFERROR(INDEX(装备库!$A$2:$Y$1047,MATCH(ROW()-1,装备库!$AO$2:$AO$1046,0),COLUMN()),"")</f>
        <v>3</v>
      </c>
      <c r="Y370" t="str">
        <f>IFERROR(INDEX(装备库!$A$2:$Y$1047,MATCH(ROW()-1,装备库!$AO$2:$AO$1046,0),COLUMN()),"")</f>
        <v>活动</v>
      </c>
    </row>
    <row r="371" spans="1:25" x14ac:dyDescent="0.35">
      <c r="A371" t="str">
        <f>IFERROR(INDEX(装备库!$A$2:$Y$1047,MATCH(ROW()-1,装备库!$AO$2:$AO$1046,0),COLUMN()),"")</f>
        <v>项链</v>
      </c>
      <c r="B371" t="str">
        <f>IFERROR(INDEX(装备库!$A$2:$Y$1047,MATCH(ROW()-1,装备库!$AO$2:$AO$1046,0),COLUMN()),"")</f>
        <v>临邦链</v>
      </c>
      <c r="C371">
        <f>IFERROR(INDEX(装备库!$A$2:$Y$1047,MATCH(ROW()-1,装备库!$AO$2:$AO$1046,0),COLUMN()),"")</f>
        <v>9450</v>
      </c>
      <c r="D371" t="str">
        <f>IFERROR(INDEX(装备库!$A$2:$Y$1047,MATCH(ROW()-1,装备库!$AO$2:$AO$1046,0),COLUMN()),"")</f>
        <v>临邦链(9450招破)</v>
      </c>
      <c r="E371">
        <f>IFERROR(INDEX(装备库!$A$2:$Y$1047,MATCH(ROW()-1,装备库!$AO$2:$AO$1046,0),COLUMN()),"")</f>
        <v>330</v>
      </c>
      <c r="F371">
        <f>IFERROR(INDEX(装备库!$A$2:$Y$1047,MATCH(ROW()-1,装备库!$AO$2:$AO$1046,0),COLUMN()),"")</f>
        <v>535</v>
      </c>
      <c r="G371">
        <f>IFERROR(INDEX(装备库!$A$2:$Y$1047,MATCH(ROW()-1,装备库!$AO$2:$AO$1046,0),COLUMN()),"")</f>
        <v>0</v>
      </c>
      <c r="H371">
        <f>IFERROR(INDEX(装备库!$A$2:$Y$1047,MATCH(ROW()-1,装备库!$AO$2:$AO$1046,0),COLUMN()),"")</f>
        <v>0</v>
      </c>
      <c r="I371">
        <f>IFERROR(INDEX(装备库!$A$2:$Y$1047,MATCH(ROW()-1,装备库!$AO$2:$AO$1046,0),COLUMN()),"")</f>
        <v>1655</v>
      </c>
      <c r="J371">
        <f>IFERROR(INDEX(装备库!$A$2:$Y$1047,MATCH(ROW()-1,装备库!$AO$2:$AO$1046,0),COLUMN()),"")</f>
        <v>1472</v>
      </c>
      <c r="K371">
        <f>IFERROR(INDEX(装备库!$A$2:$Y$1047,MATCH(ROW()-1,装备库!$AO$2:$AO$1046,0),COLUMN()),"")</f>
        <v>0</v>
      </c>
      <c r="L371">
        <f>IFERROR(INDEX(装备库!$A$2:$Y$1047,MATCH(ROW()-1,装备库!$AO$2:$AO$1046,0),COLUMN()),"")</f>
        <v>0</v>
      </c>
      <c r="M371">
        <f>IFERROR(INDEX(装备库!$A$2:$Y$1047,MATCH(ROW()-1,装备库!$AO$2:$AO$1046,0),COLUMN()),"")</f>
        <v>0</v>
      </c>
      <c r="N371">
        <f>IFERROR(INDEX(装备库!$A$2:$Y$1047,MATCH(ROW()-1,装备库!$AO$2:$AO$1046,0),COLUMN()),"")</f>
        <v>0</v>
      </c>
      <c r="O371">
        <f>IFERROR(INDEX(装备库!$A$2:$Y$1047,MATCH(ROW()-1,装备库!$AO$2:$AO$1046,0),COLUMN()),"")</f>
        <v>0</v>
      </c>
      <c r="P371">
        <f>IFERROR(INDEX(装备库!$A$2:$Y$1047,MATCH(ROW()-1,装备库!$AO$2:$AO$1046,0),COLUMN()),"")</f>
        <v>1</v>
      </c>
      <c r="Q371">
        <f>IFERROR(INDEX(装备库!$A$2:$Y$1047,MATCH(ROW()-1,装备库!$AO$2:$AO$1046,0),COLUMN()),"")</f>
        <v>0</v>
      </c>
      <c r="R371">
        <f>IFERROR(INDEX(装备库!$A$2:$Y$1047,MATCH(ROW()-1,装备库!$AO$2:$AO$1046,0),COLUMN()),"")</f>
        <v>0</v>
      </c>
      <c r="S371">
        <f>IFERROR(INDEX(装备库!$A$2:$Y$1047,MATCH(ROW()-1,装备库!$AO$2:$AO$1046,0),COLUMN()),"")</f>
        <v>0</v>
      </c>
      <c r="T371">
        <f>IFERROR(INDEX(装备库!$A$2:$Y$1047,MATCH(ROW()-1,装备库!$AO$2:$AO$1046,0),COLUMN()),"")</f>
        <v>0</v>
      </c>
      <c r="U371">
        <f>IFERROR(INDEX(装备库!$A$2:$Y$1047,MATCH(ROW()-1,装备库!$AO$2:$AO$1046,0),COLUMN()),"")</f>
        <v>0</v>
      </c>
      <c r="V371">
        <f>IFERROR(INDEX(装备库!$A$2:$Y$1047,MATCH(ROW()-1,装备库!$AO$2:$AO$1046,0),COLUMN()),"")</f>
        <v>0</v>
      </c>
      <c r="W371" t="str">
        <f>IFERROR(INDEX(装备库!$A$2:$Y$1047,MATCH(ROW()-1,装备库!$AO$2:$AO$1046,0),COLUMN()),"")</f>
        <v>招破</v>
      </c>
      <c r="X371">
        <f>IFERROR(INDEX(装备库!$A$2:$Y$1047,MATCH(ROW()-1,装备库!$AO$2:$AO$1046,0),COLUMN()),"")</f>
        <v>6</v>
      </c>
      <c r="Y371" t="str">
        <f>IFERROR(INDEX(装备库!$A$2:$Y$1047,MATCH(ROW()-1,装备库!$AO$2:$AO$1046,0),COLUMN()),"")</f>
        <v>声望</v>
      </c>
    </row>
    <row r="372" spans="1:25" x14ac:dyDescent="0.35">
      <c r="A372" t="str">
        <f>IFERROR(INDEX(装备库!$A$2:$Y$1047,MATCH(ROW()-1,装备库!$AO$2:$AO$1046,0),COLUMN()),"")</f>
        <v>项链</v>
      </c>
      <c r="B372" t="str">
        <f>IFERROR(INDEX(装备库!$A$2:$Y$1047,MATCH(ROW()-1,装备库!$AO$2:$AO$1046,0),COLUMN()),"")</f>
        <v>元雾链</v>
      </c>
      <c r="C372">
        <f>IFERROR(INDEX(装备库!$A$2:$Y$1047,MATCH(ROW()-1,装备库!$AO$2:$AO$1046,0),COLUMN()),"")</f>
        <v>9500</v>
      </c>
      <c r="D372" t="str">
        <f>IFERROR(INDEX(装备库!$A$2:$Y$1047,MATCH(ROW()-1,装备库!$AO$2:$AO$1046,0),COLUMN()),"")</f>
        <v>元雾链(9500招破)</v>
      </c>
      <c r="E372">
        <f>IFERROR(INDEX(装备库!$A$2:$Y$1047,MATCH(ROW()-1,装备库!$AO$2:$AO$1046,0),COLUMN()),"")</f>
        <v>332</v>
      </c>
      <c r="F372">
        <f>IFERROR(INDEX(装备库!$A$2:$Y$1047,MATCH(ROW()-1,装备库!$AO$2:$AO$1046,0),COLUMN()),"")</f>
        <v>538</v>
      </c>
      <c r="G372">
        <f>IFERROR(INDEX(装备库!$A$2:$Y$1047,MATCH(ROW()-1,装备库!$AO$2:$AO$1046,0),COLUMN()),"")</f>
        <v>0</v>
      </c>
      <c r="H372">
        <f>IFERROR(INDEX(装备库!$A$2:$Y$1047,MATCH(ROW()-1,装备库!$AO$2:$AO$1046,0),COLUMN()),"")</f>
        <v>0</v>
      </c>
      <c r="I372">
        <f>IFERROR(INDEX(装备库!$A$2:$Y$1047,MATCH(ROW()-1,装备库!$AO$2:$AO$1046,0),COLUMN()),"")</f>
        <v>1664</v>
      </c>
      <c r="J372">
        <f>IFERROR(INDEX(装备库!$A$2:$Y$1047,MATCH(ROW()-1,装备库!$AO$2:$AO$1046,0),COLUMN()),"")</f>
        <v>1479</v>
      </c>
      <c r="K372">
        <f>IFERROR(INDEX(装备库!$A$2:$Y$1047,MATCH(ROW()-1,装备库!$AO$2:$AO$1046,0),COLUMN()),"")</f>
        <v>0</v>
      </c>
      <c r="L372">
        <f>IFERROR(INDEX(装备库!$A$2:$Y$1047,MATCH(ROW()-1,装备库!$AO$2:$AO$1046,0),COLUMN()),"")</f>
        <v>0</v>
      </c>
      <c r="M372">
        <f>IFERROR(INDEX(装备库!$A$2:$Y$1047,MATCH(ROW()-1,装备库!$AO$2:$AO$1046,0),COLUMN()),"")</f>
        <v>0</v>
      </c>
      <c r="N372">
        <f>IFERROR(INDEX(装备库!$A$2:$Y$1047,MATCH(ROW()-1,装备库!$AO$2:$AO$1046,0),COLUMN()),"")</f>
        <v>0</v>
      </c>
      <c r="O372">
        <f>IFERROR(INDEX(装备库!$A$2:$Y$1047,MATCH(ROW()-1,装备库!$AO$2:$AO$1046,0),COLUMN()),"")</f>
        <v>0</v>
      </c>
      <c r="P372">
        <f>IFERROR(INDEX(装备库!$A$2:$Y$1047,MATCH(ROW()-1,装备库!$AO$2:$AO$1046,0),COLUMN()),"")</f>
        <v>1</v>
      </c>
      <c r="Q372">
        <f>IFERROR(INDEX(装备库!$A$2:$Y$1047,MATCH(ROW()-1,装备库!$AO$2:$AO$1046,0),COLUMN()),"")</f>
        <v>0</v>
      </c>
      <c r="R372">
        <f>IFERROR(INDEX(装备库!$A$2:$Y$1047,MATCH(ROW()-1,装备库!$AO$2:$AO$1046,0),COLUMN()),"")</f>
        <v>0</v>
      </c>
      <c r="S372">
        <f>IFERROR(INDEX(装备库!$A$2:$Y$1047,MATCH(ROW()-1,装备库!$AO$2:$AO$1046,0),COLUMN()),"")</f>
        <v>0</v>
      </c>
      <c r="T372">
        <f>IFERROR(INDEX(装备库!$A$2:$Y$1047,MATCH(ROW()-1,装备库!$AO$2:$AO$1046,0),COLUMN()),"")</f>
        <v>0</v>
      </c>
      <c r="U372">
        <f>IFERROR(INDEX(装备库!$A$2:$Y$1047,MATCH(ROW()-1,装备库!$AO$2:$AO$1046,0),COLUMN()),"")</f>
        <v>0</v>
      </c>
      <c r="V372">
        <f>IFERROR(INDEX(装备库!$A$2:$Y$1047,MATCH(ROW()-1,装备库!$AO$2:$AO$1046,0),COLUMN()),"")</f>
        <v>0</v>
      </c>
      <c r="W372" t="str">
        <f>IFERROR(INDEX(装备库!$A$2:$Y$1047,MATCH(ROW()-1,装备库!$AO$2:$AO$1046,0),COLUMN()),"")</f>
        <v>招破</v>
      </c>
      <c r="X372">
        <f>IFERROR(INDEX(装备库!$A$2:$Y$1047,MATCH(ROW()-1,装备库!$AO$2:$AO$1046,0),COLUMN()),"")</f>
        <v>6</v>
      </c>
      <c r="Y372" t="str">
        <f>IFERROR(INDEX(装备库!$A$2:$Y$1047,MATCH(ROW()-1,装备库!$AO$2:$AO$1046,0),COLUMN()),"")</f>
        <v>声望</v>
      </c>
    </row>
    <row r="373" spans="1:25" x14ac:dyDescent="0.35">
      <c r="A373" t="str">
        <f>IFERROR(INDEX(装备库!$A$2:$Y$1047,MATCH(ROW()-1,装备库!$AO$2:$AO$1046,0),COLUMN()),"")</f>
        <v>项链</v>
      </c>
      <c r="B373" t="str">
        <f>IFERROR(INDEX(装备库!$A$2:$Y$1047,MATCH(ROW()-1,装备库!$AO$2:$AO$1046,0),COLUMN()),"")</f>
        <v>女义链</v>
      </c>
      <c r="C373">
        <f>IFERROR(INDEX(装备库!$A$2:$Y$1047,MATCH(ROW()-1,装备库!$AO$2:$AO$1046,0),COLUMN()),"")</f>
        <v>9600</v>
      </c>
      <c r="D373" t="str">
        <f>IFERROR(INDEX(装备库!$A$2:$Y$1047,MATCH(ROW()-1,装备库!$AO$2:$AO$1046,0),COLUMN()),"")</f>
        <v>女义链(9600破无)</v>
      </c>
      <c r="E373">
        <f>IFERROR(INDEX(装备库!$A$2:$Y$1047,MATCH(ROW()-1,装备库!$AO$2:$AO$1046,0),COLUMN()),"")</f>
        <v>335</v>
      </c>
      <c r="F373">
        <f>IFERROR(INDEX(装备库!$A$2:$Y$1047,MATCH(ROW()-1,装备库!$AO$2:$AO$1046,0),COLUMN()),"")</f>
        <v>544</v>
      </c>
      <c r="G373">
        <f>IFERROR(INDEX(装备库!$A$2:$Y$1047,MATCH(ROW()-1,装备库!$AO$2:$AO$1046,0),COLUMN()),"")</f>
        <v>0</v>
      </c>
      <c r="H373">
        <f>IFERROR(INDEX(装备库!$A$2:$Y$1047,MATCH(ROW()-1,装备库!$AO$2:$AO$1046,0),COLUMN()),"")</f>
        <v>0</v>
      </c>
      <c r="I373">
        <f>IFERROR(INDEX(装备库!$A$2:$Y$1047,MATCH(ROW()-1,装备库!$AO$2:$AO$1046,0),COLUMN()),"")</f>
        <v>1682</v>
      </c>
      <c r="J373">
        <f>IFERROR(INDEX(装备库!$A$2:$Y$1047,MATCH(ROW()-1,装备库!$AO$2:$AO$1046,0),COLUMN()),"")</f>
        <v>0</v>
      </c>
      <c r="K373">
        <f>IFERROR(INDEX(装备库!$A$2:$Y$1047,MATCH(ROW()-1,装备库!$AO$2:$AO$1046,0),COLUMN()),"")</f>
        <v>1495</v>
      </c>
      <c r="L373">
        <f>IFERROR(INDEX(装备库!$A$2:$Y$1047,MATCH(ROW()-1,装备库!$AO$2:$AO$1046,0),COLUMN()),"")</f>
        <v>0</v>
      </c>
      <c r="M373">
        <f>IFERROR(INDEX(装备库!$A$2:$Y$1047,MATCH(ROW()-1,装备库!$AO$2:$AO$1046,0),COLUMN()),"")</f>
        <v>0</v>
      </c>
      <c r="N373">
        <f>IFERROR(INDEX(装备库!$A$2:$Y$1047,MATCH(ROW()-1,装备库!$AO$2:$AO$1046,0),COLUMN()),"")</f>
        <v>0</v>
      </c>
      <c r="O373">
        <f>IFERROR(INDEX(装备库!$A$2:$Y$1047,MATCH(ROW()-1,装备库!$AO$2:$AO$1046,0),COLUMN()),"")</f>
        <v>0</v>
      </c>
      <c r="P373">
        <f>IFERROR(INDEX(装备库!$A$2:$Y$1047,MATCH(ROW()-1,装备库!$AO$2:$AO$1046,0),COLUMN()),"")</f>
        <v>0</v>
      </c>
      <c r="Q373">
        <f>IFERROR(INDEX(装备库!$A$2:$Y$1047,MATCH(ROW()-1,装备库!$AO$2:$AO$1046,0),COLUMN()),"")</f>
        <v>0</v>
      </c>
      <c r="R373">
        <f>IFERROR(INDEX(装备库!$A$2:$Y$1047,MATCH(ROW()-1,装备库!$AO$2:$AO$1046,0),COLUMN()),"")</f>
        <v>0</v>
      </c>
      <c r="S373">
        <f>IFERROR(INDEX(装备库!$A$2:$Y$1047,MATCH(ROW()-1,装备库!$AO$2:$AO$1046,0),COLUMN()),"")</f>
        <v>0</v>
      </c>
      <c r="T373">
        <f>IFERROR(INDEX(装备库!$A$2:$Y$1047,MATCH(ROW()-1,装备库!$AO$2:$AO$1046,0),COLUMN()),"")</f>
        <v>0</v>
      </c>
      <c r="U373">
        <f>IFERROR(INDEX(装备库!$A$2:$Y$1047,MATCH(ROW()-1,装备库!$AO$2:$AO$1046,0),COLUMN()),"")</f>
        <v>1</v>
      </c>
      <c r="V373">
        <f>IFERROR(INDEX(装备库!$A$2:$Y$1047,MATCH(ROW()-1,装备库!$AO$2:$AO$1046,0),COLUMN()),"")</f>
        <v>0</v>
      </c>
      <c r="W373" t="str">
        <f>IFERROR(INDEX(装备库!$A$2:$Y$1047,MATCH(ROW()-1,装备库!$AO$2:$AO$1046,0),COLUMN()),"")</f>
        <v>破无</v>
      </c>
      <c r="X373">
        <f>IFERROR(INDEX(装备库!$A$2:$Y$1047,MATCH(ROW()-1,装备库!$AO$2:$AO$1046,0),COLUMN()),"")</f>
        <v>6</v>
      </c>
      <c r="Y373" t="str">
        <f>IFERROR(INDEX(装备库!$A$2:$Y$1047,MATCH(ROW()-1,装备库!$AO$2:$AO$1046,0),COLUMN()),"")</f>
        <v>侠义值</v>
      </c>
    </row>
    <row r="374" spans="1:25" x14ac:dyDescent="0.35">
      <c r="A374" t="str">
        <f>IFERROR(INDEX(装备库!$A$2:$Y$1047,MATCH(ROW()-1,装备库!$AO$2:$AO$1046,0),COLUMN()),"")</f>
        <v>项链</v>
      </c>
      <c r="B374" t="str">
        <f>IFERROR(INDEX(装备库!$A$2:$Y$1047,MATCH(ROW()-1,装备库!$AO$2:$AO$1046,0),COLUMN()),"")</f>
        <v>无封项链</v>
      </c>
      <c r="C374">
        <f>IFERROR(INDEX(装备库!$A$2:$Y$1047,MATCH(ROW()-1,装备库!$AO$2:$AO$1046,0),COLUMN()),"")</f>
        <v>9700</v>
      </c>
      <c r="D374" t="str">
        <f>IFERROR(INDEX(装备库!$A$2:$Y$1047,MATCH(ROW()-1,装备库!$AO$2:$AO$1046,0),COLUMN()),"")</f>
        <v>无封项链(9700精简攻招无)</v>
      </c>
      <c r="E374">
        <f>IFERROR(INDEX(装备库!$A$2:$Y$1047,MATCH(ROW()-1,装备库!$AO$2:$AO$1046,0),COLUMN()),"")</f>
        <v>0</v>
      </c>
      <c r="F374">
        <f>IFERROR(INDEX(装备库!$A$2:$Y$1047,MATCH(ROW()-1,装备库!$AO$2:$AO$1046,0),COLUMN()),"")</f>
        <v>1226</v>
      </c>
      <c r="G374">
        <f>IFERROR(INDEX(装备库!$A$2:$Y$1047,MATCH(ROW()-1,装备库!$AO$2:$AO$1046,0),COLUMN()),"")</f>
        <v>0</v>
      </c>
      <c r="H374">
        <f>IFERROR(INDEX(装备库!$A$2:$Y$1047,MATCH(ROW()-1,装备库!$AO$2:$AO$1046,0),COLUMN()),"")</f>
        <v>0</v>
      </c>
      <c r="I374">
        <f>IFERROR(INDEX(装备库!$A$2:$Y$1047,MATCH(ROW()-1,装备库!$AO$2:$AO$1046,0),COLUMN()),"")</f>
        <v>0</v>
      </c>
      <c r="J374">
        <f>IFERROR(INDEX(装备库!$A$2:$Y$1047,MATCH(ROW()-1,装备库!$AO$2:$AO$1046,0),COLUMN()),"")</f>
        <v>1038</v>
      </c>
      <c r="K374">
        <f>IFERROR(INDEX(装备库!$A$2:$Y$1047,MATCH(ROW()-1,装备库!$AO$2:$AO$1046,0),COLUMN()),"")</f>
        <v>2738</v>
      </c>
      <c r="L374">
        <f>IFERROR(INDEX(装备库!$A$2:$Y$1047,MATCH(ROW()-1,装备库!$AO$2:$AO$1046,0),COLUMN()),"")</f>
        <v>0</v>
      </c>
      <c r="M374">
        <f>IFERROR(INDEX(装备库!$A$2:$Y$1047,MATCH(ROW()-1,装备库!$AO$2:$AO$1046,0),COLUMN()),"")</f>
        <v>0</v>
      </c>
      <c r="N374">
        <f>IFERROR(INDEX(装备库!$A$2:$Y$1047,MATCH(ROW()-1,装备库!$AO$2:$AO$1046,0),COLUMN()),"")</f>
        <v>0</v>
      </c>
      <c r="O374">
        <f>IFERROR(INDEX(装备库!$A$2:$Y$1047,MATCH(ROW()-1,装备库!$AO$2:$AO$1046,0),COLUMN()),"")</f>
        <v>0</v>
      </c>
      <c r="P374">
        <f>IFERROR(INDEX(装备库!$A$2:$Y$1047,MATCH(ROW()-1,装备库!$AO$2:$AO$1046,0),COLUMN()),"")</f>
        <v>0</v>
      </c>
      <c r="Q374">
        <f>IFERROR(INDEX(装备库!$A$2:$Y$1047,MATCH(ROW()-1,装备库!$AO$2:$AO$1046,0),COLUMN()),"")</f>
        <v>1</v>
      </c>
      <c r="R374">
        <f>IFERROR(INDEX(装备库!$A$2:$Y$1047,MATCH(ROW()-1,装备库!$AO$2:$AO$1046,0),COLUMN()),"")</f>
        <v>0</v>
      </c>
      <c r="S374">
        <f>IFERROR(INDEX(装备库!$A$2:$Y$1047,MATCH(ROW()-1,装备库!$AO$2:$AO$1046,0),COLUMN()),"")</f>
        <v>0</v>
      </c>
      <c r="T374">
        <f>IFERROR(INDEX(装备库!$A$2:$Y$1047,MATCH(ROW()-1,装备库!$AO$2:$AO$1046,0),COLUMN()),"")</f>
        <v>0</v>
      </c>
      <c r="U374">
        <f>IFERROR(INDEX(装备库!$A$2:$Y$1047,MATCH(ROW()-1,装备库!$AO$2:$AO$1046,0),COLUMN()),"")</f>
        <v>0</v>
      </c>
      <c r="V374">
        <f>IFERROR(INDEX(装备库!$A$2:$Y$1047,MATCH(ROW()-1,装备库!$AO$2:$AO$1046,0),COLUMN()),"")</f>
        <v>0</v>
      </c>
      <c r="W374" t="str">
        <f>IFERROR(INDEX(装备库!$A$2:$Y$1047,MATCH(ROW()-1,装备库!$AO$2:$AO$1046,0),COLUMN()),"")</f>
        <v>精简攻招无</v>
      </c>
      <c r="X374">
        <f>IFERROR(INDEX(装备库!$A$2:$Y$1047,MATCH(ROW()-1,装备库!$AO$2:$AO$1046,0),COLUMN()),"")</f>
        <v>3</v>
      </c>
      <c r="Y374" t="str">
        <f>IFERROR(INDEX(装备库!$A$2:$Y$1047,MATCH(ROW()-1,装备库!$AO$2:$AO$1046,0),COLUMN()),"")</f>
        <v>活动</v>
      </c>
    </row>
    <row r="375" spans="1:25" x14ac:dyDescent="0.35">
      <c r="A375" t="str">
        <f>IFERROR(INDEX(装备库!$A$2:$Y$1047,MATCH(ROW()-1,装备库!$AO$2:$AO$1046,0),COLUMN()),"")</f>
        <v>项链</v>
      </c>
      <c r="B375" t="str">
        <f>IFERROR(INDEX(装备库!$A$2:$Y$1047,MATCH(ROW()-1,装备库!$AO$2:$AO$1046,0),COLUMN()),"")</f>
        <v>无封项链</v>
      </c>
      <c r="C375">
        <f>IFERROR(INDEX(装备库!$A$2:$Y$1047,MATCH(ROW()-1,装备库!$AO$2:$AO$1046,0),COLUMN()),"")</f>
        <v>9700</v>
      </c>
      <c r="D375" t="str">
        <f>IFERROR(INDEX(装备库!$A$2:$Y$1047,MATCH(ROW()-1,装备库!$AO$2:$AO$1046,0),COLUMN()),"")</f>
        <v>无封项链(9700精简攻会会招)</v>
      </c>
      <c r="E375">
        <f>IFERROR(INDEX(装备库!$A$2:$Y$1047,MATCH(ROW()-1,装备库!$AO$2:$AO$1046,0),COLUMN()),"")</f>
        <v>0</v>
      </c>
      <c r="F375">
        <f>IFERROR(INDEX(装备库!$A$2:$Y$1047,MATCH(ROW()-1,装备库!$AO$2:$AO$1046,0),COLUMN()),"")</f>
        <v>1226</v>
      </c>
      <c r="G375">
        <f>IFERROR(INDEX(装备库!$A$2:$Y$1047,MATCH(ROW()-1,装备库!$AO$2:$AO$1046,0),COLUMN()),"")</f>
        <v>1794</v>
      </c>
      <c r="H375">
        <f>IFERROR(INDEX(装备库!$A$2:$Y$1047,MATCH(ROW()-1,装备库!$AO$2:$AO$1046,0),COLUMN()),"")</f>
        <v>944</v>
      </c>
      <c r="I375">
        <f>IFERROR(INDEX(装备库!$A$2:$Y$1047,MATCH(ROW()-1,装备库!$AO$2:$AO$1046,0),COLUMN()),"")</f>
        <v>0</v>
      </c>
      <c r="J375">
        <f>IFERROR(INDEX(装备库!$A$2:$Y$1047,MATCH(ROW()-1,装备库!$AO$2:$AO$1046,0),COLUMN()),"")</f>
        <v>944</v>
      </c>
      <c r="K375">
        <f>IFERROR(INDEX(装备库!$A$2:$Y$1047,MATCH(ROW()-1,装备库!$AO$2:$AO$1046,0),COLUMN()),"")</f>
        <v>0</v>
      </c>
      <c r="L375">
        <f>IFERROR(INDEX(装备库!$A$2:$Y$1047,MATCH(ROW()-1,装备库!$AO$2:$AO$1046,0),COLUMN()),"")</f>
        <v>0</v>
      </c>
      <c r="M375">
        <f>IFERROR(INDEX(装备库!$A$2:$Y$1047,MATCH(ROW()-1,装备库!$AO$2:$AO$1046,0),COLUMN()),"")</f>
        <v>0</v>
      </c>
      <c r="N375">
        <f>IFERROR(INDEX(装备库!$A$2:$Y$1047,MATCH(ROW()-1,装备库!$AO$2:$AO$1046,0),COLUMN()),"")</f>
        <v>0</v>
      </c>
      <c r="O375">
        <f>IFERROR(INDEX(装备库!$A$2:$Y$1047,MATCH(ROW()-1,装备库!$AO$2:$AO$1046,0),COLUMN()),"")</f>
        <v>0</v>
      </c>
      <c r="P375">
        <f>IFERROR(INDEX(装备库!$A$2:$Y$1047,MATCH(ROW()-1,装备库!$AO$2:$AO$1046,0),COLUMN()),"")</f>
        <v>0</v>
      </c>
      <c r="Q375">
        <f>IFERROR(INDEX(装备库!$A$2:$Y$1047,MATCH(ROW()-1,装备库!$AO$2:$AO$1046,0),COLUMN()),"")</f>
        <v>0</v>
      </c>
      <c r="R375">
        <f>IFERROR(INDEX(装备库!$A$2:$Y$1047,MATCH(ROW()-1,装备库!$AO$2:$AO$1046,0),COLUMN()),"")</f>
        <v>0</v>
      </c>
      <c r="S375">
        <f>IFERROR(INDEX(装备库!$A$2:$Y$1047,MATCH(ROW()-1,装备库!$AO$2:$AO$1046,0),COLUMN()),"")</f>
        <v>1</v>
      </c>
      <c r="T375">
        <f>IFERROR(INDEX(装备库!$A$2:$Y$1047,MATCH(ROW()-1,装备库!$AO$2:$AO$1046,0),COLUMN()),"")</f>
        <v>0</v>
      </c>
      <c r="U375">
        <f>IFERROR(INDEX(装备库!$A$2:$Y$1047,MATCH(ROW()-1,装备库!$AO$2:$AO$1046,0),COLUMN()),"")</f>
        <v>0</v>
      </c>
      <c r="V375">
        <f>IFERROR(INDEX(装备库!$A$2:$Y$1047,MATCH(ROW()-1,装备库!$AO$2:$AO$1046,0),COLUMN()),"")</f>
        <v>0</v>
      </c>
      <c r="W375" t="str">
        <f>IFERROR(INDEX(装备库!$A$2:$Y$1047,MATCH(ROW()-1,装备库!$AO$2:$AO$1046,0),COLUMN()),"")</f>
        <v>精简攻会会招</v>
      </c>
      <c r="X375">
        <f>IFERROR(INDEX(装备库!$A$2:$Y$1047,MATCH(ROW()-1,装备库!$AO$2:$AO$1046,0),COLUMN()),"")</f>
        <v>3</v>
      </c>
      <c r="Y375" t="str">
        <f>IFERROR(INDEX(装备库!$A$2:$Y$1047,MATCH(ROW()-1,装备库!$AO$2:$AO$1046,0),COLUMN()),"")</f>
        <v>活动</v>
      </c>
    </row>
    <row r="376" spans="1:25" x14ac:dyDescent="0.35">
      <c r="A376" t="str">
        <f>IFERROR(INDEX(装备库!$A$2:$Y$1047,MATCH(ROW()-1,装备库!$AO$2:$AO$1046,0),COLUMN()),"")</f>
        <v>项链</v>
      </c>
      <c r="B376" t="str">
        <f>IFERROR(INDEX(装备库!$A$2:$Y$1047,MATCH(ROW()-1,装备库!$AO$2:$AO$1046,0),COLUMN()),"")</f>
        <v>无封项链</v>
      </c>
      <c r="C376">
        <f>IFERROR(INDEX(装备库!$A$2:$Y$1047,MATCH(ROW()-1,装备库!$AO$2:$AO$1046,0),COLUMN()),"")</f>
        <v>9700</v>
      </c>
      <c r="D376" t="str">
        <f>IFERROR(INDEX(装备库!$A$2:$Y$1047,MATCH(ROW()-1,装备库!$AO$2:$AO$1046,0),COLUMN()),"")</f>
        <v>无封项链(9700精简攻会)</v>
      </c>
      <c r="E376">
        <f>IFERROR(INDEX(装备库!$A$2:$Y$1047,MATCH(ROW()-1,装备库!$AO$2:$AO$1046,0),COLUMN()),"")</f>
        <v>0</v>
      </c>
      <c r="F376">
        <f>IFERROR(INDEX(装备库!$A$2:$Y$1047,MATCH(ROW()-1,装备库!$AO$2:$AO$1046,0),COLUMN()),"")</f>
        <v>1437</v>
      </c>
      <c r="G376">
        <f>IFERROR(INDEX(装备库!$A$2:$Y$1047,MATCH(ROW()-1,装备库!$AO$2:$AO$1046,0),COLUMN()),"")</f>
        <v>3257</v>
      </c>
      <c r="H376">
        <f>IFERROR(INDEX(装备库!$A$2:$Y$1047,MATCH(ROW()-1,装备库!$AO$2:$AO$1046,0),COLUMN()),"")</f>
        <v>0</v>
      </c>
      <c r="I376">
        <f>IFERROR(INDEX(装备库!$A$2:$Y$1047,MATCH(ROW()-1,装备库!$AO$2:$AO$1046,0),COLUMN()),"")</f>
        <v>0</v>
      </c>
      <c r="J376">
        <f>IFERROR(INDEX(装备库!$A$2:$Y$1047,MATCH(ROW()-1,装备库!$AO$2:$AO$1046,0),COLUMN()),"")</f>
        <v>0</v>
      </c>
      <c r="K376">
        <f>IFERROR(INDEX(装备库!$A$2:$Y$1047,MATCH(ROW()-1,装备库!$AO$2:$AO$1046,0),COLUMN()),"")</f>
        <v>0</v>
      </c>
      <c r="L376">
        <f>IFERROR(INDEX(装备库!$A$2:$Y$1047,MATCH(ROW()-1,装备库!$AO$2:$AO$1046,0),COLUMN()),"")</f>
        <v>0</v>
      </c>
      <c r="M376">
        <f>IFERROR(INDEX(装备库!$A$2:$Y$1047,MATCH(ROW()-1,装备库!$AO$2:$AO$1046,0),COLUMN()),"")</f>
        <v>0</v>
      </c>
      <c r="N376">
        <f>IFERROR(INDEX(装备库!$A$2:$Y$1047,MATCH(ROW()-1,装备库!$AO$2:$AO$1046,0),COLUMN()),"")</f>
        <v>0</v>
      </c>
      <c r="O376">
        <f>IFERROR(INDEX(装备库!$A$2:$Y$1047,MATCH(ROW()-1,装备库!$AO$2:$AO$1046,0),COLUMN()),"")</f>
        <v>0</v>
      </c>
      <c r="P376">
        <f>IFERROR(INDEX(装备库!$A$2:$Y$1047,MATCH(ROW()-1,装备库!$AO$2:$AO$1046,0),COLUMN()),"")</f>
        <v>0</v>
      </c>
      <c r="Q376">
        <f>IFERROR(INDEX(装备库!$A$2:$Y$1047,MATCH(ROW()-1,装备库!$AO$2:$AO$1046,0),COLUMN()),"")</f>
        <v>0</v>
      </c>
      <c r="R376">
        <f>IFERROR(INDEX(装备库!$A$2:$Y$1047,MATCH(ROW()-1,装备库!$AO$2:$AO$1046,0),COLUMN()),"")</f>
        <v>1</v>
      </c>
      <c r="S376">
        <f>IFERROR(INDEX(装备库!$A$2:$Y$1047,MATCH(ROW()-1,装备库!$AO$2:$AO$1046,0),COLUMN()),"")</f>
        <v>0</v>
      </c>
      <c r="T376">
        <f>IFERROR(INDEX(装备库!$A$2:$Y$1047,MATCH(ROW()-1,装备库!$AO$2:$AO$1046,0),COLUMN()),"")</f>
        <v>0</v>
      </c>
      <c r="U376">
        <f>IFERROR(INDEX(装备库!$A$2:$Y$1047,MATCH(ROW()-1,装备库!$AO$2:$AO$1046,0),COLUMN()),"")</f>
        <v>0</v>
      </c>
      <c r="V376">
        <f>IFERROR(INDEX(装备库!$A$2:$Y$1047,MATCH(ROW()-1,装备库!$AO$2:$AO$1046,0),COLUMN()),"")</f>
        <v>0</v>
      </c>
      <c r="W376" t="str">
        <f>IFERROR(INDEX(装备库!$A$2:$Y$1047,MATCH(ROW()-1,装备库!$AO$2:$AO$1046,0),COLUMN()),"")</f>
        <v>精简攻会</v>
      </c>
      <c r="X376">
        <f>IFERROR(INDEX(装备库!$A$2:$Y$1047,MATCH(ROW()-1,装备库!$AO$2:$AO$1046,0),COLUMN()),"")</f>
        <v>3</v>
      </c>
      <c r="Y376" t="str">
        <f>IFERROR(INDEX(装备库!$A$2:$Y$1047,MATCH(ROW()-1,装备库!$AO$2:$AO$1046,0),COLUMN()),"")</f>
        <v>活动</v>
      </c>
    </row>
    <row r="377" spans="1:25" x14ac:dyDescent="0.35">
      <c r="A377" t="str">
        <f>IFERROR(INDEX(装备库!$A$2:$Y$1047,MATCH(ROW()-1,装备库!$AO$2:$AO$1046,0),COLUMN()),"")</f>
        <v>项链</v>
      </c>
      <c r="B377" t="str">
        <f>IFERROR(INDEX(装备库!$A$2:$Y$1047,MATCH(ROW()-1,装备库!$AO$2:$AO$1046,0),COLUMN()),"")</f>
        <v>重关链</v>
      </c>
      <c r="C377">
        <f>IFERROR(INDEX(装备库!$A$2:$Y$1047,MATCH(ROW()-1,装备库!$AO$2:$AO$1046,0),COLUMN()),"")</f>
        <v>10000</v>
      </c>
      <c r="D377" t="str">
        <f>IFERROR(INDEX(装备库!$A$2:$Y$1047,MATCH(ROW()-1,装备库!$AO$2:$AO$1046,0),COLUMN()),"")</f>
        <v>重关链(10000招无)</v>
      </c>
      <c r="E377">
        <f>IFERROR(INDEX(装备库!$A$2:$Y$1047,MATCH(ROW()-1,装备库!$AO$2:$AO$1046,0),COLUMN()),"")</f>
        <v>349</v>
      </c>
      <c r="F377">
        <f>IFERROR(INDEX(装备库!$A$2:$Y$1047,MATCH(ROW()-1,装备库!$AO$2:$AO$1046,0),COLUMN()),"")</f>
        <v>566</v>
      </c>
      <c r="G377">
        <f>IFERROR(INDEX(装备库!$A$2:$Y$1047,MATCH(ROW()-1,装备库!$AO$2:$AO$1046,0),COLUMN()),"")</f>
        <v>0</v>
      </c>
      <c r="H377">
        <f>IFERROR(INDEX(装备库!$A$2:$Y$1047,MATCH(ROW()-1,装备库!$AO$2:$AO$1046,0),COLUMN()),"")</f>
        <v>0</v>
      </c>
      <c r="I377">
        <f>IFERROR(INDEX(装备库!$A$2:$Y$1047,MATCH(ROW()-1,装备库!$AO$2:$AO$1046,0),COLUMN()),"")</f>
        <v>0</v>
      </c>
      <c r="J377">
        <f>IFERROR(INDEX(装备库!$A$2:$Y$1047,MATCH(ROW()-1,装备库!$AO$2:$AO$1046,0),COLUMN()),"")</f>
        <v>1752</v>
      </c>
      <c r="K377">
        <f>IFERROR(INDEX(装备库!$A$2:$Y$1047,MATCH(ROW()-1,装备库!$AO$2:$AO$1046,0),COLUMN()),"")</f>
        <v>1557</v>
      </c>
      <c r="L377">
        <f>IFERROR(INDEX(装备库!$A$2:$Y$1047,MATCH(ROW()-1,装备库!$AO$2:$AO$1046,0),COLUMN()),"")</f>
        <v>0</v>
      </c>
      <c r="M377">
        <f>IFERROR(INDEX(装备库!$A$2:$Y$1047,MATCH(ROW()-1,装备库!$AO$2:$AO$1046,0),COLUMN()),"")</f>
        <v>0</v>
      </c>
      <c r="N377">
        <f>IFERROR(INDEX(装备库!$A$2:$Y$1047,MATCH(ROW()-1,装备库!$AO$2:$AO$1046,0),COLUMN()),"")</f>
        <v>0</v>
      </c>
      <c r="O377">
        <f>IFERROR(INDEX(装备库!$A$2:$Y$1047,MATCH(ROW()-1,装备库!$AO$2:$AO$1046,0),COLUMN()),"")</f>
        <v>0</v>
      </c>
      <c r="P377">
        <f>IFERROR(INDEX(装备库!$A$2:$Y$1047,MATCH(ROW()-1,装备库!$AO$2:$AO$1046,0),COLUMN()),"")</f>
        <v>1</v>
      </c>
      <c r="Q377">
        <f>IFERROR(INDEX(装备库!$A$2:$Y$1047,MATCH(ROW()-1,装备库!$AO$2:$AO$1046,0),COLUMN()),"")</f>
        <v>0</v>
      </c>
      <c r="R377">
        <f>IFERROR(INDEX(装备库!$A$2:$Y$1047,MATCH(ROW()-1,装备库!$AO$2:$AO$1046,0),COLUMN()),"")</f>
        <v>0</v>
      </c>
      <c r="S377">
        <f>IFERROR(INDEX(装备库!$A$2:$Y$1047,MATCH(ROW()-1,装备库!$AO$2:$AO$1046,0),COLUMN()),"")</f>
        <v>0</v>
      </c>
      <c r="T377">
        <f>IFERROR(INDEX(装备库!$A$2:$Y$1047,MATCH(ROW()-1,装备库!$AO$2:$AO$1046,0),COLUMN()),"")</f>
        <v>0</v>
      </c>
      <c r="U377">
        <f>IFERROR(INDEX(装备库!$A$2:$Y$1047,MATCH(ROW()-1,装备库!$AO$2:$AO$1046,0),COLUMN()),"")</f>
        <v>0</v>
      </c>
      <c r="V377">
        <f>IFERROR(INDEX(装备库!$A$2:$Y$1047,MATCH(ROW()-1,装备库!$AO$2:$AO$1046,0),COLUMN()),"")</f>
        <v>0</v>
      </c>
      <c r="W377" t="str">
        <f>IFERROR(INDEX(装备库!$A$2:$Y$1047,MATCH(ROW()-1,装备库!$AO$2:$AO$1046,0),COLUMN()),"")</f>
        <v>招无</v>
      </c>
      <c r="X377">
        <f>IFERROR(INDEX(装备库!$A$2:$Y$1047,MATCH(ROW()-1,装备库!$AO$2:$AO$1046,0),COLUMN()),"")</f>
        <v>6</v>
      </c>
      <c r="Y377" t="str">
        <f>IFERROR(INDEX(装备库!$A$2:$Y$1047,MATCH(ROW()-1,装备库!$AO$2:$AO$1046,0),COLUMN()),"")</f>
        <v>副本</v>
      </c>
    </row>
    <row r="378" spans="1:25" x14ac:dyDescent="0.35">
      <c r="A378" t="str">
        <f>IFERROR(INDEX(装备库!$A$2:$Y$1047,MATCH(ROW()-1,装备库!$AO$2:$AO$1046,0),COLUMN()),"")</f>
        <v>项链</v>
      </c>
      <c r="B378" t="str">
        <f>IFERROR(INDEX(装备库!$A$2:$Y$1047,MATCH(ROW()-1,装备库!$AO$2:$AO$1046,0),COLUMN()),"")</f>
        <v>曲郦链</v>
      </c>
      <c r="C378">
        <f>IFERROR(INDEX(装备库!$A$2:$Y$1047,MATCH(ROW()-1,装备库!$AO$2:$AO$1046,0),COLUMN()),"")</f>
        <v>10000</v>
      </c>
      <c r="D378" t="str">
        <f>IFERROR(INDEX(装备库!$A$2:$Y$1047,MATCH(ROW()-1,装备库!$AO$2:$AO$1046,0),COLUMN()),"")</f>
        <v>曲郦链(10000招破)</v>
      </c>
      <c r="E378">
        <f>IFERROR(INDEX(装备库!$A$2:$Y$1047,MATCH(ROW()-1,装备库!$AO$2:$AO$1046,0),COLUMN()),"")</f>
        <v>349</v>
      </c>
      <c r="F378">
        <f>IFERROR(INDEX(装备库!$A$2:$Y$1047,MATCH(ROW()-1,装备库!$AO$2:$AO$1046,0),COLUMN()),"")</f>
        <v>566</v>
      </c>
      <c r="G378">
        <f>IFERROR(INDEX(装备库!$A$2:$Y$1047,MATCH(ROW()-1,装备库!$AO$2:$AO$1046,0),COLUMN()),"")</f>
        <v>0</v>
      </c>
      <c r="H378">
        <f>IFERROR(INDEX(装备库!$A$2:$Y$1047,MATCH(ROW()-1,装备库!$AO$2:$AO$1046,0),COLUMN()),"")</f>
        <v>0</v>
      </c>
      <c r="I378">
        <f>IFERROR(INDEX(装备库!$A$2:$Y$1047,MATCH(ROW()-1,装备库!$AO$2:$AO$1046,0),COLUMN()),"")</f>
        <v>1752</v>
      </c>
      <c r="J378">
        <f>IFERROR(INDEX(装备库!$A$2:$Y$1047,MATCH(ROW()-1,装备库!$AO$2:$AO$1046,0),COLUMN()),"")</f>
        <v>1557</v>
      </c>
      <c r="K378">
        <f>IFERROR(INDEX(装备库!$A$2:$Y$1047,MATCH(ROW()-1,装备库!$AO$2:$AO$1046,0),COLUMN()),"")</f>
        <v>0</v>
      </c>
      <c r="L378">
        <f>IFERROR(INDEX(装备库!$A$2:$Y$1047,MATCH(ROW()-1,装备库!$AO$2:$AO$1046,0),COLUMN()),"")</f>
        <v>0</v>
      </c>
      <c r="M378">
        <f>IFERROR(INDEX(装备库!$A$2:$Y$1047,MATCH(ROW()-1,装备库!$AO$2:$AO$1046,0),COLUMN()),"")</f>
        <v>0</v>
      </c>
      <c r="N378">
        <f>IFERROR(INDEX(装备库!$A$2:$Y$1047,MATCH(ROW()-1,装备库!$AO$2:$AO$1046,0),COLUMN()),"")</f>
        <v>0</v>
      </c>
      <c r="O378">
        <f>IFERROR(INDEX(装备库!$A$2:$Y$1047,MATCH(ROW()-1,装备库!$AO$2:$AO$1046,0),COLUMN()),"")</f>
        <v>0</v>
      </c>
      <c r="P378">
        <f>IFERROR(INDEX(装备库!$A$2:$Y$1047,MATCH(ROW()-1,装备库!$AO$2:$AO$1046,0),COLUMN()),"")</f>
        <v>1</v>
      </c>
      <c r="Q378">
        <f>IFERROR(INDEX(装备库!$A$2:$Y$1047,MATCH(ROW()-1,装备库!$AO$2:$AO$1046,0),COLUMN()),"")</f>
        <v>0</v>
      </c>
      <c r="R378">
        <f>IFERROR(INDEX(装备库!$A$2:$Y$1047,MATCH(ROW()-1,装备库!$AO$2:$AO$1046,0),COLUMN()),"")</f>
        <v>0</v>
      </c>
      <c r="S378">
        <f>IFERROR(INDEX(装备库!$A$2:$Y$1047,MATCH(ROW()-1,装备库!$AO$2:$AO$1046,0),COLUMN()),"")</f>
        <v>0</v>
      </c>
      <c r="T378">
        <f>IFERROR(INDEX(装备库!$A$2:$Y$1047,MATCH(ROW()-1,装备库!$AO$2:$AO$1046,0),COLUMN()),"")</f>
        <v>0</v>
      </c>
      <c r="U378">
        <f>IFERROR(INDEX(装备库!$A$2:$Y$1047,MATCH(ROW()-1,装备库!$AO$2:$AO$1046,0),COLUMN()),"")</f>
        <v>0</v>
      </c>
      <c r="V378">
        <f>IFERROR(INDEX(装备库!$A$2:$Y$1047,MATCH(ROW()-1,装备库!$AO$2:$AO$1046,0),COLUMN()),"")</f>
        <v>0</v>
      </c>
      <c r="W378" t="str">
        <f>IFERROR(INDEX(装备库!$A$2:$Y$1047,MATCH(ROW()-1,装备库!$AO$2:$AO$1046,0),COLUMN()),"")</f>
        <v>招破</v>
      </c>
      <c r="X378">
        <f>IFERROR(INDEX(装备库!$A$2:$Y$1047,MATCH(ROW()-1,装备库!$AO$2:$AO$1046,0),COLUMN()),"")</f>
        <v>6</v>
      </c>
      <c r="Y378" t="str">
        <f>IFERROR(INDEX(装备库!$A$2:$Y$1047,MATCH(ROW()-1,装备库!$AO$2:$AO$1046,0),COLUMN()),"")</f>
        <v>副本</v>
      </c>
    </row>
    <row r="379" spans="1:25" x14ac:dyDescent="0.35">
      <c r="A379" t="str">
        <f>IFERROR(INDEX(装备库!$A$2:$Y$1047,MATCH(ROW()-1,装备库!$AO$2:$AO$1046,0),COLUMN()),"")</f>
        <v>项链</v>
      </c>
      <c r="B379" t="str">
        <f>IFERROR(INDEX(装备库!$A$2:$Y$1047,MATCH(ROW()-1,装备库!$AO$2:$AO$1046,0),COLUMN()),"")</f>
        <v>羡双链</v>
      </c>
      <c r="C379">
        <f>IFERROR(INDEX(装备库!$A$2:$Y$1047,MATCH(ROW()-1,装备库!$AO$2:$AO$1046,0),COLUMN()),"")</f>
        <v>10000</v>
      </c>
      <c r="D379" t="str">
        <f>IFERROR(INDEX(装备库!$A$2:$Y$1047,MATCH(ROW()-1,装备库!$AO$2:$AO$1046,0),COLUMN()),"")</f>
        <v>羡双链(10000速无)</v>
      </c>
      <c r="E379">
        <f>IFERROR(INDEX(装备库!$A$2:$Y$1047,MATCH(ROW()-1,装备库!$AO$2:$AO$1046,0),COLUMN()),"")</f>
        <v>349</v>
      </c>
      <c r="F379">
        <f>IFERROR(INDEX(装备库!$A$2:$Y$1047,MATCH(ROW()-1,装备库!$AO$2:$AO$1046,0),COLUMN()),"")</f>
        <v>566</v>
      </c>
      <c r="G379">
        <f>IFERROR(INDEX(装备库!$A$2:$Y$1047,MATCH(ROW()-1,装备库!$AO$2:$AO$1046,0),COLUMN()),"")</f>
        <v>0</v>
      </c>
      <c r="H379">
        <f>IFERROR(INDEX(装备库!$A$2:$Y$1047,MATCH(ROW()-1,装备库!$AO$2:$AO$1046,0),COLUMN()),"")</f>
        <v>0</v>
      </c>
      <c r="I379">
        <f>IFERROR(INDEX(装备库!$A$2:$Y$1047,MATCH(ROW()-1,装备库!$AO$2:$AO$1046,0),COLUMN()),"")</f>
        <v>0</v>
      </c>
      <c r="J379">
        <f>IFERROR(INDEX(装备库!$A$2:$Y$1047,MATCH(ROW()-1,装备库!$AO$2:$AO$1046,0),COLUMN()),"")</f>
        <v>0</v>
      </c>
      <c r="K379">
        <f>IFERROR(INDEX(装备库!$A$2:$Y$1047,MATCH(ROW()-1,装备库!$AO$2:$AO$1046,0),COLUMN()),"")</f>
        <v>1557</v>
      </c>
      <c r="L379">
        <f>IFERROR(INDEX(装备库!$A$2:$Y$1047,MATCH(ROW()-1,装备库!$AO$2:$AO$1046,0),COLUMN()),"")</f>
        <v>1752</v>
      </c>
      <c r="M379">
        <f>IFERROR(INDEX(装备库!$A$2:$Y$1047,MATCH(ROW()-1,装备库!$AO$2:$AO$1046,0),COLUMN()),"")</f>
        <v>0</v>
      </c>
      <c r="N379">
        <f>IFERROR(INDEX(装备库!$A$2:$Y$1047,MATCH(ROW()-1,装备库!$AO$2:$AO$1046,0),COLUMN()),"")</f>
        <v>0</v>
      </c>
      <c r="O379">
        <f>IFERROR(INDEX(装备库!$A$2:$Y$1047,MATCH(ROW()-1,装备库!$AO$2:$AO$1046,0),COLUMN()),"")</f>
        <v>0</v>
      </c>
      <c r="P379">
        <f>IFERROR(INDEX(装备库!$A$2:$Y$1047,MATCH(ROW()-1,装备库!$AO$2:$AO$1046,0),COLUMN()),"")</f>
        <v>0</v>
      </c>
      <c r="Q379">
        <f>IFERROR(INDEX(装备库!$A$2:$Y$1047,MATCH(ROW()-1,装备库!$AO$2:$AO$1046,0),COLUMN()),"")</f>
        <v>0</v>
      </c>
      <c r="R379">
        <f>IFERROR(INDEX(装备库!$A$2:$Y$1047,MATCH(ROW()-1,装备库!$AO$2:$AO$1046,0),COLUMN()),"")</f>
        <v>0</v>
      </c>
      <c r="S379">
        <f>IFERROR(INDEX(装备库!$A$2:$Y$1047,MATCH(ROW()-1,装备库!$AO$2:$AO$1046,0),COLUMN()),"")</f>
        <v>0</v>
      </c>
      <c r="T379">
        <f>IFERROR(INDEX(装备库!$A$2:$Y$1047,MATCH(ROW()-1,装备库!$AO$2:$AO$1046,0),COLUMN()),"")</f>
        <v>0</v>
      </c>
      <c r="U379">
        <f>IFERROR(INDEX(装备库!$A$2:$Y$1047,MATCH(ROW()-1,装备库!$AO$2:$AO$1046,0),COLUMN()),"")</f>
        <v>1</v>
      </c>
      <c r="V379">
        <f>IFERROR(INDEX(装备库!$A$2:$Y$1047,MATCH(ROW()-1,装备库!$AO$2:$AO$1046,0),COLUMN()),"")</f>
        <v>0</v>
      </c>
      <c r="W379" t="str">
        <f>IFERROR(INDEX(装备库!$A$2:$Y$1047,MATCH(ROW()-1,装备库!$AO$2:$AO$1046,0),COLUMN()),"")</f>
        <v>速无</v>
      </c>
      <c r="X379">
        <f>IFERROR(INDEX(装备库!$A$2:$Y$1047,MATCH(ROW()-1,装备库!$AO$2:$AO$1046,0),COLUMN()),"")</f>
        <v>6</v>
      </c>
      <c r="Y379" t="str">
        <f>IFERROR(INDEX(装备库!$A$2:$Y$1047,MATCH(ROW()-1,装备库!$AO$2:$AO$1046,0),COLUMN()),"")</f>
        <v>副本</v>
      </c>
    </row>
    <row r="380" spans="1:25" x14ac:dyDescent="0.35">
      <c r="A380" t="str">
        <f>IFERROR(INDEX(装备库!$A$2:$Y$1047,MATCH(ROW()-1,装备库!$AO$2:$AO$1046,0),COLUMN()),"")</f>
        <v>项链</v>
      </c>
      <c r="B380" t="str">
        <f>IFERROR(INDEX(装备库!$A$2:$Y$1047,MATCH(ROW()-1,装备库!$AO$2:$AO$1046,0),COLUMN()),"")</f>
        <v>忆敬链</v>
      </c>
      <c r="C380">
        <f>IFERROR(INDEX(装备库!$A$2:$Y$1047,MATCH(ROW()-1,装备库!$AO$2:$AO$1046,0),COLUMN()),"")</f>
        <v>10000</v>
      </c>
      <c r="D380" t="str">
        <f>IFERROR(INDEX(装备库!$A$2:$Y$1047,MATCH(ROW()-1,装备库!$AO$2:$AO$1046,0),COLUMN()),"")</f>
        <v>忆敬链(10000破无)</v>
      </c>
      <c r="E380">
        <f>IFERROR(INDEX(装备库!$A$2:$Y$1047,MATCH(ROW()-1,装备库!$AO$2:$AO$1046,0),COLUMN()),"")</f>
        <v>349</v>
      </c>
      <c r="F380">
        <f>IFERROR(INDEX(装备库!$A$2:$Y$1047,MATCH(ROW()-1,装备库!$AO$2:$AO$1046,0),COLUMN()),"")</f>
        <v>566</v>
      </c>
      <c r="G380">
        <f>IFERROR(INDEX(装备库!$A$2:$Y$1047,MATCH(ROW()-1,装备库!$AO$2:$AO$1046,0),COLUMN()),"")</f>
        <v>0</v>
      </c>
      <c r="H380">
        <f>IFERROR(INDEX(装备库!$A$2:$Y$1047,MATCH(ROW()-1,装备库!$AO$2:$AO$1046,0),COLUMN()),"")</f>
        <v>0</v>
      </c>
      <c r="I380">
        <f>IFERROR(INDEX(装备库!$A$2:$Y$1047,MATCH(ROW()-1,装备库!$AO$2:$AO$1046,0),COLUMN()),"")</f>
        <v>1752</v>
      </c>
      <c r="J380">
        <f>IFERROR(INDEX(装备库!$A$2:$Y$1047,MATCH(ROW()-1,装备库!$AO$2:$AO$1046,0),COLUMN()),"")</f>
        <v>0</v>
      </c>
      <c r="K380">
        <f>IFERROR(INDEX(装备库!$A$2:$Y$1047,MATCH(ROW()-1,装备库!$AO$2:$AO$1046,0),COLUMN()),"")</f>
        <v>1557</v>
      </c>
      <c r="L380">
        <f>IFERROR(INDEX(装备库!$A$2:$Y$1047,MATCH(ROW()-1,装备库!$AO$2:$AO$1046,0),COLUMN()),"")</f>
        <v>0</v>
      </c>
      <c r="M380">
        <f>IFERROR(INDEX(装备库!$A$2:$Y$1047,MATCH(ROW()-1,装备库!$AO$2:$AO$1046,0),COLUMN()),"")</f>
        <v>0</v>
      </c>
      <c r="N380">
        <f>IFERROR(INDEX(装备库!$A$2:$Y$1047,MATCH(ROW()-1,装备库!$AO$2:$AO$1046,0),COLUMN()),"")</f>
        <v>0</v>
      </c>
      <c r="O380">
        <f>IFERROR(INDEX(装备库!$A$2:$Y$1047,MATCH(ROW()-1,装备库!$AO$2:$AO$1046,0),COLUMN()),"")</f>
        <v>0</v>
      </c>
      <c r="P380">
        <f>IFERROR(INDEX(装备库!$A$2:$Y$1047,MATCH(ROW()-1,装备库!$AO$2:$AO$1046,0),COLUMN()),"")</f>
        <v>0</v>
      </c>
      <c r="Q380">
        <f>IFERROR(INDEX(装备库!$A$2:$Y$1047,MATCH(ROW()-1,装备库!$AO$2:$AO$1046,0),COLUMN()),"")</f>
        <v>0</v>
      </c>
      <c r="R380">
        <f>IFERROR(INDEX(装备库!$A$2:$Y$1047,MATCH(ROW()-1,装备库!$AO$2:$AO$1046,0),COLUMN()),"")</f>
        <v>0</v>
      </c>
      <c r="S380">
        <f>IFERROR(INDEX(装备库!$A$2:$Y$1047,MATCH(ROW()-1,装备库!$AO$2:$AO$1046,0),COLUMN()),"")</f>
        <v>0</v>
      </c>
      <c r="T380">
        <f>IFERROR(INDEX(装备库!$A$2:$Y$1047,MATCH(ROW()-1,装备库!$AO$2:$AO$1046,0),COLUMN()),"")</f>
        <v>0</v>
      </c>
      <c r="U380">
        <f>IFERROR(INDEX(装备库!$A$2:$Y$1047,MATCH(ROW()-1,装备库!$AO$2:$AO$1046,0),COLUMN()),"")</f>
        <v>1</v>
      </c>
      <c r="V380">
        <f>IFERROR(INDEX(装备库!$A$2:$Y$1047,MATCH(ROW()-1,装备库!$AO$2:$AO$1046,0),COLUMN()),"")</f>
        <v>0</v>
      </c>
      <c r="W380" t="str">
        <f>IFERROR(INDEX(装备库!$A$2:$Y$1047,MATCH(ROW()-1,装备库!$AO$2:$AO$1046,0),COLUMN()),"")</f>
        <v>破无</v>
      </c>
      <c r="X380">
        <f>IFERROR(INDEX(装备库!$A$2:$Y$1047,MATCH(ROW()-1,装备库!$AO$2:$AO$1046,0),COLUMN()),"")</f>
        <v>6</v>
      </c>
      <c r="Y380" t="str">
        <f>IFERROR(INDEX(装备库!$A$2:$Y$1047,MATCH(ROW()-1,装备库!$AO$2:$AO$1046,0),COLUMN()),"")</f>
        <v>副本</v>
      </c>
    </row>
    <row r="381" spans="1:25" x14ac:dyDescent="0.35">
      <c r="A381" t="str">
        <f>IFERROR(INDEX(装备库!$A$2:$Y$1047,MATCH(ROW()-1,装备库!$AO$2:$AO$1046,0),COLUMN()),"")</f>
        <v>项链</v>
      </c>
      <c r="B381" t="str">
        <f>IFERROR(INDEX(装备库!$A$2:$Y$1047,MATCH(ROW()-1,装备库!$AO$2:$AO$1046,0),COLUMN()),"")</f>
        <v>无虞·撼地链</v>
      </c>
      <c r="C381">
        <f>IFERROR(INDEX(装备库!$A$2:$Y$1047,MATCH(ROW()-1,装备库!$AO$2:$AO$1046,0),COLUMN()),"")</f>
        <v>10000</v>
      </c>
      <c r="D381" t="str">
        <f>IFERROR(INDEX(装备库!$A$2:$Y$1047,MATCH(ROW()-1,装备库!$AO$2:$AO$1046,0),COLUMN()),"")</f>
        <v>无虞·撼地链(10000破无)</v>
      </c>
      <c r="E381">
        <f>IFERROR(INDEX(装备库!$A$2:$Y$1047,MATCH(ROW()-1,装备库!$AO$2:$AO$1046,0),COLUMN()),"")</f>
        <v>349</v>
      </c>
      <c r="F381">
        <f>IFERROR(INDEX(装备库!$A$2:$Y$1047,MATCH(ROW()-1,装备库!$AO$2:$AO$1046,0),COLUMN()),"")</f>
        <v>566</v>
      </c>
      <c r="G381">
        <f>IFERROR(INDEX(装备库!$A$2:$Y$1047,MATCH(ROW()-1,装备库!$AO$2:$AO$1046,0),COLUMN()),"")</f>
        <v>0</v>
      </c>
      <c r="H381">
        <f>IFERROR(INDEX(装备库!$A$2:$Y$1047,MATCH(ROW()-1,装备库!$AO$2:$AO$1046,0),COLUMN()),"")</f>
        <v>0</v>
      </c>
      <c r="I381">
        <f>IFERROR(INDEX(装备库!$A$2:$Y$1047,MATCH(ROW()-1,装备库!$AO$2:$AO$1046,0),COLUMN()),"")</f>
        <v>1752</v>
      </c>
      <c r="J381">
        <f>IFERROR(INDEX(装备库!$A$2:$Y$1047,MATCH(ROW()-1,装备库!$AO$2:$AO$1046,0),COLUMN()),"")</f>
        <v>0</v>
      </c>
      <c r="K381">
        <f>IFERROR(INDEX(装备库!$A$2:$Y$1047,MATCH(ROW()-1,装备库!$AO$2:$AO$1046,0),COLUMN()),"")</f>
        <v>1557</v>
      </c>
      <c r="L381">
        <f>IFERROR(INDEX(装备库!$A$2:$Y$1047,MATCH(ROW()-1,装备库!$AO$2:$AO$1046,0),COLUMN()),"")</f>
        <v>0</v>
      </c>
      <c r="M381">
        <f>IFERROR(INDEX(装备库!$A$2:$Y$1047,MATCH(ROW()-1,装备库!$AO$2:$AO$1046,0),COLUMN()),"")</f>
        <v>0</v>
      </c>
      <c r="N381">
        <f>IFERROR(INDEX(装备库!$A$2:$Y$1047,MATCH(ROW()-1,装备库!$AO$2:$AO$1046,0),COLUMN()),"")</f>
        <v>0</v>
      </c>
      <c r="O381">
        <f>IFERROR(INDEX(装备库!$A$2:$Y$1047,MATCH(ROW()-1,装备库!$AO$2:$AO$1046,0),COLUMN()),"")</f>
        <v>0</v>
      </c>
      <c r="P381">
        <f>IFERROR(INDEX(装备库!$A$2:$Y$1047,MATCH(ROW()-1,装备库!$AO$2:$AO$1046,0),COLUMN()),"")</f>
        <v>0</v>
      </c>
      <c r="Q381">
        <f>IFERROR(INDEX(装备库!$A$2:$Y$1047,MATCH(ROW()-1,装备库!$AO$2:$AO$1046,0),COLUMN()),"")</f>
        <v>0</v>
      </c>
      <c r="R381">
        <f>IFERROR(INDEX(装备库!$A$2:$Y$1047,MATCH(ROW()-1,装备库!$AO$2:$AO$1046,0),COLUMN()),"")</f>
        <v>0</v>
      </c>
      <c r="S381">
        <f>IFERROR(INDEX(装备库!$A$2:$Y$1047,MATCH(ROW()-1,装备库!$AO$2:$AO$1046,0),COLUMN()),"")</f>
        <v>0</v>
      </c>
      <c r="T381">
        <f>IFERROR(INDEX(装备库!$A$2:$Y$1047,MATCH(ROW()-1,装备库!$AO$2:$AO$1046,0),COLUMN()),"")</f>
        <v>0</v>
      </c>
      <c r="U381">
        <f>IFERROR(INDEX(装备库!$A$2:$Y$1047,MATCH(ROW()-1,装备库!$AO$2:$AO$1046,0),COLUMN()),"")</f>
        <v>1</v>
      </c>
      <c r="V381">
        <f>IFERROR(INDEX(装备库!$A$2:$Y$1047,MATCH(ROW()-1,装备库!$AO$2:$AO$1046,0),COLUMN()),"")</f>
        <v>0</v>
      </c>
      <c r="W381" t="str">
        <f>IFERROR(INDEX(装备库!$A$2:$Y$1047,MATCH(ROW()-1,装备库!$AO$2:$AO$1046,0),COLUMN()),"")</f>
        <v>破无</v>
      </c>
      <c r="X381">
        <f>IFERROR(INDEX(装备库!$A$2:$Y$1047,MATCH(ROW()-1,装备库!$AO$2:$AO$1046,0),COLUMN()),"")</f>
        <v>6</v>
      </c>
      <c r="Y381" t="str">
        <f>IFERROR(INDEX(装备库!$A$2:$Y$1047,MATCH(ROW()-1,装备库!$AO$2:$AO$1046,0),COLUMN()),"")</f>
        <v>任务</v>
      </c>
    </row>
    <row r="382" spans="1:25" x14ac:dyDescent="0.35">
      <c r="A382" t="str">
        <f>IFERROR(INDEX(装备库!$A$2:$Y$1047,MATCH(ROW()-1,装备库!$AO$2:$AO$1046,0),COLUMN()),"")</f>
        <v>项链</v>
      </c>
      <c r="B382" t="str">
        <f>IFERROR(INDEX(装备库!$A$2:$Y$1047,MATCH(ROW()-1,装备库!$AO$2:$AO$1046,0),COLUMN()),"")</f>
        <v>垣翰链</v>
      </c>
      <c r="C382">
        <f>IFERROR(INDEX(装备库!$A$2:$Y$1047,MATCH(ROW()-1,装备库!$AO$2:$AO$1046,0),COLUMN()),"")</f>
        <v>10000</v>
      </c>
      <c r="D382" t="str">
        <f>IFERROR(INDEX(装备库!$A$2:$Y$1047,MATCH(ROW()-1,装备库!$AO$2:$AO$1046,0),COLUMN()),"")</f>
        <v>垣翰链(10000会招)</v>
      </c>
      <c r="E382">
        <f>IFERROR(INDEX(装备库!$A$2:$Y$1047,MATCH(ROW()-1,装备库!$AO$2:$AO$1046,0),COLUMN()),"")</f>
        <v>349</v>
      </c>
      <c r="F382">
        <f>IFERROR(INDEX(装备库!$A$2:$Y$1047,MATCH(ROW()-1,装备库!$AO$2:$AO$1046,0),COLUMN()),"")</f>
        <v>566</v>
      </c>
      <c r="G382">
        <f>IFERROR(INDEX(装备库!$A$2:$Y$1047,MATCH(ROW()-1,装备库!$AO$2:$AO$1046,0),COLUMN()),"")</f>
        <v>1752</v>
      </c>
      <c r="H382">
        <f>IFERROR(INDEX(装备库!$A$2:$Y$1047,MATCH(ROW()-1,装备库!$AO$2:$AO$1046,0),COLUMN()),"")</f>
        <v>0</v>
      </c>
      <c r="I382">
        <f>IFERROR(INDEX(装备库!$A$2:$Y$1047,MATCH(ROW()-1,装备库!$AO$2:$AO$1046,0),COLUMN()),"")</f>
        <v>0</v>
      </c>
      <c r="J382">
        <f>IFERROR(INDEX(装备库!$A$2:$Y$1047,MATCH(ROW()-1,装备库!$AO$2:$AO$1046,0),COLUMN()),"")</f>
        <v>1557</v>
      </c>
      <c r="K382">
        <f>IFERROR(INDEX(装备库!$A$2:$Y$1047,MATCH(ROW()-1,装备库!$AO$2:$AO$1046,0),COLUMN()),"")</f>
        <v>0</v>
      </c>
      <c r="L382">
        <f>IFERROR(INDEX(装备库!$A$2:$Y$1047,MATCH(ROW()-1,装备库!$AO$2:$AO$1046,0),COLUMN()),"")</f>
        <v>0</v>
      </c>
      <c r="M382">
        <f>IFERROR(INDEX(装备库!$A$2:$Y$1047,MATCH(ROW()-1,装备库!$AO$2:$AO$1046,0),COLUMN()),"")</f>
        <v>0</v>
      </c>
      <c r="N382">
        <f>IFERROR(INDEX(装备库!$A$2:$Y$1047,MATCH(ROW()-1,装备库!$AO$2:$AO$1046,0),COLUMN()),"")</f>
        <v>0</v>
      </c>
      <c r="O382">
        <f>IFERROR(INDEX(装备库!$A$2:$Y$1047,MATCH(ROW()-1,装备库!$AO$2:$AO$1046,0),COLUMN()),"")</f>
        <v>0</v>
      </c>
      <c r="P382">
        <f>IFERROR(INDEX(装备库!$A$2:$Y$1047,MATCH(ROW()-1,装备库!$AO$2:$AO$1046,0),COLUMN()),"")</f>
        <v>0</v>
      </c>
      <c r="Q382">
        <f>IFERROR(INDEX(装备库!$A$2:$Y$1047,MATCH(ROW()-1,装备库!$AO$2:$AO$1046,0),COLUMN()),"")</f>
        <v>0</v>
      </c>
      <c r="R382">
        <f>IFERROR(INDEX(装备库!$A$2:$Y$1047,MATCH(ROW()-1,装备库!$AO$2:$AO$1046,0),COLUMN()),"")</f>
        <v>0</v>
      </c>
      <c r="S382">
        <f>IFERROR(INDEX(装备库!$A$2:$Y$1047,MATCH(ROW()-1,装备库!$AO$2:$AO$1046,0),COLUMN()),"")</f>
        <v>1</v>
      </c>
      <c r="T382">
        <f>IFERROR(INDEX(装备库!$A$2:$Y$1047,MATCH(ROW()-1,装备库!$AO$2:$AO$1046,0),COLUMN()),"")</f>
        <v>0</v>
      </c>
      <c r="U382">
        <f>IFERROR(INDEX(装备库!$A$2:$Y$1047,MATCH(ROW()-1,装备库!$AO$2:$AO$1046,0),COLUMN()),"")</f>
        <v>0</v>
      </c>
      <c r="V382">
        <f>IFERROR(INDEX(装备库!$A$2:$Y$1047,MATCH(ROW()-1,装备库!$AO$2:$AO$1046,0),COLUMN()),"")</f>
        <v>0</v>
      </c>
      <c r="W382" t="str">
        <f>IFERROR(INDEX(装备库!$A$2:$Y$1047,MATCH(ROW()-1,装备库!$AO$2:$AO$1046,0),COLUMN()),"")</f>
        <v>会招</v>
      </c>
      <c r="X382">
        <f>IFERROR(INDEX(装备库!$A$2:$Y$1047,MATCH(ROW()-1,装备库!$AO$2:$AO$1046,0),COLUMN()),"")</f>
        <v>6</v>
      </c>
      <c r="Y382" t="str">
        <f>IFERROR(INDEX(装备库!$A$2:$Y$1047,MATCH(ROW()-1,装备库!$AO$2:$AO$1046,0),COLUMN()),"")</f>
        <v>副本</v>
      </c>
    </row>
    <row r="383" spans="1:25" x14ac:dyDescent="0.35">
      <c r="A383" t="str">
        <f>IFERROR(INDEX(装备库!$A$2:$Y$1047,MATCH(ROW()-1,装备库!$AO$2:$AO$1046,0),COLUMN()),"")</f>
        <v>项链</v>
      </c>
      <c r="B383" t="str">
        <f>IFERROR(INDEX(装备库!$A$2:$Y$1047,MATCH(ROW()-1,装备库!$AO$2:$AO$1046,0),COLUMN()),"")</f>
        <v>拭江链</v>
      </c>
      <c r="C383">
        <f>IFERROR(INDEX(装备库!$A$2:$Y$1047,MATCH(ROW()-1,装备库!$AO$2:$AO$1046,0),COLUMN()),"")</f>
        <v>10000</v>
      </c>
      <c r="D383" t="str">
        <f>IFERROR(INDEX(装备库!$A$2:$Y$1047,MATCH(ROW()-1,装备库!$AO$2:$AO$1046,0),COLUMN()),"")</f>
        <v>拭江链(10000会招)</v>
      </c>
      <c r="E383">
        <f>IFERROR(INDEX(装备库!$A$2:$Y$1047,MATCH(ROW()-1,装备库!$AO$2:$AO$1046,0),COLUMN()),"")</f>
        <v>349</v>
      </c>
      <c r="F383">
        <f>IFERROR(INDEX(装备库!$A$2:$Y$1047,MATCH(ROW()-1,装备库!$AO$2:$AO$1046,0),COLUMN()),"")</f>
        <v>566</v>
      </c>
      <c r="G383">
        <f>IFERROR(INDEX(装备库!$A$2:$Y$1047,MATCH(ROW()-1,装备库!$AO$2:$AO$1046,0),COLUMN()),"")</f>
        <v>1752</v>
      </c>
      <c r="H383">
        <f>IFERROR(INDEX(装备库!$A$2:$Y$1047,MATCH(ROW()-1,装备库!$AO$2:$AO$1046,0),COLUMN()),"")</f>
        <v>0</v>
      </c>
      <c r="I383">
        <f>IFERROR(INDEX(装备库!$A$2:$Y$1047,MATCH(ROW()-1,装备库!$AO$2:$AO$1046,0),COLUMN()),"")</f>
        <v>0</v>
      </c>
      <c r="J383">
        <f>IFERROR(INDEX(装备库!$A$2:$Y$1047,MATCH(ROW()-1,装备库!$AO$2:$AO$1046,0),COLUMN()),"")</f>
        <v>1557</v>
      </c>
      <c r="K383">
        <f>IFERROR(INDEX(装备库!$A$2:$Y$1047,MATCH(ROW()-1,装备库!$AO$2:$AO$1046,0),COLUMN()),"")</f>
        <v>0</v>
      </c>
      <c r="L383">
        <f>IFERROR(INDEX(装备库!$A$2:$Y$1047,MATCH(ROW()-1,装备库!$AO$2:$AO$1046,0),COLUMN()),"")</f>
        <v>0</v>
      </c>
      <c r="M383">
        <f>IFERROR(INDEX(装备库!$A$2:$Y$1047,MATCH(ROW()-1,装备库!$AO$2:$AO$1046,0),COLUMN()),"")</f>
        <v>0</v>
      </c>
      <c r="N383">
        <f>IFERROR(INDEX(装备库!$A$2:$Y$1047,MATCH(ROW()-1,装备库!$AO$2:$AO$1046,0),COLUMN()),"")</f>
        <v>0</v>
      </c>
      <c r="O383">
        <f>IFERROR(INDEX(装备库!$A$2:$Y$1047,MATCH(ROW()-1,装备库!$AO$2:$AO$1046,0),COLUMN()),"")</f>
        <v>0</v>
      </c>
      <c r="P383">
        <f>IFERROR(INDEX(装备库!$A$2:$Y$1047,MATCH(ROW()-1,装备库!$AO$2:$AO$1046,0),COLUMN()),"")</f>
        <v>0</v>
      </c>
      <c r="Q383">
        <f>IFERROR(INDEX(装备库!$A$2:$Y$1047,MATCH(ROW()-1,装备库!$AO$2:$AO$1046,0),COLUMN()),"")</f>
        <v>0</v>
      </c>
      <c r="R383">
        <f>IFERROR(INDEX(装备库!$A$2:$Y$1047,MATCH(ROW()-1,装备库!$AO$2:$AO$1046,0),COLUMN()),"")</f>
        <v>0</v>
      </c>
      <c r="S383">
        <f>IFERROR(INDEX(装备库!$A$2:$Y$1047,MATCH(ROW()-1,装备库!$AO$2:$AO$1046,0),COLUMN()),"")</f>
        <v>1</v>
      </c>
      <c r="T383">
        <f>IFERROR(INDEX(装备库!$A$2:$Y$1047,MATCH(ROW()-1,装备库!$AO$2:$AO$1046,0),COLUMN()),"")</f>
        <v>0</v>
      </c>
      <c r="U383">
        <f>IFERROR(INDEX(装备库!$A$2:$Y$1047,MATCH(ROW()-1,装备库!$AO$2:$AO$1046,0),COLUMN()),"")</f>
        <v>0</v>
      </c>
      <c r="V383">
        <f>IFERROR(INDEX(装备库!$A$2:$Y$1047,MATCH(ROW()-1,装备库!$AO$2:$AO$1046,0),COLUMN()),"")</f>
        <v>0</v>
      </c>
      <c r="W383" t="str">
        <f>IFERROR(INDEX(装备库!$A$2:$Y$1047,MATCH(ROW()-1,装备库!$AO$2:$AO$1046,0),COLUMN()),"")</f>
        <v>会招</v>
      </c>
      <c r="X383">
        <f>IFERROR(INDEX(装备库!$A$2:$Y$1047,MATCH(ROW()-1,装备库!$AO$2:$AO$1046,0),COLUMN()),"")</f>
        <v>6</v>
      </c>
      <c r="Y383" t="str">
        <f>IFERROR(INDEX(装备库!$A$2:$Y$1047,MATCH(ROW()-1,装备库!$AO$2:$AO$1046,0),COLUMN()),"")</f>
        <v>副本</v>
      </c>
    </row>
    <row r="384" spans="1:25" x14ac:dyDescent="0.35">
      <c r="A384" t="str">
        <f>IFERROR(INDEX(装备库!$A$2:$Y$1047,MATCH(ROW()-1,装备库!$AO$2:$AO$1046,0),COLUMN()),"")</f>
        <v>项链</v>
      </c>
      <c r="B384" t="str">
        <f>IFERROR(INDEX(装备库!$A$2:$Y$1047,MATCH(ROW()-1,装备库!$AO$2:$AO$1046,0),COLUMN()),"")</f>
        <v>项昌链</v>
      </c>
      <c r="C384">
        <f>IFERROR(INDEX(装备库!$A$2:$Y$1047,MATCH(ROW()-1,装备库!$AO$2:$AO$1046,0),COLUMN()),"")</f>
        <v>10000</v>
      </c>
      <c r="D384" t="str">
        <f>IFERROR(INDEX(装备库!$A$2:$Y$1047,MATCH(ROW()-1,装备库!$AO$2:$AO$1046,0),COLUMN()),"")</f>
        <v>项昌链(10000会无)</v>
      </c>
      <c r="E384">
        <f>IFERROR(INDEX(装备库!$A$2:$Y$1047,MATCH(ROW()-1,装备库!$AO$2:$AO$1046,0),COLUMN()),"")</f>
        <v>349</v>
      </c>
      <c r="F384">
        <f>IFERROR(INDEX(装备库!$A$2:$Y$1047,MATCH(ROW()-1,装备库!$AO$2:$AO$1046,0),COLUMN()),"")</f>
        <v>566</v>
      </c>
      <c r="G384">
        <f>IFERROR(INDEX(装备库!$A$2:$Y$1047,MATCH(ROW()-1,装备库!$AO$2:$AO$1046,0),COLUMN()),"")</f>
        <v>1752</v>
      </c>
      <c r="H384">
        <f>IFERROR(INDEX(装备库!$A$2:$Y$1047,MATCH(ROW()-1,装备库!$AO$2:$AO$1046,0),COLUMN()),"")</f>
        <v>0</v>
      </c>
      <c r="I384">
        <f>IFERROR(INDEX(装备库!$A$2:$Y$1047,MATCH(ROW()-1,装备库!$AO$2:$AO$1046,0),COLUMN()),"")</f>
        <v>0</v>
      </c>
      <c r="J384">
        <f>IFERROR(INDEX(装备库!$A$2:$Y$1047,MATCH(ROW()-1,装备库!$AO$2:$AO$1046,0),COLUMN()),"")</f>
        <v>0</v>
      </c>
      <c r="K384">
        <f>IFERROR(INDEX(装备库!$A$2:$Y$1047,MATCH(ROW()-1,装备库!$AO$2:$AO$1046,0),COLUMN()),"")</f>
        <v>1557</v>
      </c>
      <c r="L384">
        <f>IFERROR(INDEX(装备库!$A$2:$Y$1047,MATCH(ROW()-1,装备库!$AO$2:$AO$1046,0),COLUMN()),"")</f>
        <v>0</v>
      </c>
      <c r="M384">
        <f>IFERROR(INDEX(装备库!$A$2:$Y$1047,MATCH(ROW()-1,装备库!$AO$2:$AO$1046,0),COLUMN()),"")</f>
        <v>0</v>
      </c>
      <c r="N384">
        <f>IFERROR(INDEX(装备库!$A$2:$Y$1047,MATCH(ROW()-1,装备库!$AO$2:$AO$1046,0),COLUMN()),"")</f>
        <v>0</v>
      </c>
      <c r="O384">
        <f>IFERROR(INDEX(装备库!$A$2:$Y$1047,MATCH(ROW()-1,装备库!$AO$2:$AO$1046,0),COLUMN()),"")</f>
        <v>0</v>
      </c>
      <c r="P384">
        <f>IFERROR(INDEX(装备库!$A$2:$Y$1047,MATCH(ROW()-1,装备库!$AO$2:$AO$1046,0),COLUMN()),"")</f>
        <v>0</v>
      </c>
      <c r="Q384">
        <f>IFERROR(INDEX(装备库!$A$2:$Y$1047,MATCH(ROW()-1,装备库!$AO$2:$AO$1046,0),COLUMN()),"")</f>
        <v>0</v>
      </c>
      <c r="R384">
        <f>IFERROR(INDEX(装备库!$A$2:$Y$1047,MATCH(ROW()-1,装备库!$AO$2:$AO$1046,0),COLUMN()),"")</f>
        <v>0</v>
      </c>
      <c r="S384">
        <f>IFERROR(INDEX(装备库!$A$2:$Y$1047,MATCH(ROW()-1,装备库!$AO$2:$AO$1046,0),COLUMN()),"")</f>
        <v>1</v>
      </c>
      <c r="T384">
        <f>IFERROR(INDEX(装备库!$A$2:$Y$1047,MATCH(ROW()-1,装备库!$AO$2:$AO$1046,0),COLUMN()),"")</f>
        <v>0</v>
      </c>
      <c r="U384">
        <f>IFERROR(INDEX(装备库!$A$2:$Y$1047,MATCH(ROW()-1,装备库!$AO$2:$AO$1046,0),COLUMN()),"")</f>
        <v>0</v>
      </c>
      <c r="V384">
        <f>IFERROR(INDEX(装备库!$A$2:$Y$1047,MATCH(ROW()-1,装备库!$AO$2:$AO$1046,0),COLUMN()),"")</f>
        <v>0</v>
      </c>
      <c r="W384" t="str">
        <f>IFERROR(INDEX(装备库!$A$2:$Y$1047,MATCH(ROW()-1,装备库!$AO$2:$AO$1046,0),COLUMN()),"")</f>
        <v>会无</v>
      </c>
      <c r="X384">
        <f>IFERROR(INDEX(装备库!$A$2:$Y$1047,MATCH(ROW()-1,装备库!$AO$2:$AO$1046,0),COLUMN()),"")</f>
        <v>6</v>
      </c>
      <c r="Y384" t="str">
        <f>IFERROR(INDEX(装备库!$A$2:$Y$1047,MATCH(ROW()-1,装备库!$AO$2:$AO$1046,0),COLUMN()),"")</f>
        <v>副本</v>
      </c>
    </row>
    <row r="385" spans="1:25" x14ac:dyDescent="0.35">
      <c r="A385" t="str">
        <f>IFERROR(INDEX(装备库!$A$2:$Y$1047,MATCH(ROW()-1,装备库!$AO$2:$AO$1046,0),COLUMN()),"")</f>
        <v>项链</v>
      </c>
      <c r="B385" t="str">
        <f>IFERROR(INDEX(装备库!$A$2:$Y$1047,MATCH(ROW()-1,装备库!$AO$2:$AO$1046,0),COLUMN()),"")</f>
        <v>无封项链</v>
      </c>
      <c r="C385">
        <f>IFERROR(INDEX(装备库!$A$2:$Y$1047,MATCH(ROW()-1,装备库!$AO$2:$AO$1046,0),COLUMN()),"")</f>
        <v>10000</v>
      </c>
      <c r="D385" t="str">
        <f>IFERROR(INDEX(装备库!$A$2:$Y$1047,MATCH(ROW()-1,装备库!$AO$2:$AO$1046,0),COLUMN()),"")</f>
        <v>无封项链(10000精简攻招破无)</v>
      </c>
      <c r="E385">
        <f>IFERROR(INDEX(装备库!$A$2:$Y$1047,MATCH(ROW()-1,装备库!$AO$2:$AO$1046,0),COLUMN()),"")</f>
        <v>0</v>
      </c>
      <c r="F385">
        <f>IFERROR(INDEX(装备库!$A$2:$Y$1047,MATCH(ROW()-1,装备库!$AO$2:$AO$1046,0),COLUMN()),"")</f>
        <v>1263</v>
      </c>
      <c r="G385">
        <f>IFERROR(INDEX(装备库!$A$2:$Y$1047,MATCH(ROW()-1,装备库!$AO$2:$AO$1046,0),COLUMN()),"")</f>
        <v>0</v>
      </c>
      <c r="H385">
        <f>IFERROR(INDEX(装备库!$A$2:$Y$1047,MATCH(ROW()-1,装备库!$AO$2:$AO$1046,0),COLUMN()),"")</f>
        <v>0</v>
      </c>
      <c r="I385">
        <f>IFERROR(INDEX(装备库!$A$2:$Y$1047,MATCH(ROW()-1,装备库!$AO$2:$AO$1046,0),COLUMN()),"")</f>
        <v>1654</v>
      </c>
      <c r="J385">
        <f>IFERROR(INDEX(装备库!$A$2:$Y$1047,MATCH(ROW()-1,装备库!$AO$2:$AO$1046,0),COLUMN()),"")</f>
        <v>1265</v>
      </c>
      <c r="K385">
        <f>IFERROR(INDEX(装备库!$A$2:$Y$1047,MATCH(ROW()-1,装备库!$AO$2:$AO$1046,0),COLUMN()),"")</f>
        <v>973</v>
      </c>
      <c r="L385">
        <f>IFERROR(INDEX(装备库!$A$2:$Y$1047,MATCH(ROW()-1,装备库!$AO$2:$AO$1046,0),COLUMN()),"")</f>
        <v>0</v>
      </c>
      <c r="M385">
        <f>IFERROR(INDEX(装备库!$A$2:$Y$1047,MATCH(ROW()-1,装备库!$AO$2:$AO$1046,0),COLUMN()),"")</f>
        <v>0</v>
      </c>
      <c r="N385">
        <f>IFERROR(INDEX(装备库!$A$2:$Y$1047,MATCH(ROW()-1,装备库!$AO$2:$AO$1046,0),COLUMN()),"")</f>
        <v>0</v>
      </c>
      <c r="O385">
        <f>IFERROR(INDEX(装备库!$A$2:$Y$1047,MATCH(ROW()-1,装备库!$AO$2:$AO$1046,0),COLUMN()),"")</f>
        <v>0</v>
      </c>
      <c r="P385">
        <f>IFERROR(INDEX(装备库!$A$2:$Y$1047,MATCH(ROW()-1,装备库!$AO$2:$AO$1046,0),COLUMN()),"")</f>
        <v>0</v>
      </c>
      <c r="Q385">
        <f>IFERROR(INDEX(装备库!$A$2:$Y$1047,MATCH(ROW()-1,装备库!$AO$2:$AO$1046,0),COLUMN()),"")</f>
        <v>1</v>
      </c>
      <c r="R385">
        <f>IFERROR(INDEX(装备库!$A$2:$Y$1047,MATCH(ROW()-1,装备库!$AO$2:$AO$1046,0),COLUMN()),"")</f>
        <v>0</v>
      </c>
      <c r="S385">
        <f>IFERROR(INDEX(装备库!$A$2:$Y$1047,MATCH(ROW()-1,装备库!$AO$2:$AO$1046,0),COLUMN()),"")</f>
        <v>0</v>
      </c>
      <c r="T385">
        <f>IFERROR(INDEX(装备库!$A$2:$Y$1047,MATCH(ROW()-1,装备库!$AO$2:$AO$1046,0),COLUMN()),"")</f>
        <v>0</v>
      </c>
      <c r="U385">
        <f>IFERROR(INDEX(装备库!$A$2:$Y$1047,MATCH(ROW()-1,装备库!$AO$2:$AO$1046,0),COLUMN()),"")</f>
        <v>0</v>
      </c>
      <c r="V385">
        <f>IFERROR(INDEX(装备库!$A$2:$Y$1047,MATCH(ROW()-1,装备库!$AO$2:$AO$1046,0),COLUMN()),"")</f>
        <v>0</v>
      </c>
      <c r="W385" t="str">
        <f>IFERROR(INDEX(装备库!$A$2:$Y$1047,MATCH(ROW()-1,装备库!$AO$2:$AO$1046,0),COLUMN()),"")</f>
        <v>精简攻招破无</v>
      </c>
      <c r="X385">
        <f>IFERROR(INDEX(装备库!$A$2:$Y$1047,MATCH(ROW()-1,装备库!$AO$2:$AO$1046,0),COLUMN()),"")</f>
        <v>3</v>
      </c>
      <c r="Y385" t="str">
        <f>IFERROR(INDEX(装备库!$A$2:$Y$1047,MATCH(ROW()-1,装备库!$AO$2:$AO$1046,0),COLUMN()),"")</f>
        <v>活动</v>
      </c>
    </row>
    <row r="386" spans="1:25" x14ac:dyDescent="0.35">
      <c r="A386" t="str">
        <f>IFERROR(INDEX(装备库!$A$2:$Y$1047,MATCH(ROW()-1,装备库!$AO$2:$AO$1046,0),COLUMN()),"")</f>
        <v>项链</v>
      </c>
      <c r="B386" t="str">
        <f>IFERROR(INDEX(装备库!$A$2:$Y$1047,MATCH(ROW()-1,装备库!$AO$2:$AO$1046,0),COLUMN()),"")</f>
        <v>无封项链</v>
      </c>
      <c r="C386">
        <f>IFERROR(INDEX(装备库!$A$2:$Y$1047,MATCH(ROW()-1,装备库!$AO$2:$AO$1046,0),COLUMN()),"")</f>
        <v>10000</v>
      </c>
      <c r="D386" t="str">
        <f>IFERROR(INDEX(装备库!$A$2:$Y$1047,MATCH(ROW()-1,装备库!$AO$2:$AO$1046,0),COLUMN()),"")</f>
        <v>无封项链(10000精简攻破)</v>
      </c>
      <c r="E386">
        <f>IFERROR(INDEX(装备库!$A$2:$Y$1047,MATCH(ROW()-1,装备库!$AO$2:$AO$1046,0),COLUMN()),"")</f>
        <v>0</v>
      </c>
      <c r="F386">
        <f>IFERROR(INDEX(装备库!$A$2:$Y$1047,MATCH(ROW()-1,装备库!$AO$2:$AO$1046,0),COLUMN()),"")</f>
        <v>1481</v>
      </c>
      <c r="G386">
        <f>IFERROR(INDEX(装备库!$A$2:$Y$1047,MATCH(ROW()-1,装备库!$AO$2:$AO$1046,0),COLUMN()),"")</f>
        <v>0</v>
      </c>
      <c r="H386">
        <f>IFERROR(INDEX(装备库!$A$2:$Y$1047,MATCH(ROW()-1,装备库!$AO$2:$AO$1046,0),COLUMN()),"")</f>
        <v>0</v>
      </c>
      <c r="I386">
        <f>IFERROR(INDEX(装备库!$A$2:$Y$1047,MATCH(ROW()-1,装备库!$AO$2:$AO$1046,0),COLUMN()),"")</f>
        <v>3358</v>
      </c>
      <c r="J386">
        <f>IFERROR(INDEX(装备库!$A$2:$Y$1047,MATCH(ROW()-1,装备库!$AO$2:$AO$1046,0),COLUMN()),"")</f>
        <v>0</v>
      </c>
      <c r="K386">
        <f>IFERROR(INDEX(装备库!$A$2:$Y$1047,MATCH(ROW()-1,装备库!$AO$2:$AO$1046,0),COLUMN()),"")</f>
        <v>0</v>
      </c>
      <c r="L386">
        <f>IFERROR(INDEX(装备库!$A$2:$Y$1047,MATCH(ROW()-1,装备库!$AO$2:$AO$1046,0),COLUMN()),"")</f>
        <v>0</v>
      </c>
      <c r="M386">
        <f>IFERROR(INDEX(装备库!$A$2:$Y$1047,MATCH(ROW()-1,装备库!$AO$2:$AO$1046,0),COLUMN()),"")</f>
        <v>0</v>
      </c>
      <c r="N386">
        <f>IFERROR(INDEX(装备库!$A$2:$Y$1047,MATCH(ROW()-1,装备库!$AO$2:$AO$1046,0),COLUMN()),"")</f>
        <v>0</v>
      </c>
      <c r="O386">
        <f>IFERROR(INDEX(装备库!$A$2:$Y$1047,MATCH(ROW()-1,装备库!$AO$2:$AO$1046,0),COLUMN()),"")</f>
        <v>0</v>
      </c>
      <c r="P386">
        <f>IFERROR(INDEX(装备库!$A$2:$Y$1047,MATCH(ROW()-1,装备库!$AO$2:$AO$1046,0),COLUMN()),"")</f>
        <v>0</v>
      </c>
      <c r="Q386">
        <f>IFERROR(INDEX(装备库!$A$2:$Y$1047,MATCH(ROW()-1,装备库!$AO$2:$AO$1046,0),COLUMN()),"")</f>
        <v>0</v>
      </c>
      <c r="R386">
        <f>IFERROR(INDEX(装备库!$A$2:$Y$1047,MATCH(ROW()-1,装备库!$AO$2:$AO$1046,0),COLUMN()),"")</f>
        <v>0</v>
      </c>
      <c r="S386">
        <f>IFERROR(INDEX(装备库!$A$2:$Y$1047,MATCH(ROW()-1,装备库!$AO$2:$AO$1046,0),COLUMN()),"")</f>
        <v>0</v>
      </c>
      <c r="T386">
        <f>IFERROR(INDEX(装备库!$A$2:$Y$1047,MATCH(ROW()-1,装备库!$AO$2:$AO$1046,0),COLUMN()),"")</f>
        <v>1</v>
      </c>
      <c r="U386">
        <f>IFERROR(INDEX(装备库!$A$2:$Y$1047,MATCH(ROW()-1,装备库!$AO$2:$AO$1046,0),COLUMN()),"")</f>
        <v>0</v>
      </c>
      <c r="V386">
        <f>IFERROR(INDEX(装备库!$A$2:$Y$1047,MATCH(ROW()-1,装备库!$AO$2:$AO$1046,0),COLUMN()),"")</f>
        <v>0</v>
      </c>
      <c r="W386" t="str">
        <f>IFERROR(INDEX(装备库!$A$2:$Y$1047,MATCH(ROW()-1,装备库!$AO$2:$AO$1046,0),COLUMN()),"")</f>
        <v>精简攻破</v>
      </c>
      <c r="X386">
        <f>IFERROR(INDEX(装备库!$A$2:$Y$1047,MATCH(ROW()-1,装备库!$AO$2:$AO$1046,0),COLUMN()),"")</f>
        <v>3</v>
      </c>
      <c r="Y386" t="str">
        <f>IFERROR(INDEX(装备库!$A$2:$Y$1047,MATCH(ROW()-1,装备库!$AO$2:$AO$1046,0),COLUMN()),"")</f>
        <v>活动</v>
      </c>
    </row>
    <row r="387" spans="1:25" x14ac:dyDescent="0.35">
      <c r="A387" t="str">
        <f>IFERROR(INDEX(装备库!$A$2:$Y$1047,MATCH(ROW()-1,装备库!$AO$2:$AO$1046,0),COLUMN()),"")</f>
        <v>项链</v>
      </c>
      <c r="B387" t="str">
        <f>IFERROR(INDEX(装备库!$A$2:$Y$1047,MATCH(ROW()-1,装备库!$AO$2:$AO$1046,0),COLUMN()),"")</f>
        <v>无封项链</v>
      </c>
      <c r="C387">
        <f>IFERROR(INDEX(装备库!$A$2:$Y$1047,MATCH(ROW()-1,装备库!$AO$2:$AO$1046,0),COLUMN()),"")</f>
        <v>10000</v>
      </c>
      <c r="D387" t="str">
        <f>IFERROR(INDEX(装备库!$A$2:$Y$1047,MATCH(ROW()-1,装备库!$AO$2:$AO$1046,0),COLUMN()),"")</f>
        <v>无封项链(10000精简攻会招)</v>
      </c>
      <c r="E387">
        <f>IFERROR(INDEX(装备库!$A$2:$Y$1047,MATCH(ROW()-1,装备库!$AO$2:$AO$1046,0),COLUMN()),"")</f>
        <v>0</v>
      </c>
      <c r="F387">
        <f>IFERROR(INDEX(装备库!$A$2:$Y$1047,MATCH(ROW()-1,装备库!$AO$2:$AO$1046,0),COLUMN()),"")</f>
        <v>1263</v>
      </c>
      <c r="G387">
        <f>IFERROR(INDEX(装备库!$A$2:$Y$1047,MATCH(ROW()-1,装备库!$AO$2:$AO$1046,0),COLUMN()),"")</f>
        <v>1946</v>
      </c>
      <c r="H387">
        <f>IFERROR(INDEX(装备库!$A$2:$Y$1047,MATCH(ROW()-1,装备库!$AO$2:$AO$1046,0),COLUMN()),"")</f>
        <v>0</v>
      </c>
      <c r="I387">
        <f>IFERROR(INDEX(装备库!$A$2:$Y$1047,MATCH(ROW()-1,装备库!$AO$2:$AO$1046,0),COLUMN()),"")</f>
        <v>0</v>
      </c>
      <c r="J387">
        <f>IFERROR(INDEX(装备库!$A$2:$Y$1047,MATCH(ROW()-1,装备库!$AO$2:$AO$1046,0),COLUMN()),"")</f>
        <v>1946</v>
      </c>
      <c r="K387">
        <f>IFERROR(INDEX(装备库!$A$2:$Y$1047,MATCH(ROW()-1,装备库!$AO$2:$AO$1046,0),COLUMN()),"")</f>
        <v>0</v>
      </c>
      <c r="L387">
        <f>IFERROR(INDEX(装备库!$A$2:$Y$1047,MATCH(ROW()-1,装备库!$AO$2:$AO$1046,0),COLUMN()),"")</f>
        <v>0</v>
      </c>
      <c r="M387">
        <f>IFERROR(INDEX(装备库!$A$2:$Y$1047,MATCH(ROW()-1,装备库!$AO$2:$AO$1046,0),COLUMN()),"")</f>
        <v>0</v>
      </c>
      <c r="N387">
        <f>IFERROR(INDEX(装备库!$A$2:$Y$1047,MATCH(ROW()-1,装备库!$AO$2:$AO$1046,0),COLUMN()),"")</f>
        <v>0</v>
      </c>
      <c r="O387">
        <f>IFERROR(INDEX(装备库!$A$2:$Y$1047,MATCH(ROW()-1,装备库!$AO$2:$AO$1046,0),COLUMN()),"")</f>
        <v>0</v>
      </c>
      <c r="P387">
        <f>IFERROR(INDEX(装备库!$A$2:$Y$1047,MATCH(ROW()-1,装备库!$AO$2:$AO$1046,0),COLUMN()),"")</f>
        <v>0</v>
      </c>
      <c r="Q387">
        <f>IFERROR(INDEX(装备库!$A$2:$Y$1047,MATCH(ROW()-1,装备库!$AO$2:$AO$1046,0),COLUMN()),"")</f>
        <v>0</v>
      </c>
      <c r="R387">
        <f>IFERROR(INDEX(装备库!$A$2:$Y$1047,MATCH(ROW()-1,装备库!$AO$2:$AO$1046,0),COLUMN()),"")</f>
        <v>1</v>
      </c>
      <c r="S387">
        <f>IFERROR(INDEX(装备库!$A$2:$Y$1047,MATCH(ROW()-1,装备库!$AO$2:$AO$1046,0),COLUMN()),"")</f>
        <v>0</v>
      </c>
      <c r="T387">
        <f>IFERROR(INDEX(装备库!$A$2:$Y$1047,MATCH(ROW()-1,装备库!$AO$2:$AO$1046,0),COLUMN()),"")</f>
        <v>0</v>
      </c>
      <c r="U387">
        <f>IFERROR(INDEX(装备库!$A$2:$Y$1047,MATCH(ROW()-1,装备库!$AO$2:$AO$1046,0),COLUMN()),"")</f>
        <v>0</v>
      </c>
      <c r="V387">
        <f>IFERROR(INDEX(装备库!$A$2:$Y$1047,MATCH(ROW()-1,装备库!$AO$2:$AO$1046,0),COLUMN()),"")</f>
        <v>0</v>
      </c>
      <c r="W387" t="str">
        <f>IFERROR(INDEX(装备库!$A$2:$Y$1047,MATCH(ROW()-1,装备库!$AO$2:$AO$1046,0),COLUMN()),"")</f>
        <v>精简攻会招</v>
      </c>
      <c r="X387">
        <f>IFERROR(INDEX(装备库!$A$2:$Y$1047,MATCH(ROW()-1,装备库!$AO$2:$AO$1046,0),COLUMN()),"")</f>
        <v>3</v>
      </c>
      <c r="Y387" t="str">
        <f>IFERROR(INDEX(装备库!$A$2:$Y$1047,MATCH(ROW()-1,装备库!$AO$2:$AO$1046,0),COLUMN()),"")</f>
        <v>活动</v>
      </c>
    </row>
    <row r="388" spans="1:25" x14ac:dyDescent="0.35">
      <c r="A388" t="str">
        <f>IFERROR(INDEX(装备库!$A$2:$Y$1047,MATCH(ROW()-1,装备库!$AO$2:$AO$1046,0),COLUMN()),"")</f>
        <v>项链</v>
      </c>
      <c r="B388" t="str">
        <f>IFERROR(INDEX(装备库!$A$2:$Y$1047,MATCH(ROW()-1,装备库!$AO$2:$AO$1046,0),COLUMN()),"")</f>
        <v>临邦链</v>
      </c>
      <c r="C388">
        <f>IFERROR(INDEX(装备库!$A$2:$Y$1047,MATCH(ROW()-1,装备库!$AO$2:$AO$1046,0),COLUMN()),"")</f>
        <v>10100</v>
      </c>
      <c r="D388" t="str">
        <f>IFERROR(INDEX(装备库!$A$2:$Y$1047,MATCH(ROW()-1,装备库!$AO$2:$AO$1046,0),COLUMN()),"")</f>
        <v>临邦链(10100招破)</v>
      </c>
      <c r="E388">
        <f>IFERROR(INDEX(装备库!$A$2:$Y$1047,MATCH(ROW()-1,装备库!$AO$2:$AO$1046,0),COLUMN()),"")</f>
        <v>353</v>
      </c>
      <c r="F388">
        <f>IFERROR(INDEX(装备库!$A$2:$Y$1047,MATCH(ROW()-1,装备库!$AO$2:$AO$1046,0),COLUMN()),"")</f>
        <v>572</v>
      </c>
      <c r="G388">
        <f>IFERROR(INDEX(装备库!$A$2:$Y$1047,MATCH(ROW()-1,装备库!$AO$2:$AO$1046,0),COLUMN()),"")</f>
        <v>0</v>
      </c>
      <c r="H388">
        <f>IFERROR(INDEX(装备库!$A$2:$Y$1047,MATCH(ROW()-1,装备库!$AO$2:$AO$1046,0),COLUMN()),"")</f>
        <v>0</v>
      </c>
      <c r="I388">
        <f>IFERROR(INDEX(装备库!$A$2:$Y$1047,MATCH(ROW()-1,装备库!$AO$2:$AO$1046,0),COLUMN()),"")</f>
        <v>1769</v>
      </c>
      <c r="J388">
        <f>IFERROR(INDEX(装备库!$A$2:$Y$1047,MATCH(ROW()-1,装备库!$AO$2:$AO$1046,0),COLUMN()),"")</f>
        <v>1573</v>
      </c>
      <c r="K388">
        <f>IFERROR(INDEX(装备库!$A$2:$Y$1047,MATCH(ROW()-1,装备库!$AO$2:$AO$1046,0),COLUMN()),"")</f>
        <v>0</v>
      </c>
      <c r="L388">
        <f>IFERROR(INDEX(装备库!$A$2:$Y$1047,MATCH(ROW()-1,装备库!$AO$2:$AO$1046,0),COLUMN()),"")</f>
        <v>0</v>
      </c>
      <c r="M388">
        <f>IFERROR(INDEX(装备库!$A$2:$Y$1047,MATCH(ROW()-1,装备库!$AO$2:$AO$1046,0),COLUMN()),"")</f>
        <v>0</v>
      </c>
      <c r="N388">
        <f>IFERROR(INDEX(装备库!$A$2:$Y$1047,MATCH(ROW()-1,装备库!$AO$2:$AO$1046,0),COLUMN()),"")</f>
        <v>0</v>
      </c>
      <c r="O388">
        <f>IFERROR(INDEX(装备库!$A$2:$Y$1047,MATCH(ROW()-1,装备库!$AO$2:$AO$1046,0),COLUMN()),"")</f>
        <v>0</v>
      </c>
      <c r="P388">
        <f>IFERROR(INDEX(装备库!$A$2:$Y$1047,MATCH(ROW()-1,装备库!$AO$2:$AO$1046,0),COLUMN()),"")</f>
        <v>1</v>
      </c>
      <c r="Q388">
        <f>IFERROR(INDEX(装备库!$A$2:$Y$1047,MATCH(ROW()-1,装备库!$AO$2:$AO$1046,0),COLUMN()),"")</f>
        <v>0</v>
      </c>
      <c r="R388">
        <f>IFERROR(INDEX(装备库!$A$2:$Y$1047,MATCH(ROW()-1,装备库!$AO$2:$AO$1046,0),COLUMN()),"")</f>
        <v>0</v>
      </c>
      <c r="S388">
        <f>IFERROR(INDEX(装备库!$A$2:$Y$1047,MATCH(ROW()-1,装备库!$AO$2:$AO$1046,0),COLUMN()),"")</f>
        <v>0</v>
      </c>
      <c r="T388">
        <f>IFERROR(INDEX(装备库!$A$2:$Y$1047,MATCH(ROW()-1,装备库!$AO$2:$AO$1046,0),COLUMN()),"")</f>
        <v>0</v>
      </c>
      <c r="U388">
        <f>IFERROR(INDEX(装备库!$A$2:$Y$1047,MATCH(ROW()-1,装备库!$AO$2:$AO$1046,0),COLUMN()),"")</f>
        <v>0</v>
      </c>
      <c r="V388">
        <f>IFERROR(INDEX(装备库!$A$2:$Y$1047,MATCH(ROW()-1,装备库!$AO$2:$AO$1046,0),COLUMN()),"")</f>
        <v>0</v>
      </c>
      <c r="W388" t="str">
        <f>IFERROR(INDEX(装备库!$A$2:$Y$1047,MATCH(ROW()-1,装备库!$AO$2:$AO$1046,0),COLUMN()),"")</f>
        <v>招破</v>
      </c>
      <c r="X388">
        <f>IFERROR(INDEX(装备库!$A$2:$Y$1047,MATCH(ROW()-1,装备库!$AO$2:$AO$1046,0),COLUMN()),"")</f>
        <v>6</v>
      </c>
      <c r="Y388" t="str">
        <f>IFERROR(INDEX(装备库!$A$2:$Y$1047,MATCH(ROW()-1,装备库!$AO$2:$AO$1046,0),COLUMN()),"")</f>
        <v>声望</v>
      </c>
    </row>
    <row r="389" spans="1:25" x14ac:dyDescent="0.35">
      <c r="A389" t="str">
        <f>IFERROR(INDEX(装备库!$A$2:$Y$1047,MATCH(ROW()-1,装备库!$AO$2:$AO$1046,0),COLUMN()),"")</f>
        <v>项链</v>
      </c>
      <c r="B389" t="str">
        <f>IFERROR(INDEX(装备库!$A$2:$Y$1047,MATCH(ROW()-1,装备库!$AO$2:$AO$1046,0),COLUMN()),"")</f>
        <v>元雾链</v>
      </c>
      <c r="C389">
        <f>IFERROR(INDEX(装备库!$A$2:$Y$1047,MATCH(ROW()-1,装备库!$AO$2:$AO$1046,0),COLUMN()),"")</f>
        <v>10100</v>
      </c>
      <c r="D389" t="str">
        <f>IFERROR(INDEX(装备库!$A$2:$Y$1047,MATCH(ROW()-1,装备库!$AO$2:$AO$1046,0),COLUMN()),"")</f>
        <v>元雾链(10100招破)</v>
      </c>
      <c r="E389">
        <f>IFERROR(INDEX(装备库!$A$2:$Y$1047,MATCH(ROW()-1,装备库!$AO$2:$AO$1046,0),COLUMN()),"")</f>
        <v>353</v>
      </c>
      <c r="F389">
        <f>IFERROR(INDEX(装备库!$A$2:$Y$1047,MATCH(ROW()-1,装备库!$AO$2:$AO$1046,0),COLUMN()),"")</f>
        <v>572</v>
      </c>
      <c r="G389">
        <f>IFERROR(INDEX(装备库!$A$2:$Y$1047,MATCH(ROW()-1,装备库!$AO$2:$AO$1046,0),COLUMN()),"")</f>
        <v>0</v>
      </c>
      <c r="H389">
        <f>IFERROR(INDEX(装备库!$A$2:$Y$1047,MATCH(ROW()-1,装备库!$AO$2:$AO$1046,0),COLUMN()),"")</f>
        <v>0</v>
      </c>
      <c r="I389">
        <f>IFERROR(INDEX(装备库!$A$2:$Y$1047,MATCH(ROW()-1,装备库!$AO$2:$AO$1046,0),COLUMN()),"")</f>
        <v>1769</v>
      </c>
      <c r="J389">
        <f>IFERROR(INDEX(装备库!$A$2:$Y$1047,MATCH(ROW()-1,装备库!$AO$2:$AO$1046,0),COLUMN()),"")</f>
        <v>1573</v>
      </c>
      <c r="K389">
        <f>IFERROR(INDEX(装备库!$A$2:$Y$1047,MATCH(ROW()-1,装备库!$AO$2:$AO$1046,0),COLUMN()),"")</f>
        <v>0</v>
      </c>
      <c r="L389">
        <f>IFERROR(INDEX(装备库!$A$2:$Y$1047,MATCH(ROW()-1,装备库!$AO$2:$AO$1046,0),COLUMN()),"")</f>
        <v>0</v>
      </c>
      <c r="M389">
        <f>IFERROR(INDEX(装备库!$A$2:$Y$1047,MATCH(ROW()-1,装备库!$AO$2:$AO$1046,0),COLUMN()),"")</f>
        <v>0</v>
      </c>
      <c r="N389">
        <f>IFERROR(INDEX(装备库!$A$2:$Y$1047,MATCH(ROW()-1,装备库!$AO$2:$AO$1046,0),COLUMN()),"")</f>
        <v>0</v>
      </c>
      <c r="O389">
        <f>IFERROR(INDEX(装备库!$A$2:$Y$1047,MATCH(ROW()-1,装备库!$AO$2:$AO$1046,0),COLUMN()),"")</f>
        <v>0</v>
      </c>
      <c r="P389">
        <f>IFERROR(INDEX(装备库!$A$2:$Y$1047,MATCH(ROW()-1,装备库!$AO$2:$AO$1046,0),COLUMN()),"")</f>
        <v>1</v>
      </c>
      <c r="Q389">
        <f>IFERROR(INDEX(装备库!$A$2:$Y$1047,MATCH(ROW()-1,装备库!$AO$2:$AO$1046,0),COLUMN()),"")</f>
        <v>0</v>
      </c>
      <c r="R389">
        <f>IFERROR(INDEX(装备库!$A$2:$Y$1047,MATCH(ROW()-1,装备库!$AO$2:$AO$1046,0),COLUMN()),"")</f>
        <v>0</v>
      </c>
      <c r="S389">
        <f>IFERROR(INDEX(装备库!$A$2:$Y$1047,MATCH(ROW()-1,装备库!$AO$2:$AO$1046,0),COLUMN()),"")</f>
        <v>0</v>
      </c>
      <c r="T389">
        <f>IFERROR(INDEX(装备库!$A$2:$Y$1047,MATCH(ROW()-1,装备库!$AO$2:$AO$1046,0),COLUMN()),"")</f>
        <v>0</v>
      </c>
      <c r="U389">
        <f>IFERROR(INDEX(装备库!$A$2:$Y$1047,MATCH(ROW()-1,装备库!$AO$2:$AO$1046,0),COLUMN()),"")</f>
        <v>0</v>
      </c>
      <c r="V389">
        <f>IFERROR(INDEX(装备库!$A$2:$Y$1047,MATCH(ROW()-1,装备库!$AO$2:$AO$1046,0),COLUMN()),"")</f>
        <v>0</v>
      </c>
      <c r="W389" t="str">
        <f>IFERROR(INDEX(装备库!$A$2:$Y$1047,MATCH(ROW()-1,装备库!$AO$2:$AO$1046,0),COLUMN()),"")</f>
        <v>招破</v>
      </c>
      <c r="X389">
        <f>IFERROR(INDEX(装备库!$A$2:$Y$1047,MATCH(ROW()-1,装备库!$AO$2:$AO$1046,0),COLUMN()),"")</f>
        <v>6</v>
      </c>
      <c r="Y389" t="str">
        <f>IFERROR(INDEX(装备库!$A$2:$Y$1047,MATCH(ROW()-1,装备库!$AO$2:$AO$1046,0),COLUMN()),"")</f>
        <v>声望</v>
      </c>
    </row>
    <row r="390" spans="1:25" x14ac:dyDescent="0.35">
      <c r="A390" t="str">
        <f>IFERROR(INDEX(装备库!$A$2:$Y$1047,MATCH(ROW()-1,装备库!$AO$2:$AO$1046,0),COLUMN()),"")</f>
        <v>项链</v>
      </c>
      <c r="B390" t="str">
        <f>IFERROR(INDEX(装备库!$A$2:$Y$1047,MATCH(ROW()-1,装备库!$AO$2:$AO$1046,0),COLUMN()),"")</f>
        <v>玄卢链</v>
      </c>
      <c r="C390">
        <f>IFERROR(INDEX(装备库!$A$2:$Y$1047,MATCH(ROW()-1,装备库!$AO$2:$AO$1046,0),COLUMN()),"")</f>
        <v>10150</v>
      </c>
      <c r="D390" t="str">
        <f>IFERROR(INDEX(装备库!$A$2:$Y$1047,MATCH(ROW()-1,装备库!$AO$2:$AO$1046,0),COLUMN()),"")</f>
        <v>玄卢链(10150破无)</v>
      </c>
      <c r="E390">
        <f>IFERROR(INDEX(装备库!$A$2:$Y$1047,MATCH(ROW()-1,装备库!$AO$2:$AO$1046,0),COLUMN()),"")</f>
        <v>354</v>
      </c>
      <c r="F390">
        <f>IFERROR(INDEX(装备库!$A$2:$Y$1047,MATCH(ROW()-1,装备库!$AO$2:$AO$1046,0),COLUMN()),"")</f>
        <v>575</v>
      </c>
      <c r="G390">
        <f>IFERROR(INDEX(装备库!$A$2:$Y$1047,MATCH(ROW()-1,装备库!$AO$2:$AO$1046,0),COLUMN()),"")</f>
        <v>0</v>
      </c>
      <c r="H390">
        <f>IFERROR(INDEX(装备库!$A$2:$Y$1047,MATCH(ROW()-1,装备库!$AO$2:$AO$1046,0),COLUMN()),"")</f>
        <v>0</v>
      </c>
      <c r="I390">
        <f>IFERROR(INDEX(装备库!$A$2:$Y$1047,MATCH(ROW()-1,装备库!$AO$2:$AO$1046,0),COLUMN()),"")</f>
        <v>1778</v>
      </c>
      <c r="J390">
        <f>IFERROR(INDEX(装备库!$A$2:$Y$1047,MATCH(ROW()-1,装备库!$AO$2:$AO$1046,0),COLUMN()),"")</f>
        <v>0</v>
      </c>
      <c r="K390">
        <f>IFERROR(INDEX(装备库!$A$2:$Y$1047,MATCH(ROW()-1,装备库!$AO$2:$AO$1046,0),COLUMN()),"")</f>
        <v>1581</v>
      </c>
      <c r="L390">
        <f>IFERROR(INDEX(装备库!$A$2:$Y$1047,MATCH(ROW()-1,装备库!$AO$2:$AO$1046,0),COLUMN()),"")</f>
        <v>0</v>
      </c>
      <c r="M390">
        <f>IFERROR(INDEX(装备库!$A$2:$Y$1047,MATCH(ROW()-1,装备库!$AO$2:$AO$1046,0),COLUMN()),"")</f>
        <v>0</v>
      </c>
      <c r="N390">
        <f>IFERROR(INDEX(装备库!$A$2:$Y$1047,MATCH(ROW()-1,装备库!$AO$2:$AO$1046,0),COLUMN()),"")</f>
        <v>0</v>
      </c>
      <c r="O390">
        <f>IFERROR(INDEX(装备库!$A$2:$Y$1047,MATCH(ROW()-1,装备库!$AO$2:$AO$1046,0),COLUMN()),"")</f>
        <v>0</v>
      </c>
      <c r="P390">
        <f>IFERROR(INDEX(装备库!$A$2:$Y$1047,MATCH(ROW()-1,装备库!$AO$2:$AO$1046,0),COLUMN()),"")</f>
        <v>0</v>
      </c>
      <c r="Q390">
        <f>IFERROR(INDEX(装备库!$A$2:$Y$1047,MATCH(ROW()-1,装备库!$AO$2:$AO$1046,0),COLUMN()),"")</f>
        <v>0</v>
      </c>
      <c r="R390">
        <f>IFERROR(INDEX(装备库!$A$2:$Y$1047,MATCH(ROW()-1,装备库!$AO$2:$AO$1046,0),COLUMN()),"")</f>
        <v>0</v>
      </c>
      <c r="S390">
        <f>IFERROR(INDEX(装备库!$A$2:$Y$1047,MATCH(ROW()-1,装备库!$AO$2:$AO$1046,0),COLUMN()),"")</f>
        <v>0</v>
      </c>
      <c r="T390">
        <f>IFERROR(INDEX(装备库!$A$2:$Y$1047,MATCH(ROW()-1,装备库!$AO$2:$AO$1046,0),COLUMN()),"")</f>
        <v>0</v>
      </c>
      <c r="U390">
        <f>IFERROR(INDEX(装备库!$A$2:$Y$1047,MATCH(ROW()-1,装备库!$AO$2:$AO$1046,0),COLUMN()),"")</f>
        <v>1</v>
      </c>
      <c r="V390">
        <f>IFERROR(INDEX(装备库!$A$2:$Y$1047,MATCH(ROW()-1,装备库!$AO$2:$AO$1046,0),COLUMN()),"")</f>
        <v>0</v>
      </c>
      <c r="W390" t="str">
        <f>IFERROR(INDEX(装备库!$A$2:$Y$1047,MATCH(ROW()-1,装备库!$AO$2:$AO$1046,0),COLUMN()),"")</f>
        <v>破无</v>
      </c>
      <c r="X390">
        <f>IFERROR(INDEX(装备库!$A$2:$Y$1047,MATCH(ROW()-1,装备库!$AO$2:$AO$1046,0),COLUMN()),"")</f>
        <v>6</v>
      </c>
      <c r="Y390" t="str">
        <f>IFERROR(INDEX(装备库!$A$2:$Y$1047,MATCH(ROW()-1,装备库!$AO$2:$AO$1046,0),COLUMN()),"")</f>
        <v>副本</v>
      </c>
    </row>
    <row r="391" spans="1:25" x14ac:dyDescent="0.35">
      <c r="A391" t="str">
        <f>IFERROR(INDEX(装备库!$A$2:$Y$1047,MATCH(ROW()-1,装备库!$AO$2:$AO$1046,0),COLUMN()),"")</f>
        <v>项链</v>
      </c>
      <c r="B391" t="str">
        <f>IFERROR(INDEX(装备库!$A$2:$Y$1047,MATCH(ROW()-1,装备库!$AO$2:$AO$1046,0),COLUMN()),"")</f>
        <v>闲月项饰</v>
      </c>
      <c r="C391">
        <f>IFERROR(INDEX(装备库!$A$2:$Y$1047,MATCH(ROW()-1,装备库!$AO$2:$AO$1046,0),COLUMN()),"")</f>
        <v>10150</v>
      </c>
      <c r="D391" t="str">
        <f>IFERROR(INDEX(装备库!$A$2:$Y$1047,MATCH(ROW()-1,装备库!$AO$2:$AO$1046,0),COLUMN()),"")</f>
        <v>闲月项饰(10150会无)</v>
      </c>
      <c r="E391">
        <f>IFERROR(INDEX(装备库!$A$2:$Y$1047,MATCH(ROW()-1,装备库!$AO$2:$AO$1046,0),COLUMN()),"")</f>
        <v>354</v>
      </c>
      <c r="F391">
        <f>IFERROR(INDEX(装备库!$A$2:$Y$1047,MATCH(ROW()-1,装备库!$AO$2:$AO$1046,0),COLUMN()),"")</f>
        <v>575</v>
      </c>
      <c r="G391">
        <f>IFERROR(INDEX(装备库!$A$2:$Y$1047,MATCH(ROW()-1,装备库!$AO$2:$AO$1046,0),COLUMN()),"")</f>
        <v>1778</v>
      </c>
      <c r="H391">
        <f>IFERROR(INDEX(装备库!$A$2:$Y$1047,MATCH(ROW()-1,装备库!$AO$2:$AO$1046,0),COLUMN()),"")</f>
        <v>0</v>
      </c>
      <c r="I391">
        <f>IFERROR(INDEX(装备库!$A$2:$Y$1047,MATCH(ROW()-1,装备库!$AO$2:$AO$1046,0),COLUMN()),"")</f>
        <v>0</v>
      </c>
      <c r="J391">
        <f>IFERROR(INDEX(装备库!$A$2:$Y$1047,MATCH(ROW()-1,装备库!$AO$2:$AO$1046,0),COLUMN()),"")</f>
        <v>0</v>
      </c>
      <c r="K391">
        <f>IFERROR(INDEX(装备库!$A$2:$Y$1047,MATCH(ROW()-1,装备库!$AO$2:$AO$1046,0),COLUMN()),"")</f>
        <v>1581</v>
      </c>
      <c r="L391">
        <f>IFERROR(INDEX(装备库!$A$2:$Y$1047,MATCH(ROW()-1,装备库!$AO$2:$AO$1046,0),COLUMN()),"")</f>
        <v>0</v>
      </c>
      <c r="M391">
        <f>IFERROR(INDEX(装备库!$A$2:$Y$1047,MATCH(ROW()-1,装备库!$AO$2:$AO$1046,0),COLUMN()),"")</f>
        <v>0</v>
      </c>
      <c r="N391">
        <f>IFERROR(INDEX(装备库!$A$2:$Y$1047,MATCH(ROW()-1,装备库!$AO$2:$AO$1046,0),COLUMN()),"")</f>
        <v>0</v>
      </c>
      <c r="O391">
        <f>IFERROR(INDEX(装备库!$A$2:$Y$1047,MATCH(ROW()-1,装备库!$AO$2:$AO$1046,0),COLUMN()),"")</f>
        <v>0</v>
      </c>
      <c r="P391">
        <f>IFERROR(INDEX(装备库!$A$2:$Y$1047,MATCH(ROW()-1,装备库!$AO$2:$AO$1046,0),COLUMN()),"")</f>
        <v>0</v>
      </c>
      <c r="Q391">
        <f>IFERROR(INDEX(装备库!$A$2:$Y$1047,MATCH(ROW()-1,装备库!$AO$2:$AO$1046,0),COLUMN()),"")</f>
        <v>0</v>
      </c>
      <c r="R391">
        <f>IFERROR(INDEX(装备库!$A$2:$Y$1047,MATCH(ROW()-1,装备库!$AO$2:$AO$1046,0),COLUMN()),"")</f>
        <v>0</v>
      </c>
      <c r="S391">
        <f>IFERROR(INDEX(装备库!$A$2:$Y$1047,MATCH(ROW()-1,装备库!$AO$2:$AO$1046,0),COLUMN()),"")</f>
        <v>1</v>
      </c>
      <c r="T391">
        <f>IFERROR(INDEX(装备库!$A$2:$Y$1047,MATCH(ROW()-1,装备库!$AO$2:$AO$1046,0),COLUMN()),"")</f>
        <v>0</v>
      </c>
      <c r="U391">
        <f>IFERROR(INDEX(装备库!$A$2:$Y$1047,MATCH(ROW()-1,装备库!$AO$2:$AO$1046,0),COLUMN()),"")</f>
        <v>0</v>
      </c>
      <c r="V391">
        <f>IFERROR(INDEX(装备库!$A$2:$Y$1047,MATCH(ROW()-1,装备库!$AO$2:$AO$1046,0),COLUMN()),"")</f>
        <v>0</v>
      </c>
      <c r="W391" t="str">
        <f>IFERROR(INDEX(装备库!$A$2:$Y$1047,MATCH(ROW()-1,装备库!$AO$2:$AO$1046,0),COLUMN()),"")</f>
        <v>会无</v>
      </c>
      <c r="X391">
        <f>IFERROR(INDEX(装备库!$A$2:$Y$1047,MATCH(ROW()-1,装备库!$AO$2:$AO$1046,0),COLUMN()),"")</f>
        <v>6</v>
      </c>
      <c r="Y391" t="str">
        <f>IFERROR(INDEX(装备库!$A$2:$Y$1047,MATCH(ROW()-1,装备库!$AO$2:$AO$1046,0),COLUMN()),"")</f>
        <v>副本</v>
      </c>
    </row>
    <row r="392" spans="1:25" x14ac:dyDescent="0.35">
      <c r="A392" t="str">
        <f>IFERROR(INDEX(装备库!$A$2:$Y$1047,MATCH(ROW()-1,装备库!$AO$2:$AO$1046,0),COLUMN()),"")</f>
        <v>项链</v>
      </c>
      <c r="B392" t="str">
        <f>IFERROR(INDEX(装备库!$A$2:$Y$1047,MATCH(ROW()-1,装备库!$AO$2:$AO$1046,0),COLUMN()),"")</f>
        <v>无封项链</v>
      </c>
      <c r="C392">
        <f>IFERROR(INDEX(装备库!$A$2:$Y$1047,MATCH(ROW()-1,装备库!$AO$2:$AO$1046,0),COLUMN()),"")</f>
        <v>10300</v>
      </c>
      <c r="D392" t="str">
        <f>IFERROR(INDEX(装备库!$A$2:$Y$1047,MATCH(ROW()-1,装备库!$AO$2:$AO$1046,0),COLUMN()),"")</f>
        <v>无封项链(10300精简攻无)</v>
      </c>
      <c r="E392">
        <f>IFERROR(INDEX(装备库!$A$2:$Y$1047,MATCH(ROW()-1,装备库!$AO$2:$AO$1046,0),COLUMN()),"")</f>
        <v>0</v>
      </c>
      <c r="F392">
        <f>IFERROR(INDEX(装备库!$A$2:$Y$1047,MATCH(ROW()-1,装备库!$AO$2:$AO$1046,0),COLUMN()),"")</f>
        <v>1526</v>
      </c>
      <c r="G392">
        <f>IFERROR(INDEX(装备库!$A$2:$Y$1047,MATCH(ROW()-1,装备库!$AO$2:$AO$1046,0),COLUMN()),"")</f>
        <v>0</v>
      </c>
      <c r="H392">
        <f>IFERROR(INDEX(装备库!$A$2:$Y$1047,MATCH(ROW()-1,装备库!$AO$2:$AO$1046,0),COLUMN()),"")</f>
        <v>0</v>
      </c>
      <c r="I392">
        <f>IFERROR(INDEX(装备库!$A$2:$Y$1047,MATCH(ROW()-1,装备库!$AO$2:$AO$1046,0),COLUMN()),"")</f>
        <v>0</v>
      </c>
      <c r="J392">
        <f>IFERROR(INDEX(装备库!$A$2:$Y$1047,MATCH(ROW()-1,装备库!$AO$2:$AO$1046,0),COLUMN()),"")</f>
        <v>0</v>
      </c>
      <c r="K392">
        <f>IFERROR(INDEX(装备库!$A$2:$Y$1047,MATCH(ROW()-1,装备库!$AO$2:$AO$1046,0),COLUMN()),"")</f>
        <v>3458</v>
      </c>
      <c r="L392">
        <f>IFERROR(INDEX(装备库!$A$2:$Y$1047,MATCH(ROW()-1,装备库!$AO$2:$AO$1046,0),COLUMN()),"")</f>
        <v>0</v>
      </c>
      <c r="M392">
        <f>IFERROR(INDEX(装备库!$A$2:$Y$1047,MATCH(ROW()-1,装备库!$AO$2:$AO$1046,0),COLUMN()),"")</f>
        <v>0</v>
      </c>
      <c r="N392">
        <f>IFERROR(INDEX(装备库!$A$2:$Y$1047,MATCH(ROW()-1,装备库!$AO$2:$AO$1046,0),COLUMN()),"")</f>
        <v>0</v>
      </c>
      <c r="O392">
        <f>IFERROR(INDEX(装备库!$A$2:$Y$1047,MATCH(ROW()-1,装备库!$AO$2:$AO$1046,0),COLUMN()),"")</f>
        <v>0</v>
      </c>
      <c r="P392">
        <f>IFERROR(INDEX(装备库!$A$2:$Y$1047,MATCH(ROW()-1,装备库!$AO$2:$AO$1046,0),COLUMN()),"")</f>
        <v>0</v>
      </c>
      <c r="Q392">
        <f>IFERROR(INDEX(装备库!$A$2:$Y$1047,MATCH(ROW()-1,装备库!$AO$2:$AO$1046,0),COLUMN()),"")</f>
        <v>0</v>
      </c>
      <c r="R392">
        <f>IFERROR(INDEX(装备库!$A$2:$Y$1047,MATCH(ROW()-1,装备库!$AO$2:$AO$1046,0),COLUMN()),"")</f>
        <v>0</v>
      </c>
      <c r="S392">
        <f>IFERROR(INDEX(装备库!$A$2:$Y$1047,MATCH(ROW()-1,装备库!$AO$2:$AO$1046,0),COLUMN()),"")</f>
        <v>1</v>
      </c>
      <c r="T392">
        <f>IFERROR(INDEX(装备库!$A$2:$Y$1047,MATCH(ROW()-1,装备库!$AO$2:$AO$1046,0),COLUMN()),"")</f>
        <v>0</v>
      </c>
      <c r="U392">
        <f>IFERROR(INDEX(装备库!$A$2:$Y$1047,MATCH(ROW()-1,装备库!$AO$2:$AO$1046,0),COLUMN()),"")</f>
        <v>0</v>
      </c>
      <c r="V392">
        <f>IFERROR(INDEX(装备库!$A$2:$Y$1047,MATCH(ROW()-1,装备库!$AO$2:$AO$1046,0),COLUMN()),"")</f>
        <v>0</v>
      </c>
      <c r="W392" t="str">
        <f>IFERROR(INDEX(装备库!$A$2:$Y$1047,MATCH(ROW()-1,装备库!$AO$2:$AO$1046,0),COLUMN()),"")</f>
        <v>精简攻无</v>
      </c>
      <c r="X392">
        <f>IFERROR(INDEX(装备库!$A$2:$Y$1047,MATCH(ROW()-1,装备库!$AO$2:$AO$1046,0),COLUMN()),"")</f>
        <v>3</v>
      </c>
      <c r="Y392" t="str">
        <f>IFERROR(INDEX(装备库!$A$2:$Y$1047,MATCH(ROW()-1,装备库!$AO$2:$AO$1046,0),COLUMN()),"")</f>
        <v>活动</v>
      </c>
    </row>
    <row r="393" spans="1:25" x14ac:dyDescent="0.35">
      <c r="A393" t="str">
        <f>IFERROR(INDEX(装备库!$A$2:$Y$1047,MATCH(ROW()-1,装备库!$AO$2:$AO$1046,0),COLUMN()),"")</f>
        <v>项链</v>
      </c>
      <c r="B393" t="str">
        <f>IFERROR(INDEX(装备库!$A$2:$Y$1047,MATCH(ROW()-1,装备库!$AO$2:$AO$1046,0),COLUMN()),"")</f>
        <v>无封项链</v>
      </c>
      <c r="C393">
        <f>IFERROR(INDEX(装备库!$A$2:$Y$1047,MATCH(ROW()-1,装备库!$AO$2:$AO$1046,0),COLUMN()),"")</f>
        <v>10300</v>
      </c>
      <c r="D393" t="str">
        <f>IFERROR(INDEX(装备库!$A$2:$Y$1047,MATCH(ROW()-1,装备库!$AO$2:$AO$1046,0),COLUMN()),"")</f>
        <v>无封项链(10300精简攻破无)</v>
      </c>
      <c r="E393">
        <f>IFERROR(INDEX(装备库!$A$2:$Y$1047,MATCH(ROW()-1,装备库!$AO$2:$AO$1046,0),COLUMN()),"")</f>
        <v>0</v>
      </c>
      <c r="F393">
        <f>IFERROR(INDEX(装备库!$A$2:$Y$1047,MATCH(ROW()-1,装备库!$AO$2:$AO$1046,0),COLUMN()),"")</f>
        <v>1301</v>
      </c>
      <c r="G393">
        <f>IFERROR(INDEX(装备库!$A$2:$Y$1047,MATCH(ROW()-1,装备库!$AO$2:$AO$1046,0),COLUMN()),"")</f>
        <v>0</v>
      </c>
      <c r="H393">
        <f>IFERROR(INDEX(装备库!$A$2:$Y$1047,MATCH(ROW()-1,装备库!$AO$2:$AO$1046,0),COLUMN()),"")</f>
        <v>0</v>
      </c>
      <c r="I393">
        <f>IFERROR(INDEX(装备库!$A$2:$Y$1047,MATCH(ROW()-1,装备库!$AO$2:$AO$1046,0),COLUMN()),"")</f>
        <v>2005</v>
      </c>
      <c r="J393">
        <f>IFERROR(INDEX(装备库!$A$2:$Y$1047,MATCH(ROW()-1,装备库!$AO$2:$AO$1046,0),COLUMN()),"")</f>
        <v>0</v>
      </c>
      <c r="K393">
        <f>IFERROR(INDEX(装备库!$A$2:$Y$1047,MATCH(ROW()-1,装备库!$AO$2:$AO$1046,0),COLUMN()),"")</f>
        <v>2005</v>
      </c>
      <c r="L393">
        <f>IFERROR(INDEX(装备库!$A$2:$Y$1047,MATCH(ROW()-1,装备库!$AO$2:$AO$1046,0),COLUMN()),"")</f>
        <v>0</v>
      </c>
      <c r="M393">
        <f>IFERROR(INDEX(装备库!$A$2:$Y$1047,MATCH(ROW()-1,装备库!$AO$2:$AO$1046,0),COLUMN()),"")</f>
        <v>0</v>
      </c>
      <c r="N393">
        <f>IFERROR(INDEX(装备库!$A$2:$Y$1047,MATCH(ROW()-1,装备库!$AO$2:$AO$1046,0),COLUMN()),"")</f>
        <v>0</v>
      </c>
      <c r="O393">
        <f>IFERROR(INDEX(装备库!$A$2:$Y$1047,MATCH(ROW()-1,装备库!$AO$2:$AO$1046,0),COLUMN()),"")</f>
        <v>0</v>
      </c>
      <c r="P393">
        <f>IFERROR(INDEX(装备库!$A$2:$Y$1047,MATCH(ROW()-1,装备库!$AO$2:$AO$1046,0),COLUMN()),"")</f>
        <v>0</v>
      </c>
      <c r="Q393">
        <f>IFERROR(INDEX(装备库!$A$2:$Y$1047,MATCH(ROW()-1,装备库!$AO$2:$AO$1046,0),COLUMN()),"")</f>
        <v>0</v>
      </c>
      <c r="R393">
        <f>IFERROR(INDEX(装备库!$A$2:$Y$1047,MATCH(ROW()-1,装备库!$AO$2:$AO$1046,0),COLUMN()),"")</f>
        <v>0</v>
      </c>
      <c r="S393">
        <f>IFERROR(INDEX(装备库!$A$2:$Y$1047,MATCH(ROW()-1,装备库!$AO$2:$AO$1046,0),COLUMN()),"")</f>
        <v>0</v>
      </c>
      <c r="T393">
        <f>IFERROR(INDEX(装备库!$A$2:$Y$1047,MATCH(ROW()-1,装备库!$AO$2:$AO$1046,0),COLUMN()),"")</f>
        <v>1</v>
      </c>
      <c r="U393">
        <f>IFERROR(INDEX(装备库!$A$2:$Y$1047,MATCH(ROW()-1,装备库!$AO$2:$AO$1046,0),COLUMN()),"")</f>
        <v>0</v>
      </c>
      <c r="V393">
        <f>IFERROR(INDEX(装备库!$A$2:$Y$1047,MATCH(ROW()-1,装备库!$AO$2:$AO$1046,0),COLUMN()),"")</f>
        <v>0</v>
      </c>
      <c r="W393" t="str">
        <f>IFERROR(INDEX(装备库!$A$2:$Y$1047,MATCH(ROW()-1,装备库!$AO$2:$AO$1046,0),COLUMN()),"")</f>
        <v>精简攻破无</v>
      </c>
      <c r="X393">
        <f>IFERROR(INDEX(装备库!$A$2:$Y$1047,MATCH(ROW()-1,装备库!$AO$2:$AO$1046,0),COLUMN()),"")</f>
        <v>3</v>
      </c>
      <c r="Y393" t="str">
        <f>IFERROR(INDEX(装备库!$A$2:$Y$1047,MATCH(ROW()-1,装备库!$AO$2:$AO$1046,0),COLUMN()),"")</f>
        <v>活动</v>
      </c>
    </row>
    <row r="394" spans="1:25" x14ac:dyDescent="0.35">
      <c r="A394" t="str">
        <f>IFERROR(INDEX(装备库!$A$2:$Y$1047,MATCH(ROW()-1,装备库!$AO$2:$AO$1046,0),COLUMN()),"")</f>
        <v>项链</v>
      </c>
      <c r="B394" t="str">
        <f>IFERROR(INDEX(装备库!$A$2:$Y$1047,MATCH(ROW()-1,装备库!$AO$2:$AO$1046,0),COLUMN()),"")</f>
        <v>无封项链</v>
      </c>
      <c r="C394">
        <f>IFERROR(INDEX(装备库!$A$2:$Y$1047,MATCH(ROW()-1,装备库!$AO$2:$AO$1046,0),COLUMN()),"")</f>
        <v>10300</v>
      </c>
      <c r="D394" t="str">
        <f>IFERROR(INDEX(装备库!$A$2:$Y$1047,MATCH(ROW()-1,装备库!$AO$2:$AO$1046,0),COLUMN()),"")</f>
        <v>无封项链(10300精简攻会招无)</v>
      </c>
      <c r="E394">
        <f>IFERROR(INDEX(装备库!$A$2:$Y$1047,MATCH(ROW()-1,装备库!$AO$2:$AO$1046,0),COLUMN()),"")</f>
        <v>0</v>
      </c>
      <c r="F394">
        <f>IFERROR(INDEX(装备库!$A$2:$Y$1047,MATCH(ROW()-1,装备库!$AO$2:$AO$1046,0),COLUMN()),"")</f>
        <v>1301</v>
      </c>
      <c r="G394">
        <f>IFERROR(INDEX(装备库!$A$2:$Y$1047,MATCH(ROW()-1,装备库!$AO$2:$AO$1046,0),COLUMN()),"")</f>
        <v>1905</v>
      </c>
      <c r="H394">
        <f>IFERROR(INDEX(装备库!$A$2:$Y$1047,MATCH(ROW()-1,装备库!$AO$2:$AO$1046,0),COLUMN()),"")</f>
        <v>0</v>
      </c>
      <c r="I394">
        <f>IFERROR(INDEX(装备库!$A$2:$Y$1047,MATCH(ROW()-1,装备库!$AO$2:$AO$1046,0),COLUMN()),"")</f>
        <v>0</v>
      </c>
      <c r="J394">
        <f>IFERROR(INDEX(装备库!$A$2:$Y$1047,MATCH(ROW()-1,装备库!$AO$2:$AO$1046,0),COLUMN()),"")</f>
        <v>1002</v>
      </c>
      <c r="K394">
        <f>IFERROR(INDEX(装备库!$A$2:$Y$1047,MATCH(ROW()-1,装备库!$AO$2:$AO$1046,0),COLUMN()),"")</f>
        <v>1103</v>
      </c>
      <c r="L394">
        <f>IFERROR(INDEX(装备库!$A$2:$Y$1047,MATCH(ROW()-1,装备库!$AO$2:$AO$1046,0),COLUMN()),"")</f>
        <v>0</v>
      </c>
      <c r="M394">
        <f>IFERROR(INDEX(装备库!$A$2:$Y$1047,MATCH(ROW()-1,装备库!$AO$2:$AO$1046,0),COLUMN()),"")</f>
        <v>0</v>
      </c>
      <c r="N394">
        <f>IFERROR(INDEX(装备库!$A$2:$Y$1047,MATCH(ROW()-1,装备库!$AO$2:$AO$1046,0),COLUMN()),"")</f>
        <v>0</v>
      </c>
      <c r="O394">
        <f>IFERROR(INDEX(装备库!$A$2:$Y$1047,MATCH(ROW()-1,装备库!$AO$2:$AO$1046,0),COLUMN()),"")</f>
        <v>0</v>
      </c>
      <c r="P394">
        <f>IFERROR(INDEX(装备库!$A$2:$Y$1047,MATCH(ROW()-1,装备库!$AO$2:$AO$1046,0),COLUMN()),"")</f>
        <v>0</v>
      </c>
      <c r="Q394">
        <f>IFERROR(INDEX(装备库!$A$2:$Y$1047,MATCH(ROW()-1,装备库!$AO$2:$AO$1046,0),COLUMN()),"")</f>
        <v>0</v>
      </c>
      <c r="R394">
        <f>IFERROR(INDEX(装备库!$A$2:$Y$1047,MATCH(ROW()-1,装备库!$AO$2:$AO$1046,0),COLUMN()),"")</f>
        <v>0</v>
      </c>
      <c r="S394">
        <f>IFERROR(INDEX(装备库!$A$2:$Y$1047,MATCH(ROW()-1,装备库!$AO$2:$AO$1046,0),COLUMN()),"")</f>
        <v>1</v>
      </c>
      <c r="T394">
        <f>IFERROR(INDEX(装备库!$A$2:$Y$1047,MATCH(ROW()-1,装备库!$AO$2:$AO$1046,0),COLUMN()),"")</f>
        <v>0</v>
      </c>
      <c r="U394">
        <f>IFERROR(INDEX(装备库!$A$2:$Y$1047,MATCH(ROW()-1,装备库!$AO$2:$AO$1046,0),COLUMN()),"")</f>
        <v>0</v>
      </c>
      <c r="V394">
        <f>IFERROR(INDEX(装备库!$A$2:$Y$1047,MATCH(ROW()-1,装备库!$AO$2:$AO$1046,0),COLUMN()),"")</f>
        <v>0</v>
      </c>
      <c r="W394" t="str">
        <f>IFERROR(INDEX(装备库!$A$2:$Y$1047,MATCH(ROW()-1,装备库!$AO$2:$AO$1046,0),COLUMN()),"")</f>
        <v>精简攻会招无</v>
      </c>
      <c r="X394">
        <f>IFERROR(INDEX(装备库!$A$2:$Y$1047,MATCH(ROW()-1,装备库!$AO$2:$AO$1046,0),COLUMN()),"")</f>
        <v>3</v>
      </c>
      <c r="Y394" t="str">
        <f>IFERROR(INDEX(装备库!$A$2:$Y$1047,MATCH(ROW()-1,装备库!$AO$2:$AO$1046,0),COLUMN()),"")</f>
        <v>活动</v>
      </c>
    </row>
    <row r="395" spans="1:25" x14ac:dyDescent="0.35">
      <c r="A395" t="str">
        <f>IFERROR(INDEX(装备库!$A$2:$Y$1047,MATCH(ROW()-1,装备库!$AO$2:$AO$1046,0),COLUMN()),"")</f>
        <v>项链</v>
      </c>
      <c r="B395" t="str">
        <f>IFERROR(INDEX(装备库!$A$2:$Y$1047,MATCH(ROW()-1,装备库!$AO$2:$AO$1046,0),COLUMN()),"")</f>
        <v>定酣链</v>
      </c>
      <c r="C395">
        <f>IFERROR(INDEX(装备库!$A$2:$Y$1047,MATCH(ROW()-1,装备库!$AO$2:$AO$1046,0),COLUMN()),"")</f>
        <v>10350</v>
      </c>
      <c r="D395" t="str">
        <f>IFERROR(INDEX(装备库!$A$2:$Y$1047,MATCH(ROW()-1,装备库!$AO$2:$AO$1046,0),COLUMN()),"")</f>
        <v>定酣链(10350招破)</v>
      </c>
      <c r="E395">
        <f>IFERROR(INDEX(装备库!$A$2:$Y$1047,MATCH(ROW()-1,装备库!$AO$2:$AO$1046,0),COLUMN()),"")</f>
        <v>361</v>
      </c>
      <c r="F395">
        <f>IFERROR(INDEX(装备库!$A$2:$Y$1047,MATCH(ROW()-1,装备库!$AO$2:$AO$1046,0),COLUMN()),"")</f>
        <v>586</v>
      </c>
      <c r="G395">
        <f>IFERROR(INDEX(装备库!$A$2:$Y$1047,MATCH(ROW()-1,装备库!$AO$2:$AO$1046,0),COLUMN()),"")</f>
        <v>0</v>
      </c>
      <c r="H395">
        <f>IFERROR(INDEX(装备库!$A$2:$Y$1047,MATCH(ROW()-1,装备库!$AO$2:$AO$1046,0),COLUMN()),"")</f>
        <v>0</v>
      </c>
      <c r="I395">
        <f>IFERROR(INDEX(装备库!$A$2:$Y$1047,MATCH(ROW()-1,装备库!$AO$2:$AO$1046,0),COLUMN()),"")</f>
        <v>1813</v>
      </c>
      <c r="J395">
        <f>IFERROR(INDEX(装备库!$A$2:$Y$1047,MATCH(ROW()-1,装备库!$AO$2:$AO$1046,0),COLUMN()),"")</f>
        <v>1612</v>
      </c>
      <c r="K395">
        <f>IFERROR(INDEX(装备库!$A$2:$Y$1047,MATCH(ROW()-1,装备库!$AO$2:$AO$1046,0),COLUMN()),"")</f>
        <v>0</v>
      </c>
      <c r="L395">
        <f>IFERROR(INDEX(装备库!$A$2:$Y$1047,MATCH(ROW()-1,装备库!$AO$2:$AO$1046,0),COLUMN()),"")</f>
        <v>0</v>
      </c>
      <c r="M395">
        <f>IFERROR(INDEX(装备库!$A$2:$Y$1047,MATCH(ROW()-1,装备库!$AO$2:$AO$1046,0),COLUMN()),"")</f>
        <v>0</v>
      </c>
      <c r="N395">
        <f>IFERROR(INDEX(装备库!$A$2:$Y$1047,MATCH(ROW()-1,装备库!$AO$2:$AO$1046,0),COLUMN()),"")</f>
        <v>0</v>
      </c>
      <c r="O395">
        <f>IFERROR(INDEX(装备库!$A$2:$Y$1047,MATCH(ROW()-1,装备库!$AO$2:$AO$1046,0),COLUMN()),"")</f>
        <v>0</v>
      </c>
      <c r="P395">
        <f>IFERROR(INDEX(装备库!$A$2:$Y$1047,MATCH(ROW()-1,装备库!$AO$2:$AO$1046,0),COLUMN()),"")</f>
        <v>1</v>
      </c>
      <c r="Q395">
        <f>IFERROR(INDEX(装备库!$A$2:$Y$1047,MATCH(ROW()-1,装备库!$AO$2:$AO$1046,0),COLUMN()),"")</f>
        <v>0</v>
      </c>
      <c r="R395">
        <f>IFERROR(INDEX(装备库!$A$2:$Y$1047,MATCH(ROW()-1,装备库!$AO$2:$AO$1046,0),COLUMN()),"")</f>
        <v>0</v>
      </c>
      <c r="S395">
        <f>IFERROR(INDEX(装备库!$A$2:$Y$1047,MATCH(ROW()-1,装备库!$AO$2:$AO$1046,0),COLUMN()),"")</f>
        <v>0</v>
      </c>
      <c r="T395">
        <f>IFERROR(INDEX(装备库!$A$2:$Y$1047,MATCH(ROW()-1,装备库!$AO$2:$AO$1046,0),COLUMN()),"")</f>
        <v>0</v>
      </c>
      <c r="U395">
        <f>IFERROR(INDEX(装备库!$A$2:$Y$1047,MATCH(ROW()-1,装备库!$AO$2:$AO$1046,0),COLUMN()),"")</f>
        <v>0</v>
      </c>
      <c r="V395">
        <f>IFERROR(INDEX(装备库!$A$2:$Y$1047,MATCH(ROW()-1,装备库!$AO$2:$AO$1046,0),COLUMN()),"")</f>
        <v>0</v>
      </c>
      <c r="W395" t="str">
        <f>IFERROR(INDEX(装备库!$A$2:$Y$1047,MATCH(ROW()-1,装备库!$AO$2:$AO$1046,0),COLUMN()),"")</f>
        <v>招破</v>
      </c>
      <c r="X395">
        <f>IFERROR(INDEX(装备库!$A$2:$Y$1047,MATCH(ROW()-1,装备库!$AO$2:$AO$1046,0),COLUMN()),"")</f>
        <v>6</v>
      </c>
      <c r="Y395" t="str">
        <f>IFERROR(INDEX(装备库!$A$2:$Y$1047,MATCH(ROW()-1,装备库!$AO$2:$AO$1046,0),COLUMN()),"")</f>
        <v>声望</v>
      </c>
    </row>
    <row r="396" spans="1:25" x14ac:dyDescent="0.35">
      <c r="A396" t="str">
        <f>IFERROR(INDEX(装备库!$A$2:$Y$1047,MATCH(ROW()-1,装备库!$AO$2:$AO$1046,0),COLUMN()),"")</f>
        <v>项链</v>
      </c>
      <c r="B396" t="str">
        <f>IFERROR(INDEX(装备库!$A$2:$Y$1047,MATCH(ROW()-1,装备库!$AO$2:$AO$1046,0),COLUMN()),"")</f>
        <v>虚韵链</v>
      </c>
      <c r="C396">
        <f>IFERROR(INDEX(装备库!$A$2:$Y$1047,MATCH(ROW()-1,装备库!$AO$2:$AO$1046,0),COLUMN()),"")</f>
        <v>10400</v>
      </c>
      <c r="D396" t="str">
        <f>IFERROR(INDEX(装备库!$A$2:$Y$1047,MATCH(ROW()-1,装备库!$AO$2:$AO$1046,0),COLUMN()),"")</f>
        <v>虚韵链(10400破无)</v>
      </c>
      <c r="E396">
        <f>IFERROR(INDEX(装备库!$A$2:$Y$1047,MATCH(ROW()-1,装备库!$AO$2:$AO$1046,0),COLUMN()),"")</f>
        <v>363</v>
      </c>
      <c r="F396">
        <f>IFERROR(INDEX(装备库!$A$2:$Y$1047,MATCH(ROW()-1,装备库!$AO$2:$AO$1046,0),COLUMN()),"")</f>
        <v>589</v>
      </c>
      <c r="G396">
        <f>IFERROR(INDEX(装备库!$A$2:$Y$1047,MATCH(ROW()-1,装备库!$AO$2:$AO$1046,0),COLUMN()),"")</f>
        <v>0</v>
      </c>
      <c r="H396">
        <f>IFERROR(INDEX(装备库!$A$2:$Y$1047,MATCH(ROW()-1,装备库!$AO$2:$AO$1046,0),COLUMN()),"")</f>
        <v>0</v>
      </c>
      <c r="I396">
        <f>IFERROR(INDEX(装备库!$A$2:$Y$1047,MATCH(ROW()-1,装备库!$AO$2:$AO$1046,0),COLUMN()),"")</f>
        <v>1822</v>
      </c>
      <c r="J396">
        <f>IFERROR(INDEX(装备库!$A$2:$Y$1047,MATCH(ROW()-1,装备库!$AO$2:$AO$1046,0),COLUMN()),"")</f>
        <v>0</v>
      </c>
      <c r="K396">
        <f>IFERROR(INDEX(装备库!$A$2:$Y$1047,MATCH(ROW()-1,装备库!$AO$2:$AO$1046,0),COLUMN()),"")</f>
        <v>1619</v>
      </c>
      <c r="L396">
        <f>IFERROR(INDEX(装备库!$A$2:$Y$1047,MATCH(ROW()-1,装备库!$AO$2:$AO$1046,0),COLUMN()),"")</f>
        <v>0</v>
      </c>
      <c r="M396">
        <f>IFERROR(INDEX(装备库!$A$2:$Y$1047,MATCH(ROW()-1,装备库!$AO$2:$AO$1046,0),COLUMN()),"")</f>
        <v>0</v>
      </c>
      <c r="N396">
        <f>IFERROR(INDEX(装备库!$A$2:$Y$1047,MATCH(ROW()-1,装备库!$AO$2:$AO$1046,0),COLUMN()),"")</f>
        <v>0</v>
      </c>
      <c r="O396">
        <f>IFERROR(INDEX(装备库!$A$2:$Y$1047,MATCH(ROW()-1,装备库!$AO$2:$AO$1046,0),COLUMN()),"")</f>
        <v>0</v>
      </c>
      <c r="P396">
        <f>IFERROR(INDEX(装备库!$A$2:$Y$1047,MATCH(ROW()-1,装备库!$AO$2:$AO$1046,0),COLUMN()),"")</f>
        <v>0</v>
      </c>
      <c r="Q396">
        <f>IFERROR(INDEX(装备库!$A$2:$Y$1047,MATCH(ROW()-1,装备库!$AO$2:$AO$1046,0),COLUMN()),"")</f>
        <v>0</v>
      </c>
      <c r="R396">
        <f>IFERROR(INDEX(装备库!$A$2:$Y$1047,MATCH(ROW()-1,装备库!$AO$2:$AO$1046,0),COLUMN()),"")</f>
        <v>0</v>
      </c>
      <c r="S396">
        <f>IFERROR(INDEX(装备库!$A$2:$Y$1047,MATCH(ROW()-1,装备库!$AO$2:$AO$1046,0),COLUMN()),"")</f>
        <v>0</v>
      </c>
      <c r="T396">
        <f>IFERROR(INDEX(装备库!$A$2:$Y$1047,MATCH(ROW()-1,装备库!$AO$2:$AO$1046,0),COLUMN()),"")</f>
        <v>0</v>
      </c>
      <c r="U396">
        <f>IFERROR(INDEX(装备库!$A$2:$Y$1047,MATCH(ROW()-1,装备库!$AO$2:$AO$1046,0),COLUMN()),"")</f>
        <v>1</v>
      </c>
      <c r="V396">
        <f>IFERROR(INDEX(装备库!$A$2:$Y$1047,MATCH(ROW()-1,装备库!$AO$2:$AO$1046,0),COLUMN()),"")</f>
        <v>0</v>
      </c>
      <c r="W396" t="str">
        <f>IFERROR(INDEX(装备库!$A$2:$Y$1047,MATCH(ROW()-1,装备库!$AO$2:$AO$1046,0),COLUMN()),"")</f>
        <v>破无</v>
      </c>
      <c r="X396">
        <f>IFERROR(INDEX(装备库!$A$2:$Y$1047,MATCH(ROW()-1,装备库!$AO$2:$AO$1046,0),COLUMN()),"")</f>
        <v>6</v>
      </c>
      <c r="Y396" t="str">
        <f>IFERROR(INDEX(装备库!$A$2:$Y$1047,MATCH(ROW()-1,装备库!$AO$2:$AO$1046,0),COLUMN()),"")</f>
        <v>侠义值</v>
      </c>
    </row>
    <row r="397" spans="1:25" x14ac:dyDescent="0.35">
      <c r="A397" t="str">
        <f>IFERROR(INDEX(装备库!$A$2:$Y$1047,MATCH(ROW()-1,装备库!$AO$2:$AO$1046,0),COLUMN()),"")</f>
        <v>项链</v>
      </c>
      <c r="B397" t="str">
        <f>IFERROR(INDEX(装备库!$A$2:$Y$1047,MATCH(ROW()-1,装备库!$AO$2:$AO$1046,0),COLUMN()),"")</f>
        <v>无封项链</v>
      </c>
      <c r="C397">
        <f>IFERROR(INDEX(装备库!$A$2:$Y$1047,MATCH(ROW()-1,装备库!$AO$2:$AO$1046,0),COLUMN()),"")</f>
        <v>10600</v>
      </c>
      <c r="D397" t="str">
        <f>IFERROR(INDEX(装备库!$A$2:$Y$1047,MATCH(ROW()-1,装备库!$AO$2:$AO$1046,0),COLUMN()),"")</f>
        <v>无封项链(10600精简攻招无)</v>
      </c>
      <c r="E397">
        <f>IFERROR(INDEX(装备库!$A$2:$Y$1047,MATCH(ROW()-1,装备库!$AO$2:$AO$1046,0),COLUMN()),"")</f>
        <v>0</v>
      </c>
      <c r="F397">
        <f>IFERROR(INDEX(装备库!$A$2:$Y$1047,MATCH(ROW()-1,装备库!$AO$2:$AO$1046,0),COLUMN()),"")</f>
        <v>1339</v>
      </c>
      <c r="G397">
        <f>IFERROR(INDEX(装备库!$A$2:$Y$1047,MATCH(ROW()-1,装备库!$AO$2:$AO$1046,0),COLUMN()),"")</f>
        <v>0</v>
      </c>
      <c r="H397">
        <f>IFERROR(INDEX(装备库!$A$2:$Y$1047,MATCH(ROW()-1,装备库!$AO$2:$AO$1046,0),COLUMN()),"")</f>
        <v>0</v>
      </c>
      <c r="I397">
        <f>IFERROR(INDEX(装备库!$A$2:$Y$1047,MATCH(ROW()-1,装备库!$AO$2:$AO$1046,0),COLUMN()),"")</f>
        <v>0</v>
      </c>
      <c r="J397">
        <f>IFERROR(INDEX(装备库!$A$2:$Y$1047,MATCH(ROW()-1,装备库!$AO$2:$AO$1046,0),COLUMN()),"")</f>
        <v>1135</v>
      </c>
      <c r="K397">
        <f>IFERROR(INDEX(装备库!$A$2:$Y$1047,MATCH(ROW()-1,装备库!$AO$2:$AO$1046,0),COLUMN()),"")</f>
        <v>2992</v>
      </c>
      <c r="L397">
        <f>IFERROR(INDEX(装备库!$A$2:$Y$1047,MATCH(ROW()-1,装备库!$AO$2:$AO$1046,0),COLUMN()),"")</f>
        <v>0</v>
      </c>
      <c r="M397">
        <f>IFERROR(INDEX(装备库!$A$2:$Y$1047,MATCH(ROW()-1,装备库!$AO$2:$AO$1046,0),COLUMN()),"")</f>
        <v>0</v>
      </c>
      <c r="N397">
        <f>IFERROR(INDEX(装备库!$A$2:$Y$1047,MATCH(ROW()-1,装备库!$AO$2:$AO$1046,0),COLUMN()),"")</f>
        <v>0</v>
      </c>
      <c r="O397">
        <f>IFERROR(INDEX(装备库!$A$2:$Y$1047,MATCH(ROW()-1,装备库!$AO$2:$AO$1046,0),COLUMN()),"")</f>
        <v>0</v>
      </c>
      <c r="P397">
        <f>IFERROR(INDEX(装备库!$A$2:$Y$1047,MATCH(ROW()-1,装备库!$AO$2:$AO$1046,0),COLUMN()),"")</f>
        <v>0</v>
      </c>
      <c r="Q397">
        <f>IFERROR(INDEX(装备库!$A$2:$Y$1047,MATCH(ROW()-1,装备库!$AO$2:$AO$1046,0),COLUMN()),"")</f>
        <v>1</v>
      </c>
      <c r="R397">
        <f>IFERROR(INDEX(装备库!$A$2:$Y$1047,MATCH(ROW()-1,装备库!$AO$2:$AO$1046,0),COLUMN()),"")</f>
        <v>0</v>
      </c>
      <c r="S397">
        <f>IFERROR(INDEX(装备库!$A$2:$Y$1047,MATCH(ROW()-1,装备库!$AO$2:$AO$1046,0),COLUMN()),"")</f>
        <v>0</v>
      </c>
      <c r="T397">
        <f>IFERROR(INDEX(装备库!$A$2:$Y$1047,MATCH(ROW()-1,装备库!$AO$2:$AO$1046,0),COLUMN()),"")</f>
        <v>0</v>
      </c>
      <c r="U397">
        <f>IFERROR(INDEX(装备库!$A$2:$Y$1047,MATCH(ROW()-1,装备库!$AO$2:$AO$1046,0),COLUMN()),"")</f>
        <v>0</v>
      </c>
      <c r="V397">
        <f>IFERROR(INDEX(装备库!$A$2:$Y$1047,MATCH(ROW()-1,装备库!$AO$2:$AO$1046,0),COLUMN()),"")</f>
        <v>0</v>
      </c>
      <c r="W397" t="str">
        <f>IFERROR(INDEX(装备库!$A$2:$Y$1047,MATCH(ROW()-1,装备库!$AO$2:$AO$1046,0),COLUMN()),"")</f>
        <v>精简攻招无</v>
      </c>
      <c r="X397">
        <f>IFERROR(INDEX(装备库!$A$2:$Y$1047,MATCH(ROW()-1,装备库!$AO$2:$AO$1046,0),COLUMN()),"")</f>
        <v>3</v>
      </c>
      <c r="Y397" t="str">
        <f>IFERROR(INDEX(装备库!$A$2:$Y$1047,MATCH(ROW()-1,装备库!$AO$2:$AO$1046,0),COLUMN()),"")</f>
        <v>活动</v>
      </c>
    </row>
    <row r="398" spans="1:25" x14ac:dyDescent="0.35">
      <c r="A398" t="str">
        <f>IFERROR(INDEX(装备库!$A$2:$Y$1047,MATCH(ROW()-1,装备库!$AO$2:$AO$1046,0),COLUMN()),"")</f>
        <v>项链</v>
      </c>
      <c r="B398" t="str">
        <f>IFERROR(INDEX(装备库!$A$2:$Y$1047,MATCH(ROW()-1,装备库!$AO$2:$AO$1046,0),COLUMN()),"")</f>
        <v>无封项链</v>
      </c>
      <c r="C398">
        <f>IFERROR(INDEX(装备库!$A$2:$Y$1047,MATCH(ROW()-1,装备库!$AO$2:$AO$1046,0),COLUMN()),"")</f>
        <v>10600</v>
      </c>
      <c r="D398" t="str">
        <f>IFERROR(INDEX(装备库!$A$2:$Y$1047,MATCH(ROW()-1,装备库!$AO$2:$AO$1046,0),COLUMN()),"")</f>
        <v>无封项链(10600精简攻会会招)</v>
      </c>
      <c r="E398">
        <f>IFERROR(INDEX(装备库!$A$2:$Y$1047,MATCH(ROW()-1,装备库!$AO$2:$AO$1046,0),COLUMN()),"")</f>
        <v>0</v>
      </c>
      <c r="F398">
        <f>IFERROR(INDEX(装备库!$A$2:$Y$1047,MATCH(ROW()-1,装备库!$AO$2:$AO$1046,0),COLUMN()),"")</f>
        <v>1339</v>
      </c>
      <c r="G398">
        <f>IFERROR(INDEX(装备库!$A$2:$Y$1047,MATCH(ROW()-1,装备库!$AO$2:$AO$1046,0),COLUMN()),"")</f>
        <v>1960</v>
      </c>
      <c r="H398">
        <f>IFERROR(INDEX(装备库!$A$2:$Y$1047,MATCH(ROW()-1,装备库!$AO$2:$AO$1046,0),COLUMN()),"")</f>
        <v>1032</v>
      </c>
      <c r="I398">
        <f>IFERROR(INDEX(装备库!$A$2:$Y$1047,MATCH(ROW()-1,装备库!$AO$2:$AO$1046,0),COLUMN()),"")</f>
        <v>0</v>
      </c>
      <c r="J398">
        <f>IFERROR(INDEX(装备库!$A$2:$Y$1047,MATCH(ROW()-1,装备库!$AO$2:$AO$1046,0),COLUMN()),"")</f>
        <v>1032</v>
      </c>
      <c r="K398">
        <f>IFERROR(INDEX(装备库!$A$2:$Y$1047,MATCH(ROW()-1,装备库!$AO$2:$AO$1046,0),COLUMN()),"")</f>
        <v>0</v>
      </c>
      <c r="L398">
        <f>IFERROR(INDEX(装备库!$A$2:$Y$1047,MATCH(ROW()-1,装备库!$AO$2:$AO$1046,0),COLUMN()),"")</f>
        <v>0</v>
      </c>
      <c r="M398">
        <f>IFERROR(INDEX(装备库!$A$2:$Y$1047,MATCH(ROW()-1,装备库!$AO$2:$AO$1046,0),COLUMN()),"")</f>
        <v>0</v>
      </c>
      <c r="N398">
        <f>IFERROR(INDEX(装备库!$A$2:$Y$1047,MATCH(ROW()-1,装备库!$AO$2:$AO$1046,0),COLUMN()),"")</f>
        <v>0</v>
      </c>
      <c r="O398">
        <f>IFERROR(INDEX(装备库!$A$2:$Y$1047,MATCH(ROW()-1,装备库!$AO$2:$AO$1046,0),COLUMN()),"")</f>
        <v>0</v>
      </c>
      <c r="P398">
        <f>IFERROR(INDEX(装备库!$A$2:$Y$1047,MATCH(ROW()-1,装备库!$AO$2:$AO$1046,0),COLUMN()),"")</f>
        <v>0</v>
      </c>
      <c r="Q398">
        <f>IFERROR(INDEX(装备库!$A$2:$Y$1047,MATCH(ROW()-1,装备库!$AO$2:$AO$1046,0),COLUMN()),"")</f>
        <v>0</v>
      </c>
      <c r="R398">
        <f>IFERROR(INDEX(装备库!$A$2:$Y$1047,MATCH(ROW()-1,装备库!$AO$2:$AO$1046,0),COLUMN()),"")</f>
        <v>0</v>
      </c>
      <c r="S398">
        <f>IFERROR(INDEX(装备库!$A$2:$Y$1047,MATCH(ROW()-1,装备库!$AO$2:$AO$1046,0),COLUMN()),"")</f>
        <v>1</v>
      </c>
      <c r="T398">
        <f>IFERROR(INDEX(装备库!$A$2:$Y$1047,MATCH(ROW()-1,装备库!$AO$2:$AO$1046,0),COLUMN()),"")</f>
        <v>0</v>
      </c>
      <c r="U398">
        <f>IFERROR(INDEX(装备库!$A$2:$Y$1047,MATCH(ROW()-1,装备库!$AO$2:$AO$1046,0),COLUMN()),"")</f>
        <v>0</v>
      </c>
      <c r="V398">
        <f>IFERROR(INDEX(装备库!$A$2:$Y$1047,MATCH(ROW()-1,装备库!$AO$2:$AO$1046,0),COLUMN()),"")</f>
        <v>0</v>
      </c>
      <c r="W398" t="str">
        <f>IFERROR(INDEX(装备库!$A$2:$Y$1047,MATCH(ROW()-1,装备库!$AO$2:$AO$1046,0),COLUMN()),"")</f>
        <v>精简攻会会招</v>
      </c>
      <c r="X398">
        <f>IFERROR(INDEX(装备库!$A$2:$Y$1047,MATCH(ROW()-1,装备库!$AO$2:$AO$1046,0),COLUMN()),"")</f>
        <v>3</v>
      </c>
      <c r="Y398" t="str">
        <f>IFERROR(INDEX(装备库!$A$2:$Y$1047,MATCH(ROW()-1,装备库!$AO$2:$AO$1046,0),COLUMN()),"")</f>
        <v>活动</v>
      </c>
    </row>
    <row r="399" spans="1:25" x14ac:dyDescent="0.35">
      <c r="A399" t="str">
        <f>IFERROR(INDEX(装备库!$A$2:$Y$1047,MATCH(ROW()-1,装备库!$AO$2:$AO$1046,0),COLUMN()),"")</f>
        <v>项链</v>
      </c>
      <c r="B399" t="str">
        <f>IFERROR(INDEX(装备库!$A$2:$Y$1047,MATCH(ROW()-1,装备库!$AO$2:$AO$1046,0),COLUMN()),"")</f>
        <v>无封项链</v>
      </c>
      <c r="C399">
        <f>IFERROR(INDEX(装备库!$A$2:$Y$1047,MATCH(ROW()-1,装备库!$AO$2:$AO$1046,0),COLUMN()),"")</f>
        <v>10600</v>
      </c>
      <c r="D399" t="str">
        <f>IFERROR(INDEX(装备库!$A$2:$Y$1047,MATCH(ROW()-1,装备库!$AO$2:$AO$1046,0),COLUMN()),"")</f>
        <v>无封项链(10600精简攻会)</v>
      </c>
      <c r="E399">
        <f>IFERROR(INDEX(装备库!$A$2:$Y$1047,MATCH(ROW()-1,装备库!$AO$2:$AO$1046,0),COLUMN()),"")</f>
        <v>0</v>
      </c>
      <c r="F399">
        <f>IFERROR(INDEX(装备库!$A$2:$Y$1047,MATCH(ROW()-1,装备库!$AO$2:$AO$1046,0),COLUMN()),"")</f>
        <v>1570</v>
      </c>
      <c r="G399">
        <f>IFERROR(INDEX(装备库!$A$2:$Y$1047,MATCH(ROW()-1,装备库!$AO$2:$AO$1046,0),COLUMN()),"")</f>
        <v>3559</v>
      </c>
      <c r="H399">
        <f>IFERROR(INDEX(装备库!$A$2:$Y$1047,MATCH(ROW()-1,装备库!$AO$2:$AO$1046,0),COLUMN()),"")</f>
        <v>0</v>
      </c>
      <c r="I399">
        <f>IFERROR(INDEX(装备库!$A$2:$Y$1047,MATCH(ROW()-1,装备库!$AO$2:$AO$1046,0),COLUMN()),"")</f>
        <v>0</v>
      </c>
      <c r="J399">
        <f>IFERROR(INDEX(装备库!$A$2:$Y$1047,MATCH(ROW()-1,装备库!$AO$2:$AO$1046,0),COLUMN()),"")</f>
        <v>0</v>
      </c>
      <c r="K399">
        <f>IFERROR(INDEX(装备库!$A$2:$Y$1047,MATCH(ROW()-1,装备库!$AO$2:$AO$1046,0),COLUMN()),"")</f>
        <v>0</v>
      </c>
      <c r="L399">
        <f>IFERROR(INDEX(装备库!$A$2:$Y$1047,MATCH(ROW()-1,装备库!$AO$2:$AO$1046,0),COLUMN()),"")</f>
        <v>0</v>
      </c>
      <c r="M399">
        <f>IFERROR(INDEX(装备库!$A$2:$Y$1047,MATCH(ROW()-1,装备库!$AO$2:$AO$1046,0),COLUMN()),"")</f>
        <v>0</v>
      </c>
      <c r="N399">
        <f>IFERROR(INDEX(装备库!$A$2:$Y$1047,MATCH(ROW()-1,装备库!$AO$2:$AO$1046,0),COLUMN()),"")</f>
        <v>0</v>
      </c>
      <c r="O399">
        <f>IFERROR(INDEX(装备库!$A$2:$Y$1047,MATCH(ROW()-1,装备库!$AO$2:$AO$1046,0),COLUMN()),"")</f>
        <v>0</v>
      </c>
      <c r="P399">
        <f>IFERROR(INDEX(装备库!$A$2:$Y$1047,MATCH(ROW()-1,装备库!$AO$2:$AO$1046,0),COLUMN()),"")</f>
        <v>0</v>
      </c>
      <c r="Q399">
        <f>IFERROR(INDEX(装备库!$A$2:$Y$1047,MATCH(ROW()-1,装备库!$AO$2:$AO$1046,0),COLUMN()),"")</f>
        <v>0</v>
      </c>
      <c r="R399">
        <f>IFERROR(INDEX(装备库!$A$2:$Y$1047,MATCH(ROW()-1,装备库!$AO$2:$AO$1046,0),COLUMN()),"")</f>
        <v>1</v>
      </c>
      <c r="S399">
        <f>IFERROR(INDEX(装备库!$A$2:$Y$1047,MATCH(ROW()-1,装备库!$AO$2:$AO$1046,0),COLUMN()),"")</f>
        <v>0</v>
      </c>
      <c r="T399">
        <f>IFERROR(INDEX(装备库!$A$2:$Y$1047,MATCH(ROW()-1,装备库!$AO$2:$AO$1046,0),COLUMN()),"")</f>
        <v>0</v>
      </c>
      <c r="U399">
        <f>IFERROR(INDEX(装备库!$A$2:$Y$1047,MATCH(ROW()-1,装备库!$AO$2:$AO$1046,0),COLUMN()),"")</f>
        <v>0</v>
      </c>
      <c r="V399">
        <f>IFERROR(INDEX(装备库!$A$2:$Y$1047,MATCH(ROW()-1,装备库!$AO$2:$AO$1046,0),COLUMN()),"")</f>
        <v>0</v>
      </c>
      <c r="W399" t="str">
        <f>IFERROR(INDEX(装备库!$A$2:$Y$1047,MATCH(ROW()-1,装备库!$AO$2:$AO$1046,0),COLUMN()),"")</f>
        <v>精简攻会</v>
      </c>
      <c r="X399">
        <f>IFERROR(INDEX(装备库!$A$2:$Y$1047,MATCH(ROW()-1,装备库!$AO$2:$AO$1046,0),COLUMN()),"")</f>
        <v>3</v>
      </c>
      <c r="Y399" t="str">
        <f>IFERROR(INDEX(装备库!$A$2:$Y$1047,MATCH(ROW()-1,装备库!$AO$2:$AO$1046,0),COLUMN()),"")</f>
        <v>活动</v>
      </c>
    </row>
    <row r="400" spans="1:25" x14ac:dyDescent="0.35">
      <c r="A400" t="str">
        <f>IFERROR(INDEX(装备库!$A$2:$Y$1047,MATCH(ROW()-1,装备库!$AO$2:$AO$1046,0),COLUMN()),"")</f>
        <v>项链</v>
      </c>
      <c r="B400" t="str">
        <f>IFERROR(INDEX(装备库!$A$2:$Y$1047,MATCH(ROW()-1,装备库!$AO$2:$AO$1046,0),COLUMN()),"")</f>
        <v>元雾链</v>
      </c>
      <c r="C400">
        <f>IFERROR(INDEX(装备库!$A$2:$Y$1047,MATCH(ROW()-1,装备库!$AO$2:$AO$1046,0),COLUMN()),"")</f>
        <v>10700</v>
      </c>
      <c r="D400" t="str">
        <f>IFERROR(INDEX(装备库!$A$2:$Y$1047,MATCH(ROW()-1,装备库!$AO$2:$AO$1046,0),COLUMN()),"")</f>
        <v>元雾链(10700招破)</v>
      </c>
      <c r="E400">
        <f>IFERROR(INDEX(装备库!$A$2:$Y$1047,MATCH(ROW()-1,装备库!$AO$2:$AO$1046,0),COLUMN()),"")</f>
        <v>374</v>
      </c>
      <c r="F400">
        <f>IFERROR(INDEX(装备库!$A$2:$Y$1047,MATCH(ROW()-1,装备库!$AO$2:$AO$1046,0),COLUMN()),"")</f>
        <v>606</v>
      </c>
      <c r="G400">
        <f>IFERROR(INDEX(装备库!$A$2:$Y$1047,MATCH(ROW()-1,装备库!$AO$2:$AO$1046,0),COLUMN()),"")</f>
        <v>0</v>
      </c>
      <c r="H400">
        <f>IFERROR(INDEX(装备库!$A$2:$Y$1047,MATCH(ROW()-1,装备库!$AO$2:$AO$1046,0),COLUMN()),"")</f>
        <v>0</v>
      </c>
      <c r="I400">
        <f>IFERROR(INDEX(装备库!$A$2:$Y$1047,MATCH(ROW()-1,装备库!$AO$2:$AO$1046,0),COLUMN()),"")</f>
        <v>1874</v>
      </c>
      <c r="J400">
        <f>IFERROR(INDEX(装备库!$A$2:$Y$1047,MATCH(ROW()-1,装备库!$AO$2:$AO$1046,0),COLUMN()),"")</f>
        <v>1666</v>
      </c>
      <c r="K400">
        <f>IFERROR(INDEX(装备库!$A$2:$Y$1047,MATCH(ROW()-1,装备库!$AO$2:$AO$1046,0),COLUMN()),"")</f>
        <v>0</v>
      </c>
      <c r="L400">
        <f>IFERROR(INDEX(装备库!$A$2:$Y$1047,MATCH(ROW()-1,装备库!$AO$2:$AO$1046,0),COLUMN()),"")</f>
        <v>0</v>
      </c>
      <c r="M400">
        <f>IFERROR(INDEX(装备库!$A$2:$Y$1047,MATCH(ROW()-1,装备库!$AO$2:$AO$1046,0),COLUMN()),"")</f>
        <v>0</v>
      </c>
      <c r="N400">
        <f>IFERROR(INDEX(装备库!$A$2:$Y$1047,MATCH(ROW()-1,装备库!$AO$2:$AO$1046,0),COLUMN()),"")</f>
        <v>0</v>
      </c>
      <c r="O400">
        <f>IFERROR(INDEX(装备库!$A$2:$Y$1047,MATCH(ROW()-1,装备库!$AO$2:$AO$1046,0),COLUMN()),"")</f>
        <v>0</v>
      </c>
      <c r="P400">
        <f>IFERROR(INDEX(装备库!$A$2:$Y$1047,MATCH(ROW()-1,装备库!$AO$2:$AO$1046,0),COLUMN()),"")</f>
        <v>1</v>
      </c>
      <c r="Q400">
        <f>IFERROR(INDEX(装备库!$A$2:$Y$1047,MATCH(ROW()-1,装备库!$AO$2:$AO$1046,0),COLUMN()),"")</f>
        <v>0</v>
      </c>
      <c r="R400">
        <f>IFERROR(INDEX(装备库!$A$2:$Y$1047,MATCH(ROW()-1,装备库!$AO$2:$AO$1046,0),COLUMN()),"")</f>
        <v>0</v>
      </c>
      <c r="S400">
        <f>IFERROR(INDEX(装备库!$A$2:$Y$1047,MATCH(ROW()-1,装备库!$AO$2:$AO$1046,0),COLUMN()),"")</f>
        <v>0</v>
      </c>
      <c r="T400">
        <f>IFERROR(INDEX(装备库!$A$2:$Y$1047,MATCH(ROW()-1,装备库!$AO$2:$AO$1046,0),COLUMN()),"")</f>
        <v>0</v>
      </c>
      <c r="U400">
        <f>IFERROR(INDEX(装备库!$A$2:$Y$1047,MATCH(ROW()-1,装备库!$AO$2:$AO$1046,0),COLUMN()),"")</f>
        <v>0</v>
      </c>
      <c r="V400">
        <f>IFERROR(INDEX(装备库!$A$2:$Y$1047,MATCH(ROW()-1,装备库!$AO$2:$AO$1046,0),COLUMN()),"")</f>
        <v>0</v>
      </c>
      <c r="W400" t="str">
        <f>IFERROR(INDEX(装备库!$A$2:$Y$1047,MATCH(ROW()-1,装备库!$AO$2:$AO$1046,0),COLUMN()),"")</f>
        <v>招破</v>
      </c>
      <c r="X400">
        <f>IFERROR(INDEX(装备库!$A$2:$Y$1047,MATCH(ROW()-1,装备库!$AO$2:$AO$1046,0),COLUMN()),"")</f>
        <v>6</v>
      </c>
      <c r="Y400" t="str">
        <f>IFERROR(INDEX(装备库!$A$2:$Y$1047,MATCH(ROW()-1,装备库!$AO$2:$AO$1046,0),COLUMN()),"")</f>
        <v>声望</v>
      </c>
    </row>
    <row r="401" spans="1:25" x14ac:dyDescent="0.35">
      <c r="A401" t="str">
        <f>IFERROR(INDEX(装备库!$A$2:$Y$1047,MATCH(ROW()-1,装备库!$AO$2:$AO$1046,0),COLUMN()),"")</f>
        <v>项链</v>
      </c>
      <c r="B401" t="str">
        <f>IFERROR(INDEX(装备库!$A$2:$Y$1047,MATCH(ROW()-1,装备库!$AO$2:$AO$1046,0),COLUMN()),"")</f>
        <v>无封项链</v>
      </c>
      <c r="C401">
        <f>IFERROR(INDEX(装备库!$A$2:$Y$1047,MATCH(ROW()-1,装备库!$AO$2:$AO$1046,0),COLUMN()),"")</f>
        <v>10900</v>
      </c>
      <c r="D401" t="str">
        <f>IFERROR(INDEX(装备库!$A$2:$Y$1047,MATCH(ROW()-1,装备库!$AO$2:$AO$1046,0),COLUMN()),"")</f>
        <v>无封项链(10900精简攻招破无)</v>
      </c>
      <c r="E401">
        <f>IFERROR(INDEX(装备库!$A$2:$Y$1047,MATCH(ROW()-1,装备库!$AO$2:$AO$1046,0),COLUMN()),"")</f>
        <v>0</v>
      </c>
      <c r="F401">
        <f>IFERROR(INDEX(装备库!$A$2:$Y$1047,MATCH(ROW()-1,装备库!$AO$2:$AO$1046,0),COLUMN()),"")</f>
        <v>1377</v>
      </c>
      <c r="G401">
        <f>IFERROR(INDEX(装备库!$A$2:$Y$1047,MATCH(ROW()-1,装备库!$AO$2:$AO$1046,0),COLUMN()),"")</f>
        <v>0</v>
      </c>
      <c r="H401">
        <f>IFERROR(INDEX(装备库!$A$2:$Y$1047,MATCH(ROW()-1,装备库!$AO$2:$AO$1046,0),COLUMN()),"")</f>
        <v>0</v>
      </c>
      <c r="I401">
        <f>IFERROR(INDEX(装备库!$A$2:$Y$1047,MATCH(ROW()-1,装备库!$AO$2:$AO$1046,0),COLUMN()),"")</f>
        <v>1803</v>
      </c>
      <c r="J401">
        <f>IFERROR(INDEX(装备库!$A$2:$Y$1047,MATCH(ROW()-1,装备库!$AO$2:$AO$1046,0),COLUMN()),"")</f>
        <v>1379</v>
      </c>
      <c r="K401">
        <f>IFERROR(INDEX(装备库!$A$2:$Y$1047,MATCH(ROW()-1,装备库!$AO$2:$AO$1046,0),COLUMN()),"")</f>
        <v>1061</v>
      </c>
      <c r="L401">
        <f>IFERROR(INDEX(装备库!$A$2:$Y$1047,MATCH(ROW()-1,装备库!$AO$2:$AO$1046,0),COLUMN()),"")</f>
        <v>0</v>
      </c>
      <c r="M401">
        <f>IFERROR(INDEX(装备库!$A$2:$Y$1047,MATCH(ROW()-1,装备库!$AO$2:$AO$1046,0),COLUMN()),"")</f>
        <v>0</v>
      </c>
      <c r="N401">
        <f>IFERROR(INDEX(装备库!$A$2:$Y$1047,MATCH(ROW()-1,装备库!$AO$2:$AO$1046,0),COLUMN()),"")</f>
        <v>0</v>
      </c>
      <c r="O401">
        <f>IFERROR(INDEX(装备库!$A$2:$Y$1047,MATCH(ROW()-1,装备库!$AO$2:$AO$1046,0),COLUMN()),"")</f>
        <v>0</v>
      </c>
      <c r="P401">
        <f>IFERROR(INDEX(装备库!$A$2:$Y$1047,MATCH(ROW()-1,装备库!$AO$2:$AO$1046,0),COLUMN()),"")</f>
        <v>0</v>
      </c>
      <c r="Q401">
        <f>IFERROR(INDEX(装备库!$A$2:$Y$1047,MATCH(ROW()-1,装备库!$AO$2:$AO$1046,0),COLUMN()),"")</f>
        <v>1</v>
      </c>
      <c r="R401">
        <f>IFERROR(INDEX(装备库!$A$2:$Y$1047,MATCH(ROW()-1,装备库!$AO$2:$AO$1046,0),COLUMN()),"")</f>
        <v>0</v>
      </c>
      <c r="S401">
        <f>IFERROR(INDEX(装备库!$A$2:$Y$1047,MATCH(ROW()-1,装备库!$AO$2:$AO$1046,0),COLUMN()),"")</f>
        <v>0</v>
      </c>
      <c r="T401">
        <f>IFERROR(INDEX(装备库!$A$2:$Y$1047,MATCH(ROW()-1,装备库!$AO$2:$AO$1046,0),COLUMN()),"")</f>
        <v>0</v>
      </c>
      <c r="U401">
        <f>IFERROR(INDEX(装备库!$A$2:$Y$1047,MATCH(ROW()-1,装备库!$AO$2:$AO$1046,0),COLUMN()),"")</f>
        <v>0</v>
      </c>
      <c r="V401">
        <f>IFERROR(INDEX(装备库!$A$2:$Y$1047,MATCH(ROW()-1,装备库!$AO$2:$AO$1046,0),COLUMN()),"")</f>
        <v>0</v>
      </c>
      <c r="W401" t="str">
        <f>IFERROR(INDEX(装备库!$A$2:$Y$1047,MATCH(ROW()-1,装备库!$AO$2:$AO$1046,0),COLUMN()),"")</f>
        <v>精简攻招破无</v>
      </c>
      <c r="X401">
        <f>IFERROR(INDEX(装备库!$A$2:$Y$1047,MATCH(ROW()-1,装备库!$AO$2:$AO$1046,0),COLUMN()),"")</f>
        <v>3</v>
      </c>
      <c r="Y401" t="str">
        <f>IFERROR(INDEX(装备库!$A$2:$Y$1047,MATCH(ROW()-1,装备库!$AO$2:$AO$1046,0),COLUMN()),"")</f>
        <v>活动</v>
      </c>
    </row>
    <row r="402" spans="1:25" x14ac:dyDescent="0.35">
      <c r="A402" t="str">
        <f>IFERROR(INDEX(装备库!$A$2:$Y$1047,MATCH(ROW()-1,装备库!$AO$2:$AO$1046,0),COLUMN()),"")</f>
        <v>项链</v>
      </c>
      <c r="B402" t="str">
        <f>IFERROR(INDEX(装备库!$A$2:$Y$1047,MATCH(ROW()-1,装备库!$AO$2:$AO$1046,0),COLUMN()),"")</f>
        <v>无封项链</v>
      </c>
      <c r="C402">
        <f>IFERROR(INDEX(装备库!$A$2:$Y$1047,MATCH(ROW()-1,装备库!$AO$2:$AO$1046,0),COLUMN()),"")</f>
        <v>10900</v>
      </c>
      <c r="D402" t="str">
        <f>IFERROR(INDEX(装备库!$A$2:$Y$1047,MATCH(ROW()-1,装备库!$AO$2:$AO$1046,0),COLUMN()),"")</f>
        <v>无封项链(10900精简攻破)</v>
      </c>
      <c r="E402">
        <f>IFERROR(INDEX(装备库!$A$2:$Y$1047,MATCH(ROW()-1,装备库!$AO$2:$AO$1046,0),COLUMN()),"")</f>
        <v>0</v>
      </c>
      <c r="F402">
        <f>IFERROR(INDEX(装备库!$A$2:$Y$1047,MATCH(ROW()-1,装备库!$AO$2:$AO$1046,0),COLUMN()),"")</f>
        <v>1615</v>
      </c>
      <c r="G402">
        <f>IFERROR(INDEX(装备库!$A$2:$Y$1047,MATCH(ROW()-1,装备库!$AO$2:$AO$1046,0),COLUMN()),"")</f>
        <v>0</v>
      </c>
      <c r="H402">
        <f>IFERROR(INDEX(装备库!$A$2:$Y$1047,MATCH(ROW()-1,装备库!$AO$2:$AO$1046,0),COLUMN()),"")</f>
        <v>0</v>
      </c>
      <c r="I402">
        <f>IFERROR(INDEX(装备库!$A$2:$Y$1047,MATCH(ROW()-1,装备库!$AO$2:$AO$1046,0),COLUMN()),"")</f>
        <v>3660</v>
      </c>
      <c r="J402">
        <f>IFERROR(INDEX(装备库!$A$2:$Y$1047,MATCH(ROW()-1,装备库!$AO$2:$AO$1046,0),COLUMN()),"")</f>
        <v>0</v>
      </c>
      <c r="K402">
        <f>IFERROR(INDEX(装备库!$A$2:$Y$1047,MATCH(ROW()-1,装备库!$AO$2:$AO$1046,0),COLUMN()),"")</f>
        <v>0</v>
      </c>
      <c r="L402">
        <f>IFERROR(INDEX(装备库!$A$2:$Y$1047,MATCH(ROW()-1,装备库!$AO$2:$AO$1046,0),COLUMN()),"")</f>
        <v>0</v>
      </c>
      <c r="M402">
        <f>IFERROR(INDEX(装备库!$A$2:$Y$1047,MATCH(ROW()-1,装备库!$AO$2:$AO$1046,0),COLUMN()),"")</f>
        <v>0</v>
      </c>
      <c r="N402">
        <f>IFERROR(INDEX(装备库!$A$2:$Y$1047,MATCH(ROW()-1,装备库!$AO$2:$AO$1046,0),COLUMN()),"")</f>
        <v>0</v>
      </c>
      <c r="O402">
        <f>IFERROR(INDEX(装备库!$A$2:$Y$1047,MATCH(ROW()-1,装备库!$AO$2:$AO$1046,0),COLUMN()),"")</f>
        <v>0</v>
      </c>
      <c r="P402">
        <f>IFERROR(INDEX(装备库!$A$2:$Y$1047,MATCH(ROW()-1,装备库!$AO$2:$AO$1046,0),COLUMN()),"")</f>
        <v>0</v>
      </c>
      <c r="Q402">
        <f>IFERROR(INDEX(装备库!$A$2:$Y$1047,MATCH(ROW()-1,装备库!$AO$2:$AO$1046,0),COLUMN()),"")</f>
        <v>0</v>
      </c>
      <c r="R402">
        <f>IFERROR(INDEX(装备库!$A$2:$Y$1047,MATCH(ROW()-1,装备库!$AO$2:$AO$1046,0),COLUMN()),"")</f>
        <v>0</v>
      </c>
      <c r="S402">
        <f>IFERROR(INDEX(装备库!$A$2:$Y$1047,MATCH(ROW()-1,装备库!$AO$2:$AO$1046,0),COLUMN()),"")</f>
        <v>0</v>
      </c>
      <c r="T402">
        <f>IFERROR(INDEX(装备库!$A$2:$Y$1047,MATCH(ROW()-1,装备库!$AO$2:$AO$1046,0),COLUMN()),"")</f>
        <v>1</v>
      </c>
      <c r="U402">
        <f>IFERROR(INDEX(装备库!$A$2:$Y$1047,MATCH(ROW()-1,装备库!$AO$2:$AO$1046,0),COLUMN()),"")</f>
        <v>0</v>
      </c>
      <c r="V402">
        <f>IFERROR(INDEX(装备库!$A$2:$Y$1047,MATCH(ROW()-1,装备库!$AO$2:$AO$1046,0),COLUMN()),"")</f>
        <v>0</v>
      </c>
      <c r="W402" t="str">
        <f>IFERROR(INDEX(装备库!$A$2:$Y$1047,MATCH(ROW()-1,装备库!$AO$2:$AO$1046,0),COLUMN()),"")</f>
        <v>精简攻破</v>
      </c>
      <c r="X402">
        <f>IFERROR(INDEX(装备库!$A$2:$Y$1047,MATCH(ROW()-1,装备库!$AO$2:$AO$1046,0),COLUMN()),"")</f>
        <v>3</v>
      </c>
      <c r="Y402" t="str">
        <f>IFERROR(INDEX(装备库!$A$2:$Y$1047,MATCH(ROW()-1,装备库!$AO$2:$AO$1046,0),COLUMN()),"")</f>
        <v>活动</v>
      </c>
    </row>
    <row r="403" spans="1:25" x14ac:dyDescent="0.35">
      <c r="A403" t="str">
        <f>IFERROR(INDEX(装备库!$A$2:$Y$1047,MATCH(ROW()-1,装备库!$AO$2:$AO$1046,0),COLUMN()),"")</f>
        <v>项链</v>
      </c>
      <c r="B403" t="str">
        <f>IFERROR(INDEX(装备库!$A$2:$Y$1047,MATCH(ROW()-1,装备库!$AO$2:$AO$1046,0),COLUMN()),"")</f>
        <v>无封项链</v>
      </c>
      <c r="C403">
        <f>IFERROR(INDEX(装备库!$A$2:$Y$1047,MATCH(ROW()-1,装备库!$AO$2:$AO$1046,0),COLUMN()),"")</f>
        <v>10900</v>
      </c>
      <c r="D403" t="str">
        <f>IFERROR(INDEX(装备库!$A$2:$Y$1047,MATCH(ROW()-1,装备库!$AO$2:$AO$1046,0),COLUMN()),"")</f>
        <v>无封项链(10900精简攻会招)</v>
      </c>
      <c r="E403">
        <f>IFERROR(INDEX(装备库!$A$2:$Y$1047,MATCH(ROW()-1,装备库!$AO$2:$AO$1046,0),COLUMN()),"")</f>
        <v>0</v>
      </c>
      <c r="F403">
        <f>IFERROR(INDEX(装备库!$A$2:$Y$1047,MATCH(ROW()-1,装备库!$AO$2:$AO$1046,0),COLUMN()),"")</f>
        <v>1377</v>
      </c>
      <c r="G403">
        <f>IFERROR(INDEX(装备库!$A$2:$Y$1047,MATCH(ROW()-1,装备库!$AO$2:$AO$1046,0),COLUMN()),"")</f>
        <v>2122</v>
      </c>
      <c r="H403">
        <f>IFERROR(INDEX(装备库!$A$2:$Y$1047,MATCH(ROW()-1,装备库!$AO$2:$AO$1046,0),COLUMN()),"")</f>
        <v>0</v>
      </c>
      <c r="I403">
        <f>IFERROR(INDEX(装备库!$A$2:$Y$1047,MATCH(ROW()-1,装备库!$AO$2:$AO$1046,0),COLUMN()),"")</f>
        <v>0</v>
      </c>
      <c r="J403">
        <f>IFERROR(INDEX(装备库!$A$2:$Y$1047,MATCH(ROW()-1,装备库!$AO$2:$AO$1046,0),COLUMN()),"")</f>
        <v>2122</v>
      </c>
      <c r="K403">
        <f>IFERROR(INDEX(装备库!$A$2:$Y$1047,MATCH(ROW()-1,装备库!$AO$2:$AO$1046,0),COLUMN()),"")</f>
        <v>0</v>
      </c>
      <c r="L403">
        <f>IFERROR(INDEX(装备库!$A$2:$Y$1047,MATCH(ROW()-1,装备库!$AO$2:$AO$1046,0),COLUMN()),"")</f>
        <v>0</v>
      </c>
      <c r="M403">
        <f>IFERROR(INDEX(装备库!$A$2:$Y$1047,MATCH(ROW()-1,装备库!$AO$2:$AO$1046,0),COLUMN()),"")</f>
        <v>0</v>
      </c>
      <c r="N403">
        <f>IFERROR(INDEX(装备库!$A$2:$Y$1047,MATCH(ROW()-1,装备库!$AO$2:$AO$1046,0),COLUMN()),"")</f>
        <v>0</v>
      </c>
      <c r="O403">
        <f>IFERROR(INDEX(装备库!$A$2:$Y$1047,MATCH(ROW()-1,装备库!$AO$2:$AO$1046,0),COLUMN()),"")</f>
        <v>0</v>
      </c>
      <c r="P403">
        <f>IFERROR(INDEX(装备库!$A$2:$Y$1047,MATCH(ROW()-1,装备库!$AO$2:$AO$1046,0),COLUMN()),"")</f>
        <v>0</v>
      </c>
      <c r="Q403">
        <f>IFERROR(INDEX(装备库!$A$2:$Y$1047,MATCH(ROW()-1,装备库!$AO$2:$AO$1046,0),COLUMN()),"")</f>
        <v>0</v>
      </c>
      <c r="R403">
        <f>IFERROR(INDEX(装备库!$A$2:$Y$1047,MATCH(ROW()-1,装备库!$AO$2:$AO$1046,0),COLUMN()),"")</f>
        <v>1</v>
      </c>
      <c r="S403">
        <f>IFERROR(INDEX(装备库!$A$2:$Y$1047,MATCH(ROW()-1,装备库!$AO$2:$AO$1046,0),COLUMN()),"")</f>
        <v>0</v>
      </c>
      <c r="T403">
        <f>IFERROR(INDEX(装备库!$A$2:$Y$1047,MATCH(ROW()-1,装备库!$AO$2:$AO$1046,0),COLUMN()),"")</f>
        <v>0</v>
      </c>
      <c r="U403">
        <f>IFERROR(INDEX(装备库!$A$2:$Y$1047,MATCH(ROW()-1,装备库!$AO$2:$AO$1046,0),COLUMN()),"")</f>
        <v>0</v>
      </c>
      <c r="V403">
        <f>IFERROR(INDEX(装备库!$A$2:$Y$1047,MATCH(ROW()-1,装备库!$AO$2:$AO$1046,0),COLUMN()),"")</f>
        <v>0</v>
      </c>
      <c r="W403" t="str">
        <f>IFERROR(INDEX(装备库!$A$2:$Y$1047,MATCH(ROW()-1,装备库!$AO$2:$AO$1046,0),COLUMN()),"")</f>
        <v>精简攻会招</v>
      </c>
      <c r="X403">
        <f>IFERROR(INDEX(装备库!$A$2:$Y$1047,MATCH(ROW()-1,装备库!$AO$2:$AO$1046,0),COLUMN()),"")</f>
        <v>3</v>
      </c>
      <c r="Y403" t="str">
        <f>IFERROR(INDEX(装备库!$A$2:$Y$1047,MATCH(ROW()-1,装备库!$AO$2:$AO$1046,0),COLUMN()),"")</f>
        <v>活动</v>
      </c>
    </row>
    <row r="404" spans="1:25" x14ac:dyDescent="0.35">
      <c r="A404" t="str">
        <f>IFERROR(INDEX(装备库!$A$2:$Y$1047,MATCH(ROW()-1,装备库!$AO$2:$AO$1046,0),COLUMN()),"")</f>
        <v>项链</v>
      </c>
      <c r="B404" t="str">
        <f>IFERROR(INDEX(装备库!$A$2:$Y$1047,MATCH(ROW()-1,装备库!$AO$2:$AO$1046,0),COLUMN()),"")</f>
        <v>定酣链</v>
      </c>
      <c r="C404">
        <f>IFERROR(INDEX(装备库!$A$2:$Y$1047,MATCH(ROW()-1,装备库!$AO$2:$AO$1046,0),COLUMN()),"")</f>
        <v>11100</v>
      </c>
      <c r="D404" t="str">
        <f>IFERROR(INDEX(装备库!$A$2:$Y$1047,MATCH(ROW()-1,装备库!$AO$2:$AO$1046,0),COLUMN()),"")</f>
        <v>定酣链(11100招破)</v>
      </c>
      <c r="E404">
        <f>IFERROR(INDEX(装备库!$A$2:$Y$1047,MATCH(ROW()-1,装备库!$AO$2:$AO$1046,0),COLUMN()),"")</f>
        <v>388</v>
      </c>
      <c r="F404">
        <f>IFERROR(INDEX(装备库!$A$2:$Y$1047,MATCH(ROW()-1,装备库!$AO$2:$AO$1046,0),COLUMN()),"")</f>
        <v>629</v>
      </c>
      <c r="G404">
        <f>IFERROR(INDEX(装备库!$A$2:$Y$1047,MATCH(ROW()-1,装备库!$AO$2:$AO$1046,0),COLUMN()),"")</f>
        <v>0</v>
      </c>
      <c r="H404">
        <f>IFERROR(INDEX(装备库!$A$2:$Y$1047,MATCH(ROW()-1,装备库!$AO$2:$AO$1046,0),COLUMN()),"")</f>
        <v>0</v>
      </c>
      <c r="I404">
        <f>IFERROR(INDEX(装备库!$A$2:$Y$1047,MATCH(ROW()-1,装备库!$AO$2:$AO$1046,0),COLUMN()),"")</f>
        <v>1945</v>
      </c>
      <c r="J404">
        <f>IFERROR(INDEX(装备库!$A$2:$Y$1047,MATCH(ROW()-1,装备库!$AO$2:$AO$1046,0),COLUMN()),"")</f>
        <v>1728</v>
      </c>
      <c r="K404">
        <f>IFERROR(INDEX(装备库!$A$2:$Y$1047,MATCH(ROW()-1,装备库!$AO$2:$AO$1046,0),COLUMN()),"")</f>
        <v>0</v>
      </c>
      <c r="L404">
        <f>IFERROR(INDEX(装备库!$A$2:$Y$1047,MATCH(ROW()-1,装备库!$AO$2:$AO$1046,0),COLUMN()),"")</f>
        <v>0</v>
      </c>
      <c r="M404">
        <f>IFERROR(INDEX(装备库!$A$2:$Y$1047,MATCH(ROW()-1,装备库!$AO$2:$AO$1046,0),COLUMN()),"")</f>
        <v>0</v>
      </c>
      <c r="N404">
        <f>IFERROR(INDEX(装备库!$A$2:$Y$1047,MATCH(ROW()-1,装备库!$AO$2:$AO$1046,0),COLUMN()),"")</f>
        <v>0</v>
      </c>
      <c r="O404">
        <f>IFERROR(INDEX(装备库!$A$2:$Y$1047,MATCH(ROW()-1,装备库!$AO$2:$AO$1046,0),COLUMN()),"")</f>
        <v>0</v>
      </c>
      <c r="P404">
        <f>IFERROR(INDEX(装备库!$A$2:$Y$1047,MATCH(ROW()-1,装备库!$AO$2:$AO$1046,0),COLUMN()),"")</f>
        <v>1</v>
      </c>
      <c r="Q404">
        <f>IFERROR(INDEX(装备库!$A$2:$Y$1047,MATCH(ROW()-1,装备库!$AO$2:$AO$1046,0),COLUMN()),"")</f>
        <v>0</v>
      </c>
      <c r="R404">
        <f>IFERROR(INDEX(装备库!$A$2:$Y$1047,MATCH(ROW()-1,装备库!$AO$2:$AO$1046,0),COLUMN()),"")</f>
        <v>0</v>
      </c>
      <c r="S404">
        <f>IFERROR(INDEX(装备库!$A$2:$Y$1047,MATCH(ROW()-1,装备库!$AO$2:$AO$1046,0),COLUMN()),"")</f>
        <v>0</v>
      </c>
      <c r="T404">
        <f>IFERROR(INDEX(装备库!$A$2:$Y$1047,MATCH(ROW()-1,装备库!$AO$2:$AO$1046,0),COLUMN()),"")</f>
        <v>0</v>
      </c>
      <c r="U404">
        <f>IFERROR(INDEX(装备库!$A$2:$Y$1047,MATCH(ROW()-1,装备库!$AO$2:$AO$1046,0),COLUMN()),"")</f>
        <v>0</v>
      </c>
      <c r="V404">
        <f>IFERROR(INDEX(装备库!$A$2:$Y$1047,MATCH(ROW()-1,装备库!$AO$2:$AO$1046,0),COLUMN()),"")</f>
        <v>0</v>
      </c>
      <c r="W404" t="str">
        <f>IFERROR(INDEX(装备库!$A$2:$Y$1047,MATCH(ROW()-1,装备库!$AO$2:$AO$1046,0),COLUMN()),"")</f>
        <v>招破</v>
      </c>
      <c r="X404">
        <f>IFERROR(INDEX(装备库!$A$2:$Y$1047,MATCH(ROW()-1,装备库!$AO$2:$AO$1046,0),COLUMN()),"")</f>
        <v>6</v>
      </c>
      <c r="Y404" t="str">
        <f>IFERROR(INDEX(装备库!$A$2:$Y$1047,MATCH(ROW()-1,装备库!$AO$2:$AO$1046,0),COLUMN()),"")</f>
        <v>声望</v>
      </c>
    </row>
    <row r="405" spans="1:25" x14ac:dyDescent="0.35">
      <c r="A405" t="str">
        <f>IFERROR(INDEX(装备库!$A$2:$Y$1047,MATCH(ROW()-1,装备库!$AO$2:$AO$1046,0),COLUMN()),"")</f>
        <v>项链</v>
      </c>
      <c r="B405" t="str">
        <f>IFERROR(INDEX(装备库!$A$2:$Y$1047,MATCH(ROW()-1,装备库!$AO$2:$AO$1046,0),COLUMN()),"")</f>
        <v>旋山链</v>
      </c>
      <c r="C405">
        <f>IFERROR(INDEX(装备库!$A$2:$Y$1047,MATCH(ROW()-1,装备库!$AO$2:$AO$1046,0),COLUMN()),"")</f>
        <v>11150</v>
      </c>
      <c r="D405" t="str">
        <f>IFERROR(INDEX(装备库!$A$2:$Y$1047,MATCH(ROW()-1,装备库!$AO$2:$AO$1046,0),COLUMN()),"")</f>
        <v>旋山链(11150破无)</v>
      </c>
      <c r="E405">
        <f>IFERROR(INDEX(装备库!$A$2:$Y$1047,MATCH(ROW()-1,装备库!$AO$2:$AO$1046,0),COLUMN()),"")</f>
        <v>389</v>
      </c>
      <c r="F405">
        <f>IFERROR(INDEX(装备库!$A$2:$Y$1047,MATCH(ROW()-1,装备库!$AO$2:$AO$1046,0),COLUMN()),"")</f>
        <v>632</v>
      </c>
      <c r="G405">
        <f>IFERROR(INDEX(装备库!$A$2:$Y$1047,MATCH(ROW()-1,装备库!$AO$2:$AO$1046,0),COLUMN()),"")</f>
        <v>0</v>
      </c>
      <c r="H405">
        <f>IFERROR(INDEX(装备库!$A$2:$Y$1047,MATCH(ROW()-1,装备库!$AO$2:$AO$1046,0),COLUMN()),"")</f>
        <v>0</v>
      </c>
      <c r="I405">
        <f>IFERROR(INDEX(装备库!$A$2:$Y$1047,MATCH(ROW()-1,装备库!$AO$2:$AO$1046,0),COLUMN()),"")</f>
        <v>1953</v>
      </c>
      <c r="J405">
        <f>IFERROR(INDEX(装备库!$A$2:$Y$1047,MATCH(ROW()-1,装备库!$AO$2:$AO$1046,0),COLUMN()),"")</f>
        <v>0</v>
      </c>
      <c r="K405">
        <f>IFERROR(INDEX(装备库!$A$2:$Y$1047,MATCH(ROW()-1,装备库!$AO$2:$AO$1046,0),COLUMN()),"")</f>
        <v>1736</v>
      </c>
      <c r="L405">
        <f>IFERROR(INDEX(装备库!$A$2:$Y$1047,MATCH(ROW()-1,装备库!$AO$2:$AO$1046,0),COLUMN()),"")</f>
        <v>0</v>
      </c>
      <c r="M405">
        <f>IFERROR(INDEX(装备库!$A$2:$Y$1047,MATCH(ROW()-1,装备库!$AO$2:$AO$1046,0),COLUMN()),"")</f>
        <v>0</v>
      </c>
      <c r="N405">
        <f>IFERROR(INDEX(装备库!$A$2:$Y$1047,MATCH(ROW()-1,装备库!$AO$2:$AO$1046,0),COLUMN()),"")</f>
        <v>0</v>
      </c>
      <c r="O405">
        <f>IFERROR(INDEX(装备库!$A$2:$Y$1047,MATCH(ROW()-1,装备库!$AO$2:$AO$1046,0),COLUMN()),"")</f>
        <v>0</v>
      </c>
      <c r="P405">
        <f>IFERROR(INDEX(装备库!$A$2:$Y$1047,MATCH(ROW()-1,装备库!$AO$2:$AO$1046,0),COLUMN()),"")</f>
        <v>0</v>
      </c>
      <c r="Q405">
        <f>IFERROR(INDEX(装备库!$A$2:$Y$1047,MATCH(ROW()-1,装备库!$AO$2:$AO$1046,0),COLUMN()),"")</f>
        <v>0</v>
      </c>
      <c r="R405">
        <f>IFERROR(INDEX(装备库!$A$2:$Y$1047,MATCH(ROW()-1,装备库!$AO$2:$AO$1046,0),COLUMN()),"")</f>
        <v>0</v>
      </c>
      <c r="S405">
        <f>IFERROR(INDEX(装备库!$A$2:$Y$1047,MATCH(ROW()-1,装备库!$AO$2:$AO$1046,0),COLUMN()),"")</f>
        <v>0</v>
      </c>
      <c r="T405">
        <f>IFERROR(INDEX(装备库!$A$2:$Y$1047,MATCH(ROW()-1,装备库!$AO$2:$AO$1046,0),COLUMN()),"")</f>
        <v>0</v>
      </c>
      <c r="U405">
        <f>IFERROR(INDEX(装备库!$A$2:$Y$1047,MATCH(ROW()-1,装备库!$AO$2:$AO$1046,0),COLUMN()),"")</f>
        <v>1</v>
      </c>
      <c r="V405">
        <f>IFERROR(INDEX(装备库!$A$2:$Y$1047,MATCH(ROW()-1,装备库!$AO$2:$AO$1046,0),COLUMN()),"")</f>
        <v>0</v>
      </c>
      <c r="W405" t="str">
        <f>IFERROR(INDEX(装备库!$A$2:$Y$1047,MATCH(ROW()-1,装备库!$AO$2:$AO$1046,0),COLUMN()),"")</f>
        <v>破无</v>
      </c>
      <c r="X405">
        <f>IFERROR(INDEX(装备库!$A$2:$Y$1047,MATCH(ROW()-1,装备库!$AO$2:$AO$1046,0),COLUMN()),"")</f>
        <v>6</v>
      </c>
      <c r="Y405" t="str">
        <f>IFERROR(INDEX(装备库!$A$2:$Y$1047,MATCH(ROW()-1,装备库!$AO$2:$AO$1046,0),COLUMN()),"")</f>
        <v>副本</v>
      </c>
    </row>
    <row r="406" spans="1:25" x14ac:dyDescent="0.35">
      <c r="A406" t="str">
        <f>IFERROR(INDEX(装备库!$A$2:$Y$1047,MATCH(ROW()-1,装备库!$AO$2:$AO$1046,0),COLUMN()),"")</f>
        <v>项链</v>
      </c>
      <c r="B406" t="str">
        <f>IFERROR(INDEX(装备库!$A$2:$Y$1047,MATCH(ROW()-1,装备库!$AO$2:$AO$1046,0),COLUMN()),"")</f>
        <v>湘灿链</v>
      </c>
      <c r="C406">
        <f>IFERROR(INDEX(装备库!$A$2:$Y$1047,MATCH(ROW()-1,装备库!$AO$2:$AO$1046,0),COLUMN()),"")</f>
        <v>11150</v>
      </c>
      <c r="D406" t="str">
        <f>IFERROR(INDEX(装备库!$A$2:$Y$1047,MATCH(ROW()-1,装备库!$AO$2:$AO$1046,0),COLUMN()),"")</f>
        <v>湘灿链(11150会招)</v>
      </c>
      <c r="E406">
        <f>IFERROR(INDEX(装备库!$A$2:$Y$1047,MATCH(ROW()-1,装备库!$AO$2:$AO$1046,0),COLUMN()),"")</f>
        <v>389</v>
      </c>
      <c r="F406">
        <f>IFERROR(INDEX(装备库!$A$2:$Y$1047,MATCH(ROW()-1,装备库!$AO$2:$AO$1046,0),COLUMN()),"")</f>
        <v>632</v>
      </c>
      <c r="G406">
        <f>IFERROR(INDEX(装备库!$A$2:$Y$1047,MATCH(ROW()-1,装备库!$AO$2:$AO$1046,0),COLUMN()),"")</f>
        <v>1953</v>
      </c>
      <c r="H406">
        <f>IFERROR(INDEX(装备库!$A$2:$Y$1047,MATCH(ROW()-1,装备库!$AO$2:$AO$1046,0),COLUMN()),"")</f>
        <v>0</v>
      </c>
      <c r="I406">
        <f>IFERROR(INDEX(装备库!$A$2:$Y$1047,MATCH(ROW()-1,装备库!$AO$2:$AO$1046,0),COLUMN()),"")</f>
        <v>0</v>
      </c>
      <c r="J406">
        <f>IFERROR(INDEX(装备库!$A$2:$Y$1047,MATCH(ROW()-1,装备库!$AO$2:$AO$1046,0),COLUMN()),"")</f>
        <v>1736</v>
      </c>
      <c r="K406">
        <f>IFERROR(INDEX(装备库!$A$2:$Y$1047,MATCH(ROW()-1,装备库!$AO$2:$AO$1046,0),COLUMN()),"")</f>
        <v>0</v>
      </c>
      <c r="L406">
        <f>IFERROR(INDEX(装备库!$A$2:$Y$1047,MATCH(ROW()-1,装备库!$AO$2:$AO$1046,0),COLUMN()),"")</f>
        <v>0</v>
      </c>
      <c r="M406">
        <f>IFERROR(INDEX(装备库!$A$2:$Y$1047,MATCH(ROW()-1,装备库!$AO$2:$AO$1046,0),COLUMN()),"")</f>
        <v>0</v>
      </c>
      <c r="N406">
        <f>IFERROR(INDEX(装备库!$A$2:$Y$1047,MATCH(ROW()-1,装备库!$AO$2:$AO$1046,0),COLUMN()),"")</f>
        <v>0</v>
      </c>
      <c r="O406">
        <f>IFERROR(INDEX(装备库!$A$2:$Y$1047,MATCH(ROW()-1,装备库!$AO$2:$AO$1046,0),COLUMN()),"")</f>
        <v>0</v>
      </c>
      <c r="P406">
        <f>IFERROR(INDEX(装备库!$A$2:$Y$1047,MATCH(ROW()-1,装备库!$AO$2:$AO$1046,0),COLUMN()),"")</f>
        <v>0</v>
      </c>
      <c r="Q406">
        <f>IFERROR(INDEX(装备库!$A$2:$Y$1047,MATCH(ROW()-1,装备库!$AO$2:$AO$1046,0),COLUMN()),"")</f>
        <v>0</v>
      </c>
      <c r="R406">
        <f>IFERROR(INDEX(装备库!$A$2:$Y$1047,MATCH(ROW()-1,装备库!$AO$2:$AO$1046,0),COLUMN()),"")</f>
        <v>0</v>
      </c>
      <c r="S406">
        <f>IFERROR(INDEX(装备库!$A$2:$Y$1047,MATCH(ROW()-1,装备库!$AO$2:$AO$1046,0),COLUMN()),"")</f>
        <v>1</v>
      </c>
      <c r="T406">
        <f>IFERROR(INDEX(装备库!$A$2:$Y$1047,MATCH(ROW()-1,装备库!$AO$2:$AO$1046,0),COLUMN()),"")</f>
        <v>0</v>
      </c>
      <c r="U406">
        <f>IFERROR(INDEX(装备库!$A$2:$Y$1047,MATCH(ROW()-1,装备库!$AO$2:$AO$1046,0),COLUMN()),"")</f>
        <v>0</v>
      </c>
      <c r="V406">
        <f>IFERROR(INDEX(装备库!$A$2:$Y$1047,MATCH(ROW()-1,装备库!$AO$2:$AO$1046,0),COLUMN()),"")</f>
        <v>0</v>
      </c>
      <c r="W406" t="str">
        <f>IFERROR(INDEX(装备库!$A$2:$Y$1047,MATCH(ROW()-1,装备库!$AO$2:$AO$1046,0),COLUMN()),"")</f>
        <v>会招</v>
      </c>
      <c r="X406">
        <f>IFERROR(INDEX(装备库!$A$2:$Y$1047,MATCH(ROW()-1,装备库!$AO$2:$AO$1046,0),COLUMN()),"")</f>
        <v>6</v>
      </c>
      <c r="Y406" t="str">
        <f>IFERROR(INDEX(装备库!$A$2:$Y$1047,MATCH(ROW()-1,装备库!$AO$2:$AO$1046,0),COLUMN()),"")</f>
        <v>世界BOSS</v>
      </c>
    </row>
    <row r="407" spans="1:25" x14ac:dyDescent="0.35">
      <c r="A407" t="str">
        <f>IFERROR(INDEX(装备库!$A$2:$Y$1047,MATCH(ROW()-1,装备库!$AO$2:$AO$1046,0),COLUMN()),"")</f>
        <v>项链</v>
      </c>
      <c r="B407" t="str">
        <f>IFERROR(INDEX(装备库!$A$2:$Y$1047,MATCH(ROW()-1,装备库!$AO$2:$AO$1046,0),COLUMN()),"")</f>
        <v>烟梦项饰</v>
      </c>
      <c r="C407">
        <f>IFERROR(INDEX(装备库!$A$2:$Y$1047,MATCH(ROW()-1,装备库!$AO$2:$AO$1046,0),COLUMN()),"")</f>
        <v>11150</v>
      </c>
      <c r="D407" t="str">
        <f>IFERROR(INDEX(装备库!$A$2:$Y$1047,MATCH(ROW()-1,装备库!$AO$2:$AO$1046,0),COLUMN()),"")</f>
        <v>烟梦项饰(11150会无)</v>
      </c>
      <c r="E407">
        <f>IFERROR(INDEX(装备库!$A$2:$Y$1047,MATCH(ROW()-1,装备库!$AO$2:$AO$1046,0),COLUMN()),"")</f>
        <v>389</v>
      </c>
      <c r="F407">
        <f>IFERROR(INDEX(装备库!$A$2:$Y$1047,MATCH(ROW()-1,装备库!$AO$2:$AO$1046,0),COLUMN()),"")</f>
        <v>632</v>
      </c>
      <c r="G407">
        <f>IFERROR(INDEX(装备库!$A$2:$Y$1047,MATCH(ROW()-1,装备库!$AO$2:$AO$1046,0),COLUMN()),"")</f>
        <v>1953</v>
      </c>
      <c r="H407">
        <f>IFERROR(INDEX(装备库!$A$2:$Y$1047,MATCH(ROW()-1,装备库!$AO$2:$AO$1046,0),COLUMN()),"")</f>
        <v>0</v>
      </c>
      <c r="I407">
        <f>IFERROR(INDEX(装备库!$A$2:$Y$1047,MATCH(ROW()-1,装备库!$AO$2:$AO$1046,0),COLUMN()),"")</f>
        <v>0</v>
      </c>
      <c r="J407">
        <f>IFERROR(INDEX(装备库!$A$2:$Y$1047,MATCH(ROW()-1,装备库!$AO$2:$AO$1046,0),COLUMN()),"")</f>
        <v>0</v>
      </c>
      <c r="K407">
        <f>IFERROR(INDEX(装备库!$A$2:$Y$1047,MATCH(ROW()-1,装备库!$AO$2:$AO$1046,0),COLUMN()),"")</f>
        <v>1736</v>
      </c>
      <c r="L407">
        <f>IFERROR(INDEX(装备库!$A$2:$Y$1047,MATCH(ROW()-1,装备库!$AO$2:$AO$1046,0),COLUMN()),"")</f>
        <v>0</v>
      </c>
      <c r="M407">
        <f>IFERROR(INDEX(装备库!$A$2:$Y$1047,MATCH(ROW()-1,装备库!$AO$2:$AO$1046,0),COLUMN()),"")</f>
        <v>0</v>
      </c>
      <c r="N407">
        <f>IFERROR(INDEX(装备库!$A$2:$Y$1047,MATCH(ROW()-1,装备库!$AO$2:$AO$1046,0),COLUMN()),"")</f>
        <v>0</v>
      </c>
      <c r="O407">
        <f>IFERROR(INDEX(装备库!$A$2:$Y$1047,MATCH(ROW()-1,装备库!$AO$2:$AO$1046,0),COLUMN()),"")</f>
        <v>0</v>
      </c>
      <c r="P407">
        <f>IFERROR(INDEX(装备库!$A$2:$Y$1047,MATCH(ROW()-1,装备库!$AO$2:$AO$1046,0),COLUMN()),"")</f>
        <v>0</v>
      </c>
      <c r="Q407">
        <f>IFERROR(INDEX(装备库!$A$2:$Y$1047,MATCH(ROW()-1,装备库!$AO$2:$AO$1046,0),COLUMN()),"")</f>
        <v>0</v>
      </c>
      <c r="R407">
        <f>IFERROR(INDEX(装备库!$A$2:$Y$1047,MATCH(ROW()-1,装备库!$AO$2:$AO$1046,0),COLUMN()),"")</f>
        <v>0</v>
      </c>
      <c r="S407">
        <f>IFERROR(INDEX(装备库!$A$2:$Y$1047,MATCH(ROW()-1,装备库!$AO$2:$AO$1046,0),COLUMN()),"")</f>
        <v>1</v>
      </c>
      <c r="T407">
        <f>IFERROR(INDEX(装备库!$A$2:$Y$1047,MATCH(ROW()-1,装备库!$AO$2:$AO$1046,0),COLUMN()),"")</f>
        <v>0</v>
      </c>
      <c r="U407">
        <f>IFERROR(INDEX(装备库!$A$2:$Y$1047,MATCH(ROW()-1,装备库!$AO$2:$AO$1046,0),COLUMN()),"")</f>
        <v>0</v>
      </c>
      <c r="V407">
        <f>IFERROR(INDEX(装备库!$A$2:$Y$1047,MATCH(ROW()-1,装备库!$AO$2:$AO$1046,0),COLUMN()),"")</f>
        <v>0</v>
      </c>
      <c r="W407" t="str">
        <f>IFERROR(INDEX(装备库!$A$2:$Y$1047,MATCH(ROW()-1,装备库!$AO$2:$AO$1046,0),COLUMN()),"")</f>
        <v>会无</v>
      </c>
      <c r="X407">
        <f>IFERROR(INDEX(装备库!$A$2:$Y$1047,MATCH(ROW()-1,装备库!$AO$2:$AO$1046,0),COLUMN()),"")</f>
        <v>6</v>
      </c>
      <c r="Y407" t="str">
        <f>IFERROR(INDEX(装备库!$A$2:$Y$1047,MATCH(ROW()-1,装备库!$AO$2:$AO$1046,0),COLUMN()),"")</f>
        <v>副本</v>
      </c>
    </row>
    <row r="408" spans="1:25" x14ac:dyDescent="0.35">
      <c r="A408" t="str">
        <f>IFERROR(INDEX(装备库!$A$2:$Y$1047,MATCH(ROW()-1,装备库!$AO$2:$AO$1046,0),COLUMN()),"")</f>
        <v>项链</v>
      </c>
      <c r="B408" t="str">
        <f>IFERROR(INDEX(装备库!$A$2:$Y$1047,MATCH(ROW()-1,装备库!$AO$2:$AO$1046,0),COLUMN()),"")</f>
        <v>元雾链</v>
      </c>
      <c r="C408">
        <f>IFERROR(INDEX(装备库!$A$2:$Y$1047,MATCH(ROW()-1,装备库!$AO$2:$AO$1046,0),COLUMN()),"")</f>
        <v>11300</v>
      </c>
      <c r="D408" t="str">
        <f>IFERROR(INDEX(装备库!$A$2:$Y$1047,MATCH(ROW()-1,装备库!$AO$2:$AO$1046,0),COLUMN()),"")</f>
        <v>元雾链(11300招破)</v>
      </c>
      <c r="E408">
        <f>IFERROR(INDEX(装备库!$A$2:$Y$1047,MATCH(ROW()-1,装备库!$AO$2:$AO$1046,0),COLUMN()),"")</f>
        <v>395</v>
      </c>
      <c r="F408">
        <f>IFERROR(INDEX(装备库!$A$2:$Y$1047,MATCH(ROW()-1,装备库!$AO$2:$AO$1046,0),COLUMN()),"")</f>
        <v>640</v>
      </c>
      <c r="G408">
        <f>IFERROR(INDEX(装备库!$A$2:$Y$1047,MATCH(ROW()-1,装备库!$AO$2:$AO$1046,0),COLUMN()),"")</f>
        <v>0</v>
      </c>
      <c r="H408">
        <f>IFERROR(INDEX(装备库!$A$2:$Y$1047,MATCH(ROW()-1,装备库!$AO$2:$AO$1046,0),COLUMN()),"")</f>
        <v>0</v>
      </c>
      <c r="I408">
        <f>IFERROR(INDEX(装备库!$A$2:$Y$1047,MATCH(ROW()-1,装备库!$AO$2:$AO$1046,0),COLUMN()),"")</f>
        <v>1980</v>
      </c>
      <c r="J408">
        <f>IFERROR(INDEX(装备库!$A$2:$Y$1047,MATCH(ROW()-1,装备库!$AO$2:$AO$1046,0),COLUMN()),"")</f>
        <v>1760</v>
      </c>
      <c r="K408">
        <f>IFERROR(INDEX(装备库!$A$2:$Y$1047,MATCH(ROW()-1,装备库!$AO$2:$AO$1046,0),COLUMN()),"")</f>
        <v>0</v>
      </c>
      <c r="L408">
        <f>IFERROR(INDEX(装备库!$A$2:$Y$1047,MATCH(ROW()-1,装备库!$AO$2:$AO$1046,0),COLUMN()),"")</f>
        <v>0</v>
      </c>
      <c r="M408">
        <f>IFERROR(INDEX(装备库!$A$2:$Y$1047,MATCH(ROW()-1,装备库!$AO$2:$AO$1046,0),COLUMN()),"")</f>
        <v>0</v>
      </c>
      <c r="N408">
        <f>IFERROR(INDEX(装备库!$A$2:$Y$1047,MATCH(ROW()-1,装备库!$AO$2:$AO$1046,0),COLUMN()),"")</f>
        <v>0</v>
      </c>
      <c r="O408">
        <f>IFERROR(INDEX(装备库!$A$2:$Y$1047,MATCH(ROW()-1,装备库!$AO$2:$AO$1046,0),COLUMN()),"")</f>
        <v>0</v>
      </c>
      <c r="P408">
        <f>IFERROR(INDEX(装备库!$A$2:$Y$1047,MATCH(ROW()-1,装备库!$AO$2:$AO$1046,0),COLUMN()),"")</f>
        <v>1</v>
      </c>
      <c r="Q408">
        <f>IFERROR(INDEX(装备库!$A$2:$Y$1047,MATCH(ROW()-1,装备库!$AO$2:$AO$1046,0),COLUMN()),"")</f>
        <v>0</v>
      </c>
      <c r="R408">
        <f>IFERROR(INDEX(装备库!$A$2:$Y$1047,MATCH(ROW()-1,装备库!$AO$2:$AO$1046,0),COLUMN()),"")</f>
        <v>0</v>
      </c>
      <c r="S408">
        <f>IFERROR(INDEX(装备库!$A$2:$Y$1047,MATCH(ROW()-1,装备库!$AO$2:$AO$1046,0),COLUMN()),"")</f>
        <v>0</v>
      </c>
      <c r="T408">
        <f>IFERROR(INDEX(装备库!$A$2:$Y$1047,MATCH(ROW()-1,装备库!$AO$2:$AO$1046,0),COLUMN()),"")</f>
        <v>0</v>
      </c>
      <c r="U408">
        <f>IFERROR(INDEX(装备库!$A$2:$Y$1047,MATCH(ROW()-1,装备库!$AO$2:$AO$1046,0),COLUMN()),"")</f>
        <v>0</v>
      </c>
      <c r="V408">
        <f>IFERROR(INDEX(装备库!$A$2:$Y$1047,MATCH(ROW()-1,装备库!$AO$2:$AO$1046,0),COLUMN()),"")</f>
        <v>0</v>
      </c>
      <c r="W408" t="str">
        <f>IFERROR(INDEX(装备库!$A$2:$Y$1047,MATCH(ROW()-1,装备库!$AO$2:$AO$1046,0),COLUMN()),"")</f>
        <v>招破</v>
      </c>
      <c r="X408">
        <f>IFERROR(INDEX(装备库!$A$2:$Y$1047,MATCH(ROW()-1,装备库!$AO$2:$AO$1046,0),COLUMN()),"")</f>
        <v>6</v>
      </c>
      <c r="Y408" t="str">
        <f>IFERROR(INDEX(装备库!$A$2:$Y$1047,MATCH(ROW()-1,装备库!$AO$2:$AO$1046,0),COLUMN()),"")</f>
        <v>声望</v>
      </c>
    </row>
    <row r="409" spans="1:25" x14ac:dyDescent="0.35">
      <c r="A409" t="str">
        <f>IFERROR(INDEX(装备库!$A$2:$Y$1047,MATCH(ROW()-1,装备库!$AO$2:$AO$1046,0),COLUMN()),"")</f>
        <v>项链</v>
      </c>
      <c r="B409" t="str">
        <f>IFERROR(INDEX(装备库!$A$2:$Y$1047,MATCH(ROW()-1,装备库!$AO$2:$AO$1046,0),COLUMN()),"")</f>
        <v>无封项链</v>
      </c>
      <c r="C409">
        <f>IFERROR(INDEX(装备库!$A$2:$Y$1047,MATCH(ROW()-1,装备库!$AO$2:$AO$1046,0),COLUMN()),"")</f>
        <v>11500</v>
      </c>
      <c r="D409" t="str">
        <f>IFERROR(INDEX(装备库!$A$2:$Y$1047,MATCH(ROW()-1,装备库!$AO$2:$AO$1046,0),COLUMN()),"")</f>
        <v>无封项链(11500精简攻无)</v>
      </c>
      <c r="E409">
        <f>IFERROR(INDEX(装备库!$A$2:$Y$1047,MATCH(ROW()-1,装备库!$AO$2:$AO$1046,0),COLUMN()),"")</f>
        <v>0</v>
      </c>
      <c r="F409">
        <f>IFERROR(INDEX(装备库!$A$2:$Y$1047,MATCH(ROW()-1,装备库!$AO$2:$AO$1046,0),COLUMN()),"")</f>
        <v>1704</v>
      </c>
      <c r="G409">
        <f>IFERROR(INDEX(装备库!$A$2:$Y$1047,MATCH(ROW()-1,装备库!$AO$2:$AO$1046,0),COLUMN()),"")</f>
        <v>0</v>
      </c>
      <c r="H409">
        <f>IFERROR(INDEX(装备库!$A$2:$Y$1047,MATCH(ROW()-1,装备库!$AO$2:$AO$1046,0),COLUMN()),"")</f>
        <v>0</v>
      </c>
      <c r="I409">
        <f>IFERROR(INDEX(装备库!$A$2:$Y$1047,MATCH(ROW()-1,装备库!$AO$2:$AO$1046,0),COLUMN()),"")</f>
        <v>0</v>
      </c>
      <c r="J409">
        <f>IFERROR(INDEX(装备库!$A$2:$Y$1047,MATCH(ROW()-1,装备库!$AO$2:$AO$1046,0),COLUMN()),"")</f>
        <v>0</v>
      </c>
      <c r="K409">
        <f>IFERROR(INDEX(装备库!$A$2:$Y$1047,MATCH(ROW()-1,装备库!$AO$2:$AO$1046,0),COLUMN()),"")</f>
        <v>3973</v>
      </c>
      <c r="L409">
        <f>IFERROR(INDEX(装备库!$A$2:$Y$1047,MATCH(ROW()-1,装备库!$AO$2:$AO$1046,0),COLUMN()),"")</f>
        <v>0</v>
      </c>
      <c r="M409">
        <f>IFERROR(INDEX(装备库!$A$2:$Y$1047,MATCH(ROW()-1,装备库!$AO$2:$AO$1046,0),COLUMN()),"")</f>
        <v>0</v>
      </c>
      <c r="N409">
        <f>IFERROR(INDEX(装备库!$A$2:$Y$1047,MATCH(ROW()-1,装备库!$AO$2:$AO$1046,0),COLUMN()),"")</f>
        <v>0</v>
      </c>
      <c r="O409">
        <f>IFERROR(INDEX(装备库!$A$2:$Y$1047,MATCH(ROW()-1,装备库!$AO$2:$AO$1046,0),COLUMN()),"")</f>
        <v>0</v>
      </c>
      <c r="P409">
        <f>IFERROR(INDEX(装备库!$A$2:$Y$1047,MATCH(ROW()-1,装备库!$AO$2:$AO$1046,0),COLUMN()),"")</f>
        <v>0</v>
      </c>
      <c r="Q409">
        <f>IFERROR(INDEX(装备库!$A$2:$Y$1047,MATCH(ROW()-1,装备库!$AO$2:$AO$1046,0),COLUMN()),"")</f>
        <v>0</v>
      </c>
      <c r="R409">
        <f>IFERROR(INDEX(装备库!$A$2:$Y$1047,MATCH(ROW()-1,装备库!$AO$2:$AO$1046,0),COLUMN()),"")</f>
        <v>0</v>
      </c>
      <c r="S409">
        <f>IFERROR(INDEX(装备库!$A$2:$Y$1047,MATCH(ROW()-1,装备库!$AO$2:$AO$1046,0),COLUMN()),"")</f>
        <v>1</v>
      </c>
      <c r="T409">
        <f>IFERROR(INDEX(装备库!$A$2:$Y$1047,MATCH(ROW()-1,装备库!$AO$2:$AO$1046,0),COLUMN()),"")</f>
        <v>0</v>
      </c>
      <c r="U409">
        <f>IFERROR(INDEX(装备库!$A$2:$Y$1047,MATCH(ROW()-1,装备库!$AO$2:$AO$1046,0),COLUMN()),"")</f>
        <v>0</v>
      </c>
      <c r="V409">
        <f>IFERROR(INDEX(装备库!$A$2:$Y$1047,MATCH(ROW()-1,装备库!$AO$2:$AO$1046,0),COLUMN()),"")</f>
        <v>0</v>
      </c>
      <c r="W409" t="str">
        <f>IFERROR(INDEX(装备库!$A$2:$Y$1047,MATCH(ROW()-1,装备库!$AO$2:$AO$1046,0),COLUMN()),"")</f>
        <v>精简攻无</v>
      </c>
      <c r="X409">
        <f>IFERROR(INDEX(装备库!$A$2:$Y$1047,MATCH(ROW()-1,装备库!$AO$2:$AO$1046,0),COLUMN()),"")</f>
        <v>3</v>
      </c>
      <c r="Y409" t="str">
        <f>IFERROR(INDEX(装备库!$A$2:$Y$1047,MATCH(ROW()-1,装备库!$AO$2:$AO$1046,0),COLUMN()),"")</f>
        <v>活动</v>
      </c>
    </row>
    <row r="410" spans="1:25" x14ac:dyDescent="0.35">
      <c r="A410" t="str">
        <f>IFERROR(INDEX(装备库!$A$2:$Y$1047,MATCH(ROW()-1,装备库!$AO$2:$AO$1046,0),COLUMN()),"")</f>
        <v>项链</v>
      </c>
      <c r="B410" t="str">
        <f>IFERROR(INDEX(装备库!$A$2:$Y$1047,MATCH(ROW()-1,装备库!$AO$2:$AO$1046,0),COLUMN()),"")</f>
        <v>无封项链</v>
      </c>
      <c r="C410">
        <f>IFERROR(INDEX(装备库!$A$2:$Y$1047,MATCH(ROW()-1,装备库!$AO$2:$AO$1046,0),COLUMN()),"")</f>
        <v>11500</v>
      </c>
      <c r="D410" t="str">
        <f>IFERROR(INDEX(装备库!$A$2:$Y$1047,MATCH(ROW()-1,装备库!$AO$2:$AO$1046,0),COLUMN()),"")</f>
        <v>无封项链(11500精简攻破无)</v>
      </c>
      <c r="E410">
        <f>IFERROR(INDEX(装备库!$A$2:$Y$1047,MATCH(ROW()-1,装备库!$AO$2:$AO$1046,0),COLUMN()),"")</f>
        <v>0</v>
      </c>
      <c r="F410">
        <f>IFERROR(INDEX(装备库!$A$2:$Y$1047,MATCH(ROW()-1,装备库!$AO$2:$AO$1046,0),COLUMN()),"")</f>
        <v>1453</v>
      </c>
      <c r="G410">
        <f>IFERROR(INDEX(装备库!$A$2:$Y$1047,MATCH(ROW()-1,装备库!$AO$2:$AO$1046,0),COLUMN()),"")</f>
        <v>0</v>
      </c>
      <c r="H410">
        <f>IFERROR(INDEX(装备库!$A$2:$Y$1047,MATCH(ROW()-1,装备库!$AO$2:$AO$1046,0),COLUMN()),"")</f>
        <v>0</v>
      </c>
      <c r="I410">
        <f>IFERROR(INDEX(装备库!$A$2:$Y$1047,MATCH(ROW()-1,装备库!$AO$2:$AO$1046,0),COLUMN()),"")</f>
        <v>2238</v>
      </c>
      <c r="J410">
        <f>IFERROR(INDEX(装备库!$A$2:$Y$1047,MATCH(ROW()-1,装备库!$AO$2:$AO$1046,0),COLUMN()),"")</f>
        <v>0</v>
      </c>
      <c r="K410">
        <f>IFERROR(INDEX(装备库!$A$2:$Y$1047,MATCH(ROW()-1,装备库!$AO$2:$AO$1046,0),COLUMN()),"")</f>
        <v>2350</v>
      </c>
      <c r="L410">
        <f>IFERROR(INDEX(装备库!$A$2:$Y$1047,MATCH(ROW()-1,装备库!$AO$2:$AO$1046,0),COLUMN()),"")</f>
        <v>0</v>
      </c>
      <c r="M410">
        <f>IFERROR(INDEX(装备库!$A$2:$Y$1047,MATCH(ROW()-1,装备库!$AO$2:$AO$1046,0),COLUMN()),"")</f>
        <v>0</v>
      </c>
      <c r="N410">
        <f>IFERROR(INDEX(装备库!$A$2:$Y$1047,MATCH(ROW()-1,装备库!$AO$2:$AO$1046,0),COLUMN()),"")</f>
        <v>0</v>
      </c>
      <c r="O410">
        <f>IFERROR(INDEX(装备库!$A$2:$Y$1047,MATCH(ROW()-1,装备库!$AO$2:$AO$1046,0),COLUMN()),"")</f>
        <v>0</v>
      </c>
      <c r="P410">
        <f>IFERROR(INDEX(装备库!$A$2:$Y$1047,MATCH(ROW()-1,装备库!$AO$2:$AO$1046,0),COLUMN()),"")</f>
        <v>0</v>
      </c>
      <c r="Q410">
        <f>IFERROR(INDEX(装备库!$A$2:$Y$1047,MATCH(ROW()-1,装备库!$AO$2:$AO$1046,0),COLUMN()),"")</f>
        <v>0</v>
      </c>
      <c r="R410">
        <f>IFERROR(INDEX(装备库!$A$2:$Y$1047,MATCH(ROW()-1,装备库!$AO$2:$AO$1046,0),COLUMN()),"")</f>
        <v>0</v>
      </c>
      <c r="S410">
        <f>IFERROR(INDEX(装备库!$A$2:$Y$1047,MATCH(ROW()-1,装备库!$AO$2:$AO$1046,0),COLUMN()),"")</f>
        <v>0</v>
      </c>
      <c r="T410">
        <f>IFERROR(INDEX(装备库!$A$2:$Y$1047,MATCH(ROW()-1,装备库!$AO$2:$AO$1046,0),COLUMN()),"")</f>
        <v>1</v>
      </c>
      <c r="U410">
        <f>IFERROR(INDEX(装备库!$A$2:$Y$1047,MATCH(ROW()-1,装备库!$AO$2:$AO$1046,0),COLUMN()),"")</f>
        <v>0</v>
      </c>
      <c r="V410">
        <f>IFERROR(INDEX(装备库!$A$2:$Y$1047,MATCH(ROW()-1,装备库!$AO$2:$AO$1046,0),COLUMN()),"")</f>
        <v>0</v>
      </c>
      <c r="W410" t="str">
        <f>IFERROR(INDEX(装备库!$A$2:$Y$1047,MATCH(ROW()-1,装备库!$AO$2:$AO$1046,0),COLUMN()),"")</f>
        <v>精简攻破无</v>
      </c>
      <c r="X410">
        <f>IFERROR(INDEX(装备库!$A$2:$Y$1047,MATCH(ROW()-1,装备库!$AO$2:$AO$1046,0),COLUMN()),"")</f>
        <v>3</v>
      </c>
      <c r="Y410" t="str">
        <f>IFERROR(INDEX(装备库!$A$2:$Y$1047,MATCH(ROW()-1,装备库!$AO$2:$AO$1046,0),COLUMN()),"")</f>
        <v>活动</v>
      </c>
    </row>
    <row r="411" spans="1:25" x14ac:dyDescent="0.35">
      <c r="A411" t="str">
        <f>IFERROR(INDEX(装备库!$A$2:$Y$1047,MATCH(ROW()-1,装备库!$AO$2:$AO$1046,0),COLUMN()),"")</f>
        <v>项链</v>
      </c>
      <c r="B411" t="str">
        <f>IFERROR(INDEX(装备库!$A$2:$Y$1047,MATCH(ROW()-1,装备库!$AO$2:$AO$1046,0),COLUMN()),"")</f>
        <v>无封项链</v>
      </c>
      <c r="C411">
        <f>IFERROR(INDEX(装备库!$A$2:$Y$1047,MATCH(ROW()-1,装备库!$AO$2:$AO$1046,0),COLUMN()),"")</f>
        <v>11500</v>
      </c>
      <c r="D411" t="str">
        <f>IFERROR(INDEX(装备库!$A$2:$Y$1047,MATCH(ROW()-1,装备库!$AO$2:$AO$1046,0),COLUMN()),"")</f>
        <v>无封项链(11500精简攻会招无)</v>
      </c>
      <c r="E411">
        <f>IFERROR(INDEX(装备库!$A$2:$Y$1047,MATCH(ROW()-1,装备库!$AO$2:$AO$1046,0),COLUMN()),"")</f>
        <v>0</v>
      </c>
      <c r="F411">
        <f>IFERROR(INDEX(装备库!$A$2:$Y$1047,MATCH(ROW()-1,装备库!$AO$2:$AO$1046,0),COLUMN()),"")</f>
        <v>1453</v>
      </c>
      <c r="G411">
        <f>IFERROR(INDEX(装备库!$A$2:$Y$1047,MATCH(ROW()-1,装备库!$AO$2:$AO$1046,0),COLUMN()),"")</f>
        <v>2127</v>
      </c>
      <c r="H411">
        <f>IFERROR(INDEX(装备库!$A$2:$Y$1047,MATCH(ROW()-1,装备库!$AO$2:$AO$1046,0),COLUMN()),"")</f>
        <v>0</v>
      </c>
      <c r="I411">
        <f>IFERROR(INDEX(装备库!$A$2:$Y$1047,MATCH(ROW()-1,装备库!$AO$2:$AO$1046,0),COLUMN()),"")</f>
        <v>0</v>
      </c>
      <c r="J411">
        <f>IFERROR(INDEX(装备库!$A$2:$Y$1047,MATCH(ROW()-1,装备库!$AO$2:$AO$1046,0),COLUMN()),"")</f>
        <v>1231</v>
      </c>
      <c r="K411">
        <f>IFERROR(INDEX(装备库!$A$2:$Y$1047,MATCH(ROW()-1,装备库!$AO$2:$AO$1046,0),COLUMN()),"")</f>
        <v>1231</v>
      </c>
      <c r="L411">
        <f>IFERROR(INDEX(装备库!$A$2:$Y$1047,MATCH(ROW()-1,装备库!$AO$2:$AO$1046,0),COLUMN()),"")</f>
        <v>0</v>
      </c>
      <c r="M411">
        <f>IFERROR(INDEX(装备库!$A$2:$Y$1047,MATCH(ROW()-1,装备库!$AO$2:$AO$1046,0),COLUMN()),"")</f>
        <v>0</v>
      </c>
      <c r="N411">
        <f>IFERROR(INDEX(装备库!$A$2:$Y$1047,MATCH(ROW()-1,装备库!$AO$2:$AO$1046,0),COLUMN()),"")</f>
        <v>0</v>
      </c>
      <c r="O411">
        <f>IFERROR(INDEX(装备库!$A$2:$Y$1047,MATCH(ROW()-1,装备库!$AO$2:$AO$1046,0),COLUMN()),"")</f>
        <v>0</v>
      </c>
      <c r="P411">
        <f>IFERROR(INDEX(装备库!$A$2:$Y$1047,MATCH(ROW()-1,装备库!$AO$2:$AO$1046,0),COLUMN()),"")</f>
        <v>0</v>
      </c>
      <c r="Q411">
        <f>IFERROR(INDEX(装备库!$A$2:$Y$1047,MATCH(ROW()-1,装备库!$AO$2:$AO$1046,0),COLUMN()),"")</f>
        <v>0</v>
      </c>
      <c r="R411">
        <f>IFERROR(INDEX(装备库!$A$2:$Y$1047,MATCH(ROW()-1,装备库!$AO$2:$AO$1046,0),COLUMN()),"")</f>
        <v>0</v>
      </c>
      <c r="S411">
        <f>IFERROR(INDEX(装备库!$A$2:$Y$1047,MATCH(ROW()-1,装备库!$AO$2:$AO$1046,0),COLUMN()),"")</f>
        <v>1</v>
      </c>
      <c r="T411">
        <f>IFERROR(INDEX(装备库!$A$2:$Y$1047,MATCH(ROW()-1,装备库!$AO$2:$AO$1046,0),COLUMN()),"")</f>
        <v>0</v>
      </c>
      <c r="U411">
        <f>IFERROR(INDEX(装备库!$A$2:$Y$1047,MATCH(ROW()-1,装备库!$AO$2:$AO$1046,0),COLUMN()),"")</f>
        <v>0</v>
      </c>
      <c r="V411">
        <f>IFERROR(INDEX(装备库!$A$2:$Y$1047,MATCH(ROW()-1,装备库!$AO$2:$AO$1046,0),COLUMN()),"")</f>
        <v>0</v>
      </c>
      <c r="W411" t="str">
        <f>IFERROR(INDEX(装备库!$A$2:$Y$1047,MATCH(ROW()-1,装备库!$AO$2:$AO$1046,0),COLUMN()),"")</f>
        <v>精简攻会招无</v>
      </c>
      <c r="X411">
        <f>IFERROR(INDEX(装备库!$A$2:$Y$1047,MATCH(ROW()-1,装备库!$AO$2:$AO$1046,0),COLUMN()),"")</f>
        <v>3</v>
      </c>
      <c r="Y411" t="str">
        <f>IFERROR(INDEX(装备库!$A$2:$Y$1047,MATCH(ROW()-1,装备库!$AO$2:$AO$1046,0),COLUMN()),"")</f>
        <v>活动</v>
      </c>
    </row>
    <row r="412" spans="1:25" x14ac:dyDescent="0.35">
      <c r="A412" t="str">
        <f>IFERROR(INDEX(装备库!$A$2:$Y$1047,MATCH(ROW()-1,装备库!$AO$2:$AO$1046,0),COLUMN()),"")</f>
        <v>项链</v>
      </c>
      <c r="B412" t="str">
        <f>IFERROR(INDEX(装备库!$A$2:$Y$1047,MATCH(ROW()-1,装备库!$AO$2:$AO$1046,0),COLUMN()),"")</f>
        <v>定酣链</v>
      </c>
      <c r="C412">
        <f>IFERROR(INDEX(装备库!$A$2:$Y$1047,MATCH(ROW()-1,装备库!$AO$2:$AO$1046,0),COLUMN()),"")</f>
        <v>11850</v>
      </c>
      <c r="D412" t="str">
        <f>IFERROR(INDEX(装备库!$A$2:$Y$1047,MATCH(ROW()-1,装备库!$AO$2:$AO$1046,0),COLUMN()),"")</f>
        <v>定酣链(11850招破)</v>
      </c>
      <c r="E412">
        <f>IFERROR(INDEX(装备库!$A$2:$Y$1047,MATCH(ROW()-1,装备库!$AO$2:$AO$1046,0),COLUMN()),"")</f>
        <v>414</v>
      </c>
      <c r="F412">
        <f>IFERROR(INDEX(装备库!$A$2:$Y$1047,MATCH(ROW()-1,装备库!$AO$2:$AO$1046,0),COLUMN()),"")</f>
        <v>671</v>
      </c>
      <c r="G412">
        <f>IFERROR(INDEX(装备库!$A$2:$Y$1047,MATCH(ROW()-1,装备库!$AO$2:$AO$1046,0),COLUMN()),"")</f>
        <v>0</v>
      </c>
      <c r="H412">
        <f>IFERROR(INDEX(装备库!$A$2:$Y$1047,MATCH(ROW()-1,装备库!$AO$2:$AO$1046,0),COLUMN()),"")</f>
        <v>0</v>
      </c>
      <c r="I412">
        <f>IFERROR(INDEX(装备库!$A$2:$Y$1047,MATCH(ROW()-1,装备库!$AO$2:$AO$1046,0),COLUMN()),"")</f>
        <v>2076</v>
      </c>
      <c r="J412">
        <f>IFERROR(INDEX(装备库!$A$2:$Y$1047,MATCH(ROW()-1,装备库!$AO$2:$AO$1046,0),COLUMN()),"")</f>
        <v>1845</v>
      </c>
      <c r="K412">
        <f>IFERROR(INDEX(装备库!$A$2:$Y$1047,MATCH(ROW()-1,装备库!$AO$2:$AO$1046,0),COLUMN()),"")</f>
        <v>0</v>
      </c>
      <c r="L412">
        <f>IFERROR(INDEX(装备库!$A$2:$Y$1047,MATCH(ROW()-1,装备库!$AO$2:$AO$1046,0),COLUMN()),"")</f>
        <v>0</v>
      </c>
      <c r="M412">
        <f>IFERROR(INDEX(装备库!$A$2:$Y$1047,MATCH(ROW()-1,装备库!$AO$2:$AO$1046,0),COLUMN()),"")</f>
        <v>0</v>
      </c>
      <c r="N412">
        <f>IFERROR(INDEX(装备库!$A$2:$Y$1047,MATCH(ROW()-1,装备库!$AO$2:$AO$1046,0),COLUMN()),"")</f>
        <v>0</v>
      </c>
      <c r="O412">
        <f>IFERROR(INDEX(装备库!$A$2:$Y$1047,MATCH(ROW()-1,装备库!$AO$2:$AO$1046,0),COLUMN()),"")</f>
        <v>0</v>
      </c>
      <c r="P412">
        <f>IFERROR(INDEX(装备库!$A$2:$Y$1047,MATCH(ROW()-1,装备库!$AO$2:$AO$1046,0),COLUMN()),"")</f>
        <v>1</v>
      </c>
      <c r="Q412">
        <f>IFERROR(INDEX(装备库!$A$2:$Y$1047,MATCH(ROW()-1,装备库!$AO$2:$AO$1046,0),COLUMN()),"")</f>
        <v>0</v>
      </c>
      <c r="R412">
        <f>IFERROR(INDEX(装备库!$A$2:$Y$1047,MATCH(ROW()-1,装备库!$AO$2:$AO$1046,0),COLUMN()),"")</f>
        <v>0</v>
      </c>
      <c r="S412">
        <f>IFERROR(INDEX(装备库!$A$2:$Y$1047,MATCH(ROW()-1,装备库!$AO$2:$AO$1046,0),COLUMN()),"")</f>
        <v>0</v>
      </c>
      <c r="T412">
        <f>IFERROR(INDEX(装备库!$A$2:$Y$1047,MATCH(ROW()-1,装备库!$AO$2:$AO$1046,0),COLUMN()),"")</f>
        <v>0</v>
      </c>
      <c r="U412">
        <f>IFERROR(INDEX(装备库!$A$2:$Y$1047,MATCH(ROW()-1,装备库!$AO$2:$AO$1046,0),COLUMN()),"")</f>
        <v>0</v>
      </c>
      <c r="V412">
        <f>IFERROR(INDEX(装备库!$A$2:$Y$1047,MATCH(ROW()-1,装备库!$AO$2:$AO$1046,0),COLUMN()),"")</f>
        <v>0</v>
      </c>
      <c r="W412" t="str">
        <f>IFERROR(INDEX(装备库!$A$2:$Y$1047,MATCH(ROW()-1,装备库!$AO$2:$AO$1046,0),COLUMN()),"")</f>
        <v>招破</v>
      </c>
      <c r="X412">
        <f>IFERROR(INDEX(装备库!$A$2:$Y$1047,MATCH(ROW()-1,装备库!$AO$2:$AO$1046,0),COLUMN()),"")</f>
        <v>6</v>
      </c>
      <c r="Y412" t="str">
        <f>IFERROR(INDEX(装备库!$A$2:$Y$1047,MATCH(ROW()-1,装备库!$AO$2:$AO$1046,0),COLUMN()),"")</f>
        <v>声望</v>
      </c>
    </row>
    <row r="413" spans="1:25" x14ac:dyDescent="0.35">
      <c r="A413" t="str">
        <f>IFERROR(INDEX(装备库!$A$2:$Y$1047,MATCH(ROW()-1,装备库!$AO$2:$AO$1046,0),COLUMN()),"")</f>
        <v>项链</v>
      </c>
      <c r="B413" t="str">
        <f>IFERROR(INDEX(装备库!$A$2:$Y$1047,MATCH(ROW()-1,装备库!$AO$2:$AO$1046,0),COLUMN()),"")</f>
        <v>无封项链</v>
      </c>
      <c r="C413">
        <f>IFERROR(INDEX(装备库!$A$2:$Y$1047,MATCH(ROW()-1,装备库!$AO$2:$AO$1046,0),COLUMN()),"")</f>
        <v>12100</v>
      </c>
      <c r="D413" t="str">
        <f>IFERROR(INDEX(装备库!$A$2:$Y$1047,MATCH(ROW()-1,装备库!$AO$2:$AO$1046,0),COLUMN()),"")</f>
        <v>无封项链(12100精简攻招无)</v>
      </c>
      <c r="E413">
        <f>IFERROR(INDEX(装备库!$A$2:$Y$1047,MATCH(ROW()-1,装备库!$AO$2:$AO$1046,0),COLUMN()),"")</f>
        <v>0</v>
      </c>
      <c r="F413">
        <f>IFERROR(INDEX(装备库!$A$2:$Y$1047,MATCH(ROW()-1,装备库!$AO$2:$AO$1046,0),COLUMN()),"")</f>
        <v>1529</v>
      </c>
      <c r="G413">
        <f>IFERROR(INDEX(装备库!$A$2:$Y$1047,MATCH(ROW()-1,装备库!$AO$2:$AO$1046,0),COLUMN()),"")</f>
        <v>0</v>
      </c>
      <c r="H413">
        <f>IFERROR(INDEX(装备库!$A$2:$Y$1047,MATCH(ROW()-1,装备库!$AO$2:$AO$1046,0),COLUMN()),"")</f>
        <v>0</v>
      </c>
      <c r="I413">
        <f>IFERROR(INDEX(装备库!$A$2:$Y$1047,MATCH(ROW()-1,装备库!$AO$2:$AO$1046,0),COLUMN()),"")</f>
        <v>0</v>
      </c>
      <c r="J413">
        <f>IFERROR(INDEX(装备库!$A$2:$Y$1047,MATCH(ROW()-1,装备库!$AO$2:$AO$1046,0),COLUMN()),"")</f>
        <v>2414</v>
      </c>
      <c r="K413">
        <f>IFERROR(INDEX(装备库!$A$2:$Y$1047,MATCH(ROW()-1,装备库!$AO$2:$AO$1046,0),COLUMN()),"")</f>
        <v>2414</v>
      </c>
      <c r="L413">
        <f>IFERROR(INDEX(装备库!$A$2:$Y$1047,MATCH(ROW()-1,装备库!$AO$2:$AO$1046,0),COLUMN()),"")</f>
        <v>0</v>
      </c>
      <c r="M413">
        <f>IFERROR(INDEX(装备库!$A$2:$Y$1047,MATCH(ROW()-1,装备库!$AO$2:$AO$1046,0),COLUMN()),"")</f>
        <v>0</v>
      </c>
      <c r="N413">
        <f>IFERROR(INDEX(装备库!$A$2:$Y$1047,MATCH(ROW()-1,装备库!$AO$2:$AO$1046,0),COLUMN()),"")</f>
        <v>0</v>
      </c>
      <c r="O413">
        <f>IFERROR(INDEX(装备库!$A$2:$Y$1047,MATCH(ROW()-1,装备库!$AO$2:$AO$1046,0),COLUMN()),"")</f>
        <v>0</v>
      </c>
      <c r="P413">
        <f>IFERROR(INDEX(装备库!$A$2:$Y$1047,MATCH(ROW()-1,装备库!$AO$2:$AO$1046,0),COLUMN()),"")</f>
        <v>0</v>
      </c>
      <c r="Q413">
        <f>IFERROR(INDEX(装备库!$A$2:$Y$1047,MATCH(ROW()-1,装备库!$AO$2:$AO$1046,0),COLUMN()),"")</f>
        <v>1</v>
      </c>
      <c r="R413">
        <f>IFERROR(INDEX(装备库!$A$2:$Y$1047,MATCH(ROW()-1,装备库!$AO$2:$AO$1046,0),COLUMN()),"")</f>
        <v>0</v>
      </c>
      <c r="S413">
        <f>IFERROR(INDEX(装备库!$A$2:$Y$1047,MATCH(ROW()-1,装备库!$AO$2:$AO$1046,0),COLUMN()),"")</f>
        <v>0</v>
      </c>
      <c r="T413">
        <f>IFERROR(INDEX(装备库!$A$2:$Y$1047,MATCH(ROW()-1,装备库!$AO$2:$AO$1046,0),COLUMN()),"")</f>
        <v>0</v>
      </c>
      <c r="U413">
        <f>IFERROR(INDEX(装备库!$A$2:$Y$1047,MATCH(ROW()-1,装备库!$AO$2:$AO$1046,0),COLUMN()),"")</f>
        <v>0</v>
      </c>
      <c r="V413">
        <f>IFERROR(INDEX(装备库!$A$2:$Y$1047,MATCH(ROW()-1,装备库!$AO$2:$AO$1046,0),COLUMN()),"")</f>
        <v>0</v>
      </c>
      <c r="W413" t="str">
        <f>IFERROR(INDEX(装备库!$A$2:$Y$1047,MATCH(ROW()-1,装备库!$AO$2:$AO$1046,0),COLUMN()),"")</f>
        <v>精简攻招无</v>
      </c>
      <c r="X413">
        <f>IFERROR(INDEX(装备库!$A$2:$Y$1047,MATCH(ROW()-1,装备库!$AO$2:$AO$1046,0),COLUMN()),"")</f>
        <v>3</v>
      </c>
      <c r="Y413" t="str">
        <f>IFERROR(INDEX(装备库!$A$2:$Y$1047,MATCH(ROW()-1,装备库!$AO$2:$AO$1046,0),COLUMN()),"")</f>
        <v>活动</v>
      </c>
    </row>
    <row r="414" spans="1:25" x14ac:dyDescent="0.35">
      <c r="A414" t="str">
        <f>IFERROR(INDEX(装备库!$A$2:$Y$1047,MATCH(ROW()-1,装备库!$AO$2:$AO$1046,0),COLUMN()),"")</f>
        <v>项链</v>
      </c>
      <c r="B414" t="str">
        <f>IFERROR(INDEX(装备库!$A$2:$Y$1047,MATCH(ROW()-1,装备库!$AO$2:$AO$1046,0),COLUMN()),"")</f>
        <v>无封项链</v>
      </c>
      <c r="C414">
        <f>IFERROR(INDEX(装备库!$A$2:$Y$1047,MATCH(ROW()-1,装备库!$AO$2:$AO$1046,0),COLUMN()),"")</f>
        <v>12100</v>
      </c>
      <c r="D414" t="str">
        <f>IFERROR(INDEX(装备库!$A$2:$Y$1047,MATCH(ROW()-1,装备库!$AO$2:$AO$1046,0),COLUMN()),"")</f>
        <v>无封项链(12100精简攻会会招)</v>
      </c>
      <c r="E414">
        <f>IFERROR(INDEX(装备库!$A$2:$Y$1047,MATCH(ROW()-1,装备库!$AO$2:$AO$1046,0),COLUMN()),"")</f>
        <v>0</v>
      </c>
      <c r="F414">
        <f>IFERROR(INDEX(装备库!$A$2:$Y$1047,MATCH(ROW()-1,装备库!$AO$2:$AO$1046,0),COLUMN()),"")</f>
        <v>1529</v>
      </c>
      <c r="G414">
        <f>IFERROR(INDEX(装备库!$A$2:$Y$1047,MATCH(ROW()-1,装备库!$AO$2:$AO$1046,0),COLUMN()),"")</f>
        <v>2237</v>
      </c>
      <c r="H414">
        <f>IFERROR(INDEX(装备库!$A$2:$Y$1047,MATCH(ROW()-1,装备库!$AO$2:$AO$1046,0),COLUMN()),"")</f>
        <v>1178</v>
      </c>
      <c r="I414">
        <f>IFERROR(INDEX(装备库!$A$2:$Y$1047,MATCH(ROW()-1,装备库!$AO$2:$AO$1046,0),COLUMN()),"")</f>
        <v>0</v>
      </c>
      <c r="J414">
        <f>IFERROR(INDEX(装备库!$A$2:$Y$1047,MATCH(ROW()-1,装备库!$AO$2:$AO$1046,0),COLUMN()),"")</f>
        <v>1295</v>
      </c>
      <c r="K414">
        <f>IFERROR(INDEX(装备库!$A$2:$Y$1047,MATCH(ROW()-1,装备库!$AO$2:$AO$1046,0),COLUMN()),"")</f>
        <v>0</v>
      </c>
      <c r="L414">
        <f>IFERROR(INDEX(装备库!$A$2:$Y$1047,MATCH(ROW()-1,装备库!$AO$2:$AO$1046,0),COLUMN()),"")</f>
        <v>0</v>
      </c>
      <c r="M414">
        <f>IFERROR(INDEX(装备库!$A$2:$Y$1047,MATCH(ROW()-1,装备库!$AO$2:$AO$1046,0),COLUMN()),"")</f>
        <v>0</v>
      </c>
      <c r="N414">
        <f>IFERROR(INDEX(装备库!$A$2:$Y$1047,MATCH(ROW()-1,装备库!$AO$2:$AO$1046,0),COLUMN()),"")</f>
        <v>0</v>
      </c>
      <c r="O414">
        <f>IFERROR(INDEX(装备库!$A$2:$Y$1047,MATCH(ROW()-1,装备库!$AO$2:$AO$1046,0),COLUMN()),"")</f>
        <v>0</v>
      </c>
      <c r="P414">
        <f>IFERROR(INDEX(装备库!$A$2:$Y$1047,MATCH(ROW()-1,装备库!$AO$2:$AO$1046,0),COLUMN()),"")</f>
        <v>0</v>
      </c>
      <c r="Q414">
        <f>IFERROR(INDEX(装备库!$A$2:$Y$1047,MATCH(ROW()-1,装备库!$AO$2:$AO$1046,0),COLUMN()),"")</f>
        <v>0</v>
      </c>
      <c r="R414">
        <f>IFERROR(INDEX(装备库!$A$2:$Y$1047,MATCH(ROW()-1,装备库!$AO$2:$AO$1046,0),COLUMN()),"")</f>
        <v>0</v>
      </c>
      <c r="S414">
        <f>IFERROR(INDEX(装备库!$A$2:$Y$1047,MATCH(ROW()-1,装备库!$AO$2:$AO$1046,0),COLUMN()),"")</f>
        <v>1</v>
      </c>
      <c r="T414">
        <f>IFERROR(INDEX(装备库!$A$2:$Y$1047,MATCH(ROW()-1,装备库!$AO$2:$AO$1046,0),COLUMN()),"")</f>
        <v>0</v>
      </c>
      <c r="U414">
        <f>IFERROR(INDEX(装备库!$A$2:$Y$1047,MATCH(ROW()-1,装备库!$AO$2:$AO$1046,0),COLUMN()),"")</f>
        <v>0</v>
      </c>
      <c r="V414">
        <f>IFERROR(INDEX(装备库!$A$2:$Y$1047,MATCH(ROW()-1,装备库!$AO$2:$AO$1046,0),COLUMN()),"")</f>
        <v>0</v>
      </c>
      <c r="W414" t="str">
        <f>IFERROR(INDEX(装备库!$A$2:$Y$1047,MATCH(ROW()-1,装备库!$AO$2:$AO$1046,0),COLUMN()),"")</f>
        <v>精简攻会会招</v>
      </c>
      <c r="X414">
        <f>IFERROR(INDEX(装备库!$A$2:$Y$1047,MATCH(ROW()-1,装备库!$AO$2:$AO$1046,0),COLUMN()),"")</f>
        <v>3</v>
      </c>
      <c r="Y414" t="str">
        <f>IFERROR(INDEX(装备库!$A$2:$Y$1047,MATCH(ROW()-1,装备库!$AO$2:$AO$1046,0),COLUMN()),"")</f>
        <v>活动</v>
      </c>
    </row>
    <row r="415" spans="1:25" x14ac:dyDescent="0.35">
      <c r="A415" t="str">
        <f>IFERROR(INDEX(装备库!$A$2:$Y$1047,MATCH(ROW()-1,装备库!$AO$2:$AO$1046,0),COLUMN()),"")</f>
        <v>项链</v>
      </c>
      <c r="B415" t="str">
        <f>IFERROR(INDEX(装备库!$A$2:$Y$1047,MATCH(ROW()-1,装备库!$AO$2:$AO$1046,0),COLUMN()),"")</f>
        <v>无封项链</v>
      </c>
      <c r="C415">
        <f>IFERROR(INDEX(装备库!$A$2:$Y$1047,MATCH(ROW()-1,装备库!$AO$2:$AO$1046,0),COLUMN()),"")</f>
        <v>12100</v>
      </c>
      <c r="D415" t="str">
        <f>IFERROR(INDEX(装备库!$A$2:$Y$1047,MATCH(ROW()-1,装备库!$AO$2:$AO$1046,0),COLUMN()),"")</f>
        <v>无封项链(12100精简攻会)</v>
      </c>
      <c r="E415">
        <f>IFERROR(INDEX(装备库!$A$2:$Y$1047,MATCH(ROW()-1,装备库!$AO$2:$AO$1046,0),COLUMN()),"")</f>
        <v>0</v>
      </c>
      <c r="F415">
        <f>IFERROR(INDEX(装备库!$A$2:$Y$1047,MATCH(ROW()-1,装备库!$AO$2:$AO$1046,0),COLUMN()),"")</f>
        <v>1792</v>
      </c>
      <c r="G415">
        <f>IFERROR(INDEX(装备库!$A$2:$Y$1047,MATCH(ROW()-1,装备库!$AO$2:$AO$1046,0),COLUMN()),"")</f>
        <v>4181</v>
      </c>
      <c r="H415">
        <f>IFERROR(INDEX(装备库!$A$2:$Y$1047,MATCH(ROW()-1,装备库!$AO$2:$AO$1046,0),COLUMN()),"")</f>
        <v>0</v>
      </c>
      <c r="I415">
        <f>IFERROR(INDEX(装备库!$A$2:$Y$1047,MATCH(ROW()-1,装备库!$AO$2:$AO$1046,0),COLUMN()),"")</f>
        <v>0</v>
      </c>
      <c r="J415">
        <f>IFERROR(INDEX(装备库!$A$2:$Y$1047,MATCH(ROW()-1,装备库!$AO$2:$AO$1046,0),COLUMN()),"")</f>
        <v>0</v>
      </c>
      <c r="K415">
        <f>IFERROR(INDEX(装备库!$A$2:$Y$1047,MATCH(ROW()-1,装备库!$AO$2:$AO$1046,0),COLUMN()),"")</f>
        <v>0</v>
      </c>
      <c r="L415">
        <f>IFERROR(INDEX(装备库!$A$2:$Y$1047,MATCH(ROW()-1,装备库!$AO$2:$AO$1046,0),COLUMN()),"")</f>
        <v>0</v>
      </c>
      <c r="M415">
        <f>IFERROR(INDEX(装备库!$A$2:$Y$1047,MATCH(ROW()-1,装备库!$AO$2:$AO$1046,0),COLUMN()),"")</f>
        <v>0</v>
      </c>
      <c r="N415">
        <f>IFERROR(INDEX(装备库!$A$2:$Y$1047,MATCH(ROW()-1,装备库!$AO$2:$AO$1046,0),COLUMN()),"")</f>
        <v>0</v>
      </c>
      <c r="O415">
        <f>IFERROR(INDEX(装备库!$A$2:$Y$1047,MATCH(ROW()-1,装备库!$AO$2:$AO$1046,0),COLUMN()),"")</f>
        <v>0</v>
      </c>
      <c r="P415">
        <f>IFERROR(INDEX(装备库!$A$2:$Y$1047,MATCH(ROW()-1,装备库!$AO$2:$AO$1046,0),COLUMN()),"")</f>
        <v>0</v>
      </c>
      <c r="Q415">
        <f>IFERROR(INDEX(装备库!$A$2:$Y$1047,MATCH(ROW()-1,装备库!$AO$2:$AO$1046,0),COLUMN()),"")</f>
        <v>0</v>
      </c>
      <c r="R415">
        <f>IFERROR(INDEX(装备库!$A$2:$Y$1047,MATCH(ROW()-1,装备库!$AO$2:$AO$1046,0),COLUMN()),"")</f>
        <v>1</v>
      </c>
      <c r="S415">
        <f>IFERROR(INDEX(装备库!$A$2:$Y$1047,MATCH(ROW()-1,装备库!$AO$2:$AO$1046,0),COLUMN()),"")</f>
        <v>0</v>
      </c>
      <c r="T415">
        <f>IFERROR(INDEX(装备库!$A$2:$Y$1047,MATCH(ROW()-1,装备库!$AO$2:$AO$1046,0),COLUMN()),"")</f>
        <v>0</v>
      </c>
      <c r="U415">
        <f>IFERROR(INDEX(装备库!$A$2:$Y$1047,MATCH(ROW()-1,装备库!$AO$2:$AO$1046,0),COLUMN()),"")</f>
        <v>0</v>
      </c>
      <c r="V415">
        <f>IFERROR(INDEX(装备库!$A$2:$Y$1047,MATCH(ROW()-1,装备库!$AO$2:$AO$1046,0),COLUMN()),"")</f>
        <v>0</v>
      </c>
      <c r="W415" t="str">
        <f>IFERROR(INDEX(装备库!$A$2:$Y$1047,MATCH(ROW()-1,装备库!$AO$2:$AO$1046,0),COLUMN()),"")</f>
        <v>精简攻会</v>
      </c>
      <c r="X415">
        <f>IFERROR(INDEX(装备库!$A$2:$Y$1047,MATCH(ROW()-1,装备库!$AO$2:$AO$1046,0),COLUMN()),"")</f>
        <v>3</v>
      </c>
      <c r="Y415" t="str">
        <f>IFERROR(INDEX(装备库!$A$2:$Y$1047,MATCH(ROW()-1,装备库!$AO$2:$AO$1046,0),COLUMN()),"")</f>
        <v>活动</v>
      </c>
    </row>
    <row r="416" spans="1:25" x14ac:dyDescent="0.35">
      <c r="A416" t="str">
        <f>IFERROR(INDEX(装备库!$A$2:$Y$1047,MATCH(ROW()-1,装备库!$AO$2:$AO$1046,0),COLUMN()),"")</f>
        <v>项链</v>
      </c>
      <c r="B416" t="str">
        <f>IFERROR(INDEX(装备库!$A$2:$Y$1047,MATCH(ROW()-1,装备库!$AO$2:$AO$1046,0),COLUMN()),"")</f>
        <v>安衿链</v>
      </c>
      <c r="C416">
        <f>IFERROR(INDEX(装备库!$A$2:$Y$1047,MATCH(ROW()-1,装备库!$AO$2:$AO$1046,0),COLUMN()),"")</f>
        <v>12450</v>
      </c>
      <c r="D416" t="str">
        <f>IFERROR(INDEX(装备库!$A$2:$Y$1047,MATCH(ROW()-1,装备库!$AO$2:$AO$1046,0),COLUMN()),"")</f>
        <v>安衿链(12450破无)</v>
      </c>
      <c r="E416">
        <f>IFERROR(INDEX(装备库!$A$2:$Y$1047,MATCH(ROW()-1,装备库!$AO$2:$AO$1046,0),COLUMN()),"")</f>
        <v>435</v>
      </c>
      <c r="F416">
        <f>IFERROR(INDEX(装备库!$A$2:$Y$1047,MATCH(ROW()-1,装备库!$AO$2:$AO$1046,0),COLUMN()),"")</f>
        <v>705</v>
      </c>
      <c r="G416">
        <f>IFERROR(INDEX(装备库!$A$2:$Y$1047,MATCH(ROW()-1,装备库!$AO$2:$AO$1046,0),COLUMN()),"")</f>
        <v>0</v>
      </c>
      <c r="H416">
        <f>IFERROR(INDEX(装备库!$A$2:$Y$1047,MATCH(ROW()-1,装备库!$AO$2:$AO$1046,0),COLUMN()),"")</f>
        <v>0</v>
      </c>
      <c r="I416">
        <f>IFERROR(INDEX(装备库!$A$2:$Y$1047,MATCH(ROW()-1,装备库!$AO$2:$AO$1046,0),COLUMN()),"")</f>
        <v>2181</v>
      </c>
      <c r="J416">
        <f>IFERROR(INDEX(装备库!$A$2:$Y$1047,MATCH(ROW()-1,装备库!$AO$2:$AO$1046,0),COLUMN()),"")</f>
        <v>0</v>
      </c>
      <c r="K416">
        <f>IFERROR(INDEX(装备库!$A$2:$Y$1047,MATCH(ROW()-1,装备库!$AO$2:$AO$1046,0),COLUMN()),"")</f>
        <v>1939</v>
      </c>
      <c r="L416">
        <f>IFERROR(INDEX(装备库!$A$2:$Y$1047,MATCH(ROW()-1,装备库!$AO$2:$AO$1046,0),COLUMN()),"")</f>
        <v>0</v>
      </c>
      <c r="M416">
        <f>IFERROR(INDEX(装备库!$A$2:$Y$1047,MATCH(ROW()-1,装备库!$AO$2:$AO$1046,0),COLUMN()),"")</f>
        <v>0</v>
      </c>
      <c r="N416">
        <f>IFERROR(INDEX(装备库!$A$2:$Y$1047,MATCH(ROW()-1,装备库!$AO$2:$AO$1046,0),COLUMN()),"")</f>
        <v>0</v>
      </c>
      <c r="O416">
        <f>IFERROR(INDEX(装备库!$A$2:$Y$1047,MATCH(ROW()-1,装备库!$AO$2:$AO$1046,0),COLUMN()),"")</f>
        <v>0</v>
      </c>
      <c r="P416">
        <f>IFERROR(INDEX(装备库!$A$2:$Y$1047,MATCH(ROW()-1,装备库!$AO$2:$AO$1046,0),COLUMN()),"")</f>
        <v>0</v>
      </c>
      <c r="Q416">
        <f>IFERROR(INDEX(装备库!$A$2:$Y$1047,MATCH(ROW()-1,装备库!$AO$2:$AO$1046,0),COLUMN()),"")</f>
        <v>0</v>
      </c>
      <c r="R416">
        <f>IFERROR(INDEX(装备库!$A$2:$Y$1047,MATCH(ROW()-1,装备库!$AO$2:$AO$1046,0),COLUMN()),"")</f>
        <v>0</v>
      </c>
      <c r="S416">
        <f>IFERROR(INDEX(装备库!$A$2:$Y$1047,MATCH(ROW()-1,装备库!$AO$2:$AO$1046,0),COLUMN()),"")</f>
        <v>0</v>
      </c>
      <c r="T416">
        <f>IFERROR(INDEX(装备库!$A$2:$Y$1047,MATCH(ROW()-1,装备库!$AO$2:$AO$1046,0),COLUMN()),"")</f>
        <v>0</v>
      </c>
      <c r="U416">
        <f>IFERROR(INDEX(装备库!$A$2:$Y$1047,MATCH(ROW()-1,装备库!$AO$2:$AO$1046,0),COLUMN()),"")</f>
        <v>1</v>
      </c>
      <c r="V416">
        <f>IFERROR(INDEX(装备库!$A$2:$Y$1047,MATCH(ROW()-1,装备库!$AO$2:$AO$1046,0),COLUMN()),"")</f>
        <v>0</v>
      </c>
      <c r="W416" t="str">
        <f>IFERROR(INDEX(装备库!$A$2:$Y$1047,MATCH(ROW()-1,装备库!$AO$2:$AO$1046,0),COLUMN()),"")</f>
        <v>破无</v>
      </c>
      <c r="X416">
        <f>IFERROR(INDEX(装备库!$A$2:$Y$1047,MATCH(ROW()-1,装备库!$AO$2:$AO$1046,0),COLUMN()),"")</f>
        <v>6</v>
      </c>
      <c r="Y416" t="str">
        <f>IFERROR(INDEX(装备库!$A$2:$Y$1047,MATCH(ROW()-1,装备库!$AO$2:$AO$1046,0),COLUMN()),"")</f>
        <v>副本</v>
      </c>
    </row>
    <row r="417" spans="1:25" x14ac:dyDescent="0.35">
      <c r="A417" t="str">
        <f>IFERROR(INDEX(装备库!$A$2:$Y$1047,MATCH(ROW()-1,装备库!$AO$2:$AO$1046,0),COLUMN()),"")</f>
        <v>项链</v>
      </c>
      <c r="B417" t="str">
        <f>IFERROR(INDEX(装备库!$A$2:$Y$1047,MATCH(ROW()-1,装备库!$AO$2:$AO$1046,0),COLUMN()),"")</f>
        <v>湖静链</v>
      </c>
      <c r="C417">
        <f>IFERROR(INDEX(装备库!$A$2:$Y$1047,MATCH(ROW()-1,装备库!$AO$2:$AO$1046,0),COLUMN()),"")</f>
        <v>12450</v>
      </c>
      <c r="D417" t="str">
        <f>IFERROR(INDEX(装备库!$A$2:$Y$1047,MATCH(ROW()-1,装备库!$AO$2:$AO$1046,0),COLUMN()),"")</f>
        <v>湖静链(12450会招)</v>
      </c>
      <c r="E417">
        <f>IFERROR(INDEX(装备库!$A$2:$Y$1047,MATCH(ROW()-1,装备库!$AO$2:$AO$1046,0),COLUMN()),"")</f>
        <v>435</v>
      </c>
      <c r="F417">
        <f>IFERROR(INDEX(装备库!$A$2:$Y$1047,MATCH(ROW()-1,装备库!$AO$2:$AO$1046,0),COLUMN()),"")</f>
        <v>705</v>
      </c>
      <c r="G417">
        <f>IFERROR(INDEX(装备库!$A$2:$Y$1047,MATCH(ROW()-1,装备库!$AO$2:$AO$1046,0),COLUMN()),"")</f>
        <v>2181</v>
      </c>
      <c r="H417">
        <f>IFERROR(INDEX(装备库!$A$2:$Y$1047,MATCH(ROW()-1,装备库!$AO$2:$AO$1046,0),COLUMN()),"")</f>
        <v>0</v>
      </c>
      <c r="I417">
        <f>IFERROR(INDEX(装备库!$A$2:$Y$1047,MATCH(ROW()-1,装备库!$AO$2:$AO$1046,0),COLUMN()),"")</f>
        <v>0</v>
      </c>
      <c r="J417">
        <f>IFERROR(INDEX(装备库!$A$2:$Y$1047,MATCH(ROW()-1,装备库!$AO$2:$AO$1046,0),COLUMN()),"")</f>
        <v>1939</v>
      </c>
      <c r="K417">
        <f>IFERROR(INDEX(装备库!$A$2:$Y$1047,MATCH(ROW()-1,装备库!$AO$2:$AO$1046,0),COLUMN()),"")</f>
        <v>0</v>
      </c>
      <c r="L417">
        <f>IFERROR(INDEX(装备库!$A$2:$Y$1047,MATCH(ROW()-1,装备库!$AO$2:$AO$1046,0),COLUMN()),"")</f>
        <v>0</v>
      </c>
      <c r="M417">
        <f>IFERROR(INDEX(装备库!$A$2:$Y$1047,MATCH(ROW()-1,装备库!$AO$2:$AO$1046,0),COLUMN()),"")</f>
        <v>0</v>
      </c>
      <c r="N417">
        <f>IFERROR(INDEX(装备库!$A$2:$Y$1047,MATCH(ROW()-1,装备库!$AO$2:$AO$1046,0),COLUMN()),"")</f>
        <v>0</v>
      </c>
      <c r="O417">
        <f>IFERROR(INDEX(装备库!$A$2:$Y$1047,MATCH(ROW()-1,装备库!$AO$2:$AO$1046,0),COLUMN()),"")</f>
        <v>0</v>
      </c>
      <c r="P417">
        <f>IFERROR(INDEX(装备库!$A$2:$Y$1047,MATCH(ROW()-1,装备库!$AO$2:$AO$1046,0),COLUMN()),"")</f>
        <v>0</v>
      </c>
      <c r="Q417">
        <f>IFERROR(INDEX(装备库!$A$2:$Y$1047,MATCH(ROW()-1,装备库!$AO$2:$AO$1046,0),COLUMN()),"")</f>
        <v>0</v>
      </c>
      <c r="R417">
        <f>IFERROR(INDEX(装备库!$A$2:$Y$1047,MATCH(ROW()-1,装备库!$AO$2:$AO$1046,0),COLUMN()),"")</f>
        <v>0</v>
      </c>
      <c r="S417">
        <f>IFERROR(INDEX(装备库!$A$2:$Y$1047,MATCH(ROW()-1,装备库!$AO$2:$AO$1046,0),COLUMN()),"")</f>
        <v>1</v>
      </c>
      <c r="T417">
        <f>IFERROR(INDEX(装备库!$A$2:$Y$1047,MATCH(ROW()-1,装备库!$AO$2:$AO$1046,0),COLUMN()),"")</f>
        <v>0</v>
      </c>
      <c r="U417">
        <f>IFERROR(INDEX(装备库!$A$2:$Y$1047,MATCH(ROW()-1,装备库!$AO$2:$AO$1046,0),COLUMN()),"")</f>
        <v>0</v>
      </c>
      <c r="V417">
        <f>IFERROR(INDEX(装备库!$A$2:$Y$1047,MATCH(ROW()-1,装备库!$AO$2:$AO$1046,0),COLUMN()),"")</f>
        <v>0</v>
      </c>
      <c r="W417" t="str">
        <f>IFERROR(INDEX(装备库!$A$2:$Y$1047,MATCH(ROW()-1,装备库!$AO$2:$AO$1046,0),COLUMN()),"")</f>
        <v>会招</v>
      </c>
      <c r="X417">
        <f>IFERROR(INDEX(装备库!$A$2:$Y$1047,MATCH(ROW()-1,装备库!$AO$2:$AO$1046,0),COLUMN()),"")</f>
        <v>6</v>
      </c>
      <c r="Y417" t="str">
        <f>IFERROR(INDEX(装备库!$A$2:$Y$1047,MATCH(ROW()-1,装备库!$AO$2:$AO$1046,0),COLUMN()),"")</f>
        <v>世界BOSS</v>
      </c>
    </row>
    <row r="418" spans="1:25" x14ac:dyDescent="0.35">
      <c r="A418" t="str">
        <f>IFERROR(INDEX(装备库!$A$2:$Y$1047,MATCH(ROW()-1,装备库!$AO$2:$AO$1046,0),COLUMN()),"")</f>
        <v>项链</v>
      </c>
      <c r="B418" t="str">
        <f>IFERROR(INDEX(装备库!$A$2:$Y$1047,MATCH(ROW()-1,装备库!$AO$2:$AO$1046,0),COLUMN()),"")</f>
        <v>温刃链</v>
      </c>
      <c r="C418">
        <f>IFERROR(INDEX(装备库!$A$2:$Y$1047,MATCH(ROW()-1,装备库!$AO$2:$AO$1046,0),COLUMN()),"")</f>
        <v>12450</v>
      </c>
      <c r="D418" t="str">
        <f>IFERROR(INDEX(装备库!$A$2:$Y$1047,MATCH(ROW()-1,装备库!$AO$2:$AO$1046,0),COLUMN()),"")</f>
        <v>温刃链(12450会无)</v>
      </c>
      <c r="E418">
        <f>IFERROR(INDEX(装备库!$A$2:$Y$1047,MATCH(ROW()-1,装备库!$AO$2:$AO$1046,0),COLUMN()),"")</f>
        <v>435</v>
      </c>
      <c r="F418">
        <f>IFERROR(INDEX(装备库!$A$2:$Y$1047,MATCH(ROW()-1,装备库!$AO$2:$AO$1046,0),COLUMN()),"")</f>
        <v>705</v>
      </c>
      <c r="G418">
        <f>IFERROR(INDEX(装备库!$A$2:$Y$1047,MATCH(ROW()-1,装备库!$AO$2:$AO$1046,0),COLUMN()),"")</f>
        <v>2181</v>
      </c>
      <c r="H418">
        <f>IFERROR(INDEX(装备库!$A$2:$Y$1047,MATCH(ROW()-1,装备库!$AO$2:$AO$1046,0),COLUMN()),"")</f>
        <v>0</v>
      </c>
      <c r="I418">
        <f>IFERROR(INDEX(装备库!$A$2:$Y$1047,MATCH(ROW()-1,装备库!$AO$2:$AO$1046,0),COLUMN()),"")</f>
        <v>0</v>
      </c>
      <c r="J418">
        <f>IFERROR(INDEX(装备库!$A$2:$Y$1047,MATCH(ROW()-1,装备库!$AO$2:$AO$1046,0),COLUMN()),"")</f>
        <v>0</v>
      </c>
      <c r="K418">
        <f>IFERROR(INDEX(装备库!$A$2:$Y$1047,MATCH(ROW()-1,装备库!$AO$2:$AO$1046,0),COLUMN()),"")</f>
        <v>1939</v>
      </c>
      <c r="L418">
        <f>IFERROR(INDEX(装备库!$A$2:$Y$1047,MATCH(ROW()-1,装备库!$AO$2:$AO$1046,0),COLUMN()),"")</f>
        <v>0</v>
      </c>
      <c r="M418">
        <f>IFERROR(INDEX(装备库!$A$2:$Y$1047,MATCH(ROW()-1,装备库!$AO$2:$AO$1046,0),COLUMN()),"")</f>
        <v>0</v>
      </c>
      <c r="N418">
        <f>IFERROR(INDEX(装备库!$A$2:$Y$1047,MATCH(ROW()-1,装备库!$AO$2:$AO$1046,0),COLUMN()),"")</f>
        <v>0</v>
      </c>
      <c r="O418">
        <f>IFERROR(INDEX(装备库!$A$2:$Y$1047,MATCH(ROW()-1,装备库!$AO$2:$AO$1046,0),COLUMN()),"")</f>
        <v>0</v>
      </c>
      <c r="P418">
        <f>IFERROR(INDEX(装备库!$A$2:$Y$1047,MATCH(ROW()-1,装备库!$AO$2:$AO$1046,0),COLUMN()),"")</f>
        <v>0</v>
      </c>
      <c r="Q418">
        <f>IFERROR(INDEX(装备库!$A$2:$Y$1047,MATCH(ROW()-1,装备库!$AO$2:$AO$1046,0),COLUMN()),"")</f>
        <v>0</v>
      </c>
      <c r="R418">
        <f>IFERROR(INDEX(装备库!$A$2:$Y$1047,MATCH(ROW()-1,装备库!$AO$2:$AO$1046,0),COLUMN()),"")</f>
        <v>0</v>
      </c>
      <c r="S418">
        <f>IFERROR(INDEX(装备库!$A$2:$Y$1047,MATCH(ROW()-1,装备库!$AO$2:$AO$1046,0),COLUMN()),"")</f>
        <v>1</v>
      </c>
      <c r="T418">
        <f>IFERROR(INDEX(装备库!$A$2:$Y$1047,MATCH(ROW()-1,装备库!$AO$2:$AO$1046,0),COLUMN()),"")</f>
        <v>0</v>
      </c>
      <c r="U418">
        <f>IFERROR(INDEX(装备库!$A$2:$Y$1047,MATCH(ROW()-1,装备库!$AO$2:$AO$1046,0),COLUMN()),"")</f>
        <v>0</v>
      </c>
      <c r="V418">
        <f>IFERROR(INDEX(装备库!$A$2:$Y$1047,MATCH(ROW()-1,装备库!$AO$2:$AO$1046,0),COLUMN()),"")</f>
        <v>0</v>
      </c>
      <c r="W418" t="str">
        <f>IFERROR(INDEX(装备库!$A$2:$Y$1047,MATCH(ROW()-1,装备库!$AO$2:$AO$1046,0),COLUMN()),"")</f>
        <v>会无</v>
      </c>
      <c r="X418">
        <f>IFERROR(INDEX(装备库!$A$2:$Y$1047,MATCH(ROW()-1,装备库!$AO$2:$AO$1046,0),COLUMN()),"")</f>
        <v>6</v>
      </c>
      <c r="Y418" t="str">
        <f>IFERROR(INDEX(装备库!$A$2:$Y$1047,MATCH(ROW()-1,装备库!$AO$2:$AO$1046,0),COLUMN()),"")</f>
        <v>副本</v>
      </c>
    </row>
    <row r="419" spans="1:25" x14ac:dyDescent="0.35">
      <c r="A419" t="str">
        <f>IFERROR(INDEX(装备库!$A$2:$Y$1047,MATCH(ROW()-1,装备库!$AO$2:$AO$1046,0),COLUMN()),"")</f>
        <v>项链</v>
      </c>
      <c r="B419" t="str">
        <f>IFERROR(INDEX(装备库!$A$2:$Y$1047,MATCH(ROW()-1,装备库!$AO$2:$AO$1046,0),COLUMN()),"")</f>
        <v>定酣链</v>
      </c>
      <c r="C419">
        <f>IFERROR(INDEX(装备库!$A$2:$Y$1047,MATCH(ROW()-1,装备库!$AO$2:$AO$1046,0),COLUMN()),"")</f>
        <v>12600</v>
      </c>
      <c r="D419" t="str">
        <f>IFERROR(INDEX(装备库!$A$2:$Y$1047,MATCH(ROW()-1,装备库!$AO$2:$AO$1046,0),COLUMN()),"")</f>
        <v>定酣链(12600招破)</v>
      </c>
      <c r="E419">
        <f>IFERROR(INDEX(装备库!$A$2:$Y$1047,MATCH(ROW()-1,装备库!$AO$2:$AO$1046,0),COLUMN()),"")</f>
        <v>440</v>
      </c>
      <c r="F419">
        <f>IFERROR(INDEX(装备库!$A$2:$Y$1047,MATCH(ROW()-1,装备库!$AO$2:$AO$1046,0),COLUMN()),"")</f>
        <v>714</v>
      </c>
      <c r="G419">
        <f>IFERROR(INDEX(装备库!$A$2:$Y$1047,MATCH(ROW()-1,装备库!$AO$2:$AO$1046,0),COLUMN()),"")</f>
        <v>0</v>
      </c>
      <c r="H419">
        <f>IFERROR(INDEX(装备库!$A$2:$Y$1047,MATCH(ROW()-1,装备库!$AO$2:$AO$1046,0),COLUMN()),"")</f>
        <v>0</v>
      </c>
      <c r="I419">
        <f>IFERROR(INDEX(装备库!$A$2:$Y$1047,MATCH(ROW()-1,装备库!$AO$2:$AO$1046,0),COLUMN()),"")</f>
        <v>2207</v>
      </c>
      <c r="J419">
        <f>IFERROR(INDEX(装备库!$A$2:$Y$1047,MATCH(ROW()-1,装备库!$AO$2:$AO$1046,0),COLUMN()),"")</f>
        <v>1962</v>
      </c>
      <c r="K419">
        <f>IFERROR(INDEX(装备库!$A$2:$Y$1047,MATCH(ROW()-1,装备库!$AO$2:$AO$1046,0),COLUMN()),"")</f>
        <v>0</v>
      </c>
      <c r="L419">
        <f>IFERROR(INDEX(装备库!$A$2:$Y$1047,MATCH(ROW()-1,装备库!$AO$2:$AO$1046,0),COLUMN()),"")</f>
        <v>0</v>
      </c>
      <c r="M419">
        <f>IFERROR(INDEX(装备库!$A$2:$Y$1047,MATCH(ROW()-1,装备库!$AO$2:$AO$1046,0),COLUMN()),"")</f>
        <v>0</v>
      </c>
      <c r="N419">
        <f>IFERROR(INDEX(装备库!$A$2:$Y$1047,MATCH(ROW()-1,装备库!$AO$2:$AO$1046,0),COLUMN()),"")</f>
        <v>0</v>
      </c>
      <c r="O419">
        <f>IFERROR(INDEX(装备库!$A$2:$Y$1047,MATCH(ROW()-1,装备库!$AO$2:$AO$1046,0),COLUMN()),"")</f>
        <v>0</v>
      </c>
      <c r="P419">
        <f>IFERROR(INDEX(装备库!$A$2:$Y$1047,MATCH(ROW()-1,装备库!$AO$2:$AO$1046,0),COLUMN()),"")</f>
        <v>1</v>
      </c>
      <c r="Q419">
        <f>IFERROR(INDEX(装备库!$A$2:$Y$1047,MATCH(ROW()-1,装备库!$AO$2:$AO$1046,0),COLUMN()),"")</f>
        <v>0</v>
      </c>
      <c r="R419">
        <f>IFERROR(INDEX(装备库!$A$2:$Y$1047,MATCH(ROW()-1,装备库!$AO$2:$AO$1046,0),COLUMN()),"")</f>
        <v>0</v>
      </c>
      <c r="S419">
        <f>IFERROR(INDEX(装备库!$A$2:$Y$1047,MATCH(ROW()-1,装备库!$AO$2:$AO$1046,0),COLUMN()),"")</f>
        <v>0</v>
      </c>
      <c r="T419">
        <f>IFERROR(INDEX(装备库!$A$2:$Y$1047,MATCH(ROW()-1,装备库!$AO$2:$AO$1046,0),COLUMN()),"")</f>
        <v>0</v>
      </c>
      <c r="U419">
        <f>IFERROR(INDEX(装备库!$A$2:$Y$1047,MATCH(ROW()-1,装备库!$AO$2:$AO$1046,0),COLUMN()),"")</f>
        <v>0</v>
      </c>
      <c r="V419">
        <f>IFERROR(INDEX(装备库!$A$2:$Y$1047,MATCH(ROW()-1,装备库!$AO$2:$AO$1046,0),COLUMN()),"")</f>
        <v>0</v>
      </c>
      <c r="W419" t="str">
        <f>IFERROR(INDEX(装备库!$A$2:$Y$1047,MATCH(ROW()-1,装备库!$AO$2:$AO$1046,0),COLUMN()),"")</f>
        <v>招破</v>
      </c>
      <c r="X419">
        <f>IFERROR(INDEX(装备库!$A$2:$Y$1047,MATCH(ROW()-1,装备库!$AO$2:$AO$1046,0),COLUMN()),"")</f>
        <v>6</v>
      </c>
      <c r="Y419" t="str">
        <f>IFERROR(INDEX(装备库!$A$2:$Y$1047,MATCH(ROW()-1,装备库!$AO$2:$AO$1046,0),COLUMN()),"")</f>
        <v>声望</v>
      </c>
    </row>
    <row r="420" spans="1:25" x14ac:dyDescent="0.35">
      <c r="A420" t="str">
        <f>IFERROR(INDEX(装备库!$A$2:$Y$1047,MATCH(ROW()-1,装备库!$AO$2:$AO$1046,0),COLUMN()),"")</f>
        <v>鞋子</v>
      </c>
      <c r="B420" t="str">
        <f>IFERROR(INDEX(装备库!$A$2:$Y$1047,MATCH(ROW()-1,装备库!$AO$2:$AO$1046,0),COLUMN()),"")</f>
        <v>浅梦鞋</v>
      </c>
      <c r="C420">
        <f>IFERROR(INDEX(装备库!$A$2:$Y$1047,MATCH(ROW()-1,装备库!$AO$2:$AO$1046,0),COLUMN()),"")</f>
        <v>8000</v>
      </c>
      <c r="D420" t="str">
        <f>IFERROR(INDEX(装备库!$A$2:$Y$1047,MATCH(ROW()-1,装备库!$AO$2:$AO$1046,0),COLUMN()),"")</f>
        <v>浅梦鞋(8000会无)</v>
      </c>
      <c r="E420">
        <f>IFERROR(INDEX(装备库!$A$2:$Y$1047,MATCH(ROW()-1,装备库!$AO$2:$AO$1046,0),COLUMN()),"")</f>
        <v>391</v>
      </c>
      <c r="F420">
        <f>IFERROR(INDEX(装备库!$A$2:$Y$1047,MATCH(ROW()-1,装备库!$AO$2:$AO$1046,0),COLUMN()),"")</f>
        <v>634</v>
      </c>
      <c r="G420">
        <f>IFERROR(INDEX(装备库!$A$2:$Y$1047,MATCH(ROW()-1,装备库!$AO$2:$AO$1046,0),COLUMN()),"")</f>
        <v>1962</v>
      </c>
      <c r="H420">
        <f>IFERROR(INDEX(装备库!$A$2:$Y$1047,MATCH(ROW()-1,装备库!$AO$2:$AO$1046,0),COLUMN()),"")</f>
        <v>0</v>
      </c>
      <c r="I420">
        <f>IFERROR(INDEX(装备库!$A$2:$Y$1047,MATCH(ROW()-1,装备库!$AO$2:$AO$1046,0),COLUMN()),"")</f>
        <v>0</v>
      </c>
      <c r="J420">
        <f>IFERROR(INDEX(装备库!$A$2:$Y$1047,MATCH(ROW()-1,装备库!$AO$2:$AO$1046,0),COLUMN()),"")</f>
        <v>0</v>
      </c>
      <c r="K420">
        <f>IFERROR(INDEX(装备库!$A$2:$Y$1047,MATCH(ROW()-1,装备库!$AO$2:$AO$1046,0),COLUMN()),"")</f>
        <v>1744</v>
      </c>
      <c r="L420">
        <f>IFERROR(INDEX(装备库!$A$2:$Y$1047,MATCH(ROW()-1,装备库!$AO$2:$AO$1046,0),COLUMN()),"")</f>
        <v>0</v>
      </c>
      <c r="M420">
        <f>IFERROR(INDEX(装备库!$A$2:$Y$1047,MATCH(ROW()-1,装备库!$AO$2:$AO$1046,0),COLUMN()),"")</f>
        <v>0</v>
      </c>
      <c r="N420">
        <f>IFERROR(INDEX(装备库!$A$2:$Y$1047,MATCH(ROW()-1,装备库!$AO$2:$AO$1046,0),COLUMN()),"")</f>
        <v>0</v>
      </c>
      <c r="O420">
        <f>IFERROR(INDEX(装备库!$A$2:$Y$1047,MATCH(ROW()-1,装备库!$AO$2:$AO$1046,0),COLUMN()),"")</f>
        <v>1</v>
      </c>
      <c r="P420">
        <f>IFERROR(INDEX(装备库!$A$2:$Y$1047,MATCH(ROW()-1,装备库!$AO$2:$AO$1046,0),COLUMN()),"")</f>
        <v>0</v>
      </c>
      <c r="Q420">
        <f>IFERROR(INDEX(装备库!$A$2:$Y$1047,MATCH(ROW()-1,装备库!$AO$2:$AO$1046,0),COLUMN()),"")</f>
        <v>0</v>
      </c>
      <c r="R420">
        <f>IFERROR(INDEX(装备库!$A$2:$Y$1047,MATCH(ROW()-1,装备库!$AO$2:$AO$1046,0),COLUMN()),"")</f>
        <v>0</v>
      </c>
      <c r="S420">
        <f>IFERROR(INDEX(装备库!$A$2:$Y$1047,MATCH(ROW()-1,装备库!$AO$2:$AO$1046,0),COLUMN()),"")</f>
        <v>0</v>
      </c>
      <c r="T420">
        <f>IFERROR(INDEX(装备库!$A$2:$Y$1047,MATCH(ROW()-1,装备库!$AO$2:$AO$1046,0),COLUMN()),"")</f>
        <v>0</v>
      </c>
      <c r="U420">
        <f>IFERROR(INDEX(装备库!$A$2:$Y$1047,MATCH(ROW()-1,装备库!$AO$2:$AO$1046,0),COLUMN()),"")</f>
        <v>1</v>
      </c>
      <c r="V420">
        <f>IFERROR(INDEX(装备库!$A$2:$Y$1047,MATCH(ROW()-1,装备库!$AO$2:$AO$1046,0),COLUMN()),"")</f>
        <v>0</v>
      </c>
      <c r="W420" t="str">
        <f>IFERROR(INDEX(装备库!$A$2:$Y$1047,MATCH(ROW()-1,装备库!$AO$2:$AO$1046,0),COLUMN()),"")</f>
        <v>会无</v>
      </c>
      <c r="X420">
        <f>IFERROR(INDEX(装备库!$A$2:$Y$1047,MATCH(ROW()-1,装备库!$AO$2:$AO$1046,0),COLUMN()),"")</f>
        <v>6</v>
      </c>
      <c r="Y420" t="str">
        <f>IFERROR(INDEX(装备库!$A$2:$Y$1047,MATCH(ROW()-1,装备库!$AO$2:$AO$1046,0),COLUMN()),"")</f>
        <v>副本</v>
      </c>
    </row>
    <row r="421" spans="1:25" x14ac:dyDescent="0.35">
      <c r="A421" t="str">
        <f>IFERROR(INDEX(装备库!$A$2:$Y$1047,MATCH(ROW()-1,装备库!$AO$2:$AO$1046,0),COLUMN()),"")</f>
        <v>鞋子</v>
      </c>
      <c r="B421" t="str">
        <f>IFERROR(INDEX(装备库!$A$2:$Y$1047,MATCH(ROW()-1,装备库!$AO$2:$AO$1046,0),COLUMN()),"")</f>
        <v>崇月鞋</v>
      </c>
      <c r="C421">
        <f>IFERROR(INDEX(装备库!$A$2:$Y$1047,MATCH(ROW()-1,装备库!$AO$2:$AO$1046,0),COLUMN()),"")</f>
        <v>8100</v>
      </c>
      <c r="D421" t="str">
        <f>IFERROR(INDEX(装备库!$A$2:$Y$1047,MATCH(ROW()-1,装备库!$AO$2:$AO$1046,0),COLUMN()),"")</f>
        <v>崇月鞋(8100力道纯破)</v>
      </c>
      <c r="E421">
        <f>IFERROR(INDEX(装备库!$A$2:$Y$1047,MATCH(ROW()-1,装备库!$AO$2:$AO$1046,0),COLUMN()),"")</f>
        <v>495</v>
      </c>
      <c r="F421">
        <f>IFERROR(INDEX(装备库!$A$2:$Y$1047,MATCH(ROW()-1,装备库!$AO$2:$AO$1046,0),COLUMN()),"")</f>
        <v>988</v>
      </c>
      <c r="G421">
        <f>IFERROR(INDEX(装备库!$A$2:$Y$1047,MATCH(ROW()-1,装备库!$AO$2:$AO$1046,0),COLUMN()),"")</f>
        <v>0</v>
      </c>
      <c r="H421">
        <f>IFERROR(INDEX(装备库!$A$2:$Y$1047,MATCH(ROW()-1,装备库!$AO$2:$AO$1046,0),COLUMN()),"")</f>
        <v>0</v>
      </c>
      <c r="I421">
        <f>IFERROR(INDEX(装备库!$A$2:$Y$1047,MATCH(ROW()-1,装备库!$AO$2:$AO$1046,0),COLUMN()),"")</f>
        <v>2538</v>
      </c>
      <c r="J421">
        <f>IFERROR(INDEX(装备库!$A$2:$Y$1047,MATCH(ROW()-1,装备库!$AO$2:$AO$1046,0),COLUMN()),"")</f>
        <v>0</v>
      </c>
      <c r="K421">
        <f>IFERROR(INDEX(装备库!$A$2:$Y$1047,MATCH(ROW()-1,装备库!$AO$2:$AO$1046,0),COLUMN()),"")</f>
        <v>0</v>
      </c>
      <c r="L421">
        <f>IFERROR(INDEX(装备库!$A$2:$Y$1047,MATCH(ROW()-1,装备库!$AO$2:$AO$1046,0),COLUMN()),"")</f>
        <v>0</v>
      </c>
      <c r="M421">
        <f>IFERROR(INDEX(装备库!$A$2:$Y$1047,MATCH(ROW()-1,装备库!$AO$2:$AO$1046,0),COLUMN()),"")</f>
        <v>0</v>
      </c>
      <c r="N421">
        <f>IFERROR(INDEX(装备库!$A$2:$Y$1047,MATCH(ROW()-1,装备库!$AO$2:$AO$1046,0),COLUMN()),"")</f>
        <v>0</v>
      </c>
      <c r="O421">
        <f>IFERROR(INDEX(装备库!$A$2:$Y$1047,MATCH(ROW()-1,装备库!$AO$2:$AO$1046,0),COLUMN()),"")</f>
        <v>0</v>
      </c>
      <c r="P421">
        <f>IFERROR(INDEX(装备库!$A$2:$Y$1047,MATCH(ROW()-1,装备库!$AO$2:$AO$1046,0),COLUMN()),"")</f>
        <v>0</v>
      </c>
      <c r="Q421">
        <f>IFERROR(INDEX(装备库!$A$2:$Y$1047,MATCH(ROW()-1,装备库!$AO$2:$AO$1046,0),COLUMN()),"")</f>
        <v>0</v>
      </c>
      <c r="R421">
        <f>IFERROR(INDEX(装备库!$A$2:$Y$1047,MATCH(ROW()-1,装备库!$AO$2:$AO$1046,0),COLUMN()),"")</f>
        <v>0</v>
      </c>
      <c r="S421">
        <f>IFERROR(INDEX(装备库!$A$2:$Y$1047,MATCH(ROW()-1,装备库!$AO$2:$AO$1046,0),COLUMN()),"")</f>
        <v>0</v>
      </c>
      <c r="T421">
        <f>IFERROR(INDEX(装备库!$A$2:$Y$1047,MATCH(ROW()-1,装备库!$AO$2:$AO$1046,0),COLUMN()),"")</f>
        <v>0</v>
      </c>
      <c r="U421">
        <f>IFERROR(INDEX(装备库!$A$2:$Y$1047,MATCH(ROW()-1,装备库!$AO$2:$AO$1046,0),COLUMN()),"")</f>
        <v>0</v>
      </c>
      <c r="V421">
        <f>IFERROR(INDEX(装备库!$A$2:$Y$1047,MATCH(ROW()-1,装备库!$AO$2:$AO$1046,0),COLUMN()),"")</f>
        <v>0</v>
      </c>
      <c r="W421" t="str">
        <f>IFERROR(INDEX(装备库!$A$2:$Y$1047,MATCH(ROW()-1,装备库!$AO$2:$AO$1046,0),COLUMN()),"")</f>
        <v>力道纯破</v>
      </c>
      <c r="X421">
        <f>IFERROR(INDEX(装备库!$A$2:$Y$1047,MATCH(ROW()-1,装备库!$AO$2:$AO$1046,0),COLUMN()),"")</f>
        <v>6</v>
      </c>
      <c r="Y421" t="str">
        <f>IFERROR(INDEX(装备库!$A$2:$Y$1047,MATCH(ROW()-1,装备库!$AO$2:$AO$1046,0),COLUMN()),"")</f>
        <v>任务</v>
      </c>
    </row>
    <row r="422" spans="1:25" x14ac:dyDescent="0.35">
      <c r="A422" t="str">
        <f>IFERROR(INDEX(装备库!$A$2:$Y$1047,MATCH(ROW()-1,装备库!$AO$2:$AO$1046,0),COLUMN()),"")</f>
        <v>鞋子</v>
      </c>
      <c r="B422" t="str">
        <f>IFERROR(INDEX(装备库!$A$2:$Y$1047,MATCH(ROW()-1,装备库!$AO$2:$AO$1046,0),COLUMN()),"")</f>
        <v>画楼鞋</v>
      </c>
      <c r="C422">
        <f>IFERROR(INDEX(装备库!$A$2:$Y$1047,MATCH(ROW()-1,装备库!$AO$2:$AO$1046,0),COLUMN()),"")</f>
        <v>8100</v>
      </c>
      <c r="D422" t="str">
        <f>IFERROR(INDEX(装备库!$A$2:$Y$1047,MATCH(ROW()-1,装备库!$AO$2:$AO$1046,0),COLUMN()),"")</f>
        <v>画楼鞋(8100会无)</v>
      </c>
      <c r="E422">
        <f>IFERROR(INDEX(装备库!$A$2:$Y$1047,MATCH(ROW()-1,装备库!$AO$2:$AO$1046,0),COLUMN()),"")</f>
        <v>396</v>
      </c>
      <c r="F422">
        <f>IFERROR(INDEX(装备库!$A$2:$Y$1047,MATCH(ROW()-1,装备库!$AO$2:$AO$1046,0),COLUMN()),"")</f>
        <v>642</v>
      </c>
      <c r="G422">
        <f>IFERROR(INDEX(装备库!$A$2:$Y$1047,MATCH(ROW()-1,装备库!$AO$2:$AO$1046,0),COLUMN()),"")</f>
        <v>1987</v>
      </c>
      <c r="H422">
        <f>IFERROR(INDEX(装备库!$A$2:$Y$1047,MATCH(ROW()-1,装备库!$AO$2:$AO$1046,0),COLUMN()),"")</f>
        <v>0</v>
      </c>
      <c r="I422">
        <f>IFERROR(INDEX(装备库!$A$2:$Y$1047,MATCH(ROW()-1,装备库!$AO$2:$AO$1046,0),COLUMN()),"")</f>
        <v>0</v>
      </c>
      <c r="J422">
        <f>IFERROR(INDEX(装备库!$A$2:$Y$1047,MATCH(ROW()-1,装备库!$AO$2:$AO$1046,0),COLUMN()),"")</f>
        <v>0</v>
      </c>
      <c r="K422">
        <f>IFERROR(INDEX(装备库!$A$2:$Y$1047,MATCH(ROW()-1,装备库!$AO$2:$AO$1046,0),COLUMN()),"")</f>
        <v>1766</v>
      </c>
      <c r="L422">
        <f>IFERROR(INDEX(装备库!$A$2:$Y$1047,MATCH(ROW()-1,装备库!$AO$2:$AO$1046,0),COLUMN()),"")</f>
        <v>0</v>
      </c>
      <c r="M422">
        <f>IFERROR(INDEX(装备库!$A$2:$Y$1047,MATCH(ROW()-1,装备库!$AO$2:$AO$1046,0),COLUMN()),"")</f>
        <v>0</v>
      </c>
      <c r="N422">
        <f>IFERROR(INDEX(装备库!$A$2:$Y$1047,MATCH(ROW()-1,装备库!$AO$2:$AO$1046,0),COLUMN()),"")</f>
        <v>0</v>
      </c>
      <c r="O422">
        <f>IFERROR(INDEX(装备库!$A$2:$Y$1047,MATCH(ROW()-1,装备库!$AO$2:$AO$1046,0),COLUMN()),"")</f>
        <v>1</v>
      </c>
      <c r="P422">
        <f>IFERROR(INDEX(装备库!$A$2:$Y$1047,MATCH(ROW()-1,装备库!$AO$2:$AO$1046,0),COLUMN()),"")</f>
        <v>0</v>
      </c>
      <c r="Q422">
        <f>IFERROR(INDEX(装备库!$A$2:$Y$1047,MATCH(ROW()-1,装备库!$AO$2:$AO$1046,0),COLUMN()),"")</f>
        <v>0</v>
      </c>
      <c r="R422">
        <f>IFERROR(INDEX(装备库!$A$2:$Y$1047,MATCH(ROW()-1,装备库!$AO$2:$AO$1046,0),COLUMN()),"")</f>
        <v>0</v>
      </c>
      <c r="S422">
        <f>IFERROR(INDEX(装备库!$A$2:$Y$1047,MATCH(ROW()-1,装备库!$AO$2:$AO$1046,0),COLUMN()),"")</f>
        <v>0</v>
      </c>
      <c r="T422">
        <f>IFERROR(INDEX(装备库!$A$2:$Y$1047,MATCH(ROW()-1,装备库!$AO$2:$AO$1046,0),COLUMN()),"")</f>
        <v>0</v>
      </c>
      <c r="U422">
        <f>IFERROR(INDEX(装备库!$A$2:$Y$1047,MATCH(ROW()-1,装备库!$AO$2:$AO$1046,0),COLUMN()),"")</f>
        <v>1</v>
      </c>
      <c r="V422">
        <f>IFERROR(INDEX(装备库!$A$2:$Y$1047,MATCH(ROW()-1,装备库!$AO$2:$AO$1046,0),COLUMN()),"")</f>
        <v>0</v>
      </c>
      <c r="W422" t="str">
        <f>IFERROR(INDEX(装备库!$A$2:$Y$1047,MATCH(ROW()-1,装备库!$AO$2:$AO$1046,0),COLUMN()),"")</f>
        <v>会无</v>
      </c>
      <c r="X422">
        <f>IFERROR(INDEX(装备库!$A$2:$Y$1047,MATCH(ROW()-1,装备库!$AO$2:$AO$1046,0),COLUMN()),"")</f>
        <v>6</v>
      </c>
      <c r="Y422" t="str">
        <f>IFERROR(INDEX(装备库!$A$2:$Y$1047,MATCH(ROW()-1,装备库!$AO$2:$AO$1046,0),COLUMN()),"")</f>
        <v>任务</v>
      </c>
    </row>
    <row r="423" spans="1:25" x14ac:dyDescent="0.35">
      <c r="A423" t="str">
        <f>IFERROR(INDEX(装备库!$A$2:$Y$1047,MATCH(ROW()-1,装备库!$AO$2:$AO$1046,0),COLUMN()),"")</f>
        <v>鞋子</v>
      </c>
      <c r="B423" t="str">
        <f>IFERROR(INDEX(装备库!$A$2:$Y$1047,MATCH(ROW()-1,装备库!$AO$2:$AO$1046,0),COLUMN()),"")</f>
        <v>临晨鞋</v>
      </c>
      <c r="C423">
        <f>IFERROR(INDEX(装备库!$A$2:$Y$1047,MATCH(ROW()-1,装备库!$AO$2:$AO$1046,0),COLUMN()),"")</f>
        <v>8150</v>
      </c>
      <c r="D423" t="str">
        <f>IFERROR(INDEX(装备库!$A$2:$Y$1047,MATCH(ROW()-1,装备库!$AO$2:$AO$1046,0),COLUMN()),"")</f>
        <v>临晨鞋(8150会招)</v>
      </c>
      <c r="E423">
        <f>IFERROR(INDEX(装备库!$A$2:$Y$1047,MATCH(ROW()-1,装备库!$AO$2:$AO$1046,0),COLUMN()),"")</f>
        <v>398</v>
      </c>
      <c r="F423">
        <f>IFERROR(INDEX(装备库!$A$2:$Y$1047,MATCH(ROW()-1,装备库!$AO$2:$AO$1046,0),COLUMN()),"")</f>
        <v>646</v>
      </c>
      <c r="G423">
        <f>IFERROR(INDEX(装备库!$A$2:$Y$1047,MATCH(ROW()-1,装备库!$AO$2:$AO$1046,0),COLUMN()),"")</f>
        <v>1999</v>
      </c>
      <c r="H423">
        <f>IFERROR(INDEX(装备库!$A$2:$Y$1047,MATCH(ROW()-1,装备库!$AO$2:$AO$1046,0),COLUMN()),"")</f>
        <v>0</v>
      </c>
      <c r="I423">
        <f>IFERROR(INDEX(装备库!$A$2:$Y$1047,MATCH(ROW()-1,装备库!$AO$2:$AO$1046,0),COLUMN()),"")</f>
        <v>0</v>
      </c>
      <c r="J423">
        <f>IFERROR(INDEX(装备库!$A$2:$Y$1047,MATCH(ROW()-1,装备库!$AO$2:$AO$1046,0),COLUMN()),"")</f>
        <v>1777</v>
      </c>
      <c r="K423">
        <f>IFERROR(INDEX(装备库!$A$2:$Y$1047,MATCH(ROW()-1,装备库!$AO$2:$AO$1046,0),COLUMN()),"")</f>
        <v>0</v>
      </c>
      <c r="L423">
        <f>IFERROR(INDEX(装备库!$A$2:$Y$1047,MATCH(ROW()-1,装备库!$AO$2:$AO$1046,0),COLUMN()),"")</f>
        <v>0</v>
      </c>
      <c r="M423">
        <f>IFERROR(INDEX(装备库!$A$2:$Y$1047,MATCH(ROW()-1,装备库!$AO$2:$AO$1046,0),COLUMN()),"")</f>
        <v>0</v>
      </c>
      <c r="N423">
        <f>IFERROR(INDEX(装备库!$A$2:$Y$1047,MATCH(ROW()-1,装备库!$AO$2:$AO$1046,0),COLUMN()),"")</f>
        <v>0</v>
      </c>
      <c r="O423">
        <f>IFERROR(INDEX(装备库!$A$2:$Y$1047,MATCH(ROW()-1,装备库!$AO$2:$AO$1046,0),COLUMN()),"")</f>
        <v>0</v>
      </c>
      <c r="P423">
        <f>IFERROR(INDEX(装备库!$A$2:$Y$1047,MATCH(ROW()-1,装备库!$AO$2:$AO$1046,0),COLUMN()),"")</f>
        <v>0</v>
      </c>
      <c r="Q423">
        <f>IFERROR(INDEX(装备库!$A$2:$Y$1047,MATCH(ROW()-1,装备库!$AO$2:$AO$1046,0),COLUMN()),"")</f>
        <v>1</v>
      </c>
      <c r="R423">
        <f>IFERROR(INDEX(装备库!$A$2:$Y$1047,MATCH(ROW()-1,装备库!$AO$2:$AO$1046,0),COLUMN()),"")</f>
        <v>0</v>
      </c>
      <c r="S423">
        <f>IFERROR(INDEX(装备库!$A$2:$Y$1047,MATCH(ROW()-1,装备库!$AO$2:$AO$1046,0),COLUMN()),"")</f>
        <v>0</v>
      </c>
      <c r="T423">
        <f>IFERROR(INDEX(装备库!$A$2:$Y$1047,MATCH(ROW()-1,装备库!$AO$2:$AO$1046,0),COLUMN()),"")</f>
        <v>1</v>
      </c>
      <c r="U423">
        <f>IFERROR(INDEX(装备库!$A$2:$Y$1047,MATCH(ROW()-1,装备库!$AO$2:$AO$1046,0),COLUMN()),"")</f>
        <v>0</v>
      </c>
      <c r="V423">
        <f>IFERROR(INDEX(装备库!$A$2:$Y$1047,MATCH(ROW()-1,装备库!$AO$2:$AO$1046,0),COLUMN()),"")</f>
        <v>0</v>
      </c>
      <c r="W423" t="str">
        <f>IFERROR(INDEX(装备库!$A$2:$Y$1047,MATCH(ROW()-1,装备库!$AO$2:$AO$1046,0),COLUMN()),"")</f>
        <v>会招</v>
      </c>
      <c r="X423">
        <f>IFERROR(INDEX(装备库!$A$2:$Y$1047,MATCH(ROW()-1,装备库!$AO$2:$AO$1046,0),COLUMN()),"")</f>
        <v>6</v>
      </c>
      <c r="Y423" t="str">
        <f>IFERROR(INDEX(装备库!$A$2:$Y$1047,MATCH(ROW()-1,装备库!$AO$2:$AO$1046,0),COLUMN()),"")</f>
        <v>声望</v>
      </c>
    </row>
    <row r="424" spans="1:25" x14ac:dyDescent="0.35">
      <c r="A424" t="str">
        <f>IFERROR(INDEX(装备库!$A$2:$Y$1047,MATCH(ROW()-1,装备库!$AO$2:$AO$1046,0),COLUMN()),"")</f>
        <v>鞋子</v>
      </c>
      <c r="B424" t="str">
        <f>IFERROR(INDEX(装备库!$A$2:$Y$1047,MATCH(ROW()-1,装备库!$AO$2:$AO$1046,0),COLUMN()),"")</f>
        <v>少雪靴</v>
      </c>
      <c r="C424">
        <f>IFERROR(INDEX(装备库!$A$2:$Y$1047,MATCH(ROW()-1,装备库!$AO$2:$AO$1046,0),COLUMN()),"")</f>
        <v>8600</v>
      </c>
      <c r="D424" t="str">
        <f>IFERROR(INDEX(装备库!$A$2:$Y$1047,MATCH(ROW()-1,装备库!$AO$2:$AO$1046,0),COLUMN()),"")</f>
        <v>少雪靴(8600力道纯破)</v>
      </c>
      <c r="E424">
        <f>IFERROR(INDEX(装备库!$A$2:$Y$1047,MATCH(ROW()-1,装备库!$AO$2:$AO$1046,0),COLUMN()),"")</f>
        <v>525</v>
      </c>
      <c r="F424">
        <f>IFERROR(INDEX(装备库!$A$2:$Y$1047,MATCH(ROW()-1,装备库!$AO$2:$AO$1046,0),COLUMN()),"")</f>
        <v>1049</v>
      </c>
      <c r="G424">
        <f>IFERROR(INDEX(装备库!$A$2:$Y$1047,MATCH(ROW()-1,装备库!$AO$2:$AO$1046,0),COLUMN()),"")</f>
        <v>0</v>
      </c>
      <c r="H424">
        <f>IFERROR(INDEX(装备库!$A$2:$Y$1047,MATCH(ROW()-1,装备库!$AO$2:$AO$1046,0),COLUMN()),"")</f>
        <v>0</v>
      </c>
      <c r="I424">
        <f>IFERROR(INDEX(装备库!$A$2:$Y$1047,MATCH(ROW()-1,装备库!$AO$2:$AO$1046,0),COLUMN()),"")</f>
        <v>2695</v>
      </c>
      <c r="J424">
        <f>IFERROR(INDEX(装备库!$A$2:$Y$1047,MATCH(ROW()-1,装备库!$AO$2:$AO$1046,0),COLUMN()),"")</f>
        <v>0</v>
      </c>
      <c r="K424">
        <f>IFERROR(INDEX(装备库!$A$2:$Y$1047,MATCH(ROW()-1,装备库!$AO$2:$AO$1046,0),COLUMN()),"")</f>
        <v>0</v>
      </c>
      <c r="L424">
        <f>IFERROR(INDEX(装备库!$A$2:$Y$1047,MATCH(ROW()-1,装备库!$AO$2:$AO$1046,0),COLUMN()),"")</f>
        <v>0</v>
      </c>
      <c r="M424">
        <f>IFERROR(INDEX(装备库!$A$2:$Y$1047,MATCH(ROW()-1,装备库!$AO$2:$AO$1046,0),COLUMN()),"")</f>
        <v>0</v>
      </c>
      <c r="N424">
        <f>IFERROR(INDEX(装备库!$A$2:$Y$1047,MATCH(ROW()-1,装备库!$AO$2:$AO$1046,0),COLUMN()),"")</f>
        <v>0</v>
      </c>
      <c r="O424">
        <f>IFERROR(INDEX(装备库!$A$2:$Y$1047,MATCH(ROW()-1,装备库!$AO$2:$AO$1046,0),COLUMN()),"")</f>
        <v>0</v>
      </c>
      <c r="P424">
        <f>IFERROR(INDEX(装备库!$A$2:$Y$1047,MATCH(ROW()-1,装备库!$AO$2:$AO$1046,0),COLUMN()),"")</f>
        <v>1</v>
      </c>
      <c r="Q424">
        <f>IFERROR(INDEX(装备库!$A$2:$Y$1047,MATCH(ROW()-1,装备库!$AO$2:$AO$1046,0),COLUMN()),"")</f>
        <v>1</v>
      </c>
      <c r="R424">
        <f>IFERROR(INDEX(装备库!$A$2:$Y$1047,MATCH(ROW()-1,装备库!$AO$2:$AO$1046,0),COLUMN()),"")</f>
        <v>0</v>
      </c>
      <c r="S424">
        <f>IFERROR(INDEX(装备库!$A$2:$Y$1047,MATCH(ROW()-1,装备库!$AO$2:$AO$1046,0),COLUMN()),"")</f>
        <v>0</v>
      </c>
      <c r="T424">
        <f>IFERROR(INDEX(装备库!$A$2:$Y$1047,MATCH(ROW()-1,装备库!$AO$2:$AO$1046,0),COLUMN()),"")</f>
        <v>0</v>
      </c>
      <c r="U424">
        <f>IFERROR(INDEX(装备库!$A$2:$Y$1047,MATCH(ROW()-1,装备库!$AO$2:$AO$1046,0),COLUMN()),"")</f>
        <v>0</v>
      </c>
      <c r="V424">
        <f>IFERROR(INDEX(装备库!$A$2:$Y$1047,MATCH(ROW()-1,装备库!$AO$2:$AO$1046,0),COLUMN()),"")</f>
        <v>0</v>
      </c>
      <c r="W424" t="str">
        <f>IFERROR(INDEX(装备库!$A$2:$Y$1047,MATCH(ROW()-1,装备库!$AO$2:$AO$1046,0),COLUMN()),"")</f>
        <v>力道纯破</v>
      </c>
      <c r="X424">
        <f>IFERROR(INDEX(装备库!$A$2:$Y$1047,MATCH(ROW()-1,装备库!$AO$2:$AO$1046,0),COLUMN()),"")</f>
        <v>6</v>
      </c>
      <c r="Y424" t="str">
        <f>IFERROR(INDEX(装备库!$A$2:$Y$1047,MATCH(ROW()-1,装备库!$AO$2:$AO$1046,0),COLUMN()),"")</f>
        <v>精英怪</v>
      </c>
    </row>
    <row r="425" spans="1:25" x14ac:dyDescent="0.35">
      <c r="A425" t="str">
        <f>IFERROR(INDEX(装备库!$A$2:$Y$1047,MATCH(ROW()-1,装备库!$AO$2:$AO$1046,0),COLUMN()),"")</f>
        <v>鞋子</v>
      </c>
      <c r="B425" t="str">
        <f>IFERROR(INDEX(装备库!$A$2:$Y$1047,MATCH(ROW()-1,装备库!$AO$2:$AO$1046,0),COLUMN()),"")</f>
        <v>临晨鞋</v>
      </c>
      <c r="C425">
        <f>IFERROR(INDEX(装备库!$A$2:$Y$1047,MATCH(ROW()-1,装备库!$AO$2:$AO$1046,0),COLUMN()),"")</f>
        <v>8800</v>
      </c>
      <c r="D425" t="str">
        <f>IFERROR(INDEX(装备库!$A$2:$Y$1047,MATCH(ROW()-1,装备库!$AO$2:$AO$1046,0),COLUMN()),"")</f>
        <v>临晨鞋(8800会招)</v>
      </c>
      <c r="E425">
        <f>IFERROR(INDEX(装备库!$A$2:$Y$1047,MATCH(ROW()-1,装备库!$AO$2:$AO$1046,0),COLUMN()),"")</f>
        <v>430</v>
      </c>
      <c r="F425">
        <f>IFERROR(INDEX(装备库!$A$2:$Y$1047,MATCH(ROW()-1,装备库!$AO$2:$AO$1046,0),COLUMN()),"")</f>
        <v>698</v>
      </c>
      <c r="G425">
        <f>IFERROR(INDEX(装备库!$A$2:$Y$1047,MATCH(ROW()-1,装备库!$AO$2:$AO$1046,0),COLUMN()),"")</f>
        <v>2158</v>
      </c>
      <c r="H425">
        <f>IFERROR(INDEX(装备库!$A$2:$Y$1047,MATCH(ROW()-1,装备库!$AO$2:$AO$1046,0),COLUMN()),"")</f>
        <v>0</v>
      </c>
      <c r="I425">
        <f>IFERROR(INDEX(装备库!$A$2:$Y$1047,MATCH(ROW()-1,装备库!$AO$2:$AO$1046,0),COLUMN()),"")</f>
        <v>0</v>
      </c>
      <c r="J425">
        <f>IFERROR(INDEX(装备库!$A$2:$Y$1047,MATCH(ROW()-1,装备库!$AO$2:$AO$1046,0),COLUMN()),"")</f>
        <v>1918</v>
      </c>
      <c r="K425">
        <f>IFERROR(INDEX(装备库!$A$2:$Y$1047,MATCH(ROW()-1,装备库!$AO$2:$AO$1046,0),COLUMN()),"")</f>
        <v>0</v>
      </c>
      <c r="L425">
        <f>IFERROR(INDEX(装备库!$A$2:$Y$1047,MATCH(ROW()-1,装备库!$AO$2:$AO$1046,0),COLUMN()),"")</f>
        <v>0</v>
      </c>
      <c r="M425">
        <f>IFERROR(INDEX(装备库!$A$2:$Y$1047,MATCH(ROW()-1,装备库!$AO$2:$AO$1046,0),COLUMN()),"")</f>
        <v>0</v>
      </c>
      <c r="N425">
        <f>IFERROR(INDEX(装备库!$A$2:$Y$1047,MATCH(ROW()-1,装备库!$AO$2:$AO$1046,0),COLUMN()),"")</f>
        <v>0</v>
      </c>
      <c r="O425">
        <f>IFERROR(INDEX(装备库!$A$2:$Y$1047,MATCH(ROW()-1,装备库!$AO$2:$AO$1046,0),COLUMN()),"")</f>
        <v>0</v>
      </c>
      <c r="P425">
        <f>IFERROR(INDEX(装备库!$A$2:$Y$1047,MATCH(ROW()-1,装备库!$AO$2:$AO$1046,0),COLUMN()),"")</f>
        <v>0</v>
      </c>
      <c r="Q425">
        <f>IFERROR(INDEX(装备库!$A$2:$Y$1047,MATCH(ROW()-1,装备库!$AO$2:$AO$1046,0),COLUMN()),"")</f>
        <v>1</v>
      </c>
      <c r="R425">
        <f>IFERROR(INDEX(装备库!$A$2:$Y$1047,MATCH(ROW()-1,装备库!$AO$2:$AO$1046,0),COLUMN()),"")</f>
        <v>0</v>
      </c>
      <c r="S425">
        <f>IFERROR(INDEX(装备库!$A$2:$Y$1047,MATCH(ROW()-1,装备库!$AO$2:$AO$1046,0),COLUMN()),"")</f>
        <v>0</v>
      </c>
      <c r="T425">
        <f>IFERROR(INDEX(装备库!$A$2:$Y$1047,MATCH(ROW()-1,装备库!$AO$2:$AO$1046,0),COLUMN()),"")</f>
        <v>1</v>
      </c>
      <c r="U425">
        <f>IFERROR(INDEX(装备库!$A$2:$Y$1047,MATCH(ROW()-1,装备库!$AO$2:$AO$1046,0),COLUMN()),"")</f>
        <v>0</v>
      </c>
      <c r="V425">
        <f>IFERROR(INDEX(装备库!$A$2:$Y$1047,MATCH(ROW()-1,装备库!$AO$2:$AO$1046,0),COLUMN()),"")</f>
        <v>0</v>
      </c>
      <c r="W425" t="str">
        <f>IFERROR(INDEX(装备库!$A$2:$Y$1047,MATCH(ROW()-1,装备库!$AO$2:$AO$1046,0),COLUMN()),"")</f>
        <v>会招</v>
      </c>
      <c r="X425">
        <f>IFERROR(INDEX(装备库!$A$2:$Y$1047,MATCH(ROW()-1,装备库!$AO$2:$AO$1046,0),COLUMN()),"")</f>
        <v>6</v>
      </c>
      <c r="Y425" t="str">
        <f>IFERROR(INDEX(装备库!$A$2:$Y$1047,MATCH(ROW()-1,装备库!$AO$2:$AO$1046,0),COLUMN()),"")</f>
        <v>声望</v>
      </c>
    </row>
    <row r="426" spans="1:25" x14ac:dyDescent="0.35">
      <c r="A426" t="str">
        <f>IFERROR(INDEX(装备库!$A$2:$Y$1047,MATCH(ROW()-1,装备库!$AO$2:$AO$1046,0),COLUMN()),"")</f>
        <v>鞋子</v>
      </c>
      <c r="B426" t="str">
        <f>IFERROR(INDEX(装备库!$A$2:$Y$1047,MATCH(ROW()-1,装备库!$AO$2:$AO$1046,0),COLUMN()),"")</f>
        <v>画楼鞋</v>
      </c>
      <c r="C426">
        <f>IFERROR(INDEX(装备库!$A$2:$Y$1047,MATCH(ROW()-1,装备库!$AO$2:$AO$1046,0),COLUMN()),"")</f>
        <v>8800</v>
      </c>
      <c r="D426" t="str">
        <f>IFERROR(INDEX(装备库!$A$2:$Y$1047,MATCH(ROW()-1,装备库!$AO$2:$AO$1046,0),COLUMN()),"")</f>
        <v>画楼鞋(8800会无)</v>
      </c>
      <c r="E426">
        <f>IFERROR(INDEX(装备库!$A$2:$Y$1047,MATCH(ROW()-1,装备库!$AO$2:$AO$1046,0),COLUMN()),"")</f>
        <v>430</v>
      </c>
      <c r="F426">
        <f>IFERROR(INDEX(装备库!$A$2:$Y$1047,MATCH(ROW()-1,装备库!$AO$2:$AO$1046,0),COLUMN()),"")</f>
        <v>698</v>
      </c>
      <c r="G426">
        <f>IFERROR(INDEX(装备库!$A$2:$Y$1047,MATCH(ROW()-1,装备库!$AO$2:$AO$1046,0),COLUMN()),"")</f>
        <v>2158</v>
      </c>
      <c r="H426">
        <f>IFERROR(INDEX(装备库!$A$2:$Y$1047,MATCH(ROW()-1,装备库!$AO$2:$AO$1046,0),COLUMN()),"")</f>
        <v>0</v>
      </c>
      <c r="I426">
        <f>IFERROR(INDEX(装备库!$A$2:$Y$1047,MATCH(ROW()-1,装备库!$AO$2:$AO$1046,0),COLUMN()),"")</f>
        <v>0</v>
      </c>
      <c r="J426">
        <f>IFERROR(INDEX(装备库!$A$2:$Y$1047,MATCH(ROW()-1,装备库!$AO$2:$AO$1046,0),COLUMN()),"")</f>
        <v>0</v>
      </c>
      <c r="K426">
        <f>IFERROR(INDEX(装备库!$A$2:$Y$1047,MATCH(ROW()-1,装备库!$AO$2:$AO$1046,0),COLUMN()),"")</f>
        <v>1918</v>
      </c>
      <c r="L426">
        <f>IFERROR(INDEX(装备库!$A$2:$Y$1047,MATCH(ROW()-1,装备库!$AO$2:$AO$1046,0),COLUMN()),"")</f>
        <v>0</v>
      </c>
      <c r="M426">
        <f>IFERROR(INDEX(装备库!$A$2:$Y$1047,MATCH(ROW()-1,装备库!$AO$2:$AO$1046,0),COLUMN()),"")</f>
        <v>0</v>
      </c>
      <c r="N426">
        <f>IFERROR(INDEX(装备库!$A$2:$Y$1047,MATCH(ROW()-1,装备库!$AO$2:$AO$1046,0),COLUMN()),"")</f>
        <v>0</v>
      </c>
      <c r="O426">
        <f>IFERROR(INDEX(装备库!$A$2:$Y$1047,MATCH(ROW()-1,装备库!$AO$2:$AO$1046,0),COLUMN()),"")</f>
        <v>1</v>
      </c>
      <c r="P426">
        <f>IFERROR(INDEX(装备库!$A$2:$Y$1047,MATCH(ROW()-1,装备库!$AO$2:$AO$1046,0),COLUMN()),"")</f>
        <v>0</v>
      </c>
      <c r="Q426">
        <f>IFERROR(INDEX(装备库!$A$2:$Y$1047,MATCH(ROW()-1,装备库!$AO$2:$AO$1046,0),COLUMN()),"")</f>
        <v>0</v>
      </c>
      <c r="R426">
        <f>IFERROR(INDEX(装备库!$A$2:$Y$1047,MATCH(ROW()-1,装备库!$AO$2:$AO$1046,0),COLUMN()),"")</f>
        <v>0</v>
      </c>
      <c r="S426">
        <f>IFERROR(INDEX(装备库!$A$2:$Y$1047,MATCH(ROW()-1,装备库!$AO$2:$AO$1046,0),COLUMN()),"")</f>
        <v>0</v>
      </c>
      <c r="T426">
        <f>IFERROR(INDEX(装备库!$A$2:$Y$1047,MATCH(ROW()-1,装备库!$AO$2:$AO$1046,0),COLUMN()),"")</f>
        <v>0</v>
      </c>
      <c r="U426">
        <f>IFERROR(INDEX(装备库!$A$2:$Y$1047,MATCH(ROW()-1,装备库!$AO$2:$AO$1046,0),COLUMN()),"")</f>
        <v>1</v>
      </c>
      <c r="V426">
        <f>IFERROR(INDEX(装备库!$A$2:$Y$1047,MATCH(ROW()-1,装备库!$AO$2:$AO$1046,0),COLUMN()),"")</f>
        <v>0</v>
      </c>
      <c r="W426" t="str">
        <f>IFERROR(INDEX(装备库!$A$2:$Y$1047,MATCH(ROW()-1,装备库!$AO$2:$AO$1046,0),COLUMN()),"")</f>
        <v>会无</v>
      </c>
      <c r="X426">
        <f>IFERROR(INDEX(装备库!$A$2:$Y$1047,MATCH(ROW()-1,装备库!$AO$2:$AO$1046,0),COLUMN()),"")</f>
        <v>6</v>
      </c>
      <c r="Y426" t="str">
        <f>IFERROR(INDEX(装备库!$A$2:$Y$1047,MATCH(ROW()-1,装备库!$AO$2:$AO$1046,0),COLUMN()),"")</f>
        <v>任务</v>
      </c>
    </row>
    <row r="427" spans="1:25" x14ac:dyDescent="0.35">
      <c r="A427" t="str">
        <f>IFERROR(INDEX(装备库!$A$2:$Y$1047,MATCH(ROW()-1,装备库!$AO$2:$AO$1046,0),COLUMN()),"")</f>
        <v>鞋子</v>
      </c>
      <c r="B427" t="str">
        <f>IFERROR(INDEX(装备库!$A$2:$Y$1047,MATCH(ROW()-1,装备库!$AO$2:$AO$1046,0),COLUMN()),"")</f>
        <v>分石鞋</v>
      </c>
      <c r="C427">
        <f>IFERROR(INDEX(装备库!$A$2:$Y$1047,MATCH(ROW()-1,装备库!$AO$2:$AO$1046,0),COLUMN()),"")</f>
        <v>9100</v>
      </c>
      <c r="D427" t="str">
        <f>IFERROR(INDEX(装备库!$A$2:$Y$1047,MATCH(ROW()-1,装备库!$AO$2:$AO$1046,0),COLUMN()),"")</f>
        <v>分石鞋(9100招无)</v>
      </c>
      <c r="E427">
        <f>IFERROR(INDEX(装备库!$A$2:$Y$1047,MATCH(ROW()-1,装备库!$AO$2:$AO$1046,0),COLUMN()),"")</f>
        <v>445</v>
      </c>
      <c r="F427">
        <f>IFERROR(INDEX(装备库!$A$2:$Y$1047,MATCH(ROW()-1,装备库!$AO$2:$AO$1046,0),COLUMN()),"")</f>
        <v>722</v>
      </c>
      <c r="G427">
        <f>IFERROR(INDEX(装备库!$A$2:$Y$1047,MATCH(ROW()-1,装备库!$AO$2:$AO$1046,0),COLUMN()),"")</f>
        <v>0</v>
      </c>
      <c r="H427">
        <f>IFERROR(INDEX(装备库!$A$2:$Y$1047,MATCH(ROW()-1,装备库!$AO$2:$AO$1046,0),COLUMN()),"")</f>
        <v>0</v>
      </c>
      <c r="I427">
        <f>IFERROR(INDEX(装备库!$A$2:$Y$1047,MATCH(ROW()-1,装备库!$AO$2:$AO$1046,0),COLUMN()),"")</f>
        <v>0</v>
      </c>
      <c r="J427">
        <f>IFERROR(INDEX(装备库!$A$2:$Y$1047,MATCH(ROW()-1,装备库!$AO$2:$AO$1046,0),COLUMN()),"")</f>
        <v>2232</v>
      </c>
      <c r="K427">
        <f>IFERROR(INDEX(装备库!$A$2:$Y$1047,MATCH(ROW()-1,装备库!$AO$2:$AO$1046,0),COLUMN()),"")</f>
        <v>1984</v>
      </c>
      <c r="L427">
        <f>IFERROR(INDEX(装备库!$A$2:$Y$1047,MATCH(ROW()-1,装备库!$AO$2:$AO$1046,0),COLUMN()),"")</f>
        <v>0</v>
      </c>
      <c r="M427">
        <f>IFERROR(INDEX(装备库!$A$2:$Y$1047,MATCH(ROW()-1,装备库!$AO$2:$AO$1046,0),COLUMN()),"")</f>
        <v>0</v>
      </c>
      <c r="N427">
        <f>IFERROR(INDEX(装备库!$A$2:$Y$1047,MATCH(ROW()-1,装备库!$AO$2:$AO$1046,0),COLUMN()),"")</f>
        <v>0</v>
      </c>
      <c r="O427">
        <f>IFERROR(INDEX(装备库!$A$2:$Y$1047,MATCH(ROW()-1,装备库!$AO$2:$AO$1046,0),COLUMN()),"")</f>
        <v>1</v>
      </c>
      <c r="P427">
        <f>IFERROR(INDEX(装备库!$A$2:$Y$1047,MATCH(ROW()-1,装备库!$AO$2:$AO$1046,0),COLUMN()),"")</f>
        <v>1</v>
      </c>
      <c r="Q427">
        <f>IFERROR(INDEX(装备库!$A$2:$Y$1047,MATCH(ROW()-1,装备库!$AO$2:$AO$1046,0),COLUMN()),"")</f>
        <v>0</v>
      </c>
      <c r="R427">
        <f>IFERROR(INDEX(装备库!$A$2:$Y$1047,MATCH(ROW()-1,装备库!$AO$2:$AO$1046,0),COLUMN()),"")</f>
        <v>0</v>
      </c>
      <c r="S427">
        <f>IFERROR(INDEX(装备库!$A$2:$Y$1047,MATCH(ROW()-1,装备库!$AO$2:$AO$1046,0),COLUMN()),"")</f>
        <v>0</v>
      </c>
      <c r="T427">
        <f>IFERROR(INDEX(装备库!$A$2:$Y$1047,MATCH(ROW()-1,装备库!$AO$2:$AO$1046,0),COLUMN()),"")</f>
        <v>0</v>
      </c>
      <c r="U427">
        <f>IFERROR(INDEX(装备库!$A$2:$Y$1047,MATCH(ROW()-1,装备库!$AO$2:$AO$1046,0),COLUMN()),"")</f>
        <v>0</v>
      </c>
      <c r="V427">
        <f>IFERROR(INDEX(装备库!$A$2:$Y$1047,MATCH(ROW()-1,装备库!$AO$2:$AO$1046,0),COLUMN()),"")</f>
        <v>0</v>
      </c>
      <c r="W427" t="str">
        <f>IFERROR(INDEX(装备库!$A$2:$Y$1047,MATCH(ROW()-1,装备库!$AO$2:$AO$1046,0),COLUMN()),"")</f>
        <v>招无</v>
      </c>
      <c r="X427">
        <f>IFERROR(INDEX(装备库!$A$2:$Y$1047,MATCH(ROW()-1,装备库!$AO$2:$AO$1046,0),COLUMN()),"")</f>
        <v>6</v>
      </c>
      <c r="Y427" t="str">
        <f>IFERROR(INDEX(装备库!$A$2:$Y$1047,MATCH(ROW()-1,装备库!$AO$2:$AO$1046,0),COLUMN()),"")</f>
        <v>副本</v>
      </c>
    </row>
    <row r="428" spans="1:25" x14ac:dyDescent="0.35">
      <c r="A428" t="str">
        <f>IFERROR(INDEX(装备库!$A$2:$Y$1047,MATCH(ROW()-1,装备库!$AO$2:$AO$1046,0),COLUMN()),"")</f>
        <v>鞋子</v>
      </c>
      <c r="B428" t="str">
        <f>IFERROR(INDEX(装备库!$A$2:$Y$1047,MATCH(ROW()-1,装备库!$AO$2:$AO$1046,0),COLUMN()),"")</f>
        <v>无封鞋</v>
      </c>
      <c r="C428">
        <f>IFERROR(INDEX(装备库!$A$2:$Y$1047,MATCH(ROW()-1,装备库!$AO$2:$AO$1046,0),COLUMN()),"")</f>
        <v>9100</v>
      </c>
      <c r="D428" t="str">
        <f>IFERROR(INDEX(装备库!$A$2:$Y$1047,MATCH(ROW()-1,装备库!$AO$2:$AO$1046,0),COLUMN()),"")</f>
        <v>无封鞋(9100精简攻无)</v>
      </c>
      <c r="E428">
        <f>IFERROR(INDEX(装备库!$A$2:$Y$1047,MATCH(ROW()-1,装备库!$AO$2:$AO$1046,0),COLUMN()),"")</f>
        <v>0</v>
      </c>
      <c r="F428">
        <f>IFERROR(INDEX(装备库!$A$2:$Y$1047,MATCH(ROW()-1,装备库!$AO$2:$AO$1046,0),COLUMN()),"")</f>
        <v>1887</v>
      </c>
      <c r="G428">
        <f>IFERROR(INDEX(装备库!$A$2:$Y$1047,MATCH(ROW()-1,装备库!$AO$2:$AO$1046,0),COLUMN()),"")</f>
        <v>0</v>
      </c>
      <c r="H428">
        <f>IFERROR(INDEX(装备库!$A$2:$Y$1047,MATCH(ROW()-1,装备库!$AO$2:$AO$1046,0),COLUMN()),"")</f>
        <v>0</v>
      </c>
      <c r="I428">
        <f>IFERROR(INDEX(装备库!$A$2:$Y$1047,MATCH(ROW()-1,装备库!$AO$2:$AO$1046,0),COLUMN()),"")</f>
        <v>0</v>
      </c>
      <c r="J428">
        <f>IFERROR(INDEX(装备库!$A$2:$Y$1047,MATCH(ROW()-1,装备库!$AO$2:$AO$1046,0),COLUMN()),"")</f>
        <v>0</v>
      </c>
      <c r="K428">
        <f>IFERROR(INDEX(装备库!$A$2:$Y$1047,MATCH(ROW()-1,装备库!$AO$2:$AO$1046,0),COLUMN()),"")</f>
        <v>4278</v>
      </c>
      <c r="L428">
        <f>IFERROR(INDEX(装备库!$A$2:$Y$1047,MATCH(ROW()-1,装备库!$AO$2:$AO$1046,0),COLUMN()),"")</f>
        <v>0</v>
      </c>
      <c r="M428">
        <f>IFERROR(INDEX(装备库!$A$2:$Y$1047,MATCH(ROW()-1,装备库!$AO$2:$AO$1046,0),COLUMN()),"")</f>
        <v>0</v>
      </c>
      <c r="N428">
        <f>IFERROR(INDEX(装备库!$A$2:$Y$1047,MATCH(ROW()-1,装备库!$AO$2:$AO$1046,0),COLUMN()),"")</f>
        <v>0</v>
      </c>
      <c r="O428">
        <f>IFERROR(INDEX(装备库!$A$2:$Y$1047,MATCH(ROW()-1,装备库!$AO$2:$AO$1046,0),COLUMN()),"")</f>
        <v>0</v>
      </c>
      <c r="P428">
        <f>IFERROR(INDEX(装备库!$A$2:$Y$1047,MATCH(ROW()-1,装备库!$AO$2:$AO$1046,0),COLUMN()),"")</f>
        <v>0</v>
      </c>
      <c r="Q428">
        <f>IFERROR(INDEX(装备库!$A$2:$Y$1047,MATCH(ROW()-1,装备库!$AO$2:$AO$1046,0),COLUMN()),"")</f>
        <v>0</v>
      </c>
      <c r="R428">
        <f>IFERROR(INDEX(装备库!$A$2:$Y$1047,MATCH(ROW()-1,装备库!$AO$2:$AO$1046,0),COLUMN()),"")</f>
        <v>0</v>
      </c>
      <c r="S428">
        <f>IFERROR(INDEX(装备库!$A$2:$Y$1047,MATCH(ROW()-1,装备库!$AO$2:$AO$1046,0),COLUMN()),"")</f>
        <v>1</v>
      </c>
      <c r="T428">
        <f>IFERROR(INDEX(装备库!$A$2:$Y$1047,MATCH(ROW()-1,装备库!$AO$2:$AO$1046,0),COLUMN()),"")</f>
        <v>0</v>
      </c>
      <c r="U428">
        <f>IFERROR(INDEX(装备库!$A$2:$Y$1047,MATCH(ROW()-1,装备库!$AO$2:$AO$1046,0),COLUMN()),"")</f>
        <v>1</v>
      </c>
      <c r="V428">
        <f>IFERROR(INDEX(装备库!$A$2:$Y$1047,MATCH(ROW()-1,装备库!$AO$2:$AO$1046,0),COLUMN()),"")</f>
        <v>0</v>
      </c>
      <c r="W428" t="str">
        <f>IFERROR(INDEX(装备库!$A$2:$Y$1047,MATCH(ROW()-1,装备库!$AO$2:$AO$1046,0),COLUMN()),"")</f>
        <v>精简攻无</v>
      </c>
      <c r="X428">
        <f>IFERROR(INDEX(装备库!$A$2:$Y$1047,MATCH(ROW()-1,装备库!$AO$2:$AO$1046,0),COLUMN()),"")</f>
        <v>3</v>
      </c>
      <c r="Y428" t="str">
        <f>IFERROR(INDEX(装备库!$A$2:$Y$1047,MATCH(ROW()-1,装备库!$AO$2:$AO$1046,0),COLUMN()),"")</f>
        <v>活动</v>
      </c>
    </row>
    <row r="429" spans="1:25" x14ac:dyDescent="0.35">
      <c r="A429" t="str">
        <f>IFERROR(INDEX(装备库!$A$2:$Y$1047,MATCH(ROW()-1,装备库!$AO$2:$AO$1046,0),COLUMN()),"")</f>
        <v>鞋子</v>
      </c>
      <c r="B429" t="str">
        <f>IFERROR(INDEX(装备库!$A$2:$Y$1047,MATCH(ROW()-1,装备库!$AO$2:$AO$1046,0),COLUMN()),"")</f>
        <v>无封鞋</v>
      </c>
      <c r="C429">
        <f>IFERROR(INDEX(装备库!$A$2:$Y$1047,MATCH(ROW()-1,装备库!$AO$2:$AO$1046,0),COLUMN()),"")</f>
        <v>9100</v>
      </c>
      <c r="D429" t="str">
        <f>IFERROR(INDEX(装备库!$A$2:$Y$1047,MATCH(ROW()-1,装备库!$AO$2:$AO$1046,0),COLUMN()),"")</f>
        <v>无封鞋(9100精简攻破无)</v>
      </c>
      <c r="E429">
        <f>IFERROR(INDEX(装备库!$A$2:$Y$1047,MATCH(ROW()-1,装备库!$AO$2:$AO$1046,0),COLUMN()),"")</f>
        <v>0</v>
      </c>
      <c r="F429">
        <f>IFERROR(INDEX(装备库!$A$2:$Y$1047,MATCH(ROW()-1,装备库!$AO$2:$AO$1046,0),COLUMN()),"")</f>
        <v>1610</v>
      </c>
      <c r="G429">
        <f>IFERROR(INDEX(装备库!$A$2:$Y$1047,MATCH(ROW()-1,装备库!$AO$2:$AO$1046,0),COLUMN()),"")</f>
        <v>0</v>
      </c>
      <c r="H429">
        <f>IFERROR(INDEX(装备库!$A$2:$Y$1047,MATCH(ROW()-1,装备库!$AO$2:$AO$1046,0),COLUMN()),"")</f>
        <v>0</v>
      </c>
      <c r="I429">
        <f>IFERROR(INDEX(装备库!$A$2:$Y$1047,MATCH(ROW()-1,装备库!$AO$2:$AO$1046,0),COLUMN()),"")</f>
        <v>2480</v>
      </c>
      <c r="J429">
        <f>IFERROR(INDEX(装备库!$A$2:$Y$1047,MATCH(ROW()-1,装备库!$AO$2:$AO$1046,0),COLUMN()),"")</f>
        <v>0</v>
      </c>
      <c r="K429">
        <f>IFERROR(INDEX(装备库!$A$2:$Y$1047,MATCH(ROW()-1,装备库!$AO$2:$AO$1046,0),COLUMN()),"")</f>
        <v>2480</v>
      </c>
      <c r="L429">
        <f>IFERROR(INDEX(装备库!$A$2:$Y$1047,MATCH(ROW()-1,装备库!$AO$2:$AO$1046,0),COLUMN()),"")</f>
        <v>0</v>
      </c>
      <c r="M429">
        <f>IFERROR(INDEX(装备库!$A$2:$Y$1047,MATCH(ROW()-1,装备库!$AO$2:$AO$1046,0),COLUMN()),"")</f>
        <v>0</v>
      </c>
      <c r="N429">
        <f>IFERROR(INDEX(装备库!$A$2:$Y$1047,MATCH(ROW()-1,装备库!$AO$2:$AO$1046,0),COLUMN()),"")</f>
        <v>0</v>
      </c>
      <c r="O429">
        <f>IFERROR(INDEX(装备库!$A$2:$Y$1047,MATCH(ROW()-1,装备库!$AO$2:$AO$1046,0),COLUMN()),"")</f>
        <v>0</v>
      </c>
      <c r="P429">
        <f>IFERROR(INDEX(装备库!$A$2:$Y$1047,MATCH(ROW()-1,装备库!$AO$2:$AO$1046,0),COLUMN()),"")</f>
        <v>1</v>
      </c>
      <c r="Q429">
        <f>IFERROR(INDEX(装备库!$A$2:$Y$1047,MATCH(ROW()-1,装备库!$AO$2:$AO$1046,0),COLUMN()),"")</f>
        <v>0</v>
      </c>
      <c r="R429">
        <f>IFERROR(INDEX(装备库!$A$2:$Y$1047,MATCH(ROW()-1,装备库!$AO$2:$AO$1046,0),COLUMN()),"")</f>
        <v>0</v>
      </c>
      <c r="S429">
        <f>IFERROR(INDEX(装备库!$A$2:$Y$1047,MATCH(ROW()-1,装备库!$AO$2:$AO$1046,0),COLUMN()),"")</f>
        <v>0</v>
      </c>
      <c r="T429">
        <f>IFERROR(INDEX(装备库!$A$2:$Y$1047,MATCH(ROW()-1,装备库!$AO$2:$AO$1046,0),COLUMN()),"")</f>
        <v>1</v>
      </c>
      <c r="U429">
        <f>IFERROR(INDEX(装备库!$A$2:$Y$1047,MATCH(ROW()-1,装备库!$AO$2:$AO$1046,0),COLUMN()),"")</f>
        <v>0</v>
      </c>
      <c r="V429">
        <f>IFERROR(INDEX(装备库!$A$2:$Y$1047,MATCH(ROW()-1,装备库!$AO$2:$AO$1046,0),COLUMN()),"")</f>
        <v>0</v>
      </c>
      <c r="W429" t="str">
        <f>IFERROR(INDEX(装备库!$A$2:$Y$1047,MATCH(ROW()-1,装备库!$AO$2:$AO$1046,0),COLUMN()),"")</f>
        <v>精简攻破无</v>
      </c>
      <c r="X429">
        <f>IFERROR(INDEX(装备库!$A$2:$Y$1047,MATCH(ROW()-1,装备库!$AO$2:$AO$1046,0),COLUMN()),"")</f>
        <v>3</v>
      </c>
      <c r="Y429" t="str">
        <f>IFERROR(INDEX(装备库!$A$2:$Y$1047,MATCH(ROW()-1,装备库!$AO$2:$AO$1046,0),COLUMN()),"")</f>
        <v>活动</v>
      </c>
    </row>
    <row r="430" spans="1:25" x14ac:dyDescent="0.35">
      <c r="A430" t="str">
        <f>IFERROR(INDEX(装备库!$A$2:$Y$1047,MATCH(ROW()-1,装备库!$AO$2:$AO$1046,0),COLUMN()),"")</f>
        <v>鞋子</v>
      </c>
      <c r="B430" t="str">
        <f>IFERROR(INDEX(装备库!$A$2:$Y$1047,MATCH(ROW()-1,装备库!$AO$2:$AO$1046,0),COLUMN()),"")</f>
        <v>无封鞋</v>
      </c>
      <c r="C430">
        <f>IFERROR(INDEX(装备库!$A$2:$Y$1047,MATCH(ROW()-1,装备库!$AO$2:$AO$1046,0),COLUMN()),"")</f>
        <v>9100</v>
      </c>
      <c r="D430" t="str">
        <f>IFERROR(INDEX(装备库!$A$2:$Y$1047,MATCH(ROW()-1,装备库!$AO$2:$AO$1046,0),COLUMN()),"")</f>
        <v>无封鞋(9100精简攻会招无)</v>
      </c>
      <c r="E430">
        <f>IFERROR(INDEX(装备库!$A$2:$Y$1047,MATCH(ROW()-1,装备库!$AO$2:$AO$1046,0),COLUMN()),"")</f>
        <v>0</v>
      </c>
      <c r="F430">
        <f>IFERROR(INDEX(装备库!$A$2:$Y$1047,MATCH(ROW()-1,装备库!$AO$2:$AO$1046,0),COLUMN()),"")</f>
        <v>1610</v>
      </c>
      <c r="G430">
        <f>IFERROR(INDEX(装备库!$A$2:$Y$1047,MATCH(ROW()-1,装备库!$AO$2:$AO$1046,0),COLUMN()),"")</f>
        <v>2356</v>
      </c>
      <c r="H430">
        <f>IFERROR(INDEX(装备库!$A$2:$Y$1047,MATCH(ROW()-1,装备库!$AO$2:$AO$1046,0),COLUMN()),"")</f>
        <v>0</v>
      </c>
      <c r="I430">
        <f>IFERROR(INDEX(装备库!$A$2:$Y$1047,MATCH(ROW()-1,装备库!$AO$2:$AO$1046,0),COLUMN()),"")</f>
        <v>0</v>
      </c>
      <c r="J430">
        <f>IFERROR(INDEX(装备库!$A$2:$Y$1047,MATCH(ROW()-1,装备库!$AO$2:$AO$1046,0),COLUMN()),"")</f>
        <v>1240</v>
      </c>
      <c r="K430">
        <f>IFERROR(INDEX(装备库!$A$2:$Y$1047,MATCH(ROW()-1,装备库!$AO$2:$AO$1046,0),COLUMN()),"")</f>
        <v>1364</v>
      </c>
      <c r="L430">
        <f>IFERROR(INDEX(装备库!$A$2:$Y$1047,MATCH(ROW()-1,装备库!$AO$2:$AO$1046,0),COLUMN()),"")</f>
        <v>0</v>
      </c>
      <c r="M430">
        <f>IFERROR(INDEX(装备库!$A$2:$Y$1047,MATCH(ROW()-1,装备库!$AO$2:$AO$1046,0),COLUMN()),"")</f>
        <v>0</v>
      </c>
      <c r="N430">
        <f>IFERROR(INDEX(装备库!$A$2:$Y$1047,MATCH(ROW()-1,装备库!$AO$2:$AO$1046,0),COLUMN()),"")</f>
        <v>0</v>
      </c>
      <c r="O430">
        <f>IFERROR(INDEX(装备库!$A$2:$Y$1047,MATCH(ROW()-1,装备库!$AO$2:$AO$1046,0),COLUMN()),"")</f>
        <v>0</v>
      </c>
      <c r="P430">
        <f>IFERROR(INDEX(装备库!$A$2:$Y$1047,MATCH(ROW()-1,装备库!$AO$2:$AO$1046,0),COLUMN()),"")</f>
        <v>0</v>
      </c>
      <c r="Q430">
        <f>IFERROR(INDEX(装备库!$A$2:$Y$1047,MATCH(ROW()-1,装备库!$AO$2:$AO$1046,0),COLUMN()),"")</f>
        <v>0</v>
      </c>
      <c r="R430">
        <f>IFERROR(INDEX(装备库!$A$2:$Y$1047,MATCH(ROW()-1,装备库!$AO$2:$AO$1046,0),COLUMN()),"")</f>
        <v>0</v>
      </c>
      <c r="S430">
        <f>IFERROR(INDEX(装备库!$A$2:$Y$1047,MATCH(ROW()-1,装备库!$AO$2:$AO$1046,0),COLUMN()),"")</f>
        <v>1</v>
      </c>
      <c r="T430">
        <f>IFERROR(INDEX(装备库!$A$2:$Y$1047,MATCH(ROW()-1,装备库!$AO$2:$AO$1046,0),COLUMN()),"")</f>
        <v>0</v>
      </c>
      <c r="U430">
        <f>IFERROR(INDEX(装备库!$A$2:$Y$1047,MATCH(ROW()-1,装备库!$AO$2:$AO$1046,0),COLUMN()),"")</f>
        <v>1</v>
      </c>
      <c r="V430">
        <f>IFERROR(INDEX(装备库!$A$2:$Y$1047,MATCH(ROW()-1,装备库!$AO$2:$AO$1046,0),COLUMN()),"")</f>
        <v>0</v>
      </c>
      <c r="W430" t="str">
        <f>IFERROR(INDEX(装备库!$A$2:$Y$1047,MATCH(ROW()-1,装备库!$AO$2:$AO$1046,0),COLUMN()),"")</f>
        <v>精简攻会招无</v>
      </c>
      <c r="X430">
        <f>IFERROR(INDEX(装备库!$A$2:$Y$1047,MATCH(ROW()-1,装备库!$AO$2:$AO$1046,0),COLUMN()),"")</f>
        <v>3</v>
      </c>
      <c r="Y430" t="str">
        <f>IFERROR(INDEX(装备库!$A$2:$Y$1047,MATCH(ROW()-1,装备库!$AO$2:$AO$1046,0),COLUMN()),"")</f>
        <v>活动</v>
      </c>
    </row>
    <row r="431" spans="1:25" x14ac:dyDescent="0.35">
      <c r="A431" t="str">
        <f>IFERROR(INDEX(装备库!$A$2:$Y$1047,MATCH(ROW()-1,装备库!$AO$2:$AO$1046,0),COLUMN()),"")</f>
        <v>鞋子</v>
      </c>
      <c r="B431" t="str">
        <f>IFERROR(INDEX(装备库!$A$2:$Y$1047,MATCH(ROW()-1,装备库!$AO$2:$AO$1046,0),COLUMN()),"")</f>
        <v>无封鞋</v>
      </c>
      <c r="C431">
        <f>IFERROR(INDEX(装备库!$A$2:$Y$1047,MATCH(ROW()-1,装备库!$AO$2:$AO$1046,0),COLUMN()),"")</f>
        <v>9400</v>
      </c>
      <c r="D431" t="str">
        <f>IFERROR(INDEX(装备库!$A$2:$Y$1047,MATCH(ROW()-1,装备库!$AO$2:$AO$1046,0),COLUMN()),"")</f>
        <v>无封鞋(9400精简攻招无)</v>
      </c>
      <c r="E431">
        <f>IFERROR(INDEX(装备库!$A$2:$Y$1047,MATCH(ROW()-1,装备库!$AO$2:$AO$1046,0),COLUMN()),"")</f>
        <v>0</v>
      </c>
      <c r="F431">
        <f>IFERROR(INDEX(装备库!$A$2:$Y$1047,MATCH(ROW()-1,装备库!$AO$2:$AO$1046,0),COLUMN()),"")</f>
        <v>1663</v>
      </c>
      <c r="G431">
        <f>IFERROR(INDEX(装备库!$A$2:$Y$1047,MATCH(ROW()-1,装备库!$AO$2:$AO$1046,0),COLUMN()),"")</f>
        <v>0</v>
      </c>
      <c r="H431">
        <f>IFERROR(INDEX(装备库!$A$2:$Y$1047,MATCH(ROW()-1,装备库!$AO$2:$AO$1046,0),COLUMN()),"")</f>
        <v>0</v>
      </c>
      <c r="I431">
        <f>IFERROR(INDEX(装备库!$A$2:$Y$1047,MATCH(ROW()-1,装备库!$AO$2:$AO$1046,0),COLUMN()),"")</f>
        <v>0</v>
      </c>
      <c r="J431">
        <f>IFERROR(INDEX(装备库!$A$2:$Y$1047,MATCH(ROW()-1,装备库!$AO$2:$AO$1046,0),COLUMN()),"")</f>
        <v>1409</v>
      </c>
      <c r="K431">
        <f>IFERROR(INDEX(装备库!$A$2:$Y$1047,MATCH(ROW()-1,装备库!$AO$2:$AO$1046,0),COLUMN()),"")</f>
        <v>3714</v>
      </c>
      <c r="L431">
        <f>IFERROR(INDEX(装备库!$A$2:$Y$1047,MATCH(ROW()-1,装备库!$AO$2:$AO$1046,0),COLUMN()),"")</f>
        <v>0</v>
      </c>
      <c r="M431">
        <f>IFERROR(INDEX(装备库!$A$2:$Y$1047,MATCH(ROW()-1,装备库!$AO$2:$AO$1046,0),COLUMN()),"")</f>
        <v>0</v>
      </c>
      <c r="N431">
        <f>IFERROR(INDEX(装备库!$A$2:$Y$1047,MATCH(ROW()-1,装备库!$AO$2:$AO$1046,0),COLUMN()),"")</f>
        <v>0</v>
      </c>
      <c r="O431">
        <f>IFERROR(INDEX(装备库!$A$2:$Y$1047,MATCH(ROW()-1,装备库!$AO$2:$AO$1046,0),COLUMN()),"")</f>
        <v>0</v>
      </c>
      <c r="P431">
        <f>IFERROR(INDEX(装备库!$A$2:$Y$1047,MATCH(ROW()-1,装备库!$AO$2:$AO$1046,0),COLUMN()),"")</f>
        <v>0</v>
      </c>
      <c r="Q431">
        <f>IFERROR(INDEX(装备库!$A$2:$Y$1047,MATCH(ROW()-1,装备库!$AO$2:$AO$1046,0),COLUMN()),"")</f>
        <v>1</v>
      </c>
      <c r="R431">
        <f>IFERROR(INDEX(装备库!$A$2:$Y$1047,MATCH(ROW()-1,装备库!$AO$2:$AO$1046,0),COLUMN()),"")</f>
        <v>0</v>
      </c>
      <c r="S431">
        <f>IFERROR(INDEX(装备库!$A$2:$Y$1047,MATCH(ROW()-1,装备库!$AO$2:$AO$1046,0),COLUMN()),"")</f>
        <v>0</v>
      </c>
      <c r="T431">
        <f>IFERROR(INDEX(装备库!$A$2:$Y$1047,MATCH(ROW()-1,装备库!$AO$2:$AO$1046,0),COLUMN()),"")</f>
        <v>0</v>
      </c>
      <c r="U431">
        <f>IFERROR(INDEX(装备库!$A$2:$Y$1047,MATCH(ROW()-1,装备库!$AO$2:$AO$1046,0),COLUMN()),"")</f>
        <v>1</v>
      </c>
      <c r="V431">
        <f>IFERROR(INDEX(装备库!$A$2:$Y$1047,MATCH(ROW()-1,装备库!$AO$2:$AO$1046,0),COLUMN()),"")</f>
        <v>0</v>
      </c>
      <c r="W431" t="str">
        <f>IFERROR(INDEX(装备库!$A$2:$Y$1047,MATCH(ROW()-1,装备库!$AO$2:$AO$1046,0),COLUMN()),"")</f>
        <v>精简攻招无</v>
      </c>
      <c r="X431">
        <f>IFERROR(INDEX(装备库!$A$2:$Y$1047,MATCH(ROW()-1,装备库!$AO$2:$AO$1046,0),COLUMN()),"")</f>
        <v>3</v>
      </c>
      <c r="Y431" t="str">
        <f>IFERROR(INDEX(装备库!$A$2:$Y$1047,MATCH(ROW()-1,装备库!$AO$2:$AO$1046,0),COLUMN()),"")</f>
        <v>活动</v>
      </c>
    </row>
    <row r="432" spans="1:25" x14ac:dyDescent="0.35">
      <c r="A432" t="str">
        <f>IFERROR(INDEX(装备库!$A$2:$Y$1047,MATCH(ROW()-1,装备库!$AO$2:$AO$1046,0),COLUMN()),"")</f>
        <v>鞋子</v>
      </c>
      <c r="B432" t="str">
        <f>IFERROR(INDEX(装备库!$A$2:$Y$1047,MATCH(ROW()-1,装备库!$AO$2:$AO$1046,0),COLUMN()),"")</f>
        <v>无封鞋</v>
      </c>
      <c r="C432">
        <f>IFERROR(INDEX(装备库!$A$2:$Y$1047,MATCH(ROW()-1,装备库!$AO$2:$AO$1046,0),COLUMN()),"")</f>
        <v>9400</v>
      </c>
      <c r="D432" t="str">
        <f>IFERROR(INDEX(装备库!$A$2:$Y$1047,MATCH(ROW()-1,装备库!$AO$2:$AO$1046,0),COLUMN()),"")</f>
        <v>无封鞋(9400精简攻破)</v>
      </c>
      <c r="E432">
        <f>IFERROR(INDEX(装备库!$A$2:$Y$1047,MATCH(ROW()-1,装备库!$AO$2:$AO$1046,0),COLUMN()),"")</f>
        <v>0</v>
      </c>
      <c r="F432">
        <f>IFERROR(INDEX(装备库!$A$2:$Y$1047,MATCH(ROW()-1,装备库!$AO$2:$AO$1046,0),COLUMN()),"")</f>
        <v>1949</v>
      </c>
      <c r="G432">
        <f>IFERROR(INDEX(装备库!$A$2:$Y$1047,MATCH(ROW()-1,装备库!$AO$2:$AO$1046,0),COLUMN()),"")</f>
        <v>0</v>
      </c>
      <c r="H432">
        <f>IFERROR(INDEX(装备库!$A$2:$Y$1047,MATCH(ROW()-1,装备库!$AO$2:$AO$1046,0),COLUMN()),"")</f>
        <v>0</v>
      </c>
      <c r="I432">
        <f>IFERROR(INDEX(装备库!$A$2:$Y$1047,MATCH(ROW()-1,装备库!$AO$2:$AO$1046,0),COLUMN()),"")</f>
        <v>4419</v>
      </c>
      <c r="J432">
        <f>IFERROR(INDEX(装备库!$A$2:$Y$1047,MATCH(ROW()-1,装备库!$AO$2:$AO$1046,0),COLUMN()),"")</f>
        <v>0</v>
      </c>
      <c r="K432">
        <f>IFERROR(INDEX(装备库!$A$2:$Y$1047,MATCH(ROW()-1,装备库!$AO$2:$AO$1046,0),COLUMN()),"")</f>
        <v>0</v>
      </c>
      <c r="L432">
        <f>IFERROR(INDEX(装备库!$A$2:$Y$1047,MATCH(ROW()-1,装备库!$AO$2:$AO$1046,0),COLUMN()),"")</f>
        <v>0</v>
      </c>
      <c r="M432">
        <f>IFERROR(INDEX(装备库!$A$2:$Y$1047,MATCH(ROW()-1,装备库!$AO$2:$AO$1046,0),COLUMN()),"")</f>
        <v>0</v>
      </c>
      <c r="N432">
        <f>IFERROR(INDEX(装备库!$A$2:$Y$1047,MATCH(ROW()-1,装备库!$AO$2:$AO$1046,0),COLUMN()),"")</f>
        <v>0</v>
      </c>
      <c r="O432">
        <f>IFERROR(INDEX(装备库!$A$2:$Y$1047,MATCH(ROW()-1,装备库!$AO$2:$AO$1046,0),COLUMN()),"")</f>
        <v>0</v>
      </c>
      <c r="P432">
        <f>IFERROR(INDEX(装备库!$A$2:$Y$1047,MATCH(ROW()-1,装备库!$AO$2:$AO$1046,0),COLUMN()),"")</f>
        <v>1</v>
      </c>
      <c r="Q432">
        <f>IFERROR(INDEX(装备库!$A$2:$Y$1047,MATCH(ROW()-1,装备库!$AO$2:$AO$1046,0),COLUMN()),"")</f>
        <v>0</v>
      </c>
      <c r="R432">
        <f>IFERROR(INDEX(装备库!$A$2:$Y$1047,MATCH(ROW()-1,装备库!$AO$2:$AO$1046,0),COLUMN()),"")</f>
        <v>0</v>
      </c>
      <c r="S432">
        <f>IFERROR(INDEX(装备库!$A$2:$Y$1047,MATCH(ROW()-1,装备库!$AO$2:$AO$1046,0),COLUMN()),"")</f>
        <v>0</v>
      </c>
      <c r="T432">
        <f>IFERROR(INDEX(装备库!$A$2:$Y$1047,MATCH(ROW()-1,装备库!$AO$2:$AO$1046,0),COLUMN()),"")</f>
        <v>1</v>
      </c>
      <c r="U432">
        <f>IFERROR(INDEX(装备库!$A$2:$Y$1047,MATCH(ROW()-1,装备库!$AO$2:$AO$1046,0),COLUMN()),"")</f>
        <v>0</v>
      </c>
      <c r="V432">
        <f>IFERROR(INDEX(装备库!$A$2:$Y$1047,MATCH(ROW()-1,装备库!$AO$2:$AO$1046,0),COLUMN()),"")</f>
        <v>0</v>
      </c>
      <c r="W432" t="str">
        <f>IFERROR(INDEX(装备库!$A$2:$Y$1047,MATCH(ROW()-1,装备库!$AO$2:$AO$1046,0),COLUMN()),"")</f>
        <v>精简攻破</v>
      </c>
      <c r="X432">
        <f>IFERROR(INDEX(装备库!$A$2:$Y$1047,MATCH(ROW()-1,装备库!$AO$2:$AO$1046,0),COLUMN()),"")</f>
        <v>3</v>
      </c>
      <c r="Y432" t="str">
        <f>IFERROR(INDEX(装备库!$A$2:$Y$1047,MATCH(ROW()-1,装备库!$AO$2:$AO$1046,0),COLUMN()),"")</f>
        <v>活动</v>
      </c>
    </row>
    <row r="433" spans="1:25" x14ac:dyDescent="0.35">
      <c r="A433" t="str">
        <f>IFERROR(INDEX(装备库!$A$2:$Y$1047,MATCH(ROW()-1,装备库!$AO$2:$AO$1046,0),COLUMN()),"")</f>
        <v>鞋子</v>
      </c>
      <c r="B433" t="str">
        <f>IFERROR(INDEX(装备库!$A$2:$Y$1047,MATCH(ROW()-1,装备库!$AO$2:$AO$1046,0),COLUMN()),"")</f>
        <v>无封鞋</v>
      </c>
      <c r="C433">
        <f>IFERROR(INDEX(装备库!$A$2:$Y$1047,MATCH(ROW()-1,装备库!$AO$2:$AO$1046,0),COLUMN()),"")</f>
        <v>9400</v>
      </c>
      <c r="D433" t="str">
        <f>IFERROR(INDEX(装备库!$A$2:$Y$1047,MATCH(ROW()-1,装备库!$AO$2:$AO$1046,0),COLUMN()),"")</f>
        <v>无封鞋(9400精简攻会会无)</v>
      </c>
      <c r="E433">
        <f>IFERROR(INDEX(装备库!$A$2:$Y$1047,MATCH(ROW()-1,装备库!$AO$2:$AO$1046,0),COLUMN()),"")</f>
        <v>0</v>
      </c>
      <c r="F433">
        <f>IFERROR(INDEX(装备库!$A$2:$Y$1047,MATCH(ROW()-1,装备库!$AO$2:$AO$1046,0),COLUMN()),"")</f>
        <v>1663</v>
      </c>
      <c r="G433">
        <f>IFERROR(INDEX(装备库!$A$2:$Y$1047,MATCH(ROW()-1,装备库!$AO$2:$AO$1046,0),COLUMN()),"")</f>
        <v>2433</v>
      </c>
      <c r="H433">
        <f>IFERROR(INDEX(装备库!$A$2:$Y$1047,MATCH(ROW()-1,装备库!$AO$2:$AO$1046,0),COLUMN()),"")</f>
        <v>1281</v>
      </c>
      <c r="I433">
        <f>IFERROR(INDEX(装备库!$A$2:$Y$1047,MATCH(ROW()-1,装备库!$AO$2:$AO$1046,0),COLUMN()),"")</f>
        <v>0</v>
      </c>
      <c r="J433">
        <f>IFERROR(INDEX(装备库!$A$2:$Y$1047,MATCH(ROW()-1,装备库!$AO$2:$AO$1046,0),COLUMN()),"")</f>
        <v>0</v>
      </c>
      <c r="K433">
        <f>IFERROR(INDEX(装备库!$A$2:$Y$1047,MATCH(ROW()-1,装备库!$AO$2:$AO$1046,0),COLUMN()),"")</f>
        <v>1281</v>
      </c>
      <c r="L433">
        <f>IFERROR(INDEX(装备库!$A$2:$Y$1047,MATCH(ROW()-1,装备库!$AO$2:$AO$1046,0),COLUMN()),"")</f>
        <v>0</v>
      </c>
      <c r="M433">
        <f>IFERROR(INDEX(装备库!$A$2:$Y$1047,MATCH(ROW()-1,装备库!$AO$2:$AO$1046,0),COLUMN()),"")</f>
        <v>0</v>
      </c>
      <c r="N433">
        <f>IFERROR(INDEX(装备库!$A$2:$Y$1047,MATCH(ROW()-1,装备库!$AO$2:$AO$1046,0),COLUMN()),"")</f>
        <v>0</v>
      </c>
      <c r="O433">
        <f>IFERROR(INDEX(装备库!$A$2:$Y$1047,MATCH(ROW()-1,装备库!$AO$2:$AO$1046,0),COLUMN()),"")</f>
        <v>0</v>
      </c>
      <c r="P433">
        <f>IFERROR(INDEX(装备库!$A$2:$Y$1047,MATCH(ROW()-1,装备库!$AO$2:$AO$1046,0),COLUMN()),"")</f>
        <v>0</v>
      </c>
      <c r="Q433">
        <f>IFERROR(INDEX(装备库!$A$2:$Y$1047,MATCH(ROW()-1,装备库!$AO$2:$AO$1046,0),COLUMN()),"")</f>
        <v>0</v>
      </c>
      <c r="R433">
        <f>IFERROR(INDEX(装备库!$A$2:$Y$1047,MATCH(ROW()-1,装备库!$AO$2:$AO$1046,0),COLUMN()),"")</f>
        <v>0</v>
      </c>
      <c r="S433">
        <f>IFERROR(INDEX(装备库!$A$2:$Y$1047,MATCH(ROW()-1,装备库!$AO$2:$AO$1046,0),COLUMN()),"")</f>
        <v>1</v>
      </c>
      <c r="T433">
        <f>IFERROR(INDEX(装备库!$A$2:$Y$1047,MATCH(ROW()-1,装备库!$AO$2:$AO$1046,0),COLUMN()),"")</f>
        <v>0</v>
      </c>
      <c r="U433">
        <f>IFERROR(INDEX(装备库!$A$2:$Y$1047,MATCH(ROW()-1,装备库!$AO$2:$AO$1046,0),COLUMN()),"")</f>
        <v>1</v>
      </c>
      <c r="V433">
        <f>IFERROR(INDEX(装备库!$A$2:$Y$1047,MATCH(ROW()-1,装备库!$AO$2:$AO$1046,0),COLUMN()),"")</f>
        <v>0</v>
      </c>
      <c r="W433" t="str">
        <f>IFERROR(INDEX(装备库!$A$2:$Y$1047,MATCH(ROW()-1,装备库!$AO$2:$AO$1046,0),COLUMN()),"")</f>
        <v>精简攻会会无</v>
      </c>
      <c r="X433">
        <f>IFERROR(INDEX(装备库!$A$2:$Y$1047,MATCH(ROW()-1,装备库!$AO$2:$AO$1046,0),COLUMN()),"")</f>
        <v>3</v>
      </c>
      <c r="Y433" t="str">
        <f>IFERROR(INDEX(装备库!$A$2:$Y$1047,MATCH(ROW()-1,装备库!$AO$2:$AO$1046,0),COLUMN()),"")</f>
        <v>活动</v>
      </c>
    </row>
    <row r="434" spans="1:25" x14ac:dyDescent="0.35">
      <c r="A434" t="str">
        <f>IFERROR(INDEX(装备库!$A$2:$Y$1047,MATCH(ROW()-1,装备库!$AO$2:$AO$1046,0),COLUMN()),"")</f>
        <v>鞋子</v>
      </c>
      <c r="B434" t="str">
        <f>IFERROR(INDEX(装备库!$A$2:$Y$1047,MATCH(ROW()-1,装备库!$AO$2:$AO$1046,0),COLUMN()),"")</f>
        <v>临晨鞋</v>
      </c>
      <c r="C434">
        <f>IFERROR(INDEX(装备库!$A$2:$Y$1047,MATCH(ROW()-1,装备库!$AO$2:$AO$1046,0),COLUMN()),"")</f>
        <v>9450</v>
      </c>
      <c r="D434" t="str">
        <f>IFERROR(INDEX(装备库!$A$2:$Y$1047,MATCH(ROW()-1,装备库!$AO$2:$AO$1046,0),COLUMN()),"")</f>
        <v>临晨鞋(9450会招)</v>
      </c>
      <c r="E434">
        <f>IFERROR(INDEX(装备库!$A$2:$Y$1047,MATCH(ROW()-1,装备库!$AO$2:$AO$1046,0),COLUMN()),"")</f>
        <v>462</v>
      </c>
      <c r="F434">
        <f>IFERROR(INDEX(装备库!$A$2:$Y$1047,MATCH(ROW()-1,装备库!$AO$2:$AO$1046,0),COLUMN()),"")</f>
        <v>749</v>
      </c>
      <c r="G434">
        <f>IFERROR(INDEX(装备库!$A$2:$Y$1047,MATCH(ROW()-1,装备库!$AO$2:$AO$1046,0),COLUMN()),"")</f>
        <v>2318</v>
      </c>
      <c r="H434">
        <f>IFERROR(INDEX(装备库!$A$2:$Y$1047,MATCH(ROW()-1,装备库!$AO$2:$AO$1046,0),COLUMN()),"")</f>
        <v>0</v>
      </c>
      <c r="I434">
        <f>IFERROR(INDEX(装备库!$A$2:$Y$1047,MATCH(ROW()-1,装备库!$AO$2:$AO$1046,0),COLUMN()),"")</f>
        <v>0</v>
      </c>
      <c r="J434">
        <f>IFERROR(INDEX(装备库!$A$2:$Y$1047,MATCH(ROW()-1,装备库!$AO$2:$AO$1046,0),COLUMN()),"")</f>
        <v>2060</v>
      </c>
      <c r="K434">
        <f>IFERROR(INDEX(装备库!$A$2:$Y$1047,MATCH(ROW()-1,装备库!$AO$2:$AO$1046,0),COLUMN()),"")</f>
        <v>0</v>
      </c>
      <c r="L434">
        <f>IFERROR(INDEX(装备库!$A$2:$Y$1047,MATCH(ROW()-1,装备库!$AO$2:$AO$1046,0),COLUMN()),"")</f>
        <v>0</v>
      </c>
      <c r="M434">
        <f>IFERROR(INDEX(装备库!$A$2:$Y$1047,MATCH(ROW()-1,装备库!$AO$2:$AO$1046,0),COLUMN()),"")</f>
        <v>0</v>
      </c>
      <c r="N434">
        <f>IFERROR(INDEX(装备库!$A$2:$Y$1047,MATCH(ROW()-1,装备库!$AO$2:$AO$1046,0),COLUMN()),"")</f>
        <v>0</v>
      </c>
      <c r="O434">
        <f>IFERROR(INDEX(装备库!$A$2:$Y$1047,MATCH(ROW()-1,装备库!$AO$2:$AO$1046,0),COLUMN()),"")</f>
        <v>0</v>
      </c>
      <c r="P434">
        <f>IFERROR(INDEX(装备库!$A$2:$Y$1047,MATCH(ROW()-1,装备库!$AO$2:$AO$1046,0),COLUMN()),"")</f>
        <v>0</v>
      </c>
      <c r="Q434">
        <f>IFERROR(INDEX(装备库!$A$2:$Y$1047,MATCH(ROW()-1,装备库!$AO$2:$AO$1046,0),COLUMN()),"")</f>
        <v>1</v>
      </c>
      <c r="R434">
        <f>IFERROR(INDEX(装备库!$A$2:$Y$1047,MATCH(ROW()-1,装备库!$AO$2:$AO$1046,0),COLUMN()),"")</f>
        <v>0</v>
      </c>
      <c r="S434">
        <f>IFERROR(INDEX(装备库!$A$2:$Y$1047,MATCH(ROW()-1,装备库!$AO$2:$AO$1046,0),COLUMN()),"")</f>
        <v>0</v>
      </c>
      <c r="T434">
        <f>IFERROR(INDEX(装备库!$A$2:$Y$1047,MATCH(ROW()-1,装备库!$AO$2:$AO$1046,0),COLUMN()),"")</f>
        <v>1</v>
      </c>
      <c r="U434">
        <f>IFERROR(INDEX(装备库!$A$2:$Y$1047,MATCH(ROW()-1,装备库!$AO$2:$AO$1046,0),COLUMN()),"")</f>
        <v>0</v>
      </c>
      <c r="V434">
        <f>IFERROR(INDEX(装备库!$A$2:$Y$1047,MATCH(ROW()-1,装备库!$AO$2:$AO$1046,0),COLUMN()),"")</f>
        <v>0</v>
      </c>
      <c r="W434" t="str">
        <f>IFERROR(INDEX(装备库!$A$2:$Y$1047,MATCH(ROW()-1,装备库!$AO$2:$AO$1046,0),COLUMN()),"")</f>
        <v>会招</v>
      </c>
      <c r="X434">
        <f>IFERROR(INDEX(装备库!$A$2:$Y$1047,MATCH(ROW()-1,装备库!$AO$2:$AO$1046,0),COLUMN()),"")</f>
        <v>6</v>
      </c>
      <c r="Y434" t="str">
        <f>IFERROR(INDEX(装备库!$A$2:$Y$1047,MATCH(ROW()-1,装备库!$AO$2:$AO$1046,0),COLUMN()),"")</f>
        <v>声望</v>
      </c>
    </row>
    <row r="435" spans="1:25" x14ac:dyDescent="0.35">
      <c r="A435" t="str">
        <f>IFERROR(INDEX(装备库!$A$2:$Y$1047,MATCH(ROW()-1,装备库!$AO$2:$AO$1046,0),COLUMN()),"")</f>
        <v>鞋子</v>
      </c>
      <c r="B435" t="str">
        <f>IFERROR(INDEX(装备库!$A$2:$Y$1047,MATCH(ROW()-1,装备库!$AO$2:$AO$1046,0),COLUMN()),"")</f>
        <v>女义靴</v>
      </c>
      <c r="C435">
        <f>IFERROR(INDEX(装备库!$A$2:$Y$1047,MATCH(ROW()-1,装备库!$AO$2:$AO$1046,0),COLUMN()),"")</f>
        <v>9600</v>
      </c>
      <c r="D435" t="str">
        <f>IFERROR(INDEX(装备库!$A$2:$Y$1047,MATCH(ROW()-1,装备库!$AO$2:$AO$1046,0),COLUMN()),"")</f>
        <v>女义靴(9600破无)</v>
      </c>
      <c r="E435">
        <f>IFERROR(INDEX(装备库!$A$2:$Y$1047,MATCH(ROW()-1,装备库!$AO$2:$AO$1046,0),COLUMN()),"")</f>
        <v>469</v>
      </c>
      <c r="F435">
        <f>IFERROR(INDEX(装备库!$A$2:$Y$1047,MATCH(ROW()-1,装备库!$AO$2:$AO$1046,0),COLUMN()),"")</f>
        <v>761</v>
      </c>
      <c r="G435">
        <f>IFERROR(INDEX(装备库!$A$2:$Y$1047,MATCH(ROW()-1,装备库!$AO$2:$AO$1046,0),COLUMN()),"")</f>
        <v>0</v>
      </c>
      <c r="H435">
        <f>IFERROR(INDEX(装备库!$A$2:$Y$1047,MATCH(ROW()-1,装备库!$AO$2:$AO$1046,0),COLUMN()),"")</f>
        <v>0</v>
      </c>
      <c r="I435">
        <f>IFERROR(INDEX(装备库!$A$2:$Y$1047,MATCH(ROW()-1,装备库!$AO$2:$AO$1046,0),COLUMN()),"")</f>
        <v>2354</v>
      </c>
      <c r="J435">
        <f>IFERROR(INDEX(装备库!$A$2:$Y$1047,MATCH(ROW()-1,装备库!$AO$2:$AO$1046,0),COLUMN()),"")</f>
        <v>0</v>
      </c>
      <c r="K435">
        <f>IFERROR(INDEX(装备库!$A$2:$Y$1047,MATCH(ROW()-1,装备库!$AO$2:$AO$1046,0),COLUMN()),"")</f>
        <v>2093</v>
      </c>
      <c r="L435">
        <f>IFERROR(INDEX(装备库!$A$2:$Y$1047,MATCH(ROW()-1,装备库!$AO$2:$AO$1046,0),COLUMN()),"")</f>
        <v>0</v>
      </c>
      <c r="M435">
        <f>IFERROR(INDEX(装备库!$A$2:$Y$1047,MATCH(ROW()-1,装备库!$AO$2:$AO$1046,0),COLUMN()),"")</f>
        <v>0</v>
      </c>
      <c r="N435">
        <f>IFERROR(INDEX(装备库!$A$2:$Y$1047,MATCH(ROW()-1,装备库!$AO$2:$AO$1046,0),COLUMN()),"")</f>
        <v>0</v>
      </c>
      <c r="O435">
        <f>IFERROR(INDEX(装备库!$A$2:$Y$1047,MATCH(ROW()-1,装备库!$AO$2:$AO$1046,0),COLUMN()),"")</f>
        <v>0</v>
      </c>
      <c r="P435">
        <f>IFERROR(INDEX(装备库!$A$2:$Y$1047,MATCH(ROW()-1,装备库!$AO$2:$AO$1046,0),COLUMN()),"")</f>
        <v>1</v>
      </c>
      <c r="Q435">
        <f>IFERROR(INDEX(装备库!$A$2:$Y$1047,MATCH(ROW()-1,装备库!$AO$2:$AO$1046,0),COLUMN()),"")</f>
        <v>0</v>
      </c>
      <c r="R435">
        <f>IFERROR(INDEX(装备库!$A$2:$Y$1047,MATCH(ROW()-1,装备库!$AO$2:$AO$1046,0),COLUMN()),"")</f>
        <v>0</v>
      </c>
      <c r="S435">
        <f>IFERROR(INDEX(装备库!$A$2:$Y$1047,MATCH(ROW()-1,装备库!$AO$2:$AO$1046,0),COLUMN()),"")</f>
        <v>1</v>
      </c>
      <c r="T435">
        <f>IFERROR(INDEX(装备库!$A$2:$Y$1047,MATCH(ROW()-1,装备库!$AO$2:$AO$1046,0),COLUMN()),"")</f>
        <v>0</v>
      </c>
      <c r="U435">
        <f>IFERROR(INDEX(装备库!$A$2:$Y$1047,MATCH(ROW()-1,装备库!$AO$2:$AO$1046,0),COLUMN()),"")</f>
        <v>0</v>
      </c>
      <c r="V435">
        <f>IFERROR(INDEX(装备库!$A$2:$Y$1047,MATCH(ROW()-1,装备库!$AO$2:$AO$1046,0),COLUMN()),"")</f>
        <v>0</v>
      </c>
      <c r="W435" t="str">
        <f>IFERROR(INDEX(装备库!$A$2:$Y$1047,MATCH(ROW()-1,装备库!$AO$2:$AO$1046,0),COLUMN()),"")</f>
        <v>破无</v>
      </c>
      <c r="X435">
        <f>IFERROR(INDEX(装备库!$A$2:$Y$1047,MATCH(ROW()-1,装备库!$AO$2:$AO$1046,0),COLUMN()),"")</f>
        <v>6</v>
      </c>
      <c r="Y435" t="str">
        <f>IFERROR(INDEX(装备库!$A$2:$Y$1047,MATCH(ROW()-1,装备库!$AO$2:$AO$1046,0),COLUMN()),"")</f>
        <v>侠义值</v>
      </c>
    </row>
    <row r="436" spans="1:25" x14ac:dyDescent="0.35">
      <c r="A436" t="str">
        <f>IFERROR(INDEX(装备库!$A$2:$Y$1047,MATCH(ROW()-1,装备库!$AO$2:$AO$1046,0),COLUMN()),"")</f>
        <v>鞋子</v>
      </c>
      <c r="B436" t="str">
        <f>IFERROR(INDEX(装备库!$A$2:$Y$1047,MATCH(ROW()-1,装备库!$AO$2:$AO$1046,0),COLUMN()),"")</f>
        <v>寻踪觅宝·遮澜靴</v>
      </c>
      <c r="C436">
        <f>IFERROR(INDEX(装备库!$A$2:$Y$1047,MATCH(ROW()-1,装备库!$AO$2:$AO$1046,0),COLUMN()),"")</f>
        <v>9600</v>
      </c>
      <c r="D436" t="str">
        <f>IFERROR(INDEX(装备库!$A$2:$Y$1047,MATCH(ROW()-1,装备库!$AO$2:$AO$1046,0),COLUMN()),"")</f>
        <v>寻踪觅宝·遮澜靴(9600会无)</v>
      </c>
      <c r="E436">
        <f>IFERROR(INDEX(装备库!$A$2:$Y$1047,MATCH(ROW()-1,装备库!$AO$2:$AO$1046,0),COLUMN()),"")</f>
        <v>469</v>
      </c>
      <c r="F436">
        <f>IFERROR(INDEX(装备库!$A$2:$Y$1047,MATCH(ROW()-1,装备库!$AO$2:$AO$1046,0),COLUMN()),"")</f>
        <v>761</v>
      </c>
      <c r="G436">
        <f>IFERROR(INDEX(装备库!$A$2:$Y$1047,MATCH(ROW()-1,装备库!$AO$2:$AO$1046,0),COLUMN()),"")</f>
        <v>2354</v>
      </c>
      <c r="H436">
        <f>IFERROR(INDEX(装备库!$A$2:$Y$1047,MATCH(ROW()-1,装备库!$AO$2:$AO$1046,0),COLUMN()),"")</f>
        <v>0</v>
      </c>
      <c r="I436">
        <f>IFERROR(INDEX(装备库!$A$2:$Y$1047,MATCH(ROW()-1,装备库!$AO$2:$AO$1046,0),COLUMN()),"")</f>
        <v>0</v>
      </c>
      <c r="J436">
        <f>IFERROR(INDEX(装备库!$A$2:$Y$1047,MATCH(ROW()-1,装备库!$AO$2:$AO$1046,0),COLUMN()),"")</f>
        <v>0</v>
      </c>
      <c r="K436">
        <f>IFERROR(INDEX(装备库!$A$2:$Y$1047,MATCH(ROW()-1,装备库!$AO$2:$AO$1046,0),COLUMN()),"")</f>
        <v>2093</v>
      </c>
      <c r="L436">
        <f>IFERROR(INDEX(装备库!$A$2:$Y$1047,MATCH(ROW()-1,装备库!$AO$2:$AO$1046,0),COLUMN()),"")</f>
        <v>0</v>
      </c>
      <c r="M436">
        <f>IFERROR(INDEX(装备库!$A$2:$Y$1047,MATCH(ROW()-1,装备库!$AO$2:$AO$1046,0),COLUMN()),"")</f>
        <v>0</v>
      </c>
      <c r="N436">
        <f>IFERROR(INDEX(装备库!$A$2:$Y$1047,MATCH(ROW()-1,装备库!$AO$2:$AO$1046,0),COLUMN()),"")</f>
        <v>0</v>
      </c>
      <c r="O436">
        <f>IFERROR(INDEX(装备库!$A$2:$Y$1047,MATCH(ROW()-1,装备库!$AO$2:$AO$1046,0),COLUMN()),"")</f>
        <v>1</v>
      </c>
      <c r="P436">
        <f>IFERROR(INDEX(装备库!$A$2:$Y$1047,MATCH(ROW()-1,装备库!$AO$2:$AO$1046,0),COLUMN()),"")</f>
        <v>0</v>
      </c>
      <c r="Q436">
        <f>IFERROR(INDEX(装备库!$A$2:$Y$1047,MATCH(ROW()-1,装备库!$AO$2:$AO$1046,0),COLUMN()),"")</f>
        <v>0</v>
      </c>
      <c r="R436">
        <f>IFERROR(INDEX(装备库!$A$2:$Y$1047,MATCH(ROW()-1,装备库!$AO$2:$AO$1046,0),COLUMN()),"")</f>
        <v>0</v>
      </c>
      <c r="S436">
        <f>IFERROR(INDEX(装备库!$A$2:$Y$1047,MATCH(ROW()-1,装备库!$AO$2:$AO$1046,0),COLUMN()),"")</f>
        <v>0</v>
      </c>
      <c r="T436">
        <f>IFERROR(INDEX(装备库!$A$2:$Y$1047,MATCH(ROW()-1,装备库!$AO$2:$AO$1046,0),COLUMN()),"")</f>
        <v>0</v>
      </c>
      <c r="U436">
        <f>IFERROR(INDEX(装备库!$A$2:$Y$1047,MATCH(ROW()-1,装备库!$AO$2:$AO$1046,0),COLUMN()),"")</f>
        <v>1</v>
      </c>
      <c r="V436">
        <f>IFERROR(INDEX(装备库!$A$2:$Y$1047,MATCH(ROW()-1,装备库!$AO$2:$AO$1046,0),COLUMN()),"")</f>
        <v>0</v>
      </c>
      <c r="W436" t="str">
        <f>IFERROR(INDEX(装备库!$A$2:$Y$1047,MATCH(ROW()-1,装备库!$AO$2:$AO$1046,0),COLUMN()),"")</f>
        <v>会无</v>
      </c>
      <c r="X436">
        <f>IFERROR(INDEX(装备库!$A$2:$Y$1047,MATCH(ROW()-1,装备库!$AO$2:$AO$1046,0),COLUMN()),"")</f>
        <v>6</v>
      </c>
      <c r="Y436" t="str">
        <f>IFERROR(INDEX(装备库!$A$2:$Y$1047,MATCH(ROW()-1,装备库!$AO$2:$AO$1046,0),COLUMN()),"")</f>
        <v>挖宝</v>
      </c>
    </row>
    <row r="437" spans="1:25" x14ac:dyDescent="0.35">
      <c r="A437" t="str">
        <f>IFERROR(INDEX(装备库!$A$2:$Y$1047,MATCH(ROW()-1,装备库!$AO$2:$AO$1046,0),COLUMN()),"")</f>
        <v>鞋子</v>
      </c>
      <c r="B437" t="str">
        <f>IFERROR(INDEX(装备库!$A$2:$Y$1047,MATCH(ROW()-1,装备库!$AO$2:$AO$1046,0),COLUMN()),"")</f>
        <v>无封鞋</v>
      </c>
      <c r="C437">
        <f>IFERROR(INDEX(装备库!$A$2:$Y$1047,MATCH(ROW()-1,装备库!$AO$2:$AO$1046,0),COLUMN()),"")</f>
        <v>9700</v>
      </c>
      <c r="D437" t="str">
        <f>IFERROR(INDEX(装备库!$A$2:$Y$1047,MATCH(ROW()-1,装备库!$AO$2:$AO$1046,0),COLUMN()),"")</f>
        <v>无封鞋(9700精简攻招破无)</v>
      </c>
      <c r="E437">
        <f>IFERROR(INDEX(装备库!$A$2:$Y$1047,MATCH(ROW()-1,装备库!$AO$2:$AO$1046,0),COLUMN()),"")</f>
        <v>0</v>
      </c>
      <c r="F437">
        <f>IFERROR(INDEX(装备库!$A$2:$Y$1047,MATCH(ROW()-1,装备库!$AO$2:$AO$1046,0),COLUMN()),"")</f>
        <v>1716</v>
      </c>
      <c r="G437">
        <f>IFERROR(INDEX(装备库!$A$2:$Y$1047,MATCH(ROW()-1,装备库!$AO$2:$AO$1046,0),COLUMN()),"")</f>
        <v>0</v>
      </c>
      <c r="H437">
        <f>IFERROR(INDEX(装备库!$A$2:$Y$1047,MATCH(ROW()-1,装备库!$AO$2:$AO$1046,0),COLUMN()),"")</f>
        <v>0</v>
      </c>
      <c r="I437">
        <f>IFERROR(INDEX(装备库!$A$2:$Y$1047,MATCH(ROW()-1,装备库!$AO$2:$AO$1046,0),COLUMN()),"")</f>
        <v>2247</v>
      </c>
      <c r="J437">
        <f>IFERROR(INDEX(装备库!$A$2:$Y$1047,MATCH(ROW()-1,装备库!$AO$2:$AO$1046,0),COLUMN()),"")</f>
        <v>1718</v>
      </c>
      <c r="K437">
        <f>IFERROR(INDEX(装备库!$A$2:$Y$1047,MATCH(ROW()-1,装备库!$AO$2:$AO$1046,0),COLUMN()),"")</f>
        <v>1322</v>
      </c>
      <c r="L437">
        <f>IFERROR(INDEX(装备库!$A$2:$Y$1047,MATCH(ROW()-1,装备库!$AO$2:$AO$1046,0),COLUMN()),"")</f>
        <v>0</v>
      </c>
      <c r="M437">
        <f>IFERROR(INDEX(装备库!$A$2:$Y$1047,MATCH(ROW()-1,装备库!$AO$2:$AO$1046,0),COLUMN()),"")</f>
        <v>0</v>
      </c>
      <c r="N437">
        <f>IFERROR(INDEX(装备库!$A$2:$Y$1047,MATCH(ROW()-1,装备库!$AO$2:$AO$1046,0),COLUMN()),"")</f>
        <v>0</v>
      </c>
      <c r="O437">
        <f>IFERROR(INDEX(装备库!$A$2:$Y$1047,MATCH(ROW()-1,装备库!$AO$2:$AO$1046,0),COLUMN()),"")</f>
        <v>0</v>
      </c>
      <c r="P437">
        <f>IFERROR(INDEX(装备库!$A$2:$Y$1047,MATCH(ROW()-1,装备库!$AO$2:$AO$1046,0),COLUMN()),"")</f>
        <v>0</v>
      </c>
      <c r="Q437">
        <f>IFERROR(INDEX(装备库!$A$2:$Y$1047,MATCH(ROW()-1,装备库!$AO$2:$AO$1046,0),COLUMN()),"")</f>
        <v>1</v>
      </c>
      <c r="R437">
        <f>IFERROR(INDEX(装备库!$A$2:$Y$1047,MATCH(ROW()-1,装备库!$AO$2:$AO$1046,0),COLUMN()),"")</f>
        <v>0</v>
      </c>
      <c r="S437">
        <f>IFERROR(INDEX(装备库!$A$2:$Y$1047,MATCH(ROW()-1,装备库!$AO$2:$AO$1046,0),COLUMN()),"")</f>
        <v>0</v>
      </c>
      <c r="T437">
        <f>IFERROR(INDEX(装备库!$A$2:$Y$1047,MATCH(ROW()-1,装备库!$AO$2:$AO$1046,0),COLUMN()),"")</f>
        <v>0</v>
      </c>
      <c r="U437">
        <f>IFERROR(INDEX(装备库!$A$2:$Y$1047,MATCH(ROW()-1,装备库!$AO$2:$AO$1046,0),COLUMN()),"")</f>
        <v>1</v>
      </c>
      <c r="V437">
        <f>IFERROR(INDEX(装备库!$A$2:$Y$1047,MATCH(ROW()-1,装备库!$AO$2:$AO$1046,0),COLUMN()),"")</f>
        <v>0</v>
      </c>
      <c r="W437" t="str">
        <f>IFERROR(INDEX(装备库!$A$2:$Y$1047,MATCH(ROW()-1,装备库!$AO$2:$AO$1046,0),COLUMN()),"")</f>
        <v>精简攻招破无</v>
      </c>
      <c r="X437">
        <f>IFERROR(INDEX(装备库!$A$2:$Y$1047,MATCH(ROW()-1,装备库!$AO$2:$AO$1046,0),COLUMN()),"")</f>
        <v>3</v>
      </c>
      <c r="Y437" t="str">
        <f>IFERROR(INDEX(装备库!$A$2:$Y$1047,MATCH(ROW()-1,装备库!$AO$2:$AO$1046,0),COLUMN()),"")</f>
        <v>活动</v>
      </c>
    </row>
    <row r="438" spans="1:25" x14ac:dyDescent="0.35">
      <c r="A438" t="str">
        <f>IFERROR(INDEX(装备库!$A$2:$Y$1047,MATCH(ROW()-1,装备库!$AO$2:$AO$1046,0),COLUMN()),"")</f>
        <v>鞋子</v>
      </c>
      <c r="B438" t="str">
        <f>IFERROR(INDEX(装备库!$A$2:$Y$1047,MATCH(ROW()-1,装备库!$AO$2:$AO$1046,0),COLUMN()),"")</f>
        <v>无封鞋</v>
      </c>
      <c r="C438">
        <f>IFERROR(INDEX(装备库!$A$2:$Y$1047,MATCH(ROW()-1,装备库!$AO$2:$AO$1046,0),COLUMN()),"")</f>
        <v>9700</v>
      </c>
      <c r="D438" t="str">
        <f>IFERROR(INDEX(装备库!$A$2:$Y$1047,MATCH(ROW()-1,装备库!$AO$2:$AO$1046,0),COLUMN()),"")</f>
        <v>无封鞋(9700精简攻会破)</v>
      </c>
      <c r="E438">
        <f>IFERROR(INDEX(装备库!$A$2:$Y$1047,MATCH(ROW()-1,装备库!$AO$2:$AO$1046,0),COLUMN()),"")</f>
        <v>0</v>
      </c>
      <c r="F438">
        <f>IFERROR(INDEX(装备库!$A$2:$Y$1047,MATCH(ROW()-1,装备库!$AO$2:$AO$1046,0),COLUMN()),"")</f>
        <v>1716</v>
      </c>
      <c r="G438">
        <f>IFERROR(INDEX(装备库!$A$2:$Y$1047,MATCH(ROW()-1,装备库!$AO$2:$AO$1046,0),COLUMN()),"")</f>
        <v>2643</v>
      </c>
      <c r="H438">
        <f>IFERROR(INDEX(装备库!$A$2:$Y$1047,MATCH(ROW()-1,装备库!$AO$2:$AO$1046,0),COLUMN()),"")</f>
        <v>0</v>
      </c>
      <c r="I438">
        <f>IFERROR(INDEX(装备库!$A$2:$Y$1047,MATCH(ROW()-1,装备库!$AO$2:$AO$1046,0),COLUMN()),"")</f>
        <v>2643</v>
      </c>
      <c r="J438">
        <f>IFERROR(INDEX(装备库!$A$2:$Y$1047,MATCH(ROW()-1,装备库!$AO$2:$AO$1046,0),COLUMN()),"")</f>
        <v>0</v>
      </c>
      <c r="K438">
        <f>IFERROR(INDEX(装备库!$A$2:$Y$1047,MATCH(ROW()-1,装备库!$AO$2:$AO$1046,0),COLUMN()),"")</f>
        <v>0</v>
      </c>
      <c r="L438">
        <f>IFERROR(INDEX(装备库!$A$2:$Y$1047,MATCH(ROW()-1,装备库!$AO$2:$AO$1046,0),COLUMN()),"")</f>
        <v>0</v>
      </c>
      <c r="M438">
        <f>IFERROR(INDEX(装备库!$A$2:$Y$1047,MATCH(ROW()-1,装备库!$AO$2:$AO$1046,0),COLUMN()),"")</f>
        <v>0</v>
      </c>
      <c r="N438">
        <f>IFERROR(INDEX(装备库!$A$2:$Y$1047,MATCH(ROW()-1,装备库!$AO$2:$AO$1046,0),COLUMN()),"")</f>
        <v>0</v>
      </c>
      <c r="O438">
        <f>IFERROR(INDEX(装备库!$A$2:$Y$1047,MATCH(ROW()-1,装备库!$AO$2:$AO$1046,0),COLUMN()),"")</f>
        <v>0</v>
      </c>
      <c r="P438">
        <f>IFERROR(INDEX(装备库!$A$2:$Y$1047,MATCH(ROW()-1,装备库!$AO$2:$AO$1046,0),COLUMN()),"")</f>
        <v>1</v>
      </c>
      <c r="Q438">
        <f>IFERROR(INDEX(装备库!$A$2:$Y$1047,MATCH(ROW()-1,装备库!$AO$2:$AO$1046,0),COLUMN()),"")</f>
        <v>0</v>
      </c>
      <c r="R438">
        <f>IFERROR(INDEX(装备库!$A$2:$Y$1047,MATCH(ROW()-1,装备库!$AO$2:$AO$1046,0),COLUMN()),"")</f>
        <v>0</v>
      </c>
      <c r="S438">
        <f>IFERROR(INDEX(装备库!$A$2:$Y$1047,MATCH(ROW()-1,装备库!$AO$2:$AO$1046,0),COLUMN()),"")</f>
        <v>0</v>
      </c>
      <c r="T438">
        <f>IFERROR(INDEX(装备库!$A$2:$Y$1047,MATCH(ROW()-1,装备库!$AO$2:$AO$1046,0),COLUMN()),"")</f>
        <v>1</v>
      </c>
      <c r="U438">
        <f>IFERROR(INDEX(装备库!$A$2:$Y$1047,MATCH(ROW()-1,装备库!$AO$2:$AO$1046,0),COLUMN()),"")</f>
        <v>0</v>
      </c>
      <c r="V438">
        <f>IFERROR(INDEX(装备库!$A$2:$Y$1047,MATCH(ROW()-1,装备库!$AO$2:$AO$1046,0),COLUMN()),"")</f>
        <v>0</v>
      </c>
      <c r="W438" t="str">
        <f>IFERROR(INDEX(装备库!$A$2:$Y$1047,MATCH(ROW()-1,装备库!$AO$2:$AO$1046,0),COLUMN()),"")</f>
        <v>精简攻会破</v>
      </c>
      <c r="X438">
        <f>IFERROR(INDEX(装备库!$A$2:$Y$1047,MATCH(ROW()-1,装备库!$AO$2:$AO$1046,0),COLUMN()),"")</f>
        <v>3</v>
      </c>
      <c r="Y438" t="str">
        <f>IFERROR(INDEX(装备库!$A$2:$Y$1047,MATCH(ROW()-1,装备库!$AO$2:$AO$1046,0),COLUMN()),"")</f>
        <v>活动</v>
      </c>
    </row>
    <row r="439" spans="1:25" x14ac:dyDescent="0.35">
      <c r="A439" t="str">
        <f>IFERROR(INDEX(装备库!$A$2:$Y$1047,MATCH(ROW()-1,装备库!$AO$2:$AO$1046,0),COLUMN()),"")</f>
        <v>鞋子</v>
      </c>
      <c r="B439" t="str">
        <f>IFERROR(INDEX(装备库!$A$2:$Y$1047,MATCH(ROW()-1,装备库!$AO$2:$AO$1046,0),COLUMN()),"")</f>
        <v>无封鞋</v>
      </c>
      <c r="C439">
        <f>IFERROR(INDEX(装备库!$A$2:$Y$1047,MATCH(ROW()-1,装备库!$AO$2:$AO$1046,0),COLUMN()),"")</f>
        <v>9700</v>
      </c>
      <c r="D439" t="str">
        <f>IFERROR(INDEX(装备库!$A$2:$Y$1047,MATCH(ROW()-1,装备库!$AO$2:$AO$1046,0),COLUMN()),"")</f>
        <v>无封鞋(9700精简攻会)</v>
      </c>
      <c r="E439">
        <f>IFERROR(INDEX(装备库!$A$2:$Y$1047,MATCH(ROW()-1,装备库!$AO$2:$AO$1046,0),COLUMN()),"")</f>
        <v>0</v>
      </c>
      <c r="F439">
        <f>IFERROR(INDEX(装备库!$A$2:$Y$1047,MATCH(ROW()-1,装备库!$AO$2:$AO$1046,0),COLUMN()),"")</f>
        <v>2012</v>
      </c>
      <c r="G439">
        <f>IFERROR(INDEX(装备库!$A$2:$Y$1047,MATCH(ROW()-1,装备库!$AO$2:$AO$1046,0),COLUMN()),"")</f>
        <v>4560</v>
      </c>
      <c r="H439">
        <f>IFERROR(INDEX(装备库!$A$2:$Y$1047,MATCH(ROW()-1,装备库!$AO$2:$AO$1046,0),COLUMN()),"")</f>
        <v>0</v>
      </c>
      <c r="I439">
        <f>IFERROR(INDEX(装备库!$A$2:$Y$1047,MATCH(ROW()-1,装备库!$AO$2:$AO$1046,0),COLUMN()),"")</f>
        <v>0</v>
      </c>
      <c r="J439">
        <f>IFERROR(INDEX(装备库!$A$2:$Y$1047,MATCH(ROW()-1,装备库!$AO$2:$AO$1046,0),COLUMN()),"")</f>
        <v>0</v>
      </c>
      <c r="K439">
        <f>IFERROR(INDEX(装备库!$A$2:$Y$1047,MATCH(ROW()-1,装备库!$AO$2:$AO$1046,0),COLUMN()),"")</f>
        <v>0</v>
      </c>
      <c r="L439">
        <f>IFERROR(INDEX(装备库!$A$2:$Y$1047,MATCH(ROW()-1,装备库!$AO$2:$AO$1046,0),COLUMN()),"")</f>
        <v>0</v>
      </c>
      <c r="M439">
        <f>IFERROR(INDEX(装备库!$A$2:$Y$1047,MATCH(ROW()-1,装备库!$AO$2:$AO$1046,0),COLUMN()),"")</f>
        <v>0</v>
      </c>
      <c r="N439">
        <f>IFERROR(INDEX(装备库!$A$2:$Y$1047,MATCH(ROW()-1,装备库!$AO$2:$AO$1046,0),COLUMN()),"")</f>
        <v>0</v>
      </c>
      <c r="O439">
        <f>IFERROR(INDEX(装备库!$A$2:$Y$1047,MATCH(ROW()-1,装备库!$AO$2:$AO$1046,0),COLUMN()),"")</f>
        <v>0</v>
      </c>
      <c r="P439">
        <f>IFERROR(INDEX(装备库!$A$2:$Y$1047,MATCH(ROW()-1,装备库!$AO$2:$AO$1046,0),COLUMN()),"")</f>
        <v>0</v>
      </c>
      <c r="Q439">
        <f>IFERROR(INDEX(装备库!$A$2:$Y$1047,MATCH(ROW()-1,装备库!$AO$2:$AO$1046,0),COLUMN()),"")</f>
        <v>1</v>
      </c>
      <c r="R439">
        <f>IFERROR(INDEX(装备库!$A$2:$Y$1047,MATCH(ROW()-1,装备库!$AO$2:$AO$1046,0),COLUMN()),"")</f>
        <v>1</v>
      </c>
      <c r="S439">
        <f>IFERROR(INDEX(装备库!$A$2:$Y$1047,MATCH(ROW()-1,装备库!$AO$2:$AO$1046,0),COLUMN()),"")</f>
        <v>0</v>
      </c>
      <c r="T439">
        <f>IFERROR(INDEX(装备库!$A$2:$Y$1047,MATCH(ROW()-1,装备库!$AO$2:$AO$1046,0),COLUMN()),"")</f>
        <v>0</v>
      </c>
      <c r="U439">
        <f>IFERROR(INDEX(装备库!$A$2:$Y$1047,MATCH(ROW()-1,装备库!$AO$2:$AO$1046,0),COLUMN()),"")</f>
        <v>0</v>
      </c>
      <c r="V439">
        <f>IFERROR(INDEX(装备库!$A$2:$Y$1047,MATCH(ROW()-1,装备库!$AO$2:$AO$1046,0),COLUMN()),"")</f>
        <v>0</v>
      </c>
      <c r="W439" t="str">
        <f>IFERROR(INDEX(装备库!$A$2:$Y$1047,MATCH(ROW()-1,装备库!$AO$2:$AO$1046,0),COLUMN()),"")</f>
        <v>精简攻会</v>
      </c>
      <c r="X439">
        <f>IFERROR(INDEX(装备库!$A$2:$Y$1047,MATCH(ROW()-1,装备库!$AO$2:$AO$1046,0),COLUMN()),"")</f>
        <v>3</v>
      </c>
      <c r="Y439" t="str">
        <f>IFERROR(INDEX(装备库!$A$2:$Y$1047,MATCH(ROW()-1,装备库!$AO$2:$AO$1046,0),COLUMN()),"")</f>
        <v>活动</v>
      </c>
    </row>
    <row r="440" spans="1:25" x14ac:dyDescent="0.35">
      <c r="A440" t="str">
        <f>IFERROR(INDEX(装备库!$A$2:$Y$1047,MATCH(ROW()-1,装备库!$AO$2:$AO$1046,0),COLUMN()),"")</f>
        <v>鞋子</v>
      </c>
      <c r="B440" t="str">
        <f>IFERROR(INDEX(装备库!$A$2:$Y$1047,MATCH(ROW()-1,装备库!$AO$2:$AO$1046,0),COLUMN()),"")</f>
        <v>垣翰靴</v>
      </c>
      <c r="C440">
        <f>IFERROR(INDEX(装备库!$A$2:$Y$1047,MATCH(ROW()-1,装备库!$AO$2:$AO$1046,0),COLUMN()),"")</f>
        <v>10000</v>
      </c>
      <c r="D440" t="str">
        <f>IFERROR(INDEX(装备库!$A$2:$Y$1047,MATCH(ROW()-1,装备库!$AO$2:$AO$1046,0),COLUMN()),"")</f>
        <v>垣翰靴(10000招破)</v>
      </c>
      <c r="E440">
        <f>IFERROR(INDEX(装备库!$A$2:$Y$1047,MATCH(ROW()-1,装备库!$AO$2:$AO$1046,0),COLUMN()),"")</f>
        <v>489</v>
      </c>
      <c r="F440">
        <f>IFERROR(INDEX(装备库!$A$2:$Y$1047,MATCH(ROW()-1,装备库!$AO$2:$AO$1046,0),COLUMN()),"")</f>
        <v>793</v>
      </c>
      <c r="G440">
        <f>IFERROR(INDEX(装备库!$A$2:$Y$1047,MATCH(ROW()-1,装备库!$AO$2:$AO$1046,0),COLUMN()),"")</f>
        <v>0</v>
      </c>
      <c r="H440">
        <f>IFERROR(INDEX(装备库!$A$2:$Y$1047,MATCH(ROW()-1,装备库!$AO$2:$AO$1046,0),COLUMN()),"")</f>
        <v>0</v>
      </c>
      <c r="I440">
        <f>IFERROR(INDEX(装备库!$A$2:$Y$1047,MATCH(ROW()-1,装备库!$AO$2:$AO$1046,0),COLUMN()),"")</f>
        <v>2453</v>
      </c>
      <c r="J440">
        <f>IFERROR(INDEX(装备库!$A$2:$Y$1047,MATCH(ROW()-1,装备库!$AO$2:$AO$1046,0),COLUMN()),"")</f>
        <v>2180</v>
      </c>
      <c r="K440">
        <f>IFERROR(INDEX(装备库!$A$2:$Y$1047,MATCH(ROW()-1,装备库!$AO$2:$AO$1046,0),COLUMN()),"")</f>
        <v>0</v>
      </c>
      <c r="L440">
        <f>IFERROR(INDEX(装备库!$A$2:$Y$1047,MATCH(ROW()-1,装备库!$AO$2:$AO$1046,0),COLUMN()),"")</f>
        <v>0</v>
      </c>
      <c r="M440">
        <f>IFERROR(INDEX(装备库!$A$2:$Y$1047,MATCH(ROW()-1,装备库!$AO$2:$AO$1046,0),COLUMN()),"")</f>
        <v>0</v>
      </c>
      <c r="N440">
        <f>IFERROR(INDEX(装备库!$A$2:$Y$1047,MATCH(ROW()-1,装备库!$AO$2:$AO$1046,0),COLUMN()),"")</f>
        <v>0</v>
      </c>
      <c r="O440">
        <f>IFERROR(INDEX(装备库!$A$2:$Y$1047,MATCH(ROW()-1,装备库!$AO$2:$AO$1046,0),COLUMN()),"")</f>
        <v>0</v>
      </c>
      <c r="P440">
        <f>IFERROR(INDEX(装备库!$A$2:$Y$1047,MATCH(ROW()-1,装备库!$AO$2:$AO$1046,0),COLUMN()),"")</f>
        <v>0</v>
      </c>
      <c r="Q440">
        <f>IFERROR(INDEX(装备库!$A$2:$Y$1047,MATCH(ROW()-1,装备库!$AO$2:$AO$1046,0),COLUMN()),"")</f>
        <v>1</v>
      </c>
      <c r="R440">
        <f>IFERROR(INDEX(装备库!$A$2:$Y$1047,MATCH(ROW()-1,装备库!$AO$2:$AO$1046,0),COLUMN()),"")</f>
        <v>0</v>
      </c>
      <c r="S440">
        <f>IFERROR(INDEX(装备库!$A$2:$Y$1047,MATCH(ROW()-1,装备库!$AO$2:$AO$1046,0),COLUMN()),"")</f>
        <v>0</v>
      </c>
      <c r="T440">
        <f>IFERROR(INDEX(装备库!$A$2:$Y$1047,MATCH(ROW()-1,装备库!$AO$2:$AO$1046,0),COLUMN()),"")</f>
        <v>1</v>
      </c>
      <c r="U440">
        <f>IFERROR(INDEX(装备库!$A$2:$Y$1047,MATCH(ROW()-1,装备库!$AO$2:$AO$1046,0),COLUMN()),"")</f>
        <v>0</v>
      </c>
      <c r="V440">
        <f>IFERROR(INDEX(装备库!$A$2:$Y$1047,MATCH(ROW()-1,装备库!$AO$2:$AO$1046,0),COLUMN()),"")</f>
        <v>0</v>
      </c>
      <c r="W440" t="str">
        <f>IFERROR(INDEX(装备库!$A$2:$Y$1047,MATCH(ROW()-1,装备库!$AO$2:$AO$1046,0),COLUMN()),"")</f>
        <v>招破</v>
      </c>
      <c r="X440">
        <f>IFERROR(INDEX(装备库!$A$2:$Y$1047,MATCH(ROW()-1,装备库!$AO$2:$AO$1046,0),COLUMN()),"")</f>
        <v>6</v>
      </c>
      <c r="Y440" t="str">
        <f>IFERROR(INDEX(装备库!$A$2:$Y$1047,MATCH(ROW()-1,装备库!$AO$2:$AO$1046,0),COLUMN()),"")</f>
        <v>副本</v>
      </c>
    </row>
    <row r="441" spans="1:25" x14ac:dyDescent="0.35">
      <c r="A441" t="str">
        <f>IFERROR(INDEX(装备库!$A$2:$Y$1047,MATCH(ROW()-1,装备库!$AO$2:$AO$1046,0),COLUMN()),"")</f>
        <v>鞋子</v>
      </c>
      <c r="B441" t="str">
        <f>IFERROR(INDEX(装备库!$A$2:$Y$1047,MATCH(ROW()-1,装备库!$AO$2:$AO$1046,0),COLUMN()),"")</f>
        <v>项昌靴</v>
      </c>
      <c r="C441">
        <f>IFERROR(INDEX(装备库!$A$2:$Y$1047,MATCH(ROW()-1,装备库!$AO$2:$AO$1046,0),COLUMN()),"")</f>
        <v>10000</v>
      </c>
      <c r="D441" t="str">
        <f>IFERROR(INDEX(装备库!$A$2:$Y$1047,MATCH(ROW()-1,装备库!$AO$2:$AO$1046,0),COLUMN()),"")</f>
        <v>项昌靴(10000招破)</v>
      </c>
      <c r="E441">
        <f>IFERROR(INDEX(装备库!$A$2:$Y$1047,MATCH(ROW()-1,装备库!$AO$2:$AO$1046,0),COLUMN()),"")</f>
        <v>489</v>
      </c>
      <c r="F441">
        <f>IFERROR(INDEX(装备库!$A$2:$Y$1047,MATCH(ROW()-1,装备库!$AO$2:$AO$1046,0),COLUMN()),"")</f>
        <v>793</v>
      </c>
      <c r="G441">
        <f>IFERROR(INDEX(装备库!$A$2:$Y$1047,MATCH(ROW()-1,装备库!$AO$2:$AO$1046,0),COLUMN()),"")</f>
        <v>0</v>
      </c>
      <c r="H441">
        <f>IFERROR(INDEX(装备库!$A$2:$Y$1047,MATCH(ROW()-1,装备库!$AO$2:$AO$1046,0),COLUMN()),"")</f>
        <v>0</v>
      </c>
      <c r="I441">
        <f>IFERROR(INDEX(装备库!$A$2:$Y$1047,MATCH(ROW()-1,装备库!$AO$2:$AO$1046,0),COLUMN()),"")</f>
        <v>2453</v>
      </c>
      <c r="J441">
        <f>IFERROR(INDEX(装备库!$A$2:$Y$1047,MATCH(ROW()-1,装备库!$AO$2:$AO$1046,0),COLUMN()),"")</f>
        <v>2180</v>
      </c>
      <c r="K441">
        <f>IFERROR(INDEX(装备库!$A$2:$Y$1047,MATCH(ROW()-1,装备库!$AO$2:$AO$1046,0),COLUMN()),"")</f>
        <v>0</v>
      </c>
      <c r="L441">
        <f>IFERROR(INDEX(装备库!$A$2:$Y$1047,MATCH(ROW()-1,装备库!$AO$2:$AO$1046,0),COLUMN()),"")</f>
        <v>0</v>
      </c>
      <c r="M441">
        <f>IFERROR(INDEX(装备库!$A$2:$Y$1047,MATCH(ROW()-1,装备库!$AO$2:$AO$1046,0),COLUMN()),"")</f>
        <v>0</v>
      </c>
      <c r="N441">
        <f>IFERROR(INDEX(装备库!$A$2:$Y$1047,MATCH(ROW()-1,装备库!$AO$2:$AO$1046,0),COLUMN()),"")</f>
        <v>0</v>
      </c>
      <c r="O441">
        <f>IFERROR(INDEX(装备库!$A$2:$Y$1047,MATCH(ROW()-1,装备库!$AO$2:$AO$1046,0),COLUMN()),"")</f>
        <v>0</v>
      </c>
      <c r="P441">
        <f>IFERROR(INDEX(装备库!$A$2:$Y$1047,MATCH(ROW()-1,装备库!$AO$2:$AO$1046,0),COLUMN()),"")</f>
        <v>0</v>
      </c>
      <c r="Q441">
        <f>IFERROR(INDEX(装备库!$A$2:$Y$1047,MATCH(ROW()-1,装备库!$AO$2:$AO$1046,0),COLUMN()),"")</f>
        <v>1</v>
      </c>
      <c r="R441">
        <f>IFERROR(INDEX(装备库!$A$2:$Y$1047,MATCH(ROW()-1,装备库!$AO$2:$AO$1046,0),COLUMN()),"")</f>
        <v>0</v>
      </c>
      <c r="S441">
        <f>IFERROR(INDEX(装备库!$A$2:$Y$1047,MATCH(ROW()-1,装备库!$AO$2:$AO$1046,0),COLUMN()),"")</f>
        <v>0</v>
      </c>
      <c r="T441">
        <f>IFERROR(INDEX(装备库!$A$2:$Y$1047,MATCH(ROW()-1,装备库!$AO$2:$AO$1046,0),COLUMN()),"")</f>
        <v>1</v>
      </c>
      <c r="U441">
        <f>IFERROR(INDEX(装备库!$A$2:$Y$1047,MATCH(ROW()-1,装备库!$AO$2:$AO$1046,0),COLUMN()),"")</f>
        <v>0</v>
      </c>
      <c r="V441">
        <f>IFERROR(INDEX(装备库!$A$2:$Y$1047,MATCH(ROW()-1,装备库!$AO$2:$AO$1046,0),COLUMN()),"")</f>
        <v>0</v>
      </c>
      <c r="W441" t="str">
        <f>IFERROR(INDEX(装备库!$A$2:$Y$1047,MATCH(ROW()-1,装备库!$AO$2:$AO$1046,0),COLUMN()),"")</f>
        <v>招破</v>
      </c>
      <c r="X441">
        <f>IFERROR(INDEX(装备库!$A$2:$Y$1047,MATCH(ROW()-1,装备库!$AO$2:$AO$1046,0),COLUMN()),"")</f>
        <v>6</v>
      </c>
      <c r="Y441" t="str">
        <f>IFERROR(INDEX(装备库!$A$2:$Y$1047,MATCH(ROW()-1,装备库!$AO$2:$AO$1046,0),COLUMN()),"")</f>
        <v>副本</v>
      </c>
    </row>
    <row r="442" spans="1:25" x14ac:dyDescent="0.35">
      <c r="A442" t="str">
        <f>IFERROR(INDEX(装备库!$A$2:$Y$1047,MATCH(ROW()-1,装备库!$AO$2:$AO$1046,0),COLUMN()),"")</f>
        <v>鞋子</v>
      </c>
      <c r="B442" t="str">
        <f>IFERROR(INDEX(装备库!$A$2:$Y$1047,MATCH(ROW()-1,装备库!$AO$2:$AO$1046,0),COLUMN()),"")</f>
        <v>曲郦靴</v>
      </c>
      <c r="C442">
        <f>IFERROR(INDEX(装备库!$A$2:$Y$1047,MATCH(ROW()-1,装备库!$AO$2:$AO$1046,0),COLUMN()),"")</f>
        <v>10000</v>
      </c>
      <c r="D442" t="str">
        <f>IFERROR(INDEX(装备库!$A$2:$Y$1047,MATCH(ROW()-1,装备库!$AO$2:$AO$1046,0),COLUMN()),"")</f>
        <v>曲郦靴(10000速招)</v>
      </c>
      <c r="E442">
        <f>IFERROR(INDEX(装备库!$A$2:$Y$1047,MATCH(ROW()-1,装备库!$AO$2:$AO$1046,0),COLUMN()),"")</f>
        <v>489</v>
      </c>
      <c r="F442">
        <f>IFERROR(INDEX(装备库!$A$2:$Y$1047,MATCH(ROW()-1,装备库!$AO$2:$AO$1046,0),COLUMN()),"")</f>
        <v>793</v>
      </c>
      <c r="G442">
        <f>IFERROR(INDEX(装备库!$A$2:$Y$1047,MATCH(ROW()-1,装备库!$AO$2:$AO$1046,0),COLUMN()),"")</f>
        <v>0</v>
      </c>
      <c r="H442">
        <f>IFERROR(INDEX(装备库!$A$2:$Y$1047,MATCH(ROW()-1,装备库!$AO$2:$AO$1046,0),COLUMN()),"")</f>
        <v>0</v>
      </c>
      <c r="I442">
        <f>IFERROR(INDEX(装备库!$A$2:$Y$1047,MATCH(ROW()-1,装备库!$AO$2:$AO$1046,0),COLUMN()),"")</f>
        <v>0</v>
      </c>
      <c r="J442">
        <f>IFERROR(INDEX(装备库!$A$2:$Y$1047,MATCH(ROW()-1,装备库!$AO$2:$AO$1046,0),COLUMN()),"")</f>
        <v>2180</v>
      </c>
      <c r="K442">
        <f>IFERROR(INDEX(装备库!$A$2:$Y$1047,MATCH(ROW()-1,装备库!$AO$2:$AO$1046,0),COLUMN()),"")</f>
        <v>0</v>
      </c>
      <c r="L442">
        <f>IFERROR(INDEX(装备库!$A$2:$Y$1047,MATCH(ROW()-1,装备库!$AO$2:$AO$1046,0),COLUMN()),"")</f>
        <v>2453</v>
      </c>
      <c r="M442">
        <f>IFERROR(INDEX(装备库!$A$2:$Y$1047,MATCH(ROW()-1,装备库!$AO$2:$AO$1046,0),COLUMN()),"")</f>
        <v>0</v>
      </c>
      <c r="N442">
        <f>IFERROR(INDEX(装备库!$A$2:$Y$1047,MATCH(ROW()-1,装备库!$AO$2:$AO$1046,0),COLUMN()),"")</f>
        <v>0</v>
      </c>
      <c r="O442">
        <f>IFERROR(INDEX(装备库!$A$2:$Y$1047,MATCH(ROW()-1,装备库!$AO$2:$AO$1046,0),COLUMN()),"")</f>
        <v>1</v>
      </c>
      <c r="P442">
        <f>IFERROR(INDEX(装备库!$A$2:$Y$1047,MATCH(ROW()-1,装备库!$AO$2:$AO$1046,0),COLUMN()),"")</f>
        <v>1</v>
      </c>
      <c r="Q442">
        <f>IFERROR(INDEX(装备库!$A$2:$Y$1047,MATCH(ROW()-1,装备库!$AO$2:$AO$1046,0),COLUMN()),"")</f>
        <v>0</v>
      </c>
      <c r="R442">
        <f>IFERROR(INDEX(装备库!$A$2:$Y$1047,MATCH(ROW()-1,装备库!$AO$2:$AO$1046,0),COLUMN()),"")</f>
        <v>0</v>
      </c>
      <c r="S442">
        <f>IFERROR(INDEX(装备库!$A$2:$Y$1047,MATCH(ROW()-1,装备库!$AO$2:$AO$1046,0),COLUMN()),"")</f>
        <v>0</v>
      </c>
      <c r="T442">
        <f>IFERROR(INDEX(装备库!$A$2:$Y$1047,MATCH(ROW()-1,装备库!$AO$2:$AO$1046,0),COLUMN()),"")</f>
        <v>0</v>
      </c>
      <c r="U442">
        <f>IFERROR(INDEX(装备库!$A$2:$Y$1047,MATCH(ROW()-1,装备库!$AO$2:$AO$1046,0),COLUMN()),"")</f>
        <v>0</v>
      </c>
      <c r="V442">
        <f>IFERROR(INDEX(装备库!$A$2:$Y$1047,MATCH(ROW()-1,装备库!$AO$2:$AO$1046,0),COLUMN()),"")</f>
        <v>0</v>
      </c>
      <c r="W442" t="str">
        <f>IFERROR(INDEX(装备库!$A$2:$Y$1047,MATCH(ROW()-1,装备库!$AO$2:$AO$1046,0),COLUMN()),"")</f>
        <v>速招</v>
      </c>
      <c r="X442">
        <f>IFERROR(INDEX(装备库!$A$2:$Y$1047,MATCH(ROW()-1,装备库!$AO$2:$AO$1046,0),COLUMN()),"")</f>
        <v>6</v>
      </c>
      <c r="Y442" t="str">
        <f>IFERROR(INDEX(装备库!$A$2:$Y$1047,MATCH(ROW()-1,装备库!$AO$2:$AO$1046,0),COLUMN()),"")</f>
        <v>副本</v>
      </c>
    </row>
    <row r="443" spans="1:25" x14ac:dyDescent="0.35">
      <c r="A443" t="str">
        <f>IFERROR(INDEX(装备库!$A$2:$Y$1047,MATCH(ROW()-1,装备库!$AO$2:$AO$1046,0),COLUMN()),"")</f>
        <v>鞋子</v>
      </c>
      <c r="B443" t="str">
        <f>IFERROR(INDEX(装备库!$A$2:$Y$1047,MATCH(ROW()-1,装备库!$AO$2:$AO$1046,0),COLUMN()),"")</f>
        <v>重关履</v>
      </c>
      <c r="C443">
        <f>IFERROR(INDEX(装备库!$A$2:$Y$1047,MATCH(ROW()-1,装备库!$AO$2:$AO$1046,0),COLUMN()),"")</f>
        <v>10000</v>
      </c>
      <c r="D443" t="str">
        <f>IFERROR(INDEX(装备库!$A$2:$Y$1047,MATCH(ROW()-1,装备库!$AO$2:$AO$1046,0),COLUMN()),"")</f>
        <v>重关履(10000速无)</v>
      </c>
      <c r="E443">
        <f>IFERROR(INDEX(装备库!$A$2:$Y$1047,MATCH(ROW()-1,装备库!$AO$2:$AO$1046,0),COLUMN()),"")</f>
        <v>489</v>
      </c>
      <c r="F443">
        <f>IFERROR(INDEX(装备库!$A$2:$Y$1047,MATCH(ROW()-1,装备库!$AO$2:$AO$1046,0),COLUMN()),"")</f>
        <v>793</v>
      </c>
      <c r="G443">
        <f>IFERROR(INDEX(装备库!$A$2:$Y$1047,MATCH(ROW()-1,装备库!$AO$2:$AO$1046,0),COLUMN()),"")</f>
        <v>0</v>
      </c>
      <c r="H443">
        <f>IFERROR(INDEX(装备库!$A$2:$Y$1047,MATCH(ROW()-1,装备库!$AO$2:$AO$1046,0),COLUMN()),"")</f>
        <v>0</v>
      </c>
      <c r="I443">
        <f>IFERROR(INDEX(装备库!$A$2:$Y$1047,MATCH(ROW()-1,装备库!$AO$2:$AO$1046,0),COLUMN()),"")</f>
        <v>0</v>
      </c>
      <c r="J443">
        <f>IFERROR(INDEX(装备库!$A$2:$Y$1047,MATCH(ROW()-1,装备库!$AO$2:$AO$1046,0),COLUMN()),"")</f>
        <v>0</v>
      </c>
      <c r="K443">
        <f>IFERROR(INDEX(装备库!$A$2:$Y$1047,MATCH(ROW()-1,装备库!$AO$2:$AO$1046,0),COLUMN()),"")</f>
        <v>2180</v>
      </c>
      <c r="L443">
        <f>IFERROR(INDEX(装备库!$A$2:$Y$1047,MATCH(ROW()-1,装备库!$AO$2:$AO$1046,0),COLUMN()),"")</f>
        <v>2453</v>
      </c>
      <c r="M443">
        <f>IFERROR(INDEX(装备库!$A$2:$Y$1047,MATCH(ROW()-1,装备库!$AO$2:$AO$1046,0),COLUMN()),"")</f>
        <v>0</v>
      </c>
      <c r="N443">
        <f>IFERROR(INDEX(装备库!$A$2:$Y$1047,MATCH(ROW()-1,装备库!$AO$2:$AO$1046,0),COLUMN()),"")</f>
        <v>0</v>
      </c>
      <c r="O443">
        <f>IFERROR(INDEX(装备库!$A$2:$Y$1047,MATCH(ROW()-1,装备库!$AO$2:$AO$1046,0),COLUMN()),"")</f>
        <v>0</v>
      </c>
      <c r="P443">
        <f>IFERROR(INDEX(装备库!$A$2:$Y$1047,MATCH(ROW()-1,装备库!$AO$2:$AO$1046,0),COLUMN()),"")</f>
        <v>0</v>
      </c>
      <c r="Q443">
        <f>IFERROR(INDEX(装备库!$A$2:$Y$1047,MATCH(ROW()-1,装备库!$AO$2:$AO$1046,0),COLUMN()),"")</f>
        <v>0</v>
      </c>
      <c r="R443">
        <f>IFERROR(INDEX(装备库!$A$2:$Y$1047,MATCH(ROW()-1,装备库!$AO$2:$AO$1046,0),COLUMN()),"")</f>
        <v>0</v>
      </c>
      <c r="S443">
        <f>IFERROR(INDEX(装备库!$A$2:$Y$1047,MATCH(ROW()-1,装备库!$AO$2:$AO$1046,0),COLUMN()),"")</f>
        <v>1</v>
      </c>
      <c r="T443">
        <f>IFERROR(INDEX(装备库!$A$2:$Y$1047,MATCH(ROW()-1,装备库!$AO$2:$AO$1046,0),COLUMN()),"")</f>
        <v>0</v>
      </c>
      <c r="U443">
        <f>IFERROR(INDEX(装备库!$A$2:$Y$1047,MATCH(ROW()-1,装备库!$AO$2:$AO$1046,0),COLUMN()),"")</f>
        <v>1</v>
      </c>
      <c r="V443">
        <f>IFERROR(INDEX(装备库!$A$2:$Y$1047,MATCH(ROW()-1,装备库!$AO$2:$AO$1046,0),COLUMN()),"")</f>
        <v>0</v>
      </c>
      <c r="W443" t="str">
        <f>IFERROR(INDEX(装备库!$A$2:$Y$1047,MATCH(ROW()-1,装备库!$AO$2:$AO$1046,0),COLUMN()),"")</f>
        <v>速无</v>
      </c>
      <c r="X443">
        <f>IFERROR(INDEX(装备库!$A$2:$Y$1047,MATCH(ROW()-1,装备库!$AO$2:$AO$1046,0),COLUMN()),"")</f>
        <v>6</v>
      </c>
      <c r="Y443" t="str">
        <f>IFERROR(INDEX(装备库!$A$2:$Y$1047,MATCH(ROW()-1,装备库!$AO$2:$AO$1046,0),COLUMN()),"")</f>
        <v>副本</v>
      </c>
    </row>
    <row r="444" spans="1:25" x14ac:dyDescent="0.35">
      <c r="A444" t="str">
        <f>IFERROR(INDEX(装备库!$A$2:$Y$1047,MATCH(ROW()-1,装备库!$AO$2:$AO$1046,0),COLUMN()),"")</f>
        <v>鞋子</v>
      </c>
      <c r="B444" t="str">
        <f>IFERROR(INDEX(装备库!$A$2:$Y$1047,MATCH(ROW()-1,装备库!$AO$2:$AO$1046,0),COLUMN()),"")</f>
        <v>拭江靴</v>
      </c>
      <c r="C444">
        <f>IFERROR(INDEX(装备库!$A$2:$Y$1047,MATCH(ROW()-1,装备库!$AO$2:$AO$1046,0),COLUMN()),"")</f>
        <v>10000</v>
      </c>
      <c r="D444" t="str">
        <f>IFERROR(INDEX(装备库!$A$2:$Y$1047,MATCH(ROW()-1,装备库!$AO$2:$AO$1046,0),COLUMN()),"")</f>
        <v>拭江靴(10000速无)</v>
      </c>
      <c r="E444">
        <f>IFERROR(INDEX(装备库!$A$2:$Y$1047,MATCH(ROW()-1,装备库!$AO$2:$AO$1046,0),COLUMN()),"")</f>
        <v>489</v>
      </c>
      <c r="F444">
        <f>IFERROR(INDEX(装备库!$A$2:$Y$1047,MATCH(ROW()-1,装备库!$AO$2:$AO$1046,0),COLUMN()),"")</f>
        <v>793</v>
      </c>
      <c r="G444">
        <f>IFERROR(INDEX(装备库!$A$2:$Y$1047,MATCH(ROW()-1,装备库!$AO$2:$AO$1046,0),COLUMN()),"")</f>
        <v>0</v>
      </c>
      <c r="H444">
        <f>IFERROR(INDEX(装备库!$A$2:$Y$1047,MATCH(ROW()-1,装备库!$AO$2:$AO$1046,0),COLUMN()),"")</f>
        <v>0</v>
      </c>
      <c r="I444">
        <f>IFERROR(INDEX(装备库!$A$2:$Y$1047,MATCH(ROW()-1,装备库!$AO$2:$AO$1046,0),COLUMN()),"")</f>
        <v>0</v>
      </c>
      <c r="J444">
        <f>IFERROR(INDEX(装备库!$A$2:$Y$1047,MATCH(ROW()-1,装备库!$AO$2:$AO$1046,0),COLUMN()),"")</f>
        <v>0</v>
      </c>
      <c r="K444">
        <f>IFERROR(INDEX(装备库!$A$2:$Y$1047,MATCH(ROW()-1,装备库!$AO$2:$AO$1046,0),COLUMN()),"")</f>
        <v>2180</v>
      </c>
      <c r="L444">
        <f>IFERROR(INDEX(装备库!$A$2:$Y$1047,MATCH(ROW()-1,装备库!$AO$2:$AO$1046,0),COLUMN()),"")</f>
        <v>2453</v>
      </c>
      <c r="M444">
        <f>IFERROR(INDEX(装备库!$A$2:$Y$1047,MATCH(ROW()-1,装备库!$AO$2:$AO$1046,0),COLUMN()),"")</f>
        <v>0</v>
      </c>
      <c r="N444">
        <f>IFERROR(INDEX(装备库!$A$2:$Y$1047,MATCH(ROW()-1,装备库!$AO$2:$AO$1046,0),COLUMN()),"")</f>
        <v>0</v>
      </c>
      <c r="O444">
        <f>IFERROR(INDEX(装备库!$A$2:$Y$1047,MATCH(ROW()-1,装备库!$AO$2:$AO$1046,0),COLUMN()),"")</f>
        <v>0</v>
      </c>
      <c r="P444">
        <f>IFERROR(INDEX(装备库!$A$2:$Y$1047,MATCH(ROW()-1,装备库!$AO$2:$AO$1046,0),COLUMN()),"")</f>
        <v>0</v>
      </c>
      <c r="Q444">
        <f>IFERROR(INDEX(装备库!$A$2:$Y$1047,MATCH(ROW()-1,装备库!$AO$2:$AO$1046,0),COLUMN()),"")</f>
        <v>0</v>
      </c>
      <c r="R444">
        <f>IFERROR(INDEX(装备库!$A$2:$Y$1047,MATCH(ROW()-1,装备库!$AO$2:$AO$1046,0),COLUMN()),"")</f>
        <v>0</v>
      </c>
      <c r="S444">
        <f>IFERROR(INDEX(装备库!$A$2:$Y$1047,MATCH(ROW()-1,装备库!$AO$2:$AO$1046,0),COLUMN()),"")</f>
        <v>1</v>
      </c>
      <c r="T444">
        <f>IFERROR(INDEX(装备库!$A$2:$Y$1047,MATCH(ROW()-1,装备库!$AO$2:$AO$1046,0),COLUMN()),"")</f>
        <v>0</v>
      </c>
      <c r="U444">
        <f>IFERROR(INDEX(装备库!$A$2:$Y$1047,MATCH(ROW()-1,装备库!$AO$2:$AO$1046,0),COLUMN()),"")</f>
        <v>1</v>
      </c>
      <c r="V444">
        <f>IFERROR(INDEX(装备库!$A$2:$Y$1047,MATCH(ROW()-1,装备库!$AO$2:$AO$1046,0),COLUMN()),"")</f>
        <v>0</v>
      </c>
      <c r="W444" t="str">
        <f>IFERROR(INDEX(装备库!$A$2:$Y$1047,MATCH(ROW()-1,装备库!$AO$2:$AO$1046,0),COLUMN()),"")</f>
        <v>速无</v>
      </c>
      <c r="X444">
        <f>IFERROR(INDEX(装备库!$A$2:$Y$1047,MATCH(ROW()-1,装备库!$AO$2:$AO$1046,0),COLUMN()),"")</f>
        <v>6</v>
      </c>
      <c r="Y444" t="str">
        <f>IFERROR(INDEX(装备库!$A$2:$Y$1047,MATCH(ROW()-1,装备库!$AO$2:$AO$1046,0),COLUMN()),"")</f>
        <v>副本</v>
      </c>
    </row>
    <row r="445" spans="1:25" x14ac:dyDescent="0.35">
      <c r="A445" t="str">
        <f>IFERROR(INDEX(装备库!$A$2:$Y$1047,MATCH(ROW()-1,装备库!$AO$2:$AO$1046,0),COLUMN()),"")</f>
        <v>鞋子</v>
      </c>
      <c r="B445" t="str">
        <f>IFERROR(INDEX(装备库!$A$2:$Y$1047,MATCH(ROW()-1,装备库!$AO$2:$AO$1046,0),COLUMN()),"")</f>
        <v>【门派套装】展锋·望云履</v>
      </c>
      <c r="C445">
        <f>IFERROR(INDEX(装备库!$A$2:$Y$1047,MATCH(ROW()-1,装备库!$AO$2:$AO$1046,0),COLUMN()),"")</f>
        <v>10000</v>
      </c>
      <c r="D445" t="str">
        <f>IFERROR(INDEX(装备库!$A$2:$Y$1047,MATCH(ROW()-1,装备库!$AO$2:$AO$1046,0),COLUMN()),"")</f>
        <v>【门派套装】展锋·望云履(10000破无)</v>
      </c>
      <c r="E445">
        <f>IFERROR(INDEX(装备库!$A$2:$Y$1047,MATCH(ROW()-1,装备库!$AO$2:$AO$1046,0),COLUMN()),"")</f>
        <v>489</v>
      </c>
      <c r="F445">
        <f>IFERROR(INDEX(装备库!$A$2:$Y$1047,MATCH(ROW()-1,装备库!$AO$2:$AO$1046,0),COLUMN()),"")</f>
        <v>793</v>
      </c>
      <c r="G445">
        <f>IFERROR(INDEX(装备库!$A$2:$Y$1047,MATCH(ROW()-1,装备库!$AO$2:$AO$1046,0),COLUMN()),"")</f>
        <v>0</v>
      </c>
      <c r="H445">
        <f>IFERROR(INDEX(装备库!$A$2:$Y$1047,MATCH(ROW()-1,装备库!$AO$2:$AO$1046,0),COLUMN()),"")</f>
        <v>0</v>
      </c>
      <c r="I445">
        <f>IFERROR(INDEX(装备库!$A$2:$Y$1047,MATCH(ROW()-1,装备库!$AO$2:$AO$1046,0),COLUMN()),"")</f>
        <v>2453</v>
      </c>
      <c r="J445">
        <f>IFERROR(INDEX(装备库!$A$2:$Y$1047,MATCH(ROW()-1,装备库!$AO$2:$AO$1046,0),COLUMN()),"")</f>
        <v>0</v>
      </c>
      <c r="K445">
        <f>IFERROR(INDEX(装备库!$A$2:$Y$1047,MATCH(ROW()-1,装备库!$AO$2:$AO$1046,0),COLUMN()),"")</f>
        <v>2180</v>
      </c>
      <c r="L445">
        <f>IFERROR(INDEX(装备库!$A$2:$Y$1047,MATCH(ROW()-1,装备库!$AO$2:$AO$1046,0),COLUMN()),"")</f>
        <v>0</v>
      </c>
      <c r="M445">
        <f>IFERROR(INDEX(装备库!$A$2:$Y$1047,MATCH(ROW()-1,装备库!$AO$2:$AO$1046,0),COLUMN()),"")</f>
        <v>0</v>
      </c>
      <c r="N445">
        <f>IFERROR(INDEX(装备库!$A$2:$Y$1047,MATCH(ROW()-1,装备库!$AO$2:$AO$1046,0),COLUMN()),"")</f>
        <v>0</v>
      </c>
      <c r="O445">
        <f>IFERROR(INDEX(装备库!$A$2:$Y$1047,MATCH(ROW()-1,装备库!$AO$2:$AO$1046,0),COLUMN()),"")</f>
        <v>0</v>
      </c>
      <c r="P445">
        <f>IFERROR(INDEX(装备库!$A$2:$Y$1047,MATCH(ROW()-1,装备库!$AO$2:$AO$1046,0),COLUMN()),"")</f>
        <v>1</v>
      </c>
      <c r="Q445">
        <f>IFERROR(INDEX(装备库!$A$2:$Y$1047,MATCH(ROW()-1,装备库!$AO$2:$AO$1046,0),COLUMN()),"")</f>
        <v>0</v>
      </c>
      <c r="R445">
        <f>IFERROR(INDEX(装备库!$A$2:$Y$1047,MATCH(ROW()-1,装备库!$AO$2:$AO$1046,0),COLUMN()),"")</f>
        <v>0</v>
      </c>
      <c r="S445">
        <f>IFERROR(INDEX(装备库!$A$2:$Y$1047,MATCH(ROW()-1,装备库!$AO$2:$AO$1046,0),COLUMN()),"")</f>
        <v>1</v>
      </c>
      <c r="T445">
        <f>IFERROR(INDEX(装备库!$A$2:$Y$1047,MATCH(ROW()-1,装备库!$AO$2:$AO$1046,0),COLUMN()),"")</f>
        <v>0</v>
      </c>
      <c r="U445">
        <f>IFERROR(INDEX(装备库!$A$2:$Y$1047,MATCH(ROW()-1,装备库!$AO$2:$AO$1046,0),COLUMN()),"")</f>
        <v>0</v>
      </c>
      <c r="V445">
        <f>IFERROR(INDEX(装备库!$A$2:$Y$1047,MATCH(ROW()-1,装备库!$AO$2:$AO$1046,0),COLUMN()),"")</f>
        <v>0</v>
      </c>
      <c r="W445" t="str">
        <f>IFERROR(INDEX(装备库!$A$2:$Y$1047,MATCH(ROW()-1,装备库!$AO$2:$AO$1046,0),COLUMN()),"")</f>
        <v>破无</v>
      </c>
      <c r="X445">
        <f>IFERROR(INDEX(装备库!$A$2:$Y$1047,MATCH(ROW()-1,装备库!$AO$2:$AO$1046,0),COLUMN()),"")</f>
        <v>6</v>
      </c>
      <c r="Y445" t="str">
        <f>IFERROR(INDEX(装备库!$A$2:$Y$1047,MATCH(ROW()-1,装备库!$AO$2:$AO$1046,0),COLUMN()),"")</f>
        <v>兑换牌</v>
      </c>
    </row>
    <row r="446" spans="1:25" x14ac:dyDescent="0.35">
      <c r="A446" t="str">
        <f>IFERROR(INDEX(装备库!$A$2:$Y$1047,MATCH(ROW()-1,装备库!$AO$2:$AO$1046,0),COLUMN()),"")</f>
        <v>鞋子</v>
      </c>
      <c r="B446" t="str">
        <f>IFERROR(INDEX(装备库!$A$2:$Y$1047,MATCH(ROW()-1,装备库!$AO$2:$AO$1046,0),COLUMN()),"")</f>
        <v>忆敬履</v>
      </c>
      <c r="C446">
        <f>IFERROR(INDEX(装备库!$A$2:$Y$1047,MATCH(ROW()-1,装备库!$AO$2:$AO$1046,0),COLUMN()),"")</f>
        <v>10000</v>
      </c>
      <c r="D446" t="str">
        <f>IFERROR(INDEX(装备库!$A$2:$Y$1047,MATCH(ROW()-1,装备库!$AO$2:$AO$1046,0),COLUMN()),"")</f>
        <v>忆敬履(10000会招)</v>
      </c>
      <c r="E446">
        <f>IFERROR(INDEX(装备库!$A$2:$Y$1047,MATCH(ROW()-1,装备库!$AO$2:$AO$1046,0),COLUMN()),"")</f>
        <v>489</v>
      </c>
      <c r="F446">
        <f>IFERROR(INDEX(装备库!$A$2:$Y$1047,MATCH(ROW()-1,装备库!$AO$2:$AO$1046,0),COLUMN()),"")</f>
        <v>793</v>
      </c>
      <c r="G446">
        <f>IFERROR(INDEX(装备库!$A$2:$Y$1047,MATCH(ROW()-1,装备库!$AO$2:$AO$1046,0),COLUMN()),"")</f>
        <v>2453</v>
      </c>
      <c r="H446">
        <f>IFERROR(INDEX(装备库!$A$2:$Y$1047,MATCH(ROW()-1,装备库!$AO$2:$AO$1046,0),COLUMN()),"")</f>
        <v>0</v>
      </c>
      <c r="I446">
        <f>IFERROR(INDEX(装备库!$A$2:$Y$1047,MATCH(ROW()-1,装备库!$AO$2:$AO$1046,0),COLUMN()),"")</f>
        <v>0</v>
      </c>
      <c r="J446">
        <f>IFERROR(INDEX(装备库!$A$2:$Y$1047,MATCH(ROW()-1,装备库!$AO$2:$AO$1046,0),COLUMN()),"")</f>
        <v>2180</v>
      </c>
      <c r="K446">
        <f>IFERROR(INDEX(装备库!$A$2:$Y$1047,MATCH(ROW()-1,装备库!$AO$2:$AO$1046,0),COLUMN()),"")</f>
        <v>0</v>
      </c>
      <c r="L446">
        <f>IFERROR(INDEX(装备库!$A$2:$Y$1047,MATCH(ROW()-1,装备库!$AO$2:$AO$1046,0),COLUMN()),"")</f>
        <v>0</v>
      </c>
      <c r="M446">
        <f>IFERROR(INDEX(装备库!$A$2:$Y$1047,MATCH(ROW()-1,装备库!$AO$2:$AO$1046,0),COLUMN()),"")</f>
        <v>0</v>
      </c>
      <c r="N446">
        <f>IFERROR(INDEX(装备库!$A$2:$Y$1047,MATCH(ROW()-1,装备库!$AO$2:$AO$1046,0),COLUMN()),"")</f>
        <v>0</v>
      </c>
      <c r="O446">
        <f>IFERROR(INDEX(装备库!$A$2:$Y$1047,MATCH(ROW()-1,装备库!$AO$2:$AO$1046,0),COLUMN()),"")</f>
        <v>0</v>
      </c>
      <c r="P446">
        <f>IFERROR(INDEX(装备库!$A$2:$Y$1047,MATCH(ROW()-1,装备库!$AO$2:$AO$1046,0),COLUMN()),"")</f>
        <v>0</v>
      </c>
      <c r="Q446">
        <f>IFERROR(INDEX(装备库!$A$2:$Y$1047,MATCH(ROW()-1,装备库!$AO$2:$AO$1046,0),COLUMN()),"")</f>
        <v>1</v>
      </c>
      <c r="R446">
        <f>IFERROR(INDEX(装备库!$A$2:$Y$1047,MATCH(ROW()-1,装备库!$AO$2:$AO$1046,0),COLUMN()),"")</f>
        <v>0</v>
      </c>
      <c r="S446">
        <f>IFERROR(INDEX(装备库!$A$2:$Y$1047,MATCH(ROW()-1,装备库!$AO$2:$AO$1046,0),COLUMN()),"")</f>
        <v>0</v>
      </c>
      <c r="T446">
        <f>IFERROR(INDEX(装备库!$A$2:$Y$1047,MATCH(ROW()-1,装备库!$AO$2:$AO$1046,0),COLUMN()),"")</f>
        <v>1</v>
      </c>
      <c r="U446">
        <f>IFERROR(INDEX(装备库!$A$2:$Y$1047,MATCH(ROW()-1,装备库!$AO$2:$AO$1046,0),COLUMN()),"")</f>
        <v>0</v>
      </c>
      <c r="V446">
        <f>IFERROR(INDEX(装备库!$A$2:$Y$1047,MATCH(ROW()-1,装备库!$AO$2:$AO$1046,0),COLUMN()),"")</f>
        <v>0</v>
      </c>
      <c r="W446" t="str">
        <f>IFERROR(INDEX(装备库!$A$2:$Y$1047,MATCH(ROW()-1,装备库!$AO$2:$AO$1046,0),COLUMN()),"")</f>
        <v>会招</v>
      </c>
      <c r="X446">
        <f>IFERROR(INDEX(装备库!$A$2:$Y$1047,MATCH(ROW()-1,装备库!$AO$2:$AO$1046,0),COLUMN()),"")</f>
        <v>6</v>
      </c>
      <c r="Y446" t="str">
        <f>IFERROR(INDEX(装备库!$A$2:$Y$1047,MATCH(ROW()-1,装备库!$AO$2:$AO$1046,0),COLUMN()),"")</f>
        <v>副本</v>
      </c>
    </row>
    <row r="447" spans="1:25" x14ac:dyDescent="0.35">
      <c r="A447" t="str">
        <f>IFERROR(INDEX(装备库!$A$2:$Y$1047,MATCH(ROW()-1,装备库!$AO$2:$AO$1046,0),COLUMN()),"")</f>
        <v>鞋子</v>
      </c>
      <c r="B447" t="str">
        <f>IFERROR(INDEX(装备库!$A$2:$Y$1047,MATCH(ROW()-1,装备库!$AO$2:$AO$1046,0),COLUMN()),"")</f>
        <v>羡双靴</v>
      </c>
      <c r="C447">
        <f>IFERROR(INDEX(装备库!$A$2:$Y$1047,MATCH(ROW()-1,装备库!$AO$2:$AO$1046,0),COLUMN()),"")</f>
        <v>10000</v>
      </c>
      <c r="D447" t="str">
        <f>IFERROR(INDEX(装备库!$A$2:$Y$1047,MATCH(ROW()-1,装备库!$AO$2:$AO$1046,0),COLUMN()),"")</f>
        <v>羡双靴(10000会无)</v>
      </c>
      <c r="E447">
        <f>IFERROR(INDEX(装备库!$A$2:$Y$1047,MATCH(ROW()-1,装备库!$AO$2:$AO$1046,0),COLUMN()),"")</f>
        <v>489</v>
      </c>
      <c r="F447">
        <f>IFERROR(INDEX(装备库!$A$2:$Y$1047,MATCH(ROW()-1,装备库!$AO$2:$AO$1046,0),COLUMN()),"")</f>
        <v>793</v>
      </c>
      <c r="G447">
        <f>IFERROR(INDEX(装备库!$A$2:$Y$1047,MATCH(ROW()-1,装备库!$AO$2:$AO$1046,0),COLUMN()),"")</f>
        <v>2453</v>
      </c>
      <c r="H447">
        <f>IFERROR(INDEX(装备库!$A$2:$Y$1047,MATCH(ROW()-1,装备库!$AO$2:$AO$1046,0),COLUMN()),"")</f>
        <v>0</v>
      </c>
      <c r="I447">
        <f>IFERROR(INDEX(装备库!$A$2:$Y$1047,MATCH(ROW()-1,装备库!$AO$2:$AO$1046,0),COLUMN()),"")</f>
        <v>0</v>
      </c>
      <c r="J447">
        <f>IFERROR(INDEX(装备库!$A$2:$Y$1047,MATCH(ROW()-1,装备库!$AO$2:$AO$1046,0),COLUMN()),"")</f>
        <v>0</v>
      </c>
      <c r="K447">
        <f>IFERROR(INDEX(装备库!$A$2:$Y$1047,MATCH(ROW()-1,装备库!$AO$2:$AO$1046,0),COLUMN()),"")</f>
        <v>2180</v>
      </c>
      <c r="L447">
        <f>IFERROR(INDEX(装备库!$A$2:$Y$1047,MATCH(ROW()-1,装备库!$AO$2:$AO$1046,0),COLUMN()),"")</f>
        <v>0</v>
      </c>
      <c r="M447">
        <f>IFERROR(INDEX(装备库!$A$2:$Y$1047,MATCH(ROW()-1,装备库!$AO$2:$AO$1046,0),COLUMN()),"")</f>
        <v>0</v>
      </c>
      <c r="N447">
        <f>IFERROR(INDEX(装备库!$A$2:$Y$1047,MATCH(ROW()-1,装备库!$AO$2:$AO$1046,0),COLUMN()),"")</f>
        <v>0</v>
      </c>
      <c r="O447">
        <f>IFERROR(INDEX(装备库!$A$2:$Y$1047,MATCH(ROW()-1,装备库!$AO$2:$AO$1046,0),COLUMN()),"")</f>
        <v>1</v>
      </c>
      <c r="P447">
        <f>IFERROR(INDEX(装备库!$A$2:$Y$1047,MATCH(ROW()-1,装备库!$AO$2:$AO$1046,0),COLUMN()),"")</f>
        <v>0</v>
      </c>
      <c r="Q447">
        <f>IFERROR(INDEX(装备库!$A$2:$Y$1047,MATCH(ROW()-1,装备库!$AO$2:$AO$1046,0),COLUMN()),"")</f>
        <v>0</v>
      </c>
      <c r="R447">
        <f>IFERROR(INDEX(装备库!$A$2:$Y$1047,MATCH(ROW()-1,装备库!$AO$2:$AO$1046,0),COLUMN()),"")</f>
        <v>0</v>
      </c>
      <c r="S447">
        <f>IFERROR(INDEX(装备库!$A$2:$Y$1047,MATCH(ROW()-1,装备库!$AO$2:$AO$1046,0),COLUMN()),"")</f>
        <v>0</v>
      </c>
      <c r="T447">
        <f>IFERROR(INDEX(装备库!$A$2:$Y$1047,MATCH(ROW()-1,装备库!$AO$2:$AO$1046,0),COLUMN()),"")</f>
        <v>0</v>
      </c>
      <c r="U447">
        <f>IFERROR(INDEX(装备库!$A$2:$Y$1047,MATCH(ROW()-1,装备库!$AO$2:$AO$1046,0),COLUMN()),"")</f>
        <v>1</v>
      </c>
      <c r="V447">
        <f>IFERROR(INDEX(装备库!$A$2:$Y$1047,MATCH(ROW()-1,装备库!$AO$2:$AO$1046,0),COLUMN()),"")</f>
        <v>0</v>
      </c>
      <c r="W447" t="str">
        <f>IFERROR(INDEX(装备库!$A$2:$Y$1047,MATCH(ROW()-1,装备库!$AO$2:$AO$1046,0),COLUMN()),"")</f>
        <v>会无</v>
      </c>
      <c r="X447">
        <f>IFERROR(INDEX(装备库!$A$2:$Y$1047,MATCH(ROW()-1,装备库!$AO$2:$AO$1046,0),COLUMN()),"")</f>
        <v>6</v>
      </c>
      <c r="Y447" t="str">
        <f>IFERROR(INDEX(装备库!$A$2:$Y$1047,MATCH(ROW()-1,装备库!$AO$2:$AO$1046,0),COLUMN()),"")</f>
        <v>副本</v>
      </c>
    </row>
    <row r="448" spans="1:25" x14ac:dyDescent="0.35">
      <c r="A448" t="str">
        <f>IFERROR(INDEX(装备库!$A$2:$Y$1047,MATCH(ROW()-1,装备库!$AO$2:$AO$1046,0),COLUMN()),"")</f>
        <v>鞋子</v>
      </c>
      <c r="B448" t="str">
        <f>IFERROR(INDEX(装备库!$A$2:$Y$1047,MATCH(ROW()-1,装备库!$AO$2:$AO$1046,0),COLUMN()),"")</f>
        <v>寻踪觅宝·光熙靴</v>
      </c>
      <c r="C448">
        <f>IFERROR(INDEX(装备库!$A$2:$Y$1047,MATCH(ROW()-1,装备库!$AO$2:$AO$1046,0),COLUMN()),"")</f>
        <v>10000</v>
      </c>
      <c r="D448" t="str">
        <f>IFERROR(INDEX(装备库!$A$2:$Y$1047,MATCH(ROW()-1,装备库!$AO$2:$AO$1046,0),COLUMN()),"")</f>
        <v>寻踪觅宝·光熙靴(10000会无)</v>
      </c>
      <c r="E448">
        <f>IFERROR(INDEX(装备库!$A$2:$Y$1047,MATCH(ROW()-1,装备库!$AO$2:$AO$1046,0),COLUMN()),"")</f>
        <v>489</v>
      </c>
      <c r="F448">
        <f>IFERROR(INDEX(装备库!$A$2:$Y$1047,MATCH(ROW()-1,装备库!$AO$2:$AO$1046,0),COLUMN()),"")</f>
        <v>793</v>
      </c>
      <c r="G448">
        <f>IFERROR(INDEX(装备库!$A$2:$Y$1047,MATCH(ROW()-1,装备库!$AO$2:$AO$1046,0),COLUMN()),"")</f>
        <v>2453</v>
      </c>
      <c r="H448">
        <f>IFERROR(INDEX(装备库!$A$2:$Y$1047,MATCH(ROW()-1,装备库!$AO$2:$AO$1046,0),COLUMN()),"")</f>
        <v>0</v>
      </c>
      <c r="I448">
        <f>IFERROR(INDEX(装备库!$A$2:$Y$1047,MATCH(ROW()-1,装备库!$AO$2:$AO$1046,0),COLUMN()),"")</f>
        <v>0</v>
      </c>
      <c r="J448">
        <f>IFERROR(INDEX(装备库!$A$2:$Y$1047,MATCH(ROW()-1,装备库!$AO$2:$AO$1046,0),COLUMN()),"")</f>
        <v>0</v>
      </c>
      <c r="K448">
        <f>IFERROR(INDEX(装备库!$A$2:$Y$1047,MATCH(ROW()-1,装备库!$AO$2:$AO$1046,0),COLUMN()),"")</f>
        <v>2180</v>
      </c>
      <c r="L448">
        <f>IFERROR(INDEX(装备库!$A$2:$Y$1047,MATCH(ROW()-1,装备库!$AO$2:$AO$1046,0),COLUMN()),"")</f>
        <v>0</v>
      </c>
      <c r="M448">
        <f>IFERROR(INDEX(装备库!$A$2:$Y$1047,MATCH(ROW()-1,装备库!$AO$2:$AO$1046,0),COLUMN()),"")</f>
        <v>0</v>
      </c>
      <c r="N448">
        <f>IFERROR(INDEX(装备库!$A$2:$Y$1047,MATCH(ROW()-1,装备库!$AO$2:$AO$1046,0),COLUMN()),"")</f>
        <v>0</v>
      </c>
      <c r="O448">
        <f>IFERROR(INDEX(装备库!$A$2:$Y$1047,MATCH(ROW()-1,装备库!$AO$2:$AO$1046,0),COLUMN()),"")</f>
        <v>1</v>
      </c>
      <c r="P448">
        <f>IFERROR(INDEX(装备库!$A$2:$Y$1047,MATCH(ROW()-1,装备库!$AO$2:$AO$1046,0),COLUMN()),"")</f>
        <v>0</v>
      </c>
      <c r="Q448">
        <f>IFERROR(INDEX(装备库!$A$2:$Y$1047,MATCH(ROW()-1,装备库!$AO$2:$AO$1046,0),COLUMN()),"")</f>
        <v>0</v>
      </c>
      <c r="R448">
        <f>IFERROR(INDEX(装备库!$A$2:$Y$1047,MATCH(ROW()-1,装备库!$AO$2:$AO$1046,0),COLUMN()),"")</f>
        <v>0</v>
      </c>
      <c r="S448">
        <f>IFERROR(INDEX(装备库!$A$2:$Y$1047,MATCH(ROW()-1,装备库!$AO$2:$AO$1046,0),COLUMN()),"")</f>
        <v>0</v>
      </c>
      <c r="T448">
        <f>IFERROR(INDEX(装备库!$A$2:$Y$1047,MATCH(ROW()-1,装备库!$AO$2:$AO$1046,0),COLUMN()),"")</f>
        <v>0</v>
      </c>
      <c r="U448">
        <f>IFERROR(INDEX(装备库!$A$2:$Y$1047,MATCH(ROW()-1,装备库!$AO$2:$AO$1046,0),COLUMN()),"")</f>
        <v>1</v>
      </c>
      <c r="V448">
        <f>IFERROR(INDEX(装备库!$A$2:$Y$1047,MATCH(ROW()-1,装备库!$AO$2:$AO$1046,0),COLUMN()),"")</f>
        <v>0</v>
      </c>
      <c r="W448" t="str">
        <f>IFERROR(INDEX(装备库!$A$2:$Y$1047,MATCH(ROW()-1,装备库!$AO$2:$AO$1046,0),COLUMN()),"")</f>
        <v>会无</v>
      </c>
      <c r="X448">
        <f>IFERROR(INDEX(装备库!$A$2:$Y$1047,MATCH(ROW()-1,装备库!$AO$2:$AO$1046,0),COLUMN()),"")</f>
        <v>6</v>
      </c>
      <c r="Y448" t="str">
        <f>IFERROR(INDEX(装备库!$A$2:$Y$1047,MATCH(ROW()-1,装备库!$AO$2:$AO$1046,0),COLUMN()),"")</f>
        <v>挖宝</v>
      </c>
    </row>
    <row r="449" spans="1:25" x14ac:dyDescent="0.35">
      <c r="A449" t="str">
        <f>IFERROR(INDEX(装备库!$A$2:$Y$1047,MATCH(ROW()-1,装备库!$AO$2:$AO$1046,0),COLUMN()),"")</f>
        <v>鞋子</v>
      </c>
      <c r="B449" t="str">
        <f>IFERROR(INDEX(装备库!$A$2:$Y$1047,MATCH(ROW()-1,装备库!$AO$2:$AO$1046,0),COLUMN()),"")</f>
        <v>沉龙荡波·淘浪靴</v>
      </c>
      <c r="C449">
        <f>IFERROR(INDEX(装备库!$A$2:$Y$1047,MATCH(ROW()-1,装备库!$AO$2:$AO$1046,0),COLUMN()),"")</f>
        <v>10000</v>
      </c>
      <c r="D449" t="str">
        <f>IFERROR(INDEX(装备库!$A$2:$Y$1047,MATCH(ROW()-1,装备库!$AO$2:$AO$1046,0),COLUMN()),"")</f>
        <v>沉龙荡波·淘浪靴(10000会无)</v>
      </c>
      <c r="E449">
        <f>IFERROR(INDEX(装备库!$A$2:$Y$1047,MATCH(ROW()-1,装备库!$AO$2:$AO$1046,0),COLUMN()),"")</f>
        <v>489</v>
      </c>
      <c r="F449">
        <f>IFERROR(INDEX(装备库!$A$2:$Y$1047,MATCH(ROW()-1,装备库!$AO$2:$AO$1046,0),COLUMN()),"")</f>
        <v>793</v>
      </c>
      <c r="G449">
        <f>IFERROR(INDEX(装备库!$A$2:$Y$1047,MATCH(ROW()-1,装备库!$AO$2:$AO$1046,0),COLUMN()),"")</f>
        <v>2453</v>
      </c>
      <c r="H449">
        <f>IFERROR(INDEX(装备库!$A$2:$Y$1047,MATCH(ROW()-1,装备库!$AO$2:$AO$1046,0),COLUMN()),"")</f>
        <v>0</v>
      </c>
      <c r="I449">
        <f>IFERROR(INDEX(装备库!$A$2:$Y$1047,MATCH(ROW()-1,装备库!$AO$2:$AO$1046,0),COLUMN()),"")</f>
        <v>0</v>
      </c>
      <c r="J449">
        <f>IFERROR(INDEX(装备库!$A$2:$Y$1047,MATCH(ROW()-1,装备库!$AO$2:$AO$1046,0),COLUMN()),"")</f>
        <v>0</v>
      </c>
      <c r="K449">
        <f>IFERROR(INDEX(装备库!$A$2:$Y$1047,MATCH(ROW()-1,装备库!$AO$2:$AO$1046,0),COLUMN()),"")</f>
        <v>2180</v>
      </c>
      <c r="L449">
        <f>IFERROR(INDEX(装备库!$A$2:$Y$1047,MATCH(ROW()-1,装备库!$AO$2:$AO$1046,0),COLUMN()),"")</f>
        <v>0</v>
      </c>
      <c r="M449">
        <f>IFERROR(INDEX(装备库!$A$2:$Y$1047,MATCH(ROW()-1,装备库!$AO$2:$AO$1046,0),COLUMN()),"")</f>
        <v>0</v>
      </c>
      <c r="N449">
        <f>IFERROR(INDEX(装备库!$A$2:$Y$1047,MATCH(ROW()-1,装备库!$AO$2:$AO$1046,0),COLUMN()),"")</f>
        <v>0</v>
      </c>
      <c r="O449">
        <f>IFERROR(INDEX(装备库!$A$2:$Y$1047,MATCH(ROW()-1,装备库!$AO$2:$AO$1046,0),COLUMN()),"")</f>
        <v>1</v>
      </c>
      <c r="P449">
        <f>IFERROR(INDEX(装备库!$A$2:$Y$1047,MATCH(ROW()-1,装备库!$AO$2:$AO$1046,0),COLUMN()),"")</f>
        <v>0</v>
      </c>
      <c r="Q449">
        <f>IFERROR(INDEX(装备库!$A$2:$Y$1047,MATCH(ROW()-1,装备库!$AO$2:$AO$1046,0),COLUMN()),"")</f>
        <v>0</v>
      </c>
      <c r="R449">
        <f>IFERROR(INDEX(装备库!$A$2:$Y$1047,MATCH(ROW()-1,装备库!$AO$2:$AO$1046,0),COLUMN()),"")</f>
        <v>0</v>
      </c>
      <c r="S449">
        <f>IFERROR(INDEX(装备库!$A$2:$Y$1047,MATCH(ROW()-1,装备库!$AO$2:$AO$1046,0),COLUMN()),"")</f>
        <v>0</v>
      </c>
      <c r="T449">
        <f>IFERROR(INDEX(装备库!$A$2:$Y$1047,MATCH(ROW()-1,装备库!$AO$2:$AO$1046,0),COLUMN()),"")</f>
        <v>0</v>
      </c>
      <c r="U449">
        <f>IFERROR(INDEX(装备库!$A$2:$Y$1047,MATCH(ROW()-1,装备库!$AO$2:$AO$1046,0),COLUMN()),"")</f>
        <v>1</v>
      </c>
      <c r="V449">
        <f>IFERROR(INDEX(装备库!$A$2:$Y$1047,MATCH(ROW()-1,装备库!$AO$2:$AO$1046,0),COLUMN()),"")</f>
        <v>0</v>
      </c>
      <c r="W449" t="str">
        <f>IFERROR(INDEX(装备库!$A$2:$Y$1047,MATCH(ROW()-1,装备库!$AO$2:$AO$1046,0),COLUMN()),"")</f>
        <v>会无</v>
      </c>
      <c r="X449">
        <f>IFERROR(INDEX(装备库!$A$2:$Y$1047,MATCH(ROW()-1,装备库!$AO$2:$AO$1046,0),COLUMN()),"")</f>
        <v>6</v>
      </c>
      <c r="Y449" t="str">
        <f>IFERROR(INDEX(装备库!$A$2:$Y$1047,MATCH(ROW()-1,装备库!$AO$2:$AO$1046,0),COLUMN()),"")</f>
        <v>飞沙令</v>
      </c>
    </row>
    <row r="450" spans="1:25" x14ac:dyDescent="0.35">
      <c r="A450" t="str">
        <f>IFERROR(INDEX(装备库!$A$2:$Y$1047,MATCH(ROW()-1,装备库!$AO$2:$AO$1046,0),COLUMN()),"")</f>
        <v>鞋子</v>
      </c>
      <c r="B450" t="str">
        <f>IFERROR(INDEX(装备库!$A$2:$Y$1047,MATCH(ROW()-1,装备库!$AO$2:$AO$1046,0),COLUMN()),"")</f>
        <v>无封鞋</v>
      </c>
      <c r="C450">
        <f>IFERROR(INDEX(装备库!$A$2:$Y$1047,MATCH(ROW()-1,装备库!$AO$2:$AO$1046,0),COLUMN()),"")</f>
        <v>10000</v>
      </c>
      <c r="D450" t="str">
        <f>IFERROR(INDEX(装备库!$A$2:$Y$1047,MATCH(ROW()-1,装备库!$AO$2:$AO$1046,0),COLUMN()),"")</f>
        <v>无封鞋(10000精简攻无)</v>
      </c>
      <c r="E450">
        <f>IFERROR(INDEX(装备库!$A$2:$Y$1047,MATCH(ROW()-1,装备库!$AO$2:$AO$1046,0),COLUMN()),"")</f>
        <v>0</v>
      </c>
      <c r="F450">
        <f>IFERROR(INDEX(装备库!$A$2:$Y$1047,MATCH(ROW()-1,装备库!$AO$2:$AO$1046,0),COLUMN()),"")</f>
        <v>2074</v>
      </c>
      <c r="G450">
        <f>IFERROR(INDEX(装备库!$A$2:$Y$1047,MATCH(ROW()-1,装备库!$AO$2:$AO$1046,0),COLUMN()),"")</f>
        <v>0</v>
      </c>
      <c r="H450">
        <f>IFERROR(INDEX(装备库!$A$2:$Y$1047,MATCH(ROW()-1,装备库!$AO$2:$AO$1046,0),COLUMN()),"")</f>
        <v>0</v>
      </c>
      <c r="I450">
        <f>IFERROR(INDEX(装备库!$A$2:$Y$1047,MATCH(ROW()-1,装备库!$AO$2:$AO$1046,0),COLUMN()),"")</f>
        <v>0</v>
      </c>
      <c r="J450">
        <f>IFERROR(INDEX(装备库!$A$2:$Y$1047,MATCH(ROW()-1,装备库!$AO$2:$AO$1046,0),COLUMN()),"")</f>
        <v>0</v>
      </c>
      <c r="K450">
        <f>IFERROR(INDEX(装备库!$A$2:$Y$1047,MATCH(ROW()-1,装备库!$AO$2:$AO$1046,0),COLUMN()),"")</f>
        <v>4701</v>
      </c>
      <c r="L450">
        <f>IFERROR(INDEX(装备库!$A$2:$Y$1047,MATCH(ROW()-1,装备库!$AO$2:$AO$1046,0),COLUMN()),"")</f>
        <v>0</v>
      </c>
      <c r="M450">
        <f>IFERROR(INDEX(装备库!$A$2:$Y$1047,MATCH(ROW()-1,装备库!$AO$2:$AO$1046,0),COLUMN()),"")</f>
        <v>0</v>
      </c>
      <c r="N450">
        <f>IFERROR(INDEX(装备库!$A$2:$Y$1047,MATCH(ROW()-1,装备库!$AO$2:$AO$1046,0),COLUMN()),"")</f>
        <v>0</v>
      </c>
      <c r="O450">
        <f>IFERROR(INDEX(装备库!$A$2:$Y$1047,MATCH(ROW()-1,装备库!$AO$2:$AO$1046,0),COLUMN()),"")</f>
        <v>0</v>
      </c>
      <c r="P450">
        <f>IFERROR(INDEX(装备库!$A$2:$Y$1047,MATCH(ROW()-1,装备库!$AO$2:$AO$1046,0),COLUMN()),"")</f>
        <v>0</v>
      </c>
      <c r="Q450">
        <f>IFERROR(INDEX(装备库!$A$2:$Y$1047,MATCH(ROW()-1,装备库!$AO$2:$AO$1046,0),COLUMN()),"")</f>
        <v>0</v>
      </c>
      <c r="R450">
        <f>IFERROR(INDEX(装备库!$A$2:$Y$1047,MATCH(ROW()-1,装备库!$AO$2:$AO$1046,0),COLUMN()),"")</f>
        <v>0</v>
      </c>
      <c r="S450">
        <f>IFERROR(INDEX(装备库!$A$2:$Y$1047,MATCH(ROW()-1,装备库!$AO$2:$AO$1046,0),COLUMN()),"")</f>
        <v>1</v>
      </c>
      <c r="T450">
        <f>IFERROR(INDEX(装备库!$A$2:$Y$1047,MATCH(ROW()-1,装备库!$AO$2:$AO$1046,0),COLUMN()),"")</f>
        <v>0</v>
      </c>
      <c r="U450">
        <f>IFERROR(INDEX(装备库!$A$2:$Y$1047,MATCH(ROW()-1,装备库!$AO$2:$AO$1046,0),COLUMN()),"")</f>
        <v>1</v>
      </c>
      <c r="V450">
        <f>IFERROR(INDEX(装备库!$A$2:$Y$1047,MATCH(ROW()-1,装备库!$AO$2:$AO$1046,0),COLUMN()),"")</f>
        <v>0</v>
      </c>
      <c r="W450" t="str">
        <f>IFERROR(INDEX(装备库!$A$2:$Y$1047,MATCH(ROW()-1,装备库!$AO$2:$AO$1046,0),COLUMN()),"")</f>
        <v>精简攻无</v>
      </c>
      <c r="X450">
        <f>IFERROR(INDEX(装备库!$A$2:$Y$1047,MATCH(ROW()-1,装备库!$AO$2:$AO$1046,0),COLUMN()),"")</f>
        <v>3</v>
      </c>
      <c r="Y450" t="str">
        <f>IFERROR(INDEX(装备库!$A$2:$Y$1047,MATCH(ROW()-1,装备库!$AO$2:$AO$1046,0),COLUMN()),"")</f>
        <v>活动</v>
      </c>
    </row>
    <row r="451" spans="1:25" x14ac:dyDescent="0.35">
      <c r="A451" t="str">
        <f>IFERROR(INDEX(装备库!$A$2:$Y$1047,MATCH(ROW()-1,装备库!$AO$2:$AO$1046,0),COLUMN()),"")</f>
        <v>鞋子</v>
      </c>
      <c r="B451" t="str">
        <f>IFERROR(INDEX(装备库!$A$2:$Y$1047,MATCH(ROW()-1,装备库!$AO$2:$AO$1046,0),COLUMN()),"")</f>
        <v>无封鞋</v>
      </c>
      <c r="C451">
        <f>IFERROR(INDEX(装备库!$A$2:$Y$1047,MATCH(ROW()-1,装备库!$AO$2:$AO$1046,0),COLUMN()),"")</f>
        <v>10000</v>
      </c>
      <c r="D451" t="str">
        <f>IFERROR(INDEX(装备库!$A$2:$Y$1047,MATCH(ROW()-1,装备库!$AO$2:$AO$1046,0),COLUMN()),"")</f>
        <v>无封鞋(10000精简攻破无)</v>
      </c>
      <c r="E451">
        <f>IFERROR(INDEX(装备库!$A$2:$Y$1047,MATCH(ROW()-1,装备库!$AO$2:$AO$1046,0),COLUMN()),"")</f>
        <v>0</v>
      </c>
      <c r="F451">
        <f>IFERROR(INDEX(装备库!$A$2:$Y$1047,MATCH(ROW()-1,装备库!$AO$2:$AO$1046,0),COLUMN()),"")</f>
        <v>1769</v>
      </c>
      <c r="G451">
        <f>IFERROR(INDEX(装备库!$A$2:$Y$1047,MATCH(ROW()-1,装备库!$AO$2:$AO$1046,0),COLUMN()),"")</f>
        <v>0</v>
      </c>
      <c r="H451">
        <f>IFERROR(INDEX(装备库!$A$2:$Y$1047,MATCH(ROW()-1,装备库!$AO$2:$AO$1046,0),COLUMN()),"")</f>
        <v>0</v>
      </c>
      <c r="I451">
        <f>IFERROR(INDEX(装备库!$A$2:$Y$1047,MATCH(ROW()-1,装备库!$AO$2:$AO$1046,0),COLUMN()),"")</f>
        <v>2725</v>
      </c>
      <c r="J451">
        <f>IFERROR(INDEX(装备库!$A$2:$Y$1047,MATCH(ROW()-1,装备库!$AO$2:$AO$1046,0),COLUMN()),"")</f>
        <v>0</v>
      </c>
      <c r="K451">
        <f>IFERROR(INDEX(装备库!$A$2:$Y$1047,MATCH(ROW()-1,装备库!$AO$2:$AO$1046,0),COLUMN()),"")</f>
        <v>2725</v>
      </c>
      <c r="L451">
        <f>IFERROR(INDEX(装备库!$A$2:$Y$1047,MATCH(ROW()-1,装备库!$AO$2:$AO$1046,0),COLUMN()),"")</f>
        <v>0</v>
      </c>
      <c r="M451">
        <f>IFERROR(INDEX(装备库!$A$2:$Y$1047,MATCH(ROW()-1,装备库!$AO$2:$AO$1046,0),COLUMN()),"")</f>
        <v>0</v>
      </c>
      <c r="N451">
        <f>IFERROR(INDEX(装备库!$A$2:$Y$1047,MATCH(ROW()-1,装备库!$AO$2:$AO$1046,0),COLUMN()),"")</f>
        <v>0</v>
      </c>
      <c r="O451">
        <f>IFERROR(INDEX(装备库!$A$2:$Y$1047,MATCH(ROW()-1,装备库!$AO$2:$AO$1046,0),COLUMN()),"")</f>
        <v>0</v>
      </c>
      <c r="P451">
        <f>IFERROR(INDEX(装备库!$A$2:$Y$1047,MATCH(ROW()-1,装备库!$AO$2:$AO$1046,0),COLUMN()),"")</f>
        <v>1</v>
      </c>
      <c r="Q451">
        <f>IFERROR(INDEX(装备库!$A$2:$Y$1047,MATCH(ROW()-1,装备库!$AO$2:$AO$1046,0),COLUMN()),"")</f>
        <v>0</v>
      </c>
      <c r="R451">
        <f>IFERROR(INDEX(装备库!$A$2:$Y$1047,MATCH(ROW()-1,装备库!$AO$2:$AO$1046,0),COLUMN()),"")</f>
        <v>0</v>
      </c>
      <c r="S451">
        <f>IFERROR(INDEX(装备库!$A$2:$Y$1047,MATCH(ROW()-1,装备库!$AO$2:$AO$1046,0),COLUMN()),"")</f>
        <v>0</v>
      </c>
      <c r="T451">
        <f>IFERROR(INDEX(装备库!$A$2:$Y$1047,MATCH(ROW()-1,装备库!$AO$2:$AO$1046,0),COLUMN()),"")</f>
        <v>1</v>
      </c>
      <c r="U451">
        <f>IFERROR(INDEX(装备库!$A$2:$Y$1047,MATCH(ROW()-1,装备库!$AO$2:$AO$1046,0),COLUMN()),"")</f>
        <v>0</v>
      </c>
      <c r="V451">
        <f>IFERROR(INDEX(装备库!$A$2:$Y$1047,MATCH(ROW()-1,装备库!$AO$2:$AO$1046,0),COLUMN()),"")</f>
        <v>0</v>
      </c>
      <c r="W451" t="str">
        <f>IFERROR(INDEX(装备库!$A$2:$Y$1047,MATCH(ROW()-1,装备库!$AO$2:$AO$1046,0),COLUMN()),"")</f>
        <v>精简攻破无</v>
      </c>
      <c r="X451">
        <f>IFERROR(INDEX(装备库!$A$2:$Y$1047,MATCH(ROW()-1,装备库!$AO$2:$AO$1046,0),COLUMN()),"")</f>
        <v>3</v>
      </c>
      <c r="Y451" t="str">
        <f>IFERROR(INDEX(装备库!$A$2:$Y$1047,MATCH(ROW()-1,装备库!$AO$2:$AO$1046,0),COLUMN()),"")</f>
        <v>活动</v>
      </c>
    </row>
    <row r="452" spans="1:25" x14ac:dyDescent="0.35">
      <c r="A452" t="str">
        <f>IFERROR(INDEX(装备库!$A$2:$Y$1047,MATCH(ROW()-1,装备库!$AO$2:$AO$1046,0),COLUMN()),"")</f>
        <v>鞋子</v>
      </c>
      <c r="B452" t="str">
        <f>IFERROR(INDEX(装备库!$A$2:$Y$1047,MATCH(ROW()-1,装备库!$AO$2:$AO$1046,0),COLUMN()),"")</f>
        <v>无封鞋</v>
      </c>
      <c r="C452">
        <f>IFERROR(INDEX(装备库!$A$2:$Y$1047,MATCH(ROW()-1,装备库!$AO$2:$AO$1046,0),COLUMN()),"")</f>
        <v>10000</v>
      </c>
      <c r="D452" t="str">
        <f>IFERROR(INDEX(装备库!$A$2:$Y$1047,MATCH(ROW()-1,装备库!$AO$2:$AO$1046,0),COLUMN()),"")</f>
        <v>无封鞋(10000精简攻会招无)</v>
      </c>
      <c r="E452">
        <f>IFERROR(INDEX(装备库!$A$2:$Y$1047,MATCH(ROW()-1,装备库!$AO$2:$AO$1046,0),COLUMN()),"")</f>
        <v>0</v>
      </c>
      <c r="F452">
        <f>IFERROR(INDEX(装备库!$A$2:$Y$1047,MATCH(ROW()-1,装备库!$AO$2:$AO$1046,0),COLUMN()),"")</f>
        <v>1769</v>
      </c>
      <c r="G452">
        <f>IFERROR(INDEX(装备库!$A$2:$Y$1047,MATCH(ROW()-1,装备库!$AO$2:$AO$1046,0),COLUMN()),"")</f>
        <v>2589</v>
      </c>
      <c r="H452">
        <f>IFERROR(INDEX(装备库!$A$2:$Y$1047,MATCH(ROW()-1,装备库!$AO$2:$AO$1046,0),COLUMN()),"")</f>
        <v>0</v>
      </c>
      <c r="I452">
        <f>IFERROR(INDEX(装备库!$A$2:$Y$1047,MATCH(ROW()-1,装备库!$AO$2:$AO$1046,0),COLUMN()),"")</f>
        <v>0</v>
      </c>
      <c r="J452">
        <f>IFERROR(INDEX(装备库!$A$2:$Y$1047,MATCH(ROW()-1,装备库!$AO$2:$AO$1046,0),COLUMN()),"")</f>
        <v>1363</v>
      </c>
      <c r="K452">
        <f>IFERROR(INDEX(装备库!$A$2:$Y$1047,MATCH(ROW()-1,装备库!$AO$2:$AO$1046,0),COLUMN()),"")</f>
        <v>1499</v>
      </c>
      <c r="L452">
        <f>IFERROR(INDEX(装备库!$A$2:$Y$1047,MATCH(ROW()-1,装备库!$AO$2:$AO$1046,0),COLUMN()),"")</f>
        <v>0</v>
      </c>
      <c r="M452">
        <f>IFERROR(INDEX(装备库!$A$2:$Y$1047,MATCH(ROW()-1,装备库!$AO$2:$AO$1046,0),COLUMN()),"")</f>
        <v>0</v>
      </c>
      <c r="N452">
        <f>IFERROR(INDEX(装备库!$A$2:$Y$1047,MATCH(ROW()-1,装备库!$AO$2:$AO$1046,0),COLUMN()),"")</f>
        <v>0</v>
      </c>
      <c r="O452">
        <f>IFERROR(INDEX(装备库!$A$2:$Y$1047,MATCH(ROW()-1,装备库!$AO$2:$AO$1046,0),COLUMN()),"")</f>
        <v>0</v>
      </c>
      <c r="P452">
        <f>IFERROR(INDEX(装备库!$A$2:$Y$1047,MATCH(ROW()-1,装备库!$AO$2:$AO$1046,0),COLUMN()),"")</f>
        <v>0</v>
      </c>
      <c r="Q452">
        <f>IFERROR(INDEX(装备库!$A$2:$Y$1047,MATCH(ROW()-1,装备库!$AO$2:$AO$1046,0),COLUMN()),"")</f>
        <v>0</v>
      </c>
      <c r="R452">
        <f>IFERROR(INDEX(装备库!$A$2:$Y$1047,MATCH(ROW()-1,装备库!$AO$2:$AO$1046,0),COLUMN()),"")</f>
        <v>0</v>
      </c>
      <c r="S452">
        <f>IFERROR(INDEX(装备库!$A$2:$Y$1047,MATCH(ROW()-1,装备库!$AO$2:$AO$1046,0),COLUMN()),"")</f>
        <v>1</v>
      </c>
      <c r="T452">
        <f>IFERROR(INDEX(装备库!$A$2:$Y$1047,MATCH(ROW()-1,装备库!$AO$2:$AO$1046,0),COLUMN()),"")</f>
        <v>0</v>
      </c>
      <c r="U452">
        <f>IFERROR(INDEX(装备库!$A$2:$Y$1047,MATCH(ROW()-1,装备库!$AO$2:$AO$1046,0),COLUMN()),"")</f>
        <v>1</v>
      </c>
      <c r="V452">
        <f>IFERROR(INDEX(装备库!$A$2:$Y$1047,MATCH(ROW()-1,装备库!$AO$2:$AO$1046,0),COLUMN()),"")</f>
        <v>0</v>
      </c>
      <c r="W452" t="str">
        <f>IFERROR(INDEX(装备库!$A$2:$Y$1047,MATCH(ROW()-1,装备库!$AO$2:$AO$1046,0),COLUMN()),"")</f>
        <v>精简攻会招无</v>
      </c>
      <c r="X452">
        <f>IFERROR(INDEX(装备库!$A$2:$Y$1047,MATCH(ROW()-1,装备库!$AO$2:$AO$1046,0),COLUMN()),"")</f>
        <v>3</v>
      </c>
      <c r="Y452" t="str">
        <f>IFERROR(INDEX(装备库!$A$2:$Y$1047,MATCH(ROW()-1,装备库!$AO$2:$AO$1046,0),COLUMN()),"")</f>
        <v>活动</v>
      </c>
    </row>
    <row r="453" spans="1:25" x14ac:dyDescent="0.35">
      <c r="A453" t="str">
        <f>IFERROR(INDEX(装备库!$A$2:$Y$1047,MATCH(ROW()-1,装备库!$AO$2:$AO$1046,0),COLUMN()),"")</f>
        <v>鞋子</v>
      </c>
      <c r="B453" t="str">
        <f>IFERROR(INDEX(装备库!$A$2:$Y$1047,MATCH(ROW()-1,装备库!$AO$2:$AO$1046,0),COLUMN()),"")</f>
        <v>临晨鞋</v>
      </c>
      <c r="C453">
        <f>IFERROR(INDEX(装备库!$A$2:$Y$1047,MATCH(ROW()-1,装备库!$AO$2:$AO$1046,0),COLUMN()),"")</f>
        <v>10100</v>
      </c>
      <c r="D453" t="str">
        <f>IFERROR(INDEX(装备库!$A$2:$Y$1047,MATCH(ROW()-1,装备库!$AO$2:$AO$1046,0),COLUMN()),"")</f>
        <v>临晨鞋(10100会招)</v>
      </c>
      <c r="E453">
        <f>IFERROR(INDEX(装备库!$A$2:$Y$1047,MATCH(ROW()-1,装备库!$AO$2:$AO$1046,0),COLUMN()),"")</f>
        <v>494</v>
      </c>
      <c r="F453">
        <f>IFERROR(INDEX(装备库!$A$2:$Y$1047,MATCH(ROW()-1,装备库!$AO$2:$AO$1046,0),COLUMN()),"")</f>
        <v>801</v>
      </c>
      <c r="G453">
        <f>IFERROR(INDEX(装备库!$A$2:$Y$1047,MATCH(ROW()-1,装备库!$AO$2:$AO$1046,0),COLUMN()),"")</f>
        <v>2477</v>
      </c>
      <c r="H453">
        <f>IFERROR(INDEX(装备库!$A$2:$Y$1047,MATCH(ROW()-1,装备库!$AO$2:$AO$1046,0),COLUMN()),"")</f>
        <v>0</v>
      </c>
      <c r="I453">
        <f>IFERROR(INDEX(装备库!$A$2:$Y$1047,MATCH(ROW()-1,装备库!$AO$2:$AO$1046,0),COLUMN()),"")</f>
        <v>0</v>
      </c>
      <c r="J453">
        <f>IFERROR(INDEX(装备库!$A$2:$Y$1047,MATCH(ROW()-1,装备库!$AO$2:$AO$1046,0),COLUMN()),"")</f>
        <v>2202</v>
      </c>
      <c r="K453">
        <f>IFERROR(INDEX(装备库!$A$2:$Y$1047,MATCH(ROW()-1,装备库!$AO$2:$AO$1046,0),COLUMN()),"")</f>
        <v>0</v>
      </c>
      <c r="L453">
        <f>IFERROR(INDEX(装备库!$A$2:$Y$1047,MATCH(ROW()-1,装备库!$AO$2:$AO$1046,0),COLUMN()),"")</f>
        <v>0</v>
      </c>
      <c r="M453">
        <f>IFERROR(INDEX(装备库!$A$2:$Y$1047,MATCH(ROW()-1,装备库!$AO$2:$AO$1046,0),COLUMN()),"")</f>
        <v>0</v>
      </c>
      <c r="N453">
        <f>IFERROR(INDEX(装备库!$A$2:$Y$1047,MATCH(ROW()-1,装备库!$AO$2:$AO$1046,0),COLUMN()),"")</f>
        <v>0</v>
      </c>
      <c r="O453">
        <f>IFERROR(INDEX(装备库!$A$2:$Y$1047,MATCH(ROW()-1,装备库!$AO$2:$AO$1046,0),COLUMN()),"")</f>
        <v>0</v>
      </c>
      <c r="P453">
        <f>IFERROR(INDEX(装备库!$A$2:$Y$1047,MATCH(ROW()-1,装备库!$AO$2:$AO$1046,0),COLUMN()),"")</f>
        <v>0</v>
      </c>
      <c r="Q453">
        <f>IFERROR(INDEX(装备库!$A$2:$Y$1047,MATCH(ROW()-1,装备库!$AO$2:$AO$1046,0),COLUMN()),"")</f>
        <v>1</v>
      </c>
      <c r="R453">
        <f>IFERROR(INDEX(装备库!$A$2:$Y$1047,MATCH(ROW()-1,装备库!$AO$2:$AO$1046,0),COLUMN()),"")</f>
        <v>0</v>
      </c>
      <c r="S453">
        <f>IFERROR(INDEX(装备库!$A$2:$Y$1047,MATCH(ROW()-1,装备库!$AO$2:$AO$1046,0),COLUMN()),"")</f>
        <v>0</v>
      </c>
      <c r="T453">
        <f>IFERROR(INDEX(装备库!$A$2:$Y$1047,MATCH(ROW()-1,装备库!$AO$2:$AO$1046,0),COLUMN()),"")</f>
        <v>1</v>
      </c>
      <c r="U453">
        <f>IFERROR(INDEX(装备库!$A$2:$Y$1047,MATCH(ROW()-1,装备库!$AO$2:$AO$1046,0),COLUMN()),"")</f>
        <v>0</v>
      </c>
      <c r="V453">
        <f>IFERROR(INDEX(装备库!$A$2:$Y$1047,MATCH(ROW()-1,装备库!$AO$2:$AO$1046,0),COLUMN()),"")</f>
        <v>0</v>
      </c>
      <c r="W453" t="str">
        <f>IFERROR(INDEX(装备库!$A$2:$Y$1047,MATCH(ROW()-1,装备库!$AO$2:$AO$1046,0),COLUMN()),"")</f>
        <v>会招</v>
      </c>
      <c r="X453">
        <f>IFERROR(INDEX(装备库!$A$2:$Y$1047,MATCH(ROW()-1,装备库!$AO$2:$AO$1046,0),COLUMN()),"")</f>
        <v>6</v>
      </c>
      <c r="Y453" t="str">
        <f>IFERROR(INDEX(装备库!$A$2:$Y$1047,MATCH(ROW()-1,装备库!$AO$2:$AO$1046,0),COLUMN()),"")</f>
        <v>声望</v>
      </c>
    </row>
    <row r="454" spans="1:25" x14ac:dyDescent="0.35">
      <c r="A454" t="str">
        <f>IFERROR(INDEX(装备库!$A$2:$Y$1047,MATCH(ROW()-1,装备库!$AO$2:$AO$1046,0),COLUMN()),"")</f>
        <v>鞋子</v>
      </c>
      <c r="B454" t="str">
        <f>IFERROR(INDEX(装备库!$A$2:$Y$1047,MATCH(ROW()-1,装备库!$AO$2:$AO$1046,0),COLUMN()),"")</f>
        <v>玄卢靴</v>
      </c>
      <c r="C454">
        <f>IFERROR(INDEX(装备库!$A$2:$Y$1047,MATCH(ROW()-1,装备库!$AO$2:$AO$1046,0),COLUMN()),"")</f>
        <v>10150</v>
      </c>
      <c r="D454" t="str">
        <f>IFERROR(INDEX(装备库!$A$2:$Y$1047,MATCH(ROW()-1,装备库!$AO$2:$AO$1046,0),COLUMN()),"")</f>
        <v>玄卢靴(10150速招)</v>
      </c>
      <c r="E454">
        <f>IFERROR(INDEX(装备库!$A$2:$Y$1047,MATCH(ROW()-1,装备库!$AO$2:$AO$1046,0),COLUMN()),"")</f>
        <v>496</v>
      </c>
      <c r="F454">
        <f>IFERROR(INDEX(装备库!$A$2:$Y$1047,MATCH(ROW()-1,装备库!$AO$2:$AO$1046,0),COLUMN()),"")</f>
        <v>805</v>
      </c>
      <c r="G454">
        <f>IFERROR(INDEX(装备库!$A$2:$Y$1047,MATCH(ROW()-1,装备库!$AO$2:$AO$1046,0),COLUMN()),"")</f>
        <v>0</v>
      </c>
      <c r="H454">
        <f>IFERROR(INDEX(装备库!$A$2:$Y$1047,MATCH(ROW()-1,装备库!$AO$2:$AO$1046,0),COLUMN()),"")</f>
        <v>0</v>
      </c>
      <c r="I454">
        <f>IFERROR(INDEX(装备库!$A$2:$Y$1047,MATCH(ROW()-1,装备库!$AO$2:$AO$1046,0),COLUMN()),"")</f>
        <v>0</v>
      </c>
      <c r="J454">
        <f>IFERROR(INDEX(装备库!$A$2:$Y$1047,MATCH(ROW()-1,装备库!$AO$2:$AO$1046,0),COLUMN()),"")</f>
        <v>2213</v>
      </c>
      <c r="K454">
        <f>IFERROR(INDEX(装备库!$A$2:$Y$1047,MATCH(ROW()-1,装备库!$AO$2:$AO$1046,0),COLUMN()),"")</f>
        <v>0</v>
      </c>
      <c r="L454">
        <f>IFERROR(INDEX(装备库!$A$2:$Y$1047,MATCH(ROW()-1,装备库!$AO$2:$AO$1046,0),COLUMN()),"")</f>
        <v>2489</v>
      </c>
      <c r="M454">
        <f>IFERROR(INDEX(装备库!$A$2:$Y$1047,MATCH(ROW()-1,装备库!$AO$2:$AO$1046,0),COLUMN()),"")</f>
        <v>0</v>
      </c>
      <c r="N454">
        <f>IFERROR(INDEX(装备库!$A$2:$Y$1047,MATCH(ROW()-1,装备库!$AO$2:$AO$1046,0),COLUMN()),"")</f>
        <v>0</v>
      </c>
      <c r="O454">
        <f>IFERROR(INDEX(装备库!$A$2:$Y$1047,MATCH(ROW()-1,装备库!$AO$2:$AO$1046,0),COLUMN()),"")</f>
        <v>1</v>
      </c>
      <c r="P454">
        <f>IFERROR(INDEX(装备库!$A$2:$Y$1047,MATCH(ROW()-1,装备库!$AO$2:$AO$1046,0),COLUMN()),"")</f>
        <v>1</v>
      </c>
      <c r="Q454">
        <f>IFERROR(INDEX(装备库!$A$2:$Y$1047,MATCH(ROW()-1,装备库!$AO$2:$AO$1046,0),COLUMN()),"")</f>
        <v>0</v>
      </c>
      <c r="R454">
        <f>IFERROR(INDEX(装备库!$A$2:$Y$1047,MATCH(ROW()-1,装备库!$AO$2:$AO$1046,0),COLUMN()),"")</f>
        <v>0</v>
      </c>
      <c r="S454">
        <f>IFERROR(INDEX(装备库!$A$2:$Y$1047,MATCH(ROW()-1,装备库!$AO$2:$AO$1046,0),COLUMN()),"")</f>
        <v>0</v>
      </c>
      <c r="T454">
        <f>IFERROR(INDEX(装备库!$A$2:$Y$1047,MATCH(ROW()-1,装备库!$AO$2:$AO$1046,0),COLUMN()),"")</f>
        <v>0</v>
      </c>
      <c r="U454">
        <f>IFERROR(INDEX(装备库!$A$2:$Y$1047,MATCH(ROW()-1,装备库!$AO$2:$AO$1046,0),COLUMN()),"")</f>
        <v>0</v>
      </c>
      <c r="V454">
        <f>IFERROR(INDEX(装备库!$A$2:$Y$1047,MATCH(ROW()-1,装备库!$AO$2:$AO$1046,0),COLUMN()),"")</f>
        <v>0</v>
      </c>
      <c r="W454" t="str">
        <f>IFERROR(INDEX(装备库!$A$2:$Y$1047,MATCH(ROW()-1,装备库!$AO$2:$AO$1046,0),COLUMN()),"")</f>
        <v>速招</v>
      </c>
      <c r="X454">
        <f>IFERROR(INDEX(装备库!$A$2:$Y$1047,MATCH(ROW()-1,装备库!$AO$2:$AO$1046,0),COLUMN()),"")</f>
        <v>6</v>
      </c>
      <c r="Y454" t="str">
        <f>IFERROR(INDEX(装备库!$A$2:$Y$1047,MATCH(ROW()-1,装备库!$AO$2:$AO$1046,0),COLUMN()),"")</f>
        <v>副本</v>
      </c>
    </row>
    <row r="455" spans="1:25" x14ac:dyDescent="0.35">
      <c r="A455" t="str">
        <f>IFERROR(INDEX(装备库!$A$2:$Y$1047,MATCH(ROW()-1,装备库!$AO$2:$AO$1046,0),COLUMN()),"")</f>
        <v>鞋子</v>
      </c>
      <c r="B455" t="str">
        <f>IFERROR(INDEX(装备库!$A$2:$Y$1047,MATCH(ROW()-1,装备库!$AO$2:$AO$1046,0),COLUMN()),"")</f>
        <v>闲月靴</v>
      </c>
      <c r="C455">
        <f>IFERROR(INDEX(装备库!$A$2:$Y$1047,MATCH(ROW()-1,装备库!$AO$2:$AO$1046,0),COLUMN()),"")</f>
        <v>10150</v>
      </c>
      <c r="D455" t="str">
        <f>IFERROR(INDEX(装备库!$A$2:$Y$1047,MATCH(ROW()-1,装备库!$AO$2:$AO$1046,0),COLUMN()),"")</f>
        <v>闲月靴(10150会无)</v>
      </c>
      <c r="E455">
        <f>IFERROR(INDEX(装备库!$A$2:$Y$1047,MATCH(ROW()-1,装备库!$AO$2:$AO$1046,0),COLUMN()),"")</f>
        <v>496</v>
      </c>
      <c r="F455">
        <f>IFERROR(INDEX(装备库!$A$2:$Y$1047,MATCH(ROW()-1,装备库!$AO$2:$AO$1046,0),COLUMN()),"")</f>
        <v>805</v>
      </c>
      <c r="G455">
        <f>IFERROR(INDEX(装备库!$A$2:$Y$1047,MATCH(ROW()-1,装备库!$AO$2:$AO$1046,0),COLUMN()),"")</f>
        <v>2489</v>
      </c>
      <c r="H455">
        <f>IFERROR(INDEX(装备库!$A$2:$Y$1047,MATCH(ROW()-1,装备库!$AO$2:$AO$1046,0),COLUMN()),"")</f>
        <v>0</v>
      </c>
      <c r="I455">
        <f>IFERROR(INDEX(装备库!$A$2:$Y$1047,MATCH(ROW()-1,装备库!$AO$2:$AO$1046,0),COLUMN()),"")</f>
        <v>0</v>
      </c>
      <c r="J455">
        <f>IFERROR(INDEX(装备库!$A$2:$Y$1047,MATCH(ROW()-1,装备库!$AO$2:$AO$1046,0),COLUMN()),"")</f>
        <v>0</v>
      </c>
      <c r="K455">
        <f>IFERROR(INDEX(装备库!$A$2:$Y$1047,MATCH(ROW()-1,装备库!$AO$2:$AO$1046,0),COLUMN()),"")</f>
        <v>2213</v>
      </c>
      <c r="L455">
        <f>IFERROR(INDEX(装备库!$A$2:$Y$1047,MATCH(ROW()-1,装备库!$AO$2:$AO$1046,0),COLUMN()),"")</f>
        <v>0</v>
      </c>
      <c r="M455">
        <f>IFERROR(INDEX(装备库!$A$2:$Y$1047,MATCH(ROW()-1,装备库!$AO$2:$AO$1046,0),COLUMN()),"")</f>
        <v>0</v>
      </c>
      <c r="N455">
        <f>IFERROR(INDEX(装备库!$A$2:$Y$1047,MATCH(ROW()-1,装备库!$AO$2:$AO$1046,0),COLUMN()),"")</f>
        <v>0</v>
      </c>
      <c r="O455">
        <f>IFERROR(INDEX(装备库!$A$2:$Y$1047,MATCH(ROW()-1,装备库!$AO$2:$AO$1046,0),COLUMN()),"")</f>
        <v>1</v>
      </c>
      <c r="P455">
        <f>IFERROR(INDEX(装备库!$A$2:$Y$1047,MATCH(ROW()-1,装备库!$AO$2:$AO$1046,0),COLUMN()),"")</f>
        <v>0</v>
      </c>
      <c r="Q455">
        <f>IFERROR(INDEX(装备库!$A$2:$Y$1047,MATCH(ROW()-1,装备库!$AO$2:$AO$1046,0),COLUMN()),"")</f>
        <v>0</v>
      </c>
      <c r="R455">
        <f>IFERROR(INDEX(装备库!$A$2:$Y$1047,MATCH(ROW()-1,装备库!$AO$2:$AO$1046,0),COLUMN()),"")</f>
        <v>0</v>
      </c>
      <c r="S455">
        <f>IFERROR(INDEX(装备库!$A$2:$Y$1047,MATCH(ROW()-1,装备库!$AO$2:$AO$1046,0),COLUMN()),"")</f>
        <v>0</v>
      </c>
      <c r="T455">
        <f>IFERROR(INDEX(装备库!$A$2:$Y$1047,MATCH(ROW()-1,装备库!$AO$2:$AO$1046,0),COLUMN()),"")</f>
        <v>0</v>
      </c>
      <c r="U455">
        <f>IFERROR(INDEX(装备库!$A$2:$Y$1047,MATCH(ROW()-1,装备库!$AO$2:$AO$1046,0),COLUMN()),"")</f>
        <v>1</v>
      </c>
      <c r="V455">
        <f>IFERROR(INDEX(装备库!$A$2:$Y$1047,MATCH(ROW()-1,装备库!$AO$2:$AO$1046,0),COLUMN()),"")</f>
        <v>0</v>
      </c>
      <c r="W455" t="str">
        <f>IFERROR(INDEX(装备库!$A$2:$Y$1047,MATCH(ROW()-1,装备库!$AO$2:$AO$1046,0),COLUMN()),"")</f>
        <v>会无</v>
      </c>
      <c r="X455">
        <f>IFERROR(INDEX(装备库!$A$2:$Y$1047,MATCH(ROW()-1,装备库!$AO$2:$AO$1046,0),COLUMN()),"")</f>
        <v>6</v>
      </c>
      <c r="Y455" t="str">
        <f>IFERROR(INDEX(装备库!$A$2:$Y$1047,MATCH(ROW()-1,装备库!$AO$2:$AO$1046,0),COLUMN()),"")</f>
        <v>副本</v>
      </c>
    </row>
    <row r="456" spans="1:25" x14ac:dyDescent="0.35">
      <c r="A456" t="str">
        <f>IFERROR(INDEX(装备库!$A$2:$Y$1047,MATCH(ROW()-1,装备库!$AO$2:$AO$1046,0),COLUMN()),"")</f>
        <v>鞋子</v>
      </c>
      <c r="B456" t="str">
        <f>IFERROR(INDEX(装备库!$A$2:$Y$1047,MATCH(ROW()-1,装备库!$AO$2:$AO$1046,0),COLUMN()),"")</f>
        <v>无封鞋</v>
      </c>
      <c r="C456">
        <f>IFERROR(INDEX(装备库!$A$2:$Y$1047,MATCH(ROW()-1,装备库!$AO$2:$AO$1046,0),COLUMN()),"")</f>
        <v>10300</v>
      </c>
      <c r="D456" t="str">
        <f>IFERROR(INDEX(装备库!$A$2:$Y$1047,MATCH(ROW()-1,装备库!$AO$2:$AO$1046,0),COLUMN()),"")</f>
        <v>无封鞋(10300精简攻招无)</v>
      </c>
      <c r="E456">
        <f>IFERROR(INDEX(装备库!$A$2:$Y$1047,MATCH(ROW()-1,装备库!$AO$2:$AO$1046,0),COLUMN()),"")</f>
        <v>0</v>
      </c>
      <c r="F456">
        <f>IFERROR(INDEX(装备库!$A$2:$Y$1047,MATCH(ROW()-1,装备库!$AO$2:$AO$1046,0),COLUMN()),"")</f>
        <v>1822</v>
      </c>
      <c r="G456">
        <f>IFERROR(INDEX(装备库!$A$2:$Y$1047,MATCH(ROW()-1,装备库!$AO$2:$AO$1046,0),COLUMN()),"")</f>
        <v>0</v>
      </c>
      <c r="H456">
        <f>IFERROR(INDEX(装备库!$A$2:$Y$1047,MATCH(ROW()-1,装备库!$AO$2:$AO$1046,0),COLUMN()),"")</f>
        <v>0</v>
      </c>
      <c r="I456">
        <f>IFERROR(INDEX(装备库!$A$2:$Y$1047,MATCH(ROW()-1,装备库!$AO$2:$AO$1046,0),COLUMN()),"")</f>
        <v>0</v>
      </c>
      <c r="J456">
        <f>IFERROR(INDEX(装备库!$A$2:$Y$1047,MATCH(ROW()-1,装备库!$AO$2:$AO$1046,0),COLUMN()),"")</f>
        <v>1544</v>
      </c>
      <c r="K456">
        <f>IFERROR(INDEX(装备库!$A$2:$Y$1047,MATCH(ROW()-1,装备库!$AO$2:$AO$1046,0),COLUMN()),"")</f>
        <v>4070</v>
      </c>
      <c r="L456">
        <f>IFERROR(INDEX(装备库!$A$2:$Y$1047,MATCH(ROW()-1,装备库!$AO$2:$AO$1046,0),COLUMN()),"")</f>
        <v>0</v>
      </c>
      <c r="M456">
        <f>IFERROR(INDEX(装备库!$A$2:$Y$1047,MATCH(ROW()-1,装备库!$AO$2:$AO$1046,0),COLUMN()),"")</f>
        <v>0</v>
      </c>
      <c r="N456">
        <f>IFERROR(INDEX(装备库!$A$2:$Y$1047,MATCH(ROW()-1,装备库!$AO$2:$AO$1046,0),COLUMN()),"")</f>
        <v>0</v>
      </c>
      <c r="O456">
        <f>IFERROR(INDEX(装备库!$A$2:$Y$1047,MATCH(ROW()-1,装备库!$AO$2:$AO$1046,0),COLUMN()),"")</f>
        <v>0</v>
      </c>
      <c r="P456">
        <f>IFERROR(INDEX(装备库!$A$2:$Y$1047,MATCH(ROW()-1,装备库!$AO$2:$AO$1046,0),COLUMN()),"")</f>
        <v>0</v>
      </c>
      <c r="Q456">
        <f>IFERROR(INDEX(装备库!$A$2:$Y$1047,MATCH(ROW()-1,装备库!$AO$2:$AO$1046,0),COLUMN()),"")</f>
        <v>1</v>
      </c>
      <c r="R456">
        <f>IFERROR(INDEX(装备库!$A$2:$Y$1047,MATCH(ROW()-1,装备库!$AO$2:$AO$1046,0),COLUMN()),"")</f>
        <v>0</v>
      </c>
      <c r="S456">
        <f>IFERROR(INDEX(装备库!$A$2:$Y$1047,MATCH(ROW()-1,装备库!$AO$2:$AO$1046,0),COLUMN()),"")</f>
        <v>0</v>
      </c>
      <c r="T456">
        <f>IFERROR(INDEX(装备库!$A$2:$Y$1047,MATCH(ROW()-1,装备库!$AO$2:$AO$1046,0),COLUMN()),"")</f>
        <v>0</v>
      </c>
      <c r="U456">
        <f>IFERROR(INDEX(装备库!$A$2:$Y$1047,MATCH(ROW()-1,装备库!$AO$2:$AO$1046,0),COLUMN()),"")</f>
        <v>1</v>
      </c>
      <c r="V456">
        <f>IFERROR(INDEX(装备库!$A$2:$Y$1047,MATCH(ROW()-1,装备库!$AO$2:$AO$1046,0),COLUMN()),"")</f>
        <v>0</v>
      </c>
      <c r="W456" t="str">
        <f>IFERROR(INDEX(装备库!$A$2:$Y$1047,MATCH(ROW()-1,装备库!$AO$2:$AO$1046,0),COLUMN()),"")</f>
        <v>精简攻招无</v>
      </c>
      <c r="X456">
        <f>IFERROR(INDEX(装备库!$A$2:$Y$1047,MATCH(ROW()-1,装备库!$AO$2:$AO$1046,0),COLUMN()),"")</f>
        <v>3</v>
      </c>
      <c r="Y456" t="str">
        <f>IFERROR(INDEX(装备库!$A$2:$Y$1047,MATCH(ROW()-1,装备库!$AO$2:$AO$1046,0),COLUMN()),"")</f>
        <v>活动</v>
      </c>
    </row>
    <row r="457" spans="1:25" x14ac:dyDescent="0.35">
      <c r="A457" t="str">
        <f>IFERROR(INDEX(装备库!$A$2:$Y$1047,MATCH(ROW()-1,装备库!$AO$2:$AO$1046,0),COLUMN()),"")</f>
        <v>鞋子</v>
      </c>
      <c r="B457" t="str">
        <f>IFERROR(INDEX(装备库!$A$2:$Y$1047,MATCH(ROW()-1,装备库!$AO$2:$AO$1046,0),COLUMN()),"")</f>
        <v>无封鞋</v>
      </c>
      <c r="C457">
        <f>IFERROR(INDEX(装备库!$A$2:$Y$1047,MATCH(ROW()-1,装备库!$AO$2:$AO$1046,0),COLUMN()),"")</f>
        <v>10300</v>
      </c>
      <c r="D457" t="str">
        <f>IFERROR(INDEX(装备库!$A$2:$Y$1047,MATCH(ROW()-1,装备库!$AO$2:$AO$1046,0),COLUMN()),"")</f>
        <v>无封鞋(10300精简攻破)</v>
      </c>
      <c r="E457">
        <f>IFERROR(INDEX(装备库!$A$2:$Y$1047,MATCH(ROW()-1,装备库!$AO$2:$AO$1046,0),COLUMN()),"")</f>
        <v>0</v>
      </c>
      <c r="F457">
        <f>IFERROR(INDEX(装备库!$A$2:$Y$1047,MATCH(ROW()-1,装备库!$AO$2:$AO$1046,0),COLUMN()),"")</f>
        <v>2136</v>
      </c>
      <c r="G457">
        <f>IFERROR(INDEX(装备库!$A$2:$Y$1047,MATCH(ROW()-1,装备库!$AO$2:$AO$1046,0),COLUMN()),"")</f>
        <v>0</v>
      </c>
      <c r="H457">
        <f>IFERROR(INDEX(装备库!$A$2:$Y$1047,MATCH(ROW()-1,装备库!$AO$2:$AO$1046,0),COLUMN()),"")</f>
        <v>0</v>
      </c>
      <c r="I457">
        <f>IFERROR(INDEX(装备库!$A$2:$Y$1047,MATCH(ROW()-1,装备库!$AO$2:$AO$1046,0),COLUMN()),"")</f>
        <v>4842</v>
      </c>
      <c r="J457">
        <f>IFERROR(INDEX(装备库!$A$2:$Y$1047,MATCH(ROW()-1,装备库!$AO$2:$AO$1046,0),COLUMN()),"")</f>
        <v>0</v>
      </c>
      <c r="K457">
        <f>IFERROR(INDEX(装备库!$A$2:$Y$1047,MATCH(ROW()-1,装备库!$AO$2:$AO$1046,0),COLUMN()),"")</f>
        <v>0</v>
      </c>
      <c r="L457">
        <f>IFERROR(INDEX(装备库!$A$2:$Y$1047,MATCH(ROW()-1,装备库!$AO$2:$AO$1046,0),COLUMN()),"")</f>
        <v>0</v>
      </c>
      <c r="M457">
        <f>IFERROR(INDEX(装备库!$A$2:$Y$1047,MATCH(ROW()-1,装备库!$AO$2:$AO$1046,0),COLUMN()),"")</f>
        <v>0</v>
      </c>
      <c r="N457">
        <f>IFERROR(INDEX(装备库!$A$2:$Y$1047,MATCH(ROW()-1,装备库!$AO$2:$AO$1046,0),COLUMN()),"")</f>
        <v>0</v>
      </c>
      <c r="O457">
        <f>IFERROR(INDEX(装备库!$A$2:$Y$1047,MATCH(ROW()-1,装备库!$AO$2:$AO$1046,0),COLUMN()),"")</f>
        <v>0</v>
      </c>
      <c r="P457">
        <f>IFERROR(INDEX(装备库!$A$2:$Y$1047,MATCH(ROW()-1,装备库!$AO$2:$AO$1046,0),COLUMN()),"")</f>
        <v>1</v>
      </c>
      <c r="Q457">
        <f>IFERROR(INDEX(装备库!$A$2:$Y$1047,MATCH(ROW()-1,装备库!$AO$2:$AO$1046,0),COLUMN()),"")</f>
        <v>0</v>
      </c>
      <c r="R457">
        <f>IFERROR(INDEX(装备库!$A$2:$Y$1047,MATCH(ROW()-1,装备库!$AO$2:$AO$1046,0),COLUMN()),"")</f>
        <v>0</v>
      </c>
      <c r="S457">
        <f>IFERROR(INDEX(装备库!$A$2:$Y$1047,MATCH(ROW()-1,装备库!$AO$2:$AO$1046,0),COLUMN()),"")</f>
        <v>0</v>
      </c>
      <c r="T457">
        <f>IFERROR(INDEX(装备库!$A$2:$Y$1047,MATCH(ROW()-1,装备库!$AO$2:$AO$1046,0),COLUMN()),"")</f>
        <v>1</v>
      </c>
      <c r="U457">
        <f>IFERROR(INDEX(装备库!$A$2:$Y$1047,MATCH(ROW()-1,装备库!$AO$2:$AO$1046,0),COLUMN()),"")</f>
        <v>0</v>
      </c>
      <c r="V457">
        <f>IFERROR(INDEX(装备库!$A$2:$Y$1047,MATCH(ROW()-1,装备库!$AO$2:$AO$1046,0),COLUMN()),"")</f>
        <v>0</v>
      </c>
      <c r="W457" t="str">
        <f>IFERROR(INDEX(装备库!$A$2:$Y$1047,MATCH(ROW()-1,装备库!$AO$2:$AO$1046,0),COLUMN()),"")</f>
        <v>精简攻破</v>
      </c>
      <c r="X457">
        <f>IFERROR(INDEX(装备库!$A$2:$Y$1047,MATCH(ROW()-1,装备库!$AO$2:$AO$1046,0),COLUMN()),"")</f>
        <v>3</v>
      </c>
      <c r="Y457" t="str">
        <f>IFERROR(INDEX(装备库!$A$2:$Y$1047,MATCH(ROW()-1,装备库!$AO$2:$AO$1046,0),COLUMN()),"")</f>
        <v>活动</v>
      </c>
    </row>
    <row r="458" spans="1:25" x14ac:dyDescent="0.35">
      <c r="A458" t="str">
        <f>IFERROR(INDEX(装备库!$A$2:$Y$1047,MATCH(ROW()-1,装备库!$AO$2:$AO$1046,0),COLUMN()),"")</f>
        <v>鞋子</v>
      </c>
      <c r="B458" t="str">
        <f>IFERROR(INDEX(装备库!$A$2:$Y$1047,MATCH(ROW()-1,装备库!$AO$2:$AO$1046,0),COLUMN()),"")</f>
        <v>无封鞋</v>
      </c>
      <c r="C458">
        <f>IFERROR(INDEX(装备库!$A$2:$Y$1047,MATCH(ROW()-1,装备库!$AO$2:$AO$1046,0),COLUMN()),"")</f>
        <v>10300</v>
      </c>
      <c r="D458" t="str">
        <f>IFERROR(INDEX(装备库!$A$2:$Y$1047,MATCH(ROW()-1,装备库!$AO$2:$AO$1046,0),COLUMN()),"")</f>
        <v>无封鞋(10300精简攻会会无)</v>
      </c>
      <c r="E458">
        <f>IFERROR(INDEX(装备库!$A$2:$Y$1047,MATCH(ROW()-1,装备库!$AO$2:$AO$1046,0),COLUMN()),"")</f>
        <v>0</v>
      </c>
      <c r="F458">
        <f>IFERROR(INDEX(装备库!$A$2:$Y$1047,MATCH(ROW()-1,装备库!$AO$2:$AO$1046,0),COLUMN()),"")</f>
        <v>1822</v>
      </c>
      <c r="G458">
        <f>IFERROR(INDEX(装备库!$A$2:$Y$1047,MATCH(ROW()-1,装备库!$AO$2:$AO$1046,0),COLUMN()),"")</f>
        <v>2666</v>
      </c>
      <c r="H458">
        <f>IFERROR(INDEX(装备库!$A$2:$Y$1047,MATCH(ROW()-1,装备库!$AO$2:$AO$1046,0),COLUMN()),"")</f>
        <v>1403</v>
      </c>
      <c r="I458">
        <f>IFERROR(INDEX(装备库!$A$2:$Y$1047,MATCH(ROW()-1,装备库!$AO$2:$AO$1046,0),COLUMN()),"")</f>
        <v>0</v>
      </c>
      <c r="J458">
        <f>IFERROR(INDEX(装备库!$A$2:$Y$1047,MATCH(ROW()-1,装备库!$AO$2:$AO$1046,0),COLUMN()),"")</f>
        <v>0</v>
      </c>
      <c r="K458">
        <f>IFERROR(INDEX(装备库!$A$2:$Y$1047,MATCH(ROW()-1,装备库!$AO$2:$AO$1046,0),COLUMN()),"")</f>
        <v>1403</v>
      </c>
      <c r="L458">
        <f>IFERROR(INDEX(装备库!$A$2:$Y$1047,MATCH(ROW()-1,装备库!$AO$2:$AO$1046,0),COLUMN()),"")</f>
        <v>0</v>
      </c>
      <c r="M458">
        <f>IFERROR(INDEX(装备库!$A$2:$Y$1047,MATCH(ROW()-1,装备库!$AO$2:$AO$1046,0),COLUMN()),"")</f>
        <v>0</v>
      </c>
      <c r="N458">
        <f>IFERROR(INDEX(装备库!$A$2:$Y$1047,MATCH(ROW()-1,装备库!$AO$2:$AO$1046,0),COLUMN()),"")</f>
        <v>0</v>
      </c>
      <c r="O458">
        <f>IFERROR(INDEX(装备库!$A$2:$Y$1047,MATCH(ROW()-1,装备库!$AO$2:$AO$1046,0),COLUMN()),"")</f>
        <v>0</v>
      </c>
      <c r="P458">
        <f>IFERROR(INDEX(装备库!$A$2:$Y$1047,MATCH(ROW()-1,装备库!$AO$2:$AO$1046,0),COLUMN()),"")</f>
        <v>0</v>
      </c>
      <c r="Q458">
        <f>IFERROR(INDEX(装备库!$A$2:$Y$1047,MATCH(ROW()-1,装备库!$AO$2:$AO$1046,0),COLUMN()),"")</f>
        <v>0</v>
      </c>
      <c r="R458">
        <f>IFERROR(INDEX(装备库!$A$2:$Y$1047,MATCH(ROW()-1,装备库!$AO$2:$AO$1046,0),COLUMN()),"")</f>
        <v>0</v>
      </c>
      <c r="S458">
        <f>IFERROR(INDEX(装备库!$A$2:$Y$1047,MATCH(ROW()-1,装备库!$AO$2:$AO$1046,0),COLUMN()),"")</f>
        <v>1</v>
      </c>
      <c r="T458">
        <f>IFERROR(INDEX(装备库!$A$2:$Y$1047,MATCH(ROW()-1,装备库!$AO$2:$AO$1046,0),COLUMN()),"")</f>
        <v>0</v>
      </c>
      <c r="U458">
        <f>IFERROR(INDEX(装备库!$A$2:$Y$1047,MATCH(ROW()-1,装备库!$AO$2:$AO$1046,0),COLUMN()),"")</f>
        <v>1</v>
      </c>
      <c r="V458">
        <f>IFERROR(INDEX(装备库!$A$2:$Y$1047,MATCH(ROW()-1,装备库!$AO$2:$AO$1046,0),COLUMN()),"")</f>
        <v>0</v>
      </c>
      <c r="W458" t="str">
        <f>IFERROR(INDEX(装备库!$A$2:$Y$1047,MATCH(ROW()-1,装备库!$AO$2:$AO$1046,0),COLUMN()),"")</f>
        <v>精简攻会会无</v>
      </c>
      <c r="X458">
        <f>IFERROR(INDEX(装备库!$A$2:$Y$1047,MATCH(ROW()-1,装备库!$AO$2:$AO$1046,0),COLUMN()),"")</f>
        <v>3</v>
      </c>
      <c r="Y458" t="str">
        <f>IFERROR(INDEX(装备库!$A$2:$Y$1047,MATCH(ROW()-1,装备库!$AO$2:$AO$1046,0),COLUMN()),"")</f>
        <v>活动</v>
      </c>
    </row>
    <row r="459" spans="1:25" x14ac:dyDescent="0.35">
      <c r="A459" t="str">
        <f>IFERROR(INDEX(装备库!$A$2:$Y$1047,MATCH(ROW()-1,装备库!$AO$2:$AO$1046,0),COLUMN()),"")</f>
        <v>鞋子</v>
      </c>
      <c r="B459" t="str">
        <f>IFERROR(INDEX(装备库!$A$2:$Y$1047,MATCH(ROW()-1,装备库!$AO$2:$AO$1046,0),COLUMN()),"")</f>
        <v>虚韵靴</v>
      </c>
      <c r="C459">
        <f>IFERROR(INDEX(装备库!$A$2:$Y$1047,MATCH(ROW()-1,装备库!$AO$2:$AO$1046,0),COLUMN()),"")</f>
        <v>10400</v>
      </c>
      <c r="D459" t="str">
        <f>IFERROR(INDEX(装备库!$A$2:$Y$1047,MATCH(ROW()-1,装备库!$AO$2:$AO$1046,0),COLUMN()),"")</f>
        <v>虚韵靴(10400破无)</v>
      </c>
      <c r="E459">
        <f>IFERROR(INDEX(装备库!$A$2:$Y$1047,MATCH(ROW()-1,装备库!$AO$2:$AO$1046,0),COLUMN()),"")</f>
        <v>508</v>
      </c>
      <c r="F459">
        <f>IFERROR(INDEX(装备库!$A$2:$Y$1047,MATCH(ROW()-1,装备库!$AO$2:$AO$1046,0),COLUMN()),"")</f>
        <v>825</v>
      </c>
      <c r="G459">
        <f>IFERROR(INDEX(装备库!$A$2:$Y$1047,MATCH(ROW()-1,装备库!$AO$2:$AO$1046,0),COLUMN()),"")</f>
        <v>0</v>
      </c>
      <c r="H459">
        <f>IFERROR(INDEX(装备库!$A$2:$Y$1047,MATCH(ROW()-1,装备库!$AO$2:$AO$1046,0),COLUMN()),"")</f>
        <v>0</v>
      </c>
      <c r="I459">
        <f>IFERROR(INDEX(装备库!$A$2:$Y$1047,MATCH(ROW()-1,装备库!$AO$2:$AO$1046,0),COLUMN()),"")</f>
        <v>2551</v>
      </c>
      <c r="J459">
        <f>IFERROR(INDEX(装备库!$A$2:$Y$1047,MATCH(ROW()-1,装备库!$AO$2:$AO$1046,0),COLUMN()),"")</f>
        <v>0</v>
      </c>
      <c r="K459">
        <f>IFERROR(INDEX(装备库!$A$2:$Y$1047,MATCH(ROW()-1,装备库!$AO$2:$AO$1046,0),COLUMN()),"")</f>
        <v>2267</v>
      </c>
      <c r="L459">
        <f>IFERROR(INDEX(装备库!$A$2:$Y$1047,MATCH(ROW()-1,装备库!$AO$2:$AO$1046,0),COLUMN()),"")</f>
        <v>0</v>
      </c>
      <c r="M459">
        <f>IFERROR(INDEX(装备库!$A$2:$Y$1047,MATCH(ROW()-1,装备库!$AO$2:$AO$1046,0),COLUMN()),"")</f>
        <v>0</v>
      </c>
      <c r="N459">
        <f>IFERROR(INDEX(装备库!$A$2:$Y$1047,MATCH(ROW()-1,装备库!$AO$2:$AO$1046,0),COLUMN()),"")</f>
        <v>0</v>
      </c>
      <c r="O459">
        <f>IFERROR(INDEX(装备库!$A$2:$Y$1047,MATCH(ROW()-1,装备库!$AO$2:$AO$1046,0),COLUMN()),"")</f>
        <v>0</v>
      </c>
      <c r="P459">
        <f>IFERROR(INDEX(装备库!$A$2:$Y$1047,MATCH(ROW()-1,装备库!$AO$2:$AO$1046,0),COLUMN()),"")</f>
        <v>1</v>
      </c>
      <c r="Q459">
        <f>IFERROR(INDEX(装备库!$A$2:$Y$1047,MATCH(ROW()-1,装备库!$AO$2:$AO$1046,0),COLUMN()),"")</f>
        <v>0</v>
      </c>
      <c r="R459">
        <f>IFERROR(INDEX(装备库!$A$2:$Y$1047,MATCH(ROW()-1,装备库!$AO$2:$AO$1046,0),COLUMN()),"")</f>
        <v>0</v>
      </c>
      <c r="S459">
        <f>IFERROR(INDEX(装备库!$A$2:$Y$1047,MATCH(ROW()-1,装备库!$AO$2:$AO$1046,0),COLUMN()),"")</f>
        <v>1</v>
      </c>
      <c r="T459">
        <f>IFERROR(INDEX(装备库!$A$2:$Y$1047,MATCH(ROW()-1,装备库!$AO$2:$AO$1046,0),COLUMN()),"")</f>
        <v>0</v>
      </c>
      <c r="U459">
        <f>IFERROR(INDEX(装备库!$A$2:$Y$1047,MATCH(ROW()-1,装备库!$AO$2:$AO$1046,0),COLUMN()),"")</f>
        <v>0</v>
      </c>
      <c r="V459">
        <f>IFERROR(INDEX(装备库!$A$2:$Y$1047,MATCH(ROW()-1,装备库!$AO$2:$AO$1046,0),COLUMN()),"")</f>
        <v>0</v>
      </c>
      <c r="W459" t="str">
        <f>IFERROR(INDEX(装备库!$A$2:$Y$1047,MATCH(ROW()-1,装备库!$AO$2:$AO$1046,0),COLUMN()),"")</f>
        <v>破无</v>
      </c>
      <c r="X459">
        <f>IFERROR(INDEX(装备库!$A$2:$Y$1047,MATCH(ROW()-1,装备库!$AO$2:$AO$1046,0),COLUMN()),"")</f>
        <v>6</v>
      </c>
      <c r="Y459" t="str">
        <f>IFERROR(INDEX(装备库!$A$2:$Y$1047,MATCH(ROW()-1,装备库!$AO$2:$AO$1046,0),COLUMN()),"")</f>
        <v>侠义值</v>
      </c>
    </row>
    <row r="460" spans="1:25" x14ac:dyDescent="0.35">
      <c r="A460" t="str">
        <f>IFERROR(INDEX(装备库!$A$2:$Y$1047,MATCH(ROW()-1,装备库!$AO$2:$AO$1046,0),COLUMN()),"")</f>
        <v>鞋子</v>
      </c>
      <c r="B460" t="str">
        <f>IFERROR(INDEX(装备库!$A$2:$Y$1047,MATCH(ROW()-1,装备库!$AO$2:$AO$1046,0),COLUMN()),"")</f>
        <v>无封鞋</v>
      </c>
      <c r="C460">
        <f>IFERROR(INDEX(装备库!$A$2:$Y$1047,MATCH(ROW()-1,装备库!$AO$2:$AO$1046,0),COLUMN()),"")</f>
        <v>10600</v>
      </c>
      <c r="D460" t="str">
        <f>IFERROR(INDEX(装备库!$A$2:$Y$1047,MATCH(ROW()-1,装备库!$AO$2:$AO$1046,0),COLUMN()),"")</f>
        <v>无封鞋(10600精简攻招破无)</v>
      </c>
      <c r="E460">
        <f>IFERROR(INDEX(装备库!$A$2:$Y$1047,MATCH(ROW()-1,装备库!$AO$2:$AO$1046,0),COLUMN()),"")</f>
        <v>0</v>
      </c>
      <c r="F460">
        <f>IFERROR(INDEX(装备库!$A$2:$Y$1047,MATCH(ROW()-1,装备库!$AO$2:$AO$1046,0),COLUMN()),"")</f>
        <v>1875</v>
      </c>
      <c r="G460">
        <f>IFERROR(INDEX(装备库!$A$2:$Y$1047,MATCH(ROW()-1,装备库!$AO$2:$AO$1046,0),COLUMN()),"")</f>
        <v>0</v>
      </c>
      <c r="H460">
        <f>IFERROR(INDEX(装备库!$A$2:$Y$1047,MATCH(ROW()-1,装备库!$AO$2:$AO$1046,0),COLUMN()),"")</f>
        <v>0</v>
      </c>
      <c r="I460">
        <f>IFERROR(INDEX(装备库!$A$2:$Y$1047,MATCH(ROW()-1,装备库!$AO$2:$AO$1046,0),COLUMN()),"")</f>
        <v>2455</v>
      </c>
      <c r="J460">
        <f>IFERROR(INDEX(装备库!$A$2:$Y$1047,MATCH(ROW()-1,装备库!$AO$2:$AO$1046,0),COLUMN()),"")</f>
        <v>1878</v>
      </c>
      <c r="K460">
        <f>IFERROR(INDEX(装备库!$A$2:$Y$1047,MATCH(ROW()-1,装备库!$AO$2:$AO$1046,0),COLUMN()),"")</f>
        <v>1444</v>
      </c>
      <c r="L460">
        <f>IFERROR(INDEX(装备库!$A$2:$Y$1047,MATCH(ROW()-1,装备库!$AO$2:$AO$1046,0),COLUMN()),"")</f>
        <v>0</v>
      </c>
      <c r="M460">
        <f>IFERROR(INDEX(装备库!$A$2:$Y$1047,MATCH(ROW()-1,装备库!$AO$2:$AO$1046,0),COLUMN()),"")</f>
        <v>0</v>
      </c>
      <c r="N460">
        <f>IFERROR(INDEX(装备库!$A$2:$Y$1047,MATCH(ROW()-1,装备库!$AO$2:$AO$1046,0),COLUMN()),"")</f>
        <v>0</v>
      </c>
      <c r="O460">
        <f>IFERROR(INDEX(装备库!$A$2:$Y$1047,MATCH(ROW()-1,装备库!$AO$2:$AO$1046,0),COLUMN()),"")</f>
        <v>0</v>
      </c>
      <c r="P460">
        <f>IFERROR(INDEX(装备库!$A$2:$Y$1047,MATCH(ROW()-1,装备库!$AO$2:$AO$1046,0),COLUMN()),"")</f>
        <v>0</v>
      </c>
      <c r="Q460">
        <f>IFERROR(INDEX(装备库!$A$2:$Y$1047,MATCH(ROW()-1,装备库!$AO$2:$AO$1046,0),COLUMN()),"")</f>
        <v>1</v>
      </c>
      <c r="R460">
        <f>IFERROR(INDEX(装备库!$A$2:$Y$1047,MATCH(ROW()-1,装备库!$AO$2:$AO$1046,0),COLUMN()),"")</f>
        <v>0</v>
      </c>
      <c r="S460">
        <f>IFERROR(INDEX(装备库!$A$2:$Y$1047,MATCH(ROW()-1,装备库!$AO$2:$AO$1046,0),COLUMN()),"")</f>
        <v>0</v>
      </c>
      <c r="T460">
        <f>IFERROR(INDEX(装备库!$A$2:$Y$1047,MATCH(ROW()-1,装备库!$AO$2:$AO$1046,0),COLUMN()),"")</f>
        <v>0</v>
      </c>
      <c r="U460">
        <f>IFERROR(INDEX(装备库!$A$2:$Y$1047,MATCH(ROW()-1,装备库!$AO$2:$AO$1046,0),COLUMN()),"")</f>
        <v>1</v>
      </c>
      <c r="V460">
        <f>IFERROR(INDEX(装备库!$A$2:$Y$1047,MATCH(ROW()-1,装备库!$AO$2:$AO$1046,0),COLUMN()),"")</f>
        <v>0</v>
      </c>
      <c r="W460" t="str">
        <f>IFERROR(INDEX(装备库!$A$2:$Y$1047,MATCH(ROW()-1,装备库!$AO$2:$AO$1046,0),COLUMN()),"")</f>
        <v>精简攻招破无</v>
      </c>
      <c r="X460">
        <f>IFERROR(INDEX(装备库!$A$2:$Y$1047,MATCH(ROW()-1,装备库!$AO$2:$AO$1046,0),COLUMN()),"")</f>
        <v>3</v>
      </c>
      <c r="Y460" t="str">
        <f>IFERROR(INDEX(装备库!$A$2:$Y$1047,MATCH(ROW()-1,装备库!$AO$2:$AO$1046,0),COLUMN()),"")</f>
        <v>活动</v>
      </c>
    </row>
    <row r="461" spans="1:25" x14ac:dyDescent="0.35">
      <c r="A461" t="str">
        <f>IFERROR(INDEX(装备库!$A$2:$Y$1047,MATCH(ROW()-1,装备库!$AO$2:$AO$1046,0),COLUMN()),"")</f>
        <v>鞋子</v>
      </c>
      <c r="B461" t="str">
        <f>IFERROR(INDEX(装备库!$A$2:$Y$1047,MATCH(ROW()-1,装备库!$AO$2:$AO$1046,0),COLUMN()),"")</f>
        <v>无封鞋</v>
      </c>
      <c r="C461">
        <f>IFERROR(INDEX(装备库!$A$2:$Y$1047,MATCH(ROW()-1,装备库!$AO$2:$AO$1046,0),COLUMN()),"")</f>
        <v>10600</v>
      </c>
      <c r="D461" t="str">
        <f>IFERROR(INDEX(装备库!$A$2:$Y$1047,MATCH(ROW()-1,装备库!$AO$2:$AO$1046,0),COLUMN()),"")</f>
        <v>无封鞋(10600精简攻会破)</v>
      </c>
      <c r="E461">
        <f>IFERROR(INDEX(装备库!$A$2:$Y$1047,MATCH(ROW()-1,装备库!$AO$2:$AO$1046,0),COLUMN()),"")</f>
        <v>0</v>
      </c>
      <c r="F461">
        <f>IFERROR(INDEX(装备库!$A$2:$Y$1047,MATCH(ROW()-1,装备库!$AO$2:$AO$1046,0),COLUMN()),"")</f>
        <v>1875</v>
      </c>
      <c r="G461">
        <f>IFERROR(INDEX(装备库!$A$2:$Y$1047,MATCH(ROW()-1,装备库!$AO$2:$AO$1046,0),COLUMN()),"")</f>
        <v>2889</v>
      </c>
      <c r="H461">
        <f>IFERROR(INDEX(装备库!$A$2:$Y$1047,MATCH(ROW()-1,装备库!$AO$2:$AO$1046,0),COLUMN()),"")</f>
        <v>0</v>
      </c>
      <c r="I461">
        <f>IFERROR(INDEX(装备库!$A$2:$Y$1047,MATCH(ROW()-1,装备库!$AO$2:$AO$1046,0),COLUMN()),"")</f>
        <v>2889</v>
      </c>
      <c r="J461">
        <f>IFERROR(INDEX(装备库!$A$2:$Y$1047,MATCH(ROW()-1,装备库!$AO$2:$AO$1046,0),COLUMN()),"")</f>
        <v>0</v>
      </c>
      <c r="K461">
        <f>IFERROR(INDEX(装备库!$A$2:$Y$1047,MATCH(ROW()-1,装备库!$AO$2:$AO$1046,0),COLUMN()),"")</f>
        <v>0</v>
      </c>
      <c r="L461">
        <f>IFERROR(INDEX(装备库!$A$2:$Y$1047,MATCH(ROW()-1,装备库!$AO$2:$AO$1046,0),COLUMN()),"")</f>
        <v>0</v>
      </c>
      <c r="M461">
        <f>IFERROR(INDEX(装备库!$A$2:$Y$1047,MATCH(ROW()-1,装备库!$AO$2:$AO$1046,0),COLUMN()),"")</f>
        <v>0</v>
      </c>
      <c r="N461">
        <f>IFERROR(INDEX(装备库!$A$2:$Y$1047,MATCH(ROW()-1,装备库!$AO$2:$AO$1046,0),COLUMN()),"")</f>
        <v>0</v>
      </c>
      <c r="O461">
        <f>IFERROR(INDEX(装备库!$A$2:$Y$1047,MATCH(ROW()-1,装备库!$AO$2:$AO$1046,0),COLUMN()),"")</f>
        <v>0</v>
      </c>
      <c r="P461">
        <f>IFERROR(INDEX(装备库!$A$2:$Y$1047,MATCH(ROW()-1,装备库!$AO$2:$AO$1046,0),COLUMN()),"")</f>
        <v>1</v>
      </c>
      <c r="Q461">
        <f>IFERROR(INDEX(装备库!$A$2:$Y$1047,MATCH(ROW()-1,装备库!$AO$2:$AO$1046,0),COLUMN()),"")</f>
        <v>0</v>
      </c>
      <c r="R461">
        <f>IFERROR(INDEX(装备库!$A$2:$Y$1047,MATCH(ROW()-1,装备库!$AO$2:$AO$1046,0),COLUMN()),"")</f>
        <v>0</v>
      </c>
      <c r="S461">
        <f>IFERROR(INDEX(装备库!$A$2:$Y$1047,MATCH(ROW()-1,装备库!$AO$2:$AO$1046,0),COLUMN()),"")</f>
        <v>0</v>
      </c>
      <c r="T461">
        <f>IFERROR(INDEX(装备库!$A$2:$Y$1047,MATCH(ROW()-1,装备库!$AO$2:$AO$1046,0),COLUMN()),"")</f>
        <v>1</v>
      </c>
      <c r="U461">
        <f>IFERROR(INDEX(装备库!$A$2:$Y$1047,MATCH(ROW()-1,装备库!$AO$2:$AO$1046,0),COLUMN()),"")</f>
        <v>0</v>
      </c>
      <c r="V461">
        <f>IFERROR(INDEX(装备库!$A$2:$Y$1047,MATCH(ROW()-1,装备库!$AO$2:$AO$1046,0),COLUMN()),"")</f>
        <v>0</v>
      </c>
      <c r="W461" t="str">
        <f>IFERROR(INDEX(装备库!$A$2:$Y$1047,MATCH(ROW()-1,装备库!$AO$2:$AO$1046,0),COLUMN()),"")</f>
        <v>精简攻会破</v>
      </c>
      <c r="X461">
        <f>IFERROR(INDEX(装备库!$A$2:$Y$1047,MATCH(ROW()-1,装备库!$AO$2:$AO$1046,0),COLUMN()),"")</f>
        <v>3</v>
      </c>
      <c r="Y461" t="str">
        <f>IFERROR(INDEX(装备库!$A$2:$Y$1047,MATCH(ROW()-1,装备库!$AO$2:$AO$1046,0),COLUMN()),"")</f>
        <v>活动</v>
      </c>
    </row>
    <row r="462" spans="1:25" x14ac:dyDescent="0.35">
      <c r="A462" t="str">
        <f>IFERROR(INDEX(装备库!$A$2:$Y$1047,MATCH(ROW()-1,装备库!$AO$2:$AO$1046,0),COLUMN()),"")</f>
        <v>鞋子</v>
      </c>
      <c r="B462" t="str">
        <f>IFERROR(INDEX(装备库!$A$2:$Y$1047,MATCH(ROW()-1,装备库!$AO$2:$AO$1046,0),COLUMN()),"")</f>
        <v>无封鞋</v>
      </c>
      <c r="C462">
        <f>IFERROR(INDEX(装备库!$A$2:$Y$1047,MATCH(ROW()-1,装备库!$AO$2:$AO$1046,0),COLUMN()),"")</f>
        <v>10600</v>
      </c>
      <c r="D462" t="str">
        <f>IFERROR(INDEX(装备库!$A$2:$Y$1047,MATCH(ROW()-1,装备库!$AO$2:$AO$1046,0),COLUMN()),"")</f>
        <v>无封鞋(10600精简攻会)</v>
      </c>
      <c r="E462">
        <f>IFERROR(INDEX(装备库!$A$2:$Y$1047,MATCH(ROW()-1,装备库!$AO$2:$AO$1046,0),COLUMN()),"")</f>
        <v>0</v>
      </c>
      <c r="F462">
        <f>IFERROR(INDEX(装备库!$A$2:$Y$1047,MATCH(ROW()-1,装备库!$AO$2:$AO$1046,0),COLUMN()),"")</f>
        <v>2198</v>
      </c>
      <c r="G462">
        <f>IFERROR(INDEX(装备库!$A$2:$Y$1047,MATCH(ROW()-1,装备库!$AO$2:$AO$1046,0),COLUMN()),"")</f>
        <v>4983</v>
      </c>
      <c r="H462">
        <f>IFERROR(INDEX(装备库!$A$2:$Y$1047,MATCH(ROW()-1,装备库!$AO$2:$AO$1046,0),COLUMN()),"")</f>
        <v>0</v>
      </c>
      <c r="I462">
        <f>IFERROR(INDEX(装备库!$A$2:$Y$1047,MATCH(ROW()-1,装备库!$AO$2:$AO$1046,0),COLUMN()),"")</f>
        <v>0</v>
      </c>
      <c r="J462">
        <f>IFERROR(INDEX(装备库!$A$2:$Y$1047,MATCH(ROW()-1,装备库!$AO$2:$AO$1046,0),COLUMN()),"")</f>
        <v>0</v>
      </c>
      <c r="K462">
        <f>IFERROR(INDEX(装备库!$A$2:$Y$1047,MATCH(ROW()-1,装备库!$AO$2:$AO$1046,0),COLUMN()),"")</f>
        <v>0</v>
      </c>
      <c r="L462">
        <f>IFERROR(INDEX(装备库!$A$2:$Y$1047,MATCH(ROW()-1,装备库!$AO$2:$AO$1046,0),COLUMN()),"")</f>
        <v>0</v>
      </c>
      <c r="M462">
        <f>IFERROR(INDEX(装备库!$A$2:$Y$1047,MATCH(ROW()-1,装备库!$AO$2:$AO$1046,0),COLUMN()),"")</f>
        <v>0</v>
      </c>
      <c r="N462">
        <f>IFERROR(INDEX(装备库!$A$2:$Y$1047,MATCH(ROW()-1,装备库!$AO$2:$AO$1046,0),COLUMN()),"")</f>
        <v>0</v>
      </c>
      <c r="O462">
        <f>IFERROR(INDEX(装备库!$A$2:$Y$1047,MATCH(ROW()-1,装备库!$AO$2:$AO$1046,0),COLUMN()),"")</f>
        <v>0</v>
      </c>
      <c r="P462">
        <f>IFERROR(INDEX(装备库!$A$2:$Y$1047,MATCH(ROW()-1,装备库!$AO$2:$AO$1046,0),COLUMN()),"")</f>
        <v>0</v>
      </c>
      <c r="Q462">
        <f>IFERROR(INDEX(装备库!$A$2:$Y$1047,MATCH(ROW()-1,装备库!$AO$2:$AO$1046,0),COLUMN()),"")</f>
        <v>1</v>
      </c>
      <c r="R462">
        <f>IFERROR(INDEX(装备库!$A$2:$Y$1047,MATCH(ROW()-1,装备库!$AO$2:$AO$1046,0),COLUMN()),"")</f>
        <v>1</v>
      </c>
      <c r="S462">
        <f>IFERROR(INDEX(装备库!$A$2:$Y$1047,MATCH(ROW()-1,装备库!$AO$2:$AO$1046,0),COLUMN()),"")</f>
        <v>0</v>
      </c>
      <c r="T462">
        <f>IFERROR(INDEX(装备库!$A$2:$Y$1047,MATCH(ROW()-1,装备库!$AO$2:$AO$1046,0),COLUMN()),"")</f>
        <v>0</v>
      </c>
      <c r="U462">
        <f>IFERROR(INDEX(装备库!$A$2:$Y$1047,MATCH(ROW()-1,装备库!$AO$2:$AO$1046,0),COLUMN()),"")</f>
        <v>0</v>
      </c>
      <c r="V462">
        <f>IFERROR(INDEX(装备库!$A$2:$Y$1047,MATCH(ROW()-1,装备库!$AO$2:$AO$1046,0),COLUMN()),"")</f>
        <v>0</v>
      </c>
      <c r="W462" t="str">
        <f>IFERROR(INDEX(装备库!$A$2:$Y$1047,MATCH(ROW()-1,装备库!$AO$2:$AO$1046,0),COLUMN()),"")</f>
        <v>精简攻会</v>
      </c>
      <c r="X462">
        <f>IFERROR(INDEX(装备库!$A$2:$Y$1047,MATCH(ROW()-1,装备库!$AO$2:$AO$1046,0),COLUMN()),"")</f>
        <v>3</v>
      </c>
      <c r="Y462" t="str">
        <f>IFERROR(INDEX(装备库!$A$2:$Y$1047,MATCH(ROW()-1,装备库!$AO$2:$AO$1046,0),COLUMN()),"")</f>
        <v>活动</v>
      </c>
    </row>
    <row r="463" spans="1:25" x14ac:dyDescent="0.35">
      <c r="A463" t="str">
        <f>IFERROR(INDEX(装备库!$A$2:$Y$1047,MATCH(ROW()-1,装备库!$AO$2:$AO$1046,0),COLUMN()),"")</f>
        <v>鞋子</v>
      </c>
      <c r="B463" t="str">
        <f>IFERROR(INDEX(装备库!$A$2:$Y$1047,MATCH(ROW()-1,装备库!$AO$2:$AO$1046,0),COLUMN()),"")</f>
        <v>无封鞋</v>
      </c>
      <c r="C463">
        <f>IFERROR(INDEX(装备库!$A$2:$Y$1047,MATCH(ROW()-1,装备库!$AO$2:$AO$1046,0),COLUMN()),"")</f>
        <v>10900</v>
      </c>
      <c r="D463" t="str">
        <f>IFERROR(INDEX(装备库!$A$2:$Y$1047,MATCH(ROW()-1,装备库!$AO$2:$AO$1046,0),COLUMN()),"")</f>
        <v>无封鞋(10900精简攻无)</v>
      </c>
      <c r="E463">
        <f>IFERROR(INDEX(装备库!$A$2:$Y$1047,MATCH(ROW()-1,装备库!$AO$2:$AO$1046,0),COLUMN()),"")</f>
        <v>0</v>
      </c>
      <c r="F463">
        <f>IFERROR(INDEX(装备库!$A$2:$Y$1047,MATCH(ROW()-1,装备库!$AO$2:$AO$1046,0),COLUMN()),"")</f>
        <v>2260</v>
      </c>
      <c r="G463">
        <f>IFERROR(INDEX(装备库!$A$2:$Y$1047,MATCH(ROW()-1,装备库!$AO$2:$AO$1046,0),COLUMN()),"")</f>
        <v>0</v>
      </c>
      <c r="H463">
        <f>IFERROR(INDEX(装备库!$A$2:$Y$1047,MATCH(ROW()-1,装备库!$AO$2:$AO$1046,0),COLUMN()),"")</f>
        <v>0</v>
      </c>
      <c r="I463">
        <f>IFERROR(INDEX(装备库!$A$2:$Y$1047,MATCH(ROW()-1,装备库!$AO$2:$AO$1046,0),COLUMN()),"")</f>
        <v>0</v>
      </c>
      <c r="J463">
        <f>IFERROR(INDEX(装备库!$A$2:$Y$1047,MATCH(ROW()-1,装备库!$AO$2:$AO$1046,0),COLUMN()),"")</f>
        <v>0</v>
      </c>
      <c r="K463">
        <f>IFERROR(INDEX(装备库!$A$2:$Y$1047,MATCH(ROW()-1,装备库!$AO$2:$AO$1046,0),COLUMN()),"")</f>
        <v>5124</v>
      </c>
      <c r="L463">
        <f>IFERROR(INDEX(装备库!$A$2:$Y$1047,MATCH(ROW()-1,装备库!$AO$2:$AO$1046,0),COLUMN()),"")</f>
        <v>0</v>
      </c>
      <c r="M463">
        <f>IFERROR(INDEX(装备库!$A$2:$Y$1047,MATCH(ROW()-1,装备库!$AO$2:$AO$1046,0),COLUMN()),"")</f>
        <v>0</v>
      </c>
      <c r="N463">
        <f>IFERROR(INDEX(装备库!$A$2:$Y$1047,MATCH(ROW()-1,装备库!$AO$2:$AO$1046,0),COLUMN()),"")</f>
        <v>0</v>
      </c>
      <c r="O463">
        <f>IFERROR(INDEX(装备库!$A$2:$Y$1047,MATCH(ROW()-1,装备库!$AO$2:$AO$1046,0),COLUMN()),"")</f>
        <v>0</v>
      </c>
      <c r="P463">
        <f>IFERROR(INDEX(装备库!$A$2:$Y$1047,MATCH(ROW()-1,装备库!$AO$2:$AO$1046,0),COLUMN()),"")</f>
        <v>0</v>
      </c>
      <c r="Q463">
        <f>IFERROR(INDEX(装备库!$A$2:$Y$1047,MATCH(ROW()-1,装备库!$AO$2:$AO$1046,0),COLUMN()),"")</f>
        <v>0</v>
      </c>
      <c r="R463">
        <f>IFERROR(INDEX(装备库!$A$2:$Y$1047,MATCH(ROW()-1,装备库!$AO$2:$AO$1046,0),COLUMN()),"")</f>
        <v>0</v>
      </c>
      <c r="S463">
        <f>IFERROR(INDEX(装备库!$A$2:$Y$1047,MATCH(ROW()-1,装备库!$AO$2:$AO$1046,0),COLUMN()),"")</f>
        <v>1</v>
      </c>
      <c r="T463">
        <f>IFERROR(INDEX(装备库!$A$2:$Y$1047,MATCH(ROW()-1,装备库!$AO$2:$AO$1046,0),COLUMN()),"")</f>
        <v>0</v>
      </c>
      <c r="U463">
        <f>IFERROR(INDEX(装备库!$A$2:$Y$1047,MATCH(ROW()-1,装备库!$AO$2:$AO$1046,0),COLUMN()),"")</f>
        <v>1</v>
      </c>
      <c r="V463">
        <f>IFERROR(INDEX(装备库!$A$2:$Y$1047,MATCH(ROW()-1,装备库!$AO$2:$AO$1046,0),COLUMN()),"")</f>
        <v>0</v>
      </c>
      <c r="W463" t="str">
        <f>IFERROR(INDEX(装备库!$A$2:$Y$1047,MATCH(ROW()-1,装备库!$AO$2:$AO$1046,0),COLUMN()),"")</f>
        <v>精简攻无</v>
      </c>
      <c r="X463">
        <f>IFERROR(INDEX(装备库!$A$2:$Y$1047,MATCH(ROW()-1,装备库!$AO$2:$AO$1046,0),COLUMN()),"")</f>
        <v>3</v>
      </c>
      <c r="Y463" t="str">
        <f>IFERROR(INDEX(装备库!$A$2:$Y$1047,MATCH(ROW()-1,装备库!$AO$2:$AO$1046,0),COLUMN()),"")</f>
        <v>活动</v>
      </c>
    </row>
    <row r="464" spans="1:25" x14ac:dyDescent="0.35">
      <c r="A464" t="str">
        <f>IFERROR(INDEX(装备库!$A$2:$Y$1047,MATCH(ROW()-1,装备库!$AO$2:$AO$1046,0),COLUMN()),"")</f>
        <v>鞋子</v>
      </c>
      <c r="B464" t="str">
        <f>IFERROR(INDEX(装备库!$A$2:$Y$1047,MATCH(ROW()-1,装备库!$AO$2:$AO$1046,0),COLUMN()),"")</f>
        <v>无封鞋</v>
      </c>
      <c r="C464">
        <f>IFERROR(INDEX(装备库!$A$2:$Y$1047,MATCH(ROW()-1,装备库!$AO$2:$AO$1046,0),COLUMN()),"")</f>
        <v>10900</v>
      </c>
      <c r="D464" t="str">
        <f>IFERROR(INDEX(装备库!$A$2:$Y$1047,MATCH(ROW()-1,装备库!$AO$2:$AO$1046,0),COLUMN()),"")</f>
        <v>无封鞋(10900精简攻破无)</v>
      </c>
      <c r="E464">
        <f>IFERROR(INDEX(装备库!$A$2:$Y$1047,MATCH(ROW()-1,装备库!$AO$2:$AO$1046,0),COLUMN()),"")</f>
        <v>0</v>
      </c>
      <c r="F464">
        <f>IFERROR(INDEX(装备库!$A$2:$Y$1047,MATCH(ROW()-1,装备库!$AO$2:$AO$1046,0),COLUMN()),"")</f>
        <v>1928</v>
      </c>
      <c r="G464">
        <f>IFERROR(INDEX(装备库!$A$2:$Y$1047,MATCH(ROW()-1,装备库!$AO$2:$AO$1046,0),COLUMN()),"")</f>
        <v>0</v>
      </c>
      <c r="H464">
        <f>IFERROR(INDEX(装备库!$A$2:$Y$1047,MATCH(ROW()-1,装备库!$AO$2:$AO$1046,0),COLUMN()),"")</f>
        <v>0</v>
      </c>
      <c r="I464">
        <f>IFERROR(INDEX(装备库!$A$2:$Y$1047,MATCH(ROW()-1,装备库!$AO$2:$AO$1046,0),COLUMN()),"")</f>
        <v>2970</v>
      </c>
      <c r="J464">
        <f>IFERROR(INDEX(装备库!$A$2:$Y$1047,MATCH(ROW()-1,装备库!$AO$2:$AO$1046,0),COLUMN()),"")</f>
        <v>0</v>
      </c>
      <c r="K464">
        <f>IFERROR(INDEX(装备库!$A$2:$Y$1047,MATCH(ROW()-1,装备库!$AO$2:$AO$1046,0),COLUMN()),"")</f>
        <v>2970</v>
      </c>
      <c r="L464">
        <f>IFERROR(INDEX(装备库!$A$2:$Y$1047,MATCH(ROW()-1,装备库!$AO$2:$AO$1046,0),COLUMN()),"")</f>
        <v>0</v>
      </c>
      <c r="M464">
        <f>IFERROR(INDEX(装备库!$A$2:$Y$1047,MATCH(ROW()-1,装备库!$AO$2:$AO$1046,0),COLUMN()),"")</f>
        <v>0</v>
      </c>
      <c r="N464">
        <f>IFERROR(INDEX(装备库!$A$2:$Y$1047,MATCH(ROW()-1,装备库!$AO$2:$AO$1046,0),COLUMN()),"")</f>
        <v>0</v>
      </c>
      <c r="O464">
        <f>IFERROR(INDEX(装备库!$A$2:$Y$1047,MATCH(ROW()-1,装备库!$AO$2:$AO$1046,0),COLUMN()),"")</f>
        <v>0</v>
      </c>
      <c r="P464">
        <f>IFERROR(INDEX(装备库!$A$2:$Y$1047,MATCH(ROW()-1,装备库!$AO$2:$AO$1046,0),COLUMN()),"")</f>
        <v>1</v>
      </c>
      <c r="Q464">
        <f>IFERROR(INDEX(装备库!$A$2:$Y$1047,MATCH(ROW()-1,装备库!$AO$2:$AO$1046,0),COLUMN()),"")</f>
        <v>0</v>
      </c>
      <c r="R464">
        <f>IFERROR(INDEX(装备库!$A$2:$Y$1047,MATCH(ROW()-1,装备库!$AO$2:$AO$1046,0),COLUMN()),"")</f>
        <v>0</v>
      </c>
      <c r="S464">
        <f>IFERROR(INDEX(装备库!$A$2:$Y$1047,MATCH(ROW()-1,装备库!$AO$2:$AO$1046,0),COLUMN()),"")</f>
        <v>0</v>
      </c>
      <c r="T464">
        <f>IFERROR(INDEX(装备库!$A$2:$Y$1047,MATCH(ROW()-1,装备库!$AO$2:$AO$1046,0),COLUMN()),"")</f>
        <v>1</v>
      </c>
      <c r="U464">
        <f>IFERROR(INDEX(装备库!$A$2:$Y$1047,MATCH(ROW()-1,装备库!$AO$2:$AO$1046,0),COLUMN()),"")</f>
        <v>0</v>
      </c>
      <c r="V464">
        <f>IFERROR(INDEX(装备库!$A$2:$Y$1047,MATCH(ROW()-1,装备库!$AO$2:$AO$1046,0),COLUMN()),"")</f>
        <v>0</v>
      </c>
      <c r="W464" t="str">
        <f>IFERROR(INDEX(装备库!$A$2:$Y$1047,MATCH(ROW()-1,装备库!$AO$2:$AO$1046,0),COLUMN()),"")</f>
        <v>精简攻破无</v>
      </c>
      <c r="X464">
        <f>IFERROR(INDEX(装备库!$A$2:$Y$1047,MATCH(ROW()-1,装备库!$AO$2:$AO$1046,0),COLUMN()),"")</f>
        <v>3</v>
      </c>
      <c r="Y464" t="str">
        <f>IFERROR(INDEX(装备库!$A$2:$Y$1047,MATCH(ROW()-1,装备库!$AO$2:$AO$1046,0),COLUMN()),"")</f>
        <v>活动</v>
      </c>
    </row>
    <row r="465" spans="1:25" x14ac:dyDescent="0.35">
      <c r="A465" t="str">
        <f>IFERROR(INDEX(装备库!$A$2:$Y$1047,MATCH(ROW()-1,装备库!$AO$2:$AO$1046,0),COLUMN()),"")</f>
        <v>鞋子</v>
      </c>
      <c r="B465" t="str">
        <f>IFERROR(INDEX(装备库!$A$2:$Y$1047,MATCH(ROW()-1,装备库!$AO$2:$AO$1046,0),COLUMN()),"")</f>
        <v>无封鞋</v>
      </c>
      <c r="C465">
        <f>IFERROR(INDEX(装备库!$A$2:$Y$1047,MATCH(ROW()-1,装备库!$AO$2:$AO$1046,0),COLUMN()),"")</f>
        <v>10900</v>
      </c>
      <c r="D465" t="str">
        <f>IFERROR(INDEX(装备库!$A$2:$Y$1047,MATCH(ROW()-1,装备库!$AO$2:$AO$1046,0),COLUMN()),"")</f>
        <v>无封鞋(10900精简攻会招无)</v>
      </c>
      <c r="E465">
        <f>IFERROR(INDEX(装备库!$A$2:$Y$1047,MATCH(ROW()-1,装备库!$AO$2:$AO$1046,0),COLUMN()),"")</f>
        <v>0</v>
      </c>
      <c r="F465">
        <f>IFERROR(INDEX(装备库!$A$2:$Y$1047,MATCH(ROW()-1,装备库!$AO$2:$AO$1046,0),COLUMN()),"")</f>
        <v>1928</v>
      </c>
      <c r="G465">
        <f>IFERROR(INDEX(装备库!$A$2:$Y$1047,MATCH(ROW()-1,装备库!$AO$2:$AO$1046,0),COLUMN()),"")</f>
        <v>2822</v>
      </c>
      <c r="H465">
        <f>IFERROR(INDEX(装备库!$A$2:$Y$1047,MATCH(ROW()-1,装备库!$AO$2:$AO$1046,0),COLUMN()),"")</f>
        <v>0</v>
      </c>
      <c r="I465">
        <f>IFERROR(INDEX(装备库!$A$2:$Y$1047,MATCH(ROW()-1,装备库!$AO$2:$AO$1046,0),COLUMN()),"")</f>
        <v>0</v>
      </c>
      <c r="J465">
        <f>IFERROR(INDEX(装备库!$A$2:$Y$1047,MATCH(ROW()-1,装备库!$AO$2:$AO$1046,0),COLUMN()),"")</f>
        <v>1485</v>
      </c>
      <c r="K465">
        <f>IFERROR(INDEX(装备库!$A$2:$Y$1047,MATCH(ROW()-1,装备库!$AO$2:$AO$1046,0),COLUMN()),"")</f>
        <v>1634</v>
      </c>
      <c r="L465">
        <f>IFERROR(INDEX(装备库!$A$2:$Y$1047,MATCH(ROW()-1,装备库!$AO$2:$AO$1046,0),COLUMN()),"")</f>
        <v>0</v>
      </c>
      <c r="M465">
        <f>IFERROR(INDEX(装备库!$A$2:$Y$1047,MATCH(ROW()-1,装备库!$AO$2:$AO$1046,0),COLUMN()),"")</f>
        <v>0</v>
      </c>
      <c r="N465">
        <f>IFERROR(INDEX(装备库!$A$2:$Y$1047,MATCH(ROW()-1,装备库!$AO$2:$AO$1046,0),COLUMN()),"")</f>
        <v>0</v>
      </c>
      <c r="O465">
        <f>IFERROR(INDEX(装备库!$A$2:$Y$1047,MATCH(ROW()-1,装备库!$AO$2:$AO$1046,0),COLUMN()),"")</f>
        <v>0</v>
      </c>
      <c r="P465">
        <f>IFERROR(INDEX(装备库!$A$2:$Y$1047,MATCH(ROW()-1,装备库!$AO$2:$AO$1046,0),COLUMN()),"")</f>
        <v>0</v>
      </c>
      <c r="Q465">
        <f>IFERROR(INDEX(装备库!$A$2:$Y$1047,MATCH(ROW()-1,装备库!$AO$2:$AO$1046,0),COLUMN()),"")</f>
        <v>0</v>
      </c>
      <c r="R465">
        <f>IFERROR(INDEX(装备库!$A$2:$Y$1047,MATCH(ROW()-1,装备库!$AO$2:$AO$1046,0),COLUMN()),"")</f>
        <v>0</v>
      </c>
      <c r="S465">
        <f>IFERROR(INDEX(装备库!$A$2:$Y$1047,MATCH(ROW()-1,装备库!$AO$2:$AO$1046,0),COLUMN()),"")</f>
        <v>1</v>
      </c>
      <c r="T465">
        <f>IFERROR(INDEX(装备库!$A$2:$Y$1047,MATCH(ROW()-1,装备库!$AO$2:$AO$1046,0),COLUMN()),"")</f>
        <v>0</v>
      </c>
      <c r="U465">
        <f>IFERROR(INDEX(装备库!$A$2:$Y$1047,MATCH(ROW()-1,装备库!$AO$2:$AO$1046,0),COLUMN()),"")</f>
        <v>1</v>
      </c>
      <c r="V465">
        <f>IFERROR(INDEX(装备库!$A$2:$Y$1047,MATCH(ROW()-1,装备库!$AO$2:$AO$1046,0),COLUMN()),"")</f>
        <v>0</v>
      </c>
      <c r="W465" t="str">
        <f>IFERROR(INDEX(装备库!$A$2:$Y$1047,MATCH(ROW()-1,装备库!$AO$2:$AO$1046,0),COLUMN()),"")</f>
        <v>精简攻会招无</v>
      </c>
      <c r="X465">
        <f>IFERROR(INDEX(装备库!$A$2:$Y$1047,MATCH(ROW()-1,装备库!$AO$2:$AO$1046,0),COLUMN()),"")</f>
        <v>3</v>
      </c>
      <c r="Y465" t="str">
        <f>IFERROR(INDEX(装备库!$A$2:$Y$1047,MATCH(ROW()-1,装备库!$AO$2:$AO$1046,0),COLUMN()),"")</f>
        <v>活动</v>
      </c>
    </row>
    <row r="466" spans="1:25" x14ac:dyDescent="0.35">
      <c r="A466" t="str">
        <f>IFERROR(INDEX(装备库!$A$2:$Y$1047,MATCH(ROW()-1,装备库!$AO$2:$AO$1046,0),COLUMN()),"")</f>
        <v>鞋子</v>
      </c>
      <c r="B466" t="str">
        <f>IFERROR(INDEX(装备库!$A$2:$Y$1047,MATCH(ROW()-1,装备库!$AO$2:$AO$1046,0),COLUMN()),"")</f>
        <v>【门派套装】揽江·诛翳靴</v>
      </c>
      <c r="C466">
        <f>IFERROR(INDEX(装备库!$A$2:$Y$1047,MATCH(ROW()-1,装备库!$AO$2:$AO$1046,0),COLUMN()),"")</f>
        <v>11000</v>
      </c>
      <c r="D466" t="str">
        <f>IFERROR(INDEX(装备库!$A$2:$Y$1047,MATCH(ROW()-1,装备库!$AO$2:$AO$1046,0),COLUMN()),"")</f>
        <v>【门派套装】揽江·诛翳靴(11000破无)</v>
      </c>
      <c r="E466">
        <f>IFERROR(INDEX(装备库!$A$2:$Y$1047,MATCH(ROW()-1,装备库!$AO$2:$AO$1046,0),COLUMN()),"")</f>
        <v>538</v>
      </c>
      <c r="F466">
        <f>IFERROR(INDEX(装备库!$A$2:$Y$1047,MATCH(ROW()-1,装备库!$AO$2:$AO$1046,0),COLUMN()),"")</f>
        <v>872</v>
      </c>
      <c r="G466">
        <f>IFERROR(INDEX(装备库!$A$2:$Y$1047,MATCH(ROW()-1,装备库!$AO$2:$AO$1046,0),COLUMN()),"")</f>
        <v>0</v>
      </c>
      <c r="H466">
        <f>IFERROR(INDEX(装备库!$A$2:$Y$1047,MATCH(ROW()-1,装备库!$AO$2:$AO$1046,0),COLUMN()),"")</f>
        <v>0</v>
      </c>
      <c r="I466">
        <f>IFERROR(INDEX(装备库!$A$2:$Y$1047,MATCH(ROW()-1,装备库!$AO$2:$AO$1046,0),COLUMN()),"")</f>
        <v>2698</v>
      </c>
      <c r="J466">
        <f>IFERROR(INDEX(装备库!$A$2:$Y$1047,MATCH(ROW()-1,装备库!$AO$2:$AO$1046,0),COLUMN()),"")</f>
        <v>0</v>
      </c>
      <c r="K466">
        <f>IFERROR(INDEX(装备库!$A$2:$Y$1047,MATCH(ROW()-1,装备库!$AO$2:$AO$1046,0),COLUMN()),"")</f>
        <v>2398</v>
      </c>
      <c r="L466">
        <f>IFERROR(INDEX(装备库!$A$2:$Y$1047,MATCH(ROW()-1,装备库!$AO$2:$AO$1046,0),COLUMN()),"")</f>
        <v>0</v>
      </c>
      <c r="M466">
        <f>IFERROR(INDEX(装备库!$A$2:$Y$1047,MATCH(ROW()-1,装备库!$AO$2:$AO$1046,0),COLUMN()),"")</f>
        <v>0</v>
      </c>
      <c r="N466">
        <f>IFERROR(INDEX(装备库!$A$2:$Y$1047,MATCH(ROW()-1,装备库!$AO$2:$AO$1046,0),COLUMN()),"")</f>
        <v>0</v>
      </c>
      <c r="O466">
        <f>IFERROR(INDEX(装备库!$A$2:$Y$1047,MATCH(ROW()-1,装备库!$AO$2:$AO$1046,0),COLUMN()),"")</f>
        <v>0</v>
      </c>
      <c r="P466">
        <f>IFERROR(INDEX(装备库!$A$2:$Y$1047,MATCH(ROW()-1,装备库!$AO$2:$AO$1046,0),COLUMN()),"")</f>
        <v>1</v>
      </c>
      <c r="Q466">
        <f>IFERROR(INDEX(装备库!$A$2:$Y$1047,MATCH(ROW()-1,装备库!$AO$2:$AO$1046,0),COLUMN()),"")</f>
        <v>0</v>
      </c>
      <c r="R466">
        <f>IFERROR(INDEX(装备库!$A$2:$Y$1047,MATCH(ROW()-1,装备库!$AO$2:$AO$1046,0),COLUMN()),"")</f>
        <v>0</v>
      </c>
      <c r="S466">
        <f>IFERROR(INDEX(装备库!$A$2:$Y$1047,MATCH(ROW()-1,装备库!$AO$2:$AO$1046,0),COLUMN()),"")</f>
        <v>1</v>
      </c>
      <c r="T466">
        <f>IFERROR(INDEX(装备库!$A$2:$Y$1047,MATCH(ROW()-1,装备库!$AO$2:$AO$1046,0),COLUMN()),"")</f>
        <v>0</v>
      </c>
      <c r="U466">
        <f>IFERROR(INDEX(装备库!$A$2:$Y$1047,MATCH(ROW()-1,装备库!$AO$2:$AO$1046,0),COLUMN()),"")</f>
        <v>0</v>
      </c>
      <c r="V466">
        <f>IFERROR(INDEX(装备库!$A$2:$Y$1047,MATCH(ROW()-1,装备库!$AO$2:$AO$1046,0),COLUMN()),"")</f>
        <v>0</v>
      </c>
      <c r="W466" t="str">
        <f>IFERROR(INDEX(装备库!$A$2:$Y$1047,MATCH(ROW()-1,装备库!$AO$2:$AO$1046,0),COLUMN()),"")</f>
        <v>破无</v>
      </c>
      <c r="X466">
        <f>IFERROR(INDEX(装备库!$A$2:$Y$1047,MATCH(ROW()-1,装备库!$AO$2:$AO$1046,0),COLUMN()),"")</f>
        <v>6</v>
      </c>
      <c r="Y466" t="str">
        <f>IFERROR(INDEX(装备库!$A$2:$Y$1047,MATCH(ROW()-1,装备库!$AO$2:$AO$1046,0),COLUMN()),"")</f>
        <v>兑换牌</v>
      </c>
    </row>
    <row r="467" spans="1:25" x14ac:dyDescent="0.35">
      <c r="A467" t="str">
        <f>IFERROR(INDEX(装备库!$A$2:$Y$1047,MATCH(ROW()-1,装备库!$AO$2:$AO$1046,0),COLUMN()),"")</f>
        <v>鞋子</v>
      </c>
      <c r="B467" t="str">
        <f>IFERROR(INDEX(装备库!$A$2:$Y$1047,MATCH(ROW()-1,装备库!$AO$2:$AO$1046,0),COLUMN()),"")</f>
        <v>寻踪觅宝·盼归靴</v>
      </c>
      <c r="C467">
        <f>IFERROR(INDEX(装备库!$A$2:$Y$1047,MATCH(ROW()-1,装备库!$AO$2:$AO$1046,0),COLUMN()),"")</f>
        <v>11000</v>
      </c>
      <c r="D467" t="str">
        <f>IFERROR(INDEX(装备库!$A$2:$Y$1047,MATCH(ROW()-1,装备库!$AO$2:$AO$1046,0),COLUMN()),"")</f>
        <v>寻踪觅宝·盼归靴(11000会无)</v>
      </c>
      <c r="E467">
        <f>IFERROR(INDEX(装备库!$A$2:$Y$1047,MATCH(ROW()-1,装备库!$AO$2:$AO$1046,0),COLUMN()),"")</f>
        <v>538</v>
      </c>
      <c r="F467">
        <f>IFERROR(INDEX(装备库!$A$2:$Y$1047,MATCH(ROW()-1,装备库!$AO$2:$AO$1046,0),COLUMN()),"")</f>
        <v>872</v>
      </c>
      <c r="G467">
        <f>IFERROR(INDEX(装备库!$A$2:$Y$1047,MATCH(ROW()-1,装备库!$AO$2:$AO$1046,0),COLUMN()),"")</f>
        <v>2698</v>
      </c>
      <c r="H467">
        <f>IFERROR(INDEX(装备库!$A$2:$Y$1047,MATCH(ROW()-1,装备库!$AO$2:$AO$1046,0),COLUMN()),"")</f>
        <v>0</v>
      </c>
      <c r="I467">
        <f>IFERROR(INDEX(装备库!$A$2:$Y$1047,MATCH(ROW()-1,装备库!$AO$2:$AO$1046,0),COLUMN()),"")</f>
        <v>0</v>
      </c>
      <c r="J467">
        <f>IFERROR(INDEX(装备库!$A$2:$Y$1047,MATCH(ROW()-1,装备库!$AO$2:$AO$1046,0),COLUMN()),"")</f>
        <v>0</v>
      </c>
      <c r="K467">
        <f>IFERROR(INDEX(装备库!$A$2:$Y$1047,MATCH(ROW()-1,装备库!$AO$2:$AO$1046,0),COLUMN()),"")</f>
        <v>2398</v>
      </c>
      <c r="L467">
        <f>IFERROR(INDEX(装备库!$A$2:$Y$1047,MATCH(ROW()-1,装备库!$AO$2:$AO$1046,0),COLUMN()),"")</f>
        <v>0</v>
      </c>
      <c r="M467">
        <f>IFERROR(INDEX(装备库!$A$2:$Y$1047,MATCH(ROW()-1,装备库!$AO$2:$AO$1046,0),COLUMN()),"")</f>
        <v>0</v>
      </c>
      <c r="N467">
        <f>IFERROR(INDEX(装备库!$A$2:$Y$1047,MATCH(ROW()-1,装备库!$AO$2:$AO$1046,0),COLUMN()),"")</f>
        <v>0</v>
      </c>
      <c r="O467">
        <f>IFERROR(INDEX(装备库!$A$2:$Y$1047,MATCH(ROW()-1,装备库!$AO$2:$AO$1046,0),COLUMN()),"")</f>
        <v>1</v>
      </c>
      <c r="P467">
        <f>IFERROR(INDEX(装备库!$A$2:$Y$1047,MATCH(ROW()-1,装备库!$AO$2:$AO$1046,0),COLUMN()),"")</f>
        <v>0</v>
      </c>
      <c r="Q467">
        <f>IFERROR(INDEX(装备库!$A$2:$Y$1047,MATCH(ROW()-1,装备库!$AO$2:$AO$1046,0),COLUMN()),"")</f>
        <v>0</v>
      </c>
      <c r="R467">
        <f>IFERROR(INDEX(装备库!$A$2:$Y$1047,MATCH(ROW()-1,装备库!$AO$2:$AO$1046,0),COLUMN()),"")</f>
        <v>0</v>
      </c>
      <c r="S467">
        <f>IFERROR(INDEX(装备库!$A$2:$Y$1047,MATCH(ROW()-1,装备库!$AO$2:$AO$1046,0),COLUMN()),"")</f>
        <v>0</v>
      </c>
      <c r="T467">
        <f>IFERROR(INDEX(装备库!$A$2:$Y$1047,MATCH(ROW()-1,装备库!$AO$2:$AO$1046,0),COLUMN()),"")</f>
        <v>0</v>
      </c>
      <c r="U467">
        <f>IFERROR(INDEX(装备库!$A$2:$Y$1047,MATCH(ROW()-1,装备库!$AO$2:$AO$1046,0),COLUMN()),"")</f>
        <v>1</v>
      </c>
      <c r="V467">
        <f>IFERROR(INDEX(装备库!$A$2:$Y$1047,MATCH(ROW()-1,装备库!$AO$2:$AO$1046,0),COLUMN()),"")</f>
        <v>0</v>
      </c>
      <c r="W467" t="str">
        <f>IFERROR(INDEX(装备库!$A$2:$Y$1047,MATCH(ROW()-1,装备库!$AO$2:$AO$1046,0),COLUMN()),"")</f>
        <v>会无</v>
      </c>
      <c r="X467">
        <f>IFERROR(INDEX(装备库!$A$2:$Y$1047,MATCH(ROW()-1,装备库!$AO$2:$AO$1046,0),COLUMN()),"")</f>
        <v>6</v>
      </c>
      <c r="Y467" t="str">
        <f>IFERROR(INDEX(装备库!$A$2:$Y$1047,MATCH(ROW()-1,装备库!$AO$2:$AO$1046,0),COLUMN()),"")</f>
        <v>挖宝</v>
      </c>
    </row>
    <row r="468" spans="1:25" x14ac:dyDescent="0.35">
      <c r="A468" t="str">
        <f>IFERROR(INDEX(装备库!$A$2:$Y$1047,MATCH(ROW()-1,装备库!$AO$2:$AO$1046,0),COLUMN()),"")</f>
        <v>鞋子</v>
      </c>
      <c r="B468" t="str">
        <f>IFERROR(INDEX(装备库!$A$2:$Y$1047,MATCH(ROW()-1,装备库!$AO$2:$AO$1046,0),COLUMN()),"")</f>
        <v>风销残烟·承平靴</v>
      </c>
      <c r="C468">
        <f>IFERROR(INDEX(装备库!$A$2:$Y$1047,MATCH(ROW()-1,装备库!$AO$2:$AO$1046,0),COLUMN()),"")</f>
        <v>11000</v>
      </c>
      <c r="D468" t="str">
        <f>IFERROR(INDEX(装备库!$A$2:$Y$1047,MATCH(ROW()-1,装备库!$AO$2:$AO$1046,0),COLUMN()),"")</f>
        <v>风销残烟·承平靴(11000会无)</v>
      </c>
      <c r="E468">
        <f>IFERROR(INDEX(装备库!$A$2:$Y$1047,MATCH(ROW()-1,装备库!$AO$2:$AO$1046,0),COLUMN()),"")</f>
        <v>538</v>
      </c>
      <c r="F468">
        <f>IFERROR(INDEX(装备库!$A$2:$Y$1047,MATCH(ROW()-1,装备库!$AO$2:$AO$1046,0),COLUMN()),"")</f>
        <v>872</v>
      </c>
      <c r="G468">
        <f>IFERROR(INDEX(装备库!$A$2:$Y$1047,MATCH(ROW()-1,装备库!$AO$2:$AO$1046,0),COLUMN()),"")</f>
        <v>2698</v>
      </c>
      <c r="H468">
        <f>IFERROR(INDEX(装备库!$A$2:$Y$1047,MATCH(ROW()-1,装备库!$AO$2:$AO$1046,0),COLUMN()),"")</f>
        <v>0</v>
      </c>
      <c r="I468">
        <f>IFERROR(INDEX(装备库!$A$2:$Y$1047,MATCH(ROW()-1,装备库!$AO$2:$AO$1046,0),COLUMN()),"")</f>
        <v>0</v>
      </c>
      <c r="J468">
        <f>IFERROR(INDEX(装备库!$A$2:$Y$1047,MATCH(ROW()-1,装备库!$AO$2:$AO$1046,0),COLUMN()),"")</f>
        <v>0</v>
      </c>
      <c r="K468">
        <f>IFERROR(INDEX(装备库!$A$2:$Y$1047,MATCH(ROW()-1,装备库!$AO$2:$AO$1046,0),COLUMN()),"")</f>
        <v>2398</v>
      </c>
      <c r="L468">
        <f>IFERROR(INDEX(装备库!$A$2:$Y$1047,MATCH(ROW()-1,装备库!$AO$2:$AO$1046,0),COLUMN()),"")</f>
        <v>0</v>
      </c>
      <c r="M468">
        <f>IFERROR(INDEX(装备库!$A$2:$Y$1047,MATCH(ROW()-1,装备库!$AO$2:$AO$1046,0),COLUMN()),"")</f>
        <v>0</v>
      </c>
      <c r="N468">
        <f>IFERROR(INDEX(装备库!$A$2:$Y$1047,MATCH(ROW()-1,装备库!$AO$2:$AO$1046,0),COLUMN()),"")</f>
        <v>0</v>
      </c>
      <c r="O468">
        <f>IFERROR(INDEX(装备库!$A$2:$Y$1047,MATCH(ROW()-1,装备库!$AO$2:$AO$1046,0),COLUMN()),"")</f>
        <v>1</v>
      </c>
      <c r="P468">
        <f>IFERROR(INDEX(装备库!$A$2:$Y$1047,MATCH(ROW()-1,装备库!$AO$2:$AO$1046,0),COLUMN()),"")</f>
        <v>0</v>
      </c>
      <c r="Q468">
        <f>IFERROR(INDEX(装备库!$A$2:$Y$1047,MATCH(ROW()-1,装备库!$AO$2:$AO$1046,0),COLUMN()),"")</f>
        <v>0</v>
      </c>
      <c r="R468">
        <f>IFERROR(INDEX(装备库!$A$2:$Y$1047,MATCH(ROW()-1,装备库!$AO$2:$AO$1046,0),COLUMN()),"")</f>
        <v>0</v>
      </c>
      <c r="S468">
        <f>IFERROR(INDEX(装备库!$A$2:$Y$1047,MATCH(ROW()-1,装备库!$AO$2:$AO$1046,0),COLUMN()),"")</f>
        <v>0</v>
      </c>
      <c r="T468">
        <f>IFERROR(INDEX(装备库!$A$2:$Y$1047,MATCH(ROW()-1,装备库!$AO$2:$AO$1046,0),COLUMN()),"")</f>
        <v>0</v>
      </c>
      <c r="U468">
        <f>IFERROR(INDEX(装备库!$A$2:$Y$1047,MATCH(ROW()-1,装备库!$AO$2:$AO$1046,0),COLUMN()),"")</f>
        <v>1</v>
      </c>
      <c r="V468">
        <f>IFERROR(INDEX(装备库!$A$2:$Y$1047,MATCH(ROW()-1,装备库!$AO$2:$AO$1046,0),COLUMN()),"")</f>
        <v>0</v>
      </c>
      <c r="W468" t="str">
        <f>IFERROR(INDEX(装备库!$A$2:$Y$1047,MATCH(ROW()-1,装备库!$AO$2:$AO$1046,0),COLUMN()),"")</f>
        <v>会无</v>
      </c>
      <c r="X468">
        <f>IFERROR(INDEX(装备库!$A$2:$Y$1047,MATCH(ROW()-1,装备库!$AO$2:$AO$1046,0),COLUMN()),"")</f>
        <v>6</v>
      </c>
      <c r="Y468" t="str">
        <f>IFERROR(INDEX(装备库!$A$2:$Y$1047,MATCH(ROW()-1,装备库!$AO$2:$AO$1046,0),COLUMN()),"")</f>
        <v>飞沙令</v>
      </c>
    </row>
    <row r="469" spans="1:25" x14ac:dyDescent="0.35">
      <c r="A469" t="str">
        <f>IFERROR(INDEX(装备库!$A$2:$Y$1047,MATCH(ROW()-1,装备库!$AO$2:$AO$1046,0),COLUMN()),"")</f>
        <v>鞋子</v>
      </c>
      <c r="B469" t="str">
        <f>IFERROR(INDEX(装备库!$A$2:$Y$1047,MATCH(ROW()-1,装备库!$AO$2:$AO$1046,0),COLUMN()),"")</f>
        <v>旋山靴</v>
      </c>
      <c r="C469">
        <f>IFERROR(INDEX(装备库!$A$2:$Y$1047,MATCH(ROW()-1,装备库!$AO$2:$AO$1046,0),COLUMN()),"")</f>
        <v>11150</v>
      </c>
      <c r="D469" t="str">
        <f>IFERROR(INDEX(装备库!$A$2:$Y$1047,MATCH(ROW()-1,装备库!$AO$2:$AO$1046,0),COLUMN()),"")</f>
        <v>旋山靴(11150速招)</v>
      </c>
      <c r="E469">
        <f>IFERROR(INDEX(装备库!$A$2:$Y$1047,MATCH(ROW()-1,装备库!$AO$2:$AO$1046,0),COLUMN()),"")</f>
        <v>545</v>
      </c>
      <c r="F469">
        <f>IFERROR(INDEX(装备库!$A$2:$Y$1047,MATCH(ROW()-1,装备库!$AO$2:$AO$1046,0),COLUMN()),"")</f>
        <v>884</v>
      </c>
      <c r="G469">
        <f>IFERROR(INDEX(装备库!$A$2:$Y$1047,MATCH(ROW()-1,装备库!$AO$2:$AO$1046,0),COLUMN()),"")</f>
        <v>0</v>
      </c>
      <c r="H469">
        <f>IFERROR(INDEX(装备库!$A$2:$Y$1047,MATCH(ROW()-1,装备库!$AO$2:$AO$1046,0),COLUMN()),"")</f>
        <v>0</v>
      </c>
      <c r="I469">
        <f>IFERROR(INDEX(装备库!$A$2:$Y$1047,MATCH(ROW()-1,装备库!$AO$2:$AO$1046,0),COLUMN()),"")</f>
        <v>0</v>
      </c>
      <c r="J469">
        <f>IFERROR(INDEX(装备库!$A$2:$Y$1047,MATCH(ROW()-1,装备库!$AO$2:$AO$1046,0),COLUMN()),"")</f>
        <v>2431</v>
      </c>
      <c r="K469">
        <f>IFERROR(INDEX(装备库!$A$2:$Y$1047,MATCH(ROW()-1,装备库!$AO$2:$AO$1046,0),COLUMN()),"")</f>
        <v>0</v>
      </c>
      <c r="L469">
        <f>IFERROR(INDEX(装备库!$A$2:$Y$1047,MATCH(ROW()-1,装备库!$AO$2:$AO$1046,0),COLUMN()),"")</f>
        <v>2735</v>
      </c>
      <c r="M469">
        <f>IFERROR(INDEX(装备库!$A$2:$Y$1047,MATCH(ROW()-1,装备库!$AO$2:$AO$1046,0),COLUMN()),"")</f>
        <v>0</v>
      </c>
      <c r="N469">
        <f>IFERROR(INDEX(装备库!$A$2:$Y$1047,MATCH(ROW()-1,装备库!$AO$2:$AO$1046,0),COLUMN()),"")</f>
        <v>0</v>
      </c>
      <c r="O469">
        <f>IFERROR(INDEX(装备库!$A$2:$Y$1047,MATCH(ROW()-1,装备库!$AO$2:$AO$1046,0),COLUMN()),"")</f>
        <v>1</v>
      </c>
      <c r="P469">
        <f>IFERROR(INDEX(装备库!$A$2:$Y$1047,MATCH(ROW()-1,装备库!$AO$2:$AO$1046,0),COLUMN()),"")</f>
        <v>1</v>
      </c>
      <c r="Q469">
        <f>IFERROR(INDEX(装备库!$A$2:$Y$1047,MATCH(ROW()-1,装备库!$AO$2:$AO$1046,0),COLUMN()),"")</f>
        <v>0</v>
      </c>
      <c r="R469">
        <f>IFERROR(INDEX(装备库!$A$2:$Y$1047,MATCH(ROW()-1,装备库!$AO$2:$AO$1046,0),COLUMN()),"")</f>
        <v>0</v>
      </c>
      <c r="S469">
        <f>IFERROR(INDEX(装备库!$A$2:$Y$1047,MATCH(ROW()-1,装备库!$AO$2:$AO$1046,0),COLUMN()),"")</f>
        <v>0</v>
      </c>
      <c r="T469">
        <f>IFERROR(INDEX(装备库!$A$2:$Y$1047,MATCH(ROW()-1,装备库!$AO$2:$AO$1046,0),COLUMN()),"")</f>
        <v>0</v>
      </c>
      <c r="U469">
        <f>IFERROR(INDEX(装备库!$A$2:$Y$1047,MATCH(ROW()-1,装备库!$AO$2:$AO$1046,0),COLUMN()),"")</f>
        <v>0</v>
      </c>
      <c r="V469">
        <f>IFERROR(INDEX(装备库!$A$2:$Y$1047,MATCH(ROW()-1,装备库!$AO$2:$AO$1046,0),COLUMN()),"")</f>
        <v>0</v>
      </c>
      <c r="W469" t="str">
        <f>IFERROR(INDEX(装备库!$A$2:$Y$1047,MATCH(ROW()-1,装备库!$AO$2:$AO$1046,0),COLUMN()),"")</f>
        <v>速招</v>
      </c>
      <c r="X469">
        <f>IFERROR(INDEX(装备库!$A$2:$Y$1047,MATCH(ROW()-1,装备库!$AO$2:$AO$1046,0),COLUMN()),"")</f>
        <v>6</v>
      </c>
      <c r="Y469" t="str">
        <f>IFERROR(INDEX(装备库!$A$2:$Y$1047,MATCH(ROW()-1,装备库!$AO$2:$AO$1046,0),COLUMN()),"")</f>
        <v>副本</v>
      </c>
    </row>
    <row r="470" spans="1:25" x14ac:dyDescent="0.35">
      <c r="A470" t="str">
        <f>IFERROR(INDEX(装备库!$A$2:$Y$1047,MATCH(ROW()-1,装备库!$AO$2:$AO$1046,0),COLUMN()),"")</f>
        <v>鞋子</v>
      </c>
      <c r="B470" t="str">
        <f>IFERROR(INDEX(装备库!$A$2:$Y$1047,MATCH(ROW()-1,装备库!$AO$2:$AO$1046,0),COLUMN()),"")</f>
        <v>湘灿靴</v>
      </c>
      <c r="C470">
        <f>IFERROR(INDEX(装备库!$A$2:$Y$1047,MATCH(ROW()-1,装备库!$AO$2:$AO$1046,0),COLUMN()),"")</f>
        <v>11150</v>
      </c>
      <c r="D470" t="str">
        <f>IFERROR(INDEX(装备库!$A$2:$Y$1047,MATCH(ROW()-1,装备库!$AO$2:$AO$1046,0),COLUMN()),"")</f>
        <v>湘灿靴(11150会招)</v>
      </c>
      <c r="E470">
        <f>IFERROR(INDEX(装备库!$A$2:$Y$1047,MATCH(ROW()-1,装备库!$AO$2:$AO$1046,0),COLUMN()),"")</f>
        <v>545</v>
      </c>
      <c r="F470">
        <f>IFERROR(INDEX(装备库!$A$2:$Y$1047,MATCH(ROW()-1,装备库!$AO$2:$AO$1046,0),COLUMN()),"")</f>
        <v>884</v>
      </c>
      <c r="G470">
        <f>IFERROR(INDEX(装备库!$A$2:$Y$1047,MATCH(ROW()-1,装备库!$AO$2:$AO$1046,0),COLUMN()),"")</f>
        <v>2735</v>
      </c>
      <c r="H470">
        <f>IFERROR(INDEX(装备库!$A$2:$Y$1047,MATCH(ROW()-1,装备库!$AO$2:$AO$1046,0),COLUMN()),"")</f>
        <v>0</v>
      </c>
      <c r="I470">
        <f>IFERROR(INDEX(装备库!$A$2:$Y$1047,MATCH(ROW()-1,装备库!$AO$2:$AO$1046,0),COLUMN()),"")</f>
        <v>0</v>
      </c>
      <c r="J470">
        <f>IFERROR(INDEX(装备库!$A$2:$Y$1047,MATCH(ROW()-1,装备库!$AO$2:$AO$1046,0),COLUMN()),"")</f>
        <v>2431</v>
      </c>
      <c r="K470">
        <f>IFERROR(INDEX(装备库!$A$2:$Y$1047,MATCH(ROW()-1,装备库!$AO$2:$AO$1046,0),COLUMN()),"")</f>
        <v>0</v>
      </c>
      <c r="L470">
        <f>IFERROR(INDEX(装备库!$A$2:$Y$1047,MATCH(ROW()-1,装备库!$AO$2:$AO$1046,0),COLUMN()),"")</f>
        <v>0</v>
      </c>
      <c r="M470">
        <f>IFERROR(INDEX(装备库!$A$2:$Y$1047,MATCH(ROW()-1,装备库!$AO$2:$AO$1046,0),COLUMN()),"")</f>
        <v>0</v>
      </c>
      <c r="N470">
        <f>IFERROR(INDEX(装备库!$A$2:$Y$1047,MATCH(ROW()-1,装备库!$AO$2:$AO$1046,0),COLUMN()),"")</f>
        <v>0</v>
      </c>
      <c r="O470">
        <f>IFERROR(INDEX(装备库!$A$2:$Y$1047,MATCH(ROW()-1,装备库!$AO$2:$AO$1046,0),COLUMN()),"")</f>
        <v>0</v>
      </c>
      <c r="P470">
        <f>IFERROR(INDEX(装备库!$A$2:$Y$1047,MATCH(ROW()-1,装备库!$AO$2:$AO$1046,0),COLUMN()),"")</f>
        <v>0</v>
      </c>
      <c r="Q470">
        <f>IFERROR(INDEX(装备库!$A$2:$Y$1047,MATCH(ROW()-1,装备库!$AO$2:$AO$1046,0),COLUMN()),"")</f>
        <v>1</v>
      </c>
      <c r="R470">
        <f>IFERROR(INDEX(装备库!$A$2:$Y$1047,MATCH(ROW()-1,装备库!$AO$2:$AO$1046,0),COLUMN()),"")</f>
        <v>0</v>
      </c>
      <c r="S470">
        <f>IFERROR(INDEX(装备库!$A$2:$Y$1047,MATCH(ROW()-1,装备库!$AO$2:$AO$1046,0),COLUMN()),"")</f>
        <v>0</v>
      </c>
      <c r="T470">
        <f>IFERROR(INDEX(装备库!$A$2:$Y$1047,MATCH(ROW()-1,装备库!$AO$2:$AO$1046,0),COLUMN()),"")</f>
        <v>1</v>
      </c>
      <c r="U470">
        <f>IFERROR(INDEX(装备库!$A$2:$Y$1047,MATCH(ROW()-1,装备库!$AO$2:$AO$1046,0),COLUMN()),"")</f>
        <v>0</v>
      </c>
      <c r="V470">
        <f>IFERROR(INDEX(装备库!$A$2:$Y$1047,MATCH(ROW()-1,装备库!$AO$2:$AO$1046,0),COLUMN()),"")</f>
        <v>0</v>
      </c>
      <c r="W470" t="str">
        <f>IFERROR(INDEX(装备库!$A$2:$Y$1047,MATCH(ROW()-1,装备库!$AO$2:$AO$1046,0),COLUMN()),"")</f>
        <v>会招</v>
      </c>
      <c r="X470">
        <f>IFERROR(INDEX(装备库!$A$2:$Y$1047,MATCH(ROW()-1,装备库!$AO$2:$AO$1046,0),COLUMN()),"")</f>
        <v>6</v>
      </c>
      <c r="Y470" t="str">
        <f>IFERROR(INDEX(装备库!$A$2:$Y$1047,MATCH(ROW()-1,装备库!$AO$2:$AO$1046,0),COLUMN()),"")</f>
        <v>世界BOSS</v>
      </c>
    </row>
    <row r="471" spans="1:25" x14ac:dyDescent="0.35">
      <c r="A471" t="str">
        <f>IFERROR(INDEX(装备库!$A$2:$Y$1047,MATCH(ROW()-1,装备库!$AO$2:$AO$1046,0),COLUMN()),"")</f>
        <v>鞋子</v>
      </c>
      <c r="B471" t="str">
        <f>IFERROR(INDEX(装备库!$A$2:$Y$1047,MATCH(ROW()-1,装备库!$AO$2:$AO$1046,0),COLUMN()),"")</f>
        <v>烟梦靴</v>
      </c>
      <c r="C471">
        <f>IFERROR(INDEX(装备库!$A$2:$Y$1047,MATCH(ROW()-1,装备库!$AO$2:$AO$1046,0),COLUMN()),"")</f>
        <v>11150</v>
      </c>
      <c r="D471" t="str">
        <f>IFERROR(INDEX(装备库!$A$2:$Y$1047,MATCH(ROW()-1,装备库!$AO$2:$AO$1046,0),COLUMN()),"")</f>
        <v>烟梦靴(11150会无)</v>
      </c>
      <c r="E471">
        <f>IFERROR(INDEX(装备库!$A$2:$Y$1047,MATCH(ROW()-1,装备库!$AO$2:$AO$1046,0),COLUMN()),"")</f>
        <v>545</v>
      </c>
      <c r="F471">
        <f>IFERROR(INDEX(装备库!$A$2:$Y$1047,MATCH(ROW()-1,装备库!$AO$2:$AO$1046,0),COLUMN()),"")</f>
        <v>884</v>
      </c>
      <c r="G471">
        <f>IFERROR(INDEX(装备库!$A$2:$Y$1047,MATCH(ROW()-1,装备库!$AO$2:$AO$1046,0),COLUMN()),"")</f>
        <v>2735</v>
      </c>
      <c r="H471">
        <f>IFERROR(INDEX(装备库!$A$2:$Y$1047,MATCH(ROW()-1,装备库!$AO$2:$AO$1046,0),COLUMN()),"")</f>
        <v>0</v>
      </c>
      <c r="I471">
        <f>IFERROR(INDEX(装备库!$A$2:$Y$1047,MATCH(ROW()-1,装备库!$AO$2:$AO$1046,0),COLUMN()),"")</f>
        <v>0</v>
      </c>
      <c r="J471">
        <f>IFERROR(INDEX(装备库!$A$2:$Y$1047,MATCH(ROW()-1,装备库!$AO$2:$AO$1046,0),COLUMN()),"")</f>
        <v>0</v>
      </c>
      <c r="K471">
        <f>IFERROR(INDEX(装备库!$A$2:$Y$1047,MATCH(ROW()-1,装备库!$AO$2:$AO$1046,0),COLUMN()),"")</f>
        <v>2431</v>
      </c>
      <c r="L471">
        <f>IFERROR(INDEX(装备库!$A$2:$Y$1047,MATCH(ROW()-1,装备库!$AO$2:$AO$1046,0),COLUMN()),"")</f>
        <v>0</v>
      </c>
      <c r="M471">
        <f>IFERROR(INDEX(装备库!$A$2:$Y$1047,MATCH(ROW()-1,装备库!$AO$2:$AO$1046,0),COLUMN()),"")</f>
        <v>0</v>
      </c>
      <c r="N471">
        <f>IFERROR(INDEX(装备库!$A$2:$Y$1047,MATCH(ROW()-1,装备库!$AO$2:$AO$1046,0),COLUMN()),"")</f>
        <v>0</v>
      </c>
      <c r="O471">
        <f>IFERROR(INDEX(装备库!$A$2:$Y$1047,MATCH(ROW()-1,装备库!$AO$2:$AO$1046,0),COLUMN()),"")</f>
        <v>1</v>
      </c>
      <c r="P471">
        <f>IFERROR(INDEX(装备库!$A$2:$Y$1047,MATCH(ROW()-1,装备库!$AO$2:$AO$1046,0),COLUMN()),"")</f>
        <v>0</v>
      </c>
      <c r="Q471">
        <f>IFERROR(INDEX(装备库!$A$2:$Y$1047,MATCH(ROW()-1,装备库!$AO$2:$AO$1046,0),COLUMN()),"")</f>
        <v>0</v>
      </c>
      <c r="R471">
        <f>IFERROR(INDEX(装备库!$A$2:$Y$1047,MATCH(ROW()-1,装备库!$AO$2:$AO$1046,0),COLUMN()),"")</f>
        <v>0</v>
      </c>
      <c r="S471">
        <f>IFERROR(INDEX(装备库!$A$2:$Y$1047,MATCH(ROW()-1,装备库!$AO$2:$AO$1046,0),COLUMN()),"")</f>
        <v>0</v>
      </c>
      <c r="T471">
        <f>IFERROR(INDEX(装备库!$A$2:$Y$1047,MATCH(ROW()-1,装备库!$AO$2:$AO$1046,0),COLUMN()),"")</f>
        <v>0</v>
      </c>
      <c r="U471">
        <f>IFERROR(INDEX(装备库!$A$2:$Y$1047,MATCH(ROW()-1,装备库!$AO$2:$AO$1046,0),COLUMN()),"")</f>
        <v>1</v>
      </c>
      <c r="V471">
        <f>IFERROR(INDEX(装备库!$A$2:$Y$1047,MATCH(ROW()-1,装备库!$AO$2:$AO$1046,0),COLUMN()),"")</f>
        <v>0</v>
      </c>
      <c r="W471" t="str">
        <f>IFERROR(INDEX(装备库!$A$2:$Y$1047,MATCH(ROW()-1,装备库!$AO$2:$AO$1046,0),COLUMN()),"")</f>
        <v>会无</v>
      </c>
      <c r="X471">
        <f>IFERROR(INDEX(装备库!$A$2:$Y$1047,MATCH(ROW()-1,装备库!$AO$2:$AO$1046,0),COLUMN()),"")</f>
        <v>6</v>
      </c>
      <c r="Y471" t="str">
        <f>IFERROR(INDEX(装备库!$A$2:$Y$1047,MATCH(ROW()-1,装备库!$AO$2:$AO$1046,0),COLUMN()),"")</f>
        <v>副本</v>
      </c>
    </row>
    <row r="472" spans="1:25" x14ac:dyDescent="0.35">
      <c r="A472" t="str">
        <f>IFERROR(INDEX(装备库!$A$2:$Y$1047,MATCH(ROW()-1,装备库!$AO$2:$AO$1046,0),COLUMN()),"")</f>
        <v>鞋子</v>
      </c>
      <c r="B472" t="str">
        <f>IFERROR(INDEX(装备库!$A$2:$Y$1047,MATCH(ROW()-1,装备库!$AO$2:$AO$1046,0),COLUMN()),"")</f>
        <v>暮祁靴</v>
      </c>
      <c r="C472">
        <f>IFERROR(INDEX(装备库!$A$2:$Y$1047,MATCH(ROW()-1,装备库!$AO$2:$AO$1046,0),COLUMN()),"")</f>
        <v>11300</v>
      </c>
      <c r="D472" t="str">
        <f>IFERROR(INDEX(装备库!$A$2:$Y$1047,MATCH(ROW()-1,装备库!$AO$2:$AO$1046,0),COLUMN()),"")</f>
        <v>暮祁靴(11300招破)</v>
      </c>
      <c r="E472">
        <f>IFERROR(INDEX(装备库!$A$2:$Y$1047,MATCH(ROW()-1,装备库!$AO$2:$AO$1046,0),COLUMN()),"")</f>
        <v>552</v>
      </c>
      <c r="F472">
        <f>IFERROR(INDEX(装备库!$A$2:$Y$1047,MATCH(ROW()-1,装备库!$AO$2:$AO$1046,0),COLUMN()),"")</f>
        <v>896</v>
      </c>
      <c r="G472">
        <f>IFERROR(INDEX(装备库!$A$2:$Y$1047,MATCH(ROW()-1,装备库!$AO$2:$AO$1046,0),COLUMN()),"")</f>
        <v>0</v>
      </c>
      <c r="H472">
        <f>IFERROR(INDEX(装备库!$A$2:$Y$1047,MATCH(ROW()-1,装备库!$AO$2:$AO$1046,0),COLUMN()),"")</f>
        <v>0</v>
      </c>
      <c r="I472">
        <f>IFERROR(INDEX(装备库!$A$2:$Y$1047,MATCH(ROW()-1,装备库!$AO$2:$AO$1046,0),COLUMN()),"")</f>
        <v>2771</v>
      </c>
      <c r="J472">
        <f>IFERROR(INDEX(装备库!$A$2:$Y$1047,MATCH(ROW()-1,装备库!$AO$2:$AO$1046,0),COLUMN()),"")</f>
        <v>2463</v>
      </c>
      <c r="K472">
        <f>IFERROR(INDEX(装备库!$A$2:$Y$1047,MATCH(ROW()-1,装备库!$AO$2:$AO$1046,0),COLUMN()),"")</f>
        <v>0</v>
      </c>
      <c r="L472">
        <f>IFERROR(INDEX(装备库!$A$2:$Y$1047,MATCH(ROW()-1,装备库!$AO$2:$AO$1046,0),COLUMN()),"")</f>
        <v>0</v>
      </c>
      <c r="M472">
        <f>IFERROR(INDEX(装备库!$A$2:$Y$1047,MATCH(ROW()-1,装备库!$AO$2:$AO$1046,0),COLUMN()),"")</f>
        <v>0</v>
      </c>
      <c r="N472">
        <f>IFERROR(INDEX(装备库!$A$2:$Y$1047,MATCH(ROW()-1,装备库!$AO$2:$AO$1046,0),COLUMN()),"")</f>
        <v>0</v>
      </c>
      <c r="O472">
        <f>IFERROR(INDEX(装备库!$A$2:$Y$1047,MATCH(ROW()-1,装备库!$AO$2:$AO$1046,0),COLUMN()),"")</f>
        <v>0</v>
      </c>
      <c r="P472">
        <f>IFERROR(INDEX(装备库!$A$2:$Y$1047,MATCH(ROW()-1,装备库!$AO$2:$AO$1046,0),COLUMN()),"")</f>
        <v>0</v>
      </c>
      <c r="Q472">
        <f>IFERROR(INDEX(装备库!$A$2:$Y$1047,MATCH(ROW()-1,装备库!$AO$2:$AO$1046,0),COLUMN()),"")</f>
        <v>1</v>
      </c>
      <c r="R472">
        <f>IFERROR(INDEX(装备库!$A$2:$Y$1047,MATCH(ROW()-1,装备库!$AO$2:$AO$1046,0),COLUMN()),"")</f>
        <v>0</v>
      </c>
      <c r="S472">
        <f>IFERROR(INDEX(装备库!$A$2:$Y$1047,MATCH(ROW()-1,装备库!$AO$2:$AO$1046,0),COLUMN()),"")</f>
        <v>0</v>
      </c>
      <c r="T472">
        <f>IFERROR(INDEX(装备库!$A$2:$Y$1047,MATCH(ROW()-1,装备库!$AO$2:$AO$1046,0),COLUMN()),"")</f>
        <v>1</v>
      </c>
      <c r="U472">
        <f>IFERROR(INDEX(装备库!$A$2:$Y$1047,MATCH(ROW()-1,装备库!$AO$2:$AO$1046,0),COLUMN()),"")</f>
        <v>0</v>
      </c>
      <c r="V472">
        <f>IFERROR(INDEX(装备库!$A$2:$Y$1047,MATCH(ROW()-1,装备库!$AO$2:$AO$1046,0),COLUMN()),"")</f>
        <v>0</v>
      </c>
      <c r="W472" t="str">
        <f>IFERROR(INDEX(装备库!$A$2:$Y$1047,MATCH(ROW()-1,装备库!$AO$2:$AO$1046,0),COLUMN()),"")</f>
        <v>招破</v>
      </c>
      <c r="X472">
        <f>IFERROR(INDEX(装备库!$A$2:$Y$1047,MATCH(ROW()-1,装备库!$AO$2:$AO$1046,0),COLUMN()),"")</f>
        <v>6</v>
      </c>
      <c r="Y472" t="str">
        <f>IFERROR(INDEX(装备库!$A$2:$Y$1047,MATCH(ROW()-1,装备库!$AO$2:$AO$1046,0),COLUMN()),"")</f>
        <v>生活技能</v>
      </c>
    </row>
    <row r="473" spans="1:25" x14ac:dyDescent="0.35">
      <c r="A473" t="str">
        <f>IFERROR(INDEX(装备库!$A$2:$Y$1047,MATCH(ROW()-1,装备库!$AO$2:$AO$1046,0),COLUMN()),"")</f>
        <v>鞋子</v>
      </c>
      <c r="B473" t="str">
        <f>IFERROR(INDEX(装备库!$A$2:$Y$1047,MATCH(ROW()-1,装备库!$AO$2:$AO$1046,0),COLUMN()),"")</f>
        <v>无封鞋</v>
      </c>
      <c r="C473">
        <f>IFERROR(INDEX(装备库!$A$2:$Y$1047,MATCH(ROW()-1,装备库!$AO$2:$AO$1046,0),COLUMN()),"")</f>
        <v>11500</v>
      </c>
      <c r="D473" t="str">
        <f>IFERROR(INDEX(装备库!$A$2:$Y$1047,MATCH(ROW()-1,装备库!$AO$2:$AO$1046,0),COLUMN()),"")</f>
        <v>无封鞋(11500精简攻招无)</v>
      </c>
      <c r="E473">
        <f>IFERROR(INDEX(装备库!$A$2:$Y$1047,MATCH(ROW()-1,装备库!$AO$2:$AO$1046,0),COLUMN()),"")</f>
        <v>0</v>
      </c>
      <c r="F473">
        <f>IFERROR(INDEX(装备库!$A$2:$Y$1047,MATCH(ROW()-1,装备库!$AO$2:$AO$1046,0),COLUMN()),"")</f>
        <v>2034</v>
      </c>
      <c r="G473">
        <f>IFERROR(INDEX(装备库!$A$2:$Y$1047,MATCH(ROW()-1,装备库!$AO$2:$AO$1046,0),COLUMN()),"")</f>
        <v>0</v>
      </c>
      <c r="H473">
        <f>IFERROR(INDEX(装备库!$A$2:$Y$1047,MATCH(ROW()-1,装备库!$AO$2:$AO$1046,0),COLUMN()),"")</f>
        <v>0</v>
      </c>
      <c r="I473">
        <f>IFERROR(INDEX(装备库!$A$2:$Y$1047,MATCH(ROW()-1,装备库!$AO$2:$AO$1046,0),COLUMN()),"")</f>
        <v>0</v>
      </c>
      <c r="J473">
        <f>IFERROR(INDEX(装备库!$A$2:$Y$1047,MATCH(ROW()-1,装备库!$AO$2:$AO$1046,0),COLUMN()),"")</f>
        <v>3212</v>
      </c>
      <c r="K473">
        <f>IFERROR(INDEX(装备库!$A$2:$Y$1047,MATCH(ROW()-1,装备库!$AO$2:$AO$1046,0),COLUMN()),"")</f>
        <v>3212</v>
      </c>
      <c r="L473">
        <f>IFERROR(INDEX(装备库!$A$2:$Y$1047,MATCH(ROW()-1,装备库!$AO$2:$AO$1046,0),COLUMN()),"")</f>
        <v>0</v>
      </c>
      <c r="M473">
        <f>IFERROR(INDEX(装备库!$A$2:$Y$1047,MATCH(ROW()-1,装备库!$AO$2:$AO$1046,0),COLUMN()),"")</f>
        <v>0</v>
      </c>
      <c r="N473">
        <f>IFERROR(INDEX(装备库!$A$2:$Y$1047,MATCH(ROW()-1,装备库!$AO$2:$AO$1046,0),COLUMN()),"")</f>
        <v>0</v>
      </c>
      <c r="O473">
        <f>IFERROR(INDEX(装备库!$A$2:$Y$1047,MATCH(ROW()-1,装备库!$AO$2:$AO$1046,0),COLUMN()),"")</f>
        <v>0</v>
      </c>
      <c r="P473">
        <f>IFERROR(INDEX(装备库!$A$2:$Y$1047,MATCH(ROW()-1,装备库!$AO$2:$AO$1046,0),COLUMN()),"")</f>
        <v>0</v>
      </c>
      <c r="Q473">
        <f>IFERROR(INDEX(装备库!$A$2:$Y$1047,MATCH(ROW()-1,装备库!$AO$2:$AO$1046,0),COLUMN()),"")</f>
        <v>1</v>
      </c>
      <c r="R473">
        <f>IFERROR(INDEX(装备库!$A$2:$Y$1047,MATCH(ROW()-1,装备库!$AO$2:$AO$1046,0),COLUMN()),"")</f>
        <v>0</v>
      </c>
      <c r="S473">
        <f>IFERROR(INDEX(装备库!$A$2:$Y$1047,MATCH(ROW()-1,装备库!$AO$2:$AO$1046,0),COLUMN()),"")</f>
        <v>0</v>
      </c>
      <c r="T473">
        <f>IFERROR(INDEX(装备库!$A$2:$Y$1047,MATCH(ROW()-1,装备库!$AO$2:$AO$1046,0),COLUMN()),"")</f>
        <v>0</v>
      </c>
      <c r="U473">
        <f>IFERROR(INDEX(装备库!$A$2:$Y$1047,MATCH(ROW()-1,装备库!$AO$2:$AO$1046,0),COLUMN()),"")</f>
        <v>1</v>
      </c>
      <c r="V473">
        <f>IFERROR(INDEX(装备库!$A$2:$Y$1047,MATCH(ROW()-1,装备库!$AO$2:$AO$1046,0),COLUMN()),"")</f>
        <v>0</v>
      </c>
      <c r="W473" t="str">
        <f>IFERROR(INDEX(装备库!$A$2:$Y$1047,MATCH(ROW()-1,装备库!$AO$2:$AO$1046,0),COLUMN()),"")</f>
        <v>精简攻招无</v>
      </c>
      <c r="X473">
        <f>IFERROR(INDEX(装备库!$A$2:$Y$1047,MATCH(ROW()-1,装备库!$AO$2:$AO$1046,0),COLUMN()),"")</f>
        <v>3</v>
      </c>
      <c r="Y473" t="str">
        <f>IFERROR(INDEX(装备库!$A$2:$Y$1047,MATCH(ROW()-1,装备库!$AO$2:$AO$1046,0),COLUMN()),"")</f>
        <v>活动</v>
      </c>
    </row>
    <row r="474" spans="1:25" x14ac:dyDescent="0.35">
      <c r="A474" t="str">
        <f>IFERROR(INDEX(装备库!$A$2:$Y$1047,MATCH(ROW()-1,装备库!$AO$2:$AO$1046,0),COLUMN()),"")</f>
        <v>鞋子</v>
      </c>
      <c r="B474" t="str">
        <f>IFERROR(INDEX(装备库!$A$2:$Y$1047,MATCH(ROW()-1,装备库!$AO$2:$AO$1046,0),COLUMN()),"")</f>
        <v>无封鞋</v>
      </c>
      <c r="C474">
        <f>IFERROR(INDEX(装备库!$A$2:$Y$1047,MATCH(ROW()-1,装备库!$AO$2:$AO$1046,0),COLUMN()),"")</f>
        <v>11500</v>
      </c>
      <c r="D474" t="str">
        <f>IFERROR(INDEX(装备库!$A$2:$Y$1047,MATCH(ROW()-1,装备库!$AO$2:$AO$1046,0),COLUMN()),"")</f>
        <v>无封鞋(11500精简攻破)</v>
      </c>
      <c r="E474">
        <f>IFERROR(INDEX(装备库!$A$2:$Y$1047,MATCH(ROW()-1,装备库!$AO$2:$AO$1046,0),COLUMN()),"")</f>
        <v>0</v>
      </c>
      <c r="F474">
        <f>IFERROR(INDEX(装备库!$A$2:$Y$1047,MATCH(ROW()-1,装备库!$AO$2:$AO$1046,0),COLUMN()),"")</f>
        <v>2385</v>
      </c>
      <c r="G474">
        <f>IFERROR(INDEX(装备库!$A$2:$Y$1047,MATCH(ROW()-1,装备库!$AO$2:$AO$1046,0),COLUMN()),"")</f>
        <v>0</v>
      </c>
      <c r="H474">
        <f>IFERROR(INDEX(装备库!$A$2:$Y$1047,MATCH(ROW()-1,装备库!$AO$2:$AO$1046,0),COLUMN()),"")</f>
        <v>0</v>
      </c>
      <c r="I474">
        <f>IFERROR(INDEX(装备库!$A$2:$Y$1047,MATCH(ROW()-1,装备库!$AO$2:$AO$1046,0),COLUMN()),"")</f>
        <v>5562</v>
      </c>
      <c r="J474">
        <f>IFERROR(INDEX(装备库!$A$2:$Y$1047,MATCH(ROW()-1,装备库!$AO$2:$AO$1046,0),COLUMN()),"")</f>
        <v>0</v>
      </c>
      <c r="K474">
        <f>IFERROR(INDEX(装备库!$A$2:$Y$1047,MATCH(ROW()-1,装备库!$AO$2:$AO$1046,0),COLUMN()),"")</f>
        <v>0</v>
      </c>
      <c r="L474">
        <f>IFERROR(INDEX(装备库!$A$2:$Y$1047,MATCH(ROW()-1,装备库!$AO$2:$AO$1046,0),COLUMN()),"")</f>
        <v>0</v>
      </c>
      <c r="M474">
        <f>IFERROR(INDEX(装备库!$A$2:$Y$1047,MATCH(ROW()-1,装备库!$AO$2:$AO$1046,0),COLUMN()),"")</f>
        <v>0</v>
      </c>
      <c r="N474">
        <f>IFERROR(INDEX(装备库!$A$2:$Y$1047,MATCH(ROW()-1,装备库!$AO$2:$AO$1046,0),COLUMN()),"")</f>
        <v>0</v>
      </c>
      <c r="O474">
        <f>IFERROR(INDEX(装备库!$A$2:$Y$1047,MATCH(ROW()-1,装备库!$AO$2:$AO$1046,0),COLUMN()),"")</f>
        <v>0</v>
      </c>
      <c r="P474">
        <f>IFERROR(INDEX(装备库!$A$2:$Y$1047,MATCH(ROW()-1,装备库!$AO$2:$AO$1046,0),COLUMN()),"")</f>
        <v>1</v>
      </c>
      <c r="Q474">
        <f>IFERROR(INDEX(装备库!$A$2:$Y$1047,MATCH(ROW()-1,装备库!$AO$2:$AO$1046,0),COLUMN()),"")</f>
        <v>0</v>
      </c>
      <c r="R474">
        <f>IFERROR(INDEX(装备库!$A$2:$Y$1047,MATCH(ROW()-1,装备库!$AO$2:$AO$1046,0),COLUMN()),"")</f>
        <v>0</v>
      </c>
      <c r="S474">
        <f>IFERROR(INDEX(装备库!$A$2:$Y$1047,MATCH(ROW()-1,装备库!$AO$2:$AO$1046,0),COLUMN()),"")</f>
        <v>0</v>
      </c>
      <c r="T474">
        <f>IFERROR(INDEX(装备库!$A$2:$Y$1047,MATCH(ROW()-1,装备库!$AO$2:$AO$1046,0),COLUMN()),"")</f>
        <v>1</v>
      </c>
      <c r="U474">
        <f>IFERROR(INDEX(装备库!$A$2:$Y$1047,MATCH(ROW()-1,装备库!$AO$2:$AO$1046,0),COLUMN()),"")</f>
        <v>0</v>
      </c>
      <c r="V474">
        <f>IFERROR(INDEX(装备库!$A$2:$Y$1047,MATCH(ROW()-1,装备库!$AO$2:$AO$1046,0),COLUMN()),"")</f>
        <v>0</v>
      </c>
      <c r="W474" t="str">
        <f>IFERROR(INDEX(装备库!$A$2:$Y$1047,MATCH(ROW()-1,装备库!$AO$2:$AO$1046,0),COLUMN()),"")</f>
        <v>精简攻破</v>
      </c>
      <c r="X474">
        <f>IFERROR(INDEX(装备库!$A$2:$Y$1047,MATCH(ROW()-1,装备库!$AO$2:$AO$1046,0),COLUMN()),"")</f>
        <v>3</v>
      </c>
      <c r="Y474" t="str">
        <f>IFERROR(INDEX(装备库!$A$2:$Y$1047,MATCH(ROW()-1,装备库!$AO$2:$AO$1046,0),COLUMN()),"")</f>
        <v>活动</v>
      </c>
    </row>
    <row r="475" spans="1:25" x14ac:dyDescent="0.35">
      <c r="A475" t="str">
        <f>IFERROR(INDEX(装备库!$A$2:$Y$1047,MATCH(ROW()-1,装备库!$AO$2:$AO$1046,0),COLUMN()),"")</f>
        <v>鞋子</v>
      </c>
      <c r="B475" t="str">
        <f>IFERROR(INDEX(装备库!$A$2:$Y$1047,MATCH(ROW()-1,装备库!$AO$2:$AO$1046,0),COLUMN()),"")</f>
        <v>无封鞋</v>
      </c>
      <c r="C475">
        <f>IFERROR(INDEX(装备库!$A$2:$Y$1047,MATCH(ROW()-1,装备库!$AO$2:$AO$1046,0),COLUMN()),"")</f>
        <v>11500</v>
      </c>
      <c r="D475" t="str">
        <f>IFERROR(INDEX(装备库!$A$2:$Y$1047,MATCH(ROW()-1,装备库!$AO$2:$AO$1046,0),COLUMN()),"")</f>
        <v>无封鞋(11500精简攻会会无)</v>
      </c>
      <c r="E475">
        <f>IFERROR(INDEX(装备库!$A$2:$Y$1047,MATCH(ROW()-1,装备库!$AO$2:$AO$1046,0),COLUMN()),"")</f>
        <v>0</v>
      </c>
      <c r="F475">
        <f>IFERROR(INDEX(装备库!$A$2:$Y$1047,MATCH(ROW()-1,装备库!$AO$2:$AO$1046,0),COLUMN()),"")</f>
        <v>2034</v>
      </c>
      <c r="G475">
        <f>IFERROR(INDEX(装备库!$A$2:$Y$1047,MATCH(ROW()-1,装备库!$AO$2:$AO$1046,0),COLUMN()),"")</f>
        <v>2977</v>
      </c>
      <c r="H475">
        <f>IFERROR(INDEX(装备库!$A$2:$Y$1047,MATCH(ROW()-1,装备库!$AO$2:$AO$1046,0),COLUMN()),"")</f>
        <v>1567</v>
      </c>
      <c r="I475">
        <f>IFERROR(INDEX(装备库!$A$2:$Y$1047,MATCH(ROW()-1,装备库!$AO$2:$AO$1046,0),COLUMN()),"")</f>
        <v>0</v>
      </c>
      <c r="J475">
        <f>IFERROR(INDEX(装备库!$A$2:$Y$1047,MATCH(ROW()-1,装备库!$AO$2:$AO$1046,0),COLUMN()),"")</f>
        <v>0</v>
      </c>
      <c r="K475">
        <f>IFERROR(INDEX(装备库!$A$2:$Y$1047,MATCH(ROW()-1,装备库!$AO$2:$AO$1046,0),COLUMN()),"")</f>
        <v>1724</v>
      </c>
      <c r="L475">
        <f>IFERROR(INDEX(装备库!$A$2:$Y$1047,MATCH(ROW()-1,装备库!$AO$2:$AO$1046,0),COLUMN()),"")</f>
        <v>0</v>
      </c>
      <c r="M475">
        <f>IFERROR(INDEX(装备库!$A$2:$Y$1047,MATCH(ROW()-1,装备库!$AO$2:$AO$1046,0),COLUMN()),"")</f>
        <v>0</v>
      </c>
      <c r="N475">
        <f>IFERROR(INDEX(装备库!$A$2:$Y$1047,MATCH(ROW()-1,装备库!$AO$2:$AO$1046,0),COLUMN()),"")</f>
        <v>0</v>
      </c>
      <c r="O475">
        <f>IFERROR(INDEX(装备库!$A$2:$Y$1047,MATCH(ROW()-1,装备库!$AO$2:$AO$1046,0),COLUMN()),"")</f>
        <v>0</v>
      </c>
      <c r="P475">
        <f>IFERROR(INDEX(装备库!$A$2:$Y$1047,MATCH(ROW()-1,装备库!$AO$2:$AO$1046,0),COLUMN()),"")</f>
        <v>0</v>
      </c>
      <c r="Q475">
        <f>IFERROR(INDEX(装备库!$A$2:$Y$1047,MATCH(ROW()-1,装备库!$AO$2:$AO$1046,0),COLUMN()),"")</f>
        <v>0</v>
      </c>
      <c r="R475">
        <f>IFERROR(INDEX(装备库!$A$2:$Y$1047,MATCH(ROW()-1,装备库!$AO$2:$AO$1046,0),COLUMN()),"")</f>
        <v>0</v>
      </c>
      <c r="S475">
        <f>IFERROR(INDEX(装备库!$A$2:$Y$1047,MATCH(ROW()-1,装备库!$AO$2:$AO$1046,0),COLUMN()),"")</f>
        <v>1</v>
      </c>
      <c r="T475">
        <f>IFERROR(INDEX(装备库!$A$2:$Y$1047,MATCH(ROW()-1,装备库!$AO$2:$AO$1046,0),COLUMN()),"")</f>
        <v>0</v>
      </c>
      <c r="U475">
        <f>IFERROR(INDEX(装备库!$A$2:$Y$1047,MATCH(ROW()-1,装备库!$AO$2:$AO$1046,0),COLUMN()),"")</f>
        <v>1</v>
      </c>
      <c r="V475">
        <f>IFERROR(INDEX(装备库!$A$2:$Y$1047,MATCH(ROW()-1,装备库!$AO$2:$AO$1046,0),COLUMN()),"")</f>
        <v>0</v>
      </c>
      <c r="W475" t="str">
        <f>IFERROR(INDEX(装备库!$A$2:$Y$1047,MATCH(ROW()-1,装备库!$AO$2:$AO$1046,0),COLUMN()),"")</f>
        <v>精简攻会会无</v>
      </c>
      <c r="X475">
        <f>IFERROR(INDEX(装备库!$A$2:$Y$1047,MATCH(ROW()-1,装备库!$AO$2:$AO$1046,0),COLUMN()),"")</f>
        <v>3</v>
      </c>
      <c r="Y475" t="str">
        <f>IFERROR(INDEX(装备库!$A$2:$Y$1047,MATCH(ROW()-1,装备库!$AO$2:$AO$1046,0),COLUMN()),"")</f>
        <v>活动</v>
      </c>
    </row>
    <row r="476" spans="1:25" x14ac:dyDescent="0.35">
      <c r="A476" t="str">
        <f>IFERROR(INDEX(装备库!$A$2:$Y$1047,MATCH(ROW()-1,装备库!$AO$2:$AO$1046,0),COLUMN()),"")</f>
        <v>鞋子</v>
      </c>
      <c r="B476" t="str">
        <f>IFERROR(INDEX(装备库!$A$2:$Y$1047,MATCH(ROW()-1,装备库!$AO$2:$AO$1046,0),COLUMN()),"")</f>
        <v>无封鞋</v>
      </c>
      <c r="C476">
        <f>IFERROR(INDEX(装备库!$A$2:$Y$1047,MATCH(ROW()-1,装备库!$AO$2:$AO$1046,0),COLUMN()),"")</f>
        <v>12100</v>
      </c>
      <c r="D476" t="str">
        <f>IFERROR(INDEX(装备库!$A$2:$Y$1047,MATCH(ROW()-1,装备库!$AO$2:$AO$1046,0),COLUMN()),"")</f>
        <v>无封鞋(12100精简攻招破无)</v>
      </c>
      <c r="E476">
        <f>IFERROR(INDEX(装备库!$A$2:$Y$1047,MATCH(ROW()-1,装备库!$AO$2:$AO$1046,0),COLUMN()),"")</f>
        <v>0</v>
      </c>
      <c r="F476">
        <f>IFERROR(INDEX(装备库!$A$2:$Y$1047,MATCH(ROW()-1,装备库!$AO$2:$AO$1046,0),COLUMN()),"")</f>
        <v>2140</v>
      </c>
      <c r="G476">
        <f>IFERROR(INDEX(装备库!$A$2:$Y$1047,MATCH(ROW()-1,装备库!$AO$2:$AO$1046,0),COLUMN()),"")</f>
        <v>0</v>
      </c>
      <c r="H476">
        <f>IFERROR(INDEX(装备库!$A$2:$Y$1047,MATCH(ROW()-1,装备库!$AO$2:$AO$1046,0),COLUMN()),"")</f>
        <v>0</v>
      </c>
      <c r="I476">
        <f>IFERROR(INDEX(装备库!$A$2:$Y$1047,MATCH(ROW()-1,装备库!$AO$2:$AO$1046,0),COLUMN()),"")</f>
        <v>2803</v>
      </c>
      <c r="J476">
        <f>IFERROR(INDEX(装备库!$A$2:$Y$1047,MATCH(ROW()-1,装备库!$AO$2:$AO$1046,0),COLUMN()),"")</f>
        <v>2308</v>
      </c>
      <c r="K476">
        <f>IFERROR(INDEX(装备库!$A$2:$Y$1047,MATCH(ROW()-1,装备库!$AO$2:$AO$1046,0),COLUMN()),"")</f>
        <v>1649</v>
      </c>
      <c r="L476">
        <f>IFERROR(INDEX(装备库!$A$2:$Y$1047,MATCH(ROW()-1,装备库!$AO$2:$AO$1046,0),COLUMN()),"")</f>
        <v>0</v>
      </c>
      <c r="M476">
        <f>IFERROR(INDEX(装备库!$A$2:$Y$1047,MATCH(ROW()-1,装备库!$AO$2:$AO$1046,0),COLUMN()),"")</f>
        <v>0</v>
      </c>
      <c r="N476">
        <f>IFERROR(INDEX(装备库!$A$2:$Y$1047,MATCH(ROW()-1,装备库!$AO$2:$AO$1046,0),COLUMN()),"")</f>
        <v>0</v>
      </c>
      <c r="O476">
        <f>IFERROR(INDEX(装备库!$A$2:$Y$1047,MATCH(ROW()-1,装备库!$AO$2:$AO$1046,0),COLUMN()),"")</f>
        <v>0</v>
      </c>
      <c r="P476">
        <f>IFERROR(INDEX(装备库!$A$2:$Y$1047,MATCH(ROW()-1,装备库!$AO$2:$AO$1046,0),COLUMN()),"")</f>
        <v>0</v>
      </c>
      <c r="Q476">
        <f>IFERROR(INDEX(装备库!$A$2:$Y$1047,MATCH(ROW()-1,装备库!$AO$2:$AO$1046,0),COLUMN()),"")</f>
        <v>1</v>
      </c>
      <c r="R476">
        <f>IFERROR(INDEX(装备库!$A$2:$Y$1047,MATCH(ROW()-1,装备库!$AO$2:$AO$1046,0),COLUMN()),"")</f>
        <v>0</v>
      </c>
      <c r="S476">
        <f>IFERROR(INDEX(装备库!$A$2:$Y$1047,MATCH(ROW()-1,装备库!$AO$2:$AO$1046,0),COLUMN()),"")</f>
        <v>0</v>
      </c>
      <c r="T476">
        <f>IFERROR(INDEX(装备库!$A$2:$Y$1047,MATCH(ROW()-1,装备库!$AO$2:$AO$1046,0),COLUMN()),"")</f>
        <v>0</v>
      </c>
      <c r="U476">
        <f>IFERROR(INDEX(装备库!$A$2:$Y$1047,MATCH(ROW()-1,装备库!$AO$2:$AO$1046,0),COLUMN()),"")</f>
        <v>1</v>
      </c>
      <c r="V476">
        <f>IFERROR(INDEX(装备库!$A$2:$Y$1047,MATCH(ROW()-1,装备库!$AO$2:$AO$1046,0),COLUMN()),"")</f>
        <v>0</v>
      </c>
      <c r="W476" t="str">
        <f>IFERROR(INDEX(装备库!$A$2:$Y$1047,MATCH(ROW()-1,装备库!$AO$2:$AO$1046,0),COLUMN()),"")</f>
        <v>精简攻招破无</v>
      </c>
      <c r="X476">
        <f>IFERROR(INDEX(装备库!$A$2:$Y$1047,MATCH(ROW()-1,装备库!$AO$2:$AO$1046,0),COLUMN()),"")</f>
        <v>3</v>
      </c>
      <c r="Y476" t="str">
        <f>IFERROR(INDEX(装备库!$A$2:$Y$1047,MATCH(ROW()-1,装备库!$AO$2:$AO$1046,0),COLUMN()),"")</f>
        <v>活动</v>
      </c>
    </row>
    <row r="477" spans="1:25" x14ac:dyDescent="0.35">
      <c r="A477" t="str">
        <f>IFERROR(INDEX(装备库!$A$2:$Y$1047,MATCH(ROW()-1,装备库!$AO$2:$AO$1046,0),COLUMN()),"")</f>
        <v>鞋子</v>
      </c>
      <c r="B477" t="str">
        <f>IFERROR(INDEX(装备库!$A$2:$Y$1047,MATCH(ROW()-1,装备库!$AO$2:$AO$1046,0),COLUMN()),"")</f>
        <v>无封鞋</v>
      </c>
      <c r="C477">
        <f>IFERROR(INDEX(装备库!$A$2:$Y$1047,MATCH(ROW()-1,装备库!$AO$2:$AO$1046,0),COLUMN()),"")</f>
        <v>12100</v>
      </c>
      <c r="D477" t="str">
        <f>IFERROR(INDEX(装备库!$A$2:$Y$1047,MATCH(ROW()-1,装备库!$AO$2:$AO$1046,0),COLUMN()),"")</f>
        <v>无封鞋(12100精简攻会破)</v>
      </c>
      <c r="E477">
        <f>IFERROR(INDEX(装备库!$A$2:$Y$1047,MATCH(ROW()-1,装备库!$AO$2:$AO$1046,0),COLUMN()),"")</f>
        <v>0</v>
      </c>
      <c r="F477">
        <f>IFERROR(INDEX(装备库!$A$2:$Y$1047,MATCH(ROW()-1,装备库!$AO$2:$AO$1046,0),COLUMN()),"")</f>
        <v>2140</v>
      </c>
      <c r="G477">
        <f>IFERROR(INDEX(装备库!$A$2:$Y$1047,MATCH(ROW()-1,装备库!$AO$2:$AO$1046,0),COLUMN()),"")</f>
        <v>3380</v>
      </c>
      <c r="H477">
        <f>IFERROR(INDEX(装备库!$A$2:$Y$1047,MATCH(ROW()-1,装备库!$AO$2:$AO$1046,0),COLUMN()),"")</f>
        <v>0</v>
      </c>
      <c r="I477">
        <f>IFERROR(INDEX(装备库!$A$2:$Y$1047,MATCH(ROW()-1,装备库!$AO$2:$AO$1046,0),COLUMN()),"")</f>
        <v>3380</v>
      </c>
      <c r="J477">
        <f>IFERROR(INDEX(装备库!$A$2:$Y$1047,MATCH(ROW()-1,装备库!$AO$2:$AO$1046,0),COLUMN()),"")</f>
        <v>0</v>
      </c>
      <c r="K477">
        <f>IFERROR(INDEX(装备库!$A$2:$Y$1047,MATCH(ROW()-1,装备库!$AO$2:$AO$1046,0),COLUMN()),"")</f>
        <v>0</v>
      </c>
      <c r="L477">
        <f>IFERROR(INDEX(装备库!$A$2:$Y$1047,MATCH(ROW()-1,装备库!$AO$2:$AO$1046,0),COLUMN()),"")</f>
        <v>0</v>
      </c>
      <c r="M477">
        <f>IFERROR(INDEX(装备库!$A$2:$Y$1047,MATCH(ROW()-1,装备库!$AO$2:$AO$1046,0),COLUMN()),"")</f>
        <v>0</v>
      </c>
      <c r="N477">
        <f>IFERROR(INDEX(装备库!$A$2:$Y$1047,MATCH(ROW()-1,装备库!$AO$2:$AO$1046,0),COLUMN()),"")</f>
        <v>0</v>
      </c>
      <c r="O477">
        <f>IFERROR(INDEX(装备库!$A$2:$Y$1047,MATCH(ROW()-1,装备库!$AO$2:$AO$1046,0),COLUMN()),"")</f>
        <v>0</v>
      </c>
      <c r="P477">
        <f>IFERROR(INDEX(装备库!$A$2:$Y$1047,MATCH(ROW()-1,装备库!$AO$2:$AO$1046,0),COLUMN()),"")</f>
        <v>1</v>
      </c>
      <c r="Q477">
        <f>IFERROR(INDEX(装备库!$A$2:$Y$1047,MATCH(ROW()-1,装备库!$AO$2:$AO$1046,0),COLUMN()),"")</f>
        <v>0</v>
      </c>
      <c r="R477">
        <f>IFERROR(INDEX(装备库!$A$2:$Y$1047,MATCH(ROW()-1,装备库!$AO$2:$AO$1046,0),COLUMN()),"")</f>
        <v>0</v>
      </c>
      <c r="S477">
        <f>IFERROR(INDEX(装备库!$A$2:$Y$1047,MATCH(ROW()-1,装备库!$AO$2:$AO$1046,0),COLUMN()),"")</f>
        <v>0</v>
      </c>
      <c r="T477">
        <f>IFERROR(INDEX(装备库!$A$2:$Y$1047,MATCH(ROW()-1,装备库!$AO$2:$AO$1046,0),COLUMN()),"")</f>
        <v>1</v>
      </c>
      <c r="U477">
        <f>IFERROR(INDEX(装备库!$A$2:$Y$1047,MATCH(ROW()-1,装备库!$AO$2:$AO$1046,0),COLUMN()),"")</f>
        <v>0</v>
      </c>
      <c r="V477">
        <f>IFERROR(INDEX(装备库!$A$2:$Y$1047,MATCH(ROW()-1,装备库!$AO$2:$AO$1046,0),COLUMN()),"")</f>
        <v>0</v>
      </c>
      <c r="W477" t="str">
        <f>IFERROR(INDEX(装备库!$A$2:$Y$1047,MATCH(ROW()-1,装备库!$AO$2:$AO$1046,0),COLUMN()),"")</f>
        <v>精简攻会破</v>
      </c>
      <c r="X477">
        <f>IFERROR(INDEX(装备库!$A$2:$Y$1047,MATCH(ROW()-1,装备库!$AO$2:$AO$1046,0),COLUMN()),"")</f>
        <v>3</v>
      </c>
      <c r="Y477" t="str">
        <f>IFERROR(INDEX(装备库!$A$2:$Y$1047,MATCH(ROW()-1,装备库!$AO$2:$AO$1046,0),COLUMN()),"")</f>
        <v>活动</v>
      </c>
    </row>
    <row r="478" spans="1:25" x14ac:dyDescent="0.35">
      <c r="A478" t="str">
        <f>IFERROR(INDEX(装备库!$A$2:$Y$1047,MATCH(ROW()-1,装备库!$AO$2:$AO$1046,0),COLUMN()),"")</f>
        <v>鞋子</v>
      </c>
      <c r="B478" t="str">
        <f>IFERROR(INDEX(装备库!$A$2:$Y$1047,MATCH(ROW()-1,装备库!$AO$2:$AO$1046,0),COLUMN()),"")</f>
        <v>无封鞋</v>
      </c>
      <c r="C478">
        <f>IFERROR(INDEX(装备库!$A$2:$Y$1047,MATCH(ROW()-1,装备库!$AO$2:$AO$1046,0),COLUMN()),"")</f>
        <v>12100</v>
      </c>
      <c r="D478" t="str">
        <f>IFERROR(INDEX(装备库!$A$2:$Y$1047,MATCH(ROW()-1,装备库!$AO$2:$AO$1046,0),COLUMN()),"")</f>
        <v>无封鞋(12100精简攻会)</v>
      </c>
      <c r="E478">
        <f>IFERROR(INDEX(装备库!$A$2:$Y$1047,MATCH(ROW()-1,装备库!$AO$2:$AO$1046,0),COLUMN()),"")</f>
        <v>0</v>
      </c>
      <c r="F478">
        <f>IFERROR(INDEX(装备库!$A$2:$Y$1047,MATCH(ROW()-1,装备库!$AO$2:$AO$1046,0),COLUMN()),"")</f>
        <v>2509</v>
      </c>
      <c r="G478">
        <f>IFERROR(INDEX(装备库!$A$2:$Y$1047,MATCH(ROW()-1,装备库!$AO$2:$AO$1046,0),COLUMN()),"")</f>
        <v>5853</v>
      </c>
      <c r="H478">
        <f>IFERROR(INDEX(装备库!$A$2:$Y$1047,MATCH(ROW()-1,装备库!$AO$2:$AO$1046,0),COLUMN()),"")</f>
        <v>0</v>
      </c>
      <c r="I478">
        <f>IFERROR(INDEX(装备库!$A$2:$Y$1047,MATCH(ROW()-1,装备库!$AO$2:$AO$1046,0),COLUMN()),"")</f>
        <v>0</v>
      </c>
      <c r="J478">
        <f>IFERROR(INDEX(装备库!$A$2:$Y$1047,MATCH(ROW()-1,装备库!$AO$2:$AO$1046,0),COLUMN()),"")</f>
        <v>0</v>
      </c>
      <c r="K478">
        <f>IFERROR(INDEX(装备库!$A$2:$Y$1047,MATCH(ROW()-1,装备库!$AO$2:$AO$1046,0),COLUMN()),"")</f>
        <v>0</v>
      </c>
      <c r="L478">
        <f>IFERROR(INDEX(装备库!$A$2:$Y$1047,MATCH(ROW()-1,装备库!$AO$2:$AO$1046,0),COLUMN()),"")</f>
        <v>0</v>
      </c>
      <c r="M478">
        <f>IFERROR(INDEX(装备库!$A$2:$Y$1047,MATCH(ROW()-1,装备库!$AO$2:$AO$1046,0),COLUMN()),"")</f>
        <v>0</v>
      </c>
      <c r="N478">
        <f>IFERROR(INDEX(装备库!$A$2:$Y$1047,MATCH(ROW()-1,装备库!$AO$2:$AO$1046,0),COLUMN()),"")</f>
        <v>0</v>
      </c>
      <c r="O478">
        <f>IFERROR(INDEX(装备库!$A$2:$Y$1047,MATCH(ROW()-1,装备库!$AO$2:$AO$1046,0),COLUMN()),"")</f>
        <v>0</v>
      </c>
      <c r="P478">
        <f>IFERROR(INDEX(装备库!$A$2:$Y$1047,MATCH(ROW()-1,装备库!$AO$2:$AO$1046,0),COLUMN()),"")</f>
        <v>0</v>
      </c>
      <c r="Q478">
        <f>IFERROR(INDEX(装备库!$A$2:$Y$1047,MATCH(ROW()-1,装备库!$AO$2:$AO$1046,0),COLUMN()),"")</f>
        <v>1</v>
      </c>
      <c r="R478">
        <f>IFERROR(INDEX(装备库!$A$2:$Y$1047,MATCH(ROW()-1,装备库!$AO$2:$AO$1046,0),COLUMN()),"")</f>
        <v>1</v>
      </c>
      <c r="S478">
        <f>IFERROR(INDEX(装备库!$A$2:$Y$1047,MATCH(ROW()-1,装备库!$AO$2:$AO$1046,0),COLUMN()),"")</f>
        <v>0</v>
      </c>
      <c r="T478">
        <f>IFERROR(INDEX(装备库!$A$2:$Y$1047,MATCH(ROW()-1,装备库!$AO$2:$AO$1046,0),COLUMN()),"")</f>
        <v>0</v>
      </c>
      <c r="U478">
        <f>IFERROR(INDEX(装备库!$A$2:$Y$1047,MATCH(ROW()-1,装备库!$AO$2:$AO$1046,0),COLUMN()),"")</f>
        <v>0</v>
      </c>
      <c r="V478">
        <f>IFERROR(INDEX(装备库!$A$2:$Y$1047,MATCH(ROW()-1,装备库!$AO$2:$AO$1046,0),COLUMN()),"")</f>
        <v>0</v>
      </c>
      <c r="W478" t="str">
        <f>IFERROR(INDEX(装备库!$A$2:$Y$1047,MATCH(ROW()-1,装备库!$AO$2:$AO$1046,0),COLUMN()),"")</f>
        <v>精简攻会</v>
      </c>
      <c r="X478">
        <f>IFERROR(INDEX(装备库!$A$2:$Y$1047,MATCH(ROW()-1,装备库!$AO$2:$AO$1046,0),COLUMN()),"")</f>
        <v>3</v>
      </c>
      <c r="Y478" t="str">
        <f>IFERROR(INDEX(装备库!$A$2:$Y$1047,MATCH(ROW()-1,装备库!$AO$2:$AO$1046,0),COLUMN()),"")</f>
        <v>活动</v>
      </c>
    </row>
    <row r="479" spans="1:25" x14ac:dyDescent="0.35">
      <c r="A479" t="str">
        <f>IFERROR(INDEX(装备库!$A$2:$Y$1047,MATCH(ROW()-1,装备库!$AO$2:$AO$1046,0),COLUMN()),"")</f>
        <v>鞋子</v>
      </c>
      <c r="B479" t="str">
        <f>IFERROR(INDEX(装备库!$A$2:$Y$1047,MATCH(ROW()-1,装备库!$AO$2:$AO$1046,0),COLUMN()),"")</f>
        <v>【门派套装】濯心·映寒靴</v>
      </c>
      <c r="C479">
        <f>IFERROR(INDEX(装备库!$A$2:$Y$1047,MATCH(ROW()-1,装备库!$AO$2:$AO$1046,0),COLUMN()),"")</f>
        <v>12300</v>
      </c>
      <c r="D479" t="str">
        <f>IFERROR(INDEX(装备库!$A$2:$Y$1047,MATCH(ROW()-1,装备库!$AO$2:$AO$1046,0),COLUMN()),"")</f>
        <v>【门派套装】濯心·映寒靴(12300破无)</v>
      </c>
      <c r="E479">
        <f>IFERROR(INDEX(装备库!$A$2:$Y$1047,MATCH(ROW()-1,装备库!$AO$2:$AO$1046,0),COLUMN()),"")</f>
        <v>601</v>
      </c>
      <c r="F479">
        <f>IFERROR(INDEX(装备库!$A$2:$Y$1047,MATCH(ROW()-1,装备库!$AO$2:$AO$1046,0),COLUMN()),"")</f>
        <v>975</v>
      </c>
      <c r="G479">
        <f>IFERROR(INDEX(装备库!$A$2:$Y$1047,MATCH(ROW()-1,装备库!$AO$2:$AO$1046,0),COLUMN()),"")</f>
        <v>0</v>
      </c>
      <c r="H479">
        <f>IFERROR(INDEX(装备库!$A$2:$Y$1047,MATCH(ROW()-1,装备库!$AO$2:$AO$1046,0),COLUMN()),"")</f>
        <v>0</v>
      </c>
      <c r="I479">
        <f>IFERROR(INDEX(装备库!$A$2:$Y$1047,MATCH(ROW()-1,装备库!$AO$2:$AO$1046,0),COLUMN()),"")</f>
        <v>3017</v>
      </c>
      <c r="J479">
        <f>IFERROR(INDEX(装备库!$A$2:$Y$1047,MATCH(ROW()-1,装备库!$AO$2:$AO$1046,0),COLUMN()),"")</f>
        <v>0</v>
      </c>
      <c r="K479">
        <f>IFERROR(INDEX(装备库!$A$2:$Y$1047,MATCH(ROW()-1,装备库!$AO$2:$AO$1046,0),COLUMN()),"")</f>
        <v>2681</v>
      </c>
      <c r="L479">
        <f>IFERROR(INDEX(装备库!$A$2:$Y$1047,MATCH(ROW()-1,装备库!$AO$2:$AO$1046,0),COLUMN()),"")</f>
        <v>0</v>
      </c>
      <c r="M479">
        <f>IFERROR(INDEX(装备库!$A$2:$Y$1047,MATCH(ROW()-1,装备库!$AO$2:$AO$1046,0),COLUMN()),"")</f>
        <v>0</v>
      </c>
      <c r="N479">
        <f>IFERROR(INDEX(装备库!$A$2:$Y$1047,MATCH(ROW()-1,装备库!$AO$2:$AO$1046,0),COLUMN()),"")</f>
        <v>0</v>
      </c>
      <c r="O479">
        <f>IFERROR(INDEX(装备库!$A$2:$Y$1047,MATCH(ROW()-1,装备库!$AO$2:$AO$1046,0),COLUMN()),"")</f>
        <v>0</v>
      </c>
      <c r="P479">
        <f>IFERROR(INDEX(装备库!$A$2:$Y$1047,MATCH(ROW()-1,装备库!$AO$2:$AO$1046,0),COLUMN()),"")</f>
        <v>1</v>
      </c>
      <c r="Q479">
        <f>IFERROR(INDEX(装备库!$A$2:$Y$1047,MATCH(ROW()-1,装备库!$AO$2:$AO$1046,0),COLUMN()),"")</f>
        <v>0</v>
      </c>
      <c r="R479">
        <f>IFERROR(INDEX(装备库!$A$2:$Y$1047,MATCH(ROW()-1,装备库!$AO$2:$AO$1046,0),COLUMN()),"")</f>
        <v>0</v>
      </c>
      <c r="S479">
        <f>IFERROR(INDEX(装备库!$A$2:$Y$1047,MATCH(ROW()-1,装备库!$AO$2:$AO$1046,0),COLUMN()),"")</f>
        <v>1</v>
      </c>
      <c r="T479">
        <f>IFERROR(INDEX(装备库!$A$2:$Y$1047,MATCH(ROW()-1,装备库!$AO$2:$AO$1046,0),COLUMN()),"")</f>
        <v>0</v>
      </c>
      <c r="U479">
        <f>IFERROR(INDEX(装备库!$A$2:$Y$1047,MATCH(ROW()-1,装备库!$AO$2:$AO$1046,0),COLUMN()),"")</f>
        <v>0</v>
      </c>
      <c r="V479">
        <f>IFERROR(INDEX(装备库!$A$2:$Y$1047,MATCH(ROW()-1,装备库!$AO$2:$AO$1046,0),COLUMN()),"")</f>
        <v>0</v>
      </c>
      <c r="W479" t="str">
        <f>IFERROR(INDEX(装备库!$A$2:$Y$1047,MATCH(ROW()-1,装备库!$AO$2:$AO$1046,0),COLUMN()),"")</f>
        <v>破无</v>
      </c>
      <c r="X479">
        <f>IFERROR(INDEX(装备库!$A$2:$Y$1047,MATCH(ROW()-1,装备库!$AO$2:$AO$1046,0),COLUMN()),"")</f>
        <v>6</v>
      </c>
      <c r="Y479" t="str">
        <f>IFERROR(INDEX(装备库!$A$2:$Y$1047,MATCH(ROW()-1,装备库!$AO$2:$AO$1046,0),COLUMN()),"")</f>
        <v>兑换牌</v>
      </c>
    </row>
    <row r="480" spans="1:25" x14ac:dyDescent="0.35">
      <c r="A480" t="str">
        <f>IFERROR(INDEX(装备库!$A$2:$Y$1047,MATCH(ROW()-1,装备库!$AO$2:$AO$1046,0),COLUMN()),"")</f>
        <v>鞋子</v>
      </c>
      <c r="B480" t="str">
        <f>IFERROR(INDEX(装备库!$A$2:$Y$1047,MATCH(ROW()-1,装备库!$AO$2:$AO$1046,0),COLUMN()),"")</f>
        <v>安衿靴</v>
      </c>
      <c r="C480">
        <f>IFERROR(INDEX(装备库!$A$2:$Y$1047,MATCH(ROW()-1,装备库!$AO$2:$AO$1046,0),COLUMN()),"")</f>
        <v>12450</v>
      </c>
      <c r="D480" t="str">
        <f>IFERROR(INDEX(装备库!$A$2:$Y$1047,MATCH(ROW()-1,装备库!$AO$2:$AO$1046,0),COLUMN()),"")</f>
        <v>安衿靴(12450速招)</v>
      </c>
      <c r="E480">
        <f>IFERROR(INDEX(装备库!$A$2:$Y$1047,MATCH(ROW()-1,装备库!$AO$2:$AO$1046,0),COLUMN()),"")</f>
        <v>609</v>
      </c>
      <c r="F480">
        <f>IFERROR(INDEX(装备库!$A$2:$Y$1047,MATCH(ROW()-1,装备库!$AO$2:$AO$1046,0),COLUMN()),"")</f>
        <v>987</v>
      </c>
      <c r="G480">
        <f>IFERROR(INDEX(装备库!$A$2:$Y$1047,MATCH(ROW()-1,装备库!$AO$2:$AO$1046,0),COLUMN()),"")</f>
        <v>0</v>
      </c>
      <c r="H480">
        <f>IFERROR(INDEX(装备库!$A$2:$Y$1047,MATCH(ROW()-1,装备库!$AO$2:$AO$1046,0),COLUMN()),"")</f>
        <v>0</v>
      </c>
      <c r="I480">
        <f>IFERROR(INDEX(装备库!$A$2:$Y$1047,MATCH(ROW()-1,装备库!$AO$2:$AO$1046,0),COLUMN()),"")</f>
        <v>0</v>
      </c>
      <c r="J480">
        <f>IFERROR(INDEX(装备库!$A$2:$Y$1047,MATCH(ROW()-1,装备库!$AO$2:$AO$1046,0),COLUMN()),"")</f>
        <v>2714</v>
      </c>
      <c r="K480">
        <f>IFERROR(INDEX(装备库!$A$2:$Y$1047,MATCH(ROW()-1,装备库!$AO$2:$AO$1046,0),COLUMN()),"")</f>
        <v>0</v>
      </c>
      <c r="L480">
        <f>IFERROR(INDEX(装备库!$A$2:$Y$1047,MATCH(ROW()-1,装备库!$AO$2:$AO$1046,0),COLUMN()),"")</f>
        <v>3053</v>
      </c>
      <c r="M480">
        <f>IFERROR(INDEX(装备库!$A$2:$Y$1047,MATCH(ROW()-1,装备库!$AO$2:$AO$1046,0),COLUMN()),"")</f>
        <v>0</v>
      </c>
      <c r="N480">
        <f>IFERROR(INDEX(装备库!$A$2:$Y$1047,MATCH(ROW()-1,装备库!$AO$2:$AO$1046,0),COLUMN()),"")</f>
        <v>0</v>
      </c>
      <c r="O480">
        <f>IFERROR(INDEX(装备库!$A$2:$Y$1047,MATCH(ROW()-1,装备库!$AO$2:$AO$1046,0),COLUMN()),"")</f>
        <v>1</v>
      </c>
      <c r="P480">
        <f>IFERROR(INDEX(装备库!$A$2:$Y$1047,MATCH(ROW()-1,装备库!$AO$2:$AO$1046,0),COLUMN()),"")</f>
        <v>1</v>
      </c>
      <c r="Q480">
        <f>IFERROR(INDEX(装备库!$A$2:$Y$1047,MATCH(ROW()-1,装备库!$AO$2:$AO$1046,0),COLUMN()),"")</f>
        <v>0</v>
      </c>
      <c r="R480">
        <f>IFERROR(INDEX(装备库!$A$2:$Y$1047,MATCH(ROW()-1,装备库!$AO$2:$AO$1046,0),COLUMN()),"")</f>
        <v>0</v>
      </c>
      <c r="S480">
        <f>IFERROR(INDEX(装备库!$A$2:$Y$1047,MATCH(ROW()-1,装备库!$AO$2:$AO$1046,0),COLUMN()),"")</f>
        <v>0</v>
      </c>
      <c r="T480">
        <f>IFERROR(INDEX(装备库!$A$2:$Y$1047,MATCH(ROW()-1,装备库!$AO$2:$AO$1046,0),COLUMN()),"")</f>
        <v>0</v>
      </c>
      <c r="U480">
        <f>IFERROR(INDEX(装备库!$A$2:$Y$1047,MATCH(ROW()-1,装备库!$AO$2:$AO$1046,0),COLUMN()),"")</f>
        <v>0</v>
      </c>
      <c r="V480">
        <f>IFERROR(INDEX(装备库!$A$2:$Y$1047,MATCH(ROW()-1,装备库!$AO$2:$AO$1046,0),COLUMN()),"")</f>
        <v>0</v>
      </c>
      <c r="W480" t="str">
        <f>IFERROR(INDEX(装备库!$A$2:$Y$1047,MATCH(ROW()-1,装备库!$AO$2:$AO$1046,0),COLUMN()),"")</f>
        <v>速招</v>
      </c>
      <c r="X480">
        <f>IFERROR(INDEX(装备库!$A$2:$Y$1047,MATCH(ROW()-1,装备库!$AO$2:$AO$1046,0),COLUMN()),"")</f>
        <v>6</v>
      </c>
      <c r="Y480" t="str">
        <f>IFERROR(INDEX(装备库!$A$2:$Y$1047,MATCH(ROW()-1,装备库!$AO$2:$AO$1046,0),COLUMN()),"")</f>
        <v>副本</v>
      </c>
    </row>
    <row r="481" spans="1:25" x14ac:dyDescent="0.35">
      <c r="A481" t="str">
        <f>IFERROR(INDEX(装备库!$A$2:$Y$1047,MATCH(ROW()-1,装备库!$AO$2:$AO$1046,0),COLUMN()),"")</f>
        <v>鞋子</v>
      </c>
      <c r="B481" t="str">
        <f>IFERROR(INDEX(装备库!$A$2:$Y$1047,MATCH(ROW()-1,装备库!$AO$2:$AO$1046,0),COLUMN()),"")</f>
        <v>湖静靴</v>
      </c>
      <c r="C481">
        <f>IFERROR(INDEX(装备库!$A$2:$Y$1047,MATCH(ROW()-1,装备库!$AO$2:$AO$1046,0),COLUMN()),"")</f>
        <v>12450</v>
      </c>
      <c r="D481" t="str">
        <f>IFERROR(INDEX(装备库!$A$2:$Y$1047,MATCH(ROW()-1,装备库!$AO$2:$AO$1046,0),COLUMN()),"")</f>
        <v>湖静靴(12450会招)</v>
      </c>
      <c r="E481">
        <f>IFERROR(INDEX(装备库!$A$2:$Y$1047,MATCH(ROW()-1,装备库!$AO$2:$AO$1046,0),COLUMN()),"")</f>
        <v>609</v>
      </c>
      <c r="F481">
        <f>IFERROR(INDEX(装备库!$A$2:$Y$1047,MATCH(ROW()-1,装备库!$AO$2:$AO$1046,0),COLUMN()),"")</f>
        <v>987</v>
      </c>
      <c r="G481">
        <f>IFERROR(INDEX(装备库!$A$2:$Y$1047,MATCH(ROW()-1,装备库!$AO$2:$AO$1046,0),COLUMN()),"")</f>
        <v>3053</v>
      </c>
      <c r="H481">
        <f>IFERROR(INDEX(装备库!$A$2:$Y$1047,MATCH(ROW()-1,装备库!$AO$2:$AO$1046,0),COLUMN()),"")</f>
        <v>0</v>
      </c>
      <c r="I481">
        <f>IFERROR(INDEX(装备库!$A$2:$Y$1047,MATCH(ROW()-1,装备库!$AO$2:$AO$1046,0),COLUMN()),"")</f>
        <v>0</v>
      </c>
      <c r="J481">
        <f>IFERROR(INDEX(装备库!$A$2:$Y$1047,MATCH(ROW()-1,装备库!$AO$2:$AO$1046,0),COLUMN()),"")</f>
        <v>2714</v>
      </c>
      <c r="K481">
        <f>IFERROR(INDEX(装备库!$A$2:$Y$1047,MATCH(ROW()-1,装备库!$AO$2:$AO$1046,0),COLUMN()),"")</f>
        <v>0</v>
      </c>
      <c r="L481">
        <f>IFERROR(INDEX(装备库!$A$2:$Y$1047,MATCH(ROW()-1,装备库!$AO$2:$AO$1046,0),COLUMN()),"")</f>
        <v>0</v>
      </c>
      <c r="M481">
        <f>IFERROR(INDEX(装备库!$A$2:$Y$1047,MATCH(ROW()-1,装备库!$AO$2:$AO$1046,0),COLUMN()),"")</f>
        <v>0</v>
      </c>
      <c r="N481">
        <f>IFERROR(INDEX(装备库!$A$2:$Y$1047,MATCH(ROW()-1,装备库!$AO$2:$AO$1046,0),COLUMN()),"")</f>
        <v>0</v>
      </c>
      <c r="O481">
        <f>IFERROR(INDEX(装备库!$A$2:$Y$1047,MATCH(ROW()-1,装备库!$AO$2:$AO$1046,0),COLUMN()),"")</f>
        <v>0</v>
      </c>
      <c r="P481">
        <f>IFERROR(INDEX(装备库!$A$2:$Y$1047,MATCH(ROW()-1,装备库!$AO$2:$AO$1046,0),COLUMN()),"")</f>
        <v>0</v>
      </c>
      <c r="Q481">
        <f>IFERROR(INDEX(装备库!$A$2:$Y$1047,MATCH(ROW()-1,装备库!$AO$2:$AO$1046,0),COLUMN()),"")</f>
        <v>1</v>
      </c>
      <c r="R481">
        <f>IFERROR(INDEX(装备库!$A$2:$Y$1047,MATCH(ROW()-1,装备库!$AO$2:$AO$1046,0),COLUMN()),"")</f>
        <v>0</v>
      </c>
      <c r="S481">
        <f>IFERROR(INDEX(装备库!$A$2:$Y$1047,MATCH(ROW()-1,装备库!$AO$2:$AO$1046,0),COLUMN()),"")</f>
        <v>0</v>
      </c>
      <c r="T481">
        <f>IFERROR(INDEX(装备库!$A$2:$Y$1047,MATCH(ROW()-1,装备库!$AO$2:$AO$1046,0),COLUMN()),"")</f>
        <v>1</v>
      </c>
      <c r="U481">
        <f>IFERROR(INDEX(装备库!$A$2:$Y$1047,MATCH(ROW()-1,装备库!$AO$2:$AO$1046,0),COLUMN()),"")</f>
        <v>0</v>
      </c>
      <c r="V481">
        <f>IFERROR(INDEX(装备库!$A$2:$Y$1047,MATCH(ROW()-1,装备库!$AO$2:$AO$1046,0),COLUMN()),"")</f>
        <v>0</v>
      </c>
      <c r="W481" t="str">
        <f>IFERROR(INDEX(装备库!$A$2:$Y$1047,MATCH(ROW()-1,装备库!$AO$2:$AO$1046,0),COLUMN()),"")</f>
        <v>会招</v>
      </c>
      <c r="X481">
        <f>IFERROR(INDEX(装备库!$A$2:$Y$1047,MATCH(ROW()-1,装备库!$AO$2:$AO$1046,0),COLUMN()),"")</f>
        <v>6</v>
      </c>
      <c r="Y481" t="str">
        <f>IFERROR(INDEX(装备库!$A$2:$Y$1047,MATCH(ROW()-1,装备库!$AO$2:$AO$1046,0),COLUMN()),"")</f>
        <v>世界BOSS</v>
      </c>
    </row>
    <row r="482" spans="1:25" x14ac:dyDescent="0.35">
      <c r="A482" t="str">
        <f>IFERROR(INDEX(装备库!$A$2:$Y$1047,MATCH(ROW()-1,装备库!$AO$2:$AO$1046,0),COLUMN()),"")</f>
        <v>鞋子</v>
      </c>
      <c r="B482" t="str">
        <f>IFERROR(INDEX(装备库!$A$2:$Y$1047,MATCH(ROW()-1,装备库!$AO$2:$AO$1046,0),COLUMN()),"")</f>
        <v>温刃靴</v>
      </c>
      <c r="C482">
        <f>IFERROR(INDEX(装备库!$A$2:$Y$1047,MATCH(ROW()-1,装备库!$AO$2:$AO$1046,0),COLUMN()),"")</f>
        <v>12450</v>
      </c>
      <c r="D482" t="str">
        <f>IFERROR(INDEX(装备库!$A$2:$Y$1047,MATCH(ROW()-1,装备库!$AO$2:$AO$1046,0),COLUMN()),"")</f>
        <v>温刃靴(12450会无)</v>
      </c>
      <c r="E482">
        <f>IFERROR(INDEX(装备库!$A$2:$Y$1047,MATCH(ROW()-1,装备库!$AO$2:$AO$1046,0),COLUMN()),"")</f>
        <v>609</v>
      </c>
      <c r="F482">
        <f>IFERROR(INDEX(装备库!$A$2:$Y$1047,MATCH(ROW()-1,装备库!$AO$2:$AO$1046,0),COLUMN()),"")</f>
        <v>987</v>
      </c>
      <c r="G482">
        <f>IFERROR(INDEX(装备库!$A$2:$Y$1047,MATCH(ROW()-1,装备库!$AO$2:$AO$1046,0),COLUMN()),"")</f>
        <v>3053</v>
      </c>
      <c r="H482">
        <f>IFERROR(INDEX(装备库!$A$2:$Y$1047,MATCH(ROW()-1,装备库!$AO$2:$AO$1046,0),COLUMN()),"")</f>
        <v>0</v>
      </c>
      <c r="I482">
        <f>IFERROR(INDEX(装备库!$A$2:$Y$1047,MATCH(ROW()-1,装备库!$AO$2:$AO$1046,0),COLUMN()),"")</f>
        <v>0</v>
      </c>
      <c r="J482">
        <f>IFERROR(INDEX(装备库!$A$2:$Y$1047,MATCH(ROW()-1,装备库!$AO$2:$AO$1046,0),COLUMN()),"")</f>
        <v>0</v>
      </c>
      <c r="K482">
        <f>IFERROR(INDEX(装备库!$A$2:$Y$1047,MATCH(ROW()-1,装备库!$AO$2:$AO$1046,0),COLUMN()),"")</f>
        <v>2714</v>
      </c>
      <c r="L482">
        <f>IFERROR(INDEX(装备库!$A$2:$Y$1047,MATCH(ROW()-1,装备库!$AO$2:$AO$1046,0),COLUMN()),"")</f>
        <v>0</v>
      </c>
      <c r="M482">
        <f>IFERROR(INDEX(装备库!$A$2:$Y$1047,MATCH(ROW()-1,装备库!$AO$2:$AO$1046,0),COLUMN()),"")</f>
        <v>0</v>
      </c>
      <c r="N482">
        <f>IFERROR(INDEX(装备库!$A$2:$Y$1047,MATCH(ROW()-1,装备库!$AO$2:$AO$1046,0),COLUMN()),"")</f>
        <v>0</v>
      </c>
      <c r="O482">
        <f>IFERROR(INDEX(装备库!$A$2:$Y$1047,MATCH(ROW()-1,装备库!$AO$2:$AO$1046,0),COLUMN()),"")</f>
        <v>1</v>
      </c>
      <c r="P482">
        <f>IFERROR(INDEX(装备库!$A$2:$Y$1047,MATCH(ROW()-1,装备库!$AO$2:$AO$1046,0),COLUMN()),"")</f>
        <v>0</v>
      </c>
      <c r="Q482">
        <f>IFERROR(INDEX(装备库!$A$2:$Y$1047,MATCH(ROW()-1,装备库!$AO$2:$AO$1046,0),COLUMN()),"")</f>
        <v>0</v>
      </c>
      <c r="R482">
        <f>IFERROR(INDEX(装备库!$A$2:$Y$1047,MATCH(ROW()-1,装备库!$AO$2:$AO$1046,0),COLUMN()),"")</f>
        <v>0</v>
      </c>
      <c r="S482">
        <f>IFERROR(INDEX(装备库!$A$2:$Y$1047,MATCH(ROW()-1,装备库!$AO$2:$AO$1046,0),COLUMN()),"")</f>
        <v>0</v>
      </c>
      <c r="T482">
        <f>IFERROR(INDEX(装备库!$A$2:$Y$1047,MATCH(ROW()-1,装备库!$AO$2:$AO$1046,0),COLUMN()),"")</f>
        <v>0</v>
      </c>
      <c r="U482">
        <f>IFERROR(INDEX(装备库!$A$2:$Y$1047,MATCH(ROW()-1,装备库!$AO$2:$AO$1046,0),COLUMN()),"")</f>
        <v>1</v>
      </c>
      <c r="V482">
        <f>IFERROR(INDEX(装备库!$A$2:$Y$1047,MATCH(ROW()-1,装备库!$AO$2:$AO$1046,0),COLUMN()),"")</f>
        <v>0</v>
      </c>
      <c r="W482" t="str">
        <f>IFERROR(INDEX(装备库!$A$2:$Y$1047,MATCH(ROW()-1,装备库!$AO$2:$AO$1046,0),COLUMN()),"")</f>
        <v>会无</v>
      </c>
      <c r="X482">
        <f>IFERROR(INDEX(装备库!$A$2:$Y$1047,MATCH(ROW()-1,装备库!$AO$2:$AO$1046,0),COLUMN()),"")</f>
        <v>6</v>
      </c>
      <c r="Y482" t="str">
        <f>IFERROR(INDEX(装备库!$A$2:$Y$1047,MATCH(ROW()-1,装备库!$AO$2:$AO$1046,0),COLUMN()),"")</f>
        <v>副本</v>
      </c>
    </row>
    <row r="483" spans="1:25" x14ac:dyDescent="0.35">
      <c r="A483" t="str">
        <f>IFERROR(INDEX(装备库!$A$2:$Y$1047,MATCH(ROW()-1,装备库!$AO$2:$AO$1046,0),COLUMN()),"")</f>
        <v>鞋子</v>
      </c>
      <c r="B483" t="str">
        <f>IFERROR(INDEX(装备库!$A$2:$Y$1047,MATCH(ROW()-1,装备库!$AO$2:$AO$1046,0),COLUMN()),"")</f>
        <v>雪舞靴</v>
      </c>
      <c r="C483">
        <f>IFERROR(INDEX(装备库!$A$2:$Y$1047,MATCH(ROW()-1,装备库!$AO$2:$AO$1046,0),COLUMN()),"")</f>
        <v>12600</v>
      </c>
      <c r="D483" t="str">
        <f>IFERROR(INDEX(装备库!$A$2:$Y$1047,MATCH(ROW()-1,装备库!$AO$2:$AO$1046,0),COLUMN()),"")</f>
        <v>雪舞靴(12600招破)</v>
      </c>
      <c r="E483">
        <f>IFERROR(INDEX(装备库!$A$2:$Y$1047,MATCH(ROW()-1,装备库!$AO$2:$AO$1046,0),COLUMN()),"")</f>
        <v>616</v>
      </c>
      <c r="F483">
        <f>IFERROR(INDEX(装备库!$A$2:$Y$1047,MATCH(ROW()-1,装备库!$AO$2:$AO$1046,0),COLUMN()),"")</f>
        <v>999</v>
      </c>
      <c r="G483">
        <f>IFERROR(INDEX(装备库!$A$2:$Y$1047,MATCH(ROW()-1,装备库!$AO$2:$AO$1046,0),COLUMN()),"")</f>
        <v>0</v>
      </c>
      <c r="H483">
        <f>IFERROR(INDEX(装备库!$A$2:$Y$1047,MATCH(ROW()-1,装备库!$AO$2:$AO$1046,0),COLUMN()),"")</f>
        <v>0</v>
      </c>
      <c r="I483">
        <f>IFERROR(INDEX(装备库!$A$2:$Y$1047,MATCH(ROW()-1,装备库!$AO$2:$AO$1046,0),COLUMN()),"")</f>
        <v>3090</v>
      </c>
      <c r="J483">
        <f>IFERROR(INDEX(装备库!$A$2:$Y$1047,MATCH(ROW()-1,装备库!$AO$2:$AO$1046,0),COLUMN()),"")</f>
        <v>2747</v>
      </c>
      <c r="K483">
        <f>IFERROR(INDEX(装备库!$A$2:$Y$1047,MATCH(ROW()-1,装备库!$AO$2:$AO$1046,0),COLUMN()),"")</f>
        <v>0</v>
      </c>
      <c r="L483">
        <f>IFERROR(INDEX(装备库!$A$2:$Y$1047,MATCH(ROW()-1,装备库!$AO$2:$AO$1046,0),COLUMN()),"")</f>
        <v>0</v>
      </c>
      <c r="M483">
        <f>IFERROR(INDEX(装备库!$A$2:$Y$1047,MATCH(ROW()-1,装备库!$AO$2:$AO$1046,0),COLUMN()),"")</f>
        <v>0</v>
      </c>
      <c r="N483">
        <f>IFERROR(INDEX(装备库!$A$2:$Y$1047,MATCH(ROW()-1,装备库!$AO$2:$AO$1046,0),COLUMN()),"")</f>
        <v>0</v>
      </c>
      <c r="O483">
        <f>IFERROR(INDEX(装备库!$A$2:$Y$1047,MATCH(ROW()-1,装备库!$AO$2:$AO$1046,0),COLUMN()),"")</f>
        <v>0</v>
      </c>
      <c r="P483">
        <f>IFERROR(INDEX(装备库!$A$2:$Y$1047,MATCH(ROW()-1,装备库!$AO$2:$AO$1046,0),COLUMN()),"")</f>
        <v>0</v>
      </c>
      <c r="Q483">
        <f>IFERROR(INDEX(装备库!$A$2:$Y$1047,MATCH(ROW()-1,装备库!$AO$2:$AO$1046,0),COLUMN()),"")</f>
        <v>1</v>
      </c>
      <c r="R483">
        <f>IFERROR(INDEX(装备库!$A$2:$Y$1047,MATCH(ROW()-1,装备库!$AO$2:$AO$1046,0),COLUMN()),"")</f>
        <v>0</v>
      </c>
      <c r="S483">
        <f>IFERROR(INDEX(装备库!$A$2:$Y$1047,MATCH(ROW()-1,装备库!$AO$2:$AO$1046,0),COLUMN()),"")</f>
        <v>0</v>
      </c>
      <c r="T483">
        <f>IFERROR(INDEX(装备库!$A$2:$Y$1047,MATCH(ROW()-1,装备库!$AO$2:$AO$1046,0),COLUMN()),"")</f>
        <v>1</v>
      </c>
      <c r="U483">
        <f>IFERROR(INDEX(装备库!$A$2:$Y$1047,MATCH(ROW()-1,装备库!$AO$2:$AO$1046,0),COLUMN()),"")</f>
        <v>0</v>
      </c>
      <c r="V483">
        <f>IFERROR(INDEX(装备库!$A$2:$Y$1047,MATCH(ROW()-1,装备库!$AO$2:$AO$1046,0),COLUMN()),"")</f>
        <v>0</v>
      </c>
      <c r="W483" t="str">
        <f>IFERROR(INDEX(装备库!$A$2:$Y$1047,MATCH(ROW()-1,装备库!$AO$2:$AO$1046,0),COLUMN()),"")</f>
        <v>招破</v>
      </c>
      <c r="X483">
        <f>IFERROR(INDEX(装备库!$A$2:$Y$1047,MATCH(ROW()-1,装备库!$AO$2:$AO$1046,0),COLUMN()),"")</f>
        <v>6</v>
      </c>
      <c r="Y483" t="str">
        <f>IFERROR(INDEX(装备库!$A$2:$Y$1047,MATCH(ROW()-1,装备库!$AO$2:$AO$1046,0),COLUMN()),"")</f>
        <v>生活技能</v>
      </c>
    </row>
    <row r="484" spans="1:25" x14ac:dyDescent="0.35">
      <c r="A484" t="str">
        <f>IFERROR(INDEX(装备库!$A$2:$Y$1047,MATCH(ROW()-1,装备库!$AO$2:$AO$1046,0),COLUMN()),"")</f>
        <v>腰带</v>
      </c>
      <c r="B484" t="str">
        <f>IFERROR(INDEX(装备库!$A$2:$Y$1047,MATCH(ROW()-1,装备库!$AO$2:$AO$1046,0),COLUMN()),"")</f>
        <v>浅梦腰带</v>
      </c>
      <c r="C484">
        <f>IFERROR(INDEX(装备库!$A$2:$Y$1047,MATCH(ROW()-1,装备库!$AO$2:$AO$1046,0),COLUMN()),"")</f>
        <v>8000</v>
      </c>
      <c r="D484" t="str">
        <f>IFERROR(INDEX(装备库!$A$2:$Y$1047,MATCH(ROW()-1,装备库!$AO$2:$AO$1046,0),COLUMN()),"")</f>
        <v>浅梦腰带(8000速无)</v>
      </c>
      <c r="E484">
        <f>IFERROR(INDEX(装备库!$A$2:$Y$1047,MATCH(ROW()-1,装备库!$AO$2:$AO$1046,0),COLUMN()),"")</f>
        <v>391</v>
      </c>
      <c r="F484">
        <f>IFERROR(INDEX(装备库!$A$2:$Y$1047,MATCH(ROW()-1,装备库!$AO$2:$AO$1046,0),COLUMN()),"")</f>
        <v>634</v>
      </c>
      <c r="G484">
        <f>IFERROR(INDEX(装备库!$A$2:$Y$1047,MATCH(ROW()-1,装备库!$AO$2:$AO$1046,0),COLUMN()),"")</f>
        <v>0</v>
      </c>
      <c r="H484">
        <f>IFERROR(INDEX(装备库!$A$2:$Y$1047,MATCH(ROW()-1,装备库!$AO$2:$AO$1046,0),COLUMN()),"")</f>
        <v>0</v>
      </c>
      <c r="I484">
        <f>IFERROR(INDEX(装备库!$A$2:$Y$1047,MATCH(ROW()-1,装备库!$AO$2:$AO$1046,0),COLUMN()),"")</f>
        <v>0</v>
      </c>
      <c r="J484">
        <f>IFERROR(INDEX(装备库!$A$2:$Y$1047,MATCH(ROW()-1,装备库!$AO$2:$AO$1046,0),COLUMN()),"")</f>
        <v>0</v>
      </c>
      <c r="K484">
        <f>IFERROR(INDEX(装备库!$A$2:$Y$1047,MATCH(ROW()-1,装备库!$AO$2:$AO$1046,0),COLUMN()),"")</f>
        <v>1744</v>
      </c>
      <c r="L484">
        <f>IFERROR(INDEX(装备库!$A$2:$Y$1047,MATCH(ROW()-1,装备库!$AO$2:$AO$1046,0),COLUMN()),"")</f>
        <v>1962</v>
      </c>
      <c r="M484">
        <f>IFERROR(INDEX(装备库!$A$2:$Y$1047,MATCH(ROW()-1,装备库!$AO$2:$AO$1046,0),COLUMN()),"")</f>
        <v>0</v>
      </c>
      <c r="N484">
        <f>IFERROR(INDEX(装备库!$A$2:$Y$1047,MATCH(ROW()-1,装备库!$AO$2:$AO$1046,0),COLUMN()),"")</f>
        <v>0</v>
      </c>
      <c r="O484">
        <f>IFERROR(INDEX(装备库!$A$2:$Y$1047,MATCH(ROW()-1,装备库!$AO$2:$AO$1046,0),COLUMN()),"")</f>
        <v>1</v>
      </c>
      <c r="P484">
        <f>IFERROR(INDEX(装备库!$A$2:$Y$1047,MATCH(ROW()-1,装备库!$AO$2:$AO$1046,0),COLUMN()),"")</f>
        <v>1</v>
      </c>
      <c r="Q484">
        <f>IFERROR(INDEX(装备库!$A$2:$Y$1047,MATCH(ROW()-1,装备库!$AO$2:$AO$1046,0),COLUMN()),"")</f>
        <v>0</v>
      </c>
      <c r="R484">
        <f>IFERROR(INDEX(装备库!$A$2:$Y$1047,MATCH(ROW()-1,装备库!$AO$2:$AO$1046,0),COLUMN()),"")</f>
        <v>0</v>
      </c>
      <c r="S484">
        <f>IFERROR(INDEX(装备库!$A$2:$Y$1047,MATCH(ROW()-1,装备库!$AO$2:$AO$1046,0),COLUMN()),"")</f>
        <v>0</v>
      </c>
      <c r="T484">
        <f>IFERROR(INDEX(装备库!$A$2:$Y$1047,MATCH(ROW()-1,装备库!$AO$2:$AO$1046,0),COLUMN()),"")</f>
        <v>0</v>
      </c>
      <c r="U484">
        <f>IFERROR(INDEX(装备库!$A$2:$Y$1047,MATCH(ROW()-1,装备库!$AO$2:$AO$1046,0),COLUMN()),"")</f>
        <v>0</v>
      </c>
      <c r="V484">
        <f>IFERROR(INDEX(装备库!$A$2:$Y$1047,MATCH(ROW()-1,装备库!$AO$2:$AO$1046,0),COLUMN()),"")</f>
        <v>0</v>
      </c>
      <c r="W484" t="str">
        <f>IFERROR(INDEX(装备库!$A$2:$Y$1047,MATCH(ROW()-1,装备库!$AO$2:$AO$1046,0),COLUMN()),"")</f>
        <v>速无</v>
      </c>
      <c r="X484">
        <f>IFERROR(INDEX(装备库!$A$2:$Y$1047,MATCH(ROW()-1,装备库!$AO$2:$AO$1046,0),COLUMN()),"")</f>
        <v>6</v>
      </c>
      <c r="Y484" t="str">
        <f>IFERROR(INDEX(装备库!$A$2:$Y$1047,MATCH(ROW()-1,装备库!$AO$2:$AO$1046,0),COLUMN()),"")</f>
        <v>副本</v>
      </c>
    </row>
    <row r="485" spans="1:25" x14ac:dyDescent="0.35">
      <c r="A485" t="str">
        <f>IFERROR(INDEX(装备库!$A$2:$Y$1047,MATCH(ROW()-1,装备库!$AO$2:$AO$1046,0),COLUMN()),"")</f>
        <v>腰带</v>
      </c>
      <c r="B485" t="str">
        <f>IFERROR(INDEX(装备库!$A$2:$Y$1047,MATCH(ROW()-1,装备库!$AO$2:$AO$1046,0),COLUMN()),"")</f>
        <v>崇月腰带</v>
      </c>
      <c r="C485">
        <f>IFERROR(INDEX(装备库!$A$2:$Y$1047,MATCH(ROW()-1,装备库!$AO$2:$AO$1046,0),COLUMN()),"")</f>
        <v>8100</v>
      </c>
      <c r="D485" t="str">
        <f>IFERROR(INDEX(装备库!$A$2:$Y$1047,MATCH(ROW()-1,装备库!$AO$2:$AO$1046,0),COLUMN()),"")</f>
        <v>崇月腰带(8100招破)</v>
      </c>
      <c r="E485">
        <f>IFERROR(INDEX(装备库!$A$2:$Y$1047,MATCH(ROW()-1,装备库!$AO$2:$AO$1046,0),COLUMN()),"")</f>
        <v>396</v>
      </c>
      <c r="F485">
        <f>IFERROR(INDEX(装备库!$A$2:$Y$1047,MATCH(ROW()-1,装备库!$AO$2:$AO$1046,0),COLUMN()),"")</f>
        <v>642</v>
      </c>
      <c r="G485">
        <f>IFERROR(INDEX(装备库!$A$2:$Y$1047,MATCH(ROW()-1,装备库!$AO$2:$AO$1046,0),COLUMN()),"")</f>
        <v>0</v>
      </c>
      <c r="H485">
        <f>IFERROR(INDEX(装备库!$A$2:$Y$1047,MATCH(ROW()-1,装备库!$AO$2:$AO$1046,0),COLUMN()),"")</f>
        <v>0</v>
      </c>
      <c r="I485">
        <f>IFERROR(INDEX(装备库!$A$2:$Y$1047,MATCH(ROW()-1,装备库!$AO$2:$AO$1046,0),COLUMN()),"")</f>
        <v>1987</v>
      </c>
      <c r="J485">
        <f>IFERROR(INDEX(装备库!$A$2:$Y$1047,MATCH(ROW()-1,装备库!$AO$2:$AO$1046,0),COLUMN()),"")</f>
        <v>1766</v>
      </c>
      <c r="K485">
        <f>IFERROR(INDEX(装备库!$A$2:$Y$1047,MATCH(ROW()-1,装备库!$AO$2:$AO$1046,0),COLUMN()),"")</f>
        <v>0</v>
      </c>
      <c r="L485">
        <f>IFERROR(INDEX(装备库!$A$2:$Y$1047,MATCH(ROW()-1,装备库!$AO$2:$AO$1046,0),COLUMN()),"")</f>
        <v>0</v>
      </c>
      <c r="M485">
        <f>IFERROR(INDEX(装备库!$A$2:$Y$1047,MATCH(ROW()-1,装备库!$AO$2:$AO$1046,0),COLUMN()),"")</f>
        <v>0</v>
      </c>
      <c r="N485">
        <f>IFERROR(INDEX(装备库!$A$2:$Y$1047,MATCH(ROW()-1,装备库!$AO$2:$AO$1046,0),COLUMN()),"")</f>
        <v>0</v>
      </c>
      <c r="O485">
        <f>IFERROR(INDEX(装备库!$A$2:$Y$1047,MATCH(ROW()-1,装备库!$AO$2:$AO$1046,0),COLUMN()),"")</f>
        <v>0</v>
      </c>
      <c r="P485">
        <f>IFERROR(INDEX(装备库!$A$2:$Y$1047,MATCH(ROW()-1,装备库!$AO$2:$AO$1046,0),COLUMN()),"")</f>
        <v>0</v>
      </c>
      <c r="Q485">
        <f>IFERROR(INDEX(装备库!$A$2:$Y$1047,MATCH(ROW()-1,装备库!$AO$2:$AO$1046,0),COLUMN()),"")</f>
        <v>0</v>
      </c>
      <c r="R485">
        <f>IFERROR(INDEX(装备库!$A$2:$Y$1047,MATCH(ROW()-1,装备库!$AO$2:$AO$1046,0),COLUMN()),"")</f>
        <v>0</v>
      </c>
      <c r="S485">
        <f>IFERROR(INDEX(装备库!$A$2:$Y$1047,MATCH(ROW()-1,装备库!$AO$2:$AO$1046,0),COLUMN()),"")</f>
        <v>0</v>
      </c>
      <c r="T485">
        <f>IFERROR(INDEX(装备库!$A$2:$Y$1047,MATCH(ROW()-1,装备库!$AO$2:$AO$1046,0),COLUMN()),"")</f>
        <v>0</v>
      </c>
      <c r="U485">
        <f>IFERROR(INDEX(装备库!$A$2:$Y$1047,MATCH(ROW()-1,装备库!$AO$2:$AO$1046,0),COLUMN()),"")</f>
        <v>0</v>
      </c>
      <c r="V485">
        <f>IFERROR(INDEX(装备库!$A$2:$Y$1047,MATCH(ROW()-1,装备库!$AO$2:$AO$1046,0),COLUMN()),"")</f>
        <v>0</v>
      </c>
      <c r="W485" t="str">
        <f>IFERROR(INDEX(装备库!$A$2:$Y$1047,MATCH(ROW()-1,装备库!$AO$2:$AO$1046,0),COLUMN()),"")</f>
        <v>招破</v>
      </c>
      <c r="X485">
        <f>IFERROR(INDEX(装备库!$A$2:$Y$1047,MATCH(ROW()-1,装备库!$AO$2:$AO$1046,0),COLUMN()),"")</f>
        <v>6</v>
      </c>
      <c r="Y485" t="str">
        <f>IFERROR(INDEX(装备库!$A$2:$Y$1047,MATCH(ROW()-1,装备库!$AO$2:$AO$1046,0),COLUMN()),"")</f>
        <v>任务</v>
      </c>
    </row>
    <row r="486" spans="1:25" x14ac:dyDescent="0.35">
      <c r="A486" t="str">
        <f>IFERROR(INDEX(装备库!$A$2:$Y$1047,MATCH(ROW()-1,装备库!$AO$2:$AO$1046,0),COLUMN()),"")</f>
        <v>腰带</v>
      </c>
      <c r="B486" t="str">
        <f>IFERROR(INDEX(装备库!$A$2:$Y$1047,MATCH(ROW()-1,装备库!$AO$2:$AO$1046,0),COLUMN()),"")</f>
        <v>画楼带</v>
      </c>
      <c r="C486">
        <f>IFERROR(INDEX(装备库!$A$2:$Y$1047,MATCH(ROW()-1,装备库!$AO$2:$AO$1046,0),COLUMN()),"")</f>
        <v>8100</v>
      </c>
      <c r="D486" t="str">
        <f>IFERROR(INDEX(装备库!$A$2:$Y$1047,MATCH(ROW()-1,装备库!$AO$2:$AO$1046,0),COLUMN()),"")</f>
        <v>画楼带(8100招破)</v>
      </c>
      <c r="E486">
        <f>IFERROR(INDEX(装备库!$A$2:$Y$1047,MATCH(ROW()-1,装备库!$AO$2:$AO$1046,0),COLUMN()),"")</f>
        <v>396</v>
      </c>
      <c r="F486">
        <f>IFERROR(INDEX(装备库!$A$2:$Y$1047,MATCH(ROW()-1,装备库!$AO$2:$AO$1046,0),COLUMN()),"")</f>
        <v>642</v>
      </c>
      <c r="G486">
        <f>IFERROR(INDEX(装备库!$A$2:$Y$1047,MATCH(ROW()-1,装备库!$AO$2:$AO$1046,0),COLUMN()),"")</f>
        <v>0</v>
      </c>
      <c r="H486">
        <f>IFERROR(INDEX(装备库!$A$2:$Y$1047,MATCH(ROW()-1,装备库!$AO$2:$AO$1046,0),COLUMN()),"")</f>
        <v>0</v>
      </c>
      <c r="I486">
        <f>IFERROR(INDEX(装备库!$A$2:$Y$1047,MATCH(ROW()-1,装备库!$AO$2:$AO$1046,0),COLUMN()),"")</f>
        <v>1987</v>
      </c>
      <c r="J486">
        <f>IFERROR(INDEX(装备库!$A$2:$Y$1047,MATCH(ROW()-1,装备库!$AO$2:$AO$1046,0),COLUMN()),"")</f>
        <v>1766</v>
      </c>
      <c r="K486">
        <f>IFERROR(INDEX(装备库!$A$2:$Y$1047,MATCH(ROW()-1,装备库!$AO$2:$AO$1046,0),COLUMN()),"")</f>
        <v>0</v>
      </c>
      <c r="L486">
        <f>IFERROR(INDEX(装备库!$A$2:$Y$1047,MATCH(ROW()-1,装备库!$AO$2:$AO$1046,0),COLUMN()),"")</f>
        <v>0</v>
      </c>
      <c r="M486">
        <f>IFERROR(INDEX(装备库!$A$2:$Y$1047,MATCH(ROW()-1,装备库!$AO$2:$AO$1046,0),COLUMN()),"")</f>
        <v>0</v>
      </c>
      <c r="N486">
        <f>IFERROR(INDEX(装备库!$A$2:$Y$1047,MATCH(ROW()-1,装备库!$AO$2:$AO$1046,0),COLUMN()),"")</f>
        <v>0</v>
      </c>
      <c r="O486">
        <f>IFERROR(INDEX(装备库!$A$2:$Y$1047,MATCH(ROW()-1,装备库!$AO$2:$AO$1046,0),COLUMN()),"")</f>
        <v>1</v>
      </c>
      <c r="P486">
        <f>IFERROR(INDEX(装备库!$A$2:$Y$1047,MATCH(ROW()-1,装备库!$AO$2:$AO$1046,0),COLUMN()),"")</f>
        <v>0</v>
      </c>
      <c r="Q486">
        <f>IFERROR(INDEX(装备库!$A$2:$Y$1047,MATCH(ROW()-1,装备库!$AO$2:$AO$1046,0),COLUMN()),"")</f>
        <v>0</v>
      </c>
      <c r="R486">
        <f>IFERROR(INDEX(装备库!$A$2:$Y$1047,MATCH(ROW()-1,装备库!$AO$2:$AO$1046,0),COLUMN()),"")</f>
        <v>0</v>
      </c>
      <c r="S486">
        <f>IFERROR(INDEX(装备库!$A$2:$Y$1047,MATCH(ROW()-1,装备库!$AO$2:$AO$1046,0),COLUMN()),"")</f>
        <v>1</v>
      </c>
      <c r="T486">
        <f>IFERROR(INDEX(装备库!$A$2:$Y$1047,MATCH(ROW()-1,装备库!$AO$2:$AO$1046,0),COLUMN()),"")</f>
        <v>0</v>
      </c>
      <c r="U486">
        <f>IFERROR(INDEX(装备库!$A$2:$Y$1047,MATCH(ROW()-1,装备库!$AO$2:$AO$1046,0),COLUMN()),"")</f>
        <v>0</v>
      </c>
      <c r="V486">
        <f>IFERROR(INDEX(装备库!$A$2:$Y$1047,MATCH(ROW()-1,装备库!$AO$2:$AO$1046,0),COLUMN()),"")</f>
        <v>0</v>
      </c>
      <c r="W486" t="str">
        <f>IFERROR(INDEX(装备库!$A$2:$Y$1047,MATCH(ROW()-1,装备库!$AO$2:$AO$1046,0),COLUMN()),"")</f>
        <v>招破</v>
      </c>
      <c r="X486">
        <f>IFERROR(INDEX(装备库!$A$2:$Y$1047,MATCH(ROW()-1,装备库!$AO$2:$AO$1046,0),COLUMN()),"")</f>
        <v>6</v>
      </c>
      <c r="Y486" t="str">
        <f>IFERROR(INDEX(装备库!$A$2:$Y$1047,MATCH(ROW()-1,装备库!$AO$2:$AO$1046,0),COLUMN()),"")</f>
        <v>任务</v>
      </c>
    </row>
    <row r="487" spans="1:25" x14ac:dyDescent="0.35">
      <c r="A487" t="str">
        <f>IFERROR(INDEX(装备库!$A$2:$Y$1047,MATCH(ROW()-1,装备库!$AO$2:$AO$1046,0),COLUMN()),"")</f>
        <v>腰带</v>
      </c>
      <c r="B487" t="str">
        <f>IFERROR(INDEX(装备库!$A$2:$Y$1047,MATCH(ROW()-1,装备库!$AO$2:$AO$1046,0),COLUMN()),"")</f>
        <v>临岳腰带</v>
      </c>
      <c r="C487">
        <f>IFERROR(INDEX(装备库!$A$2:$Y$1047,MATCH(ROW()-1,装备库!$AO$2:$AO$1046,0),COLUMN()),"")</f>
        <v>8150</v>
      </c>
      <c r="D487" t="str">
        <f>IFERROR(INDEX(装备库!$A$2:$Y$1047,MATCH(ROW()-1,装备库!$AO$2:$AO$1046,0),COLUMN()),"")</f>
        <v>临岳腰带(8150破无)</v>
      </c>
      <c r="E487">
        <f>IFERROR(INDEX(装备库!$A$2:$Y$1047,MATCH(ROW()-1,装备库!$AO$2:$AO$1046,0),COLUMN()),"")</f>
        <v>398</v>
      </c>
      <c r="F487">
        <f>IFERROR(INDEX(装备库!$A$2:$Y$1047,MATCH(ROW()-1,装备库!$AO$2:$AO$1046,0),COLUMN()),"")</f>
        <v>646</v>
      </c>
      <c r="G487">
        <f>IFERROR(INDEX(装备库!$A$2:$Y$1047,MATCH(ROW()-1,装备库!$AO$2:$AO$1046,0),COLUMN()),"")</f>
        <v>0</v>
      </c>
      <c r="H487">
        <f>IFERROR(INDEX(装备库!$A$2:$Y$1047,MATCH(ROW()-1,装备库!$AO$2:$AO$1046,0),COLUMN()),"")</f>
        <v>0</v>
      </c>
      <c r="I487">
        <f>IFERROR(INDEX(装备库!$A$2:$Y$1047,MATCH(ROW()-1,装备库!$AO$2:$AO$1046,0),COLUMN()),"")</f>
        <v>1999</v>
      </c>
      <c r="J487">
        <f>IFERROR(INDEX(装备库!$A$2:$Y$1047,MATCH(ROW()-1,装备库!$AO$2:$AO$1046,0),COLUMN()),"")</f>
        <v>0</v>
      </c>
      <c r="K487">
        <f>IFERROR(INDEX(装备库!$A$2:$Y$1047,MATCH(ROW()-1,装备库!$AO$2:$AO$1046,0),COLUMN()),"")</f>
        <v>1777</v>
      </c>
      <c r="L487">
        <f>IFERROR(INDEX(装备库!$A$2:$Y$1047,MATCH(ROW()-1,装备库!$AO$2:$AO$1046,0),COLUMN()),"")</f>
        <v>0</v>
      </c>
      <c r="M487">
        <f>IFERROR(INDEX(装备库!$A$2:$Y$1047,MATCH(ROW()-1,装备库!$AO$2:$AO$1046,0),COLUMN()),"")</f>
        <v>0</v>
      </c>
      <c r="N487">
        <f>IFERROR(INDEX(装备库!$A$2:$Y$1047,MATCH(ROW()-1,装备库!$AO$2:$AO$1046,0),COLUMN()),"")</f>
        <v>0</v>
      </c>
      <c r="O487">
        <f>IFERROR(INDEX(装备库!$A$2:$Y$1047,MATCH(ROW()-1,装备库!$AO$2:$AO$1046,0),COLUMN()),"")</f>
        <v>0</v>
      </c>
      <c r="P487">
        <f>IFERROR(INDEX(装备库!$A$2:$Y$1047,MATCH(ROW()-1,装备库!$AO$2:$AO$1046,0),COLUMN()),"")</f>
        <v>0</v>
      </c>
      <c r="Q487">
        <f>IFERROR(INDEX(装备库!$A$2:$Y$1047,MATCH(ROW()-1,装备库!$AO$2:$AO$1046,0),COLUMN()),"")</f>
        <v>1</v>
      </c>
      <c r="R487">
        <f>IFERROR(INDEX(装备库!$A$2:$Y$1047,MATCH(ROW()-1,装备库!$AO$2:$AO$1046,0),COLUMN()),"")</f>
        <v>0</v>
      </c>
      <c r="S487">
        <f>IFERROR(INDEX(装备库!$A$2:$Y$1047,MATCH(ROW()-1,装备库!$AO$2:$AO$1046,0),COLUMN()),"")</f>
        <v>0</v>
      </c>
      <c r="T487">
        <f>IFERROR(INDEX(装备库!$A$2:$Y$1047,MATCH(ROW()-1,装备库!$AO$2:$AO$1046,0),COLUMN()),"")</f>
        <v>0</v>
      </c>
      <c r="U487">
        <f>IFERROR(INDEX(装备库!$A$2:$Y$1047,MATCH(ROW()-1,装备库!$AO$2:$AO$1046,0),COLUMN()),"")</f>
        <v>1</v>
      </c>
      <c r="V487">
        <f>IFERROR(INDEX(装备库!$A$2:$Y$1047,MATCH(ROW()-1,装备库!$AO$2:$AO$1046,0),COLUMN()),"")</f>
        <v>0</v>
      </c>
      <c r="W487" t="str">
        <f>IFERROR(INDEX(装备库!$A$2:$Y$1047,MATCH(ROW()-1,装备库!$AO$2:$AO$1046,0),COLUMN()),"")</f>
        <v>破无</v>
      </c>
      <c r="X487">
        <f>IFERROR(INDEX(装备库!$A$2:$Y$1047,MATCH(ROW()-1,装备库!$AO$2:$AO$1046,0),COLUMN()),"")</f>
        <v>6</v>
      </c>
      <c r="Y487" t="str">
        <f>IFERROR(INDEX(装备库!$A$2:$Y$1047,MATCH(ROW()-1,装备库!$AO$2:$AO$1046,0),COLUMN()),"")</f>
        <v>声望</v>
      </c>
    </row>
    <row r="488" spans="1:25" x14ac:dyDescent="0.35">
      <c r="A488" t="str">
        <f>IFERROR(INDEX(装备库!$A$2:$Y$1047,MATCH(ROW()-1,装备库!$AO$2:$AO$1046,0),COLUMN()),"")</f>
        <v>腰带</v>
      </c>
      <c r="B488" t="str">
        <f>IFERROR(INDEX(装备库!$A$2:$Y$1047,MATCH(ROW()-1,装备库!$AO$2:$AO$1046,0),COLUMN()),"")</f>
        <v>少雪护腰</v>
      </c>
      <c r="C488">
        <f>IFERROR(INDEX(装备库!$A$2:$Y$1047,MATCH(ROW()-1,装备库!$AO$2:$AO$1046,0),COLUMN()),"")</f>
        <v>8600</v>
      </c>
      <c r="D488" t="str">
        <f>IFERROR(INDEX(装备库!$A$2:$Y$1047,MATCH(ROW()-1,装备库!$AO$2:$AO$1046,0),COLUMN()),"")</f>
        <v>少雪护腰(8600力道纯会)</v>
      </c>
      <c r="E488">
        <f>IFERROR(INDEX(装备库!$A$2:$Y$1047,MATCH(ROW()-1,装备库!$AO$2:$AO$1046,0),COLUMN()),"")</f>
        <v>525</v>
      </c>
      <c r="F488">
        <f>IFERROR(INDEX(装备库!$A$2:$Y$1047,MATCH(ROW()-1,装备库!$AO$2:$AO$1046,0),COLUMN()),"")</f>
        <v>1049</v>
      </c>
      <c r="G488">
        <f>IFERROR(INDEX(装备库!$A$2:$Y$1047,MATCH(ROW()-1,装备库!$AO$2:$AO$1046,0),COLUMN()),"")</f>
        <v>2695</v>
      </c>
      <c r="H488">
        <f>IFERROR(INDEX(装备库!$A$2:$Y$1047,MATCH(ROW()-1,装备库!$AO$2:$AO$1046,0),COLUMN()),"")</f>
        <v>0</v>
      </c>
      <c r="I488">
        <f>IFERROR(INDEX(装备库!$A$2:$Y$1047,MATCH(ROW()-1,装备库!$AO$2:$AO$1046,0),COLUMN()),"")</f>
        <v>0</v>
      </c>
      <c r="J488">
        <f>IFERROR(INDEX(装备库!$A$2:$Y$1047,MATCH(ROW()-1,装备库!$AO$2:$AO$1046,0),COLUMN()),"")</f>
        <v>0</v>
      </c>
      <c r="K488">
        <f>IFERROR(INDEX(装备库!$A$2:$Y$1047,MATCH(ROW()-1,装备库!$AO$2:$AO$1046,0),COLUMN()),"")</f>
        <v>0</v>
      </c>
      <c r="L488">
        <f>IFERROR(INDEX(装备库!$A$2:$Y$1047,MATCH(ROW()-1,装备库!$AO$2:$AO$1046,0),COLUMN()),"")</f>
        <v>0</v>
      </c>
      <c r="M488">
        <f>IFERROR(INDEX(装备库!$A$2:$Y$1047,MATCH(ROW()-1,装备库!$AO$2:$AO$1046,0),COLUMN()),"")</f>
        <v>0</v>
      </c>
      <c r="N488">
        <f>IFERROR(INDEX(装备库!$A$2:$Y$1047,MATCH(ROW()-1,装备库!$AO$2:$AO$1046,0),COLUMN()),"")</f>
        <v>0</v>
      </c>
      <c r="O488">
        <f>IFERROR(INDEX(装备库!$A$2:$Y$1047,MATCH(ROW()-1,装备库!$AO$2:$AO$1046,0),COLUMN()),"")</f>
        <v>0</v>
      </c>
      <c r="P488">
        <f>IFERROR(INDEX(装备库!$A$2:$Y$1047,MATCH(ROW()-1,装备库!$AO$2:$AO$1046,0),COLUMN()),"")</f>
        <v>0</v>
      </c>
      <c r="Q488">
        <f>IFERROR(INDEX(装备库!$A$2:$Y$1047,MATCH(ROW()-1,装备库!$AO$2:$AO$1046,0),COLUMN()),"")</f>
        <v>1</v>
      </c>
      <c r="R488">
        <f>IFERROR(INDEX(装备库!$A$2:$Y$1047,MATCH(ROW()-1,装备库!$AO$2:$AO$1046,0),COLUMN()),"")</f>
        <v>0</v>
      </c>
      <c r="S488">
        <f>IFERROR(INDEX(装备库!$A$2:$Y$1047,MATCH(ROW()-1,装备库!$AO$2:$AO$1046,0),COLUMN()),"")</f>
        <v>0</v>
      </c>
      <c r="T488">
        <f>IFERROR(INDEX(装备库!$A$2:$Y$1047,MATCH(ROW()-1,装备库!$AO$2:$AO$1046,0),COLUMN()),"")</f>
        <v>1</v>
      </c>
      <c r="U488">
        <f>IFERROR(INDEX(装备库!$A$2:$Y$1047,MATCH(ROW()-1,装备库!$AO$2:$AO$1046,0),COLUMN()),"")</f>
        <v>0</v>
      </c>
      <c r="V488">
        <f>IFERROR(INDEX(装备库!$A$2:$Y$1047,MATCH(ROW()-1,装备库!$AO$2:$AO$1046,0),COLUMN()),"")</f>
        <v>0</v>
      </c>
      <c r="W488" t="str">
        <f>IFERROR(INDEX(装备库!$A$2:$Y$1047,MATCH(ROW()-1,装备库!$AO$2:$AO$1046,0),COLUMN()),"")</f>
        <v>力道纯会</v>
      </c>
      <c r="X488">
        <f>IFERROR(INDEX(装备库!$A$2:$Y$1047,MATCH(ROW()-1,装备库!$AO$2:$AO$1046,0),COLUMN()),"")</f>
        <v>6</v>
      </c>
      <c r="Y488" t="str">
        <f>IFERROR(INDEX(装备库!$A$2:$Y$1047,MATCH(ROW()-1,装备库!$AO$2:$AO$1046,0),COLUMN()),"")</f>
        <v>精英怪</v>
      </c>
    </row>
    <row r="489" spans="1:25" x14ac:dyDescent="0.35">
      <c r="A489" t="str">
        <f>IFERROR(INDEX(装备库!$A$2:$Y$1047,MATCH(ROW()-1,装备库!$AO$2:$AO$1046,0),COLUMN()),"")</f>
        <v>腰带</v>
      </c>
      <c r="B489" t="str">
        <f>IFERROR(INDEX(装备库!$A$2:$Y$1047,MATCH(ROW()-1,装备库!$AO$2:$AO$1046,0),COLUMN()),"")</f>
        <v>画楼带</v>
      </c>
      <c r="C489">
        <f>IFERROR(INDEX(装备库!$A$2:$Y$1047,MATCH(ROW()-1,装备库!$AO$2:$AO$1046,0),COLUMN()),"")</f>
        <v>8800</v>
      </c>
      <c r="D489" t="str">
        <f>IFERROR(INDEX(装备库!$A$2:$Y$1047,MATCH(ROW()-1,装备库!$AO$2:$AO$1046,0),COLUMN()),"")</f>
        <v>画楼带(8800招破)</v>
      </c>
      <c r="E489">
        <f>IFERROR(INDEX(装备库!$A$2:$Y$1047,MATCH(ROW()-1,装备库!$AO$2:$AO$1046,0),COLUMN()),"")</f>
        <v>430</v>
      </c>
      <c r="F489">
        <f>IFERROR(INDEX(装备库!$A$2:$Y$1047,MATCH(ROW()-1,装备库!$AO$2:$AO$1046,0),COLUMN()),"")</f>
        <v>698</v>
      </c>
      <c r="G489">
        <f>IFERROR(INDEX(装备库!$A$2:$Y$1047,MATCH(ROW()-1,装备库!$AO$2:$AO$1046,0),COLUMN()),"")</f>
        <v>0</v>
      </c>
      <c r="H489">
        <f>IFERROR(INDEX(装备库!$A$2:$Y$1047,MATCH(ROW()-1,装备库!$AO$2:$AO$1046,0),COLUMN()),"")</f>
        <v>0</v>
      </c>
      <c r="I489">
        <f>IFERROR(INDEX(装备库!$A$2:$Y$1047,MATCH(ROW()-1,装备库!$AO$2:$AO$1046,0),COLUMN()),"")</f>
        <v>2158</v>
      </c>
      <c r="J489">
        <f>IFERROR(INDEX(装备库!$A$2:$Y$1047,MATCH(ROW()-1,装备库!$AO$2:$AO$1046,0),COLUMN()),"")</f>
        <v>1918</v>
      </c>
      <c r="K489">
        <f>IFERROR(INDEX(装备库!$A$2:$Y$1047,MATCH(ROW()-1,装备库!$AO$2:$AO$1046,0),COLUMN()),"")</f>
        <v>0</v>
      </c>
      <c r="L489">
        <f>IFERROR(INDEX(装备库!$A$2:$Y$1047,MATCH(ROW()-1,装备库!$AO$2:$AO$1046,0),COLUMN()),"")</f>
        <v>0</v>
      </c>
      <c r="M489">
        <f>IFERROR(INDEX(装备库!$A$2:$Y$1047,MATCH(ROW()-1,装备库!$AO$2:$AO$1046,0),COLUMN()),"")</f>
        <v>0</v>
      </c>
      <c r="N489">
        <f>IFERROR(INDEX(装备库!$A$2:$Y$1047,MATCH(ROW()-1,装备库!$AO$2:$AO$1046,0),COLUMN()),"")</f>
        <v>0</v>
      </c>
      <c r="O489">
        <f>IFERROR(INDEX(装备库!$A$2:$Y$1047,MATCH(ROW()-1,装备库!$AO$2:$AO$1046,0),COLUMN()),"")</f>
        <v>1</v>
      </c>
      <c r="P489">
        <f>IFERROR(INDEX(装备库!$A$2:$Y$1047,MATCH(ROW()-1,装备库!$AO$2:$AO$1046,0),COLUMN()),"")</f>
        <v>0</v>
      </c>
      <c r="Q489">
        <f>IFERROR(INDEX(装备库!$A$2:$Y$1047,MATCH(ROW()-1,装备库!$AO$2:$AO$1046,0),COLUMN()),"")</f>
        <v>0</v>
      </c>
      <c r="R489">
        <f>IFERROR(INDEX(装备库!$A$2:$Y$1047,MATCH(ROW()-1,装备库!$AO$2:$AO$1046,0),COLUMN()),"")</f>
        <v>0</v>
      </c>
      <c r="S489">
        <f>IFERROR(INDEX(装备库!$A$2:$Y$1047,MATCH(ROW()-1,装备库!$AO$2:$AO$1046,0),COLUMN()),"")</f>
        <v>1</v>
      </c>
      <c r="T489">
        <f>IFERROR(INDEX(装备库!$A$2:$Y$1047,MATCH(ROW()-1,装备库!$AO$2:$AO$1046,0),COLUMN()),"")</f>
        <v>0</v>
      </c>
      <c r="U489">
        <f>IFERROR(INDEX(装备库!$A$2:$Y$1047,MATCH(ROW()-1,装备库!$AO$2:$AO$1046,0),COLUMN()),"")</f>
        <v>0</v>
      </c>
      <c r="V489">
        <f>IFERROR(INDEX(装备库!$A$2:$Y$1047,MATCH(ROW()-1,装备库!$AO$2:$AO$1046,0),COLUMN()),"")</f>
        <v>0</v>
      </c>
      <c r="W489" t="str">
        <f>IFERROR(INDEX(装备库!$A$2:$Y$1047,MATCH(ROW()-1,装备库!$AO$2:$AO$1046,0),COLUMN()),"")</f>
        <v>招破</v>
      </c>
      <c r="X489">
        <f>IFERROR(INDEX(装备库!$A$2:$Y$1047,MATCH(ROW()-1,装备库!$AO$2:$AO$1046,0),COLUMN()),"")</f>
        <v>6</v>
      </c>
      <c r="Y489" t="str">
        <f>IFERROR(INDEX(装备库!$A$2:$Y$1047,MATCH(ROW()-1,装备库!$AO$2:$AO$1046,0),COLUMN()),"")</f>
        <v>任务</v>
      </c>
    </row>
    <row r="490" spans="1:25" x14ac:dyDescent="0.35">
      <c r="A490" t="str">
        <f>IFERROR(INDEX(装备库!$A$2:$Y$1047,MATCH(ROW()-1,装备库!$AO$2:$AO$1046,0),COLUMN()),"")</f>
        <v>腰带</v>
      </c>
      <c r="B490" t="str">
        <f>IFERROR(INDEX(装备库!$A$2:$Y$1047,MATCH(ROW()-1,装备库!$AO$2:$AO$1046,0),COLUMN()),"")</f>
        <v>临岳腰带</v>
      </c>
      <c r="C490">
        <f>IFERROR(INDEX(装备库!$A$2:$Y$1047,MATCH(ROW()-1,装备库!$AO$2:$AO$1046,0),COLUMN()),"")</f>
        <v>8800</v>
      </c>
      <c r="D490" t="str">
        <f>IFERROR(INDEX(装备库!$A$2:$Y$1047,MATCH(ROW()-1,装备库!$AO$2:$AO$1046,0),COLUMN()),"")</f>
        <v>临岳腰带(8800破无)</v>
      </c>
      <c r="E490">
        <f>IFERROR(INDEX(装备库!$A$2:$Y$1047,MATCH(ROW()-1,装备库!$AO$2:$AO$1046,0),COLUMN()),"")</f>
        <v>430</v>
      </c>
      <c r="F490">
        <f>IFERROR(INDEX(装备库!$A$2:$Y$1047,MATCH(ROW()-1,装备库!$AO$2:$AO$1046,0),COLUMN()),"")</f>
        <v>698</v>
      </c>
      <c r="G490">
        <f>IFERROR(INDEX(装备库!$A$2:$Y$1047,MATCH(ROW()-1,装备库!$AO$2:$AO$1046,0),COLUMN()),"")</f>
        <v>0</v>
      </c>
      <c r="H490">
        <f>IFERROR(INDEX(装备库!$A$2:$Y$1047,MATCH(ROW()-1,装备库!$AO$2:$AO$1046,0),COLUMN()),"")</f>
        <v>0</v>
      </c>
      <c r="I490">
        <f>IFERROR(INDEX(装备库!$A$2:$Y$1047,MATCH(ROW()-1,装备库!$AO$2:$AO$1046,0),COLUMN()),"")</f>
        <v>2158</v>
      </c>
      <c r="J490">
        <f>IFERROR(INDEX(装备库!$A$2:$Y$1047,MATCH(ROW()-1,装备库!$AO$2:$AO$1046,0),COLUMN()),"")</f>
        <v>0</v>
      </c>
      <c r="K490">
        <f>IFERROR(INDEX(装备库!$A$2:$Y$1047,MATCH(ROW()-1,装备库!$AO$2:$AO$1046,0),COLUMN()),"")</f>
        <v>1918</v>
      </c>
      <c r="L490">
        <f>IFERROR(INDEX(装备库!$A$2:$Y$1047,MATCH(ROW()-1,装备库!$AO$2:$AO$1046,0),COLUMN()),"")</f>
        <v>0</v>
      </c>
      <c r="M490">
        <f>IFERROR(INDEX(装备库!$A$2:$Y$1047,MATCH(ROW()-1,装备库!$AO$2:$AO$1046,0),COLUMN()),"")</f>
        <v>0</v>
      </c>
      <c r="N490">
        <f>IFERROR(INDEX(装备库!$A$2:$Y$1047,MATCH(ROW()-1,装备库!$AO$2:$AO$1046,0),COLUMN()),"")</f>
        <v>0</v>
      </c>
      <c r="O490">
        <f>IFERROR(INDEX(装备库!$A$2:$Y$1047,MATCH(ROW()-1,装备库!$AO$2:$AO$1046,0),COLUMN()),"")</f>
        <v>0</v>
      </c>
      <c r="P490">
        <f>IFERROR(INDEX(装备库!$A$2:$Y$1047,MATCH(ROW()-1,装备库!$AO$2:$AO$1046,0),COLUMN()),"")</f>
        <v>0</v>
      </c>
      <c r="Q490">
        <f>IFERROR(INDEX(装备库!$A$2:$Y$1047,MATCH(ROW()-1,装备库!$AO$2:$AO$1046,0),COLUMN()),"")</f>
        <v>1</v>
      </c>
      <c r="R490">
        <f>IFERROR(INDEX(装备库!$A$2:$Y$1047,MATCH(ROW()-1,装备库!$AO$2:$AO$1046,0),COLUMN()),"")</f>
        <v>0</v>
      </c>
      <c r="S490">
        <f>IFERROR(INDEX(装备库!$A$2:$Y$1047,MATCH(ROW()-1,装备库!$AO$2:$AO$1046,0),COLUMN()),"")</f>
        <v>0</v>
      </c>
      <c r="T490">
        <f>IFERROR(INDEX(装备库!$A$2:$Y$1047,MATCH(ROW()-1,装备库!$AO$2:$AO$1046,0),COLUMN()),"")</f>
        <v>0</v>
      </c>
      <c r="U490">
        <f>IFERROR(INDEX(装备库!$A$2:$Y$1047,MATCH(ROW()-1,装备库!$AO$2:$AO$1046,0),COLUMN()),"")</f>
        <v>1</v>
      </c>
      <c r="V490">
        <f>IFERROR(INDEX(装备库!$A$2:$Y$1047,MATCH(ROW()-1,装备库!$AO$2:$AO$1046,0),COLUMN()),"")</f>
        <v>0</v>
      </c>
      <c r="W490" t="str">
        <f>IFERROR(INDEX(装备库!$A$2:$Y$1047,MATCH(ROW()-1,装备库!$AO$2:$AO$1046,0),COLUMN()),"")</f>
        <v>破无</v>
      </c>
      <c r="X490">
        <f>IFERROR(INDEX(装备库!$A$2:$Y$1047,MATCH(ROW()-1,装备库!$AO$2:$AO$1046,0),COLUMN()),"")</f>
        <v>6</v>
      </c>
      <c r="Y490" t="str">
        <f>IFERROR(INDEX(装备库!$A$2:$Y$1047,MATCH(ROW()-1,装备库!$AO$2:$AO$1046,0),COLUMN()),"")</f>
        <v>声望</v>
      </c>
    </row>
    <row r="491" spans="1:25" x14ac:dyDescent="0.35">
      <c r="A491" t="str">
        <f>IFERROR(INDEX(装备库!$A$2:$Y$1047,MATCH(ROW()-1,装备库!$AO$2:$AO$1046,0),COLUMN()),"")</f>
        <v>腰带</v>
      </c>
      <c r="B491" t="str">
        <f>IFERROR(INDEX(装备库!$A$2:$Y$1047,MATCH(ROW()-1,装备库!$AO$2:$AO$1046,0),COLUMN()),"")</f>
        <v>分石带</v>
      </c>
      <c r="C491">
        <f>IFERROR(INDEX(装备库!$A$2:$Y$1047,MATCH(ROW()-1,装备库!$AO$2:$AO$1046,0),COLUMN()),"")</f>
        <v>9100</v>
      </c>
      <c r="D491" t="str">
        <f>IFERROR(INDEX(装备库!$A$2:$Y$1047,MATCH(ROW()-1,装备库!$AO$2:$AO$1046,0),COLUMN()),"")</f>
        <v>分石带(9100招破)</v>
      </c>
      <c r="E491">
        <f>IFERROR(INDEX(装备库!$A$2:$Y$1047,MATCH(ROW()-1,装备库!$AO$2:$AO$1046,0),COLUMN()),"")</f>
        <v>445</v>
      </c>
      <c r="F491">
        <f>IFERROR(INDEX(装备库!$A$2:$Y$1047,MATCH(ROW()-1,装备库!$AO$2:$AO$1046,0),COLUMN()),"")</f>
        <v>722</v>
      </c>
      <c r="G491">
        <f>IFERROR(INDEX(装备库!$A$2:$Y$1047,MATCH(ROW()-1,装备库!$AO$2:$AO$1046,0),COLUMN()),"")</f>
        <v>0</v>
      </c>
      <c r="H491">
        <f>IFERROR(INDEX(装备库!$A$2:$Y$1047,MATCH(ROW()-1,装备库!$AO$2:$AO$1046,0),COLUMN()),"")</f>
        <v>0</v>
      </c>
      <c r="I491">
        <f>IFERROR(INDEX(装备库!$A$2:$Y$1047,MATCH(ROW()-1,装备库!$AO$2:$AO$1046,0),COLUMN()),"")</f>
        <v>2232</v>
      </c>
      <c r="J491">
        <f>IFERROR(INDEX(装备库!$A$2:$Y$1047,MATCH(ROW()-1,装备库!$AO$2:$AO$1046,0),COLUMN()),"")</f>
        <v>1984</v>
      </c>
      <c r="K491">
        <f>IFERROR(INDEX(装备库!$A$2:$Y$1047,MATCH(ROW()-1,装备库!$AO$2:$AO$1046,0),COLUMN()),"")</f>
        <v>0</v>
      </c>
      <c r="L491">
        <f>IFERROR(INDEX(装备库!$A$2:$Y$1047,MATCH(ROW()-1,装备库!$AO$2:$AO$1046,0),COLUMN()),"")</f>
        <v>0</v>
      </c>
      <c r="M491">
        <f>IFERROR(INDEX(装备库!$A$2:$Y$1047,MATCH(ROW()-1,装备库!$AO$2:$AO$1046,0),COLUMN()),"")</f>
        <v>0</v>
      </c>
      <c r="N491">
        <f>IFERROR(INDEX(装备库!$A$2:$Y$1047,MATCH(ROW()-1,装备库!$AO$2:$AO$1046,0),COLUMN()),"")</f>
        <v>0</v>
      </c>
      <c r="O491">
        <f>IFERROR(INDEX(装备库!$A$2:$Y$1047,MATCH(ROW()-1,装备库!$AO$2:$AO$1046,0),COLUMN()),"")</f>
        <v>1</v>
      </c>
      <c r="P491">
        <f>IFERROR(INDEX(装备库!$A$2:$Y$1047,MATCH(ROW()-1,装备库!$AO$2:$AO$1046,0),COLUMN()),"")</f>
        <v>0</v>
      </c>
      <c r="Q491">
        <f>IFERROR(INDEX(装备库!$A$2:$Y$1047,MATCH(ROW()-1,装备库!$AO$2:$AO$1046,0),COLUMN()),"")</f>
        <v>0</v>
      </c>
      <c r="R491">
        <f>IFERROR(INDEX(装备库!$A$2:$Y$1047,MATCH(ROW()-1,装备库!$AO$2:$AO$1046,0),COLUMN()),"")</f>
        <v>0</v>
      </c>
      <c r="S491">
        <f>IFERROR(INDEX(装备库!$A$2:$Y$1047,MATCH(ROW()-1,装备库!$AO$2:$AO$1046,0),COLUMN()),"")</f>
        <v>1</v>
      </c>
      <c r="T491">
        <f>IFERROR(INDEX(装备库!$A$2:$Y$1047,MATCH(ROW()-1,装备库!$AO$2:$AO$1046,0),COLUMN()),"")</f>
        <v>0</v>
      </c>
      <c r="U491">
        <f>IFERROR(INDEX(装备库!$A$2:$Y$1047,MATCH(ROW()-1,装备库!$AO$2:$AO$1046,0),COLUMN()),"")</f>
        <v>0</v>
      </c>
      <c r="V491">
        <f>IFERROR(INDEX(装备库!$A$2:$Y$1047,MATCH(ROW()-1,装备库!$AO$2:$AO$1046,0),COLUMN()),"")</f>
        <v>0</v>
      </c>
      <c r="W491" t="str">
        <f>IFERROR(INDEX(装备库!$A$2:$Y$1047,MATCH(ROW()-1,装备库!$AO$2:$AO$1046,0),COLUMN()),"")</f>
        <v>招破</v>
      </c>
      <c r="X491">
        <f>IFERROR(INDEX(装备库!$A$2:$Y$1047,MATCH(ROW()-1,装备库!$AO$2:$AO$1046,0),COLUMN()),"")</f>
        <v>6</v>
      </c>
      <c r="Y491" t="str">
        <f>IFERROR(INDEX(装备库!$A$2:$Y$1047,MATCH(ROW()-1,装备库!$AO$2:$AO$1046,0),COLUMN()),"")</f>
        <v>副本</v>
      </c>
    </row>
    <row r="492" spans="1:25" x14ac:dyDescent="0.35">
      <c r="A492" t="str">
        <f>IFERROR(INDEX(装备库!$A$2:$Y$1047,MATCH(ROW()-1,装备库!$AO$2:$AO$1046,0),COLUMN()),"")</f>
        <v>腰带</v>
      </c>
      <c r="B492" t="str">
        <f>IFERROR(INDEX(装备库!$A$2:$Y$1047,MATCH(ROW()-1,装备库!$AO$2:$AO$1046,0),COLUMN()),"")</f>
        <v>临岳腰带</v>
      </c>
      <c r="C492">
        <f>IFERROR(INDEX(装备库!$A$2:$Y$1047,MATCH(ROW()-1,装备库!$AO$2:$AO$1046,0),COLUMN()),"")</f>
        <v>9450</v>
      </c>
      <c r="D492" t="str">
        <f>IFERROR(INDEX(装备库!$A$2:$Y$1047,MATCH(ROW()-1,装备库!$AO$2:$AO$1046,0),COLUMN()),"")</f>
        <v>临岳腰带(9450破无)</v>
      </c>
      <c r="E492">
        <f>IFERROR(INDEX(装备库!$A$2:$Y$1047,MATCH(ROW()-1,装备库!$AO$2:$AO$1046,0),COLUMN()),"")</f>
        <v>462</v>
      </c>
      <c r="F492">
        <f>IFERROR(INDEX(装备库!$A$2:$Y$1047,MATCH(ROW()-1,装备库!$AO$2:$AO$1046,0),COLUMN()),"")</f>
        <v>749</v>
      </c>
      <c r="G492">
        <f>IFERROR(INDEX(装备库!$A$2:$Y$1047,MATCH(ROW()-1,装备库!$AO$2:$AO$1046,0),COLUMN()),"")</f>
        <v>0</v>
      </c>
      <c r="H492">
        <f>IFERROR(INDEX(装备库!$A$2:$Y$1047,MATCH(ROW()-1,装备库!$AO$2:$AO$1046,0),COLUMN()),"")</f>
        <v>0</v>
      </c>
      <c r="I492">
        <f>IFERROR(INDEX(装备库!$A$2:$Y$1047,MATCH(ROW()-1,装备库!$AO$2:$AO$1046,0),COLUMN()),"")</f>
        <v>2318</v>
      </c>
      <c r="J492">
        <f>IFERROR(INDEX(装备库!$A$2:$Y$1047,MATCH(ROW()-1,装备库!$AO$2:$AO$1046,0),COLUMN()),"")</f>
        <v>0</v>
      </c>
      <c r="K492">
        <f>IFERROR(INDEX(装备库!$A$2:$Y$1047,MATCH(ROW()-1,装备库!$AO$2:$AO$1046,0),COLUMN()),"")</f>
        <v>2060</v>
      </c>
      <c r="L492">
        <f>IFERROR(INDEX(装备库!$A$2:$Y$1047,MATCH(ROW()-1,装备库!$AO$2:$AO$1046,0),COLUMN()),"")</f>
        <v>0</v>
      </c>
      <c r="M492">
        <f>IFERROR(INDEX(装备库!$A$2:$Y$1047,MATCH(ROW()-1,装备库!$AO$2:$AO$1046,0),COLUMN()),"")</f>
        <v>0</v>
      </c>
      <c r="N492">
        <f>IFERROR(INDEX(装备库!$A$2:$Y$1047,MATCH(ROW()-1,装备库!$AO$2:$AO$1046,0),COLUMN()),"")</f>
        <v>0</v>
      </c>
      <c r="O492">
        <f>IFERROR(INDEX(装备库!$A$2:$Y$1047,MATCH(ROW()-1,装备库!$AO$2:$AO$1046,0),COLUMN()),"")</f>
        <v>0</v>
      </c>
      <c r="P492">
        <f>IFERROR(INDEX(装备库!$A$2:$Y$1047,MATCH(ROW()-1,装备库!$AO$2:$AO$1046,0),COLUMN()),"")</f>
        <v>0</v>
      </c>
      <c r="Q492">
        <f>IFERROR(INDEX(装备库!$A$2:$Y$1047,MATCH(ROW()-1,装备库!$AO$2:$AO$1046,0),COLUMN()),"")</f>
        <v>1</v>
      </c>
      <c r="R492">
        <f>IFERROR(INDEX(装备库!$A$2:$Y$1047,MATCH(ROW()-1,装备库!$AO$2:$AO$1046,0),COLUMN()),"")</f>
        <v>0</v>
      </c>
      <c r="S492">
        <f>IFERROR(INDEX(装备库!$A$2:$Y$1047,MATCH(ROW()-1,装备库!$AO$2:$AO$1046,0),COLUMN()),"")</f>
        <v>0</v>
      </c>
      <c r="T492">
        <f>IFERROR(INDEX(装备库!$A$2:$Y$1047,MATCH(ROW()-1,装备库!$AO$2:$AO$1046,0),COLUMN()),"")</f>
        <v>0</v>
      </c>
      <c r="U492">
        <f>IFERROR(INDEX(装备库!$A$2:$Y$1047,MATCH(ROW()-1,装备库!$AO$2:$AO$1046,0),COLUMN()),"")</f>
        <v>1</v>
      </c>
      <c r="V492">
        <f>IFERROR(INDEX(装备库!$A$2:$Y$1047,MATCH(ROW()-1,装备库!$AO$2:$AO$1046,0),COLUMN()),"")</f>
        <v>0</v>
      </c>
      <c r="W492" t="str">
        <f>IFERROR(INDEX(装备库!$A$2:$Y$1047,MATCH(ROW()-1,装备库!$AO$2:$AO$1046,0),COLUMN()),"")</f>
        <v>破无</v>
      </c>
      <c r="X492">
        <f>IFERROR(INDEX(装备库!$A$2:$Y$1047,MATCH(ROW()-1,装备库!$AO$2:$AO$1046,0),COLUMN()),"")</f>
        <v>6</v>
      </c>
      <c r="Y492" t="str">
        <f>IFERROR(INDEX(装备库!$A$2:$Y$1047,MATCH(ROW()-1,装备库!$AO$2:$AO$1046,0),COLUMN()),"")</f>
        <v>声望</v>
      </c>
    </row>
    <row r="493" spans="1:25" x14ac:dyDescent="0.35">
      <c r="A493" t="str">
        <f>IFERROR(INDEX(装备库!$A$2:$Y$1047,MATCH(ROW()-1,装备库!$AO$2:$AO$1046,0),COLUMN()),"")</f>
        <v>腰带</v>
      </c>
      <c r="B493" t="str">
        <f>IFERROR(INDEX(装备库!$A$2:$Y$1047,MATCH(ROW()-1,装备库!$AO$2:$AO$1046,0),COLUMN()),"")</f>
        <v>静山腰带</v>
      </c>
      <c r="C493">
        <f>IFERROR(INDEX(装备库!$A$2:$Y$1047,MATCH(ROW()-1,装备库!$AO$2:$AO$1046,0),COLUMN()),"")</f>
        <v>9500</v>
      </c>
      <c r="D493" t="str">
        <f>IFERROR(INDEX(装备库!$A$2:$Y$1047,MATCH(ROW()-1,装备库!$AO$2:$AO$1046,0),COLUMN()),"")</f>
        <v>静山腰带(9500招破)</v>
      </c>
      <c r="E493">
        <f>IFERROR(INDEX(装备库!$A$2:$Y$1047,MATCH(ROW()-1,装备库!$AO$2:$AO$1046,0),COLUMN()),"")</f>
        <v>464</v>
      </c>
      <c r="F493">
        <f>IFERROR(INDEX(装备库!$A$2:$Y$1047,MATCH(ROW()-1,装备库!$AO$2:$AO$1046,0),COLUMN()),"")</f>
        <v>753</v>
      </c>
      <c r="G493">
        <f>IFERROR(INDEX(装备库!$A$2:$Y$1047,MATCH(ROW()-1,装备库!$AO$2:$AO$1046,0),COLUMN()),"")</f>
        <v>0</v>
      </c>
      <c r="H493">
        <f>IFERROR(INDEX(装备库!$A$2:$Y$1047,MATCH(ROW()-1,装备库!$AO$2:$AO$1046,0),COLUMN()),"")</f>
        <v>0</v>
      </c>
      <c r="I493">
        <f>IFERROR(INDEX(装备库!$A$2:$Y$1047,MATCH(ROW()-1,装备库!$AO$2:$AO$1046,0),COLUMN()),"")</f>
        <v>2330</v>
      </c>
      <c r="J493">
        <f>IFERROR(INDEX(装备库!$A$2:$Y$1047,MATCH(ROW()-1,装备库!$AO$2:$AO$1046,0),COLUMN()),"")</f>
        <v>2071</v>
      </c>
      <c r="K493">
        <f>IFERROR(INDEX(装备库!$A$2:$Y$1047,MATCH(ROW()-1,装备库!$AO$2:$AO$1046,0),COLUMN()),"")</f>
        <v>0</v>
      </c>
      <c r="L493">
        <f>IFERROR(INDEX(装备库!$A$2:$Y$1047,MATCH(ROW()-1,装备库!$AO$2:$AO$1046,0),COLUMN()),"")</f>
        <v>0</v>
      </c>
      <c r="M493">
        <f>IFERROR(INDEX(装备库!$A$2:$Y$1047,MATCH(ROW()-1,装备库!$AO$2:$AO$1046,0),COLUMN()),"")</f>
        <v>0</v>
      </c>
      <c r="N493">
        <f>IFERROR(INDEX(装备库!$A$2:$Y$1047,MATCH(ROW()-1,装备库!$AO$2:$AO$1046,0),COLUMN()),"")</f>
        <v>0</v>
      </c>
      <c r="O493">
        <f>IFERROR(INDEX(装备库!$A$2:$Y$1047,MATCH(ROW()-1,装备库!$AO$2:$AO$1046,0),COLUMN()),"")</f>
        <v>1</v>
      </c>
      <c r="P493">
        <f>IFERROR(INDEX(装备库!$A$2:$Y$1047,MATCH(ROW()-1,装备库!$AO$2:$AO$1046,0),COLUMN()),"")</f>
        <v>0</v>
      </c>
      <c r="Q493">
        <f>IFERROR(INDEX(装备库!$A$2:$Y$1047,MATCH(ROW()-1,装备库!$AO$2:$AO$1046,0),COLUMN()),"")</f>
        <v>0</v>
      </c>
      <c r="R493">
        <f>IFERROR(INDEX(装备库!$A$2:$Y$1047,MATCH(ROW()-1,装备库!$AO$2:$AO$1046,0),COLUMN()),"")</f>
        <v>0</v>
      </c>
      <c r="S493">
        <f>IFERROR(INDEX(装备库!$A$2:$Y$1047,MATCH(ROW()-1,装备库!$AO$2:$AO$1046,0),COLUMN()),"")</f>
        <v>1</v>
      </c>
      <c r="T493">
        <f>IFERROR(INDEX(装备库!$A$2:$Y$1047,MATCH(ROW()-1,装备库!$AO$2:$AO$1046,0),COLUMN()),"")</f>
        <v>0</v>
      </c>
      <c r="U493">
        <f>IFERROR(INDEX(装备库!$A$2:$Y$1047,MATCH(ROW()-1,装备库!$AO$2:$AO$1046,0),COLUMN()),"")</f>
        <v>0</v>
      </c>
      <c r="V493">
        <f>IFERROR(INDEX(装备库!$A$2:$Y$1047,MATCH(ROW()-1,装备库!$AO$2:$AO$1046,0),COLUMN()),"")</f>
        <v>0</v>
      </c>
      <c r="W493" t="str">
        <f>IFERROR(INDEX(装备库!$A$2:$Y$1047,MATCH(ROW()-1,装备库!$AO$2:$AO$1046,0),COLUMN()),"")</f>
        <v>招破</v>
      </c>
      <c r="X493">
        <f>IFERROR(INDEX(装备库!$A$2:$Y$1047,MATCH(ROW()-1,装备库!$AO$2:$AO$1046,0),COLUMN()),"")</f>
        <v>6</v>
      </c>
      <c r="Y493" t="str">
        <f>IFERROR(INDEX(装备库!$A$2:$Y$1047,MATCH(ROW()-1,装备库!$AO$2:$AO$1046,0),COLUMN()),"")</f>
        <v>声望</v>
      </c>
    </row>
    <row r="494" spans="1:25" x14ac:dyDescent="0.35">
      <c r="A494" t="str">
        <f>IFERROR(INDEX(装备库!$A$2:$Y$1047,MATCH(ROW()-1,装备库!$AO$2:$AO$1046,0),COLUMN()),"")</f>
        <v>腰带</v>
      </c>
      <c r="B494" t="str">
        <f>IFERROR(INDEX(装备库!$A$2:$Y$1047,MATCH(ROW()-1,装备库!$AO$2:$AO$1046,0),COLUMN()),"")</f>
        <v>寻踪觅宝·遮澜腰带</v>
      </c>
      <c r="C494">
        <f>IFERROR(INDEX(装备库!$A$2:$Y$1047,MATCH(ROW()-1,装备库!$AO$2:$AO$1046,0),COLUMN()),"")</f>
        <v>9600</v>
      </c>
      <c r="D494" t="str">
        <f>IFERROR(INDEX(装备库!$A$2:$Y$1047,MATCH(ROW()-1,装备库!$AO$2:$AO$1046,0),COLUMN()),"")</f>
        <v>寻踪觅宝·遮澜腰带(9600速招)</v>
      </c>
      <c r="E494">
        <f>IFERROR(INDEX(装备库!$A$2:$Y$1047,MATCH(ROW()-1,装备库!$AO$2:$AO$1046,0),COLUMN()),"")</f>
        <v>469</v>
      </c>
      <c r="F494">
        <f>IFERROR(INDEX(装备库!$A$2:$Y$1047,MATCH(ROW()-1,装备库!$AO$2:$AO$1046,0),COLUMN()),"")</f>
        <v>761</v>
      </c>
      <c r="G494">
        <f>IFERROR(INDEX(装备库!$A$2:$Y$1047,MATCH(ROW()-1,装备库!$AO$2:$AO$1046,0),COLUMN()),"")</f>
        <v>0</v>
      </c>
      <c r="H494">
        <f>IFERROR(INDEX(装备库!$A$2:$Y$1047,MATCH(ROW()-1,装备库!$AO$2:$AO$1046,0),COLUMN()),"")</f>
        <v>0</v>
      </c>
      <c r="I494">
        <f>IFERROR(INDEX(装备库!$A$2:$Y$1047,MATCH(ROW()-1,装备库!$AO$2:$AO$1046,0),COLUMN()),"")</f>
        <v>0</v>
      </c>
      <c r="J494">
        <f>IFERROR(INDEX(装备库!$A$2:$Y$1047,MATCH(ROW()-1,装备库!$AO$2:$AO$1046,0),COLUMN()),"")</f>
        <v>2093</v>
      </c>
      <c r="K494">
        <f>IFERROR(INDEX(装备库!$A$2:$Y$1047,MATCH(ROW()-1,装备库!$AO$2:$AO$1046,0),COLUMN()),"")</f>
        <v>0</v>
      </c>
      <c r="L494">
        <f>IFERROR(INDEX(装备库!$A$2:$Y$1047,MATCH(ROW()-1,装备库!$AO$2:$AO$1046,0),COLUMN()),"")</f>
        <v>2354</v>
      </c>
      <c r="M494">
        <f>IFERROR(INDEX(装备库!$A$2:$Y$1047,MATCH(ROW()-1,装备库!$AO$2:$AO$1046,0),COLUMN()),"")</f>
        <v>0</v>
      </c>
      <c r="N494">
        <f>IFERROR(INDEX(装备库!$A$2:$Y$1047,MATCH(ROW()-1,装备库!$AO$2:$AO$1046,0),COLUMN()),"")</f>
        <v>0</v>
      </c>
      <c r="O494">
        <f>IFERROR(INDEX(装备库!$A$2:$Y$1047,MATCH(ROW()-1,装备库!$AO$2:$AO$1046,0),COLUMN()),"")</f>
        <v>0</v>
      </c>
      <c r="P494">
        <f>IFERROR(INDEX(装备库!$A$2:$Y$1047,MATCH(ROW()-1,装备库!$AO$2:$AO$1046,0),COLUMN()),"")</f>
        <v>1</v>
      </c>
      <c r="Q494">
        <f>IFERROR(INDEX(装备库!$A$2:$Y$1047,MATCH(ROW()-1,装备库!$AO$2:$AO$1046,0),COLUMN()),"")</f>
        <v>1</v>
      </c>
      <c r="R494">
        <f>IFERROR(INDEX(装备库!$A$2:$Y$1047,MATCH(ROW()-1,装备库!$AO$2:$AO$1046,0),COLUMN()),"")</f>
        <v>0</v>
      </c>
      <c r="S494">
        <f>IFERROR(INDEX(装备库!$A$2:$Y$1047,MATCH(ROW()-1,装备库!$AO$2:$AO$1046,0),COLUMN()),"")</f>
        <v>0</v>
      </c>
      <c r="T494">
        <f>IFERROR(INDEX(装备库!$A$2:$Y$1047,MATCH(ROW()-1,装备库!$AO$2:$AO$1046,0),COLUMN()),"")</f>
        <v>0</v>
      </c>
      <c r="U494">
        <f>IFERROR(INDEX(装备库!$A$2:$Y$1047,MATCH(ROW()-1,装备库!$AO$2:$AO$1046,0),COLUMN()),"")</f>
        <v>0</v>
      </c>
      <c r="V494">
        <f>IFERROR(INDEX(装备库!$A$2:$Y$1047,MATCH(ROW()-1,装备库!$AO$2:$AO$1046,0),COLUMN()),"")</f>
        <v>0</v>
      </c>
      <c r="W494" t="str">
        <f>IFERROR(INDEX(装备库!$A$2:$Y$1047,MATCH(ROW()-1,装备库!$AO$2:$AO$1046,0),COLUMN()),"")</f>
        <v>速招</v>
      </c>
      <c r="X494">
        <f>IFERROR(INDEX(装备库!$A$2:$Y$1047,MATCH(ROW()-1,装备库!$AO$2:$AO$1046,0),COLUMN()),"")</f>
        <v>6</v>
      </c>
      <c r="Y494" t="str">
        <f>IFERROR(INDEX(装备库!$A$2:$Y$1047,MATCH(ROW()-1,装备库!$AO$2:$AO$1046,0),COLUMN()),"")</f>
        <v>挖宝</v>
      </c>
    </row>
    <row r="495" spans="1:25" x14ac:dyDescent="0.35">
      <c r="A495" t="str">
        <f>IFERROR(INDEX(装备库!$A$2:$Y$1047,MATCH(ROW()-1,装备库!$AO$2:$AO$1046,0),COLUMN()),"")</f>
        <v>腰带</v>
      </c>
      <c r="B495" t="str">
        <f>IFERROR(INDEX(装备库!$A$2:$Y$1047,MATCH(ROW()-1,装备库!$AO$2:$AO$1046,0),COLUMN()),"")</f>
        <v>重关带</v>
      </c>
      <c r="C495">
        <f>IFERROR(INDEX(装备库!$A$2:$Y$1047,MATCH(ROW()-1,装备库!$AO$2:$AO$1046,0),COLUMN()),"")</f>
        <v>10000</v>
      </c>
      <c r="D495" t="str">
        <f>IFERROR(INDEX(装备库!$A$2:$Y$1047,MATCH(ROW()-1,装备库!$AO$2:$AO$1046,0),COLUMN()),"")</f>
        <v>重关带(10000招无)</v>
      </c>
      <c r="E495">
        <f>IFERROR(INDEX(装备库!$A$2:$Y$1047,MATCH(ROW()-1,装备库!$AO$2:$AO$1046,0),COLUMN()),"")</f>
        <v>489</v>
      </c>
      <c r="F495">
        <f>IFERROR(INDEX(装备库!$A$2:$Y$1047,MATCH(ROW()-1,装备库!$AO$2:$AO$1046,0),COLUMN()),"")</f>
        <v>793</v>
      </c>
      <c r="G495">
        <f>IFERROR(INDEX(装备库!$A$2:$Y$1047,MATCH(ROW()-1,装备库!$AO$2:$AO$1046,0),COLUMN()),"")</f>
        <v>0</v>
      </c>
      <c r="H495">
        <f>IFERROR(INDEX(装备库!$A$2:$Y$1047,MATCH(ROW()-1,装备库!$AO$2:$AO$1046,0),COLUMN()),"")</f>
        <v>0</v>
      </c>
      <c r="I495">
        <f>IFERROR(INDEX(装备库!$A$2:$Y$1047,MATCH(ROW()-1,装备库!$AO$2:$AO$1046,0),COLUMN()),"")</f>
        <v>0</v>
      </c>
      <c r="J495">
        <f>IFERROR(INDEX(装备库!$A$2:$Y$1047,MATCH(ROW()-1,装备库!$AO$2:$AO$1046,0),COLUMN()),"")</f>
        <v>2453</v>
      </c>
      <c r="K495">
        <f>IFERROR(INDEX(装备库!$A$2:$Y$1047,MATCH(ROW()-1,装备库!$AO$2:$AO$1046,0),COLUMN()),"")</f>
        <v>2180</v>
      </c>
      <c r="L495">
        <f>IFERROR(INDEX(装备库!$A$2:$Y$1047,MATCH(ROW()-1,装备库!$AO$2:$AO$1046,0),COLUMN()),"")</f>
        <v>0</v>
      </c>
      <c r="M495">
        <f>IFERROR(INDEX(装备库!$A$2:$Y$1047,MATCH(ROW()-1,装备库!$AO$2:$AO$1046,0),COLUMN()),"")</f>
        <v>0</v>
      </c>
      <c r="N495">
        <f>IFERROR(INDEX(装备库!$A$2:$Y$1047,MATCH(ROW()-1,装备库!$AO$2:$AO$1046,0),COLUMN()),"")</f>
        <v>0</v>
      </c>
      <c r="O495">
        <f>IFERROR(INDEX(装备库!$A$2:$Y$1047,MATCH(ROW()-1,装备库!$AO$2:$AO$1046,0),COLUMN()),"")</f>
        <v>0</v>
      </c>
      <c r="P495">
        <f>IFERROR(INDEX(装备库!$A$2:$Y$1047,MATCH(ROW()-1,装备库!$AO$2:$AO$1046,0),COLUMN()),"")</f>
        <v>0</v>
      </c>
      <c r="Q495">
        <f>IFERROR(INDEX(装备库!$A$2:$Y$1047,MATCH(ROW()-1,装备库!$AO$2:$AO$1046,0),COLUMN()),"")</f>
        <v>1</v>
      </c>
      <c r="R495">
        <f>IFERROR(INDEX(装备库!$A$2:$Y$1047,MATCH(ROW()-1,装备库!$AO$2:$AO$1046,0),COLUMN()),"")</f>
        <v>0</v>
      </c>
      <c r="S495">
        <f>IFERROR(INDEX(装备库!$A$2:$Y$1047,MATCH(ROW()-1,装备库!$AO$2:$AO$1046,0),COLUMN()),"")</f>
        <v>0</v>
      </c>
      <c r="T495">
        <f>IFERROR(INDEX(装备库!$A$2:$Y$1047,MATCH(ROW()-1,装备库!$AO$2:$AO$1046,0),COLUMN()),"")</f>
        <v>0</v>
      </c>
      <c r="U495">
        <f>IFERROR(INDEX(装备库!$A$2:$Y$1047,MATCH(ROW()-1,装备库!$AO$2:$AO$1046,0),COLUMN()),"")</f>
        <v>1</v>
      </c>
      <c r="V495">
        <f>IFERROR(INDEX(装备库!$A$2:$Y$1047,MATCH(ROW()-1,装备库!$AO$2:$AO$1046,0),COLUMN()),"")</f>
        <v>0</v>
      </c>
      <c r="W495" t="str">
        <f>IFERROR(INDEX(装备库!$A$2:$Y$1047,MATCH(ROW()-1,装备库!$AO$2:$AO$1046,0),COLUMN()),"")</f>
        <v>招无</v>
      </c>
      <c r="X495">
        <f>IFERROR(INDEX(装备库!$A$2:$Y$1047,MATCH(ROW()-1,装备库!$AO$2:$AO$1046,0),COLUMN()),"")</f>
        <v>6</v>
      </c>
      <c r="Y495" t="str">
        <f>IFERROR(INDEX(装备库!$A$2:$Y$1047,MATCH(ROW()-1,装备库!$AO$2:$AO$1046,0),COLUMN()),"")</f>
        <v>副本</v>
      </c>
    </row>
    <row r="496" spans="1:25" x14ac:dyDescent="0.35">
      <c r="A496" t="str">
        <f>IFERROR(INDEX(装备库!$A$2:$Y$1047,MATCH(ROW()-1,装备库!$AO$2:$AO$1046,0),COLUMN()),"")</f>
        <v>腰带</v>
      </c>
      <c r="B496" t="str">
        <f>IFERROR(INDEX(装备库!$A$2:$Y$1047,MATCH(ROW()-1,装备库!$AO$2:$AO$1046,0),COLUMN()),"")</f>
        <v>曲郦腰带</v>
      </c>
      <c r="C496">
        <f>IFERROR(INDEX(装备库!$A$2:$Y$1047,MATCH(ROW()-1,装备库!$AO$2:$AO$1046,0),COLUMN()),"")</f>
        <v>10000</v>
      </c>
      <c r="D496" t="str">
        <f>IFERROR(INDEX(装备库!$A$2:$Y$1047,MATCH(ROW()-1,装备库!$AO$2:$AO$1046,0),COLUMN()),"")</f>
        <v>曲郦腰带(10000招破)</v>
      </c>
      <c r="E496">
        <f>IFERROR(INDEX(装备库!$A$2:$Y$1047,MATCH(ROW()-1,装备库!$AO$2:$AO$1046,0),COLUMN()),"")</f>
        <v>489</v>
      </c>
      <c r="F496">
        <f>IFERROR(INDEX(装备库!$A$2:$Y$1047,MATCH(ROW()-1,装备库!$AO$2:$AO$1046,0),COLUMN()),"")</f>
        <v>793</v>
      </c>
      <c r="G496">
        <f>IFERROR(INDEX(装备库!$A$2:$Y$1047,MATCH(ROW()-1,装备库!$AO$2:$AO$1046,0),COLUMN()),"")</f>
        <v>0</v>
      </c>
      <c r="H496">
        <f>IFERROR(INDEX(装备库!$A$2:$Y$1047,MATCH(ROW()-1,装备库!$AO$2:$AO$1046,0),COLUMN()),"")</f>
        <v>0</v>
      </c>
      <c r="I496">
        <f>IFERROR(INDEX(装备库!$A$2:$Y$1047,MATCH(ROW()-1,装备库!$AO$2:$AO$1046,0),COLUMN()),"")</f>
        <v>2453</v>
      </c>
      <c r="J496">
        <f>IFERROR(INDEX(装备库!$A$2:$Y$1047,MATCH(ROW()-1,装备库!$AO$2:$AO$1046,0),COLUMN()),"")</f>
        <v>2180</v>
      </c>
      <c r="K496">
        <f>IFERROR(INDEX(装备库!$A$2:$Y$1047,MATCH(ROW()-1,装备库!$AO$2:$AO$1046,0),COLUMN()),"")</f>
        <v>0</v>
      </c>
      <c r="L496">
        <f>IFERROR(INDEX(装备库!$A$2:$Y$1047,MATCH(ROW()-1,装备库!$AO$2:$AO$1046,0),COLUMN()),"")</f>
        <v>0</v>
      </c>
      <c r="M496">
        <f>IFERROR(INDEX(装备库!$A$2:$Y$1047,MATCH(ROW()-1,装备库!$AO$2:$AO$1046,0),COLUMN()),"")</f>
        <v>0</v>
      </c>
      <c r="N496">
        <f>IFERROR(INDEX(装备库!$A$2:$Y$1047,MATCH(ROW()-1,装备库!$AO$2:$AO$1046,0),COLUMN()),"")</f>
        <v>0</v>
      </c>
      <c r="O496">
        <f>IFERROR(INDEX(装备库!$A$2:$Y$1047,MATCH(ROW()-1,装备库!$AO$2:$AO$1046,0),COLUMN()),"")</f>
        <v>1</v>
      </c>
      <c r="P496">
        <f>IFERROR(INDEX(装备库!$A$2:$Y$1047,MATCH(ROW()-1,装备库!$AO$2:$AO$1046,0),COLUMN()),"")</f>
        <v>0</v>
      </c>
      <c r="Q496">
        <f>IFERROR(INDEX(装备库!$A$2:$Y$1047,MATCH(ROW()-1,装备库!$AO$2:$AO$1046,0),COLUMN()),"")</f>
        <v>0</v>
      </c>
      <c r="R496">
        <f>IFERROR(INDEX(装备库!$A$2:$Y$1047,MATCH(ROW()-1,装备库!$AO$2:$AO$1046,0),COLUMN()),"")</f>
        <v>0</v>
      </c>
      <c r="S496">
        <f>IFERROR(INDEX(装备库!$A$2:$Y$1047,MATCH(ROW()-1,装备库!$AO$2:$AO$1046,0),COLUMN()),"")</f>
        <v>1</v>
      </c>
      <c r="T496">
        <f>IFERROR(INDEX(装备库!$A$2:$Y$1047,MATCH(ROW()-1,装备库!$AO$2:$AO$1046,0),COLUMN()),"")</f>
        <v>0</v>
      </c>
      <c r="U496">
        <f>IFERROR(INDEX(装备库!$A$2:$Y$1047,MATCH(ROW()-1,装备库!$AO$2:$AO$1046,0),COLUMN()),"")</f>
        <v>0</v>
      </c>
      <c r="V496">
        <f>IFERROR(INDEX(装备库!$A$2:$Y$1047,MATCH(ROW()-1,装备库!$AO$2:$AO$1046,0),COLUMN()),"")</f>
        <v>0</v>
      </c>
      <c r="W496" t="str">
        <f>IFERROR(INDEX(装备库!$A$2:$Y$1047,MATCH(ROW()-1,装备库!$AO$2:$AO$1046,0),COLUMN()),"")</f>
        <v>招破</v>
      </c>
      <c r="X496">
        <f>IFERROR(INDEX(装备库!$A$2:$Y$1047,MATCH(ROW()-1,装备库!$AO$2:$AO$1046,0),COLUMN()),"")</f>
        <v>6</v>
      </c>
      <c r="Y496" t="str">
        <f>IFERROR(INDEX(装备库!$A$2:$Y$1047,MATCH(ROW()-1,装备库!$AO$2:$AO$1046,0),COLUMN()),"")</f>
        <v>副本</v>
      </c>
    </row>
    <row r="497" spans="1:25" x14ac:dyDescent="0.35">
      <c r="A497" t="str">
        <f>IFERROR(INDEX(装备库!$A$2:$Y$1047,MATCH(ROW()-1,装备库!$AO$2:$AO$1046,0),COLUMN()),"")</f>
        <v>腰带</v>
      </c>
      <c r="B497" t="str">
        <f>IFERROR(INDEX(装备库!$A$2:$Y$1047,MATCH(ROW()-1,装备库!$AO$2:$AO$1046,0),COLUMN()),"")</f>
        <v>沉龙荡波·淘浪腰带</v>
      </c>
      <c r="C497">
        <f>IFERROR(INDEX(装备库!$A$2:$Y$1047,MATCH(ROW()-1,装备库!$AO$2:$AO$1046,0),COLUMN()),"")</f>
        <v>10000</v>
      </c>
      <c r="D497" t="str">
        <f>IFERROR(INDEX(装备库!$A$2:$Y$1047,MATCH(ROW()-1,装备库!$AO$2:$AO$1046,0),COLUMN()),"")</f>
        <v>沉龙荡波·淘浪腰带(10000招破)</v>
      </c>
      <c r="E497">
        <f>IFERROR(INDEX(装备库!$A$2:$Y$1047,MATCH(ROW()-1,装备库!$AO$2:$AO$1046,0),COLUMN()),"")</f>
        <v>489</v>
      </c>
      <c r="F497">
        <f>IFERROR(INDEX(装备库!$A$2:$Y$1047,MATCH(ROW()-1,装备库!$AO$2:$AO$1046,0),COLUMN()),"")</f>
        <v>793</v>
      </c>
      <c r="G497">
        <f>IFERROR(INDEX(装备库!$A$2:$Y$1047,MATCH(ROW()-1,装备库!$AO$2:$AO$1046,0),COLUMN()),"")</f>
        <v>0</v>
      </c>
      <c r="H497">
        <f>IFERROR(INDEX(装备库!$A$2:$Y$1047,MATCH(ROW()-1,装备库!$AO$2:$AO$1046,0),COLUMN()),"")</f>
        <v>0</v>
      </c>
      <c r="I497">
        <f>IFERROR(INDEX(装备库!$A$2:$Y$1047,MATCH(ROW()-1,装备库!$AO$2:$AO$1046,0),COLUMN()),"")</f>
        <v>2453</v>
      </c>
      <c r="J497">
        <f>IFERROR(INDEX(装备库!$A$2:$Y$1047,MATCH(ROW()-1,装备库!$AO$2:$AO$1046,0),COLUMN()),"")</f>
        <v>2180</v>
      </c>
      <c r="K497">
        <f>IFERROR(INDEX(装备库!$A$2:$Y$1047,MATCH(ROW()-1,装备库!$AO$2:$AO$1046,0),COLUMN()),"")</f>
        <v>0</v>
      </c>
      <c r="L497">
        <f>IFERROR(INDEX(装备库!$A$2:$Y$1047,MATCH(ROW()-1,装备库!$AO$2:$AO$1046,0),COLUMN()),"")</f>
        <v>0</v>
      </c>
      <c r="M497">
        <f>IFERROR(INDEX(装备库!$A$2:$Y$1047,MATCH(ROW()-1,装备库!$AO$2:$AO$1046,0),COLUMN()),"")</f>
        <v>0</v>
      </c>
      <c r="N497">
        <f>IFERROR(INDEX(装备库!$A$2:$Y$1047,MATCH(ROW()-1,装备库!$AO$2:$AO$1046,0),COLUMN()),"")</f>
        <v>0</v>
      </c>
      <c r="O497">
        <f>IFERROR(INDEX(装备库!$A$2:$Y$1047,MATCH(ROW()-1,装备库!$AO$2:$AO$1046,0),COLUMN()),"")</f>
        <v>1</v>
      </c>
      <c r="P497">
        <f>IFERROR(INDEX(装备库!$A$2:$Y$1047,MATCH(ROW()-1,装备库!$AO$2:$AO$1046,0),COLUMN()),"")</f>
        <v>0</v>
      </c>
      <c r="Q497">
        <f>IFERROR(INDEX(装备库!$A$2:$Y$1047,MATCH(ROW()-1,装备库!$AO$2:$AO$1046,0),COLUMN()),"")</f>
        <v>0</v>
      </c>
      <c r="R497">
        <f>IFERROR(INDEX(装备库!$A$2:$Y$1047,MATCH(ROW()-1,装备库!$AO$2:$AO$1046,0),COLUMN()),"")</f>
        <v>0</v>
      </c>
      <c r="S497">
        <f>IFERROR(INDEX(装备库!$A$2:$Y$1047,MATCH(ROW()-1,装备库!$AO$2:$AO$1046,0),COLUMN()),"")</f>
        <v>1</v>
      </c>
      <c r="T497">
        <f>IFERROR(INDEX(装备库!$A$2:$Y$1047,MATCH(ROW()-1,装备库!$AO$2:$AO$1046,0),COLUMN()),"")</f>
        <v>0</v>
      </c>
      <c r="U497">
        <f>IFERROR(INDEX(装备库!$A$2:$Y$1047,MATCH(ROW()-1,装备库!$AO$2:$AO$1046,0),COLUMN()),"")</f>
        <v>0</v>
      </c>
      <c r="V497">
        <f>IFERROR(INDEX(装备库!$A$2:$Y$1047,MATCH(ROW()-1,装备库!$AO$2:$AO$1046,0),COLUMN()),"")</f>
        <v>0</v>
      </c>
      <c r="W497" t="str">
        <f>IFERROR(INDEX(装备库!$A$2:$Y$1047,MATCH(ROW()-1,装备库!$AO$2:$AO$1046,0),COLUMN()),"")</f>
        <v>招破</v>
      </c>
      <c r="X497">
        <f>IFERROR(INDEX(装备库!$A$2:$Y$1047,MATCH(ROW()-1,装备库!$AO$2:$AO$1046,0),COLUMN()),"")</f>
        <v>6</v>
      </c>
      <c r="Y497" t="str">
        <f>IFERROR(INDEX(装备库!$A$2:$Y$1047,MATCH(ROW()-1,装备库!$AO$2:$AO$1046,0),COLUMN()),"")</f>
        <v>飞沙令</v>
      </c>
    </row>
    <row r="498" spans="1:25" x14ac:dyDescent="0.35">
      <c r="A498" t="str">
        <f>IFERROR(INDEX(装备库!$A$2:$Y$1047,MATCH(ROW()-1,装备库!$AO$2:$AO$1046,0),COLUMN()),"")</f>
        <v>腰带</v>
      </c>
      <c r="B498" t="str">
        <f>IFERROR(INDEX(装备库!$A$2:$Y$1047,MATCH(ROW()-1,装备库!$AO$2:$AO$1046,0),COLUMN()),"")</f>
        <v>拭江腰带</v>
      </c>
      <c r="C498">
        <f>IFERROR(INDEX(装备库!$A$2:$Y$1047,MATCH(ROW()-1,装备库!$AO$2:$AO$1046,0),COLUMN()),"")</f>
        <v>10000</v>
      </c>
      <c r="D498" t="str">
        <f>IFERROR(INDEX(装备库!$A$2:$Y$1047,MATCH(ROW()-1,装备库!$AO$2:$AO$1046,0),COLUMN()),"")</f>
        <v>拭江腰带(10000速招)</v>
      </c>
      <c r="E498">
        <f>IFERROR(INDEX(装备库!$A$2:$Y$1047,MATCH(ROW()-1,装备库!$AO$2:$AO$1046,0),COLUMN()),"")</f>
        <v>489</v>
      </c>
      <c r="F498">
        <f>IFERROR(INDEX(装备库!$A$2:$Y$1047,MATCH(ROW()-1,装备库!$AO$2:$AO$1046,0),COLUMN()),"")</f>
        <v>793</v>
      </c>
      <c r="G498">
        <f>IFERROR(INDEX(装备库!$A$2:$Y$1047,MATCH(ROW()-1,装备库!$AO$2:$AO$1046,0),COLUMN()),"")</f>
        <v>0</v>
      </c>
      <c r="H498">
        <f>IFERROR(INDEX(装备库!$A$2:$Y$1047,MATCH(ROW()-1,装备库!$AO$2:$AO$1046,0),COLUMN()),"")</f>
        <v>0</v>
      </c>
      <c r="I498">
        <f>IFERROR(INDEX(装备库!$A$2:$Y$1047,MATCH(ROW()-1,装备库!$AO$2:$AO$1046,0),COLUMN()),"")</f>
        <v>0</v>
      </c>
      <c r="J498">
        <f>IFERROR(INDEX(装备库!$A$2:$Y$1047,MATCH(ROW()-1,装备库!$AO$2:$AO$1046,0),COLUMN()),"")</f>
        <v>2180</v>
      </c>
      <c r="K498">
        <f>IFERROR(INDEX(装备库!$A$2:$Y$1047,MATCH(ROW()-1,装备库!$AO$2:$AO$1046,0),COLUMN()),"")</f>
        <v>0</v>
      </c>
      <c r="L498">
        <f>IFERROR(INDEX(装备库!$A$2:$Y$1047,MATCH(ROW()-1,装备库!$AO$2:$AO$1046,0),COLUMN()),"")</f>
        <v>2453</v>
      </c>
      <c r="M498">
        <f>IFERROR(INDEX(装备库!$A$2:$Y$1047,MATCH(ROW()-1,装备库!$AO$2:$AO$1046,0),COLUMN()),"")</f>
        <v>0</v>
      </c>
      <c r="N498">
        <f>IFERROR(INDEX(装备库!$A$2:$Y$1047,MATCH(ROW()-1,装备库!$AO$2:$AO$1046,0),COLUMN()),"")</f>
        <v>0</v>
      </c>
      <c r="O498">
        <f>IFERROR(INDEX(装备库!$A$2:$Y$1047,MATCH(ROW()-1,装备库!$AO$2:$AO$1046,0),COLUMN()),"")</f>
        <v>0</v>
      </c>
      <c r="P498">
        <f>IFERROR(INDEX(装备库!$A$2:$Y$1047,MATCH(ROW()-1,装备库!$AO$2:$AO$1046,0),COLUMN()),"")</f>
        <v>1</v>
      </c>
      <c r="Q498">
        <f>IFERROR(INDEX(装备库!$A$2:$Y$1047,MATCH(ROW()-1,装备库!$AO$2:$AO$1046,0),COLUMN()),"")</f>
        <v>1</v>
      </c>
      <c r="R498">
        <f>IFERROR(INDEX(装备库!$A$2:$Y$1047,MATCH(ROW()-1,装备库!$AO$2:$AO$1046,0),COLUMN()),"")</f>
        <v>0</v>
      </c>
      <c r="S498">
        <f>IFERROR(INDEX(装备库!$A$2:$Y$1047,MATCH(ROW()-1,装备库!$AO$2:$AO$1046,0),COLUMN()),"")</f>
        <v>0</v>
      </c>
      <c r="T498">
        <f>IFERROR(INDEX(装备库!$A$2:$Y$1047,MATCH(ROW()-1,装备库!$AO$2:$AO$1046,0),COLUMN()),"")</f>
        <v>0</v>
      </c>
      <c r="U498">
        <f>IFERROR(INDEX(装备库!$A$2:$Y$1047,MATCH(ROW()-1,装备库!$AO$2:$AO$1046,0),COLUMN()),"")</f>
        <v>0</v>
      </c>
      <c r="V498">
        <f>IFERROR(INDEX(装备库!$A$2:$Y$1047,MATCH(ROW()-1,装备库!$AO$2:$AO$1046,0),COLUMN()),"")</f>
        <v>0</v>
      </c>
      <c r="W498" t="str">
        <f>IFERROR(INDEX(装备库!$A$2:$Y$1047,MATCH(ROW()-1,装备库!$AO$2:$AO$1046,0),COLUMN()),"")</f>
        <v>速招</v>
      </c>
      <c r="X498">
        <f>IFERROR(INDEX(装备库!$A$2:$Y$1047,MATCH(ROW()-1,装备库!$AO$2:$AO$1046,0),COLUMN()),"")</f>
        <v>6</v>
      </c>
      <c r="Y498" t="str">
        <f>IFERROR(INDEX(装备库!$A$2:$Y$1047,MATCH(ROW()-1,装备库!$AO$2:$AO$1046,0),COLUMN()),"")</f>
        <v>副本</v>
      </c>
    </row>
    <row r="499" spans="1:25" x14ac:dyDescent="0.35">
      <c r="A499" t="str">
        <f>IFERROR(INDEX(装备库!$A$2:$Y$1047,MATCH(ROW()-1,装备库!$AO$2:$AO$1046,0),COLUMN()),"")</f>
        <v>腰带</v>
      </c>
      <c r="B499" t="str">
        <f>IFERROR(INDEX(装备库!$A$2:$Y$1047,MATCH(ROW()-1,装备库!$AO$2:$AO$1046,0),COLUMN()),"")</f>
        <v>寻踪觅宝·光熙腰带</v>
      </c>
      <c r="C499">
        <f>IFERROR(INDEX(装备库!$A$2:$Y$1047,MATCH(ROW()-1,装备库!$AO$2:$AO$1046,0),COLUMN()),"")</f>
        <v>10000</v>
      </c>
      <c r="D499" t="str">
        <f>IFERROR(INDEX(装备库!$A$2:$Y$1047,MATCH(ROW()-1,装备库!$AO$2:$AO$1046,0),COLUMN()),"")</f>
        <v>寻踪觅宝·光熙腰带(10000速招)</v>
      </c>
      <c r="E499">
        <f>IFERROR(INDEX(装备库!$A$2:$Y$1047,MATCH(ROW()-1,装备库!$AO$2:$AO$1046,0),COLUMN()),"")</f>
        <v>489</v>
      </c>
      <c r="F499">
        <f>IFERROR(INDEX(装备库!$A$2:$Y$1047,MATCH(ROW()-1,装备库!$AO$2:$AO$1046,0),COLUMN()),"")</f>
        <v>793</v>
      </c>
      <c r="G499">
        <f>IFERROR(INDEX(装备库!$A$2:$Y$1047,MATCH(ROW()-1,装备库!$AO$2:$AO$1046,0),COLUMN()),"")</f>
        <v>0</v>
      </c>
      <c r="H499">
        <f>IFERROR(INDEX(装备库!$A$2:$Y$1047,MATCH(ROW()-1,装备库!$AO$2:$AO$1046,0),COLUMN()),"")</f>
        <v>0</v>
      </c>
      <c r="I499">
        <f>IFERROR(INDEX(装备库!$A$2:$Y$1047,MATCH(ROW()-1,装备库!$AO$2:$AO$1046,0),COLUMN()),"")</f>
        <v>0</v>
      </c>
      <c r="J499">
        <f>IFERROR(INDEX(装备库!$A$2:$Y$1047,MATCH(ROW()-1,装备库!$AO$2:$AO$1046,0),COLUMN()),"")</f>
        <v>2180</v>
      </c>
      <c r="K499">
        <f>IFERROR(INDEX(装备库!$A$2:$Y$1047,MATCH(ROW()-1,装备库!$AO$2:$AO$1046,0),COLUMN()),"")</f>
        <v>0</v>
      </c>
      <c r="L499">
        <f>IFERROR(INDEX(装备库!$A$2:$Y$1047,MATCH(ROW()-1,装备库!$AO$2:$AO$1046,0),COLUMN()),"")</f>
        <v>2453</v>
      </c>
      <c r="M499">
        <f>IFERROR(INDEX(装备库!$A$2:$Y$1047,MATCH(ROW()-1,装备库!$AO$2:$AO$1046,0),COLUMN()),"")</f>
        <v>0</v>
      </c>
      <c r="N499">
        <f>IFERROR(INDEX(装备库!$A$2:$Y$1047,MATCH(ROW()-1,装备库!$AO$2:$AO$1046,0),COLUMN()),"")</f>
        <v>0</v>
      </c>
      <c r="O499">
        <f>IFERROR(INDEX(装备库!$A$2:$Y$1047,MATCH(ROW()-1,装备库!$AO$2:$AO$1046,0),COLUMN()),"")</f>
        <v>0</v>
      </c>
      <c r="P499">
        <f>IFERROR(INDEX(装备库!$A$2:$Y$1047,MATCH(ROW()-1,装备库!$AO$2:$AO$1046,0),COLUMN()),"")</f>
        <v>1</v>
      </c>
      <c r="Q499">
        <f>IFERROR(INDEX(装备库!$A$2:$Y$1047,MATCH(ROW()-1,装备库!$AO$2:$AO$1046,0),COLUMN()),"")</f>
        <v>1</v>
      </c>
      <c r="R499">
        <f>IFERROR(INDEX(装备库!$A$2:$Y$1047,MATCH(ROW()-1,装备库!$AO$2:$AO$1046,0),COLUMN()),"")</f>
        <v>0</v>
      </c>
      <c r="S499">
        <f>IFERROR(INDEX(装备库!$A$2:$Y$1047,MATCH(ROW()-1,装备库!$AO$2:$AO$1046,0),COLUMN()),"")</f>
        <v>0</v>
      </c>
      <c r="T499">
        <f>IFERROR(INDEX(装备库!$A$2:$Y$1047,MATCH(ROW()-1,装备库!$AO$2:$AO$1046,0),COLUMN()),"")</f>
        <v>0</v>
      </c>
      <c r="U499">
        <f>IFERROR(INDEX(装备库!$A$2:$Y$1047,MATCH(ROW()-1,装备库!$AO$2:$AO$1046,0),COLUMN()),"")</f>
        <v>0</v>
      </c>
      <c r="V499">
        <f>IFERROR(INDEX(装备库!$A$2:$Y$1047,MATCH(ROW()-1,装备库!$AO$2:$AO$1046,0),COLUMN()),"")</f>
        <v>0</v>
      </c>
      <c r="W499" t="str">
        <f>IFERROR(INDEX(装备库!$A$2:$Y$1047,MATCH(ROW()-1,装备库!$AO$2:$AO$1046,0),COLUMN()),"")</f>
        <v>速招</v>
      </c>
      <c r="X499">
        <f>IFERROR(INDEX(装备库!$A$2:$Y$1047,MATCH(ROW()-1,装备库!$AO$2:$AO$1046,0),COLUMN()),"")</f>
        <v>6</v>
      </c>
      <c r="Y499" t="str">
        <f>IFERROR(INDEX(装备库!$A$2:$Y$1047,MATCH(ROW()-1,装备库!$AO$2:$AO$1046,0),COLUMN()),"")</f>
        <v>挖宝</v>
      </c>
    </row>
    <row r="500" spans="1:25" x14ac:dyDescent="0.35">
      <c r="A500" t="str">
        <f>IFERROR(INDEX(装备库!$A$2:$Y$1047,MATCH(ROW()-1,装备库!$AO$2:$AO$1046,0),COLUMN()),"")</f>
        <v>腰带</v>
      </c>
      <c r="B500" t="str">
        <f>IFERROR(INDEX(装备库!$A$2:$Y$1047,MATCH(ROW()-1,装备库!$AO$2:$AO$1046,0),COLUMN()),"")</f>
        <v>忆敬带</v>
      </c>
      <c r="C500">
        <f>IFERROR(INDEX(装备库!$A$2:$Y$1047,MATCH(ROW()-1,装备库!$AO$2:$AO$1046,0),COLUMN()),"")</f>
        <v>10000</v>
      </c>
      <c r="D500" t="str">
        <f>IFERROR(INDEX(装备库!$A$2:$Y$1047,MATCH(ROW()-1,装备库!$AO$2:$AO$1046,0),COLUMN()),"")</f>
        <v>忆敬带(10000速无)</v>
      </c>
      <c r="E500">
        <f>IFERROR(INDEX(装备库!$A$2:$Y$1047,MATCH(ROW()-1,装备库!$AO$2:$AO$1046,0),COLUMN()),"")</f>
        <v>489</v>
      </c>
      <c r="F500">
        <f>IFERROR(INDEX(装备库!$A$2:$Y$1047,MATCH(ROW()-1,装备库!$AO$2:$AO$1046,0),COLUMN()),"")</f>
        <v>793</v>
      </c>
      <c r="G500">
        <f>IFERROR(INDEX(装备库!$A$2:$Y$1047,MATCH(ROW()-1,装备库!$AO$2:$AO$1046,0),COLUMN()),"")</f>
        <v>0</v>
      </c>
      <c r="H500">
        <f>IFERROR(INDEX(装备库!$A$2:$Y$1047,MATCH(ROW()-1,装备库!$AO$2:$AO$1046,0),COLUMN()),"")</f>
        <v>0</v>
      </c>
      <c r="I500">
        <f>IFERROR(INDEX(装备库!$A$2:$Y$1047,MATCH(ROW()-1,装备库!$AO$2:$AO$1046,0),COLUMN()),"")</f>
        <v>0</v>
      </c>
      <c r="J500">
        <f>IFERROR(INDEX(装备库!$A$2:$Y$1047,MATCH(ROW()-1,装备库!$AO$2:$AO$1046,0),COLUMN()),"")</f>
        <v>0</v>
      </c>
      <c r="K500">
        <f>IFERROR(INDEX(装备库!$A$2:$Y$1047,MATCH(ROW()-1,装备库!$AO$2:$AO$1046,0),COLUMN()),"")</f>
        <v>2180</v>
      </c>
      <c r="L500">
        <f>IFERROR(INDEX(装备库!$A$2:$Y$1047,MATCH(ROW()-1,装备库!$AO$2:$AO$1046,0),COLUMN()),"")</f>
        <v>2453</v>
      </c>
      <c r="M500">
        <f>IFERROR(INDEX(装备库!$A$2:$Y$1047,MATCH(ROW()-1,装备库!$AO$2:$AO$1046,0),COLUMN()),"")</f>
        <v>0</v>
      </c>
      <c r="N500">
        <f>IFERROR(INDEX(装备库!$A$2:$Y$1047,MATCH(ROW()-1,装备库!$AO$2:$AO$1046,0),COLUMN()),"")</f>
        <v>0</v>
      </c>
      <c r="O500">
        <f>IFERROR(INDEX(装备库!$A$2:$Y$1047,MATCH(ROW()-1,装备库!$AO$2:$AO$1046,0),COLUMN()),"")</f>
        <v>1</v>
      </c>
      <c r="P500">
        <f>IFERROR(INDEX(装备库!$A$2:$Y$1047,MATCH(ROW()-1,装备库!$AO$2:$AO$1046,0),COLUMN()),"")</f>
        <v>1</v>
      </c>
      <c r="Q500">
        <f>IFERROR(INDEX(装备库!$A$2:$Y$1047,MATCH(ROW()-1,装备库!$AO$2:$AO$1046,0),COLUMN()),"")</f>
        <v>0</v>
      </c>
      <c r="R500">
        <f>IFERROR(INDEX(装备库!$A$2:$Y$1047,MATCH(ROW()-1,装备库!$AO$2:$AO$1046,0),COLUMN()),"")</f>
        <v>0</v>
      </c>
      <c r="S500">
        <f>IFERROR(INDEX(装备库!$A$2:$Y$1047,MATCH(ROW()-1,装备库!$AO$2:$AO$1046,0),COLUMN()),"")</f>
        <v>0</v>
      </c>
      <c r="T500">
        <f>IFERROR(INDEX(装备库!$A$2:$Y$1047,MATCH(ROW()-1,装备库!$AO$2:$AO$1046,0),COLUMN()),"")</f>
        <v>0</v>
      </c>
      <c r="U500">
        <f>IFERROR(INDEX(装备库!$A$2:$Y$1047,MATCH(ROW()-1,装备库!$AO$2:$AO$1046,0),COLUMN()),"")</f>
        <v>0</v>
      </c>
      <c r="V500">
        <f>IFERROR(INDEX(装备库!$A$2:$Y$1047,MATCH(ROW()-1,装备库!$AO$2:$AO$1046,0),COLUMN()),"")</f>
        <v>0</v>
      </c>
      <c r="W500" t="str">
        <f>IFERROR(INDEX(装备库!$A$2:$Y$1047,MATCH(ROW()-1,装备库!$AO$2:$AO$1046,0),COLUMN()),"")</f>
        <v>速无</v>
      </c>
      <c r="X500">
        <f>IFERROR(INDEX(装备库!$A$2:$Y$1047,MATCH(ROW()-1,装备库!$AO$2:$AO$1046,0),COLUMN()),"")</f>
        <v>6</v>
      </c>
      <c r="Y500" t="str">
        <f>IFERROR(INDEX(装备库!$A$2:$Y$1047,MATCH(ROW()-1,装备库!$AO$2:$AO$1046,0),COLUMN()),"")</f>
        <v>副本</v>
      </c>
    </row>
    <row r="501" spans="1:25" x14ac:dyDescent="0.35">
      <c r="A501" t="str">
        <f>IFERROR(INDEX(装备库!$A$2:$Y$1047,MATCH(ROW()-1,装备库!$AO$2:$AO$1046,0),COLUMN()),"")</f>
        <v>腰带</v>
      </c>
      <c r="B501" t="str">
        <f>IFERROR(INDEX(装备库!$A$2:$Y$1047,MATCH(ROW()-1,装备库!$AO$2:$AO$1046,0),COLUMN()),"")</f>
        <v>垣翰带</v>
      </c>
      <c r="C501">
        <f>IFERROR(INDEX(装备库!$A$2:$Y$1047,MATCH(ROW()-1,装备库!$AO$2:$AO$1046,0),COLUMN()),"")</f>
        <v>10000</v>
      </c>
      <c r="D501" t="str">
        <f>IFERROR(INDEX(装备库!$A$2:$Y$1047,MATCH(ROW()-1,装备库!$AO$2:$AO$1046,0),COLUMN()),"")</f>
        <v>垣翰带(10000破无)</v>
      </c>
      <c r="E501">
        <f>IFERROR(INDEX(装备库!$A$2:$Y$1047,MATCH(ROW()-1,装备库!$AO$2:$AO$1046,0),COLUMN()),"")</f>
        <v>489</v>
      </c>
      <c r="F501">
        <f>IFERROR(INDEX(装备库!$A$2:$Y$1047,MATCH(ROW()-1,装备库!$AO$2:$AO$1046,0),COLUMN()),"")</f>
        <v>793</v>
      </c>
      <c r="G501">
        <f>IFERROR(INDEX(装备库!$A$2:$Y$1047,MATCH(ROW()-1,装备库!$AO$2:$AO$1046,0),COLUMN()),"")</f>
        <v>0</v>
      </c>
      <c r="H501">
        <f>IFERROR(INDEX(装备库!$A$2:$Y$1047,MATCH(ROW()-1,装备库!$AO$2:$AO$1046,0),COLUMN()),"")</f>
        <v>0</v>
      </c>
      <c r="I501">
        <f>IFERROR(INDEX(装备库!$A$2:$Y$1047,MATCH(ROW()-1,装备库!$AO$2:$AO$1046,0),COLUMN()),"")</f>
        <v>2453</v>
      </c>
      <c r="J501">
        <f>IFERROR(INDEX(装备库!$A$2:$Y$1047,MATCH(ROW()-1,装备库!$AO$2:$AO$1046,0),COLUMN()),"")</f>
        <v>0</v>
      </c>
      <c r="K501">
        <f>IFERROR(INDEX(装备库!$A$2:$Y$1047,MATCH(ROW()-1,装备库!$AO$2:$AO$1046,0),COLUMN()),"")</f>
        <v>2180</v>
      </c>
      <c r="L501">
        <f>IFERROR(INDEX(装备库!$A$2:$Y$1047,MATCH(ROW()-1,装备库!$AO$2:$AO$1046,0),COLUMN()),"")</f>
        <v>0</v>
      </c>
      <c r="M501">
        <f>IFERROR(INDEX(装备库!$A$2:$Y$1047,MATCH(ROW()-1,装备库!$AO$2:$AO$1046,0),COLUMN()),"")</f>
        <v>0</v>
      </c>
      <c r="N501">
        <f>IFERROR(INDEX(装备库!$A$2:$Y$1047,MATCH(ROW()-1,装备库!$AO$2:$AO$1046,0),COLUMN()),"")</f>
        <v>0</v>
      </c>
      <c r="O501">
        <f>IFERROR(INDEX(装备库!$A$2:$Y$1047,MATCH(ROW()-1,装备库!$AO$2:$AO$1046,0),COLUMN()),"")</f>
        <v>0</v>
      </c>
      <c r="P501">
        <f>IFERROR(INDEX(装备库!$A$2:$Y$1047,MATCH(ROW()-1,装备库!$AO$2:$AO$1046,0),COLUMN()),"")</f>
        <v>0</v>
      </c>
      <c r="Q501">
        <f>IFERROR(INDEX(装备库!$A$2:$Y$1047,MATCH(ROW()-1,装备库!$AO$2:$AO$1046,0),COLUMN()),"")</f>
        <v>1</v>
      </c>
      <c r="R501">
        <f>IFERROR(INDEX(装备库!$A$2:$Y$1047,MATCH(ROW()-1,装备库!$AO$2:$AO$1046,0),COLUMN()),"")</f>
        <v>0</v>
      </c>
      <c r="S501">
        <f>IFERROR(INDEX(装备库!$A$2:$Y$1047,MATCH(ROW()-1,装备库!$AO$2:$AO$1046,0),COLUMN()),"")</f>
        <v>0</v>
      </c>
      <c r="T501">
        <f>IFERROR(INDEX(装备库!$A$2:$Y$1047,MATCH(ROW()-1,装备库!$AO$2:$AO$1046,0),COLUMN()),"")</f>
        <v>0</v>
      </c>
      <c r="U501">
        <f>IFERROR(INDEX(装备库!$A$2:$Y$1047,MATCH(ROW()-1,装备库!$AO$2:$AO$1046,0),COLUMN()),"")</f>
        <v>1</v>
      </c>
      <c r="V501">
        <f>IFERROR(INDEX(装备库!$A$2:$Y$1047,MATCH(ROW()-1,装备库!$AO$2:$AO$1046,0),COLUMN()),"")</f>
        <v>0</v>
      </c>
      <c r="W501" t="str">
        <f>IFERROR(INDEX(装备库!$A$2:$Y$1047,MATCH(ROW()-1,装备库!$AO$2:$AO$1046,0),COLUMN()),"")</f>
        <v>破无</v>
      </c>
      <c r="X501">
        <f>IFERROR(INDEX(装备库!$A$2:$Y$1047,MATCH(ROW()-1,装备库!$AO$2:$AO$1046,0),COLUMN()),"")</f>
        <v>6</v>
      </c>
      <c r="Y501" t="str">
        <f>IFERROR(INDEX(装备库!$A$2:$Y$1047,MATCH(ROW()-1,装备库!$AO$2:$AO$1046,0),COLUMN()),"")</f>
        <v>副本</v>
      </c>
    </row>
    <row r="502" spans="1:25" x14ac:dyDescent="0.35">
      <c r="A502" t="str">
        <f>IFERROR(INDEX(装备库!$A$2:$Y$1047,MATCH(ROW()-1,装备库!$AO$2:$AO$1046,0),COLUMN()),"")</f>
        <v>腰带</v>
      </c>
      <c r="B502" t="str">
        <f>IFERROR(INDEX(装备库!$A$2:$Y$1047,MATCH(ROW()-1,装备库!$AO$2:$AO$1046,0),COLUMN()),"")</f>
        <v>项昌腰带</v>
      </c>
      <c r="C502">
        <f>IFERROR(INDEX(装备库!$A$2:$Y$1047,MATCH(ROW()-1,装备库!$AO$2:$AO$1046,0),COLUMN()),"")</f>
        <v>10000</v>
      </c>
      <c r="D502" t="str">
        <f>IFERROR(INDEX(装备库!$A$2:$Y$1047,MATCH(ROW()-1,装备库!$AO$2:$AO$1046,0),COLUMN()),"")</f>
        <v>项昌腰带(10000破无)</v>
      </c>
      <c r="E502">
        <f>IFERROR(INDEX(装备库!$A$2:$Y$1047,MATCH(ROW()-1,装备库!$AO$2:$AO$1046,0),COLUMN()),"")</f>
        <v>489</v>
      </c>
      <c r="F502">
        <f>IFERROR(INDEX(装备库!$A$2:$Y$1047,MATCH(ROW()-1,装备库!$AO$2:$AO$1046,0),COLUMN()),"")</f>
        <v>793</v>
      </c>
      <c r="G502">
        <f>IFERROR(INDEX(装备库!$A$2:$Y$1047,MATCH(ROW()-1,装备库!$AO$2:$AO$1046,0),COLUMN()),"")</f>
        <v>0</v>
      </c>
      <c r="H502">
        <f>IFERROR(INDEX(装备库!$A$2:$Y$1047,MATCH(ROW()-1,装备库!$AO$2:$AO$1046,0),COLUMN()),"")</f>
        <v>0</v>
      </c>
      <c r="I502">
        <f>IFERROR(INDEX(装备库!$A$2:$Y$1047,MATCH(ROW()-1,装备库!$AO$2:$AO$1046,0),COLUMN()),"")</f>
        <v>2453</v>
      </c>
      <c r="J502">
        <f>IFERROR(INDEX(装备库!$A$2:$Y$1047,MATCH(ROW()-1,装备库!$AO$2:$AO$1046,0),COLUMN()),"")</f>
        <v>0</v>
      </c>
      <c r="K502">
        <f>IFERROR(INDEX(装备库!$A$2:$Y$1047,MATCH(ROW()-1,装备库!$AO$2:$AO$1046,0),COLUMN()),"")</f>
        <v>2180</v>
      </c>
      <c r="L502">
        <f>IFERROR(INDEX(装备库!$A$2:$Y$1047,MATCH(ROW()-1,装备库!$AO$2:$AO$1046,0),COLUMN()),"")</f>
        <v>0</v>
      </c>
      <c r="M502">
        <f>IFERROR(INDEX(装备库!$A$2:$Y$1047,MATCH(ROW()-1,装备库!$AO$2:$AO$1046,0),COLUMN()),"")</f>
        <v>0</v>
      </c>
      <c r="N502">
        <f>IFERROR(INDEX(装备库!$A$2:$Y$1047,MATCH(ROW()-1,装备库!$AO$2:$AO$1046,0),COLUMN()),"")</f>
        <v>0</v>
      </c>
      <c r="O502">
        <f>IFERROR(INDEX(装备库!$A$2:$Y$1047,MATCH(ROW()-1,装备库!$AO$2:$AO$1046,0),COLUMN()),"")</f>
        <v>0</v>
      </c>
      <c r="P502">
        <f>IFERROR(INDEX(装备库!$A$2:$Y$1047,MATCH(ROW()-1,装备库!$AO$2:$AO$1046,0),COLUMN()),"")</f>
        <v>0</v>
      </c>
      <c r="Q502">
        <f>IFERROR(INDEX(装备库!$A$2:$Y$1047,MATCH(ROW()-1,装备库!$AO$2:$AO$1046,0),COLUMN()),"")</f>
        <v>1</v>
      </c>
      <c r="R502">
        <f>IFERROR(INDEX(装备库!$A$2:$Y$1047,MATCH(ROW()-1,装备库!$AO$2:$AO$1046,0),COLUMN()),"")</f>
        <v>0</v>
      </c>
      <c r="S502">
        <f>IFERROR(INDEX(装备库!$A$2:$Y$1047,MATCH(ROW()-1,装备库!$AO$2:$AO$1046,0),COLUMN()),"")</f>
        <v>0</v>
      </c>
      <c r="T502">
        <f>IFERROR(INDEX(装备库!$A$2:$Y$1047,MATCH(ROW()-1,装备库!$AO$2:$AO$1046,0),COLUMN()),"")</f>
        <v>0</v>
      </c>
      <c r="U502">
        <f>IFERROR(INDEX(装备库!$A$2:$Y$1047,MATCH(ROW()-1,装备库!$AO$2:$AO$1046,0),COLUMN()),"")</f>
        <v>1</v>
      </c>
      <c r="V502">
        <f>IFERROR(INDEX(装备库!$A$2:$Y$1047,MATCH(ROW()-1,装备库!$AO$2:$AO$1046,0),COLUMN()),"")</f>
        <v>0</v>
      </c>
      <c r="W502" t="str">
        <f>IFERROR(INDEX(装备库!$A$2:$Y$1047,MATCH(ROW()-1,装备库!$AO$2:$AO$1046,0),COLUMN()),"")</f>
        <v>破无</v>
      </c>
      <c r="X502">
        <f>IFERROR(INDEX(装备库!$A$2:$Y$1047,MATCH(ROW()-1,装备库!$AO$2:$AO$1046,0),COLUMN()),"")</f>
        <v>6</v>
      </c>
      <c r="Y502" t="str">
        <f>IFERROR(INDEX(装备库!$A$2:$Y$1047,MATCH(ROW()-1,装备库!$AO$2:$AO$1046,0),COLUMN()),"")</f>
        <v>副本</v>
      </c>
    </row>
    <row r="503" spans="1:25" x14ac:dyDescent="0.35">
      <c r="A503" t="str">
        <f>IFERROR(INDEX(装备库!$A$2:$Y$1047,MATCH(ROW()-1,装备库!$AO$2:$AO$1046,0),COLUMN()),"")</f>
        <v>腰带</v>
      </c>
      <c r="B503" t="str">
        <f>IFERROR(INDEX(装备库!$A$2:$Y$1047,MATCH(ROW()-1,装备库!$AO$2:$AO$1046,0),COLUMN()),"")</f>
        <v>御赐御厨腰带·刀功</v>
      </c>
      <c r="C503">
        <f>IFERROR(INDEX(装备库!$A$2:$Y$1047,MATCH(ROW()-1,装备库!$AO$2:$AO$1046,0),COLUMN()),"")</f>
        <v>10000</v>
      </c>
      <c r="D503" t="str">
        <f>IFERROR(INDEX(装备库!$A$2:$Y$1047,MATCH(ROW()-1,装备库!$AO$2:$AO$1046,0),COLUMN()),"")</f>
        <v>御赐御厨腰带·刀功(10000会招)</v>
      </c>
      <c r="E503">
        <f>IFERROR(INDEX(装备库!$A$2:$Y$1047,MATCH(ROW()-1,装备库!$AO$2:$AO$1046,0),COLUMN()),"")</f>
        <v>489</v>
      </c>
      <c r="F503">
        <f>IFERROR(INDEX(装备库!$A$2:$Y$1047,MATCH(ROW()-1,装备库!$AO$2:$AO$1046,0),COLUMN()),"")</f>
        <v>793</v>
      </c>
      <c r="G503">
        <f>IFERROR(INDEX(装备库!$A$2:$Y$1047,MATCH(ROW()-1,装备库!$AO$2:$AO$1046,0),COLUMN()),"")</f>
        <v>2453</v>
      </c>
      <c r="H503">
        <f>IFERROR(INDEX(装备库!$A$2:$Y$1047,MATCH(ROW()-1,装备库!$AO$2:$AO$1046,0),COLUMN()),"")</f>
        <v>0</v>
      </c>
      <c r="I503">
        <f>IFERROR(INDEX(装备库!$A$2:$Y$1047,MATCH(ROW()-1,装备库!$AO$2:$AO$1046,0),COLUMN()),"")</f>
        <v>0</v>
      </c>
      <c r="J503">
        <f>IFERROR(INDEX(装备库!$A$2:$Y$1047,MATCH(ROW()-1,装备库!$AO$2:$AO$1046,0),COLUMN()),"")</f>
        <v>2180</v>
      </c>
      <c r="K503">
        <f>IFERROR(INDEX(装备库!$A$2:$Y$1047,MATCH(ROW()-1,装备库!$AO$2:$AO$1046,0),COLUMN()),"")</f>
        <v>0</v>
      </c>
      <c r="L503">
        <f>IFERROR(INDEX(装备库!$A$2:$Y$1047,MATCH(ROW()-1,装备库!$AO$2:$AO$1046,0),COLUMN()),"")</f>
        <v>0</v>
      </c>
      <c r="M503">
        <f>IFERROR(INDEX(装备库!$A$2:$Y$1047,MATCH(ROW()-1,装备库!$AO$2:$AO$1046,0),COLUMN()),"")</f>
        <v>0</v>
      </c>
      <c r="N503">
        <f>IFERROR(INDEX(装备库!$A$2:$Y$1047,MATCH(ROW()-1,装备库!$AO$2:$AO$1046,0),COLUMN()),"")</f>
        <v>0</v>
      </c>
      <c r="O503">
        <f>IFERROR(INDEX(装备库!$A$2:$Y$1047,MATCH(ROW()-1,装备库!$AO$2:$AO$1046,0),COLUMN()),"")</f>
        <v>0</v>
      </c>
      <c r="P503">
        <f>IFERROR(INDEX(装备库!$A$2:$Y$1047,MATCH(ROW()-1,装备库!$AO$2:$AO$1046,0),COLUMN()),"")</f>
        <v>0</v>
      </c>
      <c r="Q503">
        <f>IFERROR(INDEX(装备库!$A$2:$Y$1047,MATCH(ROW()-1,装备库!$AO$2:$AO$1046,0),COLUMN()),"")</f>
        <v>1</v>
      </c>
      <c r="R503">
        <f>IFERROR(INDEX(装备库!$A$2:$Y$1047,MATCH(ROW()-1,装备库!$AO$2:$AO$1046,0),COLUMN()),"")</f>
        <v>1</v>
      </c>
      <c r="S503">
        <f>IFERROR(INDEX(装备库!$A$2:$Y$1047,MATCH(ROW()-1,装备库!$AO$2:$AO$1046,0),COLUMN()),"")</f>
        <v>0</v>
      </c>
      <c r="T503">
        <f>IFERROR(INDEX(装备库!$A$2:$Y$1047,MATCH(ROW()-1,装备库!$AO$2:$AO$1046,0),COLUMN()),"")</f>
        <v>0</v>
      </c>
      <c r="U503">
        <f>IFERROR(INDEX(装备库!$A$2:$Y$1047,MATCH(ROW()-1,装备库!$AO$2:$AO$1046,0),COLUMN()),"")</f>
        <v>0</v>
      </c>
      <c r="V503">
        <f>IFERROR(INDEX(装备库!$A$2:$Y$1047,MATCH(ROW()-1,装备库!$AO$2:$AO$1046,0),COLUMN()),"")</f>
        <v>0</v>
      </c>
      <c r="W503" t="str">
        <f>IFERROR(INDEX(装备库!$A$2:$Y$1047,MATCH(ROW()-1,装备库!$AO$2:$AO$1046,0),COLUMN()),"")</f>
        <v>会招</v>
      </c>
      <c r="X503">
        <f>IFERROR(INDEX(装备库!$A$2:$Y$1047,MATCH(ROW()-1,装备库!$AO$2:$AO$1046,0),COLUMN()),"")</f>
        <v>6</v>
      </c>
      <c r="Y503" t="str">
        <f>IFERROR(INDEX(装备库!$A$2:$Y$1047,MATCH(ROW()-1,装备库!$AO$2:$AO$1046,0),COLUMN()),"")</f>
        <v>活动</v>
      </c>
    </row>
    <row r="504" spans="1:25" x14ac:dyDescent="0.35">
      <c r="A504" t="str">
        <f>IFERROR(INDEX(装备库!$A$2:$Y$1047,MATCH(ROW()-1,装备库!$AO$2:$AO$1046,0),COLUMN()),"")</f>
        <v>腰带</v>
      </c>
      <c r="B504" t="str">
        <f>IFERROR(INDEX(装备库!$A$2:$Y$1047,MATCH(ROW()-1,装备库!$AO$2:$AO$1046,0),COLUMN()),"")</f>
        <v>羡双腰带</v>
      </c>
      <c r="C504">
        <f>IFERROR(INDEX(装备库!$A$2:$Y$1047,MATCH(ROW()-1,装备库!$AO$2:$AO$1046,0),COLUMN()),"")</f>
        <v>10000</v>
      </c>
      <c r="D504" t="str">
        <f>IFERROR(INDEX(装备库!$A$2:$Y$1047,MATCH(ROW()-1,装备库!$AO$2:$AO$1046,0),COLUMN()),"")</f>
        <v>羡双腰带(10000会无)</v>
      </c>
      <c r="E504">
        <f>IFERROR(INDEX(装备库!$A$2:$Y$1047,MATCH(ROW()-1,装备库!$AO$2:$AO$1046,0),COLUMN()),"")</f>
        <v>489</v>
      </c>
      <c r="F504">
        <f>IFERROR(INDEX(装备库!$A$2:$Y$1047,MATCH(ROW()-1,装备库!$AO$2:$AO$1046,0),COLUMN()),"")</f>
        <v>793</v>
      </c>
      <c r="G504">
        <f>IFERROR(INDEX(装备库!$A$2:$Y$1047,MATCH(ROW()-1,装备库!$AO$2:$AO$1046,0),COLUMN()),"")</f>
        <v>2453</v>
      </c>
      <c r="H504">
        <f>IFERROR(INDEX(装备库!$A$2:$Y$1047,MATCH(ROW()-1,装备库!$AO$2:$AO$1046,0),COLUMN()),"")</f>
        <v>0</v>
      </c>
      <c r="I504">
        <f>IFERROR(INDEX(装备库!$A$2:$Y$1047,MATCH(ROW()-1,装备库!$AO$2:$AO$1046,0),COLUMN()),"")</f>
        <v>0</v>
      </c>
      <c r="J504">
        <f>IFERROR(INDEX(装备库!$A$2:$Y$1047,MATCH(ROW()-1,装备库!$AO$2:$AO$1046,0),COLUMN()),"")</f>
        <v>0</v>
      </c>
      <c r="K504">
        <f>IFERROR(INDEX(装备库!$A$2:$Y$1047,MATCH(ROW()-1,装备库!$AO$2:$AO$1046,0),COLUMN()),"")</f>
        <v>2180</v>
      </c>
      <c r="L504">
        <f>IFERROR(INDEX(装备库!$A$2:$Y$1047,MATCH(ROW()-1,装备库!$AO$2:$AO$1046,0),COLUMN()),"")</f>
        <v>0</v>
      </c>
      <c r="M504">
        <f>IFERROR(INDEX(装备库!$A$2:$Y$1047,MATCH(ROW()-1,装备库!$AO$2:$AO$1046,0),COLUMN()),"")</f>
        <v>0</v>
      </c>
      <c r="N504">
        <f>IFERROR(INDEX(装备库!$A$2:$Y$1047,MATCH(ROW()-1,装备库!$AO$2:$AO$1046,0),COLUMN()),"")</f>
        <v>0</v>
      </c>
      <c r="O504">
        <f>IFERROR(INDEX(装备库!$A$2:$Y$1047,MATCH(ROW()-1,装备库!$AO$2:$AO$1046,0),COLUMN()),"")</f>
        <v>0</v>
      </c>
      <c r="P504">
        <f>IFERROR(INDEX(装备库!$A$2:$Y$1047,MATCH(ROW()-1,装备库!$AO$2:$AO$1046,0),COLUMN()),"")</f>
        <v>1</v>
      </c>
      <c r="Q504">
        <f>IFERROR(INDEX(装备库!$A$2:$Y$1047,MATCH(ROW()-1,装备库!$AO$2:$AO$1046,0),COLUMN()),"")</f>
        <v>1</v>
      </c>
      <c r="R504">
        <f>IFERROR(INDEX(装备库!$A$2:$Y$1047,MATCH(ROW()-1,装备库!$AO$2:$AO$1046,0),COLUMN()),"")</f>
        <v>0</v>
      </c>
      <c r="S504">
        <f>IFERROR(INDEX(装备库!$A$2:$Y$1047,MATCH(ROW()-1,装备库!$AO$2:$AO$1046,0),COLUMN()),"")</f>
        <v>0</v>
      </c>
      <c r="T504">
        <f>IFERROR(INDEX(装备库!$A$2:$Y$1047,MATCH(ROW()-1,装备库!$AO$2:$AO$1046,0),COLUMN()),"")</f>
        <v>0</v>
      </c>
      <c r="U504">
        <f>IFERROR(INDEX(装备库!$A$2:$Y$1047,MATCH(ROW()-1,装备库!$AO$2:$AO$1046,0),COLUMN()),"")</f>
        <v>0</v>
      </c>
      <c r="V504">
        <f>IFERROR(INDEX(装备库!$A$2:$Y$1047,MATCH(ROW()-1,装备库!$AO$2:$AO$1046,0),COLUMN()),"")</f>
        <v>0</v>
      </c>
      <c r="W504" t="str">
        <f>IFERROR(INDEX(装备库!$A$2:$Y$1047,MATCH(ROW()-1,装备库!$AO$2:$AO$1046,0),COLUMN()),"")</f>
        <v>会无</v>
      </c>
      <c r="X504">
        <f>IFERROR(INDEX(装备库!$A$2:$Y$1047,MATCH(ROW()-1,装备库!$AO$2:$AO$1046,0),COLUMN()),"")</f>
        <v>6</v>
      </c>
      <c r="Y504" t="str">
        <f>IFERROR(INDEX(装备库!$A$2:$Y$1047,MATCH(ROW()-1,装备库!$AO$2:$AO$1046,0),COLUMN()),"")</f>
        <v>副本</v>
      </c>
    </row>
    <row r="505" spans="1:25" x14ac:dyDescent="0.35">
      <c r="A505" t="str">
        <f>IFERROR(INDEX(装备库!$A$2:$Y$1047,MATCH(ROW()-1,装备库!$AO$2:$AO$1046,0),COLUMN()),"")</f>
        <v>腰带</v>
      </c>
      <c r="B505" t="str">
        <f>IFERROR(INDEX(装备库!$A$2:$Y$1047,MATCH(ROW()-1,装备库!$AO$2:$AO$1046,0),COLUMN()),"")</f>
        <v>【门派套装】展锋·望云腰带</v>
      </c>
      <c r="C505">
        <f>IFERROR(INDEX(装备库!$A$2:$Y$1047,MATCH(ROW()-1,装备库!$AO$2:$AO$1046,0),COLUMN()),"")</f>
        <v>10000</v>
      </c>
      <c r="D505" t="str">
        <f>IFERROR(INDEX(装备库!$A$2:$Y$1047,MATCH(ROW()-1,装备库!$AO$2:$AO$1046,0),COLUMN()),"")</f>
        <v>【门派套装】展锋·望云腰带(10000会无)</v>
      </c>
      <c r="E505">
        <f>IFERROR(INDEX(装备库!$A$2:$Y$1047,MATCH(ROW()-1,装备库!$AO$2:$AO$1046,0),COLUMN()),"")</f>
        <v>489</v>
      </c>
      <c r="F505">
        <f>IFERROR(INDEX(装备库!$A$2:$Y$1047,MATCH(ROW()-1,装备库!$AO$2:$AO$1046,0),COLUMN()),"")</f>
        <v>793</v>
      </c>
      <c r="G505">
        <f>IFERROR(INDEX(装备库!$A$2:$Y$1047,MATCH(ROW()-1,装备库!$AO$2:$AO$1046,0),COLUMN()),"")</f>
        <v>2453</v>
      </c>
      <c r="H505">
        <f>IFERROR(INDEX(装备库!$A$2:$Y$1047,MATCH(ROW()-1,装备库!$AO$2:$AO$1046,0),COLUMN()),"")</f>
        <v>0</v>
      </c>
      <c r="I505">
        <f>IFERROR(INDEX(装备库!$A$2:$Y$1047,MATCH(ROW()-1,装备库!$AO$2:$AO$1046,0),COLUMN()),"")</f>
        <v>0</v>
      </c>
      <c r="J505">
        <f>IFERROR(INDEX(装备库!$A$2:$Y$1047,MATCH(ROW()-1,装备库!$AO$2:$AO$1046,0),COLUMN()),"")</f>
        <v>0</v>
      </c>
      <c r="K505">
        <f>IFERROR(INDEX(装备库!$A$2:$Y$1047,MATCH(ROW()-1,装备库!$AO$2:$AO$1046,0),COLUMN()),"")</f>
        <v>2180</v>
      </c>
      <c r="L505">
        <f>IFERROR(INDEX(装备库!$A$2:$Y$1047,MATCH(ROW()-1,装备库!$AO$2:$AO$1046,0),COLUMN()),"")</f>
        <v>0</v>
      </c>
      <c r="M505">
        <f>IFERROR(INDEX(装备库!$A$2:$Y$1047,MATCH(ROW()-1,装备库!$AO$2:$AO$1046,0),COLUMN()),"")</f>
        <v>0</v>
      </c>
      <c r="N505">
        <f>IFERROR(INDEX(装备库!$A$2:$Y$1047,MATCH(ROW()-1,装备库!$AO$2:$AO$1046,0),COLUMN()),"")</f>
        <v>0</v>
      </c>
      <c r="O505">
        <f>IFERROR(INDEX(装备库!$A$2:$Y$1047,MATCH(ROW()-1,装备库!$AO$2:$AO$1046,0),COLUMN()),"")</f>
        <v>0</v>
      </c>
      <c r="P505">
        <f>IFERROR(INDEX(装备库!$A$2:$Y$1047,MATCH(ROW()-1,装备库!$AO$2:$AO$1046,0),COLUMN()),"")</f>
        <v>1</v>
      </c>
      <c r="Q505">
        <f>IFERROR(INDEX(装备库!$A$2:$Y$1047,MATCH(ROW()-1,装备库!$AO$2:$AO$1046,0),COLUMN()),"")</f>
        <v>1</v>
      </c>
      <c r="R505">
        <f>IFERROR(INDEX(装备库!$A$2:$Y$1047,MATCH(ROW()-1,装备库!$AO$2:$AO$1046,0),COLUMN()),"")</f>
        <v>0</v>
      </c>
      <c r="S505">
        <f>IFERROR(INDEX(装备库!$A$2:$Y$1047,MATCH(ROW()-1,装备库!$AO$2:$AO$1046,0),COLUMN()),"")</f>
        <v>0</v>
      </c>
      <c r="T505">
        <f>IFERROR(INDEX(装备库!$A$2:$Y$1047,MATCH(ROW()-1,装备库!$AO$2:$AO$1046,0),COLUMN()),"")</f>
        <v>0</v>
      </c>
      <c r="U505">
        <f>IFERROR(INDEX(装备库!$A$2:$Y$1047,MATCH(ROW()-1,装备库!$AO$2:$AO$1046,0),COLUMN()),"")</f>
        <v>0</v>
      </c>
      <c r="V505">
        <f>IFERROR(INDEX(装备库!$A$2:$Y$1047,MATCH(ROW()-1,装备库!$AO$2:$AO$1046,0),COLUMN()),"")</f>
        <v>0</v>
      </c>
      <c r="W505" t="str">
        <f>IFERROR(INDEX(装备库!$A$2:$Y$1047,MATCH(ROW()-1,装备库!$AO$2:$AO$1046,0),COLUMN()),"")</f>
        <v>会无</v>
      </c>
      <c r="X505">
        <f>IFERROR(INDEX(装备库!$A$2:$Y$1047,MATCH(ROW()-1,装备库!$AO$2:$AO$1046,0),COLUMN()),"")</f>
        <v>6</v>
      </c>
      <c r="Y505" t="str">
        <f>IFERROR(INDEX(装备库!$A$2:$Y$1047,MATCH(ROW()-1,装备库!$AO$2:$AO$1046,0),COLUMN()),"")</f>
        <v>兑换牌</v>
      </c>
    </row>
    <row r="506" spans="1:25" x14ac:dyDescent="0.35">
      <c r="A506" t="str">
        <f>IFERROR(INDEX(装备库!$A$2:$Y$1047,MATCH(ROW()-1,装备库!$AO$2:$AO$1046,0),COLUMN()),"")</f>
        <v>腰带</v>
      </c>
      <c r="B506" t="str">
        <f>IFERROR(INDEX(装备库!$A$2:$Y$1047,MATCH(ROW()-1,装备库!$AO$2:$AO$1046,0),COLUMN()),"")</f>
        <v>静山腰带</v>
      </c>
      <c r="C506">
        <f>IFERROR(INDEX(装备库!$A$2:$Y$1047,MATCH(ROW()-1,装备库!$AO$2:$AO$1046,0),COLUMN()),"")</f>
        <v>10100</v>
      </c>
      <c r="D506" t="str">
        <f>IFERROR(INDEX(装备库!$A$2:$Y$1047,MATCH(ROW()-1,装备库!$AO$2:$AO$1046,0),COLUMN()),"")</f>
        <v>静山腰带(10100招破)</v>
      </c>
      <c r="E506">
        <f>IFERROR(INDEX(装备库!$A$2:$Y$1047,MATCH(ROW()-1,装备库!$AO$2:$AO$1046,0),COLUMN()),"")</f>
        <v>494</v>
      </c>
      <c r="F506">
        <f>IFERROR(INDEX(装备库!$A$2:$Y$1047,MATCH(ROW()-1,装备库!$AO$2:$AO$1046,0),COLUMN()),"")</f>
        <v>801</v>
      </c>
      <c r="G506">
        <f>IFERROR(INDEX(装备库!$A$2:$Y$1047,MATCH(ROW()-1,装备库!$AO$2:$AO$1046,0),COLUMN()),"")</f>
        <v>0</v>
      </c>
      <c r="H506">
        <f>IFERROR(INDEX(装备库!$A$2:$Y$1047,MATCH(ROW()-1,装备库!$AO$2:$AO$1046,0),COLUMN()),"")</f>
        <v>0</v>
      </c>
      <c r="I506">
        <f>IFERROR(INDEX(装备库!$A$2:$Y$1047,MATCH(ROW()-1,装备库!$AO$2:$AO$1046,0),COLUMN()),"")</f>
        <v>2477</v>
      </c>
      <c r="J506">
        <f>IFERROR(INDEX(装备库!$A$2:$Y$1047,MATCH(ROW()-1,装备库!$AO$2:$AO$1046,0),COLUMN()),"")</f>
        <v>2202</v>
      </c>
      <c r="K506">
        <f>IFERROR(INDEX(装备库!$A$2:$Y$1047,MATCH(ROW()-1,装备库!$AO$2:$AO$1046,0),COLUMN()),"")</f>
        <v>0</v>
      </c>
      <c r="L506">
        <f>IFERROR(INDEX(装备库!$A$2:$Y$1047,MATCH(ROW()-1,装备库!$AO$2:$AO$1046,0),COLUMN()),"")</f>
        <v>0</v>
      </c>
      <c r="M506">
        <f>IFERROR(INDEX(装备库!$A$2:$Y$1047,MATCH(ROW()-1,装备库!$AO$2:$AO$1046,0),COLUMN()),"")</f>
        <v>0</v>
      </c>
      <c r="N506">
        <f>IFERROR(INDEX(装备库!$A$2:$Y$1047,MATCH(ROW()-1,装备库!$AO$2:$AO$1046,0),COLUMN()),"")</f>
        <v>0</v>
      </c>
      <c r="O506">
        <f>IFERROR(INDEX(装备库!$A$2:$Y$1047,MATCH(ROW()-1,装备库!$AO$2:$AO$1046,0),COLUMN()),"")</f>
        <v>1</v>
      </c>
      <c r="P506">
        <f>IFERROR(INDEX(装备库!$A$2:$Y$1047,MATCH(ROW()-1,装备库!$AO$2:$AO$1046,0),COLUMN()),"")</f>
        <v>0</v>
      </c>
      <c r="Q506">
        <f>IFERROR(INDEX(装备库!$A$2:$Y$1047,MATCH(ROW()-1,装备库!$AO$2:$AO$1046,0),COLUMN()),"")</f>
        <v>0</v>
      </c>
      <c r="R506">
        <f>IFERROR(INDEX(装备库!$A$2:$Y$1047,MATCH(ROW()-1,装备库!$AO$2:$AO$1046,0),COLUMN()),"")</f>
        <v>0</v>
      </c>
      <c r="S506">
        <f>IFERROR(INDEX(装备库!$A$2:$Y$1047,MATCH(ROW()-1,装备库!$AO$2:$AO$1046,0),COLUMN()),"")</f>
        <v>1</v>
      </c>
      <c r="T506">
        <f>IFERROR(INDEX(装备库!$A$2:$Y$1047,MATCH(ROW()-1,装备库!$AO$2:$AO$1046,0),COLUMN()),"")</f>
        <v>0</v>
      </c>
      <c r="U506">
        <f>IFERROR(INDEX(装备库!$A$2:$Y$1047,MATCH(ROW()-1,装备库!$AO$2:$AO$1046,0),COLUMN()),"")</f>
        <v>0</v>
      </c>
      <c r="V506">
        <f>IFERROR(INDEX(装备库!$A$2:$Y$1047,MATCH(ROW()-1,装备库!$AO$2:$AO$1046,0),COLUMN()),"")</f>
        <v>0</v>
      </c>
      <c r="W506" t="str">
        <f>IFERROR(INDEX(装备库!$A$2:$Y$1047,MATCH(ROW()-1,装备库!$AO$2:$AO$1046,0),COLUMN()),"")</f>
        <v>招破</v>
      </c>
      <c r="X506">
        <f>IFERROR(INDEX(装备库!$A$2:$Y$1047,MATCH(ROW()-1,装备库!$AO$2:$AO$1046,0),COLUMN()),"")</f>
        <v>6</v>
      </c>
      <c r="Y506" t="str">
        <f>IFERROR(INDEX(装备库!$A$2:$Y$1047,MATCH(ROW()-1,装备库!$AO$2:$AO$1046,0),COLUMN()),"")</f>
        <v>声望</v>
      </c>
    </row>
    <row r="507" spans="1:25" x14ac:dyDescent="0.35">
      <c r="A507" t="str">
        <f>IFERROR(INDEX(装备库!$A$2:$Y$1047,MATCH(ROW()-1,装备库!$AO$2:$AO$1046,0),COLUMN()),"")</f>
        <v>腰带</v>
      </c>
      <c r="B507" t="str">
        <f>IFERROR(INDEX(装备库!$A$2:$Y$1047,MATCH(ROW()-1,装备库!$AO$2:$AO$1046,0),COLUMN()),"")</f>
        <v>临岳腰带</v>
      </c>
      <c r="C507">
        <f>IFERROR(INDEX(装备库!$A$2:$Y$1047,MATCH(ROW()-1,装备库!$AO$2:$AO$1046,0),COLUMN()),"")</f>
        <v>10100</v>
      </c>
      <c r="D507" t="str">
        <f>IFERROR(INDEX(装备库!$A$2:$Y$1047,MATCH(ROW()-1,装备库!$AO$2:$AO$1046,0),COLUMN()),"")</f>
        <v>临岳腰带(10100破无)</v>
      </c>
      <c r="E507">
        <f>IFERROR(INDEX(装备库!$A$2:$Y$1047,MATCH(ROW()-1,装备库!$AO$2:$AO$1046,0),COLUMN()),"")</f>
        <v>494</v>
      </c>
      <c r="F507">
        <f>IFERROR(INDEX(装备库!$A$2:$Y$1047,MATCH(ROW()-1,装备库!$AO$2:$AO$1046,0),COLUMN()),"")</f>
        <v>801</v>
      </c>
      <c r="G507">
        <f>IFERROR(INDEX(装备库!$A$2:$Y$1047,MATCH(ROW()-1,装备库!$AO$2:$AO$1046,0),COLUMN()),"")</f>
        <v>0</v>
      </c>
      <c r="H507">
        <f>IFERROR(INDEX(装备库!$A$2:$Y$1047,MATCH(ROW()-1,装备库!$AO$2:$AO$1046,0),COLUMN()),"")</f>
        <v>0</v>
      </c>
      <c r="I507">
        <f>IFERROR(INDEX(装备库!$A$2:$Y$1047,MATCH(ROW()-1,装备库!$AO$2:$AO$1046,0),COLUMN()),"")</f>
        <v>2477</v>
      </c>
      <c r="J507">
        <f>IFERROR(INDEX(装备库!$A$2:$Y$1047,MATCH(ROW()-1,装备库!$AO$2:$AO$1046,0),COLUMN()),"")</f>
        <v>0</v>
      </c>
      <c r="K507">
        <f>IFERROR(INDEX(装备库!$A$2:$Y$1047,MATCH(ROW()-1,装备库!$AO$2:$AO$1046,0),COLUMN()),"")</f>
        <v>2202</v>
      </c>
      <c r="L507">
        <f>IFERROR(INDEX(装备库!$A$2:$Y$1047,MATCH(ROW()-1,装备库!$AO$2:$AO$1046,0),COLUMN()),"")</f>
        <v>0</v>
      </c>
      <c r="M507">
        <f>IFERROR(INDEX(装备库!$A$2:$Y$1047,MATCH(ROW()-1,装备库!$AO$2:$AO$1046,0),COLUMN()),"")</f>
        <v>0</v>
      </c>
      <c r="N507">
        <f>IFERROR(INDEX(装备库!$A$2:$Y$1047,MATCH(ROW()-1,装备库!$AO$2:$AO$1046,0),COLUMN()),"")</f>
        <v>0</v>
      </c>
      <c r="O507">
        <f>IFERROR(INDEX(装备库!$A$2:$Y$1047,MATCH(ROW()-1,装备库!$AO$2:$AO$1046,0),COLUMN()),"")</f>
        <v>0</v>
      </c>
      <c r="P507">
        <f>IFERROR(INDEX(装备库!$A$2:$Y$1047,MATCH(ROW()-1,装备库!$AO$2:$AO$1046,0),COLUMN()),"")</f>
        <v>0</v>
      </c>
      <c r="Q507">
        <f>IFERROR(INDEX(装备库!$A$2:$Y$1047,MATCH(ROW()-1,装备库!$AO$2:$AO$1046,0),COLUMN()),"")</f>
        <v>1</v>
      </c>
      <c r="R507">
        <f>IFERROR(INDEX(装备库!$A$2:$Y$1047,MATCH(ROW()-1,装备库!$AO$2:$AO$1046,0),COLUMN()),"")</f>
        <v>0</v>
      </c>
      <c r="S507">
        <f>IFERROR(INDEX(装备库!$A$2:$Y$1047,MATCH(ROW()-1,装备库!$AO$2:$AO$1046,0),COLUMN()),"")</f>
        <v>0</v>
      </c>
      <c r="T507">
        <f>IFERROR(INDEX(装备库!$A$2:$Y$1047,MATCH(ROW()-1,装备库!$AO$2:$AO$1046,0),COLUMN()),"")</f>
        <v>0</v>
      </c>
      <c r="U507">
        <f>IFERROR(INDEX(装备库!$A$2:$Y$1047,MATCH(ROW()-1,装备库!$AO$2:$AO$1046,0),COLUMN()),"")</f>
        <v>1</v>
      </c>
      <c r="V507">
        <f>IFERROR(INDEX(装备库!$A$2:$Y$1047,MATCH(ROW()-1,装备库!$AO$2:$AO$1046,0),COLUMN()),"")</f>
        <v>0</v>
      </c>
      <c r="W507" t="str">
        <f>IFERROR(INDEX(装备库!$A$2:$Y$1047,MATCH(ROW()-1,装备库!$AO$2:$AO$1046,0),COLUMN()),"")</f>
        <v>破无</v>
      </c>
      <c r="X507">
        <f>IFERROR(INDEX(装备库!$A$2:$Y$1047,MATCH(ROW()-1,装备库!$AO$2:$AO$1046,0),COLUMN()),"")</f>
        <v>6</v>
      </c>
      <c r="Y507" t="str">
        <f>IFERROR(INDEX(装备库!$A$2:$Y$1047,MATCH(ROW()-1,装备库!$AO$2:$AO$1046,0),COLUMN()),"")</f>
        <v>声望</v>
      </c>
    </row>
    <row r="508" spans="1:25" x14ac:dyDescent="0.35">
      <c r="A508" t="str">
        <f>IFERROR(INDEX(装备库!$A$2:$Y$1047,MATCH(ROW()-1,装备库!$AO$2:$AO$1046,0),COLUMN()),"")</f>
        <v>腰带</v>
      </c>
      <c r="B508" t="str">
        <f>IFERROR(INDEX(装备库!$A$2:$Y$1047,MATCH(ROW()-1,装备库!$AO$2:$AO$1046,0),COLUMN()),"")</f>
        <v>闲月腰带</v>
      </c>
      <c r="C508">
        <f>IFERROR(INDEX(装备库!$A$2:$Y$1047,MATCH(ROW()-1,装备库!$AO$2:$AO$1046,0),COLUMN()),"")</f>
        <v>10150</v>
      </c>
      <c r="D508" t="str">
        <f>IFERROR(INDEX(装备库!$A$2:$Y$1047,MATCH(ROW()-1,装备库!$AO$2:$AO$1046,0),COLUMN()),"")</f>
        <v>闲月腰带(10150速招)</v>
      </c>
      <c r="E508">
        <f>IFERROR(INDEX(装备库!$A$2:$Y$1047,MATCH(ROW()-1,装备库!$AO$2:$AO$1046,0),COLUMN()),"")</f>
        <v>496</v>
      </c>
      <c r="F508">
        <f>IFERROR(INDEX(装备库!$A$2:$Y$1047,MATCH(ROW()-1,装备库!$AO$2:$AO$1046,0),COLUMN()),"")</f>
        <v>805</v>
      </c>
      <c r="G508">
        <f>IFERROR(INDEX(装备库!$A$2:$Y$1047,MATCH(ROW()-1,装备库!$AO$2:$AO$1046,0),COLUMN()),"")</f>
        <v>0</v>
      </c>
      <c r="H508">
        <f>IFERROR(INDEX(装备库!$A$2:$Y$1047,MATCH(ROW()-1,装备库!$AO$2:$AO$1046,0),COLUMN()),"")</f>
        <v>0</v>
      </c>
      <c r="I508">
        <f>IFERROR(INDEX(装备库!$A$2:$Y$1047,MATCH(ROW()-1,装备库!$AO$2:$AO$1046,0),COLUMN()),"")</f>
        <v>0</v>
      </c>
      <c r="J508">
        <f>IFERROR(INDEX(装备库!$A$2:$Y$1047,MATCH(ROW()-1,装备库!$AO$2:$AO$1046,0),COLUMN()),"")</f>
        <v>2213</v>
      </c>
      <c r="K508">
        <f>IFERROR(INDEX(装备库!$A$2:$Y$1047,MATCH(ROW()-1,装备库!$AO$2:$AO$1046,0),COLUMN()),"")</f>
        <v>0</v>
      </c>
      <c r="L508">
        <f>IFERROR(INDEX(装备库!$A$2:$Y$1047,MATCH(ROW()-1,装备库!$AO$2:$AO$1046,0),COLUMN()),"")</f>
        <v>2489</v>
      </c>
      <c r="M508">
        <f>IFERROR(INDEX(装备库!$A$2:$Y$1047,MATCH(ROW()-1,装备库!$AO$2:$AO$1046,0),COLUMN()),"")</f>
        <v>0</v>
      </c>
      <c r="N508">
        <f>IFERROR(INDEX(装备库!$A$2:$Y$1047,MATCH(ROW()-1,装备库!$AO$2:$AO$1046,0),COLUMN()),"")</f>
        <v>0</v>
      </c>
      <c r="O508">
        <f>IFERROR(INDEX(装备库!$A$2:$Y$1047,MATCH(ROW()-1,装备库!$AO$2:$AO$1046,0),COLUMN()),"")</f>
        <v>0</v>
      </c>
      <c r="P508">
        <f>IFERROR(INDEX(装备库!$A$2:$Y$1047,MATCH(ROW()-1,装备库!$AO$2:$AO$1046,0),COLUMN()),"")</f>
        <v>1</v>
      </c>
      <c r="Q508">
        <f>IFERROR(INDEX(装备库!$A$2:$Y$1047,MATCH(ROW()-1,装备库!$AO$2:$AO$1046,0),COLUMN()),"")</f>
        <v>1</v>
      </c>
      <c r="R508">
        <f>IFERROR(INDEX(装备库!$A$2:$Y$1047,MATCH(ROW()-1,装备库!$AO$2:$AO$1046,0),COLUMN()),"")</f>
        <v>0</v>
      </c>
      <c r="S508">
        <f>IFERROR(INDEX(装备库!$A$2:$Y$1047,MATCH(ROW()-1,装备库!$AO$2:$AO$1046,0),COLUMN()),"")</f>
        <v>0</v>
      </c>
      <c r="T508">
        <f>IFERROR(INDEX(装备库!$A$2:$Y$1047,MATCH(ROW()-1,装备库!$AO$2:$AO$1046,0),COLUMN()),"")</f>
        <v>0</v>
      </c>
      <c r="U508">
        <f>IFERROR(INDEX(装备库!$A$2:$Y$1047,MATCH(ROW()-1,装备库!$AO$2:$AO$1046,0),COLUMN()),"")</f>
        <v>0</v>
      </c>
      <c r="V508">
        <f>IFERROR(INDEX(装备库!$A$2:$Y$1047,MATCH(ROW()-1,装备库!$AO$2:$AO$1046,0),COLUMN()),"")</f>
        <v>0</v>
      </c>
      <c r="W508" t="str">
        <f>IFERROR(INDEX(装备库!$A$2:$Y$1047,MATCH(ROW()-1,装备库!$AO$2:$AO$1046,0),COLUMN()),"")</f>
        <v>速招</v>
      </c>
      <c r="X508">
        <f>IFERROR(INDEX(装备库!$A$2:$Y$1047,MATCH(ROW()-1,装备库!$AO$2:$AO$1046,0),COLUMN()),"")</f>
        <v>6</v>
      </c>
      <c r="Y508" t="str">
        <f>IFERROR(INDEX(装备库!$A$2:$Y$1047,MATCH(ROW()-1,装备库!$AO$2:$AO$1046,0),COLUMN()),"")</f>
        <v>副本</v>
      </c>
    </row>
    <row r="509" spans="1:25" x14ac:dyDescent="0.35">
      <c r="A509" t="str">
        <f>IFERROR(INDEX(装备库!$A$2:$Y$1047,MATCH(ROW()-1,装备库!$AO$2:$AO$1046,0),COLUMN()),"")</f>
        <v>腰带</v>
      </c>
      <c r="B509" t="str">
        <f>IFERROR(INDEX(装备库!$A$2:$Y$1047,MATCH(ROW()-1,装备库!$AO$2:$AO$1046,0),COLUMN()),"")</f>
        <v>玄卢带</v>
      </c>
      <c r="C509">
        <f>IFERROR(INDEX(装备库!$A$2:$Y$1047,MATCH(ROW()-1,装备库!$AO$2:$AO$1046,0),COLUMN()),"")</f>
        <v>10150</v>
      </c>
      <c r="D509" t="str">
        <f>IFERROR(INDEX(装备库!$A$2:$Y$1047,MATCH(ROW()-1,装备库!$AO$2:$AO$1046,0),COLUMN()),"")</f>
        <v>玄卢带(10150破无)</v>
      </c>
      <c r="E509">
        <f>IFERROR(INDEX(装备库!$A$2:$Y$1047,MATCH(ROW()-1,装备库!$AO$2:$AO$1046,0),COLUMN()),"")</f>
        <v>496</v>
      </c>
      <c r="F509">
        <f>IFERROR(INDEX(装备库!$A$2:$Y$1047,MATCH(ROW()-1,装备库!$AO$2:$AO$1046,0),COLUMN()),"")</f>
        <v>805</v>
      </c>
      <c r="G509">
        <f>IFERROR(INDEX(装备库!$A$2:$Y$1047,MATCH(ROW()-1,装备库!$AO$2:$AO$1046,0),COLUMN()),"")</f>
        <v>0</v>
      </c>
      <c r="H509">
        <f>IFERROR(INDEX(装备库!$A$2:$Y$1047,MATCH(ROW()-1,装备库!$AO$2:$AO$1046,0),COLUMN()),"")</f>
        <v>0</v>
      </c>
      <c r="I509">
        <f>IFERROR(INDEX(装备库!$A$2:$Y$1047,MATCH(ROW()-1,装备库!$AO$2:$AO$1046,0),COLUMN()),"")</f>
        <v>2489</v>
      </c>
      <c r="J509">
        <f>IFERROR(INDEX(装备库!$A$2:$Y$1047,MATCH(ROW()-1,装备库!$AO$2:$AO$1046,0),COLUMN()),"")</f>
        <v>0</v>
      </c>
      <c r="K509">
        <f>IFERROR(INDEX(装备库!$A$2:$Y$1047,MATCH(ROW()-1,装备库!$AO$2:$AO$1046,0),COLUMN()),"")</f>
        <v>2213</v>
      </c>
      <c r="L509">
        <f>IFERROR(INDEX(装备库!$A$2:$Y$1047,MATCH(ROW()-1,装备库!$AO$2:$AO$1046,0),COLUMN()),"")</f>
        <v>0</v>
      </c>
      <c r="M509">
        <f>IFERROR(INDEX(装备库!$A$2:$Y$1047,MATCH(ROW()-1,装备库!$AO$2:$AO$1046,0),COLUMN()),"")</f>
        <v>0</v>
      </c>
      <c r="N509">
        <f>IFERROR(INDEX(装备库!$A$2:$Y$1047,MATCH(ROW()-1,装备库!$AO$2:$AO$1046,0),COLUMN()),"")</f>
        <v>0</v>
      </c>
      <c r="O509">
        <f>IFERROR(INDEX(装备库!$A$2:$Y$1047,MATCH(ROW()-1,装备库!$AO$2:$AO$1046,0),COLUMN()),"")</f>
        <v>0</v>
      </c>
      <c r="P509">
        <f>IFERROR(INDEX(装备库!$A$2:$Y$1047,MATCH(ROW()-1,装备库!$AO$2:$AO$1046,0),COLUMN()),"")</f>
        <v>0</v>
      </c>
      <c r="Q509">
        <f>IFERROR(INDEX(装备库!$A$2:$Y$1047,MATCH(ROW()-1,装备库!$AO$2:$AO$1046,0),COLUMN()),"")</f>
        <v>1</v>
      </c>
      <c r="R509">
        <f>IFERROR(INDEX(装备库!$A$2:$Y$1047,MATCH(ROW()-1,装备库!$AO$2:$AO$1046,0),COLUMN()),"")</f>
        <v>0</v>
      </c>
      <c r="S509">
        <f>IFERROR(INDEX(装备库!$A$2:$Y$1047,MATCH(ROW()-1,装备库!$AO$2:$AO$1046,0),COLUMN()),"")</f>
        <v>0</v>
      </c>
      <c r="T509">
        <f>IFERROR(INDEX(装备库!$A$2:$Y$1047,MATCH(ROW()-1,装备库!$AO$2:$AO$1046,0),COLUMN()),"")</f>
        <v>0</v>
      </c>
      <c r="U509">
        <f>IFERROR(INDEX(装备库!$A$2:$Y$1047,MATCH(ROW()-1,装备库!$AO$2:$AO$1046,0),COLUMN()),"")</f>
        <v>1</v>
      </c>
      <c r="V509">
        <f>IFERROR(INDEX(装备库!$A$2:$Y$1047,MATCH(ROW()-1,装备库!$AO$2:$AO$1046,0),COLUMN()),"")</f>
        <v>0</v>
      </c>
      <c r="W509" t="str">
        <f>IFERROR(INDEX(装备库!$A$2:$Y$1047,MATCH(ROW()-1,装备库!$AO$2:$AO$1046,0),COLUMN()),"")</f>
        <v>破无</v>
      </c>
      <c r="X509">
        <f>IFERROR(INDEX(装备库!$A$2:$Y$1047,MATCH(ROW()-1,装备库!$AO$2:$AO$1046,0),COLUMN()),"")</f>
        <v>6</v>
      </c>
      <c r="Y509" t="str">
        <f>IFERROR(INDEX(装备库!$A$2:$Y$1047,MATCH(ROW()-1,装备库!$AO$2:$AO$1046,0),COLUMN()),"")</f>
        <v>副本</v>
      </c>
    </row>
    <row r="510" spans="1:25" x14ac:dyDescent="0.35">
      <c r="A510" t="str">
        <f>IFERROR(INDEX(装备库!$A$2:$Y$1047,MATCH(ROW()-1,装备库!$AO$2:$AO$1046,0),COLUMN()),"")</f>
        <v>腰带</v>
      </c>
      <c r="B510" t="str">
        <f>IFERROR(INDEX(装备库!$A$2:$Y$1047,MATCH(ROW()-1,装备库!$AO$2:$AO$1046,0),COLUMN()),"")</f>
        <v>虚韵带</v>
      </c>
      <c r="C510">
        <f>IFERROR(INDEX(装备库!$A$2:$Y$1047,MATCH(ROW()-1,装备库!$AO$2:$AO$1046,0),COLUMN()),"")</f>
        <v>10400</v>
      </c>
      <c r="D510" t="str">
        <f>IFERROR(INDEX(装备库!$A$2:$Y$1047,MATCH(ROW()-1,装备库!$AO$2:$AO$1046,0),COLUMN()),"")</f>
        <v>虚韵带(10400会无)</v>
      </c>
      <c r="E510">
        <f>IFERROR(INDEX(装备库!$A$2:$Y$1047,MATCH(ROW()-1,装备库!$AO$2:$AO$1046,0),COLUMN()),"")</f>
        <v>508</v>
      </c>
      <c r="F510">
        <f>IFERROR(INDEX(装备库!$A$2:$Y$1047,MATCH(ROW()-1,装备库!$AO$2:$AO$1046,0),COLUMN()),"")</f>
        <v>825</v>
      </c>
      <c r="G510">
        <f>IFERROR(INDEX(装备库!$A$2:$Y$1047,MATCH(ROW()-1,装备库!$AO$2:$AO$1046,0),COLUMN()),"")</f>
        <v>2551</v>
      </c>
      <c r="H510">
        <f>IFERROR(INDEX(装备库!$A$2:$Y$1047,MATCH(ROW()-1,装备库!$AO$2:$AO$1046,0),COLUMN()),"")</f>
        <v>0</v>
      </c>
      <c r="I510">
        <f>IFERROR(INDEX(装备库!$A$2:$Y$1047,MATCH(ROW()-1,装备库!$AO$2:$AO$1046,0),COLUMN()),"")</f>
        <v>0</v>
      </c>
      <c r="J510">
        <f>IFERROR(INDEX(装备库!$A$2:$Y$1047,MATCH(ROW()-1,装备库!$AO$2:$AO$1046,0),COLUMN()),"")</f>
        <v>0</v>
      </c>
      <c r="K510">
        <f>IFERROR(INDEX(装备库!$A$2:$Y$1047,MATCH(ROW()-1,装备库!$AO$2:$AO$1046,0),COLUMN()),"")</f>
        <v>2267</v>
      </c>
      <c r="L510">
        <f>IFERROR(INDEX(装备库!$A$2:$Y$1047,MATCH(ROW()-1,装备库!$AO$2:$AO$1046,0),COLUMN()),"")</f>
        <v>0</v>
      </c>
      <c r="M510">
        <f>IFERROR(INDEX(装备库!$A$2:$Y$1047,MATCH(ROW()-1,装备库!$AO$2:$AO$1046,0),COLUMN()),"")</f>
        <v>0</v>
      </c>
      <c r="N510">
        <f>IFERROR(INDEX(装备库!$A$2:$Y$1047,MATCH(ROW()-1,装备库!$AO$2:$AO$1046,0),COLUMN()),"")</f>
        <v>0</v>
      </c>
      <c r="O510">
        <f>IFERROR(INDEX(装备库!$A$2:$Y$1047,MATCH(ROW()-1,装备库!$AO$2:$AO$1046,0),COLUMN()),"")</f>
        <v>0</v>
      </c>
      <c r="P510">
        <f>IFERROR(INDEX(装备库!$A$2:$Y$1047,MATCH(ROW()-1,装备库!$AO$2:$AO$1046,0),COLUMN()),"")</f>
        <v>1</v>
      </c>
      <c r="Q510">
        <f>IFERROR(INDEX(装备库!$A$2:$Y$1047,MATCH(ROW()-1,装备库!$AO$2:$AO$1046,0),COLUMN()),"")</f>
        <v>1</v>
      </c>
      <c r="R510">
        <f>IFERROR(INDEX(装备库!$A$2:$Y$1047,MATCH(ROW()-1,装备库!$AO$2:$AO$1046,0),COLUMN()),"")</f>
        <v>0</v>
      </c>
      <c r="S510">
        <f>IFERROR(INDEX(装备库!$A$2:$Y$1047,MATCH(ROW()-1,装备库!$AO$2:$AO$1046,0),COLUMN()),"")</f>
        <v>0</v>
      </c>
      <c r="T510">
        <f>IFERROR(INDEX(装备库!$A$2:$Y$1047,MATCH(ROW()-1,装备库!$AO$2:$AO$1046,0),COLUMN()),"")</f>
        <v>0</v>
      </c>
      <c r="U510">
        <f>IFERROR(INDEX(装备库!$A$2:$Y$1047,MATCH(ROW()-1,装备库!$AO$2:$AO$1046,0),COLUMN()),"")</f>
        <v>0</v>
      </c>
      <c r="V510">
        <f>IFERROR(INDEX(装备库!$A$2:$Y$1047,MATCH(ROW()-1,装备库!$AO$2:$AO$1046,0),COLUMN()),"")</f>
        <v>0</v>
      </c>
      <c r="W510" t="str">
        <f>IFERROR(INDEX(装备库!$A$2:$Y$1047,MATCH(ROW()-1,装备库!$AO$2:$AO$1046,0),COLUMN()),"")</f>
        <v>会无</v>
      </c>
      <c r="X510">
        <f>IFERROR(INDEX(装备库!$A$2:$Y$1047,MATCH(ROW()-1,装备库!$AO$2:$AO$1046,0),COLUMN()),"")</f>
        <v>6</v>
      </c>
      <c r="Y510" t="str">
        <f>IFERROR(INDEX(装备库!$A$2:$Y$1047,MATCH(ROW()-1,装备库!$AO$2:$AO$1046,0),COLUMN()),"")</f>
        <v>侠义值</v>
      </c>
    </row>
    <row r="511" spans="1:25" x14ac:dyDescent="0.35">
      <c r="A511" t="str">
        <f>IFERROR(INDEX(装备库!$A$2:$Y$1047,MATCH(ROW()-1,装备库!$AO$2:$AO$1046,0),COLUMN()),"")</f>
        <v>腰带</v>
      </c>
      <c r="B511" t="str">
        <f>IFERROR(INDEX(装备库!$A$2:$Y$1047,MATCH(ROW()-1,装备库!$AO$2:$AO$1046,0),COLUMN()),"")</f>
        <v>静山腰带</v>
      </c>
      <c r="C511">
        <f>IFERROR(INDEX(装备库!$A$2:$Y$1047,MATCH(ROW()-1,装备库!$AO$2:$AO$1046,0),COLUMN()),"")</f>
        <v>10700</v>
      </c>
      <c r="D511" t="str">
        <f>IFERROR(INDEX(装备库!$A$2:$Y$1047,MATCH(ROW()-1,装备库!$AO$2:$AO$1046,0),COLUMN()),"")</f>
        <v>静山腰带(10700招破)</v>
      </c>
      <c r="E511">
        <f>IFERROR(INDEX(装备库!$A$2:$Y$1047,MATCH(ROW()-1,装备库!$AO$2:$AO$1046,0),COLUMN()),"")</f>
        <v>523</v>
      </c>
      <c r="F511">
        <f>IFERROR(INDEX(装备库!$A$2:$Y$1047,MATCH(ROW()-1,装备库!$AO$2:$AO$1046,0),COLUMN()),"")</f>
        <v>848</v>
      </c>
      <c r="G511">
        <f>IFERROR(INDEX(装备库!$A$2:$Y$1047,MATCH(ROW()-1,装备库!$AO$2:$AO$1046,0),COLUMN()),"")</f>
        <v>0</v>
      </c>
      <c r="H511">
        <f>IFERROR(INDEX(装备库!$A$2:$Y$1047,MATCH(ROW()-1,装备库!$AO$2:$AO$1046,0),COLUMN()),"")</f>
        <v>0</v>
      </c>
      <c r="I511">
        <f>IFERROR(INDEX(装备库!$A$2:$Y$1047,MATCH(ROW()-1,装备库!$AO$2:$AO$1046,0),COLUMN()),"")</f>
        <v>2624</v>
      </c>
      <c r="J511">
        <f>IFERROR(INDEX(装备库!$A$2:$Y$1047,MATCH(ROW()-1,装备库!$AO$2:$AO$1046,0),COLUMN()),"")</f>
        <v>2333</v>
      </c>
      <c r="K511">
        <f>IFERROR(INDEX(装备库!$A$2:$Y$1047,MATCH(ROW()-1,装备库!$AO$2:$AO$1046,0),COLUMN()),"")</f>
        <v>0</v>
      </c>
      <c r="L511">
        <f>IFERROR(INDEX(装备库!$A$2:$Y$1047,MATCH(ROW()-1,装备库!$AO$2:$AO$1046,0),COLUMN()),"")</f>
        <v>0</v>
      </c>
      <c r="M511">
        <f>IFERROR(INDEX(装备库!$A$2:$Y$1047,MATCH(ROW()-1,装备库!$AO$2:$AO$1046,0),COLUMN()),"")</f>
        <v>0</v>
      </c>
      <c r="N511">
        <f>IFERROR(INDEX(装备库!$A$2:$Y$1047,MATCH(ROW()-1,装备库!$AO$2:$AO$1046,0),COLUMN()),"")</f>
        <v>0</v>
      </c>
      <c r="O511">
        <f>IFERROR(INDEX(装备库!$A$2:$Y$1047,MATCH(ROW()-1,装备库!$AO$2:$AO$1046,0),COLUMN()),"")</f>
        <v>1</v>
      </c>
      <c r="P511">
        <f>IFERROR(INDEX(装备库!$A$2:$Y$1047,MATCH(ROW()-1,装备库!$AO$2:$AO$1046,0),COLUMN()),"")</f>
        <v>0</v>
      </c>
      <c r="Q511">
        <f>IFERROR(INDEX(装备库!$A$2:$Y$1047,MATCH(ROW()-1,装备库!$AO$2:$AO$1046,0),COLUMN()),"")</f>
        <v>0</v>
      </c>
      <c r="R511">
        <f>IFERROR(INDEX(装备库!$A$2:$Y$1047,MATCH(ROW()-1,装备库!$AO$2:$AO$1046,0),COLUMN()),"")</f>
        <v>0</v>
      </c>
      <c r="S511">
        <f>IFERROR(INDEX(装备库!$A$2:$Y$1047,MATCH(ROW()-1,装备库!$AO$2:$AO$1046,0),COLUMN()),"")</f>
        <v>1</v>
      </c>
      <c r="T511">
        <f>IFERROR(INDEX(装备库!$A$2:$Y$1047,MATCH(ROW()-1,装备库!$AO$2:$AO$1046,0),COLUMN()),"")</f>
        <v>0</v>
      </c>
      <c r="U511">
        <f>IFERROR(INDEX(装备库!$A$2:$Y$1047,MATCH(ROW()-1,装备库!$AO$2:$AO$1046,0),COLUMN()),"")</f>
        <v>0</v>
      </c>
      <c r="V511">
        <f>IFERROR(INDEX(装备库!$A$2:$Y$1047,MATCH(ROW()-1,装备库!$AO$2:$AO$1046,0),COLUMN()),"")</f>
        <v>0</v>
      </c>
      <c r="W511" t="str">
        <f>IFERROR(INDEX(装备库!$A$2:$Y$1047,MATCH(ROW()-1,装备库!$AO$2:$AO$1046,0),COLUMN()),"")</f>
        <v>招破</v>
      </c>
      <c r="X511">
        <f>IFERROR(INDEX(装备库!$A$2:$Y$1047,MATCH(ROW()-1,装备库!$AO$2:$AO$1046,0),COLUMN()),"")</f>
        <v>6</v>
      </c>
      <c r="Y511" t="str">
        <f>IFERROR(INDEX(装备库!$A$2:$Y$1047,MATCH(ROW()-1,装备库!$AO$2:$AO$1046,0),COLUMN()),"")</f>
        <v>声望</v>
      </c>
    </row>
    <row r="512" spans="1:25" x14ac:dyDescent="0.35">
      <c r="A512" t="str">
        <f>IFERROR(INDEX(装备库!$A$2:$Y$1047,MATCH(ROW()-1,装备库!$AO$2:$AO$1046,0),COLUMN()),"")</f>
        <v>腰带</v>
      </c>
      <c r="B512" t="str">
        <f>IFERROR(INDEX(装备库!$A$2:$Y$1047,MATCH(ROW()-1,装备库!$AO$2:$AO$1046,0),COLUMN()),"")</f>
        <v>风销残烟·承平腰带</v>
      </c>
      <c r="C512">
        <f>IFERROR(INDEX(装备库!$A$2:$Y$1047,MATCH(ROW()-1,装备库!$AO$2:$AO$1046,0),COLUMN()),"")</f>
        <v>11000</v>
      </c>
      <c r="D512" t="str">
        <f>IFERROR(INDEX(装备库!$A$2:$Y$1047,MATCH(ROW()-1,装备库!$AO$2:$AO$1046,0),COLUMN()),"")</f>
        <v>风销残烟·承平腰带(11000招破)</v>
      </c>
      <c r="E512">
        <f>IFERROR(INDEX(装备库!$A$2:$Y$1047,MATCH(ROW()-1,装备库!$AO$2:$AO$1046,0),COLUMN()),"")</f>
        <v>538</v>
      </c>
      <c r="F512">
        <f>IFERROR(INDEX(装备库!$A$2:$Y$1047,MATCH(ROW()-1,装备库!$AO$2:$AO$1046,0),COLUMN()),"")</f>
        <v>872</v>
      </c>
      <c r="G512">
        <f>IFERROR(INDEX(装备库!$A$2:$Y$1047,MATCH(ROW()-1,装备库!$AO$2:$AO$1046,0),COLUMN()),"")</f>
        <v>0</v>
      </c>
      <c r="H512">
        <f>IFERROR(INDEX(装备库!$A$2:$Y$1047,MATCH(ROW()-1,装备库!$AO$2:$AO$1046,0),COLUMN()),"")</f>
        <v>0</v>
      </c>
      <c r="I512">
        <f>IFERROR(INDEX(装备库!$A$2:$Y$1047,MATCH(ROW()-1,装备库!$AO$2:$AO$1046,0),COLUMN()),"")</f>
        <v>2698</v>
      </c>
      <c r="J512">
        <f>IFERROR(INDEX(装备库!$A$2:$Y$1047,MATCH(ROW()-1,装备库!$AO$2:$AO$1046,0),COLUMN()),"")</f>
        <v>2398</v>
      </c>
      <c r="K512">
        <f>IFERROR(INDEX(装备库!$A$2:$Y$1047,MATCH(ROW()-1,装备库!$AO$2:$AO$1046,0),COLUMN()),"")</f>
        <v>0</v>
      </c>
      <c r="L512">
        <f>IFERROR(INDEX(装备库!$A$2:$Y$1047,MATCH(ROW()-1,装备库!$AO$2:$AO$1046,0),COLUMN()),"")</f>
        <v>0</v>
      </c>
      <c r="M512">
        <f>IFERROR(INDEX(装备库!$A$2:$Y$1047,MATCH(ROW()-1,装备库!$AO$2:$AO$1046,0),COLUMN()),"")</f>
        <v>0</v>
      </c>
      <c r="N512">
        <f>IFERROR(INDEX(装备库!$A$2:$Y$1047,MATCH(ROW()-1,装备库!$AO$2:$AO$1046,0),COLUMN()),"")</f>
        <v>0</v>
      </c>
      <c r="O512">
        <f>IFERROR(INDEX(装备库!$A$2:$Y$1047,MATCH(ROW()-1,装备库!$AO$2:$AO$1046,0),COLUMN()),"")</f>
        <v>1</v>
      </c>
      <c r="P512">
        <f>IFERROR(INDEX(装备库!$A$2:$Y$1047,MATCH(ROW()-1,装备库!$AO$2:$AO$1046,0),COLUMN()),"")</f>
        <v>0</v>
      </c>
      <c r="Q512">
        <f>IFERROR(INDEX(装备库!$A$2:$Y$1047,MATCH(ROW()-1,装备库!$AO$2:$AO$1046,0),COLUMN()),"")</f>
        <v>0</v>
      </c>
      <c r="R512">
        <f>IFERROR(INDEX(装备库!$A$2:$Y$1047,MATCH(ROW()-1,装备库!$AO$2:$AO$1046,0),COLUMN()),"")</f>
        <v>0</v>
      </c>
      <c r="S512">
        <f>IFERROR(INDEX(装备库!$A$2:$Y$1047,MATCH(ROW()-1,装备库!$AO$2:$AO$1046,0),COLUMN()),"")</f>
        <v>1</v>
      </c>
      <c r="T512">
        <f>IFERROR(INDEX(装备库!$A$2:$Y$1047,MATCH(ROW()-1,装备库!$AO$2:$AO$1046,0),COLUMN()),"")</f>
        <v>0</v>
      </c>
      <c r="U512">
        <f>IFERROR(INDEX(装备库!$A$2:$Y$1047,MATCH(ROW()-1,装备库!$AO$2:$AO$1046,0),COLUMN()),"")</f>
        <v>0</v>
      </c>
      <c r="V512">
        <f>IFERROR(INDEX(装备库!$A$2:$Y$1047,MATCH(ROW()-1,装备库!$AO$2:$AO$1046,0),COLUMN()),"")</f>
        <v>0</v>
      </c>
      <c r="W512" t="str">
        <f>IFERROR(INDEX(装备库!$A$2:$Y$1047,MATCH(ROW()-1,装备库!$AO$2:$AO$1046,0),COLUMN()),"")</f>
        <v>招破</v>
      </c>
      <c r="X512">
        <f>IFERROR(INDEX(装备库!$A$2:$Y$1047,MATCH(ROW()-1,装备库!$AO$2:$AO$1046,0),COLUMN()),"")</f>
        <v>6</v>
      </c>
      <c r="Y512" t="str">
        <f>IFERROR(INDEX(装备库!$A$2:$Y$1047,MATCH(ROW()-1,装备库!$AO$2:$AO$1046,0),COLUMN()),"")</f>
        <v>飞沙令</v>
      </c>
    </row>
    <row r="513" spans="1:25" x14ac:dyDescent="0.35">
      <c r="A513" t="str">
        <f>IFERROR(INDEX(装备库!$A$2:$Y$1047,MATCH(ROW()-1,装备库!$AO$2:$AO$1046,0),COLUMN()),"")</f>
        <v>腰带</v>
      </c>
      <c r="B513" t="str">
        <f>IFERROR(INDEX(装备库!$A$2:$Y$1047,MATCH(ROW()-1,装备库!$AO$2:$AO$1046,0),COLUMN()),"")</f>
        <v>寻踪觅宝·盼归腰带</v>
      </c>
      <c r="C513">
        <f>IFERROR(INDEX(装备库!$A$2:$Y$1047,MATCH(ROW()-1,装备库!$AO$2:$AO$1046,0),COLUMN()),"")</f>
        <v>11000</v>
      </c>
      <c r="D513" t="str">
        <f>IFERROR(INDEX(装备库!$A$2:$Y$1047,MATCH(ROW()-1,装备库!$AO$2:$AO$1046,0),COLUMN()),"")</f>
        <v>寻踪觅宝·盼归腰带(11000速招)</v>
      </c>
      <c r="E513">
        <f>IFERROR(INDEX(装备库!$A$2:$Y$1047,MATCH(ROW()-1,装备库!$AO$2:$AO$1046,0),COLUMN()),"")</f>
        <v>538</v>
      </c>
      <c r="F513">
        <f>IFERROR(INDEX(装备库!$A$2:$Y$1047,MATCH(ROW()-1,装备库!$AO$2:$AO$1046,0),COLUMN()),"")</f>
        <v>872</v>
      </c>
      <c r="G513">
        <f>IFERROR(INDEX(装备库!$A$2:$Y$1047,MATCH(ROW()-1,装备库!$AO$2:$AO$1046,0),COLUMN()),"")</f>
        <v>0</v>
      </c>
      <c r="H513">
        <f>IFERROR(INDEX(装备库!$A$2:$Y$1047,MATCH(ROW()-1,装备库!$AO$2:$AO$1046,0),COLUMN()),"")</f>
        <v>0</v>
      </c>
      <c r="I513">
        <f>IFERROR(INDEX(装备库!$A$2:$Y$1047,MATCH(ROW()-1,装备库!$AO$2:$AO$1046,0),COLUMN()),"")</f>
        <v>0</v>
      </c>
      <c r="J513">
        <f>IFERROR(INDEX(装备库!$A$2:$Y$1047,MATCH(ROW()-1,装备库!$AO$2:$AO$1046,0),COLUMN()),"")</f>
        <v>2398</v>
      </c>
      <c r="K513">
        <f>IFERROR(INDEX(装备库!$A$2:$Y$1047,MATCH(ROW()-1,装备库!$AO$2:$AO$1046,0),COLUMN()),"")</f>
        <v>0</v>
      </c>
      <c r="L513">
        <f>IFERROR(INDEX(装备库!$A$2:$Y$1047,MATCH(ROW()-1,装备库!$AO$2:$AO$1046,0),COLUMN()),"")</f>
        <v>2698</v>
      </c>
      <c r="M513">
        <f>IFERROR(INDEX(装备库!$A$2:$Y$1047,MATCH(ROW()-1,装备库!$AO$2:$AO$1046,0),COLUMN()),"")</f>
        <v>0</v>
      </c>
      <c r="N513">
        <f>IFERROR(INDEX(装备库!$A$2:$Y$1047,MATCH(ROW()-1,装备库!$AO$2:$AO$1046,0),COLUMN()),"")</f>
        <v>0</v>
      </c>
      <c r="O513">
        <f>IFERROR(INDEX(装备库!$A$2:$Y$1047,MATCH(ROW()-1,装备库!$AO$2:$AO$1046,0),COLUMN()),"")</f>
        <v>0</v>
      </c>
      <c r="P513">
        <f>IFERROR(INDEX(装备库!$A$2:$Y$1047,MATCH(ROW()-1,装备库!$AO$2:$AO$1046,0),COLUMN()),"")</f>
        <v>1</v>
      </c>
      <c r="Q513">
        <f>IFERROR(INDEX(装备库!$A$2:$Y$1047,MATCH(ROW()-1,装备库!$AO$2:$AO$1046,0),COLUMN()),"")</f>
        <v>1</v>
      </c>
      <c r="R513">
        <f>IFERROR(INDEX(装备库!$A$2:$Y$1047,MATCH(ROW()-1,装备库!$AO$2:$AO$1046,0),COLUMN()),"")</f>
        <v>0</v>
      </c>
      <c r="S513">
        <f>IFERROR(INDEX(装备库!$A$2:$Y$1047,MATCH(ROW()-1,装备库!$AO$2:$AO$1046,0),COLUMN()),"")</f>
        <v>0</v>
      </c>
      <c r="T513">
        <f>IFERROR(INDEX(装备库!$A$2:$Y$1047,MATCH(ROW()-1,装备库!$AO$2:$AO$1046,0),COLUMN()),"")</f>
        <v>0</v>
      </c>
      <c r="U513">
        <f>IFERROR(INDEX(装备库!$A$2:$Y$1047,MATCH(ROW()-1,装备库!$AO$2:$AO$1046,0),COLUMN()),"")</f>
        <v>0</v>
      </c>
      <c r="V513">
        <f>IFERROR(INDEX(装备库!$A$2:$Y$1047,MATCH(ROW()-1,装备库!$AO$2:$AO$1046,0),COLUMN()),"")</f>
        <v>0</v>
      </c>
      <c r="W513" t="str">
        <f>IFERROR(INDEX(装备库!$A$2:$Y$1047,MATCH(ROW()-1,装备库!$AO$2:$AO$1046,0),COLUMN()),"")</f>
        <v>速招</v>
      </c>
      <c r="X513">
        <f>IFERROR(INDEX(装备库!$A$2:$Y$1047,MATCH(ROW()-1,装备库!$AO$2:$AO$1046,0),COLUMN()),"")</f>
        <v>6</v>
      </c>
      <c r="Y513" t="str">
        <f>IFERROR(INDEX(装备库!$A$2:$Y$1047,MATCH(ROW()-1,装备库!$AO$2:$AO$1046,0),COLUMN()),"")</f>
        <v>挖宝</v>
      </c>
    </row>
    <row r="514" spans="1:25" x14ac:dyDescent="0.35">
      <c r="A514" t="str">
        <f>IFERROR(INDEX(装备库!$A$2:$Y$1047,MATCH(ROW()-1,装备库!$AO$2:$AO$1046,0),COLUMN()),"")</f>
        <v>腰带</v>
      </c>
      <c r="B514" t="str">
        <f>IFERROR(INDEX(装备库!$A$2:$Y$1047,MATCH(ROW()-1,装备库!$AO$2:$AO$1046,0),COLUMN()),"")</f>
        <v>【门派套装】揽江·诛翳护腰</v>
      </c>
      <c r="C514">
        <f>IFERROR(INDEX(装备库!$A$2:$Y$1047,MATCH(ROW()-1,装备库!$AO$2:$AO$1046,0),COLUMN()),"")</f>
        <v>11000</v>
      </c>
      <c r="D514" t="str">
        <f>IFERROR(INDEX(装备库!$A$2:$Y$1047,MATCH(ROW()-1,装备库!$AO$2:$AO$1046,0),COLUMN()),"")</f>
        <v>【门派套装】揽江·诛翳护腰(11000会无)</v>
      </c>
      <c r="E514">
        <f>IFERROR(INDEX(装备库!$A$2:$Y$1047,MATCH(ROW()-1,装备库!$AO$2:$AO$1046,0),COLUMN()),"")</f>
        <v>538</v>
      </c>
      <c r="F514">
        <f>IFERROR(INDEX(装备库!$A$2:$Y$1047,MATCH(ROW()-1,装备库!$AO$2:$AO$1046,0),COLUMN()),"")</f>
        <v>872</v>
      </c>
      <c r="G514">
        <f>IFERROR(INDEX(装备库!$A$2:$Y$1047,MATCH(ROW()-1,装备库!$AO$2:$AO$1046,0),COLUMN()),"")</f>
        <v>2698</v>
      </c>
      <c r="H514">
        <f>IFERROR(INDEX(装备库!$A$2:$Y$1047,MATCH(ROW()-1,装备库!$AO$2:$AO$1046,0),COLUMN()),"")</f>
        <v>0</v>
      </c>
      <c r="I514">
        <f>IFERROR(INDEX(装备库!$A$2:$Y$1047,MATCH(ROW()-1,装备库!$AO$2:$AO$1046,0),COLUMN()),"")</f>
        <v>0</v>
      </c>
      <c r="J514">
        <f>IFERROR(INDEX(装备库!$A$2:$Y$1047,MATCH(ROW()-1,装备库!$AO$2:$AO$1046,0),COLUMN()),"")</f>
        <v>0</v>
      </c>
      <c r="K514">
        <f>IFERROR(INDEX(装备库!$A$2:$Y$1047,MATCH(ROW()-1,装备库!$AO$2:$AO$1046,0),COLUMN()),"")</f>
        <v>2398</v>
      </c>
      <c r="L514">
        <f>IFERROR(INDEX(装备库!$A$2:$Y$1047,MATCH(ROW()-1,装备库!$AO$2:$AO$1046,0),COLUMN()),"")</f>
        <v>0</v>
      </c>
      <c r="M514">
        <f>IFERROR(INDEX(装备库!$A$2:$Y$1047,MATCH(ROW()-1,装备库!$AO$2:$AO$1046,0),COLUMN()),"")</f>
        <v>0</v>
      </c>
      <c r="N514">
        <f>IFERROR(INDEX(装备库!$A$2:$Y$1047,MATCH(ROW()-1,装备库!$AO$2:$AO$1046,0),COLUMN()),"")</f>
        <v>0</v>
      </c>
      <c r="O514">
        <f>IFERROR(INDEX(装备库!$A$2:$Y$1047,MATCH(ROW()-1,装备库!$AO$2:$AO$1046,0),COLUMN()),"")</f>
        <v>0</v>
      </c>
      <c r="P514">
        <f>IFERROR(INDEX(装备库!$A$2:$Y$1047,MATCH(ROW()-1,装备库!$AO$2:$AO$1046,0),COLUMN()),"")</f>
        <v>1</v>
      </c>
      <c r="Q514">
        <f>IFERROR(INDEX(装备库!$A$2:$Y$1047,MATCH(ROW()-1,装备库!$AO$2:$AO$1046,0),COLUMN()),"")</f>
        <v>1</v>
      </c>
      <c r="R514">
        <f>IFERROR(INDEX(装备库!$A$2:$Y$1047,MATCH(ROW()-1,装备库!$AO$2:$AO$1046,0),COLUMN()),"")</f>
        <v>0</v>
      </c>
      <c r="S514">
        <f>IFERROR(INDEX(装备库!$A$2:$Y$1047,MATCH(ROW()-1,装备库!$AO$2:$AO$1046,0),COLUMN()),"")</f>
        <v>0</v>
      </c>
      <c r="T514">
        <f>IFERROR(INDEX(装备库!$A$2:$Y$1047,MATCH(ROW()-1,装备库!$AO$2:$AO$1046,0),COLUMN()),"")</f>
        <v>0</v>
      </c>
      <c r="U514">
        <f>IFERROR(INDEX(装备库!$A$2:$Y$1047,MATCH(ROW()-1,装备库!$AO$2:$AO$1046,0),COLUMN()),"")</f>
        <v>0</v>
      </c>
      <c r="V514">
        <f>IFERROR(INDEX(装备库!$A$2:$Y$1047,MATCH(ROW()-1,装备库!$AO$2:$AO$1046,0),COLUMN()),"")</f>
        <v>0</v>
      </c>
      <c r="W514" t="str">
        <f>IFERROR(INDEX(装备库!$A$2:$Y$1047,MATCH(ROW()-1,装备库!$AO$2:$AO$1046,0),COLUMN()),"")</f>
        <v>会无</v>
      </c>
      <c r="X514">
        <f>IFERROR(INDEX(装备库!$A$2:$Y$1047,MATCH(ROW()-1,装备库!$AO$2:$AO$1046,0),COLUMN()),"")</f>
        <v>6</v>
      </c>
      <c r="Y514" t="str">
        <f>IFERROR(INDEX(装备库!$A$2:$Y$1047,MATCH(ROW()-1,装备库!$AO$2:$AO$1046,0),COLUMN()),"")</f>
        <v>兑换牌</v>
      </c>
    </row>
    <row r="515" spans="1:25" x14ac:dyDescent="0.35">
      <c r="A515" t="str">
        <f>IFERROR(INDEX(装备库!$A$2:$Y$1047,MATCH(ROW()-1,装备库!$AO$2:$AO$1046,0),COLUMN()),"")</f>
        <v>腰带</v>
      </c>
      <c r="B515" t="str">
        <f>IFERROR(INDEX(装备库!$A$2:$Y$1047,MATCH(ROW()-1,装备库!$AO$2:$AO$1046,0),COLUMN()),"")</f>
        <v>烟梦腰带</v>
      </c>
      <c r="C515">
        <f>IFERROR(INDEX(装备库!$A$2:$Y$1047,MATCH(ROW()-1,装备库!$AO$2:$AO$1046,0),COLUMN()),"")</f>
        <v>11150</v>
      </c>
      <c r="D515" t="str">
        <f>IFERROR(INDEX(装备库!$A$2:$Y$1047,MATCH(ROW()-1,装备库!$AO$2:$AO$1046,0),COLUMN()),"")</f>
        <v>烟梦腰带(11150速招)</v>
      </c>
      <c r="E515">
        <f>IFERROR(INDEX(装备库!$A$2:$Y$1047,MATCH(ROW()-1,装备库!$AO$2:$AO$1046,0),COLUMN()),"")</f>
        <v>545</v>
      </c>
      <c r="F515">
        <f>IFERROR(INDEX(装备库!$A$2:$Y$1047,MATCH(ROW()-1,装备库!$AO$2:$AO$1046,0),COLUMN()),"")</f>
        <v>884</v>
      </c>
      <c r="G515">
        <f>IFERROR(INDEX(装备库!$A$2:$Y$1047,MATCH(ROW()-1,装备库!$AO$2:$AO$1046,0),COLUMN()),"")</f>
        <v>0</v>
      </c>
      <c r="H515">
        <f>IFERROR(INDEX(装备库!$A$2:$Y$1047,MATCH(ROW()-1,装备库!$AO$2:$AO$1046,0),COLUMN()),"")</f>
        <v>0</v>
      </c>
      <c r="I515">
        <f>IFERROR(INDEX(装备库!$A$2:$Y$1047,MATCH(ROW()-1,装备库!$AO$2:$AO$1046,0),COLUMN()),"")</f>
        <v>0</v>
      </c>
      <c r="J515">
        <f>IFERROR(INDEX(装备库!$A$2:$Y$1047,MATCH(ROW()-1,装备库!$AO$2:$AO$1046,0),COLUMN()),"")</f>
        <v>2431</v>
      </c>
      <c r="K515">
        <f>IFERROR(INDEX(装备库!$A$2:$Y$1047,MATCH(ROW()-1,装备库!$AO$2:$AO$1046,0),COLUMN()),"")</f>
        <v>0</v>
      </c>
      <c r="L515">
        <f>IFERROR(INDEX(装备库!$A$2:$Y$1047,MATCH(ROW()-1,装备库!$AO$2:$AO$1046,0),COLUMN()),"")</f>
        <v>2735</v>
      </c>
      <c r="M515">
        <f>IFERROR(INDEX(装备库!$A$2:$Y$1047,MATCH(ROW()-1,装备库!$AO$2:$AO$1046,0),COLUMN()),"")</f>
        <v>0</v>
      </c>
      <c r="N515">
        <f>IFERROR(INDEX(装备库!$A$2:$Y$1047,MATCH(ROW()-1,装备库!$AO$2:$AO$1046,0),COLUMN()),"")</f>
        <v>0</v>
      </c>
      <c r="O515">
        <f>IFERROR(INDEX(装备库!$A$2:$Y$1047,MATCH(ROW()-1,装备库!$AO$2:$AO$1046,0),COLUMN()),"")</f>
        <v>0</v>
      </c>
      <c r="P515">
        <f>IFERROR(INDEX(装备库!$A$2:$Y$1047,MATCH(ROW()-1,装备库!$AO$2:$AO$1046,0),COLUMN()),"")</f>
        <v>1</v>
      </c>
      <c r="Q515">
        <f>IFERROR(INDEX(装备库!$A$2:$Y$1047,MATCH(ROW()-1,装备库!$AO$2:$AO$1046,0),COLUMN()),"")</f>
        <v>1</v>
      </c>
      <c r="R515">
        <f>IFERROR(INDEX(装备库!$A$2:$Y$1047,MATCH(ROW()-1,装备库!$AO$2:$AO$1046,0),COLUMN()),"")</f>
        <v>0</v>
      </c>
      <c r="S515">
        <f>IFERROR(INDEX(装备库!$A$2:$Y$1047,MATCH(ROW()-1,装备库!$AO$2:$AO$1046,0),COLUMN()),"")</f>
        <v>0</v>
      </c>
      <c r="T515">
        <f>IFERROR(INDEX(装备库!$A$2:$Y$1047,MATCH(ROW()-1,装备库!$AO$2:$AO$1046,0),COLUMN()),"")</f>
        <v>0</v>
      </c>
      <c r="U515">
        <f>IFERROR(INDEX(装备库!$A$2:$Y$1047,MATCH(ROW()-1,装备库!$AO$2:$AO$1046,0),COLUMN()),"")</f>
        <v>0</v>
      </c>
      <c r="V515">
        <f>IFERROR(INDEX(装备库!$A$2:$Y$1047,MATCH(ROW()-1,装备库!$AO$2:$AO$1046,0),COLUMN()),"")</f>
        <v>0</v>
      </c>
      <c r="W515" t="str">
        <f>IFERROR(INDEX(装备库!$A$2:$Y$1047,MATCH(ROW()-1,装备库!$AO$2:$AO$1046,0),COLUMN()),"")</f>
        <v>速招</v>
      </c>
      <c r="X515">
        <f>IFERROR(INDEX(装备库!$A$2:$Y$1047,MATCH(ROW()-1,装备库!$AO$2:$AO$1046,0),COLUMN()),"")</f>
        <v>6</v>
      </c>
      <c r="Y515" t="str">
        <f>IFERROR(INDEX(装备库!$A$2:$Y$1047,MATCH(ROW()-1,装备库!$AO$2:$AO$1046,0),COLUMN()),"")</f>
        <v>副本</v>
      </c>
    </row>
    <row r="516" spans="1:25" x14ac:dyDescent="0.35">
      <c r="A516" t="str">
        <f>IFERROR(INDEX(装备库!$A$2:$Y$1047,MATCH(ROW()-1,装备库!$AO$2:$AO$1046,0),COLUMN()),"")</f>
        <v>腰带</v>
      </c>
      <c r="B516" t="str">
        <f>IFERROR(INDEX(装备库!$A$2:$Y$1047,MATCH(ROW()-1,装备库!$AO$2:$AO$1046,0),COLUMN()),"")</f>
        <v>旋山带</v>
      </c>
      <c r="C516">
        <f>IFERROR(INDEX(装备库!$A$2:$Y$1047,MATCH(ROW()-1,装备库!$AO$2:$AO$1046,0),COLUMN()),"")</f>
        <v>11150</v>
      </c>
      <c r="D516" t="str">
        <f>IFERROR(INDEX(装备库!$A$2:$Y$1047,MATCH(ROW()-1,装备库!$AO$2:$AO$1046,0),COLUMN()),"")</f>
        <v>旋山带(11150破无)</v>
      </c>
      <c r="E516">
        <f>IFERROR(INDEX(装备库!$A$2:$Y$1047,MATCH(ROW()-1,装备库!$AO$2:$AO$1046,0),COLUMN()),"")</f>
        <v>545</v>
      </c>
      <c r="F516">
        <f>IFERROR(INDEX(装备库!$A$2:$Y$1047,MATCH(ROW()-1,装备库!$AO$2:$AO$1046,0),COLUMN()),"")</f>
        <v>884</v>
      </c>
      <c r="G516">
        <f>IFERROR(INDEX(装备库!$A$2:$Y$1047,MATCH(ROW()-1,装备库!$AO$2:$AO$1046,0),COLUMN()),"")</f>
        <v>0</v>
      </c>
      <c r="H516">
        <f>IFERROR(INDEX(装备库!$A$2:$Y$1047,MATCH(ROW()-1,装备库!$AO$2:$AO$1046,0),COLUMN()),"")</f>
        <v>0</v>
      </c>
      <c r="I516">
        <f>IFERROR(INDEX(装备库!$A$2:$Y$1047,MATCH(ROW()-1,装备库!$AO$2:$AO$1046,0),COLUMN()),"")</f>
        <v>2735</v>
      </c>
      <c r="J516">
        <f>IFERROR(INDEX(装备库!$A$2:$Y$1047,MATCH(ROW()-1,装备库!$AO$2:$AO$1046,0),COLUMN()),"")</f>
        <v>0</v>
      </c>
      <c r="K516">
        <f>IFERROR(INDEX(装备库!$A$2:$Y$1047,MATCH(ROW()-1,装备库!$AO$2:$AO$1046,0),COLUMN()),"")</f>
        <v>2431</v>
      </c>
      <c r="L516">
        <f>IFERROR(INDEX(装备库!$A$2:$Y$1047,MATCH(ROW()-1,装备库!$AO$2:$AO$1046,0),COLUMN()),"")</f>
        <v>0</v>
      </c>
      <c r="M516">
        <f>IFERROR(INDEX(装备库!$A$2:$Y$1047,MATCH(ROW()-1,装备库!$AO$2:$AO$1046,0),COLUMN()),"")</f>
        <v>0</v>
      </c>
      <c r="N516">
        <f>IFERROR(INDEX(装备库!$A$2:$Y$1047,MATCH(ROW()-1,装备库!$AO$2:$AO$1046,0),COLUMN()),"")</f>
        <v>0</v>
      </c>
      <c r="O516">
        <f>IFERROR(INDEX(装备库!$A$2:$Y$1047,MATCH(ROW()-1,装备库!$AO$2:$AO$1046,0),COLUMN()),"")</f>
        <v>0</v>
      </c>
      <c r="P516">
        <f>IFERROR(INDEX(装备库!$A$2:$Y$1047,MATCH(ROW()-1,装备库!$AO$2:$AO$1046,0),COLUMN()),"")</f>
        <v>0</v>
      </c>
      <c r="Q516">
        <f>IFERROR(INDEX(装备库!$A$2:$Y$1047,MATCH(ROW()-1,装备库!$AO$2:$AO$1046,0),COLUMN()),"")</f>
        <v>1</v>
      </c>
      <c r="R516">
        <f>IFERROR(INDEX(装备库!$A$2:$Y$1047,MATCH(ROW()-1,装备库!$AO$2:$AO$1046,0),COLUMN()),"")</f>
        <v>0</v>
      </c>
      <c r="S516">
        <f>IFERROR(INDEX(装备库!$A$2:$Y$1047,MATCH(ROW()-1,装备库!$AO$2:$AO$1046,0),COLUMN()),"")</f>
        <v>0</v>
      </c>
      <c r="T516">
        <f>IFERROR(INDEX(装备库!$A$2:$Y$1047,MATCH(ROW()-1,装备库!$AO$2:$AO$1046,0),COLUMN()),"")</f>
        <v>0</v>
      </c>
      <c r="U516">
        <f>IFERROR(INDEX(装备库!$A$2:$Y$1047,MATCH(ROW()-1,装备库!$AO$2:$AO$1046,0),COLUMN()),"")</f>
        <v>1</v>
      </c>
      <c r="V516">
        <f>IFERROR(INDEX(装备库!$A$2:$Y$1047,MATCH(ROW()-1,装备库!$AO$2:$AO$1046,0),COLUMN()),"")</f>
        <v>0</v>
      </c>
      <c r="W516" t="str">
        <f>IFERROR(INDEX(装备库!$A$2:$Y$1047,MATCH(ROW()-1,装备库!$AO$2:$AO$1046,0),COLUMN()),"")</f>
        <v>破无</v>
      </c>
      <c r="X516">
        <f>IFERROR(INDEX(装备库!$A$2:$Y$1047,MATCH(ROW()-1,装备库!$AO$2:$AO$1046,0),COLUMN()),"")</f>
        <v>6</v>
      </c>
      <c r="Y516" t="str">
        <f>IFERROR(INDEX(装备库!$A$2:$Y$1047,MATCH(ROW()-1,装备库!$AO$2:$AO$1046,0),COLUMN()),"")</f>
        <v>副本</v>
      </c>
    </row>
    <row r="517" spans="1:25" x14ac:dyDescent="0.35">
      <c r="A517" t="str">
        <f>IFERROR(INDEX(装备库!$A$2:$Y$1047,MATCH(ROW()-1,装备库!$AO$2:$AO$1046,0),COLUMN()),"")</f>
        <v>腰带</v>
      </c>
      <c r="B517" t="str">
        <f>IFERROR(INDEX(装备库!$A$2:$Y$1047,MATCH(ROW()-1,装备库!$AO$2:$AO$1046,0),COLUMN()),"")</f>
        <v>湘灿腰带</v>
      </c>
      <c r="C517">
        <f>IFERROR(INDEX(装备库!$A$2:$Y$1047,MATCH(ROW()-1,装备库!$AO$2:$AO$1046,0),COLUMN()),"")</f>
        <v>11150</v>
      </c>
      <c r="D517" t="str">
        <f>IFERROR(INDEX(装备库!$A$2:$Y$1047,MATCH(ROW()-1,装备库!$AO$2:$AO$1046,0),COLUMN()),"")</f>
        <v>湘灿腰带(11150会招)</v>
      </c>
      <c r="E517">
        <f>IFERROR(INDEX(装备库!$A$2:$Y$1047,MATCH(ROW()-1,装备库!$AO$2:$AO$1046,0),COLUMN()),"")</f>
        <v>545</v>
      </c>
      <c r="F517">
        <f>IFERROR(INDEX(装备库!$A$2:$Y$1047,MATCH(ROW()-1,装备库!$AO$2:$AO$1046,0),COLUMN()),"")</f>
        <v>884</v>
      </c>
      <c r="G517">
        <f>IFERROR(INDEX(装备库!$A$2:$Y$1047,MATCH(ROW()-1,装备库!$AO$2:$AO$1046,0),COLUMN()),"")</f>
        <v>2735</v>
      </c>
      <c r="H517">
        <f>IFERROR(INDEX(装备库!$A$2:$Y$1047,MATCH(ROW()-1,装备库!$AO$2:$AO$1046,0),COLUMN()),"")</f>
        <v>0</v>
      </c>
      <c r="I517">
        <f>IFERROR(INDEX(装备库!$A$2:$Y$1047,MATCH(ROW()-1,装备库!$AO$2:$AO$1046,0),COLUMN()),"")</f>
        <v>0</v>
      </c>
      <c r="J517">
        <f>IFERROR(INDEX(装备库!$A$2:$Y$1047,MATCH(ROW()-1,装备库!$AO$2:$AO$1046,0),COLUMN()),"")</f>
        <v>2431</v>
      </c>
      <c r="K517">
        <f>IFERROR(INDEX(装备库!$A$2:$Y$1047,MATCH(ROW()-1,装备库!$AO$2:$AO$1046,0),COLUMN()),"")</f>
        <v>0</v>
      </c>
      <c r="L517">
        <f>IFERROR(INDEX(装备库!$A$2:$Y$1047,MATCH(ROW()-1,装备库!$AO$2:$AO$1046,0),COLUMN()),"")</f>
        <v>0</v>
      </c>
      <c r="M517">
        <f>IFERROR(INDEX(装备库!$A$2:$Y$1047,MATCH(ROW()-1,装备库!$AO$2:$AO$1046,0),COLUMN()),"")</f>
        <v>0</v>
      </c>
      <c r="N517">
        <f>IFERROR(INDEX(装备库!$A$2:$Y$1047,MATCH(ROW()-1,装备库!$AO$2:$AO$1046,0),COLUMN()),"")</f>
        <v>0</v>
      </c>
      <c r="O517">
        <f>IFERROR(INDEX(装备库!$A$2:$Y$1047,MATCH(ROW()-1,装备库!$AO$2:$AO$1046,0),COLUMN()),"")</f>
        <v>0</v>
      </c>
      <c r="P517">
        <f>IFERROR(INDEX(装备库!$A$2:$Y$1047,MATCH(ROW()-1,装备库!$AO$2:$AO$1046,0),COLUMN()),"")</f>
        <v>0</v>
      </c>
      <c r="Q517">
        <f>IFERROR(INDEX(装备库!$A$2:$Y$1047,MATCH(ROW()-1,装备库!$AO$2:$AO$1046,0),COLUMN()),"")</f>
        <v>1</v>
      </c>
      <c r="R517">
        <f>IFERROR(INDEX(装备库!$A$2:$Y$1047,MATCH(ROW()-1,装备库!$AO$2:$AO$1046,0),COLUMN()),"")</f>
        <v>1</v>
      </c>
      <c r="S517">
        <f>IFERROR(INDEX(装备库!$A$2:$Y$1047,MATCH(ROW()-1,装备库!$AO$2:$AO$1046,0),COLUMN()),"")</f>
        <v>0</v>
      </c>
      <c r="T517">
        <f>IFERROR(INDEX(装备库!$A$2:$Y$1047,MATCH(ROW()-1,装备库!$AO$2:$AO$1046,0),COLUMN()),"")</f>
        <v>0</v>
      </c>
      <c r="U517">
        <f>IFERROR(INDEX(装备库!$A$2:$Y$1047,MATCH(ROW()-1,装备库!$AO$2:$AO$1046,0),COLUMN()),"")</f>
        <v>0</v>
      </c>
      <c r="V517">
        <f>IFERROR(INDEX(装备库!$A$2:$Y$1047,MATCH(ROW()-1,装备库!$AO$2:$AO$1046,0),COLUMN()),"")</f>
        <v>0</v>
      </c>
      <c r="W517" t="str">
        <f>IFERROR(INDEX(装备库!$A$2:$Y$1047,MATCH(ROW()-1,装备库!$AO$2:$AO$1046,0),COLUMN()),"")</f>
        <v>会招</v>
      </c>
      <c r="X517">
        <f>IFERROR(INDEX(装备库!$A$2:$Y$1047,MATCH(ROW()-1,装备库!$AO$2:$AO$1046,0),COLUMN()),"")</f>
        <v>6</v>
      </c>
      <c r="Y517" t="str">
        <f>IFERROR(INDEX(装备库!$A$2:$Y$1047,MATCH(ROW()-1,装备库!$AO$2:$AO$1046,0),COLUMN()),"")</f>
        <v>世界BOSS</v>
      </c>
    </row>
    <row r="518" spans="1:25" x14ac:dyDescent="0.35">
      <c r="A518" t="str">
        <f>IFERROR(INDEX(装备库!$A$2:$Y$1047,MATCH(ROW()-1,装备库!$AO$2:$AO$1046,0),COLUMN()),"")</f>
        <v>腰带</v>
      </c>
      <c r="B518" t="str">
        <f>IFERROR(INDEX(装备库!$A$2:$Y$1047,MATCH(ROW()-1,装备库!$AO$2:$AO$1046,0),COLUMN()),"")</f>
        <v>嘉鱼腰带</v>
      </c>
      <c r="C518">
        <f>IFERROR(INDEX(装备库!$A$2:$Y$1047,MATCH(ROW()-1,装备库!$AO$2:$AO$1046,0),COLUMN()),"")</f>
        <v>11150</v>
      </c>
      <c r="D518" t="str">
        <f>IFERROR(INDEX(装备库!$A$2:$Y$1047,MATCH(ROW()-1,装备库!$AO$2:$AO$1046,0),COLUMN()),"")</f>
        <v>嘉鱼腰带(11150精简体攻招破)</v>
      </c>
      <c r="E518">
        <f>IFERROR(INDEX(装备库!$A$2:$Y$1047,MATCH(ROW()-1,装备库!$AO$2:$AO$1046,0),COLUMN()),"")</f>
        <v>0</v>
      </c>
      <c r="F518">
        <f>IFERROR(INDEX(装备库!$A$2:$Y$1047,MATCH(ROW()-1,装备库!$AO$2:$AO$1046,0),COLUMN()),"")</f>
        <v>1904</v>
      </c>
      <c r="G518">
        <f>IFERROR(INDEX(装备库!$A$2:$Y$1047,MATCH(ROW()-1,装备库!$AO$2:$AO$1046,0),COLUMN()),"")</f>
        <v>0</v>
      </c>
      <c r="H518">
        <f>IFERROR(INDEX(装备库!$A$2:$Y$1047,MATCH(ROW()-1,装备库!$AO$2:$AO$1046,0),COLUMN()),"")</f>
        <v>0</v>
      </c>
      <c r="I518">
        <f>IFERROR(INDEX(装备库!$A$2:$Y$1047,MATCH(ROW()-1,装备库!$AO$2:$AO$1046,0),COLUMN()),"")</f>
        <v>2886</v>
      </c>
      <c r="J518">
        <f>IFERROR(INDEX(装备库!$A$2:$Y$1047,MATCH(ROW()-1,装备库!$AO$2:$AO$1046,0),COLUMN()),"")</f>
        <v>2886</v>
      </c>
      <c r="K518">
        <f>IFERROR(INDEX(装备库!$A$2:$Y$1047,MATCH(ROW()-1,装备库!$AO$2:$AO$1046,0),COLUMN()),"")</f>
        <v>0</v>
      </c>
      <c r="L518">
        <f>IFERROR(INDEX(装备库!$A$2:$Y$1047,MATCH(ROW()-1,装备库!$AO$2:$AO$1046,0),COLUMN()),"")</f>
        <v>0</v>
      </c>
      <c r="M518">
        <f>IFERROR(INDEX(装备库!$A$2:$Y$1047,MATCH(ROW()-1,装备库!$AO$2:$AO$1046,0),COLUMN()),"")</f>
        <v>0</v>
      </c>
      <c r="N518">
        <f>IFERROR(INDEX(装备库!$A$2:$Y$1047,MATCH(ROW()-1,装备库!$AO$2:$AO$1046,0),COLUMN()),"")</f>
        <v>0</v>
      </c>
      <c r="O518">
        <f>IFERROR(INDEX(装备库!$A$2:$Y$1047,MATCH(ROW()-1,装备库!$AO$2:$AO$1046,0),COLUMN()),"")</f>
        <v>0</v>
      </c>
      <c r="P518">
        <f>IFERROR(INDEX(装备库!$A$2:$Y$1047,MATCH(ROW()-1,装备库!$AO$2:$AO$1046,0),COLUMN()),"")</f>
        <v>1</v>
      </c>
      <c r="Q518">
        <f>IFERROR(INDEX(装备库!$A$2:$Y$1047,MATCH(ROW()-1,装备库!$AO$2:$AO$1046,0),COLUMN()),"")</f>
        <v>1</v>
      </c>
      <c r="R518">
        <f>IFERROR(INDEX(装备库!$A$2:$Y$1047,MATCH(ROW()-1,装备库!$AO$2:$AO$1046,0),COLUMN()),"")</f>
        <v>0</v>
      </c>
      <c r="S518">
        <f>IFERROR(INDEX(装备库!$A$2:$Y$1047,MATCH(ROW()-1,装备库!$AO$2:$AO$1046,0),COLUMN()),"")</f>
        <v>0</v>
      </c>
      <c r="T518">
        <f>IFERROR(INDEX(装备库!$A$2:$Y$1047,MATCH(ROW()-1,装备库!$AO$2:$AO$1046,0),COLUMN()),"")</f>
        <v>0</v>
      </c>
      <c r="U518">
        <f>IFERROR(INDEX(装备库!$A$2:$Y$1047,MATCH(ROW()-1,装备库!$AO$2:$AO$1046,0),COLUMN()),"")</f>
        <v>0</v>
      </c>
      <c r="V518">
        <f>IFERROR(INDEX(装备库!$A$2:$Y$1047,MATCH(ROW()-1,装备库!$AO$2:$AO$1046,0),COLUMN()),"")</f>
        <v>0</v>
      </c>
      <c r="W518" t="str">
        <f>IFERROR(INDEX(装备库!$A$2:$Y$1047,MATCH(ROW()-1,装备库!$AO$2:$AO$1046,0),COLUMN()),"")</f>
        <v>精简体攻招破</v>
      </c>
      <c r="X518">
        <f>IFERROR(INDEX(装备库!$A$2:$Y$1047,MATCH(ROW()-1,装备库!$AO$2:$AO$1046,0),COLUMN()),"")</f>
        <v>4</v>
      </c>
      <c r="Y518" t="str">
        <f>IFERROR(INDEX(装备库!$A$2:$Y$1047,MATCH(ROW()-1,装备库!$AO$2:$AO$1046,0),COLUMN()),"")</f>
        <v>副本</v>
      </c>
    </row>
    <row r="519" spans="1:25" x14ac:dyDescent="0.35">
      <c r="A519" t="str">
        <f>IFERROR(INDEX(装备库!$A$2:$Y$1047,MATCH(ROW()-1,装备库!$AO$2:$AO$1046,0),COLUMN()),"")</f>
        <v>腰带</v>
      </c>
      <c r="B519" t="str">
        <f>IFERROR(INDEX(装备库!$A$2:$Y$1047,MATCH(ROW()-1,装备库!$AO$2:$AO$1046,0),COLUMN()),"")</f>
        <v>平陵腰带</v>
      </c>
      <c r="C519">
        <f>IFERROR(INDEX(装备库!$A$2:$Y$1047,MATCH(ROW()-1,装备库!$AO$2:$AO$1046,0),COLUMN()),"")</f>
        <v>11150</v>
      </c>
      <c r="D519" t="str">
        <f>IFERROR(INDEX(装备库!$A$2:$Y$1047,MATCH(ROW()-1,装备库!$AO$2:$AO$1046,0),COLUMN()),"")</f>
        <v>平陵腰带(11150精简体攻无)</v>
      </c>
      <c r="E519">
        <f>IFERROR(INDEX(装备库!$A$2:$Y$1047,MATCH(ROW()-1,装备库!$AO$2:$AO$1046,0),COLUMN()),"")</f>
        <v>0</v>
      </c>
      <c r="F519">
        <f>IFERROR(INDEX(装备库!$A$2:$Y$1047,MATCH(ROW()-1,装备库!$AO$2:$AO$1046,0),COLUMN()),"")</f>
        <v>2312</v>
      </c>
      <c r="G519">
        <f>IFERROR(INDEX(装备库!$A$2:$Y$1047,MATCH(ROW()-1,装备库!$AO$2:$AO$1046,0),COLUMN()),"")</f>
        <v>0</v>
      </c>
      <c r="H519">
        <f>IFERROR(INDEX(装备库!$A$2:$Y$1047,MATCH(ROW()-1,装备库!$AO$2:$AO$1046,0),COLUMN()),"")</f>
        <v>0</v>
      </c>
      <c r="I519">
        <f>IFERROR(INDEX(装备库!$A$2:$Y$1047,MATCH(ROW()-1,装备库!$AO$2:$AO$1046,0),COLUMN()),"")</f>
        <v>0</v>
      </c>
      <c r="J519">
        <f>IFERROR(INDEX(装备库!$A$2:$Y$1047,MATCH(ROW()-1,装备库!$AO$2:$AO$1046,0),COLUMN()),"")</f>
        <v>0</v>
      </c>
      <c r="K519">
        <f>IFERROR(INDEX(装备库!$A$2:$Y$1047,MATCH(ROW()-1,装备库!$AO$2:$AO$1046,0),COLUMN()),"")</f>
        <v>4786</v>
      </c>
      <c r="L519">
        <f>IFERROR(INDEX(装备库!$A$2:$Y$1047,MATCH(ROW()-1,装备库!$AO$2:$AO$1046,0),COLUMN()),"")</f>
        <v>0</v>
      </c>
      <c r="M519">
        <f>IFERROR(INDEX(装备库!$A$2:$Y$1047,MATCH(ROW()-1,装备库!$AO$2:$AO$1046,0),COLUMN()),"")</f>
        <v>0</v>
      </c>
      <c r="N519">
        <f>IFERROR(INDEX(装备库!$A$2:$Y$1047,MATCH(ROW()-1,装备库!$AO$2:$AO$1046,0),COLUMN()),"")</f>
        <v>0</v>
      </c>
      <c r="O519">
        <f>IFERROR(INDEX(装备库!$A$2:$Y$1047,MATCH(ROW()-1,装备库!$AO$2:$AO$1046,0),COLUMN()),"")</f>
        <v>0</v>
      </c>
      <c r="P519">
        <f>IFERROR(INDEX(装备库!$A$2:$Y$1047,MATCH(ROW()-1,装备库!$AO$2:$AO$1046,0),COLUMN()),"")</f>
        <v>0</v>
      </c>
      <c r="Q519">
        <f>IFERROR(INDEX(装备库!$A$2:$Y$1047,MATCH(ROW()-1,装备库!$AO$2:$AO$1046,0),COLUMN()),"")</f>
        <v>0</v>
      </c>
      <c r="R519">
        <f>IFERROR(INDEX(装备库!$A$2:$Y$1047,MATCH(ROW()-1,装备库!$AO$2:$AO$1046,0),COLUMN()),"")</f>
        <v>0</v>
      </c>
      <c r="S519">
        <f>IFERROR(INDEX(装备库!$A$2:$Y$1047,MATCH(ROW()-1,装备库!$AO$2:$AO$1046,0),COLUMN()),"")</f>
        <v>1</v>
      </c>
      <c r="T519">
        <f>IFERROR(INDEX(装备库!$A$2:$Y$1047,MATCH(ROW()-1,装备库!$AO$2:$AO$1046,0),COLUMN()),"")</f>
        <v>0</v>
      </c>
      <c r="U519">
        <f>IFERROR(INDEX(装备库!$A$2:$Y$1047,MATCH(ROW()-1,装备库!$AO$2:$AO$1046,0),COLUMN()),"")</f>
        <v>1</v>
      </c>
      <c r="V519">
        <f>IFERROR(INDEX(装备库!$A$2:$Y$1047,MATCH(ROW()-1,装备库!$AO$2:$AO$1046,0),COLUMN()),"")</f>
        <v>0</v>
      </c>
      <c r="W519" t="str">
        <f>IFERROR(INDEX(装备库!$A$2:$Y$1047,MATCH(ROW()-1,装备库!$AO$2:$AO$1046,0),COLUMN()),"")</f>
        <v>精简体攻无</v>
      </c>
      <c r="X519">
        <f>IFERROR(INDEX(装备库!$A$2:$Y$1047,MATCH(ROW()-1,装备库!$AO$2:$AO$1046,0),COLUMN()),"")</f>
        <v>4</v>
      </c>
      <c r="Y519" t="str">
        <f>IFERROR(INDEX(装备库!$A$2:$Y$1047,MATCH(ROW()-1,装备库!$AO$2:$AO$1046,0),COLUMN()),"")</f>
        <v>副本</v>
      </c>
    </row>
    <row r="520" spans="1:25" x14ac:dyDescent="0.35">
      <c r="A520" t="str">
        <f>IFERROR(INDEX(装备库!$A$2:$Y$1047,MATCH(ROW()-1,装备库!$AO$2:$AO$1046,0),COLUMN()),"")</f>
        <v>腰带</v>
      </c>
      <c r="B520" t="str">
        <f>IFERROR(INDEX(装备库!$A$2:$Y$1047,MATCH(ROW()-1,装备库!$AO$2:$AO$1046,0),COLUMN()),"")</f>
        <v>感素腰带</v>
      </c>
      <c r="C520">
        <f>IFERROR(INDEX(装备库!$A$2:$Y$1047,MATCH(ROW()-1,装备库!$AO$2:$AO$1046,0),COLUMN()),"")</f>
        <v>11150</v>
      </c>
      <c r="D520" t="str">
        <f>IFERROR(INDEX(装备库!$A$2:$Y$1047,MATCH(ROW()-1,装备库!$AO$2:$AO$1046,0),COLUMN()),"")</f>
        <v>感素腰带(11150精简体攻破无)</v>
      </c>
      <c r="E520">
        <f>IFERROR(INDEX(装备库!$A$2:$Y$1047,MATCH(ROW()-1,装备库!$AO$2:$AO$1046,0),COLUMN()),"")</f>
        <v>0</v>
      </c>
      <c r="F520">
        <f>IFERROR(INDEX(装备库!$A$2:$Y$1047,MATCH(ROW()-1,装备库!$AO$2:$AO$1046,0),COLUMN()),"")</f>
        <v>1632</v>
      </c>
      <c r="G520">
        <f>IFERROR(INDEX(装备库!$A$2:$Y$1047,MATCH(ROW()-1,装备库!$AO$2:$AO$1046,0),COLUMN()),"")</f>
        <v>0</v>
      </c>
      <c r="H520">
        <f>IFERROR(INDEX(装备库!$A$2:$Y$1047,MATCH(ROW()-1,装备库!$AO$2:$AO$1046,0),COLUMN()),"")</f>
        <v>0</v>
      </c>
      <c r="I520">
        <f>IFERROR(INDEX(装备库!$A$2:$Y$1047,MATCH(ROW()-1,装备库!$AO$2:$AO$1046,0),COLUMN()),"")</f>
        <v>1671</v>
      </c>
      <c r="J520">
        <f>IFERROR(INDEX(装备库!$A$2:$Y$1047,MATCH(ROW()-1,装备库!$AO$2:$AO$1046,0),COLUMN()),"")</f>
        <v>0</v>
      </c>
      <c r="K520">
        <f>IFERROR(INDEX(装备库!$A$2:$Y$1047,MATCH(ROW()-1,装备库!$AO$2:$AO$1046,0),COLUMN()),"")</f>
        <v>4861</v>
      </c>
      <c r="L520">
        <f>IFERROR(INDEX(装备库!$A$2:$Y$1047,MATCH(ROW()-1,装备库!$AO$2:$AO$1046,0),COLUMN()),"")</f>
        <v>0</v>
      </c>
      <c r="M520">
        <f>IFERROR(INDEX(装备库!$A$2:$Y$1047,MATCH(ROW()-1,装备库!$AO$2:$AO$1046,0),COLUMN()),"")</f>
        <v>0</v>
      </c>
      <c r="N520">
        <f>IFERROR(INDEX(装备库!$A$2:$Y$1047,MATCH(ROW()-1,装备库!$AO$2:$AO$1046,0),COLUMN()),"")</f>
        <v>0</v>
      </c>
      <c r="O520">
        <f>IFERROR(INDEX(装备库!$A$2:$Y$1047,MATCH(ROW()-1,装备库!$AO$2:$AO$1046,0),COLUMN()),"")</f>
        <v>0</v>
      </c>
      <c r="P520">
        <f>IFERROR(INDEX(装备库!$A$2:$Y$1047,MATCH(ROW()-1,装备库!$AO$2:$AO$1046,0),COLUMN()),"")</f>
        <v>1</v>
      </c>
      <c r="Q520">
        <f>IFERROR(INDEX(装备库!$A$2:$Y$1047,MATCH(ROW()-1,装备库!$AO$2:$AO$1046,0),COLUMN()),"")</f>
        <v>0</v>
      </c>
      <c r="R520">
        <f>IFERROR(INDEX(装备库!$A$2:$Y$1047,MATCH(ROW()-1,装备库!$AO$2:$AO$1046,0),COLUMN()),"")</f>
        <v>0</v>
      </c>
      <c r="S520">
        <f>IFERROR(INDEX(装备库!$A$2:$Y$1047,MATCH(ROW()-1,装备库!$AO$2:$AO$1046,0),COLUMN()),"")</f>
        <v>0</v>
      </c>
      <c r="T520">
        <f>IFERROR(INDEX(装备库!$A$2:$Y$1047,MATCH(ROW()-1,装备库!$AO$2:$AO$1046,0),COLUMN()),"")</f>
        <v>1</v>
      </c>
      <c r="U520">
        <f>IFERROR(INDEX(装备库!$A$2:$Y$1047,MATCH(ROW()-1,装备库!$AO$2:$AO$1046,0),COLUMN()),"")</f>
        <v>0</v>
      </c>
      <c r="V520">
        <f>IFERROR(INDEX(装备库!$A$2:$Y$1047,MATCH(ROW()-1,装备库!$AO$2:$AO$1046,0),COLUMN()),"")</f>
        <v>0</v>
      </c>
      <c r="W520" t="str">
        <f>IFERROR(INDEX(装备库!$A$2:$Y$1047,MATCH(ROW()-1,装备库!$AO$2:$AO$1046,0),COLUMN()),"")</f>
        <v>精简体攻破无</v>
      </c>
      <c r="X520">
        <f>IFERROR(INDEX(装备库!$A$2:$Y$1047,MATCH(ROW()-1,装备库!$AO$2:$AO$1046,0),COLUMN()),"")</f>
        <v>4</v>
      </c>
      <c r="Y520" t="str">
        <f>IFERROR(INDEX(装备库!$A$2:$Y$1047,MATCH(ROW()-1,装备库!$AO$2:$AO$1046,0),COLUMN()),"")</f>
        <v>副本</v>
      </c>
    </row>
    <row r="521" spans="1:25" x14ac:dyDescent="0.35">
      <c r="A521" t="str">
        <f>IFERROR(INDEX(装备库!$A$2:$Y$1047,MATCH(ROW()-1,装备库!$AO$2:$AO$1046,0),COLUMN()),"")</f>
        <v>腰带</v>
      </c>
      <c r="B521" t="str">
        <f>IFERROR(INDEX(装备库!$A$2:$Y$1047,MATCH(ROW()-1,装备库!$AO$2:$AO$1046,0),COLUMN()),"")</f>
        <v>澜涛腰带</v>
      </c>
      <c r="C521">
        <f>IFERROR(INDEX(装备库!$A$2:$Y$1047,MATCH(ROW()-1,装备库!$AO$2:$AO$1046,0),COLUMN()),"")</f>
        <v>11150</v>
      </c>
      <c r="D521" t="str">
        <f>IFERROR(INDEX(装备库!$A$2:$Y$1047,MATCH(ROW()-1,装备库!$AO$2:$AO$1046,0),COLUMN()),"")</f>
        <v>澜涛腰带(11150精简体攻会无)</v>
      </c>
      <c r="E521">
        <f>IFERROR(INDEX(装备库!$A$2:$Y$1047,MATCH(ROW()-1,装备库!$AO$2:$AO$1046,0),COLUMN()),"")</f>
        <v>0</v>
      </c>
      <c r="F521">
        <f>IFERROR(INDEX(装备库!$A$2:$Y$1047,MATCH(ROW()-1,装备库!$AO$2:$AO$1046,0),COLUMN()),"")</f>
        <v>1632</v>
      </c>
      <c r="G521">
        <f>IFERROR(INDEX(装备库!$A$2:$Y$1047,MATCH(ROW()-1,装备库!$AO$2:$AO$1046,0),COLUMN()),"")</f>
        <v>1671</v>
      </c>
      <c r="H521">
        <f>IFERROR(INDEX(装备库!$A$2:$Y$1047,MATCH(ROW()-1,装备库!$AO$2:$AO$1046,0),COLUMN()),"")</f>
        <v>0</v>
      </c>
      <c r="I521">
        <f>IFERROR(INDEX(装备库!$A$2:$Y$1047,MATCH(ROW()-1,装备库!$AO$2:$AO$1046,0),COLUMN()),"")</f>
        <v>0</v>
      </c>
      <c r="J521">
        <f>IFERROR(INDEX(装备库!$A$2:$Y$1047,MATCH(ROW()-1,装备库!$AO$2:$AO$1046,0),COLUMN()),"")</f>
        <v>0</v>
      </c>
      <c r="K521">
        <f>IFERROR(INDEX(装备库!$A$2:$Y$1047,MATCH(ROW()-1,装备库!$AO$2:$AO$1046,0),COLUMN()),"")</f>
        <v>4861</v>
      </c>
      <c r="L521">
        <f>IFERROR(INDEX(装备库!$A$2:$Y$1047,MATCH(ROW()-1,装备库!$AO$2:$AO$1046,0),COLUMN()),"")</f>
        <v>0</v>
      </c>
      <c r="M521">
        <f>IFERROR(INDEX(装备库!$A$2:$Y$1047,MATCH(ROW()-1,装备库!$AO$2:$AO$1046,0),COLUMN()),"")</f>
        <v>0</v>
      </c>
      <c r="N521">
        <f>IFERROR(INDEX(装备库!$A$2:$Y$1047,MATCH(ROW()-1,装备库!$AO$2:$AO$1046,0),COLUMN()),"")</f>
        <v>0</v>
      </c>
      <c r="O521">
        <f>IFERROR(INDEX(装备库!$A$2:$Y$1047,MATCH(ROW()-1,装备库!$AO$2:$AO$1046,0),COLUMN()),"")</f>
        <v>0</v>
      </c>
      <c r="P521">
        <f>IFERROR(INDEX(装备库!$A$2:$Y$1047,MATCH(ROW()-1,装备库!$AO$2:$AO$1046,0),COLUMN()),"")</f>
        <v>1</v>
      </c>
      <c r="Q521">
        <f>IFERROR(INDEX(装备库!$A$2:$Y$1047,MATCH(ROW()-1,装备库!$AO$2:$AO$1046,0),COLUMN()),"")</f>
        <v>0</v>
      </c>
      <c r="R521">
        <f>IFERROR(INDEX(装备库!$A$2:$Y$1047,MATCH(ROW()-1,装备库!$AO$2:$AO$1046,0),COLUMN()),"")</f>
        <v>0</v>
      </c>
      <c r="S521">
        <f>IFERROR(INDEX(装备库!$A$2:$Y$1047,MATCH(ROW()-1,装备库!$AO$2:$AO$1046,0),COLUMN()),"")</f>
        <v>0</v>
      </c>
      <c r="T521">
        <f>IFERROR(INDEX(装备库!$A$2:$Y$1047,MATCH(ROW()-1,装备库!$AO$2:$AO$1046,0),COLUMN()),"")</f>
        <v>1</v>
      </c>
      <c r="U521">
        <f>IFERROR(INDEX(装备库!$A$2:$Y$1047,MATCH(ROW()-1,装备库!$AO$2:$AO$1046,0),COLUMN()),"")</f>
        <v>0</v>
      </c>
      <c r="V521">
        <f>IFERROR(INDEX(装备库!$A$2:$Y$1047,MATCH(ROW()-1,装备库!$AO$2:$AO$1046,0),COLUMN()),"")</f>
        <v>0</v>
      </c>
      <c r="W521" t="str">
        <f>IFERROR(INDEX(装备库!$A$2:$Y$1047,MATCH(ROW()-1,装备库!$AO$2:$AO$1046,0),COLUMN()),"")</f>
        <v>精简体攻会无</v>
      </c>
      <c r="X521">
        <f>IFERROR(INDEX(装备库!$A$2:$Y$1047,MATCH(ROW()-1,装备库!$AO$2:$AO$1046,0),COLUMN()),"")</f>
        <v>4</v>
      </c>
      <c r="Y521" t="str">
        <f>IFERROR(INDEX(装备库!$A$2:$Y$1047,MATCH(ROW()-1,装备库!$AO$2:$AO$1046,0),COLUMN()),"")</f>
        <v>副本</v>
      </c>
    </row>
    <row r="522" spans="1:25" x14ac:dyDescent="0.35">
      <c r="A522" t="str">
        <f>IFERROR(INDEX(装备库!$A$2:$Y$1047,MATCH(ROW()-1,装备库!$AO$2:$AO$1046,0),COLUMN()),"")</f>
        <v>腰带</v>
      </c>
      <c r="B522" t="str">
        <f>IFERROR(INDEX(装备库!$A$2:$Y$1047,MATCH(ROW()-1,装备库!$AO$2:$AO$1046,0),COLUMN()),"")</f>
        <v>静山腰带</v>
      </c>
      <c r="C522">
        <f>IFERROR(INDEX(装备库!$A$2:$Y$1047,MATCH(ROW()-1,装备库!$AO$2:$AO$1046,0),COLUMN()),"")</f>
        <v>11300</v>
      </c>
      <c r="D522" t="str">
        <f>IFERROR(INDEX(装备库!$A$2:$Y$1047,MATCH(ROW()-1,装备库!$AO$2:$AO$1046,0),COLUMN()),"")</f>
        <v>静山腰带(11300招破)</v>
      </c>
      <c r="E522">
        <f>IFERROR(INDEX(装备库!$A$2:$Y$1047,MATCH(ROW()-1,装备库!$AO$2:$AO$1046,0),COLUMN()),"")</f>
        <v>552</v>
      </c>
      <c r="F522">
        <f>IFERROR(INDEX(装备库!$A$2:$Y$1047,MATCH(ROW()-1,装备库!$AO$2:$AO$1046,0),COLUMN()),"")</f>
        <v>896</v>
      </c>
      <c r="G522">
        <f>IFERROR(INDEX(装备库!$A$2:$Y$1047,MATCH(ROW()-1,装备库!$AO$2:$AO$1046,0),COLUMN()),"")</f>
        <v>0</v>
      </c>
      <c r="H522">
        <f>IFERROR(INDEX(装备库!$A$2:$Y$1047,MATCH(ROW()-1,装备库!$AO$2:$AO$1046,0),COLUMN()),"")</f>
        <v>0</v>
      </c>
      <c r="I522">
        <f>IFERROR(INDEX(装备库!$A$2:$Y$1047,MATCH(ROW()-1,装备库!$AO$2:$AO$1046,0),COLUMN()),"")</f>
        <v>2771</v>
      </c>
      <c r="J522">
        <f>IFERROR(INDEX(装备库!$A$2:$Y$1047,MATCH(ROW()-1,装备库!$AO$2:$AO$1046,0),COLUMN()),"")</f>
        <v>2463</v>
      </c>
      <c r="K522">
        <f>IFERROR(INDEX(装备库!$A$2:$Y$1047,MATCH(ROW()-1,装备库!$AO$2:$AO$1046,0),COLUMN()),"")</f>
        <v>0</v>
      </c>
      <c r="L522">
        <f>IFERROR(INDEX(装备库!$A$2:$Y$1047,MATCH(ROW()-1,装备库!$AO$2:$AO$1046,0),COLUMN()),"")</f>
        <v>0</v>
      </c>
      <c r="M522">
        <f>IFERROR(INDEX(装备库!$A$2:$Y$1047,MATCH(ROW()-1,装备库!$AO$2:$AO$1046,0),COLUMN()),"")</f>
        <v>0</v>
      </c>
      <c r="N522">
        <f>IFERROR(INDEX(装备库!$A$2:$Y$1047,MATCH(ROW()-1,装备库!$AO$2:$AO$1046,0),COLUMN()),"")</f>
        <v>0</v>
      </c>
      <c r="O522">
        <f>IFERROR(INDEX(装备库!$A$2:$Y$1047,MATCH(ROW()-1,装备库!$AO$2:$AO$1046,0),COLUMN()),"")</f>
        <v>1</v>
      </c>
      <c r="P522">
        <f>IFERROR(INDEX(装备库!$A$2:$Y$1047,MATCH(ROW()-1,装备库!$AO$2:$AO$1046,0),COLUMN()),"")</f>
        <v>0</v>
      </c>
      <c r="Q522">
        <f>IFERROR(INDEX(装备库!$A$2:$Y$1047,MATCH(ROW()-1,装备库!$AO$2:$AO$1046,0),COLUMN()),"")</f>
        <v>0</v>
      </c>
      <c r="R522">
        <f>IFERROR(INDEX(装备库!$A$2:$Y$1047,MATCH(ROW()-1,装备库!$AO$2:$AO$1046,0),COLUMN()),"")</f>
        <v>0</v>
      </c>
      <c r="S522">
        <f>IFERROR(INDEX(装备库!$A$2:$Y$1047,MATCH(ROW()-1,装备库!$AO$2:$AO$1046,0),COLUMN()),"")</f>
        <v>1</v>
      </c>
      <c r="T522">
        <f>IFERROR(INDEX(装备库!$A$2:$Y$1047,MATCH(ROW()-1,装备库!$AO$2:$AO$1046,0),COLUMN()),"")</f>
        <v>0</v>
      </c>
      <c r="U522">
        <f>IFERROR(INDEX(装备库!$A$2:$Y$1047,MATCH(ROW()-1,装备库!$AO$2:$AO$1046,0),COLUMN()),"")</f>
        <v>0</v>
      </c>
      <c r="V522">
        <f>IFERROR(INDEX(装备库!$A$2:$Y$1047,MATCH(ROW()-1,装备库!$AO$2:$AO$1046,0),COLUMN()),"")</f>
        <v>0</v>
      </c>
      <c r="W522" t="str">
        <f>IFERROR(INDEX(装备库!$A$2:$Y$1047,MATCH(ROW()-1,装备库!$AO$2:$AO$1046,0),COLUMN()),"")</f>
        <v>招破</v>
      </c>
      <c r="X522">
        <f>IFERROR(INDEX(装备库!$A$2:$Y$1047,MATCH(ROW()-1,装备库!$AO$2:$AO$1046,0),COLUMN()),"")</f>
        <v>6</v>
      </c>
      <c r="Y522" t="str">
        <f>IFERROR(INDEX(装备库!$A$2:$Y$1047,MATCH(ROW()-1,装备库!$AO$2:$AO$1046,0),COLUMN()),"")</f>
        <v>声望</v>
      </c>
    </row>
    <row r="523" spans="1:25" x14ac:dyDescent="0.35">
      <c r="A523" t="str">
        <f>IFERROR(INDEX(装备库!$A$2:$Y$1047,MATCH(ROW()-1,装备库!$AO$2:$AO$1046,0),COLUMN()),"")</f>
        <v>腰带</v>
      </c>
      <c r="B523" t="str">
        <f>IFERROR(INDEX(装备库!$A$2:$Y$1047,MATCH(ROW()-1,装备库!$AO$2:$AO$1046,0),COLUMN()),"")</f>
        <v>暮祁腰带</v>
      </c>
      <c r="C523">
        <f>IFERROR(INDEX(装备库!$A$2:$Y$1047,MATCH(ROW()-1,装备库!$AO$2:$AO$1046,0),COLUMN()),"")</f>
        <v>11300</v>
      </c>
      <c r="D523" t="str">
        <f>IFERROR(INDEX(装备库!$A$2:$Y$1047,MATCH(ROW()-1,装备库!$AO$2:$AO$1046,0),COLUMN()),"")</f>
        <v>暮祁腰带(11300会招)</v>
      </c>
      <c r="E523">
        <f>IFERROR(INDEX(装备库!$A$2:$Y$1047,MATCH(ROW()-1,装备库!$AO$2:$AO$1046,0),COLUMN()),"")</f>
        <v>552</v>
      </c>
      <c r="F523">
        <f>IFERROR(INDEX(装备库!$A$2:$Y$1047,MATCH(ROW()-1,装备库!$AO$2:$AO$1046,0),COLUMN()),"")</f>
        <v>896</v>
      </c>
      <c r="G523">
        <f>IFERROR(INDEX(装备库!$A$2:$Y$1047,MATCH(ROW()-1,装备库!$AO$2:$AO$1046,0),COLUMN()),"")</f>
        <v>2771</v>
      </c>
      <c r="H523">
        <f>IFERROR(INDEX(装备库!$A$2:$Y$1047,MATCH(ROW()-1,装备库!$AO$2:$AO$1046,0),COLUMN()),"")</f>
        <v>0</v>
      </c>
      <c r="I523">
        <f>IFERROR(INDEX(装备库!$A$2:$Y$1047,MATCH(ROW()-1,装备库!$AO$2:$AO$1046,0),COLUMN()),"")</f>
        <v>0</v>
      </c>
      <c r="J523">
        <f>IFERROR(INDEX(装备库!$A$2:$Y$1047,MATCH(ROW()-1,装备库!$AO$2:$AO$1046,0),COLUMN()),"")</f>
        <v>2463</v>
      </c>
      <c r="K523">
        <f>IFERROR(INDEX(装备库!$A$2:$Y$1047,MATCH(ROW()-1,装备库!$AO$2:$AO$1046,0),COLUMN()),"")</f>
        <v>0</v>
      </c>
      <c r="L523">
        <f>IFERROR(INDEX(装备库!$A$2:$Y$1047,MATCH(ROW()-1,装备库!$AO$2:$AO$1046,0),COLUMN()),"")</f>
        <v>0</v>
      </c>
      <c r="M523">
        <f>IFERROR(INDEX(装备库!$A$2:$Y$1047,MATCH(ROW()-1,装备库!$AO$2:$AO$1046,0),COLUMN()),"")</f>
        <v>0</v>
      </c>
      <c r="N523">
        <f>IFERROR(INDEX(装备库!$A$2:$Y$1047,MATCH(ROW()-1,装备库!$AO$2:$AO$1046,0),COLUMN()),"")</f>
        <v>0</v>
      </c>
      <c r="O523">
        <f>IFERROR(INDEX(装备库!$A$2:$Y$1047,MATCH(ROW()-1,装备库!$AO$2:$AO$1046,0),COLUMN()),"")</f>
        <v>0</v>
      </c>
      <c r="P523">
        <f>IFERROR(INDEX(装备库!$A$2:$Y$1047,MATCH(ROW()-1,装备库!$AO$2:$AO$1046,0),COLUMN()),"")</f>
        <v>0</v>
      </c>
      <c r="Q523">
        <f>IFERROR(INDEX(装备库!$A$2:$Y$1047,MATCH(ROW()-1,装备库!$AO$2:$AO$1046,0),COLUMN()),"")</f>
        <v>1</v>
      </c>
      <c r="R523">
        <f>IFERROR(INDEX(装备库!$A$2:$Y$1047,MATCH(ROW()-1,装备库!$AO$2:$AO$1046,0),COLUMN()),"")</f>
        <v>1</v>
      </c>
      <c r="S523">
        <f>IFERROR(INDEX(装备库!$A$2:$Y$1047,MATCH(ROW()-1,装备库!$AO$2:$AO$1046,0),COLUMN()),"")</f>
        <v>0</v>
      </c>
      <c r="T523">
        <f>IFERROR(INDEX(装备库!$A$2:$Y$1047,MATCH(ROW()-1,装备库!$AO$2:$AO$1046,0),COLUMN()),"")</f>
        <v>0</v>
      </c>
      <c r="U523">
        <f>IFERROR(INDEX(装备库!$A$2:$Y$1047,MATCH(ROW()-1,装备库!$AO$2:$AO$1046,0),COLUMN()),"")</f>
        <v>0</v>
      </c>
      <c r="V523">
        <f>IFERROR(INDEX(装备库!$A$2:$Y$1047,MATCH(ROW()-1,装备库!$AO$2:$AO$1046,0),COLUMN()),"")</f>
        <v>0</v>
      </c>
      <c r="W523" t="str">
        <f>IFERROR(INDEX(装备库!$A$2:$Y$1047,MATCH(ROW()-1,装备库!$AO$2:$AO$1046,0),COLUMN()),"")</f>
        <v>会招</v>
      </c>
      <c r="X523">
        <f>IFERROR(INDEX(装备库!$A$2:$Y$1047,MATCH(ROW()-1,装备库!$AO$2:$AO$1046,0),COLUMN()),"")</f>
        <v>6</v>
      </c>
      <c r="Y523" t="str">
        <f>IFERROR(INDEX(装备库!$A$2:$Y$1047,MATCH(ROW()-1,装备库!$AO$2:$AO$1046,0),COLUMN()),"")</f>
        <v>生活技能</v>
      </c>
    </row>
    <row r="524" spans="1:25" x14ac:dyDescent="0.35">
      <c r="A524" t="str">
        <f>IFERROR(INDEX(装备库!$A$2:$Y$1047,MATCH(ROW()-1,装备库!$AO$2:$AO$1046,0),COLUMN()),"")</f>
        <v>腰带</v>
      </c>
      <c r="B524" t="str">
        <f>IFERROR(INDEX(装备库!$A$2:$Y$1047,MATCH(ROW()-1,装备库!$AO$2:$AO$1046,0),COLUMN()),"")</f>
        <v>【门派套装】濯心·映寒腰带</v>
      </c>
      <c r="C524">
        <f>IFERROR(INDEX(装备库!$A$2:$Y$1047,MATCH(ROW()-1,装备库!$AO$2:$AO$1046,0),COLUMN()),"")</f>
        <v>12300</v>
      </c>
      <c r="D524" t="str">
        <f>IFERROR(INDEX(装备库!$A$2:$Y$1047,MATCH(ROW()-1,装备库!$AO$2:$AO$1046,0),COLUMN()),"")</f>
        <v>【门派套装】濯心·映寒腰带(12300会无)</v>
      </c>
      <c r="E524">
        <f>IFERROR(INDEX(装备库!$A$2:$Y$1047,MATCH(ROW()-1,装备库!$AO$2:$AO$1046,0),COLUMN()),"")</f>
        <v>601</v>
      </c>
      <c r="F524">
        <f>IFERROR(INDEX(装备库!$A$2:$Y$1047,MATCH(ROW()-1,装备库!$AO$2:$AO$1046,0),COLUMN()),"")</f>
        <v>975</v>
      </c>
      <c r="G524">
        <f>IFERROR(INDEX(装备库!$A$2:$Y$1047,MATCH(ROW()-1,装备库!$AO$2:$AO$1046,0),COLUMN()),"")</f>
        <v>3017</v>
      </c>
      <c r="H524">
        <f>IFERROR(INDEX(装备库!$A$2:$Y$1047,MATCH(ROW()-1,装备库!$AO$2:$AO$1046,0),COLUMN()),"")</f>
        <v>0</v>
      </c>
      <c r="I524">
        <f>IFERROR(INDEX(装备库!$A$2:$Y$1047,MATCH(ROW()-1,装备库!$AO$2:$AO$1046,0),COLUMN()),"")</f>
        <v>0</v>
      </c>
      <c r="J524">
        <f>IFERROR(INDEX(装备库!$A$2:$Y$1047,MATCH(ROW()-1,装备库!$AO$2:$AO$1046,0),COLUMN()),"")</f>
        <v>0</v>
      </c>
      <c r="K524">
        <f>IFERROR(INDEX(装备库!$A$2:$Y$1047,MATCH(ROW()-1,装备库!$AO$2:$AO$1046,0),COLUMN()),"")</f>
        <v>2681</v>
      </c>
      <c r="L524">
        <f>IFERROR(INDEX(装备库!$A$2:$Y$1047,MATCH(ROW()-1,装备库!$AO$2:$AO$1046,0),COLUMN()),"")</f>
        <v>0</v>
      </c>
      <c r="M524">
        <f>IFERROR(INDEX(装备库!$A$2:$Y$1047,MATCH(ROW()-1,装备库!$AO$2:$AO$1046,0),COLUMN()),"")</f>
        <v>0</v>
      </c>
      <c r="N524">
        <f>IFERROR(INDEX(装备库!$A$2:$Y$1047,MATCH(ROW()-1,装备库!$AO$2:$AO$1046,0),COLUMN()),"")</f>
        <v>0</v>
      </c>
      <c r="O524">
        <f>IFERROR(INDEX(装备库!$A$2:$Y$1047,MATCH(ROW()-1,装备库!$AO$2:$AO$1046,0),COLUMN()),"")</f>
        <v>0</v>
      </c>
      <c r="P524">
        <f>IFERROR(INDEX(装备库!$A$2:$Y$1047,MATCH(ROW()-1,装备库!$AO$2:$AO$1046,0),COLUMN()),"")</f>
        <v>1</v>
      </c>
      <c r="Q524">
        <f>IFERROR(INDEX(装备库!$A$2:$Y$1047,MATCH(ROW()-1,装备库!$AO$2:$AO$1046,0),COLUMN()),"")</f>
        <v>1</v>
      </c>
      <c r="R524">
        <f>IFERROR(INDEX(装备库!$A$2:$Y$1047,MATCH(ROW()-1,装备库!$AO$2:$AO$1046,0),COLUMN()),"")</f>
        <v>0</v>
      </c>
      <c r="S524">
        <f>IFERROR(INDEX(装备库!$A$2:$Y$1047,MATCH(ROW()-1,装备库!$AO$2:$AO$1046,0),COLUMN()),"")</f>
        <v>0</v>
      </c>
      <c r="T524">
        <f>IFERROR(INDEX(装备库!$A$2:$Y$1047,MATCH(ROW()-1,装备库!$AO$2:$AO$1046,0),COLUMN()),"")</f>
        <v>0</v>
      </c>
      <c r="U524">
        <f>IFERROR(INDEX(装备库!$A$2:$Y$1047,MATCH(ROW()-1,装备库!$AO$2:$AO$1046,0),COLUMN()),"")</f>
        <v>0</v>
      </c>
      <c r="V524">
        <f>IFERROR(INDEX(装备库!$A$2:$Y$1047,MATCH(ROW()-1,装备库!$AO$2:$AO$1046,0),COLUMN()),"")</f>
        <v>0</v>
      </c>
      <c r="W524" t="str">
        <f>IFERROR(INDEX(装备库!$A$2:$Y$1047,MATCH(ROW()-1,装备库!$AO$2:$AO$1046,0),COLUMN()),"")</f>
        <v>会无</v>
      </c>
      <c r="X524">
        <f>IFERROR(INDEX(装备库!$A$2:$Y$1047,MATCH(ROW()-1,装备库!$AO$2:$AO$1046,0),COLUMN()),"")</f>
        <v>6</v>
      </c>
      <c r="Y524" t="str">
        <f>IFERROR(INDEX(装备库!$A$2:$Y$1047,MATCH(ROW()-1,装备库!$AO$2:$AO$1046,0),COLUMN()),"")</f>
        <v>兑换牌</v>
      </c>
    </row>
    <row r="525" spans="1:25" x14ac:dyDescent="0.35">
      <c r="A525" t="str">
        <f>IFERROR(INDEX(装备库!$A$2:$Y$1047,MATCH(ROW()-1,装备库!$AO$2:$AO$1046,0),COLUMN()),"")</f>
        <v>腰带</v>
      </c>
      <c r="B525" t="str">
        <f>IFERROR(INDEX(装备库!$A$2:$Y$1047,MATCH(ROW()-1,装备库!$AO$2:$AO$1046,0),COLUMN()),"")</f>
        <v>温刃带</v>
      </c>
      <c r="C525">
        <f>IFERROR(INDEX(装备库!$A$2:$Y$1047,MATCH(ROW()-1,装备库!$AO$2:$AO$1046,0),COLUMN()),"")</f>
        <v>12450</v>
      </c>
      <c r="D525" t="str">
        <f>IFERROR(INDEX(装备库!$A$2:$Y$1047,MATCH(ROW()-1,装备库!$AO$2:$AO$1046,0),COLUMN()),"")</f>
        <v>温刃带(12450速招)</v>
      </c>
      <c r="E525">
        <f>IFERROR(INDEX(装备库!$A$2:$Y$1047,MATCH(ROW()-1,装备库!$AO$2:$AO$1046,0),COLUMN()),"")</f>
        <v>609</v>
      </c>
      <c r="F525">
        <f>IFERROR(INDEX(装备库!$A$2:$Y$1047,MATCH(ROW()-1,装备库!$AO$2:$AO$1046,0),COLUMN()),"")</f>
        <v>987</v>
      </c>
      <c r="G525">
        <f>IFERROR(INDEX(装备库!$A$2:$Y$1047,MATCH(ROW()-1,装备库!$AO$2:$AO$1046,0),COLUMN()),"")</f>
        <v>0</v>
      </c>
      <c r="H525">
        <f>IFERROR(INDEX(装备库!$A$2:$Y$1047,MATCH(ROW()-1,装备库!$AO$2:$AO$1046,0),COLUMN()),"")</f>
        <v>0</v>
      </c>
      <c r="I525">
        <f>IFERROR(INDEX(装备库!$A$2:$Y$1047,MATCH(ROW()-1,装备库!$AO$2:$AO$1046,0),COLUMN()),"")</f>
        <v>0</v>
      </c>
      <c r="J525">
        <f>IFERROR(INDEX(装备库!$A$2:$Y$1047,MATCH(ROW()-1,装备库!$AO$2:$AO$1046,0),COLUMN()),"")</f>
        <v>2714</v>
      </c>
      <c r="K525">
        <f>IFERROR(INDEX(装备库!$A$2:$Y$1047,MATCH(ROW()-1,装备库!$AO$2:$AO$1046,0),COLUMN()),"")</f>
        <v>0</v>
      </c>
      <c r="L525">
        <f>IFERROR(INDEX(装备库!$A$2:$Y$1047,MATCH(ROW()-1,装备库!$AO$2:$AO$1046,0),COLUMN()),"")</f>
        <v>3053</v>
      </c>
      <c r="M525">
        <f>IFERROR(INDEX(装备库!$A$2:$Y$1047,MATCH(ROW()-1,装备库!$AO$2:$AO$1046,0),COLUMN()),"")</f>
        <v>0</v>
      </c>
      <c r="N525">
        <f>IFERROR(INDEX(装备库!$A$2:$Y$1047,MATCH(ROW()-1,装备库!$AO$2:$AO$1046,0),COLUMN()),"")</f>
        <v>0</v>
      </c>
      <c r="O525">
        <f>IFERROR(INDEX(装备库!$A$2:$Y$1047,MATCH(ROW()-1,装备库!$AO$2:$AO$1046,0),COLUMN()),"")</f>
        <v>0</v>
      </c>
      <c r="P525">
        <f>IFERROR(INDEX(装备库!$A$2:$Y$1047,MATCH(ROW()-1,装备库!$AO$2:$AO$1046,0),COLUMN()),"")</f>
        <v>1</v>
      </c>
      <c r="Q525">
        <f>IFERROR(INDEX(装备库!$A$2:$Y$1047,MATCH(ROW()-1,装备库!$AO$2:$AO$1046,0),COLUMN()),"")</f>
        <v>1</v>
      </c>
      <c r="R525">
        <f>IFERROR(INDEX(装备库!$A$2:$Y$1047,MATCH(ROW()-1,装备库!$AO$2:$AO$1046,0),COLUMN()),"")</f>
        <v>0</v>
      </c>
      <c r="S525">
        <f>IFERROR(INDEX(装备库!$A$2:$Y$1047,MATCH(ROW()-1,装备库!$AO$2:$AO$1046,0),COLUMN()),"")</f>
        <v>0</v>
      </c>
      <c r="T525">
        <f>IFERROR(INDEX(装备库!$A$2:$Y$1047,MATCH(ROW()-1,装备库!$AO$2:$AO$1046,0),COLUMN()),"")</f>
        <v>0</v>
      </c>
      <c r="U525">
        <f>IFERROR(INDEX(装备库!$A$2:$Y$1047,MATCH(ROW()-1,装备库!$AO$2:$AO$1046,0),COLUMN()),"")</f>
        <v>0</v>
      </c>
      <c r="V525">
        <f>IFERROR(INDEX(装备库!$A$2:$Y$1047,MATCH(ROW()-1,装备库!$AO$2:$AO$1046,0),COLUMN()),"")</f>
        <v>0</v>
      </c>
      <c r="W525" t="str">
        <f>IFERROR(INDEX(装备库!$A$2:$Y$1047,MATCH(ROW()-1,装备库!$AO$2:$AO$1046,0),COLUMN()),"")</f>
        <v>速招</v>
      </c>
      <c r="X525">
        <f>IFERROR(INDEX(装备库!$A$2:$Y$1047,MATCH(ROW()-1,装备库!$AO$2:$AO$1046,0),COLUMN()),"")</f>
        <v>6</v>
      </c>
      <c r="Y525" t="str">
        <f>IFERROR(INDEX(装备库!$A$2:$Y$1047,MATCH(ROW()-1,装备库!$AO$2:$AO$1046,0),COLUMN()),"")</f>
        <v>副本</v>
      </c>
    </row>
    <row r="526" spans="1:25" x14ac:dyDescent="0.35">
      <c r="A526" t="str">
        <f>IFERROR(INDEX(装备库!$A$2:$Y$1047,MATCH(ROW()-1,装备库!$AO$2:$AO$1046,0),COLUMN()),"")</f>
        <v>腰带</v>
      </c>
      <c r="B526" t="str">
        <f>IFERROR(INDEX(装备库!$A$2:$Y$1047,MATCH(ROW()-1,装备库!$AO$2:$AO$1046,0),COLUMN()),"")</f>
        <v>安衿腰带</v>
      </c>
      <c r="C526">
        <f>IFERROR(INDEX(装备库!$A$2:$Y$1047,MATCH(ROW()-1,装备库!$AO$2:$AO$1046,0),COLUMN()),"")</f>
        <v>12450</v>
      </c>
      <c r="D526" t="str">
        <f>IFERROR(INDEX(装备库!$A$2:$Y$1047,MATCH(ROW()-1,装备库!$AO$2:$AO$1046,0),COLUMN()),"")</f>
        <v>安衿腰带(12450破无)</v>
      </c>
      <c r="E526">
        <f>IFERROR(INDEX(装备库!$A$2:$Y$1047,MATCH(ROW()-1,装备库!$AO$2:$AO$1046,0),COLUMN()),"")</f>
        <v>609</v>
      </c>
      <c r="F526">
        <f>IFERROR(INDEX(装备库!$A$2:$Y$1047,MATCH(ROW()-1,装备库!$AO$2:$AO$1046,0),COLUMN()),"")</f>
        <v>987</v>
      </c>
      <c r="G526">
        <f>IFERROR(INDEX(装备库!$A$2:$Y$1047,MATCH(ROW()-1,装备库!$AO$2:$AO$1046,0),COLUMN()),"")</f>
        <v>0</v>
      </c>
      <c r="H526">
        <f>IFERROR(INDEX(装备库!$A$2:$Y$1047,MATCH(ROW()-1,装备库!$AO$2:$AO$1046,0),COLUMN()),"")</f>
        <v>0</v>
      </c>
      <c r="I526">
        <f>IFERROR(INDEX(装备库!$A$2:$Y$1047,MATCH(ROW()-1,装备库!$AO$2:$AO$1046,0),COLUMN()),"")</f>
        <v>3053</v>
      </c>
      <c r="J526">
        <f>IFERROR(INDEX(装备库!$A$2:$Y$1047,MATCH(ROW()-1,装备库!$AO$2:$AO$1046,0),COLUMN()),"")</f>
        <v>0</v>
      </c>
      <c r="K526">
        <f>IFERROR(INDEX(装备库!$A$2:$Y$1047,MATCH(ROW()-1,装备库!$AO$2:$AO$1046,0),COLUMN()),"")</f>
        <v>2714</v>
      </c>
      <c r="L526">
        <f>IFERROR(INDEX(装备库!$A$2:$Y$1047,MATCH(ROW()-1,装备库!$AO$2:$AO$1046,0),COLUMN()),"")</f>
        <v>0</v>
      </c>
      <c r="M526">
        <f>IFERROR(INDEX(装备库!$A$2:$Y$1047,MATCH(ROW()-1,装备库!$AO$2:$AO$1046,0),COLUMN()),"")</f>
        <v>0</v>
      </c>
      <c r="N526">
        <f>IFERROR(INDEX(装备库!$A$2:$Y$1047,MATCH(ROW()-1,装备库!$AO$2:$AO$1046,0),COLUMN()),"")</f>
        <v>0</v>
      </c>
      <c r="O526">
        <f>IFERROR(INDEX(装备库!$A$2:$Y$1047,MATCH(ROW()-1,装备库!$AO$2:$AO$1046,0),COLUMN()),"")</f>
        <v>0</v>
      </c>
      <c r="P526">
        <f>IFERROR(INDEX(装备库!$A$2:$Y$1047,MATCH(ROW()-1,装备库!$AO$2:$AO$1046,0),COLUMN()),"")</f>
        <v>0</v>
      </c>
      <c r="Q526">
        <f>IFERROR(INDEX(装备库!$A$2:$Y$1047,MATCH(ROW()-1,装备库!$AO$2:$AO$1046,0),COLUMN()),"")</f>
        <v>1</v>
      </c>
      <c r="R526">
        <f>IFERROR(INDEX(装备库!$A$2:$Y$1047,MATCH(ROW()-1,装备库!$AO$2:$AO$1046,0),COLUMN()),"")</f>
        <v>0</v>
      </c>
      <c r="S526">
        <f>IFERROR(INDEX(装备库!$A$2:$Y$1047,MATCH(ROW()-1,装备库!$AO$2:$AO$1046,0),COLUMN()),"")</f>
        <v>0</v>
      </c>
      <c r="T526">
        <f>IFERROR(INDEX(装备库!$A$2:$Y$1047,MATCH(ROW()-1,装备库!$AO$2:$AO$1046,0),COLUMN()),"")</f>
        <v>0</v>
      </c>
      <c r="U526">
        <f>IFERROR(INDEX(装备库!$A$2:$Y$1047,MATCH(ROW()-1,装备库!$AO$2:$AO$1046,0),COLUMN()),"")</f>
        <v>1</v>
      </c>
      <c r="V526">
        <f>IFERROR(INDEX(装备库!$A$2:$Y$1047,MATCH(ROW()-1,装备库!$AO$2:$AO$1046,0),COLUMN()),"")</f>
        <v>0</v>
      </c>
      <c r="W526" t="str">
        <f>IFERROR(INDEX(装备库!$A$2:$Y$1047,MATCH(ROW()-1,装备库!$AO$2:$AO$1046,0),COLUMN()),"")</f>
        <v>破无</v>
      </c>
      <c r="X526">
        <f>IFERROR(INDEX(装备库!$A$2:$Y$1047,MATCH(ROW()-1,装备库!$AO$2:$AO$1046,0),COLUMN()),"")</f>
        <v>6</v>
      </c>
      <c r="Y526" t="str">
        <f>IFERROR(INDEX(装备库!$A$2:$Y$1047,MATCH(ROW()-1,装备库!$AO$2:$AO$1046,0),COLUMN()),"")</f>
        <v>副本</v>
      </c>
    </row>
    <row r="527" spans="1:25" x14ac:dyDescent="0.35">
      <c r="A527" t="str">
        <f>IFERROR(INDEX(装备库!$A$2:$Y$1047,MATCH(ROW()-1,装备库!$AO$2:$AO$1046,0),COLUMN()),"")</f>
        <v>腰带</v>
      </c>
      <c r="B527" t="str">
        <f>IFERROR(INDEX(装备库!$A$2:$Y$1047,MATCH(ROW()-1,装备库!$AO$2:$AO$1046,0),COLUMN()),"")</f>
        <v>湖静腰带</v>
      </c>
      <c r="C527">
        <f>IFERROR(INDEX(装备库!$A$2:$Y$1047,MATCH(ROW()-1,装备库!$AO$2:$AO$1046,0),COLUMN()),"")</f>
        <v>12450</v>
      </c>
      <c r="D527" t="str">
        <f>IFERROR(INDEX(装备库!$A$2:$Y$1047,MATCH(ROW()-1,装备库!$AO$2:$AO$1046,0),COLUMN()),"")</f>
        <v>湖静腰带(12450会招)</v>
      </c>
      <c r="E527">
        <f>IFERROR(INDEX(装备库!$A$2:$Y$1047,MATCH(ROW()-1,装备库!$AO$2:$AO$1046,0),COLUMN()),"")</f>
        <v>609</v>
      </c>
      <c r="F527">
        <f>IFERROR(INDEX(装备库!$A$2:$Y$1047,MATCH(ROW()-1,装备库!$AO$2:$AO$1046,0),COLUMN()),"")</f>
        <v>987</v>
      </c>
      <c r="G527">
        <f>IFERROR(INDEX(装备库!$A$2:$Y$1047,MATCH(ROW()-1,装备库!$AO$2:$AO$1046,0),COLUMN()),"")</f>
        <v>3053</v>
      </c>
      <c r="H527">
        <f>IFERROR(INDEX(装备库!$A$2:$Y$1047,MATCH(ROW()-1,装备库!$AO$2:$AO$1046,0),COLUMN()),"")</f>
        <v>0</v>
      </c>
      <c r="I527">
        <f>IFERROR(INDEX(装备库!$A$2:$Y$1047,MATCH(ROW()-1,装备库!$AO$2:$AO$1046,0),COLUMN()),"")</f>
        <v>0</v>
      </c>
      <c r="J527">
        <f>IFERROR(INDEX(装备库!$A$2:$Y$1047,MATCH(ROW()-1,装备库!$AO$2:$AO$1046,0),COLUMN()),"")</f>
        <v>2714</v>
      </c>
      <c r="K527">
        <f>IFERROR(INDEX(装备库!$A$2:$Y$1047,MATCH(ROW()-1,装备库!$AO$2:$AO$1046,0),COLUMN()),"")</f>
        <v>0</v>
      </c>
      <c r="L527">
        <f>IFERROR(INDEX(装备库!$A$2:$Y$1047,MATCH(ROW()-1,装备库!$AO$2:$AO$1046,0),COLUMN()),"")</f>
        <v>0</v>
      </c>
      <c r="M527">
        <f>IFERROR(INDEX(装备库!$A$2:$Y$1047,MATCH(ROW()-1,装备库!$AO$2:$AO$1046,0),COLUMN()),"")</f>
        <v>0</v>
      </c>
      <c r="N527">
        <f>IFERROR(INDEX(装备库!$A$2:$Y$1047,MATCH(ROW()-1,装备库!$AO$2:$AO$1046,0),COLUMN()),"")</f>
        <v>0</v>
      </c>
      <c r="O527">
        <f>IFERROR(INDEX(装备库!$A$2:$Y$1047,MATCH(ROW()-1,装备库!$AO$2:$AO$1046,0),COLUMN()),"")</f>
        <v>0</v>
      </c>
      <c r="P527">
        <f>IFERROR(INDEX(装备库!$A$2:$Y$1047,MATCH(ROW()-1,装备库!$AO$2:$AO$1046,0),COLUMN()),"")</f>
        <v>0</v>
      </c>
      <c r="Q527">
        <f>IFERROR(INDEX(装备库!$A$2:$Y$1047,MATCH(ROW()-1,装备库!$AO$2:$AO$1046,0),COLUMN()),"")</f>
        <v>1</v>
      </c>
      <c r="R527">
        <f>IFERROR(INDEX(装备库!$A$2:$Y$1047,MATCH(ROW()-1,装备库!$AO$2:$AO$1046,0),COLUMN()),"")</f>
        <v>1</v>
      </c>
      <c r="S527">
        <f>IFERROR(INDEX(装备库!$A$2:$Y$1047,MATCH(ROW()-1,装备库!$AO$2:$AO$1046,0),COLUMN()),"")</f>
        <v>0</v>
      </c>
      <c r="T527">
        <f>IFERROR(INDEX(装备库!$A$2:$Y$1047,MATCH(ROW()-1,装备库!$AO$2:$AO$1046,0),COLUMN()),"")</f>
        <v>0</v>
      </c>
      <c r="U527">
        <f>IFERROR(INDEX(装备库!$A$2:$Y$1047,MATCH(ROW()-1,装备库!$AO$2:$AO$1046,0),COLUMN()),"")</f>
        <v>0</v>
      </c>
      <c r="V527">
        <f>IFERROR(INDEX(装备库!$A$2:$Y$1047,MATCH(ROW()-1,装备库!$AO$2:$AO$1046,0),COLUMN()),"")</f>
        <v>0</v>
      </c>
      <c r="W527" t="str">
        <f>IFERROR(INDEX(装备库!$A$2:$Y$1047,MATCH(ROW()-1,装备库!$AO$2:$AO$1046,0),COLUMN()),"")</f>
        <v>会招</v>
      </c>
      <c r="X527">
        <f>IFERROR(INDEX(装备库!$A$2:$Y$1047,MATCH(ROW()-1,装备库!$AO$2:$AO$1046,0),COLUMN()),"")</f>
        <v>6</v>
      </c>
      <c r="Y527" t="str">
        <f>IFERROR(INDEX(装备库!$A$2:$Y$1047,MATCH(ROW()-1,装备库!$AO$2:$AO$1046,0),COLUMN()),"")</f>
        <v>世界BOSS</v>
      </c>
    </row>
    <row r="528" spans="1:25" x14ac:dyDescent="0.35">
      <c r="A528" t="str">
        <f>IFERROR(INDEX(装备库!$A$2:$Y$1047,MATCH(ROW()-1,装备库!$AO$2:$AO$1046,0),COLUMN()),"")</f>
        <v>腰带</v>
      </c>
      <c r="B528" t="str">
        <f>IFERROR(INDEX(装备库!$A$2:$Y$1047,MATCH(ROW()-1,装备库!$AO$2:$AO$1046,0),COLUMN()),"")</f>
        <v>聚远腰带</v>
      </c>
      <c r="C528">
        <f>IFERROR(INDEX(装备库!$A$2:$Y$1047,MATCH(ROW()-1,装备库!$AO$2:$AO$1046,0),COLUMN()),"")</f>
        <v>12450</v>
      </c>
      <c r="D528" t="str">
        <f>IFERROR(INDEX(装备库!$A$2:$Y$1047,MATCH(ROW()-1,装备库!$AO$2:$AO$1046,0),COLUMN()),"")</f>
        <v>聚远腰带(12450精简体攻招破)</v>
      </c>
      <c r="E528">
        <f>IFERROR(INDEX(装备库!$A$2:$Y$1047,MATCH(ROW()-1,装备库!$AO$2:$AO$1046,0),COLUMN()),"")</f>
        <v>0</v>
      </c>
      <c r="F528">
        <f>IFERROR(INDEX(装备库!$A$2:$Y$1047,MATCH(ROW()-1,装备库!$AO$2:$AO$1046,0),COLUMN()),"")</f>
        <v>2126</v>
      </c>
      <c r="G528">
        <f>IFERROR(INDEX(装备库!$A$2:$Y$1047,MATCH(ROW()-1,装备库!$AO$2:$AO$1046,0),COLUMN()),"")</f>
        <v>0</v>
      </c>
      <c r="H528">
        <f>IFERROR(INDEX(装备库!$A$2:$Y$1047,MATCH(ROW()-1,装备库!$AO$2:$AO$1046,0),COLUMN()),"")</f>
        <v>0</v>
      </c>
      <c r="I528">
        <f>IFERROR(INDEX(装备库!$A$2:$Y$1047,MATCH(ROW()-1,装备库!$AO$2:$AO$1046,0),COLUMN()),"")</f>
        <v>3223</v>
      </c>
      <c r="J528">
        <f>IFERROR(INDEX(装备库!$A$2:$Y$1047,MATCH(ROW()-1,装备库!$AO$2:$AO$1046,0),COLUMN()),"")</f>
        <v>3562</v>
      </c>
      <c r="K528">
        <f>IFERROR(INDEX(装备库!$A$2:$Y$1047,MATCH(ROW()-1,装备库!$AO$2:$AO$1046,0),COLUMN()),"")</f>
        <v>0</v>
      </c>
      <c r="L528">
        <f>IFERROR(INDEX(装备库!$A$2:$Y$1047,MATCH(ROW()-1,装备库!$AO$2:$AO$1046,0),COLUMN()),"")</f>
        <v>0</v>
      </c>
      <c r="M528">
        <f>IFERROR(INDEX(装备库!$A$2:$Y$1047,MATCH(ROW()-1,装备库!$AO$2:$AO$1046,0),COLUMN()),"")</f>
        <v>0</v>
      </c>
      <c r="N528">
        <f>IFERROR(INDEX(装备库!$A$2:$Y$1047,MATCH(ROW()-1,装备库!$AO$2:$AO$1046,0),COLUMN()),"")</f>
        <v>0</v>
      </c>
      <c r="O528">
        <f>IFERROR(INDEX(装备库!$A$2:$Y$1047,MATCH(ROW()-1,装备库!$AO$2:$AO$1046,0),COLUMN()),"")</f>
        <v>0</v>
      </c>
      <c r="P528">
        <f>IFERROR(INDEX(装备库!$A$2:$Y$1047,MATCH(ROW()-1,装备库!$AO$2:$AO$1046,0),COLUMN()),"")</f>
        <v>1</v>
      </c>
      <c r="Q528">
        <f>IFERROR(INDEX(装备库!$A$2:$Y$1047,MATCH(ROW()-1,装备库!$AO$2:$AO$1046,0),COLUMN()),"")</f>
        <v>1</v>
      </c>
      <c r="R528">
        <f>IFERROR(INDEX(装备库!$A$2:$Y$1047,MATCH(ROW()-1,装备库!$AO$2:$AO$1046,0),COLUMN()),"")</f>
        <v>0</v>
      </c>
      <c r="S528">
        <f>IFERROR(INDEX(装备库!$A$2:$Y$1047,MATCH(ROW()-1,装备库!$AO$2:$AO$1046,0),COLUMN()),"")</f>
        <v>0</v>
      </c>
      <c r="T528">
        <f>IFERROR(INDEX(装备库!$A$2:$Y$1047,MATCH(ROW()-1,装备库!$AO$2:$AO$1046,0),COLUMN()),"")</f>
        <v>0</v>
      </c>
      <c r="U528">
        <f>IFERROR(INDEX(装备库!$A$2:$Y$1047,MATCH(ROW()-1,装备库!$AO$2:$AO$1046,0),COLUMN()),"")</f>
        <v>0</v>
      </c>
      <c r="V528">
        <f>IFERROR(INDEX(装备库!$A$2:$Y$1047,MATCH(ROW()-1,装备库!$AO$2:$AO$1046,0),COLUMN()),"")</f>
        <v>0</v>
      </c>
      <c r="W528" t="str">
        <f>IFERROR(INDEX(装备库!$A$2:$Y$1047,MATCH(ROW()-1,装备库!$AO$2:$AO$1046,0),COLUMN()),"")</f>
        <v>精简体攻招破</v>
      </c>
      <c r="X528">
        <f>IFERROR(INDEX(装备库!$A$2:$Y$1047,MATCH(ROW()-1,装备库!$AO$2:$AO$1046,0),COLUMN()),"")</f>
        <v>4</v>
      </c>
      <c r="Y528" t="str">
        <f>IFERROR(INDEX(装备库!$A$2:$Y$1047,MATCH(ROW()-1,装备库!$AO$2:$AO$1046,0),COLUMN()),"")</f>
        <v>副本</v>
      </c>
    </row>
    <row r="529" spans="1:25" x14ac:dyDescent="0.35">
      <c r="A529" t="str">
        <f>IFERROR(INDEX(装备库!$A$2:$Y$1047,MATCH(ROW()-1,装备库!$AO$2:$AO$1046,0),COLUMN()),"")</f>
        <v>腰带</v>
      </c>
      <c r="B529" t="str">
        <f>IFERROR(INDEX(装备库!$A$2:$Y$1047,MATCH(ROW()-1,装备库!$AO$2:$AO$1046,0),COLUMN()),"")</f>
        <v>束缊腰带</v>
      </c>
      <c r="C529">
        <f>IFERROR(INDEX(装备库!$A$2:$Y$1047,MATCH(ROW()-1,装备库!$AO$2:$AO$1046,0),COLUMN()),"")</f>
        <v>12450</v>
      </c>
      <c r="D529" t="str">
        <f>IFERROR(INDEX(装备库!$A$2:$Y$1047,MATCH(ROW()-1,装备库!$AO$2:$AO$1046,0),COLUMN()),"")</f>
        <v>束缊腰带(12450精简体攻无)</v>
      </c>
      <c r="E529">
        <f>IFERROR(INDEX(装备库!$A$2:$Y$1047,MATCH(ROW()-1,装备库!$AO$2:$AO$1046,0),COLUMN()),"")</f>
        <v>0</v>
      </c>
      <c r="F529">
        <f>IFERROR(INDEX(装备库!$A$2:$Y$1047,MATCH(ROW()-1,装备库!$AO$2:$AO$1046,0),COLUMN()),"")</f>
        <v>2582</v>
      </c>
      <c r="G529">
        <f>IFERROR(INDEX(装备库!$A$2:$Y$1047,MATCH(ROW()-1,装备库!$AO$2:$AO$1046,0),COLUMN()),"")</f>
        <v>0</v>
      </c>
      <c r="H529">
        <f>IFERROR(INDEX(装备库!$A$2:$Y$1047,MATCH(ROW()-1,装备库!$AO$2:$AO$1046,0),COLUMN()),"")</f>
        <v>0</v>
      </c>
      <c r="I529">
        <f>IFERROR(INDEX(装备库!$A$2:$Y$1047,MATCH(ROW()-1,装备库!$AO$2:$AO$1046,0),COLUMN()),"")</f>
        <v>0</v>
      </c>
      <c r="J529">
        <f>IFERROR(INDEX(装备库!$A$2:$Y$1047,MATCH(ROW()-1,装备库!$AO$2:$AO$1046,0),COLUMN()),"")</f>
        <v>0</v>
      </c>
      <c r="K529">
        <f>IFERROR(INDEX(装备库!$A$2:$Y$1047,MATCH(ROW()-1,装备库!$AO$2:$AO$1046,0),COLUMN()),"")</f>
        <v>5683</v>
      </c>
      <c r="L529">
        <f>IFERROR(INDEX(装备库!$A$2:$Y$1047,MATCH(ROW()-1,装备库!$AO$2:$AO$1046,0),COLUMN()),"")</f>
        <v>0</v>
      </c>
      <c r="M529">
        <f>IFERROR(INDEX(装备库!$A$2:$Y$1047,MATCH(ROW()-1,装备库!$AO$2:$AO$1046,0),COLUMN()),"")</f>
        <v>0</v>
      </c>
      <c r="N529">
        <f>IFERROR(INDEX(装备库!$A$2:$Y$1047,MATCH(ROW()-1,装备库!$AO$2:$AO$1046,0),COLUMN()),"")</f>
        <v>0</v>
      </c>
      <c r="O529">
        <f>IFERROR(INDEX(装备库!$A$2:$Y$1047,MATCH(ROW()-1,装备库!$AO$2:$AO$1046,0),COLUMN()),"")</f>
        <v>0</v>
      </c>
      <c r="P529">
        <f>IFERROR(INDEX(装备库!$A$2:$Y$1047,MATCH(ROW()-1,装备库!$AO$2:$AO$1046,0),COLUMN()),"")</f>
        <v>0</v>
      </c>
      <c r="Q529">
        <f>IFERROR(INDEX(装备库!$A$2:$Y$1047,MATCH(ROW()-1,装备库!$AO$2:$AO$1046,0),COLUMN()),"")</f>
        <v>0</v>
      </c>
      <c r="R529">
        <f>IFERROR(INDEX(装备库!$A$2:$Y$1047,MATCH(ROW()-1,装备库!$AO$2:$AO$1046,0),COLUMN()),"")</f>
        <v>0</v>
      </c>
      <c r="S529">
        <f>IFERROR(INDEX(装备库!$A$2:$Y$1047,MATCH(ROW()-1,装备库!$AO$2:$AO$1046,0),COLUMN()),"")</f>
        <v>1</v>
      </c>
      <c r="T529">
        <f>IFERROR(INDEX(装备库!$A$2:$Y$1047,MATCH(ROW()-1,装备库!$AO$2:$AO$1046,0),COLUMN()),"")</f>
        <v>0</v>
      </c>
      <c r="U529">
        <f>IFERROR(INDEX(装备库!$A$2:$Y$1047,MATCH(ROW()-1,装备库!$AO$2:$AO$1046,0),COLUMN()),"")</f>
        <v>1</v>
      </c>
      <c r="V529">
        <f>IFERROR(INDEX(装备库!$A$2:$Y$1047,MATCH(ROW()-1,装备库!$AO$2:$AO$1046,0),COLUMN()),"")</f>
        <v>0</v>
      </c>
      <c r="W529" t="str">
        <f>IFERROR(INDEX(装备库!$A$2:$Y$1047,MATCH(ROW()-1,装备库!$AO$2:$AO$1046,0),COLUMN()),"")</f>
        <v>精简体攻无</v>
      </c>
      <c r="X529">
        <f>IFERROR(INDEX(装备库!$A$2:$Y$1047,MATCH(ROW()-1,装备库!$AO$2:$AO$1046,0),COLUMN()),"")</f>
        <v>4</v>
      </c>
      <c r="Y529" t="str">
        <f>IFERROR(INDEX(装备库!$A$2:$Y$1047,MATCH(ROW()-1,装备库!$AO$2:$AO$1046,0),COLUMN()),"")</f>
        <v>副本</v>
      </c>
    </row>
    <row r="530" spans="1:25" x14ac:dyDescent="0.35">
      <c r="A530" t="str">
        <f>IFERROR(INDEX(装备库!$A$2:$Y$1047,MATCH(ROW()-1,装备库!$AO$2:$AO$1046,0),COLUMN()),"")</f>
        <v>腰带</v>
      </c>
      <c r="B530" t="str">
        <f>IFERROR(INDEX(装备库!$A$2:$Y$1047,MATCH(ROW()-1,装备库!$AO$2:$AO$1046,0),COLUMN()),"")</f>
        <v>泽及腰带</v>
      </c>
      <c r="C530">
        <f>IFERROR(INDEX(装备库!$A$2:$Y$1047,MATCH(ROW()-1,装备库!$AO$2:$AO$1046,0),COLUMN()),"")</f>
        <v>12450</v>
      </c>
      <c r="D530" t="str">
        <f>IFERROR(INDEX(装备库!$A$2:$Y$1047,MATCH(ROW()-1,装备库!$AO$2:$AO$1046,0),COLUMN()),"")</f>
        <v>泽及腰带(12450精简体攻破无)</v>
      </c>
      <c r="E530">
        <f>IFERROR(INDEX(装备库!$A$2:$Y$1047,MATCH(ROW()-1,装备库!$AO$2:$AO$1046,0),COLUMN()),"")</f>
        <v>0</v>
      </c>
      <c r="F530">
        <f>IFERROR(INDEX(装备库!$A$2:$Y$1047,MATCH(ROW()-1,装备库!$AO$2:$AO$1046,0),COLUMN()),"")</f>
        <v>2126</v>
      </c>
      <c r="G530">
        <f>IFERROR(INDEX(装备库!$A$2:$Y$1047,MATCH(ROW()-1,装备库!$AO$2:$AO$1046,0),COLUMN()),"")</f>
        <v>0</v>
      </c>
      <c r="H530">
        <f>IFERROR(INDEX(装备库!$A$2:$Y$1047,MATCH(ROW()-1,装备库!$AO$2:$AO$1046,0),COLUMN()),"")</f>
        <v>0</v>
      </c>
      <c r="I530">
        <f>IFERROR(INDEX(装备库!$A$2:$Y$1047,MATCH(ROW()-1,装备库!$AO$2:$AO$1046,0),COLUMN()),"")</f>
        <v>3223</v>
      </c>
      <c r="J530">
        <f>IFERROR(INDEX(装备库!$A$2:$Y$1047,MATCH(ROW()-1,装备库!$AO$2:$AO$1046,0),COLUMN()),"")</f>
        <v>0</v>
      </c>
      <c r="K530">
        <f>IFERROR(INDEX(装备库!$A$2:$Y$1047,MATCH(ROW()-1,装备库!$AO$2:$AO$1046,0),COLUMN()),"")</f>
        <v>3562</v>
      </c>
      <c r="L530">
        <f>IFERROR(INDEX(装备库!$A$2:$Y$1047,MATCH(ROW()-1,装备库!$AO$2:$AO$1046,0),COLUMN()),"")</f>
        <v>0</v>
      </c>
      <c r="M530">
        <f>IFERROR(INDEX(装备库!$A$2:$Y$1047,MATCH(ROW()-1,装备库!$AO$2:$AO$1046,0),COLUMN()),"")</f>
        <v>0</v>
      </c>
      <c r="N530">
        <f>IFERROR(INDEX(装备库!$A$2:$Y$1047,MATCH(ROW()-1,装备库!$AO$2:$AO$1046,0),COLUMN()),"")</f>
        <v>0</v>
      </c>
      <c r="O530">
        <f>IFERROR(INDEX(装备库!$A$2:$Y$1047,MATCH(ROW()-1,装备库!$AO$2:$AO$1046,0),COLUMN()),"")</f>
        <v>0</v>
      </c>
      <c r="P530">
        <f>IFERROR(INDEX(装备库!$A$2:$Y$1047,MATCH(ROW()-1,装备库!$AO$2:$AO$1046,0),COLUMN()),"")</f>
        <v>1</v>
      </c>
      <c r="Q530">
        <f>IFERROR(INDEX(装备库!$A$2:$Y$1047,MATCH(ROW()-1,装备库!$AO$2:$AO$1046,0),COLUMN()),"")</f>
        <v>0</v>
      </c>
      <c r="R530">
        <f>IFERROR(INDEX(装备库!$A$2:$Y$1047,MATCH(ROW()-1,装备库!$AO$2:$AO$1046,0),COLUMN()),"")</f>
        <v>0</v>
      </c>
      <c r="S530">
        <f>IFERROR(INDEX(装备库!$A$2:$Y$1047,MATCH(ROW()-1,装备库!$AO$2:$AO$1046,0),COLUMN()),"")</f>
        <v>0</v>
      </c>
      <c r="T530">
        <f>IFERROR(INDEX(装备库!$A$2:$Y$1047,MATCH(ROW()-1,装备库!$AO$2:$AO$1046,0),COLUMN()),"")</f>
        <v>1</v>
      </c>
      <c r="U530">
        <f>IFERROR(INDEX(装备库!$A$2:$Y$1047,MATCH(ROW()-1,装备库!$AO$2:$AO$1046,0),COLUMN()),"")</f>
        <v>0</v>
      </c>
      <c r="V530">
        <f>IFERROR(INDEX(装备库!$A$2:$Y$1047,MATCH(ROW()-1,装备库!$AO$2:$AO$1046,0),COLUMN()),"")</f>
        <v>0</v>
      </c>
      <c r="W530" t="str">
        <f>IFERROR(INDEX(装备库!$A$2:$Y$1047,MATCH(ROW()-1,装备库!$AO$2:$AO$1046,0),COLUMN()),"")</f>
        <v>精简体攻破无</v>
      </c>
      <c r="X530">
        <f>IFERROR(INDEX(装备库!$A$2:$Y$1047,MATCH(ROW()-1,装备库!$AO$2:$AO$1046,0),COLUMN()),"")</f>
        <v>4</v>
      </c>
      <c r="Y530" t="str">
        <f>IFERROR(INDEX(装备库!$A$2:$Y$1047,MATCH(ROW()-1,装备库!$AO$2:$AO$1046,0),COLUMN()),"")</f>
        <v>副本</v>
      </c>
    </row>
    <row r="531" spans="1:25" x14ac:dyDescent="0.35">
      <c r="A531" t="str">
        <f>IFERROR(INDEX(装备库!$A$2:$Y$1047,MATCH(ROW()-1,装备库!$AO$2:$AO$1046,0),COLUMN()),"")</f>
        <v>腰带</v>
      </c>
      <c r="B531" t="str">
        <f>IFERROR(INDEX(装备库!$A$2:$Y$1047,MATCH(ROW()-1,装备库!$AO$2:$AO$1046,0),COLUMN()),"")</f>
        <v>沧鳞腰带</v>
      </c>
      <c r="C531">
        <f>IFERROR(INDEX(装备库!$A$2:$Y$1047,MATCH(ROW()-1,装备库!$AO$2:$AO$1046,0),COLUMN()),"")</f>
        <v>12450</v>
      </c>
      <c r="D531" t="str">
        <f>IFERROR(INDEX(装备库!$A$2:$Y$1047,MATCH(ROW()-1,装备库!$AO$2:$AO$1046,0),COLUMN()),"")</f>
        <v>沧鳞腰带(12450精简体攻会无)</v>
      </c>
      <c r="E531">
        <f>IFERROR(INDEX(装备库!$A$2:$Y$1047,MATCH(ROW()-1,装备库!$AO$2:$AO$1046,0),COLUMN()),"")</f>
        <v>0</v>
      </c>
      <c r="F531">
        <f>IFERROR(INDEX(装备库!$A$2:$Y$1047,MATCH(ROW()-1,装备库!$AO$2:$AO$1046,0),COLUMN()),"")</f>
        <v>1823</v>
      </c>
      <c r="G531">
        <f>IFERROR(INDEX(装备库!$A$2:$Y$1047,MATCH(ROW()-1,装备库!$AO$2:$AO$1046,0),COLUMN()),"")</f>
        <v>2205</v>
      </c>
      <c r="H531">
        <f>IFERROR(INDEX(装备库!$A$2:$Y$1047,MATCH(ROW()-1,装备库!$AO$2:$AO$1046,0),COLUMN()),"")</f>
        <v>0</v>
      </c>
      <c r="I531">
        <f>IFERROR(INDEX(装备库!$A$2:$Y$1047,MATCH(ROW()-1,装备库!$AO$2:$AO$1046,0),COLUMN()),"")</f>
        <v>0</v>
      </c>
      <c r="J531">
        <f>IFERROR(INDEX(装备库!$A$2:$Y$1047,MATCH(ROW()-1,装备库!$AO$2:$AO$1046,0),COLUMN()),"")</f>
        <v>0</v>
      </c>
      <c r="K531">
        <f>IFERROR(INDEX(装备库!$A$2:$Y$1047,MATCH(ROW()-1,装备库!$AO$2:$AO$1046,0),COLUMN()),"")</f>
        <v>5428</v>
      </c>
      <c r="L531">
        <f>IFERROR(INDEX(装备库!$A$2:$Y$1047,MATCH(ROW()-1,装备库!$AO$2:$AO$1046,0),COLUMN()),"")</f>
        <v>0</v>
      </c>
      <c r="M531">
        <f>IFERROR(INDEX(装备库!$A$2:$Y$1047,MATCH(ROW()-1,装备库!$AO$2:$AO$1046,0),COLUMN()),"")</f>
        <v>0</v>
      </c>
      <c r="N531">
        <f>IFERROR(INDEX(装备库!$A$2:$Y$1047,MATCH(ROW()-1,装备库!$AO$2:$AO$1046,0),COLUMN()),"")</f>
        <v>0</v>
      </c>
      <c r="O531">
        <f>IFERROR(INDEX(装备库!$A$2:$Y$1047,MATCH(ROW()-1,装备库!$AO$2:$AO$1046,0),COLUMN()),"")</f>
        <v>0</v>
      </c>
      <c r="P531">
        <f>IFERROR(INDEX(装备库!$A$2:$Y$1047,MATCH(ROW()-1,装备库!$AO$2:$AO$1046,0),COLUMN()),"")</f>
        <v>1</v>
      </c>
      <c r="Q531">
        <f>IFERROR(INDEX(装备库!$A$2:$Y$1047,MATCH(ROW()-1,装备库!$AO$2:$AO$1046,0),COLUMN()),"")</f>
        <v>0</v>
      </c>
      <c r="R531">
        <f>IFERROR(INDEX(装备库!$A$2:$Y$1047,MATCH(ROW()-1,装备库!$AO$2:$AO$1046,0),COLUMN()),"")</f>
        <v>0</v>
      </c>
      <c r="S531">
        <f>IFERROR(INDEX(装备库!$A$2:$Y$1047,MATCH(ROW()-1,装备库!$AO$2:$AO$1046,0),COLUMN()),"")</f>
        <v>0</v>
      </c>
      <c r="T531">
        <f>IFERROR(INDEX(装备库!$A$2:$Y$1047,MATCH(ROW()-1,装备库!$AO$2:$AO$1046,0),COLUMN()),"")</f>
        <v>1</v>
      </c>
      <c r="U531">
        <f>IFERROR(INDEX(装备库!$A$2:$Y$1047,MATCH(ROW()-1,装备库!$AO$2:$AO$1046,0),COLUMN()),"")</f>
        <v>0</v>
      </c>
      <c r="V531">
        <f>IFERROR(INDEX(装备库!$A$2:$Y$1047,MATCH(ROW()-1,装备库!$AO$2:$AO$1046,0),COLUMN()),"")</f>
        <v>0</v>
      </c>
      <c r="W531" t="str">
        <f>IFERROR(INDEX(装备库!$A$2:$Y$1047,MATCH(ROW()-1,装备库!$AO$2:$AO$1046,0),COLUMN()),"")</f>
        <v>精简体攻会无</v>
      </c>
      <c r="X531">
        <f>IFERROR(INDEX(装备库!$A$2:$Y$1047,MATCH(ROW()-1,装备库!$AO$2:$AO$1046,0),COLUMN()),"")</f>
        <v>4</v>
      </c>
      <c r="Y531" t="str">
        <f>IFERROR(INDEX(装备库!$A$2:$Y$1047,MATCH(ROW()-1,装备库!$AO$2:$AO$1046,0),COLUMN()),"")</f>
        <v>副本</v>
      </c>
    </row>
    <row r="532" spans="1:25" x14ac:dyDescent="0.35">
      <c r="A532" t="str">
        <f>IFERROR(INDEX(装备库!$A$2:$Y$1047,MATCH(ROW()-1,装备库!$AO$2:$AO$1046,0),COLUMN()),"")</f>
        <v>腰带</v>
      </c>
      <c r="B532" t="str">
        <f>IFERROR(INDEX(装备库!$A$2:$Y$1047,MATCH(ROW()-1,装备库!$AO$2:$AO$1046,0),COLUMN()),"")</f>
        <v>雪舞腰带</v>
      </c>
      <c r="C532">
        <f>IFERROR(INDEX(装备库!$A$2:$Y$1047,MATCH(ROW()-1,装备库!$AO$2:$AO$1046,0),COLUMN()),"")</f>
        <v>12600</v>
      </c>
      <c r="D532" t="str">
        <f>IFERROR(INDEX(装备库!$A$2:$Y$1047,MATCH(ROW()-1,装备库!$AO$2:$AO$1046,0),COLUMN()),"")</f>
        <v>雪舞腰带(12600会招)</v>
      </c>
      <c r="E532">
        <f>IFERROR(INDEX(装备库!$A$2:$Y$1047,MATCH(ROW()-1,装备库!$AO$2:$AO$1046,0),COLUMN()),"")</f>
        <v>616</v>
      </c>
      <c r="F532">
        <f>IFERROR(INDEX(装备库!$A$2:$Y$1047,MATCH(ROW()-1,装备库!$AO$2:$AO$1046,0),COLUMN()),"")</f>
        <v>999</v>
      </c>
      <c r="G532">
        <f>IFERROR(INDEX(装备库!$A$2:$Y$1047,MATCH(ROW()-1,装备库!$AO$2:$AO$1046,0),COLUMN()),"")</f>
        <v>3090</v>
      </c>
      <c r="H532">
        <f>IFERROR(INDEX(装备库!$A$2:$Y$1047,MATCH(ROW()-1,装备库!$AO$2:$AO$1046,0),COLUMN()),"")</f>
        <v>0</v>
      </c>
      <c r="I532">
        <f>IFERROR(INDEX(装备库!$A$2:$Y$1047,MATCH(ROW()-1,装备库!$AO$2:$AO$1046,0),COLUMN()),"")</f>
        <v>0</v>
      </c>
      <c r="J532">
        <f>IFERROR(INDEX(装备库!$A$2:$Y$1047,MATCH(ROW()-1,装备库!$AO$2:$AO$1046,0),COLUMN()),"")</f>
        <v>2747</v>
      </c>
      <c r="K532">
        <f>IFERROR(INDEX(装备库!$A$2:$Y$1047,MATCH(ROW()-1,装备库!$AO$2:$AO$1046,0),COLUMN()),"")</f>
        <v>0</v>
      </c>
      <c r="L532">
        <f>IFERROR(INDEX(装备库!$A$2:$Y$1047,MATCH(ROW()-1,装备库!$AO$2:$AO$1046,0),COLUMN()),"")</f>
        <v>0</v>
      </c>
      <c r="M532">
        <f>IFERROR(INDEX(装备库!$A$2:$Y$1047,MATCH(ROW()-1,装备库!$AO$2:$AO$1046,0),COLUMN()),"")</f>
        <v>0</v>
      </c>
      <c r="N532">
        <f>IFERROR(INDEX(装备库!$A$2:$Y$1047,MATCH(ROW()-1,装备库!$AO$2:$AO$1046,0),COLUMN()),"")</f>
        <v>0</v>
      </c>
      <c r="O532">
        <f>IFERROR(INDEX(装备库!$A$2:$Y$1047,MATCH(ROW()-1,装备库!$AO$2:$AO$1046,0),COLUMN()),"")</f>
        <v>0</v>
      </c>
      <c r="P532">
        <f>IFERROR(INDEX(装备库!$A$2:$Y$1047,MATCH(ROW()-1,装备库!$AO$2:$AO$1046,0),COLUMN()),"")</f>
        <v>0</v>
      </c>
      <c r="Q532">
        <f>IFERROR(INDEX(装备库!$A$2:$Y$1047,MATCH(ROW()-1,装备库!$AO$2:$AO$1046,0),COLUMN()),"")</f>
        <v>1</v>
      </c>
      <c r="R532">
        <f>IFERROR(INDEX(装备库!$A$2:$Y$1047,MATCH(ROW()-1,装备库!$AO$2:$AO$1046,0),COLUMN()),"")</f>
        <v>1</v>
      </c>
      <c r="S532">
        <f>IFERROR(INDEX(装备库!$A$2:$Y$1047,MATCH(ROW()-1,装备库!$AO$2:$AO$1046,0),COLUMN()),"")</f>
        <v>0</v>
      </c>
      <c r="T532">
        <f>IFERROR(INDEX(装备库!$A$2:$Y$1047,MATCH(ROW()-1,装备库!$AO$2:$AO$1046,0),COLUMN()),"")</f>
        <v>0</v>
      </c>
      <c r="U532">
        <f>IFERROR(INDEX(装备库!$A$2:$Y$1047,MATCH(ROW()-1,装备库!$AO$2:$AO$1046,0),COLUMN()),"")</f>
        <v>0</v>
      </c>
      <c r="V532">
        <f>IFERROR(INDEX(装备库!$A$2:$Y$1047,MATCH(ROW()-1,装备库!$AO$2:$AO$1046,0),COLUMN()),"")</f>
        <v>0</v>
      </c>
      <c r="W532" t="str">
        <f>IFERROR(INDEX(装备库!$A$2:$Y$1047,MATCH(ROW()-1,装备库!$AO$2:$AO$1046,0),COLUMN()),"")</f>
        <v>会招</v>
      </c>
      <c r="X532">
        <f>IFERROR(INDEX(装备库!$A$2:$Y$1047,MATCH(ROW()-1,装备库!$AO$2:$AO$1046,0),COLUMN()),"")</f>
        <v>6</v>
      </c>
      <c r="Y532" t="str">
        <f>IFERROR(INDEX(装备库!$A$2:$Y$1047,MATCH(ROW()-1,装备库!$AO$2:$AO$1046,0),COLUMN()),"")</f>
        <v>生活技能</v>
      </c>
    </row>
    <row r="533" spans="1:25" x14ac:dyDescent="0.35">
      <c r="A533" t="str">
        <f>IFERROR(INDEX(装备库!$A$2:$Y$1047,MATCH(ROW()-1,装备库!$AO$2:$AO$1046,0),COLUMN()),"")</f>
        <v>腰坠</v>
      </c>
      <c r="B533" t="str">
        <f>IFERROR(INDEX(装备库!$A$2:$Y$1047,MATCH(ROW()-1,装备库!$AO$2:$AO$1046,0),COLUMN()),"")</f>
        <v>浅梦坠</v>
      </c>
      <c r="C533">
        <f>IFERROR(INDEX(装备库!$A$2:$Y$1047,MATCH(ROW()-1,装备库!$AO$2:$AO$1046,0),COLUMN()),"")</f>
        <v>8000</v>
      </c>
      <c r="D533" t="str">
        <f>IFERROR(INDEX(装备库!$A$2:$Y$1047,MATCH(ROW()-1,装备库!$AO$2:$AO$1046,0),COLUMN()),"")</f>
        <v>浅梦坠(8000招无)</v>
      </c>
      <c r="E533">
        <f>IFERROR(INDEX(装备库!$A$2:$Y$1047,MATCH(ROW()-1,装备库!$AO$2:$AO$1046,0),COLUMN()),"")</f>
        <v>279</v>
      </c>
      <c r="F533">
        <f>IFERROR(INDEX(装备库!$A$2:$Y$1047,MATCH(ROW()-1,装备库!$AO$2:$AO$1046,0),COLUMN()),"")</f>
        <v>453</v>
      </c>
      <c r="G533">
        <f>IFERROR(INDEX(装备库!$A$2:$Y$1047,MATCH(ROW()-1,装备库!$AO$2:$AO$1046,0),COLUMN()),"")</f>
        <v>0</v>
      </c>
      <c r="H533">
        <f>IFERROR(INDEX(装备库!$A$2:$Y$1047,MATCH(ROW()-1,装备库!$AO$2:$AO$1046,0),COLUMN()),"")</f>
        <v>0</v>
      </c>
      <c r="I533">
        <f>IFERROR(INDEX(装备库!$A$2:$Y$1047,MATCH(ROW()-1,装备库!$AO$2:$AO$1046,0),COLUMN()),"")</f>
        <v>0</v>
      </c>
      <c r="J533">
        <f>IFERROR(INDEX(装备库!$A$2:$Y$1047,MATCH(ROW()-1,装备库!$AO$2:$AO$1046,0),COLUMN()),"")</f>
        <v>1401</v>
      </c>
      <c r="K533">
        <f>IFERROR(INDEX(装备库!$A$2:$Y$1047,MATCH(ROW()-1,装备库!$AO$2:$AO$1046,0),COLUMN()),"")</f>
        <v>1246</v>
      </c>
      <c r="L533">
        <f>IFERROR(INDEX(装备库!$A$2:$Y$1047,MATCH(ROW()-1,装备库!$AO$2:$AO$1046,0),COLUMN()),"")</f>
        <v>0</v>
      </c>
      <c r="M533">
        <f>IFERROR(INDEX(装备库!$A$2:$Y$1047,MATCH(ROW()-1,装备库!$AO$2:$AO$1046,0),COLUMN()),"")</f>
        <v>0</v>
      </c>
      <c r="N533">
        <f>IFERROR(INDEX(装备库!$A$2:$Y$1047,MATCH(ROW()-1,装备库!$AO$2:$AO$1046,0),COLUMN()),"")</f>
        <v>0</v>
      </c>
      <c r="O533">
        <f>IFERROR(INDEX(装备库!$A$2:$Y$1047,MATCH(ROW()-1,装备库!$AO$2:$AO$1046,0),COLUMN()),"")</f>
        <v>0</v>
      </c>
      <c r="P533">
        <f>IFERROR(INDEX(装备库!$A$2:$Y$1047,MATCH(ROW()-1,装备库!$AO$2:$AO$1046,0),COLUMN()),"")</f>
        <v>0</v>
      </c>
      <c r="Q533">
        <f>IFERROR(INDEX(装备库!$A$2:$Y$1047,MATCH(ROW()-1,装备库!$AO$2:$AO$1046,0),COLUMN()),"")</f>
        <v>0</v>
      </c>
      <c r="R533">
        <f>IFERROR(INDEX(装备库!$A$2:$Y$1047,MATCH(ROW()-1,装备库!$AO$2:$AO$1046,0),COLUMN()),"")</f>
        <v>1</v>
      </c>
      <c r="S533">
        <f>IFERROR(INDEX(装备库!$A$2:$Y$1047,MATCH(ROW()-1,装备库!$AO$2:$AO$1046,0),COLUMN()),"")</f>
        <v>0</v>
      </c>
      <c r="T533">
        <f>IFERROR(INDEX(装备库!$A$2:$Y$1047,MATCH(ROW()-1,装备库!$AO$2:$AO$1046,0),COLUMN()),"")</f>
        <v>0</v>
      </c>
      <c r="U533">
        <f>IFERROR(INDEX(装备库!$A$2:$Y$1047,MATCH(ROW()-1,装备库!$AO$2:$AO$1046,0),COLUMN()),"")</f>
        <v>0</v>
      </c>
      <c r="V533">
        <f>IFERROR(INDEX(装备库!$A$2:$Y$1047,MATCH(ROW()-1,装备库!$AO$2:$AO$1046,0),COLUMN()),"")</f>
        <v>0</v>
      </c>
      <c r="W533" t="str">
        <f>IFERROR(INDEX(装备库!$A$2:$Y$1047,MATCH(ROW()-1,装备库!$AO$2:$AO$1046,0),COLUMN()),"")</f>
        <v>招无</v>
      </c>
      <c r="X533">
        <f>IFERROR(INDEX(装备库!$A$2:$Y$1047,MATCH(ROW()-1,装备库!$AO$2:$AO$1046,0),COLUMN()),"")</f>
        <v>6</v>
      </c>
      <c r="Y533" t="str">
        <f>IFERROR(INDEX(装备库!$A$2:$Y$1047,MATCH(ROW()-1,装备库!$AO$2:$AO$1046,0),COLUMN()),"")</f>
        <v>副本</v>
      </c>
    </row>
    <row r="534" spans="1:25" x14ac:dyDescent="0.35">
      <c r="A534" t="str">
        <f>IFERROR(INDEX(装备库!$A$2:$Y$1047,MATCH(ROW()-1,装备库!$AO$2:$AO$1046,0),COLUMN()),"")</f>
        <v>腰坠</v>
      </c>
      <c r="B534" t="str">
        <f>IFERROR(INDEX(装备库!$A$2:$Y$1047,MATCH(ROW()-1,装备库!$AO$2:$AO$1046,0),COLUMN()),"")</f>
        <v>崇月坠</v>
      </c>
      <c r="C534">
        <f>IFERROR(INDEX(装备库!$A$2:$Y$1047,MATCH(ROW()-1,装备库!$AO$2:$AO$1046,0),COLUMN()),"")</f>
        <v>8100</v>
      </c>
      <c r="D534" t="str">
        <f>IFERROR(INDEX(装备库!$A$2:$Y$1047,MATCH(ROW()-1,装备库!$AO$2:$AO$1046,0),COLUMN()),"")</f>
        <v>崇月坠(8100力道纯会)</v>
      </c>
      <c r="E534">
        <f>IFERROR(INDEX(装备库!$A$2:$Y$1047,MATCH(ROW()-1,装备库!$AO$2:$AO$1046,0),COLUMN()),"")</f>
        <v>354</v>
      </c>
      <c r="F534">
        <f>IFERROR(INDEX(装备库!$A$2:$Y$1047,MATCH(ROW()-1,装备库!$AO$2:$AO$1046,0),COLUMN()),"")</f>
        <v>706</v>
      </c>
      <c r="G534">
        <f>IFERROR(INDEX(装备库!$A$2:$Y$1047,MATCH(ROW()-1,装备库!$AO$2:$AO$1046,0),COLUMN()),"")</f>
        <v>1813</v>
      </c>
      <c r="H534">
        <f>IFERROR(INDEX(装备库!$A$2:$Y$1047,MATCH(ROW()-1,装备库!$AO$2:$AO$1046,0),COLUMN()),"")</f>
        <v>0</v>
      </c>
      <c r="I534">
        <f>IFERROR(INDEX(装备库!$A$2:$Y$1047,MATCH(ROW()-1,装备库!$AO$2:$AO$1046,0),COLUMN()),"")</f>
        <v>0</v>
      </c>
      <c r="J534">
        <f>IFERROR(INDEX(装备库!$A$2:$Y$1047,MATCH(ROW()-1,装备库!$AO$2:$AO$1046,0),COLUMN()),"")</f>
        <v>0</v>
      </c>
      <c r="K534">
        <f>IFERROR(INDEX(装备库!$A$2:$Y$1047,MATCH(ROW()-1,装备库!$AO$2:$AO$1046,0),COLUMN()),"")</f>
        <v>0</v>
      </c>
      <c r="L534">
        <f>IFERROR(INDEX(装备库!$A$2:$Y$1047,MATCH(ROW()-1,装备库!$AO$2:$AO$1046,0),COLUMN()),"")</f>
        <v>0</v>
      </c>
      <c r="M534">
        <f>IFERROR(INDEX(装备库!$A$2:$Y$1047,MATCH(ROW()-1,装备库!$AO$2:$AO$1046,0),COLUMN()),"")</f>
        <v>0</v>
      </c>
      <c r="N534">
        <f>IFERROR(INDEX(装备库!$A$2:$Y$1047,MATCH(ROW()-1,装备库!$AO$2:$AO$1046,0),COLUMN()),"")</f>
        <v>0</v>
      </c>
      <c r="O534">
        <f>IFERROR(INDEX(装备库!$A$2:$Y$1047,MATCH(ROW()-1,装备库!$AO$2:$AO$1046,0),COLUMN()),"")</f>
        <v>0</v>
      </c>
      <c r="P534">
        <f>IFERROR(INDEX(装备库!$A$2:$Y$1047,MATCH(ROW()-1,装备库!$AO$2:$AO$1046,0),COLUMN()),"")</f>
        <v>0</v>
      </c>
      <c r="Q534">
        <f>IFERROR(INDEX(装备库!$A$2:$Y$1047,MATCH(ROW()-1,装备库!$AO$2:$AO$1046,0),COLUMN()),"")</f>
        <v>0</v>
      </c>
      <c r="R534">
        <f>IFERROR(INDEX(装备库!$A$2:$Y$1047,MATCH(ROW()-1,装备库!$AO$2:$AO$1046,0),COLUMN()),"")</f>
        <v>0</v>
      </c>
      <c r="S534">
        <f>IFERROR(INDEX(装备库!$A$2:$Y$1047,MATCH(ROW()-1,装备库!$AO$2:$AO$1046,0),COLUMN()),"")</f>
        <v>0</v>
      </c>
      <c r="T534">
        <f>IFERROR(INDEX(装备库!$A$2:$Y$1047,MATCH(ROW()-1,装备库!$AO$2:$AO$1046,0),COLUMN()),"")</f>
        <v>0</v>
      </c>
      <c r="U534">
        <f>IFERROR(INDEX(装备库!$A$2:$Y$1047,MATCH(ROW()-1,装备库!$AO$2:$AO$1046,0),COLUMN()),"")</f>
        <v>0</v>
      </c>
      <c r="V534">
        <f>IFERROR(INDEX(装备库!$A$2:$Y$1047,MATCH(ROW()-1,装备库!$AO$2:$AO$1046,0),COLUMN()),"")</f>
        <v>0</v>
      </c>
      <c r="W534" t="str">
        <f>IFERROR(INDEX(装备库!$A$2:$Y$1047,MATCH(ROW()-1,装备库!$AO$2:$AO$1046,0),COLUMN()),"")</f>
        <v>力道纯会</v>
      </c>
      <c r="X534">
        <f>IFERROR(INDEX(装备库!$A$2:$Y$1047,MATCH(ROW()-1,装备库!$AO$2:$AO$1046,0),COLUMN()),"")</f>
        <v>6</v>
      </c>
      <c r="Y534" t="str">
        <f>IFERROR(INDEX(装备库!$A$2:$Y$1047,MATCH(ROW()-1,装备库!$AO$2:$AO$1046,0),COLUMN()),"")</f>
        <v>任务</v>
      </c>
    </row>
    <row r="535" spans="1:25" x14ac:dyDescent="0.35">
      <c r="A535" t="str">
        <f>IFERROR(INDEX(装备库!$A$2:$Y$1047,MATCH(ROW()-1,装备库!$AO$2:$AO$1046,0),COLUMN()),"")</f>
        <v>腰坠</v>
      </c>
      <c r="B535" t="str">
        <f>IFERROR(INDEX(装备库!$A$2:$Y$1047,MATCH(ROW()-1,装备库!$AO$2:$AO$1046,0),COLUMN()),"")</f>
        <v>画楼坠</v>
      </c>
      <c r="C535">
        <f>IFERROR(INDEX(装备库!$A$2:$Y$1047,MATCH(ROW()-1,装备库!$AO$2:$AO$1046,0),COLUMN()),"")</f>
        <v>8100</v>
      </c>
      <c r="D535" t="str">
        <f>IFERROR(INDEX(装备库!$A$2:$Y$1047,MATCH(ROW()-1,装备库!$AO$2:$AO$1046,0),COLUMN()),"")</f>
        <v>画楼坠(8100会无)</v>
      </c>
      <c r="E535">
        <f>IFERROR(INDEX(装备库!$A$2:$Y$1047,MATCH(ROW()-1,装备库!$AO$2:$AO$1046,0),COLUMN()),"")</f>
        <v>283</v>
      </c>
      <c r="F535">
        <f>IFERROR(INDEX(装备库!$A$2:$Y$1047,MATCH(ROW()-1,装备库!$AO$2:$AO$1046,0),COLUMN()),"")</f>
        <v>459</v>
      </c>
      <c r="G535">
        <f>IFERROR(INDEX(装备库!$A$2:$Y$1047,MATCH(ROW()-1,装备库!$AO$2:$AO$1046,0),COLUMN()),"")</f>
        <v>1419</v>
      </c>
      <c r="H535">
        <f>IFERROR(INDEX(装备库!$A$2:$Y$1047,MATCH(ROW()-1,装备库!$AO$2:$AO$1046,0),COLUMN()),"")</f>
        <v>0</v>
      </c>
      <c r="I535">
        <f>IFERROR(INDEX(装备库!$A$2:$Y$1047,MATCH(ROW()-1,装备库!$AO$2:$AO$1046,0),COLUMN()),"")</f>
        <v>0</v>
      </c>
      <c r="J535">
        <f>IFERROR(INDEX(装备库!$A$2:$Y$1047,MATCH(ROW()-1,装备库!$AO$2:$AO$1046,0),COLUMN()),"")</f>
        <v>0</v>
      </c>
      <c r="K535">
        <f>IFERROR(INDEX(装备库!$A$2:$Y$1047,MATCH(ROW()-1,装备库!$AO$2:$AO$1046,0),COLUMN()),"")</f>
        <v>1261</v>
      </c>
      <c r="L535">
        <f>IFERROR(INDEX(装备库!$A$2:$Y$1047,MATCH(ROW()-1,装备库!$AO$2:$AO$1046,0),COLUMN()),"")</f>
        <v>0</v>
      </c>
      <c r="M535">
        <f>IFERROR(INDEX(装备库!$A$2:$Y$1047,MATCH(ROW()-1,装备库!$AO$2:$AO$1046,0),COLUMN()),"")</f>
        <v>0</v>
      </c>
      <c r="N535">
        <f>IFERROR(INDEX(装备库!$A$2:$Y$1047,MATCH(ROW()-1,装备库!$AO$2:$AO$1046,0),COLUMN()),"")</f>
        <v>0</v>
      </c>
      <c r="O535">
        <f>IFERROR(INDEX(装备库!$A$2:$Y$1047,MATCH(ROW()-1,装备库!$AO$2:$AO$1046,0),COLUMN()),"")</f>
        <v>0</v>
      </c>
      <c r="P535">
        <f>IFERROR(INDEX(装备库!$A$2:$Y$1047,MATCH(ROW()-1,装备库!$AO$2:$AO$1046,0),COLUMN()),"")</f>
        <v>0</v>
      </c>
      <c r="Q535">
        <f>IFERROR(INDEX(装备库!$A$2:$Y$1047,MATCH(ROW()-1,装备库!$AO$2:$AO$1046,0),COLUMN()),"")</f>
        <v>0</v>
      </c>
      <c r="R535">
        <f>IFERROR(INDEX(装备库!$A$2:$Y$1047,MATCH(ROW()-1,装备库!$AO$2:$AO$1046,0),COLUMN()),"")</f>
        <v>0</v>
      </c>
      <c r="S535">
        <f>IFERROR(INDEX(装备库!$A$2:$Y$1047,MATCH(ROW()-1,装备库!$AO$2:$AO$1046,0),COLUMN()),"")</f>
        <v>0</v>
      </c>
      <c r="T535">
        <f>IFERROR(INDEX(装备库!$A$2:$Y$1047,MATCH(ROW()-1,装备库!$AO$2:$AO$1046,0),COLUMN()),"")</f>
        <v>0</v>
      </c>
      <c r="U535">
        <f>IFERROR(INDEX(装备库!$A$2:$Y$1047,MATCH(ROW()-1,装备库!$AO$2:$AO$1046,0),COLUMN()),"")</f>
        <v>1</v>
      </c>
      <c r="V535">
        <f>IFERROR(INDEX(装备库!$A$2:$Y$1047,MATCH(ROW()-1,装备库!$AO$2:$AO$1046,0),COLUMN()),"")</f>
        <v>0</v>
      </c>
      <c r="W535" t="str">
        <f>IFERROR(INDEX(装备库!$A$2:$Y$1047,MATCH(ROW()-1,装备库!$AO$2:$AO$1046,0),COLUMN()),"")</f>
        <v>会无</v>
      </c>
      <c r="X535">
        <f>IFERROR(INDEX(装备库!$A$2:$Y$1047,MATCH(ROW()-1,装备库!$AO$2:$AO$1046,0),COLUMN()),"")</f>
        <v>6</v>
      </c>
      <c r="Y535" t="str">
        <f>IFERROR(INDEX(装备库!$A$2:$Y$1047,MATCH(ROW()-1,装备库!$AO$2:$AO$1046,0),COLUMN()),"")</f>
        <v>任务</v>
      </c>
    </row>
    <row r="536" spans="1:25" x14ac:dyDescent="0.35">
      <c r="A536" t="str">
        <f>IFERROR(INDEX(装备库!$A$2:$Y$1047,MATCH(ROW()-1,装备库!$AO$2:$AO$1046,0),COLUMN()),"")</f>
        <v>腰坠</v>
      </c>
      <c r="B536" t="str">
        <f>IFERROR(INDEX(装备库!$A$2:$Y$1047,MATCH(ROW()-1,装备库!$AO$2:$AO$1046,0),COLUMN()),"")</f>
        <v>临梧坠</v>
      </c>
      <c r="C536">
        <f>IFERROR(INDEX(装备库!$A$2:$Y$1047,MATCH(ROW()-1,装备库!$AO$2:$AO$1046,0),COLUMN()),"")</f>
        <v>8150</v>
      </c>
      <c r="D536" t="str">
        <f>IFERROR(INDEX(装备库!$A$2:$Y$1047,MATCH(ROW()-1,装备库!$AO$2:$AO$1046,0),COLUMN()),"")</f>
        <v>临梧坠(8150会招)</v>
      </c>
      <c r="E536">
        <f>IFERROR(INDEX(装备库!$A$2:$Y$1047,MATCH(ROW()-1,装备库!$AO$2:$AO$1046,0),COLUMN()),"")</f>
        <v>285</v>
      </c>
      <c r="F536">
        <f>IFERROR(INDEX(装备库!$A$2:$Y$1047,MATCH(ROW()-1,装备库!$AO$2:$AO$1046,0),COLUMN()),"")</f>
        <v>462</v>
      </c>
      <c r="G536">
        <f>IFERROR(INDEX(装备库!$A$2:$Y$1047,MATCH(ROW()-1,装备库!$AO$2:$AO$1046,0),COLUMN()),"")</f>
        <v>1428</v>
      </c>
      <c r="H536">
        <f>IFERROR(INDEX(装备库!$A$2:$Y$1047,MATCH(ROW()-1,装备库!$AO$2:$AO$1046,0),COLUMN()),"")</f>
        <v>0</v>
      </c>
      <c r="I536">
        <f>IFERROR(INDEX(装备库!$A$2:$Y$1047,MATCH(ROW()-1,装备库!$AO$2:$AO$1046,0),COLUMN()),"")</f>
        <v>0</v>
      </c>
      <c r="J536">
        <f>IFERROR(INDEX(装备库!$A$2:$Y$1047,MATCH(ROW()-1,装备库!$AO$2:$AO$1046,0),COLUMN()),"")</f>
        <v>1269</v>
      </c>
      <c r="K536">
        <f>IFERROR(INDEX(装备库!$A$2:$Y$1047,MATCH(ROW()-1,装备库!$AO$2:$AO$1046,0),COLUMN()),"")</f>
        <v>0</v>
      </c>
      <c r="L536">
        <f>IFERROR(INDEX(装备库!$A$2:$Y$1047,MATCH(ROW()-1,装备库!$AO$2:$AO$1046,0),COLUMN()),"")</f>
        <v>0</v>
      </c>
      <c r="M536">
        <f>IFERROR(INDEX(装备库!$A$2:$Y$1047,MATCH(ROW()-1,装备库!$AO$2:$AO$1046,0),COLUMN()),"")</f>
        <v>0</v>
      </c>
      <c r="N536">
        <f>IFERROR(INDEX(装备库!$A$2:$Y$1047,MATCH(ROW()-1,装备库!$AO$2:$AO$1046,0),COLUMN()),"")</f>
        <v>0</v>
      </c>
      <c r="O536">
        <f>IFERROR(INDEX(装备库!$A$2:$Y$1047,MATCH(ROW()-1,装备库!$AO$2:$AO$1046,0),COLUMN()),"")</f>
        <v>1</v>
      </c>
      <c r="P536">
        <f>IFERROR(INDEX(装备库!$A$2:$Y$1047,MATCH(ROW()-1,装备库!$AO$2:$AO$1046,0),COLUMN()),"")</f>
        <v>0</v>
      </c>
      <c r="Q536">
        <f>IFERROR(INDEX(装备库!$A$2:$Y$1047,MATCH(ROW()-1,装备库!$AO$2:$AO$1046,0),COLUMN()),"")</f>
        <v>0</v>
      </c>
      <c r="R536">
        <f>IFERROR(INDEX(装备库!$A$2:$Y$1047,MATCH(ROW()-1,装备库!$AO$2:$AO$1046,0),COLUMN()),"")</f>
        <v>0</v>
      </c>
      <c r="S536">
        <f>IFERROR(INDEX(装备库!$A$2:$Y$1047,MATCH(ROW()-1,装备库!$AO$2:$AO$1046,0),COLUMN()),"")</f>
        <v>0</v>
      </c>
      <c r="T536">
        <f>IFERROR(INDEX(装备库!$A$2:$Y$1047,MATCH(ROW()-1,装备库!$AO$2:$AO$1046,0),COLUMN()),"")</f>
        <v>0</v>
      </c>
      <c r="U536">
        <f>IFERROR(INDEX(装备库!$A$2:$Y$1047,MATCH(ROW()-1,装备库!$AO$2:$AO$1046,0),COLUMN()),"")</f>
        <v>0</v>
      </c>
      <c r="V536">
        <f>IFERROR(INDEX(装备库!$A$2:$Y$1047,MATCH(ROW()-1,装备库!$AO$2:$AO$1046,0),COLUMN()),"")</f>
        <v>0</v>
      </c>
      <c r="W536" t="str">
        <f>IFERROR(INDEX(装备库!$A$2:$Y$1047,MATCH(ROW()-1,装备库!$AO$2:$AO$1046,0),COLUMN()),"")</f>
        <v>会招</v>
      </c>
      <c r="X536">
        <f>IFERROR(INDEX(装备库!$A$2:$Y$1047,MATCH(ROW()-1,装备库!$AO$2:$AO$1046,0),COLUMN()),"")</f>
        <v>6</v>
      </c>
      <c r="Y536" t="str">
        <f>IFERROR(INDEX(装备库!$A$2:$Y$1047,MATCH(ROW()-1,装备库!$AO$2:$AO$1046,0),COLUMN()),"")</f>
        <v>声望</v>
      </c>
    </row>
    <row r="537" spans="1:25" x14ac:dyDescent="0.35">
      <c r="A537" t="str">
        <f>IFERROR(INDEX(装备库!$A$2:$Y$1047,MATCH(ROW()-1,装备库!$AO$2:$AO$1046,0),COLUMN()),"")</f>
        <v>腰坠</v>
      </c>
      <c r="B537" t="str">
        <f>IFERROR(INDEX(装备库!$A$2:$Y$1047,MATCH(ROW()-1,装备库!$AO$2:$AO$1046,0),COLUMN()),"")</f>
        <v>少雪坠</v>
      </c>
      <c r="C537">
        <f>IFERROR(INDEX(装备库!$A$2:$Y$1047,MATCH(ROW()-1,装备库!$AO$2:$AO$1046,0),COLUMN()),"")</f>
        <v>8600</v>
      </c>
      <c r="D537" t="str">
        <f>IFERROR(INDEX(装备库!$A$2:$Y$1047,MATCH(ROW()-1,装备库!$AO$2:$AO$1046,0),COLUMN()),"")</f>
        <v>少雪坠(8600速招)</v>
      </c>
      <c r="E537">
        <f>IFERROR(INDEX(装备库!$A$2:$Y$1047,MATCH(ROW()-1,装备库!$AO$2:$AO$1046,0),COLUMN()),"")</f>
        <v>300</v>
      </c>
      <c r="F537">
        <f>IFERROR(INDEX(装备库!$A$2:$Y$1047,MATCH(ROW()-1,装备库!$AO$2:$AO$1046,0),COLUMN()),"")</f>
        <v>487</v>
      </c>
      <c r="G537">
        <f>IFERROR(INDEX(装备库!$A$2:$Y$1047,MATCH(ROW()-1,装备库!$AO$2:$AO$1046,0),COLUMN()),"")</f>
        <v>0</v>
      </c>
      <c r="H537">
        <f>IFERROR(INDEX(装备库!$A$2:$Y$1047,MATCH(ROW()-1,装备库!$AO$2:$AO$1046,0),COLUMN()),"")</f>
        <v>0</v>
      </c>
      <c r="I537">
        <f>IFERROR(INDEX(装备库!$A$2:$Y$1047,MATCH(ROW()-1,装备库!$AO$2:$AO$1046,0),COLUMN()),"")</f>
        <v>0</v>
      </c>
      <c r="J537">
        <f>IFERROR(INDEX(装备库!$A$2:$Y$1047,MATCH(ROW()-1,装备库!$AO$2:$AO$1046,0),COLUMN()),"")</f>
        <v>1339</v>
      </c>
      <c r="K537">
        <f>IFERROR(INDEX(装备库!$A$2:$Y$1047,MATCH(ROW()-1,装备库!$AO$2:$AO$1046,0),COLUMN()),"")</f>
        <v>0</v>
      </c>
      <c r="L537">
        <f>IFERROR(INDEX(装备库!$A$2:$Y$1047,MATCH(ROW()-1,装备库!$AO$2:$AO$1046,0),COLUMN()),"")</f>
        <v>1507</v>
      </c>
      <c r="M537">
        <f>IFERROR(INDEX(装备库!$A$2:$Y$1047,MATCH(ROW()-1,装备库!$AO$2:$AO$1046,0),COLUMN()),"")</f>
        <v>0</v>
      </c>
      <c r="N537">
        <f>IFERROR(INDEX(装备库!$A$2:$Y$1047,MATCH(ROW()-1,装备库!$AO$2:$AO$1046,0),COLUMN()),"")</f>
        <v>0</v>
      </c>
      <c r="O537">
        <f>IFERROR(INDEX(装备库!$A$2:$Y$1047,MATCH(ROW()-1,装备库!$AO$2:$AO$1046,0),COLUMN()),"")</f>
        <v>1</v>
      </c>
      <c r="P537">
        <f>IFERROR(INDEX(装备库!$A$2:$Y$1047,MATCH(ROW()-1,装备库!$AO$2:$AO$1046,0),COLUMN()),"")</f>
        <v>0</v>
      </c>
      <c r="Q537">
        <f>IFERROR(INDEX(装备库!$A$2:$Y$1047,MATCH(ROW()-1,装备库!$AO$2:$AO$1046,0),COLUMN()),"")</f>
        <v>0</v>
      </c>
      <c r="R537">
        <f>IFERROR(INDEX(装备库!$A$2:$Y$1047,MATCH(ROW()-1,装备库!$AO$2:$AO$1046,0),COLUMN()),"")</f>
        <v>0</v>
      </c>
      <c r="S537">
        <f>IFERROR(INDEX(装备库!$A$2:$Y$1047,MATCH(ROW()-1,装备库!$AO$2:$AO$1046,0),COLUMN()),"")</f>
        <v>0</v>
      </c>
      <c r="T537">
        <f>IFERROR(INDEX(装备库!$A$2:$Y$1047,MATCH(ROW()-1,装备库!$AO$2:$AO$1046,0),COLUMN()),"")</f>
        <v>0</v>
      </c>
      <c r="U537">
        <f>IFERROR(INDEX(装备库!$A$2:$Y$1047,MATCH(ROW()-1,装备库!$AO$2:$AO$1046,0),COLUMN()),"")</f>
        <v>0</v>
      </c>
      <c r="V537">
        <f>IFERROR(INDEX(装备库!$A$2:$Y$1047,MATCH(ROW()-1,装备库!$AO$2:$AO$1046,0),COLUMN()),"")</f>
        <v>0</v>
      </c>
      <c r="W537" t="str">
        <f>IFERROR(INDEX(装备库!$A$2:$Y$1047,MATCH(ROW()-1,装备库!$AO$2:$AO$1046,0),COLUMN()),"")</f>
        <v>速招</v>
      </c>
      <c r="X537">
        <f>IFERROR(INDEX(装备库!$A$2:$Y$1047,MATCH(ROW()-1,装备库!$AO$2:$AO$1046,0),COLUMN()),"")</f>
        <v>6</v>
      </c>
      <c r="Y537" t="str">
        <f>IFERROR(INDEX(装备库!$A$2:$Y$1047,MATCH(ROW()-1,装备库!$AO$2:$AO$1046,0),COLUMN()),"")</f>
        <v>精英怪</v>
      </c>
    </row>
    <row r="538" spans="1:25" x14ac:dyDescent="0.35">
      <c r="A538" t="str">
        <f>IFERROR(INDEX(装备库!$A$2:$Y$1047,MATCH(ROW()-1,装备库!$AO$2:$AO$1046,0),COLUMN()),"")</f>
        <v>腰坠</v>
      </c>
      <c r="B538" t="str">
        <f>IFERROR(INDEX(装备库!$A$2:$Y$1047,MATCH(ROW()-1,装备库!$AO$2:$AO$1046,0),COLUMN()),"")</f>
        <v>临梧坠</v>
      </c>
      <c r="C538">
        <f>IFERROR(INDEX(装备库!$A$2:$Y$1047,MATCH(ROW()-1,装备库!$AO$2:$AO$1046,0),COLUMN()),"")</f>
        <v>8800</v>
      </c>
      <c r="D538" t="str">
        <f>IFERROR(INDEX(装备库!$A$2:$Y$1047,MATCH(ROW()-1,装备库!$AO$2:$AO$1046,0),COLUMN()),"")</f>
        <v>临梧坠(8800会招)</v>
      </c>
      <c r="E538">
        <f>IFERROR(INDEX(装备库!$A$2:$Y$1047,MATCH(ROW()-1,装备库!$AO$2:$AO$1046,0),COLUMN()),"")</f>
        <v>307</v>
      </c>
      <c r="F538">
        <f>IFERROR(INDEX(装备库!$A$2:$Y$1047,MATCH(ROW()-1,装备库!$AO$2:$AO$1046,0),COLUMN()),"")</f>
        <v>498</v>
      </c>
      <c r="G538">
        <f>IFERROR(INDEX(装备库!$A$2:$Y$1047,MATCH(ROW()-1,装备库!$AO$2:$AO$1046,0),COLUMN()),"")</f>
        <v>1542</v>
      </c>
      <c r="H538">
        <f>IFERROR(INDEX(装备库!$A$2:$Y$1047,MATCH(ROW()-1,装备库!$AO$2:$AO$1046,0),COLUMN()),"")</f>
        <v>0</v>
      </c>
      <c r="I538">
        <f>IFERROR(INDEX(装备库!$A$2:$Y$1047,MATCH(ROW()-1,装备库!$AO$2:$AO$1046,0),COLUMN()),"")</f>
        <v>0</v>
      </c>
      <c r="J538">
        <f>IFERROR(INDEX(装备库!$A$2:$Y$1047,MATCH(ROW()-1,装备库!$AO$2:$AO$1046,0),COLUMN()),"")</f>
        <v>1370</v>
      </c>
      <c r="K538">
        <f>IFERROR(INDEX(装备库!$A$2:$Y$1047,MATCH(ROW()-1,装备库!$AO$2:$AO$1046,0),COLUMN()),"")</f>
        <v>0</v>
      </c>
      <c r="L538">
        <f>IFERROR(INDEX(装备库!$A$2:$Y$1047,MATCH(ROW()-1,装备库!$AO$2:$AO$1046,0),COLUMN()),"")</f>
        <v>0</v>
      </c>
      <c r="M538">
        <f>IFERROR(INDEX(装备库!$A$2:$Y$1047,MATCH(ROW()-1,装备库!$AO$2:$AO$1046,0),COLUMN()),"")</f>
        <v>0</v>
      </c>
      <c r="N538">
        <f>IFERROR(INDEX(装备库!$A$2:$Y$1047,MATCH(ROW()-1,装备库!$AO$2:$AO$1046,0),COLUMN()),"")</f>
        <v>0</v>
      </c>
      <c r="O538">
        <f>IFERROR(INDEX(装备库!$A$2:$Y$1047,MATCH(ROW()-1,装备库!$AO$2:$AO$1046,0),COLUMN()),"")</f>
        <v>1</v>
      </c>
      <c r="P538">
        <f>IFERROR(INDEX(装备库!$A$2:$Y$1047,MATCH(ROW()-1,装备库!$AO$2:$AO$1046,0),COLUMN()),"")</f>
        <v>0</v>
      </c>
      <c r="Q538">
        <f>IFERROR(INDEX(装备库!$A$2:$Y$1047,MATCH(ROW()-1,装备库!$AO$2:$AO$1046,0),COLUMN()),"")</f>
        <v>0</v>
      </c>
      <c r="R538">
        <f>IFERROR(INDEX(装备库!$A$2:$Y$1047,MATCH(ROW()-1,装备库!$AO$2:$AO$1046,0),COLUMN()),"")</f>
        <v>0</v>
      </c>
      <c r="S538">
        <f>IFERROR(INDEX(装备库!$A$2:$Y$1047,MATCH(ROW()-1,装备库!$AO$2:$AO$1046,0),COLUMN()),"")</f>
        <v>0</v>
      </c>
      <c r="T538">
        <f>IFERROR(INDEX(装备库!$A$2:$Y$1047,MATCH(ROW()-1,装备库!$AO$2:$AO$1046,0),COLUMN()),"")</f>
        <v>0</v>
      </c>
      <c r="U538">
        <f>IFERROR(INDEX(装备库!$A$2:$Y$1047,MATCH(ROW()-1,装备库!$AO$2:$AO$1046,0),COLUMN()),"")</f>
        <v>0</v>
      </c>
      <c r="V538">
        <f>IFERROR(INDEX(装备库!$A$2:$Y$1047,MATCH(ROW()-1,装备库!$AO$2:$AO$1046,0),COLUMN()),"")</f>
        <v>0</v>
      </c>
      <c r="W538" t="str">
        <f>IFERROR(INDEX(装备库!$A$2:$Y$1047,MATCH(ROW()-1,装备库!$AO$2:$AO$1046,0),COLUMN()),"")</f>
        <v>会招</v>
      </c>
      <c r="X538">
        <f>IFERROR(INDEX(装备库!$A$2:$Y$1047,MATCH(ROW()-1,装备库!$AO$2:$AO$1046,0),COLUMN()),"")</f>
        <v>6</v>
      </c>
      <c r="Y538" t="str">
        <f>IFERROR(INDEX(装备库!$A$2:$Y$1047,MATCH(ROW()-1,装备库!$AO$2:$AO$1046,0),COLUMN()),"")</f>
        <v>声望</v>
      </c>
    </row>
    <row r="539" spans="1:25" x14ac:dyDescent="0.35">
      <c r="A539" t="str">
        <f>IFERROR(INDEX(装备库!$A$2:$Y$1047,MATCH(ROW()-1,装备库!$AO$2:$AO$1046,0),COLUMN()),"")</f>
        <v>腰坠</v>
      </c>
      <c r="B539" t="str">
        <f>IFERROR(INDEX(装备库!$A$2:$Y$1047,MATCH(ROW()-1,装备库!$AO$2:$AO$1046,0),COLUMN()),"")</f>
        <v>画楼坠</v>
      </c>
      <c r="C539">
        <f>IFERROR(INDEX(装备库!$A$2:$Y$1047,MATCH(ROW()-1,装备库!$AO$2:$AO$1046,0),COLUMN()),"")</f>
        <v>8800</v>
      </c>
      <c r="D539" t="str">
        <f>IFERROR(INDEX(装备库!$A$2:$Y$1047,MATCH(ROW()-1,装备库!$AO$2:$AO$1046,0),COLUMN()),"")</f>
        <v>画楼坠(8800会无)</v>
      </c>
      <c r="E539">
        <f>IFERROR(INDEX(装备库!$A$2:$Y$1047,MATCH(ROW()-1,装备库!$AO$2:$AO$1046,0),COLUMN()),"")</f>
        <v>307</v>
      </c>
      <c r="F539">
        <f>IFERROR(INDEX(装备库!$A$2:$Y$1047,MATCH(ROW()-1,装备库!$AO$2:$AO$1046,0),COLUMN()),"")</f>
        <v>498</v>
      </c>
      <c r="G539">
        <f>IFERROR(INDEX(装备库!$A$2:$Y$1047,MATCH(ROW()-1,装备库!$AO$2:$AO$1046,0),COLUMN()),"")</f>
        <v>1542</v>
      </c>
      <c r="H539">
        <f>IFERROR(INDEX(装备库!$A$2:$Y$1047,MATCH(ROW()-1,装备库!$AO$2:$AO$1046,0),COLUMN()),"")</f>
        <v>0</v>
      </c>
      <c r="I539">
        <f>IFERROR(INDEX(装备库!$A$2:$Y$1047,MATCH(ROW()-1,装备库!$AO$2:$AO$1046,0),COLUMN()),"")</f>
        <v>0</v>
      </c>
      <c r="J539">
        <f>IFERROR(INDEX(装备库!$A$2:$Y$1047,MATCH(ROW()-1,装备库!$AO$2:$AO$1046,0),COLUMN()),"")</f>
        <v>0</v>
      </c>
      <c r="K539">
        <f>IFERROR(INDEX(装备库!$A$2:$Y$1047,MATCH(ROW()-1,装备库!$AO$2:$AO$1046,0),COLUMN()),"")</f>
        <v>1370</v>
      </c>
      <c r="L539">
        <f>IFERROR(INDEX(装备库!$A$2:$Y$1047,MATCH(ROW()-1,装备库!$AO$2:$AO$1046,0),COLUMN()),"")</f>
        <v>0</v>
      </c>
      <c r="M539">
        <f>IFERROR(INDEX(装备库!$A$2:$Y$1047,MATCH(ROW()-1,装备库!$AO$2:$AO$1046,0),COLUMN()),"")</f>
        <v>0</v>
      </c>
      <c r="N539">
        <f>IFERROR(INDEX(装备库!$A$2:$Y$1047,MATCH(ROW()-1,装备库!$AO$2:$AO$1046,0),COLUMN()),"")</f>
        <v>0</v>
      </c>
      <c r="O539">
        <f>IFERROR(INDEX(装备库!$A$2:$Y$1047,MATCH(ROW()-1,装备库!$AO$2:$AO$1046,0),COLUMN()),"")</f>
        <v>0</v>
      </c>
      <c r="P539">
        <f>IFERROR(INDEX(装备库!$A$2:$Y$1047,MATCH(ROW()-1,装备库!$AO$2:$AO$1046,0),COLUMN()),"")</f>
        <v>0</v>
      </c>
      <c r="Q539">
        <f>IFERROR(INDEX(装备库!$A$2:$Y$1047,MATCH(ROW()-1,装备库!$AO$2:$AO$1046,0),COLUMN()),"")</f>
        <v>0</v>
      </c>
      <c r="R539">
        <f>IFERROR(INDEX(装备库!$A$2:$Y$1047,MATCH(ROW()-1,装备库!$AO$2:$AO$1046,0),COLUMN()),"")</f>
        <v>0</v>
      </c>
      <c r="S539">
        <f>IFERROR(INDEX(装备库!$A$2:$Y$1047,MATCH(ROW()-1,装备库!$AO$2:$AO$1046,0),COLUMN()),"")</f>
        <v>0</v>
      </c>
      <c r="T539">
        <f>IFERROR(INDEX(装备库!$A$2:$Y$1047,MATCH(ROW()-1,装备库!$AO$2:$AO$1046,0),COLUMN()),"")</f>
        <v>0</v>
      </c>
      <c r="U539">
        <f>IFERROR(INDEX(装备库!$A$2:$Y$1047,MATCH(ROW()-1,装备库!$AO$2:$AO$1046,0),COLUMN()),"")</f>
        <v>1</v>
      </c>
      <c r="V539">
        <f>IFERROR(INDEX(装备库!$A$2:$Y$1047,MATCH(ROW()-1,装备库!$AO$2:$AO$1046,0),COLUMN()),"")</f>
        <v>0</v>
      </c>
      <c r="W539" t="str">
        <f>IFERROR(INDEX(装备库!$A$2:$Y$1047,MATCH(ROW()-1,装备库!$AO$2:$AO$1046,0),COLUMN()),"")</f>
        <v>会无</v>
      </c>
      <c r="X539">
        <f>IFERROR(INDEX(装备库!$A$2:$Y$1047,MATCH(ROW()-1,装备库!$AO$2:$AO$1046,0),COLUMN()),"")</f>
        <v>6</v>
      </c>
      <c r="Y539" t="str">
        <f>IFERROR(INDEX(装备库!$A$2:$Y$1047,MATCH(ROW()-1,装备库!$AO$2:$AO$1046,0),COLUMN()),"")</f>
        <v>任务</v>
      </c>
    </row>
    <row r="540" spans="1:25" x14ac:dyDescent="0.35">
      <c r="A540" t="str">
        <f>IFERROR(INDEX(装备库!$A$2:$Y$1047,MATCH(ROW()-1,装备库!$AO$2:$AO$1046,0),COLUMN()),"")</f>
        <v>腰坠</v>
      </c>
      <c r="B540" t="str">
        <f>IFERROR(INDEX(装备库!$A$2:$Y$1047,MATCH(ROW()-1,装备库!$AO$2:$AO$1046,0),COLUMN()),"")</f>
        <v>分石坠</v>
      </c>
      <c r="C540">
        <f>IFERROR(INDEX(装备库!$A$2:$Y$1047,MATCH(ROW()-1,装备库!$AO$2:$AO$1046,0),COLUMN()),"")</f>
        <v>9100</v>
      </c>
      <c r="D540" t="str">
        <f>IFERROR(INDEX(装备库!$A$2:$Y$1047,MATCH(ROW()-1,装备库!$AO$2:$AO$1046,0),COLUMN()),"")</f>
        <v>分石坠(9100会无)</v>
      </c>
      <c r="E540">
        <f>IFERROR(INDEX(装备库!$A$2:$Y$1047,MATCH(ROW()-1,装备库!$AO$2:$AO$1046,0),COLUMN()),"")</f>
        <v>318</v>
      </c>
      <c r="F540">
        <f>IFERROR(INDEX(装备库!$A$2:$Y$1047,MATCH(ROW()-1,装备库!$AO$2:$AO$1046,0),COLUMN()),"")</f>
        <v>515</v>
      </c>
      <c r="G540">
        <f>IFERROR(INDEX(装备库!$A$2:$Y$1047,MATCH(ROW()-1,装备库!$AO$2:$AO$1046,0),COLUMN()),"")</f>
        <v>1594</v>
      </c>
      <c r="H540">
        <f>IFERROR(INDEX(装备库!$A$2:$Y$1047,MATCH(ROW()-1,装备库!$AO$2:$AO$1046,0),COLUMN()),"")</f>
        <v>0</v>
      </c>
      <c r="I540">
        <f>IFERROR(INDEX(装备库!$A$2:$Y$1047,MATCH(ROW()-1,装备库!$AO$2:$AO$1046,0),COLUMN()),"")</f>
        <v>0</v>
      </c>
      <c r="J540">
        <f>IFERROR(INDEX(装备库!$A$2:$Y$1047,MATCH(ROW()-1,装备库!$AO$2:$AO$1046,0),COLUMN()),"")</f>
        <v>0</v>
      </c>
      <c r="K540">
        <f>IFERROR(INDEX(装备库!$A$2:$Y$1047,MATCH(ROW()-1,装备库!$AO$2:$AO$1046,0),COLUMN()),"")</f>
        <v>1417</v>
      </c>
      <c r="L540">
        <f>IFERROR(INDEX(装备库!$A$2:$Y$1047,MATCH(ROW()-1,装备库!$AO$2:$AO$1046,0),COLUMN()),"")</f>
        <v>0</v>
      </c>
      <c r="M540">
        <f>IFERROR(INDEX(装备库!$A$2:$Y$1047,MATCH(ROW()-1,装备库!$AO$2:$AO$1046,0),COLUMN()),"")</f>
        <v>0</v>
      </c>
      <c r="N540">
        <f>IFERROR(INDEX(装备库!$A$2:$Y$1047,MATCH(ROW()-1,装备库!$AO$2:$AO$1046,0),COLUMN()),"")</f>
        <v>0</v>
      </c>
      <c r="O540">
        <f>IFERROR(INDEX(装备库!$A$2:$Y$1047,MATCH(ROW()-1,装备库!$AO$2:$AO$1046,0),COLUMN()),"")</f>
        <v>0</v>
      </c>
      <c r="P540">
        <f>IFERROR(INDEX(装备库!$A$2:$Y$1047,MATCH(ROW()-1,装备库!$AO$2:$AO$1046,0),COLUMN()),"")</f>
        <v>0</v>
      </c>
      <c r="Q540">
        <f>IFERROR(INDEX(装备库!$A$2:$Y$1047,MATCH(ROW()-1,装备库!$AO$2:$AO$1046,0),COLUMN()),"")</f>
        <v>0</v>
      </c>
      <c r="R540">
        <f>IFERROR(INDEX(装备库!$A$2:$Y$1047,MATCH(ROW()-1,装备库!$AO$2:$AO$1046,0),COLUMN()),"")</f>
        <v>0</v>
      </c>
      <c r="S540">
        <f>IFERROR(INDEX(装备库!$A$2:$Y$1047,MATCH(ROW()-1,装备库!$AO$2:$AO$1046,0),COLUMN()),"")</f>
        <v>0</v>
      </c>
      <c r="T540">
        <f>IFERROR(INDEX(装备库!$A$2:$Y$1047,MATCH(ROW()-1,装备库!$AO$2:$AO$1046,0),COLUMN()),"")</f>
        <v>0</v>
      </c>
      <c r="U540">
        <f>IFERROR(INDEX(装备库!$A$2:$Y$1047,MATCH(ROW()-1,装备库!$AO$2:$AO$1046,0),COLUMN()),"")</f>
        <v>1</v>
      </c>
      <c r="V540">
        <f>IFERROR(INDEX(装备库!$A$2:$Y$1047,MATCH(ROW()-1,装备库!$AO$2:$AO$1046,0),COLUMN()),"")</f>
        <v>0</v>
      </c>
      <c r="W540" t="str">
        <f>IFERROR(INDEX(装备库!$A$2:$Y$1047,MATCH(ROW()-1,装备库!$AO$2:$AO$1046,0),COLUMN()),"")</f>
        <v>会无</v>
      </c>
      <c r="X540">
        <f>IFERROR(INDEX(装备库!$A$2:$Y$1047,MATCH(ROW()-1,装备库!$AO$2:$AO$1046,0),COLUMN()),"")</f>
        <v>6</v>
      </c>
      <c r="Y540" t="str">
        <f>IFERROR(INDEX(装备库!$A$2:$Y$1047,MATCH(ROW()-1,装备库!$AO$2:$AO$1046,0),COLUMN()),"")</f>
        <v>副本</v>
      </c>
    </row>
    <row r="541" spans="1:25" x14ac:dyDescent="0.35">
      <c r="A541" t="str">
        <f>IFERROR(INDEX(装备库!$A$2:$Y$1047,MATCH(ROW()-1,装备库!$AO$2:$AO$1046,0),COLUMN()),"")</f>
        <v>腰坠</v>
      </c>
      <c r="B541" t="str">
        <f>IFERROR(INDEX(装备库!$A$2:$Y$1047,MATCH(ROW()-1,装备库!$AO$2:$AO$1046,0),COLUMN()),"")</f>
        <v>无封腰坠</v>
      </c>
      <c r="C541">
        <f>IFERROR(INDEX(装备库!$A$2:$Y$1047,MATCH(ROW()-1,装备库!$AO$2:$AO$1046,0),COLUMN()),"")</f>
        <v>9100</v>
      </c>
      <c r="D541" t="str">
        <f>IFERROR(INDEX(装备库!$A$2:$Y$1047,MATCH(ROW()-1,装备库!$AO$2:$AO$1046,0),COLUMN()),"")</f>
        <v>无封腰坠(9100精简攻招破)</v>
      </c>
      <c r="E541">
        <f>IFERROR(INDEX(装备库!$A$2:$Y$1047,MATCH(ROW()-1,装备库!$AO$2:$AO$1046,0),COLUMN()),"")</f>
        <v>0</v>
      </c>
      <c r="F541">
        <f>IFERROR(INDEX(装备库!$A$2:$Y$1047,MATCH(ROW()-1,装备库!$AO$2:$AO$1046,0),COLUMN()),"")</f>
        <v>1150</v>
      </c>
      <c r="G541">
        <f>IFERROR(INDEX(装备库!$A$2:$Y$1047,MATCH(ROW()-1,装备库!$AO$2:$AO$1046,0),COLUMN()),"")</f>
        <v>0</v>
      </c>
      <c r="H541">
        <f>IFERROR(INDEX(装备库!$A$2:$Y$1047,MATCH(ROW()-1,装备库!$AO$2:$AO$1046,0),COLUMN()),"")</f>
        <v>0</v>
      </c>
      <c r="I541">
        <f>IFERROR(INDEX(装备库!$A$2:$Y$1047,MATCH(ROW()-1,装备库!$AO$2:$AO$1046,0),COLUMN()),"")</f>
        <v>1860</v>
      </c>
      <c r="J541">
        <f>IFERROR(INDEX(装备库!$A$2:$Y$1047,MATCH(ROW()-1,装备库!$AO$2:$AO$1046,0),COLUMN()),"")</f>
        <v>1683</v>
      </c>
      <c r="K541">
        <f>IFERROR(INDEX(装备库!$A$2:$Y$1047,MATCH(ROW()-1,装备库!$AO$2:$AO$1046,0),COLUMN()),"")</f>
        <v>0</v>
      </c>
      <c r="L541">
        <f>IFERROR(INDEX(装备库!$A$2:$Y$1047,MATCH(ROW()-1,装备库!$AO$2:$AO$1046,0),COLUMN()),"")</f>
        <v>0</v>
      </c>
      <c r="M541">
        <f>IFERROR(INDEX(装备库!$A$2:$Y$1047,MATCH(ROW()-1,装备库!$AO$2:$AO$1046,0),COLUMN()),"")</f>
        <v>0</v>
      </c>
      <c r="N541">
        <f>IFERROR(INDEX(装备库!$A$2:$Y$1047,MATCH(ROW()-1,装备库!$AO$2:$AO$1046,0),COLUMN()),"")</f>
        <v>0</v>
      </c>
      <c r="O541">
        <f>IFERROR(INDEX(装备库!$A$2:$Y$1047,MATCH(ROW()-1,装备库!$AO$2:$AO$1046,0),COLUMN()),"")</f>
        <v>0</v>
      </c>
      <c r="P541">
        <f>IFERROR(INDEX(装备库!$A$2:$Y$1047,MATCH(ROW()-1,装备库!$AO$2:$AO$1046,0),COLUMN()),"")</f>
        <v>0</v>
      </c>
      <c r="Q541">
        <f>IFERROR(INDEX(装备库!$A$2:$Y$1047,MATCH(ROW()-1,装备库!$AO$2:$AO$1046,0),COLUMN()),"")</f>
        <v>1</v>
      </c>
      <c r="R541">
        <f>IFERROR(INDEX(装备库!$A$2:$Y$1047,MATCH(ROW()-1,装备库!$AO$2:$AO$1046,0),COLUMN()),"")</f>
        <v>0</v>
      </c>
      <c r="S541">
        <f>IFERROR(INDEX(装备库!$A$2:$Y$1047,MATCH(ROW()-1,装备库!$AO$2:$AO$1046,0),COLUMN()),"")</f>
        <v>0</v>
      </c>
      <c r="T541">
        <f>IFERROR(INDEX(装备库!$A$2:$Y$1047,MATCH(ROW()-1,装备库!$AO$2:$AO$1046,0),COLUMN()),"")</f>
        <v>0</v>
      </c>
      <c r="U541">
        <f>IFERROR(INDEX(装备库!$A$2:$Y$1047,MATCH(ROW()-1,装备库!$AO$2:$AO$1046,0),COLUMN()),"")</f>
        <v>0</v>
      </c>
      <c r="V541">
        <f>IFERROR(INDEX(装备库!$A$2:$Y$1047,MATCH(ROW()-1,装备库!$AO$2:$AO$1046,0),COLUMN()),"")</f>
        <v>0</v>
      </c>
      <c r="W541" t="str">
        <f>IFERROR(INDEX(装备库!$A$2:$Y$1047,MATCH(ROW()-1,装备库!$AO$2:$AO$1046,0),COLUMN()),"")</f>
        <v>精简攻招破</v>
      </c>
      <c r="X541">
        <f>IFERROR(INDEX(装备库!$A$2:$Y$1047,MATCH(ROW()-1,装备库!$AO$2:$AO$1046,0),COLUMN()),"")</f>
        <v>3</v>
      </c>
      <c r="Y541" t="str">
        <f>IFERROR(INDEX(装备库!$A$2:$Y$1047,MATCH(ROW()-1,装备库!$AO$2:$AO$1046,0),COLUMN()),"")</f>
        <v>活动</v>
      </c>
    </row>
    <row r="542" spans="1:25" x14ac:dyDescent="0.35">
      <c r="A542" t="str">
        <f>IFERROR(INDEX(装备库!$A$2:$Y$1047,MATCH(ROW()-1,装备库!$AO$2:$AO$1046,0),COLUMN()),"")</f>
        <v>腰坠</v>
      </c>
      <c r="B542" t="str">
        <f>IFERROR(INDEX(装备库!$A$2:$Y$1047,MATCH(ROW()-1,装备库!$AO$2:$AO$1046,0),COLUMN()),"")</f>
        <v>无封腰坠</v>
      </c>
      <c r="C542">
        <f>IFERROR(INDEX(装备库!$A$2:$Y$1047,MATCH(ROW()-1,装备库!$AO$2:$AO$1046,0),COLUMN()),"")</f>
        <v>9100</v>
      </c>
      <c r="D542" t="str">
        <f>IFERROR(INDEX(装备库!$A$2:$Y$1047,MATCH(ROW()-1,装备库!$AO$2:$AO$1046,0),COLUMN()),"")</f>
        <v>无封腰坠(9100精简攻无)</v>
      </c>
      <c r="E542">
        <f>IFERROR(INDEX(装备库!$A$2:$Y$1047,MATCH(ROW()-1,装备库!$AO$2:$AO$1046,0),COLUMN()),"")</f>
        <v>0</v>
      </c>
      <c r="F542">
        <f>IFERROR(INDEX(装备库!$A$2:$Y$1047,MATCH(ROW()-1,装备库!$AO$2:$AO$1046,0),COLUMN()),"")</f>
        <v>1348</v>
      </c>
      <c r="G542">
        <f>IFERROR(INDEX(装备库!$A$2:$Y$1047,MATCH(ROW()-1,装备库!$AO$2:$AO$1046,0),COLUMN()),"")</f>
        <v>0</v>
      </c>
      <c r="H542">
        <f>IFERROR(INDEX(装备库!$A$2:$Y$1047,MATCH(ROW()-1,装备库!$AO$2:$AO$1046,0),COLUMN()),"")</f>
        <v>0</v>
      </c>
      <c r="I542">
        <f>IFERROR(INDEX(装备库!$A$2:$Y$1047,MATCH(ROW()-1,装备库!$AO$2:$AO$1046,0),COLUMN()),"")</f>
        <v>0</v>
      </c>
      <c r="J542">
        <f>IFERROR(INDEX(装备库!$A$2:$Y$1047,MATCH(ROW()-1,装备库!$AO$2:$AO$1046,0),COLUMN()),"")</f>
        <v>0</v>
      </c>
      <c r="K542">
        <f>IFERROR(INDEX(装备库!$A$2:$Y$1047,MATCH(ROW()-1,装备库!$AO$2:$AO$1046,0),COLUMN()),"")</f>
        <v>3055</v>
      </c>
      <c r="L542">
        <f>IFERROR(INDEX(装备库!$A$2:$Y$1047,MATCH(ROW()-1,装备库!$AO$2:$AO$1046,0),COLUMN()),"")</f>
        <v>0</v>
      </c>
      <c r="M542">
        <f>IFERROR(INDEX(装备库!$A$2:$Y$1047,MATCH(ROW()-1,装备库!$AO$2:$AO$1046,0),COLUMN()),"")</f>
        <v>0</v>
      </c>
      <c r="N542">
        <f>IFERROR(INDEX(装备库!$A$2:$Y$1047,MATCH(ROW()-1,装备库!$AO$2:$AO$1046,0),COLUMN()),"")</f>
        <v>0</v>
      </c>
      <c r="O542">
        <f>IFERROR(INDEX(装备库!$A$2:$Y$1047,MATCH(ROW()-1,装备库!$AO$2:$AO$1046,0),COLUMN()),"")</f>
        <v>0</v>
      </c>
      <c r="P542">
        <f>IFERROR(INDEX(装备库!$A$2:$Y$1047,MATCH(ROW()-1,装备库!$AO$2:$AO$1046,0),COLUMN()),"")</f>
        <v>0</v>
      </c>
      <c r="Q542">
        <f>IFERROR(INDEX(装备库!$A$2:$Y$1047,MATCH(ROW()-1,装备库!$AO$2:$AO$1046,0),COLUMN()),"")</f>
        <v>0</v>
      </c>
      <c r="R542">
        <f>IFERROR(INDEX(装备库!$A$2:$Y$1047,MATCH(ROW()-1,装备库!$AO$2:$AO$1046,0),COLUMN()),"")</f>
        <v>0</v>
      </c>
      <c r="S542">
        <f>IFERROR(INDEX(装备库!$A$2:$Y$1047,MATCH(ROW()-1,装备库!$AO$2:$AO$1046,0),COLUMN()),"")</f>
        <v>1</v>
      </c>
      <c r="T542">
        <f>IFERROR(INDEX(装备库!$A$2:$Y$1047,MATCH(ROW()-1,装备库!$AO$2:$AO$1046,0),COLUMN()),"")</f>
        <v>0</v>
      </c>
      <c r="U542">
        <f>IFERROR(INDEX(装备库!$A$2:$Y$1047,MATCH(ROW()-1,装备库!$AO$2:$AO$1046,0),COLUMN()),"")</f>
        <v>0</v>
      </c>
      <c r="V542">
        <f>IFERROR(INDEX(装备库!$A$2:$Y$1047,MATCH(ROW()-1,装备库!$AO$2:$AO$1046,0),COLUMN()),"")</f>
        <v>0</v>
      </c>
      <c r="W542" t="str">
        <f>IFERROR(INDEX(装备库!$A$2:$Y$1047,MATCH(ROW()-1,装备库!$AO$2:$AO$1046,0),COLUMN()),"")</f>
        <v>精简攻无</v>
      </c>
      <c r="X542">
        <f>IFERROR(INDEX(装备库!$A$2:$Y$1047,MATCH(ROW()-1,装备库!$AO$2:$AO$1046,0),COLUMN()),"")</f>
        <v>3</v>
      </c>
      <c r="Y542" t="str">
        <f>IFERROR(INDEX(装备库!$A$2:$Y$1047,MATCH(ROW()-1,装备库!$AO$2:$AO$1046,0),COLUMN()),"")</f>
        <v>活动</v>
      </c>
    </row>
    <row r="543" spans="1:25" x14ac:dyDescent="0.35">
      <c r="A543" t="str">
        <f>IFERROR(INDEX(装备库!$A$2:$Y$1047,MATCH(ROW()-1,装备库!$AO$2:$AO$1046,0),COLUMN()),"")</f>
        <v>腰坠</v>
      </c>
      <c r="B543" t="str">
        <f>IFERROR(INDEX(装备库!$A$2:$Y$1047,MATCH(ROW()-1,装备库!$AO$2:$AO$1046,0),COLUMN()),"")</f>
        <v>无封腰坠</v>
      </c>
      <c r="C543">
        <f>IFERROR(INDEX(装备库!$A$2:$Y$1047,MATCH(ROW()-1,装备库!$AO$2:$AO$1046,0),COLUMN()),"")</f>
        <v>9100</v>
      </c>
      <c r="D543" t="str">
        <f>IFERROR(INDEX(装备库!$A$2:$Y$1047,MATCH(ROW()-1,装备库!$AO$2:$AO$1046,0),COLUMN()),"")</f>
        <v>无封腰坠(9100精简攻会会无)</v>
      </c>
      <c r="E543">
        <f>IFERROR(INDEX(装备库!$A$2:$Y$1047,MATCH(ROW()-1,装备库!$AO$2:$AO$1046,0),COLUMN()),"")</f>
        <v>0</v>
      </c>
      <c r="F543">
        <f>IFERROR(INDEX(装备库!$A$2:$Y$1047,MATCH(ROW()-1,装备库!$AO$2:$AO$1046,0),COLUMN()),"")</f>
        <v>1150</v>
      </c>
      <c r="G543">
        <f>IFERROR(INDEX(装备库!$A$2:$Y$1047,MATCH(ROW()-1,装备库!$AO$2:$AO$1046,0),COLUMN()),"")</f>
        <v>1683</v>
      </c>
      <c r="H543">
        <f>IFERROR(INDEX(装备库!$A$2:$Y$1047,MATCH(ROW()-1,装备库!$AO$2:$AO$1046,0),COLUMN()),"")</f>
        <v>886</v>
      </c>
      <c r="I543">
        <f>IFERROR(INDEX(装备库!$A$2:$Y$1047,MATCH(ROW()-1,装备库!$AO$2:$AO$1046,0),COLUMN()),"")</f>
        <v>0</v>
      </c>
      <c r="J543">
        <f>IFERROR(INDEX(装备库!$A$2:$Y$1047,MATCH(ROW()-1,装备库!$AO$2:$AO$1046,0),COLUMN()),"")</f>
        <v>0</v>
      </c>
      <c r="K543">
        <f>IFERROR(INDEX(装备库!$A$2:$Y$1047,MATCH(ROW()-1,装备库!$AO$2:$AO$1046,0),COLUMN()),"")</f>
        <v>886</v>
      </c>
      <c r="L543">
        <f>IFERROR(INDEX(装备库!$A$2:$Y$1047,MATCH(ROW()-1,装备库!$AO$2:$AO$1046,0),COLUMN()),"")</f>
        <v>0</v>
      </c>
      <c r="M543">
        <f>IFERROR(INDEX(装备库!$A$2:$Y$1047,MATCH(ROW()-1,装备库!$AO$2:$AO$1046,0),COLUMN()),"")</f>
        <v>0</v>
      </c>
      <c r="N543">
        <f>IFERROR(INDEX(装备库!$A$2:$Y$1047,MATCH(ROW()-1,装备库!$AO$2:$AO$1046,0),COLUMN()),"")</f>
        <v>0</v>
      </c>
      <c r="O543">
        <f>IFERROR(INDEX(装备库!$A$2:$Y$1047,MATCH(ROW()-1,装备库!$AO$2:$AO$1046,0),COLUMN()),"")</f>
        <v>0</v>
      </c>
      <c r="P543">
        <f>IFERROR(INDEX(装备库!$A$2:$Y$1047,MATCH(ROW()-1,装备库!$AO$2:$AO$1046,0),COLUMN()),"")</f>
        <v>0</v>
      </c>
      <c r="Q543">
        <f>IFERROR(INDEX(装备库!$A$2:$Y$1047,MATCH(ROW()-1,装备库!$AO$2:$AO$1046,0),COLUMN()),"")</f>
        <v>0</v>
      </c>
      <c r="R543">
        <f>IFERROR(INDEX(装备库!$A$2:$Y$1047,MATCH(ROW()-1,装备库!$AO$2:$AO$1046,0),COLUMN()),"")</f>
        <v>0</v>
      </c>
      <c r="S543">
        <f>IFERROR(INDEX(装备库!$A$2:$Y$1047,MATCH(ROW()-1,装备库!$AO$2:$AO$1046,0),COLUMN()),"")</f>
        <v>1</v>
      </c>
      <c r="T543">
        <f>IFERROR(INDEX(装备库!$A$2:$Y$1047,MATCH(ROW()-1,装备库!$AO$2:$AO$1046,0),COLUMN()),"")</f>
        <v>0</v>
      </c>
      <c r="U543">
        <f>IFERROR(INDEX(装备库!$A$2:$Y$1047,MATCH(ROW()-1,装备库!$AO$2:$AO$1046,0),COLUMN()),"")</f>
        <v>0</v>
      </c>
      <c r="V543">
        <f>IFERROR(INDEX(装备库!$A$2:$Y$1047,MATCH(ROW()-1,装备库!$AO$2:$AO$1046,0),COLUMN()),"")</f>
        <v>0</v>
      </c>
      <c r="W543" t="str">
        <f>IFERROR(INDEX(装备库!$A$2:$Y$1047,MATCH(ROW()-1,装备库!$AO$2:$AO$1046,0),COLUMN()),"")</f>
        <v>精简攻会会无</v>
      </c>
      <c r="X543">
        <f>IFERROR(INDEX(装备库!$A$2:$Y$1047,MATCH(ROW()-1,装备库!$AO$2:$AO$1046,0),COLUMN()),"")</f>
        <v>3</v>
      </c>
      <c r="Y543" t="str">
        <f>IFERROR(INDEX(装备库!$A$2:$Y$1047,MATCH(ROW()-1,装备库!$AO$2:$AO$1046,0),COLUMN()),"")</f>
        <v>活动</v>
      </c>
    </row>
    <row r="544" spans="1:25" x14ac:dyDescent="0.35">
      <c r="A544" t="str">
        <f>IFERROR(INDEX(装备库!$A$2:$Y$1047,MATCH(ROW()-1,装备库!$AO$2:$AO$1046,0),COLUMN()),"")</f>
        <v>腰坠</v>
      </c>
      <c r="B544" t="str">
        <f>IFERROR(INDEX(装备库!$A$2:$Y$1047,MATCH(ROW()-1,装备库!$AO$2:$AO$1046,0),COLUMN()),"")</f>
        <v>无封腰坠</v>
      </c>
      <c r="C544">
        <f>IFERROR(INDEX(装备库!$A$2:$Y$1047,MATCH(ROW()-1,装备库!$AO$2:$AO$1046,0),COLUMN()),"")</f>
        <v>9400</v>
      </c>
      <c r="D544" t="str">
        <f>IFERROR(INDEX(装备库!$A$2:$Y$1047,MATCH(ROW()-1,装备库!$AO$2:$AO$1046,0),COLUMN()),"")</f>
        <v>无封腰坠(9400精简攻会破)</v>
      </c>
      <c r="E544">
        <f>IFERROR(INDEX(装备库!$A$2:$Y$1047,MATCH(ROW()-1,装备库!$AO$2:$AO$1046,0),COLUMN()),"")</f>
        <v>0</v>
      </c>
      <c r="F544">
        <f>IFERROR(INDEX(装备库!$A$2:$Y$1047,MATCH(ROW()-1,装备库!$AO$2:$AO$1046,0),COLUMN()),"")</f>
        <v>1188</v>
      </c>
      <c r="G544">
        <f>IFERROR(INDEX(装备库!$A$2:$Y$1047,MATCH(ROW()-1,装备库!$AO$2:$AO$1046,0),COLUMN()),"")</f>
        <v>1830</v>
      </c>
      <c r="H544">
        <f>IFERROR(INDEX(装备库!$A$2:$Y$1047,MATCH(ROW()-1,装备库!$AO$2:$AO$1046,0),COLUMN()),"")</f>
        <v>0</v>
      </c>
      <c r="I544">
        <f>IFERROR(INDEX(装备库!$A$2:$Y$1047,MATCH(ROW()-1,装备库!$AO$2:$AO$1046,0),COLUMN()),"")</f>
        <v>1830</v>
      </c>
      <c r="J544">
        <f>IFERROR(INDEX(装备库!$A$2:$Y$1047,MATCH(ROW()-1,装备库!$AO$2:$AO$1046,0),COLUMN()),"")</f>
        <v>0</v>
      </c>
      <c r="K544">
        <f>IFERROR(INDEX(装备库!$A$2:$Y$1047,MATCH(ROW()-1,装备库!$AO$2:$AO$1046,0),COLUMN()),"")</f>
        <v>0</v>
      </c>
      <c r="L544">
        <f>IFERROR(INDEX(装备库!$A$2:$Y$1047,MATCH(ROW()-1,装备库!$AO$2:$AO$1046,0),COLUMN()),"")</f>
        <v>0</v>
      </c>
      <c r="M544">
        <f>IFERROR(INDEX(装备库!$A$2:$Y$1047,MATCH(ROW()-1,装备库!$AO$2:$AO$1046,0),COLUMN()),"")</f>
        <v>0</v>
      </c>
      <c r="N544">
        <f>IFERROR(INDEX(装备库!$A$2:$Y$1047,MATCH(ROW()-1,装备库!$AO$2:$AO$1046,0),COLUMN()),"")</f>
        <v>0</v>
      </c>
      <c r="O544">
        <f>IFERROR(INDEX(装备库!$A$2:$Y$1047,MATCH(ROW()-1,装备库!$AO$2:$AO$1046,0),COLUMN()),"")</f>
        <v>0</v>
      </c>
      <c r="P544">
        <f>IFERROR(INDEX(装备库!$A$2:$Y$1047,MATCH(ROW()-1,装备库!$AO$2:$AO$1046,0),COLUMN()),"")</f>
        <v>0</v>
      </c>
      <c r="Q544">
        <f>IFERROR(INDEX(装备库!$A$2:$Y$1047,MATCH(ROW()-1,装备库!$AO$2:$AO$1046,0),COLUMN()),"")</f>
        <v>0</v>
      </c>
      <c r="R544">
        <f>IFERROR(INDEX(装备库!$A$2:$Y$1047,MATCH(ROW()-1,装备库!$AO$2:$AO$1046,0),COLUMN()),"")</f>
        <v>0</v>
      </c>
      <c r="S544">
        <f>IFERROR(INDEX(装备库!$A$2:$Y$1047,MATCH(ROW()-1,装备库!$AO$2:$AO$1046,0),COLUMN()),"")</f>
        <v>0</v>
      </c>
      <c r="T544">
        <f>IFERROR(INDEX(装备库!$A$2:$Y$1047,MATCH(ROW()-1,装备库!$AO$2:$AO$1046,0),COLUMN()),"")</f>
        <v>1</v>
      </c>
      <c r="U544">
        <f>IFERROR(INDEX(装备库!$A$2:$Y$1047,MATCH(ROW()-1,装备库!$AO$2:$AO$1046,0),COLUMN()),"")</f>
        <v>0</v>
      </c>
      <c r="V544">
        <f>IFERROR(INDEX(装备库!$A$2:$Y$1047,MATCH(ROW()-1,装备库!$AO$2:$AO$1046,0),COLUMN()),"")</f>
        <v>0</v>
      </c>
      <c r="W544" t="str">
        <f>IFERROR(INDEX(装备库!$A$2:$Y$1047,MATCH(ROW()-1,装备库!$AO$2:$AO$1046,0),COLUMN()),"")</f>
        <v>精简攻会破</v>
      </c>
      <c r="X544">
        <f>IFERROR(INDEX(装备库!$A$2:$Y$1047,MATCH(ROW()-1,装备库!$AO$2:$AO$1046,0),COLUMN()),"")</f>
        <v>3</v>
      </c>
      <c r="Y544" t="str">
        <f>IFERROR(INDEX(装备库!$A$2:$Y$1047,MATCH(ROW()-1,装备库!$AO$2:$AO$1046,0),COLUMN()),"")</f>
        <v>活动</v>
      </c>
    </row>
    <row r="545" spans="1:25" x14ac:dyDescent="0.35">
      <c r="A545" t="str">
        <f>IFERROR(INDEX(装备库!$A$2:$Y$1047,MATCH(ROW()-1,装备库!$AO$2:$AO$1046,0),COLUMN()),"")</f>
        <v>腰坠</v>
      </c>
      <c r="B545" t="str">
        <f>IFERROR(INDEX(装备库!$A$2:$Y$1047,MATCH(ROW()-1,装备库!$AO$2:$AO$1046,0),COLUMN()),"")</f>
        <v>无封腰坠</v>
      </c>
      <c r="C545">
        <f>IFERROR(INDEX(装备库!$A$2:$Y$1047,MATCH(ROW()-1,装备库!$AO$2:$AO$1046,0),COLUMN()),"")</f>
        <v>9400</v>
      </c>
      <c r="D545" t="str">
        <f>IFERROR(INDEX(装备库!$A$2:$Y$1047,MATCH(ROW()-1,装备库!$AO$2:$AO$1046,0),COLUMN()),"")</f>
        <v>无封腰坠(9400精简攻会会破)</v>
      </c>
      <c r="E545">
        <f>IFERROR(INDEX(装备库!$A$2:$Y$1047,MATCH(ROW()-1,装备库!$AO$2:$AO$1046,0),COLUMN()),"")</f>
        <v>0</v>
      </c>
      <c r="F545">
        <f>IFERROR(INDEX(装备库!$A$2:$Y$1047,MATCH(ROW()-1,装备库!$AO$2:$AO$1046,0),COLUMN()),"")</f>
        <v>1188</v>
      </c>
      <c r="G545">
        <f>IFERROR(INDEX(装备库!$A$2:$Y$1047,MATCH(ROW()-1,装备库!$AO$2:$AO$1046,0),COLUMN()),"")</f>
        <v>1372</v>
      </c>
      <c r="H545">
        <f>IFERROR(INDEX(装备库!$A$2:$Y$1047,MATCH(ROW()-1,装备库!$AO$2:$AO$1046,0),COLUMN()),"")</f>
        <v>915</v>
      </c>
      <c r="I545">
        <f>IFERROR(INDEX(装备库!$A$2:$Y$1047,MATCH(ROW()-1,装备库!$AO$2:$AO$1046,0),COLUMN()),"")</f>
        <v>1281</v>
      </c>
      <c r="J545">
        <f>IFERROR(INDEX(装备库!$A$2:$Y$1047,MATCH(ROW()-1,装备库!$AO$2:$AO$1046,0),COLUMN()),"")</f>
        <v>0</v>
      </c>
      <c r="K545">
        <f>IFERROR(INDEX(装备库!$A$2:$Y$1047,MATCH(ROW()-1,装备库!$AO$2:$AO$1046,0),COLUMN()),"")</f>
        <v>0</v>
      </c>
      <c r="L545">
        <f>IFERROR(INDEX(装备库!$A$2:$Y$1047,MATCH(ROW()-1,装备库!$AO$2:$AO$1046,0),COLUMN()),"")</f>
        <v>0</v>
      </c>
      <c r="M545">
        <f>IFERROR(INDEX(装备库!$A$2:$Y$1047,MATCH(ROW()-1,装备库!$AO$2:$AO$1046,0),COLUMN()),"")</f>
        <v>0</v>
      </c>
      <c r="N545">
        <f>IFERROR(INDEX(装备库!$A$2:$Y$1047,MATCH(ROW()-1,装备库!$AO$2:$AO$1046,0),COLUMN()),"")</f>
        <v>0</v>
      </c>
      <c r="O545">
        <f>IFERROR(INDEX(装备库!$A$2:$Y$1047,MATCH(ROW()-1,装备库!$AO$2:$AO$1046,0),COLUMN()),"")</f>
        <v>0</v>
      </c>
      <c r="P545">
        <f>IFERROR(INDEX(装备库!$A$2:$Y$1047,MATCH(ROW()-1,装备库!$AO$2:$AO$1046,0),COLUMN()),"")</f>
        <v>0</v>
      </c>
      <c r="Q545">
        <f>IFERROR(INDEX(装备库!$A$2:$Y$1047,MATCH(ROW()-1,装备库!$AO$2:$AO$1046,0),COLUMN()),"")</f>
        <v>0</v>
      </c>
      <c r="R545">
        <f>IFERROR(INDEX(装备库!$A$2:$Y$1047,MATCH(ROW()-1,装备库!$AO$2:$AO$1046,0),COLUMN()),"")</f>
        <v>0</v>
      </c>
      <c r="S545">
        <f>IFERROR(INDEX(装备库!$A$2:$Y$1047,MATCH(ROW()-1,装备库!$AO$2:$AO$1046,0),COLUMN()),"")</f>
        <v>0</v>
      </c>
      <c r="T545">
        <f>IFERROR(INDEX(装备库!$A$2:$Y$1047,MATCH(ROW()-1,装备库!$AO$2:$AO$1046,0),COLUMN()),"")</f>
        <v>1</v>
      </c>
      <c r="U545">
        <f>IFERROR(INDEX(装备库!$A$2:$Y$1047,MATCH(ROW()-1,装备库!$AO$2:$AO$1046,0),COLUMN()),"")</f>
        <v>0</v>
      </c>
      <c r="V545">
        <f>IFERROR(INDEX(装备库!$A$2:$Y$1047,MATCH(ROW()-1,装备库!$AO$2:$AO$1046,0),COLUMN()),"")</f>
        <v>0</v>
      </c>
      <c r="W545" t="str">
        <f>IFERROR(INDEX(装备库!$A$2:$Y$1047,MATCH(ROW()-1,装备库!$AO$2:$AO$1046,0),COLUMN()),"")</f>
        <v>精简攻会会破</v>
      </c>
      <c r="X545">
        <f>IFERROR(INDEX(装备库!$A$2:$Y$1047,MATCH(ROW()-1,装备库!$AO$2:$AO$1046,0),COLUMN()),"")</f>
        <v>3</v>
      </c>
      <c r="Y545" t="str">
        <f>IFERROR(INDEX(装备库!$A$2:$Y$1047,MATCH(ROW()-1,装备库!$AO$2:$AO$1046,0),COLUMN()),"")</f>
        <v>活动</v>
      </c>
    </row>
    <row r="546" spans="1:25" x14ac:dyDescent="0.35">
      <c r="A546" t="str">
        <f>IFERROR(INDEX(装备库!$A$2:$Y$1047,MATCH(ROW()-1,装备库!$AO$2:$AO$1046,0),COLUMN()),"")</f>
        <v>腰坠</v>
      </c>
      <c r="B546" t="str">
        <f>IFERROR(INDEX(装备库!$A$2:$Y$1047,MATCH(ROW()-1,装备库!$AO$2:$AO$1046,0),COLUMN()),"")</f>
        <v>无封腰坠</v>
      </c>
      <c r="C546">
        <f>IFERROR(INDEX(装备库!$A$2:$Y$1047,MATCH(ROW()-1,装备库!$AO$2:$AO$1046,0),COLUMN()),"")</f>
        <v>9400</v>
      </c>
      <c r="D546" t="str">
        <f>IFERROR(INDEX(装备库!$A$2:$Y$1047,MATCH(ROW()-1,装备库!$AO$2:$AO$1046,0),COLUMN()),"")</f>
        <v>无封腰坠(9400精简攻会)</v>
      </c>
      <c r="E546">
        <f>IFERROR(INDEX(装备库!$A$2:$Y$1047,MATCH(ROW()-1,装备库!$AO$2:$AO$1046,0),COLUMN()),"")</f>
        <v>0</v>
      </c>
      <c r="F546">
        <f>IFERROR(INDEX(装备库!$A$2:$Y$1047,MATCH(ROW()-1,装备库!$AO$2:$AO$1046,0),COLUMN()),"")</f>
        <v>1392</v>
      </c>
      <c r="G546">
        <f>IFERROR(INDEX(装备库!$A$2:$Y$1047,MATCH(ROW()-1,装备库!$AO$2:$AO$1046,0),COLUMN()),"")</f>
        <v>3156</v>
      </c>
      <c r="H546">
        <f>IFERROR(INDEX(装备库!$A$2:$Y$1047,MATCH(ROW()-1,装备库!$AO$2:$AO$1046,0),COLUMN()),"")</f>
        <v>0</v>
      </c>
      <c r="I546">
        <f>IFERROR(INDEX(装备库!$A$2:$Y$1047,MATCH(ROW()-1,装备库!$AO$2:$AO$1046,0),COLUMN()),"")</f>
        <v>0</v>
      </c>
      <c r="J546">
        <f>IFERROR(INDEX(装备库!$A$2:$Y$1047,MATCH(ROW()-1,装备库!$AO$2:$AO$1046,0),COLUMN()),"")</f>
        <v>0</v>
      </c>
      <c r="K546">
        <f>IFERROR(INDEX(装备库!$A$2:$Y$1047,MATCH(ROW()-1,装备库!$AO$2:$AO$1046,0),COLUMN()),"")</f>
        <v>0</v>
      </c>
      <c r="L546">
        <f>IFERROR(INDEX(装备库!$A$2:$Y$1047,MATCH(ROW()-1,装备库!$AO$2:$AO$1046,0),COLUMN()),"")</f>
        <v>0</v>
      </c>
      <c r="M546">
        <f>IFERROR(INDEX(装备库!$A$2:$Y$1047,MATCH(ROW()-1,装备库!$AO$2:$AO$1046,0),COLUMN()),"")</f>
        <v>0</v>
      </c>
      <c r="N546">
        <f>IFERROR(INDEX(装备库!$A$2:$Y$1047,MATCH(ROW()-1,装备库!$AO$2:$AO$1046,0),COLUMN()),"")</f>
        <v>0</v>
      </c>
      <c r="O546">
        <f>IFERROR(INDEX(装备库!$A$2:$Y$1047,MATCH(ROW()-1,装备库!$AO$2:$AO$1046,0),COLUMN()),"")</f>
        <v>0</v>
      </c>
      <c r="P546">
        <f>IFERROR(INDEX(装备库!$A$2:$Y$1047,MATCH(ROW()-1,装备库!$AO$2:$AO$1046,0),COLUMN()),"")</f>
        <v>0</v>
      </c>
      <c r="Q546">
        <f>IFERROR(INDEX(装备库!$A$2:$Y$1047,MATCH(ROW()-1,装备库!$AO$2:$AO$1046,0),COLUMN()),"")</f>
        <v>0</v>
      </c>
      <c r="R546">
        <f>IFERROR(INDEX(装备库!$A$2:$Y$1047,MATCH(ROW()-1,装备库!$AO$2:$AO$1046,0),COLUMN()),"")</f>
        <v>1</v>
      </c>
      <c r="S546">
        <f>IFERROR(INDEX(装备库!$A$2:$Y$1047,MATCH(ROW()-1,装备库!$AO$2:$AO$1046,0),COLUMN()),"")</f>
        <v>0</v>
      </c>
      <c r="T546">
        <f>IFERROR(INDEX(装备库!$A$2:$Y$1047,MATCH(ROW()-1,装备库!$AO$2:$AO$1046,0),COLUMN()),"")</f>
        <v>0</v>
      </c>
      <c r="U546">
        <f>IFERROR(INDEX(装备库!$A$2:$Y$1047,MATCH(ROW()-1,装备库!$AO$2:$AO$1046,0),COLUMN()),"")</f>
        <v>0</v>
      </c>
      <c r="V546">
        <f>IFERROR(INDEX(装备库!$A$2:$Y$1047,MATCH(ROW()-1,装备库!$AO$2:$AO$1046,0),COLUMN()),"")</f>
        <v>0</v>
      </c>
      <c r="W546" t="str">
        <f>IFERROR(INDEX(装备库!$A$2:$Y$1047,MATCH(ROW()-1,装备库!$AO$2:$AO$1046,0),COLUMN()),"")</f>
        <v>精简攻会</v>
      </c>
      <c r="X546">
        <f>IFERROR(INDEX(装备库!$A$2:$Y$1047,MATCH(ROW()-1,装备库!$AO$2:$AO$1046,0),COLUMN()),"")</f>
        <v>3</v>
      </c>
      <c r="Y546" t="str">
        <f>IFERROR(INDEX(装备库!$A$2:$Y$1047,MATCH(ROW()-1,装备库!$AO$2:$AO$1046,0),COLUMN()),"")</f>
        <v>活动</v>
      </c>
    </row>
    <row r="547" spans="1:25" x14ac:dyDescent="0.35">
      <c r="A547" t="str">
        <f>IFERROR(INDEX(装备库!$A$2:$Y$1047,MATCH(ROW()-1,装备库!$AO$2:$AO$1046,0),COLUMN()),"")</f>
        <v>腰坠</v>
      </c>
      <c r="B547" t="str">
        <f>IFERROR(INDEX(装备库!$A$2:$Y$1047,MATCH(ROW()-1,装备库!$AO$2:$AO$1046,0),COLUMN()),"")</f>
        <v>临梧坠</v>
      </c>
      <c r="C547">
        <f>IFERROR(INDEX(装备库!$A$2:$Y$1047,MATCH(ROW()-1,装备库!$AO$2:$AO$1046,0),COLUMN()),"")</f>
        <v>9450</v>
      </c>
      <c r="D547" t="str">
        <f>IFERROR(INDEX(装备库!$A$2:$Y$1047,MATCH(ROW()-1,装备库!$AO$2:$AO$1046,0),COLUMN()),"")</f>
        <v>临梧坠(9450会招)</v>
      </c>
      <c r="E547">
        <f>IFERROR(INDEX(装备库!$A$2:$Y$1047,MATCH(ROW()-1,装备库!$AO$2:$AO$1046,0),COLUMN()),"")</f>
        <v>330</v>
      </c>
      <c r="F547">
        <f>IFERROR(INDEX(装备库!$A$2:$Y$1047,MATCH(ROW()-1,装备库!$AO$2:$AO$1046,0),COLUMN()),"")</f>
        <v>535</v>
      </c>
      <c r="G547">
        <f>IFERROR(INDEX(装备库!$A$2:$Y$1047,MATCH(ROW()-1,装备库!$AO$2:$AO$1046,0),COLUMN()),"")</f>
        <v>1655</v>
      </c>
      <c r="H547">
        <f>IFERROR(INDEX(装备库!$A$2:$Y$1047,MATCH(ROW()-1,装备库!$AO$2:$AO$1046,0),COLUMN()),"")</f>
        <v>0</v>
      </c>
      <c r="I547">
        <f>IFERROR(INDEX(装备库!$A$2:$Y$1047,MATCH(ROW()-1,装备库!$AO$2:$AO$1046,0),COLUMN()),"")</f>
        <v>0</v>
      </c>
      <c r="J547">
        <f>IFERROR(INDEX(装备库!$A$2:$Y$1047,MATCH(ROW()-1,装备库!$AO$2:$AO$1046,0),COLUMN()),"")</f>
        <v>1472</v>
      </c>
      <c r="K547">
        <f>IFERROR(INDEX(装备库!$A$2:$Y$1047,MATCH(ROW()-1,装备库!$AO$2:$AO$1046,0),COLUMN()),"")</f>
        <v>0</v>
      </c>
      <c r="L547">
        <f>IFERROR(INDEX(装备库!$A$2:$Y$1047,MATCH(ROW()-1,装备库!$AO$2:$AO$1046,0),COLUMN()),"")</f>
        <v>0</v>
      </c>
      <c r="M547">
        <f>IFERROR(INDEX(装备库!$A$2:$Y$1047,MATCH(ROW()-1,装备库!$AO$2:$AO$1046,0),COLUMN()),"")</f>
        <v>0</v>
      </c>
      <c r="N547">
        <f>IFERROR(INDEX(装备库!$A$2:$Y$1047,MATCH(ROW()-1,装备库!$AO$2:$AO$1046,0),COLUMN()),"")</f>
        <v>0</v>
      </c>
      <c r="O547">
        <f>IFERROR(INDEX(装备库!$A$2:$Y$1047,MATCH(ROW()-1,装备库!$AO$2:$AO$1046,0),COLUMN()),"")</f>
        <v>1</v>
      </c>
      <c r="P547">
        <f>IFERROR(INDEX(装备库!$A$2:$Y$1047,MATCH(ROW()-1,装备库!$AO$2:$AO$1046,0),COLUMN()),"")</f>
        <v>0</v>
      </c>
      <c r="Q547">
        <f>IFERROR(INDEX(装备库!$A$2:$Y$1047,MATCH(ROW()-1,装备库!$AO$2:$AO$1046,0),COLUMN()),"")</f>
        <v>0</v>
      </c>
      <c r="R547">
        <f>IFERROR(INDEX(装备库!$A$2:$Y$1047,MATCH(ROW()-1,装备库!$AO$2:$AO$1046,0),COLUMN()),"")</f>
        <v>0</v>
      </c>
      <c r="S547">
        <f>IFERROR(INDEX(装备库!$A$2:$Y$1047,MATCH(ROW()-1,装备库!$AO$2:$AO$1046,0),COLUMN()),"")</f>
        <v>0</v>
      </c>
      <c r="T547">
        <f>IFERROR(INDEX(装备库!$A$2:$Y$1047,MATCH(ROW()-1,装备库!$AO$2:$AO$1046,0),COLUMN()),"")</f>
        <v>0</v>
      </c>
      <c r="U547">
        <f>IFERROR(INDEX(装备库!$A$2:$Y$1047,MATCH(ROW()-1,装备库!$AO$2:$AO$1046,0),COLUMN()),"")</f>
        <v>0</v>
      </c>
      <c r="V547">
        <f>IFERROR(INDEX(装备库!$A$2:$Y$1047,MATCH(ROW()-1,装备库!$AO$2:$AO$1046,0),COLUMN()),"")</f>
        <v>0</v>
      </c>
      <c r="W547" t="str">
        <f>IFERROR(INDEX(装备库!$A$2:$Y$1047,MATCH(ROW()-1,装备库!$AO$2:$AO$1046,0),COLUMN()),"")</f>
        <v>会招</v>
      </c>
      <c r="X547">
        <f>IFERROR(INDEX(装备库!$A$2:$Y$1047,MATCH(ROW()-1,装备库!$AO$2:$AO$1046,0),COLUMN()),"")</f>
        <v>6</v>
      </c>
      <c r="Y547" t="str">
        <f>IFERROR(INDEX(装备库!$A$2:$Y$1047,MATCH(ROW()-1,装备库!$AO$2:$AO$1046,0),COLUMN()),"")</f>
        <v>声望</v>
      </c>
    </row>
    <row r="548" spans="1:25" x14ac:dyDescent="0.35">
      <c r="A548" t="str">
        <f>IFERROR(INDEX(装备库!$A$2:$Y$1047,MATCH(ROW()-1,装备库!$AO$2:$AO$1046,0),COLUMN()),"")</f>
        <v>腰坠</v>
      </c>
      <c r="B548" t="str">
        <f>IFERROR(INDEX(装备库!$A$2:$Y$1047,MATCH(ROW()-1,装备库!$AO$2:$AO$1046,0),COLUMN()),"")</f>
        <v>元雾坠</v>
      </c>
      <c r="C548">
        <f>IFERROR(INDEX(装备库!$A$2:$Y$1047,MATCH(ROW()-1,装备库!$AO$2:$AO$1046,0),COLUMN()),"")</f>
        <v>9500</v>
      </c>
      <c r="D548" t="str">
        <f>IFERROR(INDEX(装备库!$A$2:$Y$1047,MATCH(ROW()-1,装备库!$AO$2:$AO$1046,0),COLUMN()),"")</f>
        <v>元雾坠(9500会无)</v>
      </c>
      <c r="E548">
        <f>IFERROR(INDEX(装备库!$A$2:$Y$1047,MATCH(ROW()-1,装备库!$AO$2:$AO$1046,0),COLUMN()),"")</f>
        <v>332</v>
      </c>
      <c r="F548">
        <f>IFERROR(INDEX(装备库!$A$2:$Y$1047,MATCH(ROW()-1,装备库!$AO$2:$AO$1046,0),COLUMN()),"")</f>
        <v>538</v>
      </c>
      <c r="G548">
        <f>IFERROR(INDEX(装备库!$A$2:$Y$1047,MATCH(ROW()-1,装备库!$AO$2:$AO$1046,0),COLUMN()),"")</f>
        <v>1664</v>
      </c>
      <c r="H548">
        <f>IFERROR(INDEX(装备库!$A$2:$Y$1047,MATCH(ROW()-1,装备库!$AO$2:$AO$1046,0),COLUMN()),"")</f>
        <v>0</v>
      </c>
      <c r="I548">
        <f>IFERROR(INDEX(装备库!$A$2:$Y$1047,MATCH(ROW()-1,装备库!$AO$2:$AO$1046,0),COLUMN()),"")</f>
        <v>0</v>
      </c>
      <c r="J548">
        <f>IFERROR(INDEX(装备库!$A$2:$Y$1047,MATCH(ROW()-1,装备库!$AO$2:$AO$1046,0),COLUMN()),"")</f>
        <v>0</v>
      </c>
      <c r="K548">
        <f>IFERROR(INDEX(装备库!$A$2:$Y$1047,MATCH(ROW()-1,装备库!$AO$2:$AO$1046,0),COLUMN()),"")</f>
        <v>1479</v>
      </c>
      <c r="L548">
        <f>IFERROR(INDEX(装备库!$A$2:$Y$1047,MATCH(ROW()-1,装备库!$AO$2:$AO$1046,0),COLUMN()),"")</f>
        <v>0</v>
      </c>
      <c r="M548">
        <f>IFERROR(INDEX(装备库!$A$2:$Y$1047,MATCH(ROW()-1,装备库!$AO$2:$AO$1046,0),COLUMN()),"")</f>
        <v>0</v>
      </c>
      <c r="N548">
        <f>IFERROR(INDEX(装备库!$A$2:$Y$1047,MATCH(ROW()-1,装备库!$AO$2:$AO$1046,0),COLUMN()),"")</f>
        <v>0</v>
      </c>
      <c r="O548">
        <f>IFERROR(INDEX(装备库!$A$2:$Y$1047,MATCH(ROW()-1,装备库!$AO$2:$AO$1046,0),COLUMN()),"")</f>
        <v>0</v>
      </c>
      <c r="P548">
        <f>IFERROR(INDEX(装备库!$A$2:$Y$1047,MATCH(ROW()-1,装备库!$AO$2:$AO$1046,0),COLUMN()),"")</f>
        <v>0</v>
      </c>
      <c r="Q548">
        <f>IFERROR(INDEX(装备库!$A$2:$Y$1047,MATCH(ROW()-1,装备库!$AO$2:$AO$1046,0),COLUMN()),"")</f>
        <v>0</v>
      </c>
      <c r="R548">
        <f>IFERROR(INDEX(装备库!$A$2:$Y$1047,MATCH(ROW()-1,装备库!$AO$2:$AO$1046,0),COLUMN()),"")</f>
        <v>0</v>
      </c>
      <c r="S548">
        <f>IFERROR(INDEX(装备库!$A$2:$Y$1047,MATCH(ROW()-1,装备库!$AO$2:$AO$1046,0),COLUMN()),"")</f>
        <v>0</v>
      </c>
      <c r="T548">
        <f>IFERROR(INDEX(装备库!$A$2:$Y$1047,MATCH(ROW()-1,装备库!$AO$2:$AO$1046,0),COLUMN()),"")</f>
        <v>0</v>
      </c>
      <c r="U548">
        <f>IFERROR(INDEX(装备库!$A$2:$Y$1047,MATCH(ROW()-1,装备库!$AO$2:$AO$1046,0),COLUMN()),"")</f>
        <v>1</v>
      </c>
      <c r="V548">
        <f>IFERROR(INDEX(装备库!$A$2:$Y$1047,MATCH(ROW()-1,装备库!$AO$2:$AO$1046,0),COLUMN()),"")</f>
        <v>0</v>
      </c>
      <c r="W548" t="str">
        <f>IFERROR(INDEX(装备库!$A$2:$Y$1047,MATCH(ROW()-1,装备库!$AO$2:$AO$1046,0),COLUMN()),"")</f>
        <v>会无</v>
      </c>
      <c r="X548">
        <f>IFERROR(INDEX(装备库!$A$2:$Y$1047,MATCH(ROW()-1,装备库!$AO$2:$AO$1046,0),COLUMN()),"")</f>
        <v>6</v>
      </c>
      <c r="Y548" t="str">
        <f>IFERROR(INDEX(装备库!$A$2:$Y$1047,MATCH(ROW()-1,装备库!$AO$2:$AO$1046,0),COLUMN()),"")</f>
        <v>声望</v>
      </c>
    </row>
    <row r="549" spans="1:25" x14ac:dyDescent="0.35">
      <c r="A549" t="str">
        <f>IFERROR(INDEX(装备库!$A$2:$Y$1047,MATCH(ROW()-1,装备库!$AO$2:$AO$1046,0),COLUMN()),"")</f>
        <v>腰坠</v>
      </c>
      <c r="B549" t="str">
        <f>IFERROR(INDEX(装备库!$A$2:$Y$1047,MATCH(ROW()-1,装备库!$AO$2:$AO$1046,0),COLUMN()),"")</f>
        <v>无封腰坠</v>
      </c>
      <c r="C549">
        <f>IFERROR(INDEX(装备库!$A$2:$Y$1047,MATCH(ROW()-1,装备库!$AO$2:$AO$1046,0),COLUMN()),"")</f>
        <v>9700</v>
      </c>
      <c r="D549" t="str">
        <f>IFERROR(INDEX(装备库!$A$2:$Y$1047,MATCH(ROW()-1,装备库!$AO$2:$AO$1046,0),COLUMN()),"")</f>
        <v>无封腰坠(9700精简攻破)</v>
      </c>
      <c r="E549">
        <f>IFERROR(INDEX(装备库!$A$2:$Y$1047,MATCH(ROW()-1,装备库!$AO$2:$AO$1046,0),COLUMN()),"")</f>
        <v>0</v>
      </c>
      <c r="F549">
        <f>IFERROR(INDEX(装备库!$A$2:$Y$1047,MATCH(ROW()-1,装备库!$AO$2:$AO$1046,0),COLUMN()),"")</f>
        <v>1437</v>
      </c>
      <c r="G549">
        <f>IFERROR(INDEX(装备库!$A$2:$Y$1047,MATCH(ROW()-1,装备库!$AO$2:$AO$1046,0),COLUMN()),"")</f>
        <v>0</v>
      </c>
      <c r="H549">
        <f>IFERROR(INDEX(装备库!$A$2:$Y$1047,MATCH(ROW()-1,装备库!$AO$2:$AO$1046,0),COLUMN()),"")</f>
        <v>0</v>
      </c>
      <c r="I549">
        <f>IFERROR(INDEX(装备库!$A$2:$Y$1047,MATCH(ROW()-1,装备库!$AO$2:$AO$1046,0),COLUMN()),"")</f>
        <v>3257</v>
      </c>
      <c r="J549">
        <f>IFERROR(INDEX(装备库!$A$2:$Y$1047,MATCH(ROW()-1,装备库!$AO$2:$AO$1046,0),COLUMN()),"")</f>
        <v>0</v>
      </c>
      <c r="K549">
        <f>IFERROR(INDEX(装备库!$A$2:$Y$1047,MATCH(ROW()-1,装备库!$AO$2:$AO$1046,0),COLUMN()),"")</f>
        <v>0</v>
      </c>
      <c r="L549">
        <f>IFERROR(INDEX(装备库!$A$2:$Y$1047,MATCH(ROW()-1,装备库!$AO$2:$AO$1046,0),COLUMN()),"")</f>
        <v>0</v>
      </c>
      <c r="M549">
        <f>IFERROR(INDEX(装备库!$A$2:$Y$1047,MATCH(ROW()-1,装备库!$AO$2:$AO$1046,0),COLUMN()),"")</f>
        <v>0</v>
      </c>
      <c r="N549">
        <f>IFERROR(INDEX(装备库!$A$2:$Y$1047,MATCH(ROW()-1,装备库!$AO$2:$AO$1046,0),COLUMN()),"")</f>
        <v>0</v>
      </c>
      <c r="O549">
        <f>IFERROR(INDEX(装备库!$A$2:$Y$1047,MATCH(ROW()-1,装备库!$AO$2:$AO$1046,0),COLUMN()),"")</f>
        <v>0</v>
      </c>
      <c r="P549">
        <f>IFERROR(INDEX(装备库!$A$2:$Y$1047,MATCH(ROW()-1,装备库!$AO$2:$AO$1046,0),COLUMN()),"")</f>
        <v>0</v>
      </c>
      <c r="Q549">
        <f>IFERROR(INDEX(装备库!$A$2:$Y$1047,MATCH(ROW()-1,装备库!$AO$2:$AO$1046,0),COLUMN()),"")</f>
        <v>0</v>
      </c>
      <c r="R549">
        <f>IFERROR(INDEX(装备库!$A$2:$Y$1047,MATCH(ROW()-1,装备库!$AO$2:$AO$1046,0),COLUMN()),"")</f>
        <v>0</v>
      </c>
      <c r="S549">
        <f>IFERROR(INDEX(装备库!$A$2:$Y$1047,MATCH(ROW()-1,装备库!$AO$2:$AO$1046,0),COLUMN()),"")</f>
        <v>0</v>
      </c>
      <c r="T549">
        <f>IFERROR(INDEX(装备库!$A$2:$Y$1047,MATCH(ROW()-1,装备库!$AO$2:$AO$1046,0),COLUMN()),"")</f>
        <v>1</v>
      </c>
      <c r="U549">
        <f>IFERROR(INDEX(装备库!$A$2:$Y$1047,MATCH(ROW()-1,装备库!$AO$2:$AO$1046,0),COLUMN()),"")</f>
        <v>0</v>
      </c>
      <c r="V549">
        <f>IFERROR(INDEX(装备库!$A$2:$Y$1047,MATCH(ROW()-1,装备库!$AO$2:$AO$1046,0),COLUMN()),"")</f>
        <v>0</v>
      </c>
      <c r="W549" t="str">
        <f>IFERROR(INDEX(装备库!$A$2:$Y$1047,MATCH(ROW()-1,装备库!$AO$2:$AO$1046,0),COLUMN()),"")</f>
        <v>精简攻破</v>
      </c>
      <c r="X549">
        <f>IFERROR(INDEX(装备库!$A$2:$Y$1047,MATCH(ROW()-1,装备库!$AO$2:$AO$1046,0),COLUMN()),"")</f>
        <v>3</v>
      </c>
      <c r="Y549" t="str">
        <f>IFERROR(INDEX(装备库!$A$2:$Y$1047,MATCH(ROW()-1,装备库!$AO$2:$AO$1046,0),COLUMN()),"")</f>
        <v>活动</v>
      </c>
    </row>
    <row r="550" spans="1:25" x14ac:dyDescent="0.35">
      <c r="A550" t="str">
        <f>IFERROR(INDEX(装备库!$A$2:$Y$1047,MATCH(ROW()-1,装备库!$AO$2:$AO$1046,0),COLUMN()),"")</f>
        <v>腰坠</v>
      </c>
      <c r="B550" t="str">
        <f>IFERROR(INDEX(装备库!$A$2:$Y$1047,MATCH(ROW()-1,装备库!$AO$2:$AO$1046,0),COLUMN()),"")</f>
        <v>无封腰坠</v>
      </c>
      <c r="C550">
        <f>IFERROR(INDEX(装备库!$A$2:$Y$1047,MATCH(ROW()-1,装备库!$AO$2:$AO$1046,0),COLUMN()),"")</f>
        <v>9700</v>
      </c>
      <c r="D550" t="str">
        <f>IFERROR(INDEX(装备库!$A$2:$Y$1047,MATCH(ROW()-1,装备库!$AO$2:$AO$1046,0),COLUMN()),"")</f>
        <v>无封腰坠(9700精简攻会无)</v>
      </c>
      <c r="E550">
        <f>IFERROR(INDEX(装备库!$A$2:$Y$1047,MATCH(ROW()-1,装备库!$AO$2:$AO$1046,0),COLUMN()),"")</f>
        <v>0</v>
      </c>
      <c r="F550">
        <f>IFERROR(INDEX(装备库!$A$2:$Y$1047,MATCH(ROW()-1,装备库!$AO$2:$AO$1046,0),COLUMN()),"")</f>
        <v>1226</v>
      </c>
      <c r="G550">
        <f>IFERROR(INDEX(装备库!$A$2:$Y$1047,MATCH(ROW()-1,装备库!$AO$2:$AO$1046,0),COLUMN()),"")</f>
        <v>1888</v>
      </c>
      <c r="H550">
        <f>IFERROR(INDEX(装备库!$A$2:$Y$1047,MATCH(ROW()-1,装备库!$AO$2:$AO$1046,0),COLUMN()),"")</f>
        <v>0</v>
      </c>
      <c r="I550">
        <f>IFERROR(INDEX(装备库!$A$2:$Y$1047,MATCH(ROW()-1,装备库!$AO$2:$AO$1046,0),COLUMN()),"")</f>
        <v>0</v>
      </c>
      <c r="J550">
        <f>IFERROR(INDEX(装备库!$A$2:$Y$1047,MATCH(ROW()-1,装备库!$AO$2:$AO$1046,0),COLUMN()),"")</f>
        <v>0</v>
      </c>
      <c r="K550">
        <f>IFERROR(INDEX(装备库!$A$2:$Y$1047,MATCH(ROW()-1,装备库!$AO$2:$AO$1046,0),COLUMN()),"")</f>
        <v>1888</v>
      </c>
      <c r="L550">
        <f>IFERROR(INDEX(装备库!$A$2:$Y$1047,MATCH(ROW()-1,装备库!$AO$2:$AO$1046,0),COLUMN()),"")</f>
        <v>0</v>
      </c>
      <c r="M550">
        <f>IFERROR(INDEX(装备库!$A$2:$Y$1047,MATCH(ROW()-1,装备库!$AO$2:$AO$1046,0),COLUMN()),"")</f>
        <v>0</v>
      </c>
      <c r="N550">
        <f>IFERROR(INDEX(装备库!$A$2:$Y$1047,MATCH(ROW()-1,装备库!$AO$2:$AO$1046,0),COLUMN()),"")</f>
        <v>0</v>
      </c>
      <c r="O550">
        <f>IFERROR(INDEX(装备库!$A$2:$Y$1047,MATCH(ROW()-1,装备库!$AO$2:$AO$1046,0),COLUMN()),"")</f>
        <v>0</v>
      </c>
      <c r="P550">
        <f>IFERROR(INDEX(装备库!$A$2:$Y$1047,MATCH(ROW()-1,装备库!$AO$2:$AO$1046,0),COLUMN()),"")</f>
        <v>0</v>
      </c>
      <c r="Q550">
        <f>IFERROR(INDEX(装备库!$A$2:$Y$1047,MATCH(ROW()-1,装备库!$AO$2:$AO$1046,0),COLUMN()),"")</f>
        <v>0</v>
      </c>
      <c r="R550">
        <f>IFERROR(INDEX(装备库!$A$2:$Y$1047,MATCH(ROW()-1,装备库!$AO$2:$AO$1046,0),COLUMN()),"")</f>
        <v>1</v>
      </c>
      <c r="S550">
        <f>IFERROR(INDEX(装备库!$A$2:$Y$1047,MATCH(ROW()-1,装备库!$AO$2:$AO$1046,0),COLUMN()),"")</f>
        <v>0</v>
      </c>
      <c r="T550">
        <f>IFERROR(INDEX(装备库!$A$2:$Y$1047,MATCH(ROW()-1,装备库!$AO$2:$AO$1046,0),COLUMN()),"")</f>
        <v>0</v>
      </c>
      <c r="U550">
        <f>IFERROR(INDEX(装备库!$A$2:$Y$1047,MATCH(ROW()-1,装备库!$AO$2:$AO$1046,0),COLUMN()),"")</f>
        <v>0</v>
      </c>
      <c r="V550">
        <f>IFERROR(INDEX(装备库!$A$2:$Y$1047,MATCH(ROW()-1,装备库!$AO$2:$AO$1046,0),COLUMN()),"")</f>
        <v>0</v>
      </c>
      <c r="W550" t="str">
        <f>IFERROR(INDEX(装备库!$A$2:$Y$1047,MATCH(ROW()-1,装备库!$AO$2:$AO$1046,0),COLUMN()),"")</f>
        <v>精简攻会无</v>
      </c>
      <c r="X550">
        <f>IFERROR(INDEX(装备库!$A$2:$Y$1047,MATCH(ROW()-1,装备库!$AO$2:$AO$1046,0),COLUMN()),"")</f>
        <v>3</v>
      </c>
      <c r="Y550" t="str">
        <f>IFERROR(INDEX(装备库!$A$2:$Y$1047,MATCH(ROW()-1,装备库!$AO$2:$AO$1046,0),COLUMN()),"")</f>
        <v>活动</v>
      </c>
    </row>
    <row r="551" spans="1:25" x14ac:dyDescent="0.35">
      <c r="A551" t="str">
        <f>IFERROR(INDEX(装备库!$A$2:$Y$1047,MATCH(ROW()-1,装备库!$AO$2:$AO$1046,0),COLUMN()),"")</f>
        <v>腰坠</v>
      </c>
      <c r="B551" t="str">
        <f>IFERROR(INDEX(装备库!$A$2:$Y$1047,MATCH(ROW()-1,装备库!$AO$2:$AO$1046,0),COLUMN()),"")</f>
        <v>无封腰坠</v>
      </c>
      <c r="C551">
        <f>IFERROR(INDEX(装备库!$A$2:$Y$1047,MATCH(ROW()-1,装备库!$AO$2:$AO$1046,0),COLUMN()),"")</f>
        <v>9700</v>
      </c>
      <c r="D551" t="str">
        <f>IFERROR(INDEX(装备库!$A$2:$Y$1047,MATCH(ROW()-1,装备库!$AO$2:$AO$1046,0),COLUMN()),"")</f>
        <v>无封腰坠(9700精简攻会破无)</v>
      </c>
      <c r="E551">
        <f>IFERROR(INDEX(装备库!$A$2:$Y$1047,MATCH(ROW()-1,装备库!$AO$2:$AO$1046,0),COLUMN()),"")</f>
        <v>0</v>
      </c>
      <c r="F551">
        <f>IFERROR(INDEX(装备库!$A$2:$Y$1047,MATCH(ROW()-1,装备库!$AO$2:$AO$1046,0),COLUMN()),"")</f>
        <v>1226</v>
      </c>
      <c r="G551">
        <f>IFERROR(INDEX(装备库!$A$2:$Y$1047,MATCH(ROW()-1,装备库!$AO$2:$AO$1046,0),COLUMN()),"")</f>
        <v>1510</v>
      </c>
      <c r="H551">
        <f>IFERROR(INDEX(装备库!$A$2:$Y$1047,MATCH(ROW()-1,装备库!$AO$2:$AO$1046,0),COLUMN()),"")</f>
        <v>0</v>
      </c>
      <c r="I551">
        <f>IFERROR(INDEX(装备库!$A$2:$Y$1047,MATCH(ROW()-1,装备库!$AO$2:$AO$1046,0),COLUMN()),"")</f>
        <v>1322</v>
      </c>
      <c r="J551">
        <f>IFERROR(INDEX(装备库!$A$2:$Y$1047,MATCH(ROW()-1,装备库!$AO$2:$AO$1046,0),COLUMN()),"")</f>
        <v>0</v>
      </c>
      <c r="K551">
        <f>IFERROR(INDEX(装备库!$A$2:$Y$1047,MATCH(ROW()-1,装备库!$AO$2:$AO$1046,0),COLUMN()),"")</f>
        <v>944</v>
      </c>
      <c r="L551">
        <f>IFERROR(INDEX(装备库!$A$2:$Y$1047,MATCH(ROW()-1,装备库!$AO$2:$AO$1046,0),COLUMN()),"")</f>
        <v>0</v>
      </c>
      <c r="M551">
        <f>IFERROR(INDEX(装备库!$A$2:$Y$1047,MATCH(ROW()-1,装备库!$AO$2:$AO$1046,0),COLUMN()),"")</f>
        <v>0</v>
      </c>
      <c r="N551">
        <f>IFERROR(INDEX(装备库!$A$2:$Y$1047,MATCH(ROW()-1,装备库!$AO$2:$AO$1046,0),COLUMN()),"")</f>
        <v>0</v>
      </c>
      <c r="O551">
        <f>IFERROR(INDEX(装备库!$A$2:$Y$1047,MATCH(ROW()-1,装备库!$AO$2:$AO$1046,0),COLUMN()),"")</f>
        <v>0</v>
      </c>
      <c r="P551">
        <f>IFERROR(INDEX(装备库!$A$2:$Y$1047,MATCH(ROW()-1,装备库!$AO$2:$AO$1046,0),COLUMN()),"")</f>
        <v>0</v>
      </c>
      <c r="Q551">
        <f>IFERROR(INDEX(装备库!$A$2:$Y$1047,MATCH(ROW()-1,装备库!$AO$2:$AO$1046,0),COLUMN()),"")</f>
        <v>0</v>
      </c>
      <c r="R551">
        <f>IFERROR(INDEX(装备库!$A$2:$Y$1047,MATCH(ROW()-1,装备库!$AO$2:$AO$1046,0),COLUMN()),"")</f>
        <v>1</v>
      </c>
      <c r="S551">
        <f>IFERROR(INDEX(装备库!$A$2:$Y$1047,MATCH(ROW()-1,装备库!$AO$2:$AO$1046,0),COLUMN()),"")</f>
        <v>0</v>
      </c>
      <c r="T551">
        <f>IFERROR(INDEX(装备库!$A$2:$Y$1047,MATCH(ROW()-1,装备库!$AO$2:$AO$1046,0),COLUMN()),"")</f>
        <v>0</v>
      </c>
      <c r="U551">
        <f>IFERROR(INDEX(装备库!$A$2:$Y$1047,MATCH(ROW()-1,装备库!$AO$2:$AO$1046,0),COLUMN()),"")</f>
        <v>0</v>
      </c>
      <c r="V551">
        <f>IFERROR(INDEX(装备库!$A$2:$Y$1047,MATCH(ROW()-1,装备库!$AO$2:$AO$1046,0),COLUMN()),"")</f>
        <v>0</v>
      </c>
      <c r="W551" t="str">
        <f>IFERROR(INDEX(装备库!$A$2:$Y$1047,MATCH(ROW()-1,装备库!$AO$2:$AO$1046,0),COLUMN()),"")</f>
        <v>精简攻会破无</v>
      </c>
      <c r="X551">
        <f>IFERROR(INDEX(装备库!$A$2:$Y$1047,MATCH(ROW()-1,装备库!$AO$2:$AO$1046,0),COLUMN()),"")</f>
        <v>3</v>
      </c>
      <c r="Y551" t="str">
        <f>IFERROR(INDEX(装备库!$A$2:$Y$1047,MATCH(ROW()-1,装备库!$AO$2:$AO$1046,0),COLUMN()),"")</f>
        <v>活动</v>
      </c>
    </row>
    <row r="552" spans="1:25" x14ac:dyDescent="0.35">
      <c r="A552" t="str">
        <f>IFERROR(INDEX(装备库!$A$2:$Y$1047,MATCH(ROW()-1,装备库!$AO$2:$AO$1046,0),COLUMN()),"")</f>
        <v>腰坠</v>
      </c>
      <c r="B552" t="str">
        <f>IFERROR(INDEX(装备库!$A$2:$Y$1047,MATCH(ROW()-1,装备库!$AO$2:$AO$1046,0),COLUMN()),"")</f>
        <v>重关佩</v>
      </c>
      <c r="C552">
        <f>IFERROR(INDEX(装备库!$A$2:$Y$1047,MATCH(ROW()-1,装备库!$AO$2:$AO$1046,0),COLUMN()),"")</f>
        <v>10000</v>
      </c>
      <c r="D552" t="str">
        <f>IFERROR(INDEX(装备库!$A$2:$Y$1047,MATCH(ROW()-1,装备库!$AO$2:$AO$1046,0),COLUMN()),"")</f>
        <v>重关佩(10000招无)</v>
      </c>
      <c r="E552">
        <f>IFERROR(INDEX(装备库!$A$2:$Y$1047,MATCH(ROW()-1,装备库!$AO$2:$AO$1046,0),COLUMN()),"")</f>
        <v>349</v>
      </c>
      <c r="F552">
        <f>IFERROR(INDEX(装备库!$A$2:$Y$1047,MATCH(ROW()-1,装备库!$AO$2:$AO$1046,0),COLUMN()),"")</f>
        <v>566</v>
      </c>
      <c r="G552">
        <f>IFERROR(INDEX(装备库!$A$2:$Y$1047,MATCH(ROW()-1,装备库!$AO$2:$AO$1046,0),COLUMN()),"")</f>
        <v>0</v>
      </c>
      <c r="H552">
        <f>IFERROR(INDEX(装备库!$A$2:$Y$1047,MATCH(ROW()-1,装备库!$AO$2:$AO$1046,0),COLUMN()),"")</f>
        <v>0</v>
      </c>
      <c r="I552">
        <f>IFERROR(INDEX(装备库!$A$2:$Y$1047,MATCH(ROW()-1,装备库!$AO$2:$AO$1046,0),COLUMN()),"")</f>
        <v>0</v>
      </c>
      <c r="J552">
        <f>IFERROR(INDEX(装备库!$A$2:$Y$1047,MATCH(ROW()-1,装备库!$AO$2:$AO$1046,0),COLUMN()),"")</f>
        <v>1752</v>
      </c>
      <c r="K552">
        <f>IFERROR(INDEX(装备库!$A$2:$Y$1047,MATCH(ROW()-1,装备库!$AO$2:$AO$1046,0),COLUMN()),"")</f>
        <v>1557</v>
      </c>
      <c r="L552">
        <f>IFERROR(INDEX(装备库!$A$2:$Y$1047,MATCH(ROW()-1,装备库!$AO$2:$AO$1046,0),COLUMN()),"")</f>
        <v>0</v>
      </c>
      <c r="M552">
        <f>IFERROR(INDEX(装备库!$A$2:$Y$1047,MATCH(ROW()-1,装备库!$AO$2:$AO$1046,0),COLUMN()),"")</f>
        <v>0</v>
      </c>
      <c r="N552">
        <f>IFERROR(INDEX(装备库!$A$2:$Y$1047,MATCH(ROW()-1,装备库!$AO$2:$AO$1046,0),COLUMN()),"")</f>
        <v>0</v>
      </c>
      <c r="O552">
        <f>IFERROR(INDEX(装备库!$A$2:$Y$1047,MATCH(ROW()-1,装备库!$AO$2:$AO$1046,0),COLUMN()),"")</f>
        <v>0</v>
      </c>
      <c r="P552">
        <f>IFERROR(INDEX(装备库!$A$2:$Y$1047,MATCH(ROW()-1,装备库!$AO$2:$AO$1046,0),COLUMN()),"")</f>
        <v>0</v>
      </c>
      <c r="Q552">
        <f>IFERROR(INDEX(装备库!$A$2:$Y$1047,MATCH(ROW()-1,装备库!$AO$2:$AO$1046,0),COLUMN()),"")</f>
        <v>0</v>
      </c>
      <c r="R552">
        <f>IFERROR(INDEX(装备库!$A$2:$Y$1047,MATCH(ROW()-1,装备库!$AO$2:$AO$1046,0),COLUMN()),"")</f>
        <v>1</v>
      </c>
      <c r="S552">
        <f>IFERROR(INDEX(装备库!$A$2:$Y$1047,MATCH(ROW()-1,装备库!$AO$2:$AO$1046,0),COLUMN()),"")</f>
        <v>0</v>
      </c>
      <c r="T552">
        <f>IFERROR(INDEX(装备库!$A$2:$Y$1047,MATCH(ROW()-1,装备库!$AO$2:$AO$1046,0),COLUMN()),"")</f>
        <v>0</v>
      </c>
      <c r="U552">
        <f>IFERROR(INDEX(装备库!$A$2:$Y$1047,MATCH(ROW()-1,装备库!$AO$2:$AO$1046,0),COLUMN()),"")</f>
        <v>0</v>
      </c>
      <c r="V552">
        <f>IFERROR(INDEX(装备库!$A$2:$Y$1047,MATCH(ROW()-1,装备库!$AO$2:$AO$1046,0),COLUMN()),"")</f>
        <v>0</v>
      </c>
      <c r="W552" t="str">
        <f>IFERROR(INDEX(装备库!$A$2:$Y$1047,MATCH(ROW()-1,装备库!$AO$2:$AO$1046,0),COLUMN()),"")</f>
        <v>招无</v>
      </c>
      <c r="X552">
        <f>IFERROR(INDEX(装备库!$A$2:$Y$1047,MATCH(ROW()-1,装备库!$AO$2:$AO$1046,0),COLUMN()),"")</f>
        <v>6</v>
      </c>
      <c r="Y552" t="str">
        <f>IFERROR(INDEX(装备库!$A$2:$Y$1047,MATCH(ROW()-1,装备库!$AO$2:$AO$1046,0),COLUMN()),"")</f>
        <v>副本</v>
      </c>
    </row>
    <row r="553" spans="1:25" x14ac:dyDescent="0.35">
      <c r="A553" t="str">
        <f>IFERROR(INDEX(装备库!$A$2:$Y$1047,MATCH(ROW()-1,装备库!$AO$2:$AO$1046,0),COLUMN()),"")</f>
        <v>腰坠</v>
      </c>
      <c r="B553" t="str">
        <f>IFERROR(INDEX(装备库!$A$2:$Y$1047,MATCH(ROW()-1,装备库!$AO$2:$AO$1046,0),COLUMN()),"")</f>
        <v>垣翰佩</v>
      </c>
      <c r="C553">
        <f>IFERROR(INDEX(装备库!$A$2:$Y$1047,MATCH(ROW()-1,装备库!$AO$2:$AO$1046,0),COLUMN()),"")</f>
        <v>10000</v>
      </c>
      <c r="D553" t="str">
        <f>IFERROR(INDEX(装备库!$A$2:$Y$1047,MATCH(ROW()-1,装备库!$AO$2:$AO$1046,0),COLUMN()),"")</f>
        <v>垣翰佩(10000速招)</v>
      </c>
      <c r="E553">
        <f>IFERROR(INDEX(装备库!$A$2:$Y$1047,MATCH(ROW()-1,装备库!$AO$2:$AO$1046,0),COLUMN()),"")</f>
        <v>349</v>
      </c>
      <c r="F553">
        <f>IFERROR(INDEX(装备库!$A$2:$Y$1047,MATCH(ROW()-1,装备库!$AO$2:$AO$1046,0),COLUMN()),"")</f>
        <v>566</v>
      </c>
      <c r="G553">
        <f>IFERROR(INDEX(装备库!$A$2:$Y$1047,MATCH(ROW()-1,装备库!$AO$2:$AO$1046,0),COLUMN()),"")</f>
        <v>0</v>
      </c>
      <c r="H553">
        <f>IFERROR(INDEX(装备库!$A$2:$Y$1047,MATCH(ROW()-1,装备库!$AO$2:$AO$1046,0),COLUMN()),"")</f>
        <v>0</v>
      </c>
      <c r="I553">
        <f>IFERROR(INDEX(装备库!$A$2:$Y$1047,MATCH(ROW()-1,装备库!$AO$2:$AO$1046,0),COLUMN()),"")</f>
        <v>0</v>
      </c>
      <c r="J553">
        <f>IFERROR(INDEX(装备库!$A$2:$Y$1047,MATCH(ROW()-1,装备库!$AO$2:$AO$1046,0),COLUMN()),"")</f>
        <v>1557</v>
      </c>
      <c r="K553">
        <f>IFERROR(INDEX(装备库!$A$2:$Y$1047,MATCH(ROW()-1,装备库!$AO$2:$AO$1046,0),COLUMN()),"")</f>
        <v>0</v>
      </c>
      <c r="L553">
        <f>IFERROR(INDEX(装备库!$A$2:$Y$1047,MATCH(ROW()-1,装备库!$AO$2:$AO$1046,0),COLUMN()),"")</f>
        <v>1752</v>
      </c>
      <c r="M553">
        <f>IFERROR(INDEX(装备库!$A$2:$Y$1047,MATCH(ROW()-1,装备库!$AO$2:$AO$1046,0),COLUMN()),"")</f>
        <v>0</v>
      </c>
      <c r="N553">
        <f>IFERROR(INDEX(装备库!$A$2:$Y$1047,MATCH(ROW()-1,装备库!$AO$2:$AO$1046,0),COLUMN()),"")</f>
        <v>0</v>
      </c>
      <c r="O553">
        <f>IFERROR(INDEX(装备库!$A$2:$Y$1047,MATCH(ROW()-1,装备库!$AO$2:$AO$1046,0),COLUMN()),"")</f>
        <v>1</v>
      </c>
      <c r="P553">
        <f>IFERROR(INDEX(装备库!$A$2:$Y$1047,MATCH(ROW()-1,装备库!$AO$2:$AO$1046,0),COLUMN()),"")</f>
        <v>0</v>
      </c>
      <c r="Q553">
        <f>IFERROR(INDEX(装备库!$A$2:$Y$1047,MATCH(ROW()-1,装备库!$AO$2:$AO$1046,0),COLUMN()),"")</f>
        <v>0</v>
      </c>
      <c r="R553">
        <f>IFERROR(INDEX(装备库!$A$2:$Y$1047,MATCH(ROW()-1,装备库!$AO$2:$AO$1046,0),COLUMN()),"")</f>
        <v>0</v>
      </c>
      <c r="S553">
        <f>IFERROR(INDEX(装备库!$A$2:$Y$1047,MATCH(ROW()-1,装备库!$AO$2:$AO$1046,0),COLUMN()),"")</f>
        <v>0</v>
      </c>
      <c r="T553">
        <f>IFERROR(INDEX(装备库!$A$2:$Y$1047,MATCH(ROW()-1,装备库!$AO$2:$AO$1046,0),COLUMN()),"")</f>
        <v>0</v>
      </c>
      <c r="U553">
        <f>IFERROR(INDEX(装备库!$A$2:$Y$1047,MATCH(ROW()-1,装备库!$AO$2:$AO$1046,0),COLUMN()),"")</f>
        <v>0</v>
      </c>
      <c r="V553">
        <f>IFERROR(INDEX(装备库!$A$2:$Y$1047,MATCH(ROW()-1,装备库!$AO$2:$AO$1046,0),COLUMN()),"")</f>
        <v>0</v>
      </c>
      <c r="W553" t="str">
        <f>IFERROR(INDEX(装备库!$A$2:$Y$1047,MATCH(ROW()-1,装备库!$AO$2:$AO$1046,0),COLUMN()),"")</f>
        <v>速招</v>
      </c>
      <c r="X553">
        <f>IFERROR(INDEX(装备库!$A$2:$Y$1047,MATCH(ROW()-1,装备库!$AO$2:$AO$1046,0),COLUMN()),"")</f>
        <v>6</v>
      </c>
      <c r="Y553" t="str">
        <f>IFERROR(INDEX(装备库!$A$2:$Y$1047,MATCH(ROW()-1,装备库!$AO$2:$AO$1046,0),COLUMN()),"")</f>
        <v>副本</v>
      </c>
    </row>
    <row r="554" spans="1:25" x14ac:dyDescent="0.35">
      <c r="A554" t="str">
        <f>IFERROR(INDEX(装备库!$A$2:$Y$1047,MATCH(ROW()-1,装备库!$AO$2:$AO$1046,0),COLUMN()),"")</f>
        <v>腰坠</v>
      </c>
      <c r="B554" t="str">
        <f>IFERROR(INDEX(装备库!$A$2:$Y$1047,MATCH(ROW()-1,装备库!$AO$2:$AO$1046,0),COLUMN()),"")</f>
        <v>羡双坠</v>
      </c>
      <c r="C554">
        <f>IFERROR(INDEX(装备库!$A$2:$Y$1047,MATCH(ROW()-1,装备库!$AO$2:$AO$1046,0),COLUMN()),"")</f>
        <v>10000</v>
      </c>
      <c r="D554" t="str">
        <f>IFERROR(INDEX(装备库!$A$2:$Y$1047,MATCH(ROW()-1,装备库!$AO$2:$AO$1046,0),COLUMN()),"")</f>
        <v>羡双坠(10000速无)</v>
      </c>
      <c r="E554">
        <f>IFERROR(INDEX(装备库!$A$2:$Y$1047,MATCH(ROW()-1,装备库!$AO$2:$AO$1046,0),COLUMN()),"")</f>
        <v>349</v>
      </c>
      <c r="F554">
        <f>IFERROR(INDEX(装备库!$A$2:$Y$1047,MATCH(ROW()-1,装备库!$AO$2:$AO$1046,0),COLUMN()),"")</f>
        <v>566</v>
      </c>
      <c r="G554">
        <f>IFERROR(INDEX(装备库!$A$2:$Y$1047,MATCH(ROW()-1,装备库!$AO$2:$AO$1046,0),COLUMN()),"")</f>
        <v>0</v>
      </c>
      <c r="H554">
        <f>IFERROR(INDEX(装备库!$A$2:$Y$1047,MATCH(ROW()-1,装备库!$AO$2:$AO$1046,0),COLUMN()),"")</f>
        <v>0</v>
      </c>
      <c r="I554">
        <f>IFERROR(INDEX(装备库!$A$2:$Y$1047,MATCH(ROW()-1,装备库!$AO$2:$AO$1046,0),COLUMN()),"")</f>
        <v>0</v>
      </c>
      <c r="J554">
        <f>IFERROR(INDEX(装备库!$A$2:$Y$1047,MATCH(ROW()-1,装备库!$AO$2:$AO$1046,0),COLUMN()),"")</f>
        <v>0</v>
      </c>
      <c r="K554">
        <f>IFERROR(INDEX(装备库!$A$2:$Y$1047,MATCH(ROW()-1,装备库!$AO$2:$AO$1046,0),COLUMN()),"")</f>
        <v>1557</v>
      </c>
      <c r="L554">
        <f>IFERROR(INDEX(装备库!$A$2:$Y$1047,MATCH(ROW()-1,装备库!$AO$2:$AO$1046,0),COLUMN()),"")</f>
        <v>1752</v>
      </c>
      <c r="M554">
        <f>IFERROR(INDEX(装备库!$A$2:$Y$1047,MATCH(ROW()-1,装备库!$AO$2:$AO$1046,0),COLUMN()),"")</f>
        <v>0</v>
      </c>
      <c r="N554">
        <f>IFERROR(INDEX(装备库!$A$2:$Y$1047,MATCH(ROW()-1,装备库!$AO$2:$AO$1046,0),COLUMN()),"")</f>
        <v>0</v>
      </c>
      <c r="O554">
        <f>IFERROR(INDEX(装备库!$A$2:$Y$1047,MATCH(ROW()-1,装备库!$AO$2:$AO$1046,0),COLUMN()),"")</f>
        <v>1</v>
      </c>
      <c r="P554">
        <f>IFERROR(INDEX(装备库!$A$2:$Y$1047,MATCH(ROW()-1,装备库!$AO$2:$AO$1046,0),COLUMN()),"")</f>
        <v>0</v>
      </c>
      <c r="Q554">
        <f>IFERROR(INDEX(装备库!$A$2:$Y$1047,MATCH(ROW()-1,装备库!$AO$2:$AO$1046,0),COLUMN()),"")</f>
        <v>0</v>
      </c>
      <c r="R554">
        <f>IFERROR(INDEX(装备库!$A$2:$Y$1047,MATCH(ROW()-1,装备库!$AO$2:$AO$1046,0),COLUMN()),"")</f>
        <v>0</v>
      </c>
      <c r="S554">
        <f>IFERROR(INDEX(装备库!$A$2:$Y$1047,MATCH(ROW()-1,装备库!$AO$2:$AO$1046,0),COLUMN()),"")</f>
        <v>0</v>
      </c>
      <c r="T554">
        <f>IFERROR(INDEX(装备库!$A$2:$Y$1047,MATCH(ROW()-1,装备库!$AO$2:$AO$1046,0),COLUMN()),"")</f>
        <v>0</v>
      </c>
      <c r="U554">
        <f>IFERROR(INDEX(装备库!$A$2:$Y$1047,MATCH(ROW()-1,装备库!$AO$2:$AO$1046,0),COLUMN()),"")</f>
        <v>0</v>
      </c>
      <c r="V554">
        <f>IFERROR(INDEX(装备库!$A$2:$Y$1047,MATCH(ROW()-1,装备库!$AO$2:$AO$1046,0),COLUMN()),"")</f>
        <v>0</v>
      </c>
      <c r="W554" t="str">
        <f>IFERROR(INDEX(装备库!$A$2:$Y$1047,MATCH(ROW()-1,装备库!$AO$2:$AO$1046,0),COLUMN()),"")</f>
        <v>速无</v>
      </c>
      <c r="X554">
        <f>IFERROR(INDEX(装备库!$A$2:$Y$1047,MATCH(ROW()-1,装备库!$AO$2:$AO$1046,0),COLUMN()),"")</f>
        <v>6</v>
      </c>
      <c r="Y554" t="str">
        <f>IFERROR(INDEX(装备库!$A$2:$Y$1047,MATCH(ROW()-1,装备库!$AO$2:$AO$1046,0),COLUMN()),"")</f>
        <v>副本</v>
      </c>
    </row>
    <row r="555" spans="1:25" x14ac:dyDescent="0.35">
      <c r="A555" t="str">
        <f>IFERROR(INDEX(装备库!$A$2:$Y$1047,MATCH(ROW()-1,装备库!$AO$2:$AO$1046,0),COLUMN()),"")</f>
        <v>腰坠</v>
      </c>
      <c r="B555" t="str">
        <f>IFERROR(INDEX(装备库!$A$2:$Y$1047,MATCH(ROW()-1,装备库!$AO$2:$AO$1046,0),COLUMN()),"")</f>
        <v>项昌坠</v>
      </c>
      <c r="C555">
        <f>IFERROR(INDEX(装备库!$A$2:$Y$1047,MATCH(ROW()-1,装备库!$AO$2:$AO$1046,0),COLUMN()),"")</f>
        <v>10000</v>
      </c>
      <c r="D555" t="str">
        <f>IFERROR(INDEX(装备库!$A$2:$Y$1047,MATCH(ROW()-1,装备库!$AO$2:$AO$1046,0),COLUMN()),"")</f>
        <v>项昌坠(10000破无)</v>
      </c>
      <c r="E555">
        <f>IFERROR(INDEX(装备库!$A$2:$Y$1047,MATCH(ROW()-1,装备库!$AO$2:$AO$1046,0),COLUMN()),"")</f>
        <v>349</v>
      </c>
      <c r="F555">
        <f>IFERROR(INDEX(装备库!$A$2:$Y$1047,MATCH(ROW()-1,装备库!$AO$2:$AO$1046,0),COLUMN()),"")</f>
        <v>566</v>
      </c>
      <c r="G555">
        <f>IFERROR(INDEX(装备库!$A$2:$Y$1047,MATCH(ROW()-1,装备库!$AO$2:$AO$1046,0),COLUMN()),"")</f>
        <v>0</v>
      </c>
      <c r="H555">
        <f>IFERROR(INDEX(装备库!$A$2:$Y$1047,MATCH(ROW()-1,装备库!$AO$2:$AO$1046,0),COLUMN()),"")</f>
        <v>0</v>
      </c>
      <c r="I555">
        <f>IFERROR(INDEX(装备库!$A$2:$Y$1047,MATCH(ROW()-1,装备库!$AO$2:$AO$1046,0),COLUMN()),"")</f>
        <v>1752</v>
      </c>
      <c r="J555">
        <f>IFERROR(INDEX(装备库!$A$2:$Y$1047,MATCH(ROW()-1,装备库!$AO$2:$AO$1046,0),COLUMN()),"")</f>
        <v>0</v>
      </c>
      <c r="K555">
        <f>IFERROR(INDEX(装备库!$A$2:$Y$1047,MATCH(ROW()-1,装备库!$AO$2:$AO$1046,0),COLUMN()),"")</f>
        <v>1557</v>
      </c>
      <c r="L555">
        <f>IFERROR(INDEX(装备库!$A$2:$Y$1047,MATCH(ROW()-1,装备库!$AO$2:$AO$1046,0),COLUMN()),"")</f>
        <v>0</v>
      </c>
      <c r="M555">
        <f>IFERROR(INDEX(装备库!$A$2:$Y$1047,MATCH(ROW()-1,装备库!$AO$2:$AO$1046,0),COLUMN()),"")</f>
        <v>0</v>
      </c>
      <c r="N555">
        <f>IFERROR(INDEX(装备库!$A$2:$Y$1047,MATCH(ROW()-1,装备库!$AO$2:$AO$1046,0),COLUMN()),"")</f>
        <v>0</v>
      </c>
      <c r="O555">
        <f>IFERROR(INDEX(装备库!$A$2:$Y$1047,MATCH(ROW()-1,装备库!$AO$2:$AO$1046,0),COLUMN()),"")</f>
        <v>0</v>
      </c>
      <c r="P555">
        <f>IFERROR(INDEX(装备库!$A$2:$Y$1047,MATCH(ROW()-1,装备库!$AO$2:$AO$1046,0),COLUMN()),"")</f>
        <v>0</v>
      </c>
      <c r="Q555">
        <f>IFERROR(INDEX(装备库!$A$2:$Y$1047,MATCH(ROW()-1,装备库!$AO$2:$AO$1046,0),COLUMN()),"")</f>
        <v>0</v>
      </c>
      <c r="R555">
        <f>IFERROR(INDEX(装备库!$A$2:$Y$1047,MATCH(ROW()-1,装备库!$AO$2:$AO$1046,0),COLUMN()),"")</f>
        <v>0</v>
      </c>
      <c r="S555">
        <f>IFERROR(INDEX(装备库!$A$2:$Y$1047,MATCH(ROW()-1,装备库!$AO$2:$AO$1046,0),COLUMN()),"")</f>
        <v>1</v>
      </c>
      <c r="T555">
        <f>IFERROR(INDEX(装备库!$A$2:$Y$1047,MATCH(ROW()-1,装备库!$AO$2:$AO$1046,0),COLUMN()),"")</f>
        <v>0</v>
      </c>
      <c r="U555">
        <f>IFERROR(INDEX(装备库!$A$2:$Y$1047,MATCH(ROW()-1,装备库!$AO$2:$AO$1046,0),COLUMN()),"")</f>
        <v>0</v>
      </c>
      <c r="V555">
        <f>IFERROR(INDEX(装备库!$A$2:$Y$1047,MATCH(ROW()-1,装备库!$AO$2:$AO$1046,0),COLUMN()),"")</f>
        <v>0</v>
      </c>
      <c r="W555" t="str">
        <f>IFERROR(INDEX(装备库!$A$2:$Y$1047,MATCH(ROW()-1,装备库!$AO$2:$AO$1046,0),COLUMN()),"")</f>
        <v>破无</v>
      </c>
      <c r="X555">
        <f>IFERROR(INDEX(装备库!$A$2:$Y$1047,MATCH(ROW()-1,装备库!$AO$2:$AO$1046,0),COLUMN()),"")</f>
        <v>6</v>
      </c>
      <c r="Y555" t="str">
        <f>IFERROR(INDEX(装备库!$A$2:$Y$1047,MATCH(ROW()-1,装备库!$AO$2:$AO$1046,0),COLUMN()),"")</f>
        <v>副本</v>
      </c>
    </row>
    <row r="556" spans="1:25" x14ac:dyDescent="0.35">
      <c r="A556" t="str">
        <f>IFERROR(INDEX(装备库!$A$2:$Y$1047,MATCH(ROW()-1,装备库!$AO$2:$AO$1046,0),COLUMN()),"")</f>
        <v>腰坠</v>
      </c>
      <c r="B556" t="str">
        <f>IFERROR(INDEX(装备库!$A$2:$Y$1047,MATCH(ROW()-1,装备库!$AO$2:$AO$1046,0),COLUMN()),"")</f>
        <v>曲郦坠</v>
      </c>
      <c r="C556">
        <f>IFERROR(INDEX(装备库!$A$2:$Y$1047,MATCH(ROW()-1,装备库!$AO$2:$AO$1046,0),COLUMN()),"")</f>
        <v>10000</v>
      </c>
      <c r="D556" t="str">
        <f>IFERROR(INDEX(装备库!$A$2:$Y$1047,MATCH(ROW()-1,装备库!$AO$2:$AO$1046,0),COLUMN()),"")</f>
        <v>曲郦坠(10000会招)</v>
      </c>
      <c r="E556">
        <f>IFERROR(INDEX(装备库!$A$2:$Y$1047,MATCH(ROW()-1,装备库!$AO$2:$AO$1046,0),COLUMN()),"")</f>
        <v>349</v>
      </c>
      <c r="F556">
        <f>IFERROR(INDEX(装备库!$A$2:$Y$1047,MATCH(ROW()-1,装备库!$AO$2:$AO$1046,0),COLUMN()),"")</f>
        <v>566</v>
      </c>
      <c r="G556">
        <f>IFERROR(INDEX(装备库!$A$2:$Y$1047,MATCH(ROW()-1,装备库!$AO$2:$AO$1046,0),COLUMN()),"")</f>
        <v>1752</v>
      </c>
      <c r="H556">
        <f>IFERROR(INDEX(装备库!$A$2:$Y$1047,MATCH(ROW()-1,装备库!$AO$2:$AO$1046,0),COLUMN()),"")</f>
        <v>0</v>
      </c>
      <c r="I556">
        <f>IFERROR(INDEX(装备库!$A$2:$Y$1047,MATCH(ROW()-1,装备库!$AO$2:$AO$1046,0),COLUMN()),"")</f>
        <v>0</v>
      </c>
      <c r="J556">
        <f>IFERROR(INDEX(装备库!$A$2:$Y$1047,MATCH(ROW()-1,装备库!$AO$2:$AO$1046,0),COLUMN()),"")</f>
        <v>1557</v>
      </c>
      <c r="K556">
        <f>IFERROR(INDEX(装备库!$A$2:$Y$1047,MATCH(ROW()-1,装备库!$AO$2:$AO$1046,0),COLUMN()),"")</f>
        <v>0</v>
      </c>
      <c r="L556">
        <f>IFERROR(INDEX(装备库!$A$2:$Y$1047,MATCH(ROW()-1,装备库!$AO$2:$AO$1046,0),COLUMN()),"")</f>
        <v>0</v>
      </c>
      <c r="M556">
        <f>IFERROR(INDEX(装备库!$A$2:$Y$1047,MATCH(ROW()-1,装备库!$AO$2:$AO$1046,0),COLUMN()),"")</f>
        <v>0</v>
      </c>
      <c r="N556">
        <f>IFERROR(INDEX(装备库!$A$2:$Y$1047,MATCH(ROW()-1,装备库!$AO$2:$AO$1046,0),COLUMN()),"")</f>
        <v>0</v>
      </c>
      <c r="O556">
        <f>IFERROR(INDEX(装备库!$A$2:$Y$1047,MATCH(ROW()-1,装备库!$AO$2:$AO$1046,0),COLUMN()),"")</f>
        <v>1</v>
      </c>
      <c r="P556">
        <f>IFERROR(INDEX(装备库!$A$2:$Y$1047,MATCH(ROW()-1,装备库!$AO$2:$AO$1046,0),COLUMN()),"")</f>
        <v>0</v>
      </c>
      <c r="Q556">
        <f>IFERROR(INDEX(装备库!$A$2:$Y$1047,MATCH(ROW()-1,装备库!$AO$2:$AO$1046,0),COLUMN()),"")</f>
        <v>0</v>
      </c>
      <c r="R556">
        <f>IFERROR(INDEX(装备库!$A$2:$Y$1047,MATCH(ROW()-1,装备库!$AO$2:$AO$1046,0),COLUMN()),"")</f>
        <v>0</v>
      </c>
      <c r="S556">
        <f>IFERROR(INDEX(装备库!$A$2:$Y$1047,MATCH(ROW()-1,装备库!$AO$2:$AO$1046,0),COLUMN()),"")</f>
        <v>0</v>
      </c>
      <c r="T556">
        <f>IFERROR(INDEX(装备库!$A$2:$Y$1047,MATCH(ROW()-1,装备库!$AO$2:$AO$1046,0),COLUMN()),"")</f>
        <v>0</v>
      </c>
      <c r="U556">
        <f>IFERROR(INDEX(装备库!$A$2:$Y$1047,MATCH(ROW()-1,装备库!$AO$2:$AO$1046,0),COLUMN()),"")</f>
        <v>0</v>
      </c>
      <c r="V556">
        <f>IFERROR(INDEX(装备库!$A$2:$Y$1047,MATCH(ROW()-1,装备库!$AO$2:$AO$1046,0),COLUMN()),"")</f>
        <v>0</v>
      </c>
      <c r="W556" t="str">
        <f>IFERROR(INDEX(装备库!$A$2:$Y$1047,MATCH(ROW()-1,装备库!$AO$2:$AO$1046,0),COLUMN()),"")</f>
        <v>会招</v>
      </c>
      <c r="X556">
        <f>IFERROR(INDEX(装备库!$A$2:$Y$1047,MATCH(ROW()-1,装备库!$AO$2:$AO$1046,0),COLUMN()),"")</f>
        <v>6</v>
      </c>
      <c r="Y556" t="str">
        <f>IFERROR(INDEX(装备库!$A$2:$Y$1047,MATCH(ROW()-1,装备库!$AO$2:$AO$1046,0),COLUMN()),"")</f>
        <v>副本</v>
      </c>
    </row>
    <row r="557" spans="1:25" x14ac:dyDescent="0.35">
      <c r="A557" t="str">
        <f>IFERROR(INDEX(装备库!$A$2:$Y$1047,MATCH(ROW()-1,装备库!$AO$2:$AO$1046,0),COLUMN()),"")</f>
        <v>腰坠</v>
      </c>
      <c r="B557" t="str">
        <f>IFERROR(INDEX(装备库!$A$2:$Y$1047,MATCH(ROW()-1,装备库!$AO$2:$AO$1046,0),COLUMN()),"")</f>
        <v>忆敬坠</v>
      </c>
      <c r="C557">
        <f>IFERROR(INDEX(装备库!$A$2:$Y$1047,MATCH(ROW()-1,装备库!$AO$2:$AO$1046,0),COLUMN()),"")</f>
        <v>10000</v>
      </c>
      <c r="D557" t="str">
        <f>IFERROR(INDEX(装备库!$A$2:$Y$1047,MATCH(ROW()-1,装备库!$AO$2:$AO$1046,0),COLUMN()),"")</f>
        <v>忆敬坠(10000会无)</v>
      </c>
      <c r="E557">
        <f>IFERROR(INDEX(装备库!$A$2:$Y$1047,MATCH(ROW()-1,装备库!$AO$2:$AO$1046,0),COLUMN()),"")</f>
        <v>349</v>
      </c>
      <c r="F557">
        <f>IFERROR(INDEX(装备库!$A$2:$Y$1047,MATCH(ROW()-1,装备库!$AO$2:$AO$1046,0),COLUMN()),"")</f>
        <v>566</v>
      </c>
      <c r="G557">
        <f>IFERROR(INDEX(装备库!$A$2:$Y$1047,MATCH(ROW()-1,装备库!$AO$2:$AO$1046,0),COLUMN()),"")</f>
        <v>1752</v>
      </c>
      <c r="H557">
        <f>IFERROR(INDEX(装备库!$A$2:$Y$1047,MATCH(ROW()-1,装备库!$AO$2:$AO$1046,0),COLUMN()),"")</f>
        <v>0</v>
      </c>
      <c r="I557">
        <f>IFERROR(INDEX(装备库!$A$2:$Y$1047,MATCH(ROW()-1,装备库!$AO$2:$AO$1046,0),COLUMN()),"")</f>
        <v>0</v>
      </c>
      <c r="J557">
        <f>IFERROR(INDEX(装备库!$A$2:$Y$1047,MATCH(ROW()-1,装备库!$AO$2:$AO$1046,0),COLUMN()),"")</f>
        <v>0</v>
      </c>
      <c r="K557">
        <f>IFERROR(INDEX(装备库!$A$2:$Y$1047,MATCH(ROW()-1,装备库!$AO$2:$AO$1046,0),COLUMN()),"")</f>
        <v>1557</v>
      </c>
      <c r="L557">
        <f>IFERROR(INDEX(装备库!$A$2:$Y$1047,MATCH(ROW()-1,装备库!$AO$2:$AO$1046,0),COLUMN()),"")</f>
        <v>0</v>
      </c>
      <c r="M557">
        <f>IFERROR(INDEX(装备库!$A$2:$Y$1047,MATCH(ROW()-1,装备库!$AO$2:$AO$1046,0),COLUMN()),"")</f>
        <v>0</v>
      </c>
      <c r="N557">
        <f>IFERROR(INDEX(装备库!$A$2:$Y$1047,MATCH(ROW()-1,装备库!$AO$2:$AO$1046,0),COLUMN()),"")</f>
        <v>0</v>
      </c>
      <c r="O557">
        <f>IFERROR(INDEX(装备库!$A$2:$Y$1047,MATCH(ROW()-1,装备库!$AO$2:$AO$1046,0),COLUMN()),"")</f>
        <v>0</v>
      </c>
      <c r="P557">
        <f>IFERROR(INDEX(装备库!$A$2:$Y$1047,MATCH(ROW()-1,装备库!$AO$2:$AO$1046,0),COLUMN()),"")</f>
        <v>0</v>
      </c>
      <c r="Q557">
        <f>IFERROR(INDEX(装备库!$A$2:$Y$1047,MATCH(ROW()-1,装备库!$AO$2:$AO$1046,0),COLUMN()),"")</f>
        <v>0</v>
      </c>
      <c r="R557">
        <f>IFERROR(INDEX(装备库!$A$2:$Y$1047,MATCH(ROW()-1,装备库!$AO$2:$AO$1046,0),COLUMN()),"")</f>
        <v>0</v>
      </c>
      <c r="S557">
        <f>IFERROR(INDEX(装备库!$A$2:$Y$1047,MATCH(ROW()-1,装备库!$AO$2:$AO$1046,0),COLUMN()),"")</f>
        <v>0</v>
      </c>
      <c r="T557">
        <f>IFERROR(INDEX(装备库!$A$2:$Y$1047,MATCH(ROW()-1,装备库!$AO$2:$AO$1046,0),COLUMN()),"")</f>
        <v>0</v>
      </c>
      <c r="U557">
        <f>IFERROR(INDEX(装备库!$A$2:$Y$1047,MATCH(ROW()-1,装备库!$AO$2:$AO$1046,0),COLUMN()),"")</f>
        <v>1</v>
      </c>
      <c r="V557">
        <f>IFERROR(INDEX(装备库!$A$2:$Y$1047,MATCH(ROW()-1,装备库!$AO$2:$AO$1046,0),COLUMN()),"")</f>
        <v>0</v>
      </c>
      <c r="W557" t="str">
        <f>IFERROR(INDEX(装备库!$A$2:$Y$1047,MATCH(ROW()-1,装备库!$AO$2:$AO$1046,0),COLUMN()),"")</f>
        <v>会无</v>
      </c>
      <c r="X557">
        <f>IFERROR(INDEX(装备库!$A$2:$Y$1047,MATCH(ROW()-1,装备库!$AO$2:$AO$1046,0),COLUMN()),"")</f>
        <v>6</v>
      </c>
      <c r="Y557" t="str">
        <f>IFERROR(INDEX(装备库!$A$2:$Y$1047,MATCH(ROW()-1,装备库!$AO$2:$AO$1046,0),COLUMN()),"")</f>
        <v>副本</v>
      </c>
    </row>
    <row r="558" spans="1:25" x14ac:dyDescent="0.35">
      <c r="A558" t="str">
        <f>IFERROR(INDEX(装备库!$A$2:$Y$1047,MATCH(ROW()-1,装备库!$AO$2:$AO$1046,0),COLUMN()),"")</f>
        <v>腰坠</v>
      </c>
      <c r="B558" t="str">
        <f>IFERROR(INDEX(装备库!$A$2:$Y$1047,MATCH(ROW()-1,装备库!$AO$2:$AO$1046,0),COLUMN()),"")</f>
        <v>拭江坠</v>
      </c>
      <c r="C558">
        <f>IFERROR(INDEX(装备库!$A$2:$Y$1047,MATCH(ROW()-1,装备库!$AO$2:$AO$1046,0),COLUMN()),"")</f>
        <v>10000</v>
      </c>
      <c r="D558" t="str">
        <f>IFERROR(INDEX(装备库!$A$2:$Y$1047,MATCH(ROW()-1,装备库!$AO$2:$AO$1046,0),COLUMN()),"")</f>
        <v>拭江坠(10000会无)</v>
      </c>
      <c r="E558">
        <f>IFERROR(INDEX(装备库!$A$2:$Y$1047,MATCH(ROW()-1,装备库!$AO$2:$AO$1046,0),COLUMN()),"")</f>
        <v>349</v>
      </c>
      <c r="F558">
        <f>IFERROR(INDEX(装备库!$A$2:$Y$1047,MATCH(ROW()-1,装备库!$AO$2:$AO$1046,0),COLUMN()),"")</f>
        <v>566</v>
      </c>
      <c r="G558">
        <f>IFERROR(INDEX(装备库!$A$2:$Y$1047,MATCH(ROW()-1,装备库!$AO$2:$AO$1046,0),COLUMN()),"")</f>
        <v>1752</v>
      </c>
      <c r="H558">
        <f>IFERROR(INDEX(装备库!$A$2:$Y$1047,MATCH(ROW()-1,装备库!$AO$2:$AO$1046,0),COLUMN()),"")</f>
        <v>0</v>
      </c>
      <c r="I558">
        <f>IFERROR(INDEX(装备库!$A$2:$Y$1047,MATCH(ROW()-1,装备库!$AO$2:$AO$1046,0),COLUMN()),"")</f>
        <v>0</v>
      </c>
      <c r="J558">
        <f>IFERROR(INDEX(装备库!$A$2:$Y$1047,MATCH(ROW()-1,装备库!$AO$2:$AO$1046,0),COLUMN()),"")</f>
        <v>0</v>
      </c>
      <c r="K558">
        <f>IFERROR(INDEX(装备库!$A$2:$Y$1047,MATCH(ROW()-1,装备库!$AO$2:$AO$1046,0),COLUMN()),"")</f>
        <v>1557</v>
      </c>
      <c r="L558">
        <f>IFERROR(INDEX(装备库!$A$2:$Y$1047,MATCH(ROW()-1,装备库!$AO$2:$AO$1046,0),COLUMN()),"")</f>
        <v>0</v>
      </c>
      <c r="M558">
        <f>IFERROR(INDEX(装备库!$A$2:$Y$1047,MATCH(ROW()-1,装备库!$AO$2:$AO$1046,0),COLUMN()),"")</f>
        <v>0</v>
      </c>
      <c r="N558">
        <f>IFERROR(INDEX(装备库!$A$2:$Y$1047,MATCH(ROW()-1,装备库!$AO$2:$AO$1046,0),COLUMN()),"")</f>
        <v>0</v>
      </c>
      <c r="O558">
        <f>IFERROR(INDEX(装备库!$A$2:$Y$1047,MATCH(ROW()-1,装备库!$AO$2:$AO$1046,0),COLUMN()),"")</f>
        <v>0</v>
      </c>
      <c r="P558">
        <f>IFERROR(INDEX(装备库!$A$2:$Y$1047,MATCH(ROW()-1,装备库!$AO$2:$AO$1046,0),COLUMN()),"")</f>
        <v>0</v>
      </c>
      <c r="Q558">
        <f>IFERROR(INDEX(装备库!$A$2:$Y$1047,MATCH(ROW()-1,装备库!$AO$2:$AO$1046,0),COLUMN()),"")</f>
        <v>0</v>
      </c>
      <c r="R558">
        <f>IFERROR(INDEX(装备库!$A$2:$Y$1047,MATCH(ROW()-1,装备库!$AO$2:$AO$1046,0),COLUMN()),"")</f>
        <v>0</v>
      </c>
      <c r="S558">
        <f>IFERROR(INDEX(装备库!$A$2:$Y$1047,MATCH(ROW()-1,装备库!$AO$2:$AO$1046,0),COLUMN()),"")</f>
        <v>0</v>
      </c>
      <c r="T558">
        <f>IFERROR(INDEX(装备库!$A$2:$Y$1047,MATCH(ROW()-1,装备库!$AO$2:$AO$1046,0),COLUMN()),"")</f>
        <v>0</v>
      </c>
      <c r="U558">
        <f>IFERROR(INDEX(装备库!$A$2:$Y$1047,MATCH(ROW()-1,装备库!$AO$2:$AO$1046,0),COLUMN()),"")</f>
        <v>1</v>
      </c>
      <c r="V558">
        <f>IFERROR(INDEX(装备库!$A$2:$Y$1047,MATCH(ROW()-1,装备库!$AO$2:$AO$1046,0),COLUMN()),"")</f>
        <v>0</v>
      </c>
      <c r="W558" t="str">
        <f>IFERROR(INDEX(装备库!$A$2:$Y$1047,MATCH(ROW()-1,装备库!$AO$2:$AO$1046,0),COLUMN()),"")</f>
        <v>会无</v>
      </c>
      <c r="X558">
        <f>IFERROR(INDEX(装备库!$A$2:$Y$1047,MATCH(ROW()-1,装备库!$AO$2:$AO$1046,0),COLUMN()),"")</f>
        <v>6</v>
      </c>
      <c r="Y558" t="str">
        <f>IFERROR(INDEX(装备库!$A$2:$Y$1047,MATCH(ROW()-1,装备库!$AO$2:$AO$1046,0),COLUMN()),"")</f>
        <v>副本</v>
      </c>
    </row>
    <row r="559" spans="1:25" x14ac:dyDescent="0.35">
      <c r="A559" t="str">
        <f>IFERROR(INDEX(装备库!$A$2:$Y$1047,MATCH(ROW()-1,装备库!$AO$2:$AO$1046,0),COLUMN()),"")</f>
        <v>腰坠</v>
      </c>
      <c r="B559" t="str">
        <f>IFERROR(INDEX(装备库!$A$2:$Y$1047,MATCH(ROW()-1,装备库!$AO$2:$AO$1046,0),COLUMN()),"")</f>
        <v>无虞·撼地坠</v>
      </c>
      <c r="C559">
        <f>IFERROR(INDEX(装备库!$A$2:$Y$1047,MATCH(ROW()-1,装备库!$AO$2:$AO$1046,0),COLUMN()),"")</f>
        <v>10000</v>
      </c>
      <c r="D559" t="str">
        <f>IFERROR(INDEX(装备库!$A$2:$Y$1047,MATCH(ROW()-1,装备库!$AO$2:$AO$1046,0),COLUMN()),"")</f>
        <v>无虞·撼地坠(10000会无)</v>
      </c>
      <c r="E559">
        <f>IFERROR(INDEX(装备库!$A$2:$Y$1047,MATCH(ROW()-1,装备库!$AO$2:$AO$1046,0),COLUMN()),"")</f>
        <v>349</v>
      </c>
      <c r="F559">
        <f>IFERROR(INDEX(装备库!$A$2:$Y$1047,MATCH(ROW()-1,装备库!$AO$2:$AO$1046,0),COLUMN()),"")</f>
        <v>566</v>
      </c>
      <c r="G559">
        <f>IFERROR(INDEX(装备库!$A$2:$Y$1047,MATCH(ROW()-1,装备库!$AO$2:$AO$1046,0),COLUMN()),"")</f>
        <v>1752</v>
      </c>
      <c r="H559">
        <f>IFERROR(INDEX(装备库!$A$2:$Y$1047,MATCH(ROW()-1,装备库!$AO$2:$AO$1046,0),COLUMN()),"")</f>
        <v>0</v>
      </c>
      <c r="I559">
        <f>IFERROR(INDEX(装备库!$A$2:$Y$1047,MATCH(ROW()-1,装备库!$AO$2:$AO$1046,0),COLUMN()),"")</f>
        <v>0</v>
      </c>
      <c r="J559">
        <f>IFERROR(INDEX(装备库!$A$2:$Y$1047,MATCH(ROW()-1,装备库!$AO$2:$AO$1046,0),COLUMN()),"")</f>
        <v>0</v>
      </c>
      <c r="K559">
        <f>IFERROR(INDEX(装备库!$A$2:$Y$1047,MATCH(ROW()-1,装备库!$AO$2:$AO$1046,0),COLUMN()),"")</f>
        <v>1557</v>
      </c>
      <c r="L559">
        <f>IFERROR(INDEX(装备库!$A$2:$Y$1047,MATCH(ROW()-1,装备库!$AO$2:$AO$1046,0),COLUMN()),"")</f>
        <v>0</v>
      </c>
      <c r="M559">
        <f>IFERROR(INDEX(装备库!$A$2:$Y$1047,MATCH(ROW()-1,装备库!$AO$2:$AO$1046,0),COLUMN()),"")</f>
        <v>0</v>
      </c>
      <c r="N559">
        <f>IFERROR(INDEX(装备库!$A$2:$Y$1047,MATCH(ROW()-1,装备库!$AO$2:$AO$1046,0),COLUMN()),"")</f>
        <v>0</v>
      </c>
      <c r="O559">
        <f>IFERROR(INDEX(装备库!$A$2:$Y$1047,MATCH(ROW()-1,装备库!$AO$2:$AO$1046,0),COLUMN()),"")</f>
        <v>0</v>
      </c>
      <c r="P559">
        <f>IFERROR(INDEX(装备库!$A$2:$Y$1047,MATCH(ROW()-1,装备库!$AO$2:$AO$1046,0),COLUMN()),"")</f>
        <v>0</v>
      </c>
      <c r="Q559">
        <f>IFERROR(INDEX(装备库!$A$2:$Y$1047,MATCH(ROW()-1,装备库!$AO$2:$AO$1046,0),COLUMN()),"")</f>
        <v>0</v>
      </c>
      <c r="R559">
        <f>IFERROR(INDEX(装备库!$A$2:$Y$1047,MATCH(ROW()-1,装备库!$AO$2:$AO$1046,0),COLUMN()),"")</f>
        <v>0</v>
      </c>
      <c r="S559">
        <f>IFERROR(INDEX(装备库!$A$2:$Y$1047,MATCH(ROW()-1,装备库!$AO$2:$AO$1046,0),COLUMN()),"")</f>
        <v>0</v>
      </c>
      <c r="T559">
        <f>IFERROR(INDEX(装备库!$A$2:$Y$1047,MATCH(ROW()-1,装备库!$AO$2:$AO$1046,0),COLUMN()),"")</f>
        <v>0</v>
      </c>
      <c r="U559">
        <f>IFERROR(INDEX(装备库!$A$2:$Y$1047,MATCH(ROW()-1,装备库!$AO$2:$AO$1046,0),COLUMN()),"")</f>
        <v>1</v>
      </c>
      <c r="V559">
        <f>IFERROR(INDEX(装备库!$A$2:$Y$1047,MATCH(ROW()-1,装备库!$AO$2:$AO$1046,0),COLUMN()),"")</f>
        <v>0</v>
      </c>
      <c r="W559" t="str">
        <f>IFERROR(INDEX(装备库!$A$2:$Y$1047,MATCH(ROW()-1,装备库!$AO$2:$AO$1046,0),COLUMN()),"")</f>
        <v>会无</v>
      </c>
      <c r="X559">
        <f>IFERROR(INDEX(装备库!$A$2:$Y$1047,MATCH(ROW()-1,装备库!$AO$2:$AO$1046,0),COLUMN()),"")</f>
        <v>6</v>
      </c>
      <c r="Y559" t="str">
        <f>IFERROR(INDEX(装备库!$A$2:$Y$1047,MATCH(ROW()-1,装备库!$AO$2:$AO$1046,0),COLUMN()),"")</f>
        <v>任务</v>
      </c>
    </row>
    <row r="560" spans="1:25" x14ac:dyDescent="0.35">
      <c r="A560" t="str">
        <f>IFERROR(INDEX(装备库!$A$2:$Y$1047,MATCH(ROW()-1,装备库!$AO$2:$AO$1046,0),COLUMN()),"")</f>
        <v>腰坠</v>
      </c>
      <c r="B560" t="str">
        <f>IFERROR(INDEX(装备库!$A$2:$Y$1047,MATCH(ROW()-1,装备库!$AO$2:$AO$1046,0),COLUMN()),"")</f>
        <v>无封腰坠</v>
      </c>
      <c r="C560">
        <f>IFERROR(INDEX(装备库!$A$2:$Y$1047,MATCH(ROW()-1,装备库!$AO$2:$AO$1046,0),COLUMN()),"")</f>
        <v>10000</v>
      </c>
      <c r="D560" t="str">
        <f>IFERROR(INDEX(装备库!$A$2:$Y$1047,MATCH(ROW()-1,装备库!$AO$2:$AO$1046,0),COLUMN()),"")</f>
        <v>无封腰坠(10000精简攻招破)</v>
      </c>
      <c r="E560">
        <f>IFERROR(INDEX(装备库!$A$2:$Y$1047,MATCH(ROW()-1,装备库!$AO$2:$AO$1046,0),COLUMN()),"")</f>
        <v>0</v>
      </c>
      <c r="F560">
        <f>IFERROR(INDEX(装备库!$A$2:$Y$1047,MATCH(ROW()-1,装备库!$AO$2:$AO$1046,0),COLUMN()),"")</f>
        <v>1263</v>
      </c>
      <c r="G560">
        <f>IFERROR(INDEX(装备库!$A$2:$Y$1047,MATCH(ROW()-1,装备库!$AO$2:$AO$1046,0),COLUMN()),"")</f>
        <v>0</v>
      </c>
      <c r="H560">
        <f>IFERROR(INDEX(装备库!$A$2:$Y$1047,MATCH(ROW()-1,装备库!$AO$2:$AO$1046,0),COLUMN()),"")</f>
        <v>0</v>
      </c>
      <c r="I560">
        <f>IFERROR(INDEX(装备库!$A$2:$Y$1047,MATCH(ROW()-1,装备库!$AO$2:$AO$1046,0),COLUMN()),"")</f>
        <v>2044</v>
      </c>
      <c r="J560">
        <f>IFERROR(INDEX(装备库!$A$2:$Y$1047,MATCH(ROW()-1,装备库!$AO$2:$AO$1046,0),COLUMN()),"")</f>
        <v>1849</v>
      </c>
      <c r="K560">
        <f>IFERROR(INDEX(装备库!$A$2:$Y$1047,MATCH(ROW()-1,装备库!$AO$2:$AO$1046,0),COLUMN()),"")</f>
        <v>0</v>
      </c>
      <c r="L560">
        <f>IFERROR(INDEX(装备库!$A$2:$Y$1047,MATCH(ROW()-1,装备库!$AO$2:$AO$1046,0),COLUMN()),"")</f>
        <v>0</v>
      </c>
      <c r="M560">
        <f>IFERROR(INDEX(装备库!$A$2:$Y$1047,MATCH(ROW()-1,装备库!$AO$2:$AO$1046,0),COLUMN()),"")</f>
        <v>0</v>
      </c>
      <c r="N560">
        <f>IFERROR(INDEX(装备库!$A$2:$Y$1047,MATCH(ROW()-1,装备库!$AO$2:$AO$1046,0),COLUMN()),"")</f>
        <v>0</v>
      </c>
      <c r="O560">
        <f>IFERROR(INDEX(装备库!$A$2:$Y$1047,MATCH(ROW()-1,装备库!$AO$2:$AO$1046,0),COLUMN()),"")</f>
        <v>0</v>
      </c>
      <c r="P560">
        <f>IFERROR(INDEX(装备库!$A$2:$Y$1047,MATCH(ROW()-1,装备库!$AO$2:$AO$1046,0),COLUMN()),"")</f>
        <v>0</v>
      </c>
      <c r="Q560">
        <f>IFERROR(INDEX(装备库!$A$2:$Y$1047,MATCH(ROW()-1,装备库!$AO$2:$AO$1046,0),COLUMN()),"")</f>
        <v>1</v>
      </c>
      <c r="R560">
        <f>IFERROR(INDEX(装备库!$A$2:$Y$1047,MATCH(ROW()-1,装备库!$AO$2:$AO$1046,0),COLUMN()),"")</f>
        <v>0</v>
      </c>
      <c r="S560">
        <f>IFERROR(INDEX(装备库!$A$2:$Y$1047,MATCH(ROW()-1,装备库!$AO$2:$AO$1046,0),COLUMN()),"")</f>
        <v>0</v>
      </c>
      <c r="T560">
        <f>IFERROR(INDEX(装备库!$A$2:$Y$1047,MATCH(ROW()-1,装备库!$AO$2:$AO$1046,0),COLUMN()),"")</f>
        <v>0</v>
      </c>
      <c r="U560">
        <f>IFERROR(INDEX(装备库!$A$2:$Y$1047,MATCH(ROW()-1,装备库!$AO$2:$AO$1046,0),COLUMN()),"")</f>
        <v>0</v>
      </c>
      <c r="V560">
        <f>IFERROR(INDEX(装备库!$A$2:$Y$1047,MATCH(ROW()-1,装备库!$AO$2:$AO$1046,0),COLUMN()),"")</f>
        <v>0</v>
      </c>
      <c r="W560" t="str">
        <f>IFERROR(INDEX(装备库!$A$2:$Y$1047,MATCH(ROW()-1,装备库!$AO$2:$AO$1046,0),COLUMN()),"")</f>
        <v>精简攻招破</v>
      </c>
      <c r="X560">
        <f>IFERROR(INDEX(装备库!$A$2:$Y$1047,MATCH(ROW()-1,装备库!$AO$2:$AO$1046,0),COLUMN()),"")</f>
        <v>3</v>
      </c>
      <c r="Y560" t="str">
        <f>IFERROR(INDEX(装备库!$A$2:$Y$1047,MATCH(ROW()-1,装备库!$AO$2:$AO$1046,0),COLUMN()),"")</f>
        <v>活动</v>
      </c>
    </row>
    <row r="561" spans="1:25" x14ac:dyDescent="0.35">
      <c r="A561" t="str">
        <f>IFERROR(INDEX(装备库!$A$2:$Y$1047,MATCH(ROW()-1,装备库!$AO$2:$AO$1046,0),COLUMN()),"")</f>
        <v>腰坠</v>
      </c>
      <c r="B561" t="str">
        <f>IFERROR(INDEX(装备库!$A$2:$Y$1047,MATCH(ROW()-1,装备库!$AO$2:$AO$1046,0),COLUMN()),"")</f>
        <v>无封腰坠</v>
      </c>
      <c r="C561">
        <f>IFERROR(INDEX(装备库!$A$2:$Y$1047,MATCH(ROW()-1,装备库!$AO$2:$AO$1046,0),COLUMN()),"")</f>
        <v>10000</v>
      </c>
      <c r="D561" t="str">
        <f>IFERROR(INDEX(装备库!$A$2:$Y$1047,MATCH(ROW()-1,装备库!$AO$2:$AO$1046,0),COLUMN()),"")</f>
        <v>无封腰坠(10000精简攻无)</v>
      </c>
      <c r="E561">
        <f>IFERROR(INDEX(装备库!$A$2:$Y$1047,MATCH(ROW()-1,装备库!$AO$2:$AO$1046,0),COLUMN()),"")</f>
        <v>0</v>
      </c>
      <c r="F561">
        <f>IFERROR(INDEX(装备库!$A$2:$Y$1047,MATCH(ROW()-1,装备库!$AO$2:$AO$1046,0),COLUMN()),"")</f>
        <v>1481</v>
      </c>
      <c r="G561">
        <f>IFERROR(INDEX(装备库!$A$2:$Y$1047,MATCH(ROW()-1,装备库!$AO$2:$AO$1046,0),COLUMN()),"")</f>
        <v>0</v>
      </c>
      <c r="H561">
        <f>IFERROR(INDEX(装备库!$A$2:$Y$1047,MATCH(ROW()-1,装备库!$AO$2:$AO$1046,0),COLUMN()),"")</f>
        <v>0</v>
      </c>
      <c r="I561">
        <f>IFERROR(INDEX(装备库!$A$2:$Y$1047,MATCH(ROW()-1,装备库!$AO$2:$AO$1046,0),COLUMN()),"")</f>
        <v>0</v>
      </c>
      <c r="J561">
        <f>IFERROR(INDEX(装备库!$A$2:$Y$1047,MATCH(ROW()-1,装备库!$AO$2:$AO$1046,0),COLUMN()),"")</f>
        <v>0</v>
      </c>
      <c r="K561">
        <f>IFERROR(INDEX(装备库!$A$2:$Y$1047,MATCH(ROW()-1,装备库!$AO$2:$AO$1046,0),COLUMN()),"")</f>
        <v>3358</v>
      </c>
      <c r="L561">
        <f>IFERROR(INDEX(装备库!$A$2:$Y$1047,MATCH(ROW()-1,装备库!$AO$2:$AO$1046,0),COLUMN()),"")</f>
        <v>0</v>
      </c>
      <c r="M561">
        <f>IFERROR(INDEX(装备库!$A$2:$Y$1047,MATCH(ROW()-1,装备库!$AO$2:$AO$1046,0),COLUMN()),"")</f>
        <v>0</v>
      </c>
      <c r="N561">
        <f>IFERROR(INDEX(装备库!$A$2:$Y$1047,MATCH(ROW()-1,装备库!$AO$2:$AO$1046,0),COLUMN()),"")</f>
        <v>0</v>
      </c>
      <c r="O561">
        <f>IFERROR(INDEX(装备库!$A$2:$Y$1047,MATCH(ROW()-1,装备库!$AO$2:$AO$1046,0),COLUMN()),"")</f>
        <v>0</v>
      </c>
      <c r="P561">
        <f>IFERROR(INDEX(装备库!$A$2:$Y$1047,MATCH(ROW()-1,装备库!$AO$2:$AO$1046,0),COLUMN()),"")</f>
        <v>0</v>
      </c>
      <c r="Q561">
        <f>IFERROR(INDEX(装备库!$A$2:$Y$1047,MATCH(ROW()-1,装备库!$AO$2:$AO$1046,0),COLUMN()),"")</f>
        <v>0</v>
      </c>
      <c r="R561">
        <f>IFERROR(INDEX(装备库!$A$2:$Y$1047,MATCH(ROW()-1,装备库!$AO$2:$AO$1046,0),COLUMN()),"")</f>
        <v>0</v>
      </c>
      <c r="S561">
        <f>IFERROR(INDEX(装备库!$A$2:$Y$1047,MATCH(ROW()-1,装备库!$AO$2:$AO$1046,0),COLUMN()),"")</f>
        <v>1</v>
      </c>
      <c r="T561">
        <f>IFERROR(INDEX(装备库!$A$2:$Y$1047,MATCH(ROW()-1,装备库!$AO$2:$AO$1046,0),COLUMN()),"")</f>
        <v>0</v>
      </c>
      <c r="U561">
        <f>IFERROR(INDEX(装备库!$A$2:$Y$1047,MATCH(ROW()-1,装备库!$AO$2:$AO$1046,0),COLUMN()),"")</f>
        <v>0</v>
      </c>
      <c r="V561">
        <f>IFERROR(INDEX(装备库!$A$2:$Y$1047,MATCH(ROW()-1,装备库!$AO$2:$AO$1046,0),COLUMN()),"")</f>
        <v>0</v>
      </c>
      <c r="W561" t="str">
        <f>IFERROR(INDEX(装备库!$A$2:$Y$1047,MATCH(ROW()-1,装备库!$AO$2:$AO$1046,0),COLUMN()),"")</f>
        <v>精简攻无</v>
      </c>
      <c r="X561">
        <f>IFERROR(INDEX(装备库!$A$2:$Y$1047,MATCH(ROW()-1,装备库!$AO$2:$AO$1046,0),COLUMN()),"")</f>
        <v>3</v>
      </c>
      <c r="Y561" t="str">
        <f>IFERROR(INDEX(装备库!$A$2:$Y$1047,MATCH(ROW()-1,装备库!$AO$2:$AO$1046,0),COLUMN()),"")</f>
        <v>活动</v>
      </c>
    </row>
    <row r="562" spans="1:25" x14ac:dyDescent="0.35">
      <c r="A562" t="str">
        <f>IFERROR(INDEX(装备库!$A$2:$Y$1047,MATCH(ROW()-1,装备库!$AO$2:$AO$1046,0),COLUMN()),"")</f>
        <v>腰坠</v>
      </c>
      <c r="B562" t="str">
        <f>IFERROR(INDEX(装备库!$A$2:$Y$1047,MATCH(ROW()-1,装备库!$AO$2:$AO$1046,0),COLUMN()),"")</f>
        <v>无封腰坠</v>
      </c>
      <c r="C562">
        <f>IFERROR(INDEX(装备库!$A$2:$Y$1047,MATCH(ROW()-1,装备库!$AO$2:$AO$1046,0),COLUMN()),"")</f>
        <v>10000</v>
      </c>
      <c r="D562" t="str">
        <f>IFERROR(INDEX(装备库!$A$2:$Y$1047,MATCH(ROW()-1,装备库!$AO$2:$AO$1046,0),COLUMN()),"")</f>
        <v>无封腰坠(10000精简攻会会无)</v>
      </c>
      <c r="E562">
        <f>IFERROR(INDEX(装备库!$A$2:$Y$1047,MATCH(ROW()-1,装备库!$AO$2:$AO$1046,0),COLUMN()),"")</f>
        <v>0</v>
      </c>
      <c r="F562">
        <f>IFERROR(INDEX(装备库!$A$2:$Y$1047,MATCH(ROW()-1,装备库!$AO$2:$AO$1046,0),COLUMN()),"")</f>
        <v>1263</v>
      </c>
      <c r="G562">
        <f>IFERROR(INDEX(装备库!$A$2:$Y$1047,MATCH(ROW()-1,装备库!$AO$2:$AO$1046,0),COLUMN()),"")</f>
        <v>1849</v>
      </c>
      <c r="H562">
        <f>IFERROR(INDEX(装备库!$A$2:$Y$1047,MATCH(ROW()-1,装备库!$AO$2:$AO$1046,0),COLUMN()),"")</f>
        <v>973</v>
      </c>
      <c r="I562">
        <f>IFERROR(INDEX(装备库!$A$2:$Y$1047,MATCH(ROW()-1,装备库!$AO$2:$AO$1046,0),COLUMN()),"")</f>
        <v>0</v>
      </c>
      <c r="J562">
        <f>IFERROR(INDEX(装备库!$A$2:$Y$1047,MATCH(ROW()-1,装备库!$AO$2:$AO$1046,0),COLUMN()),"")</f>
        <v>0</v>
      </c>
      <c r="K562">
        <f>IFERROR(INDEX(装备库!$A$2:$Y$1047,MATCH(ROW()-1,装备库!$AO$2:$AO$1046,0),COLUMN()),"")</f>
        <v>973</v>
      </c>
      <c r="L562">
        <f>IFERROR(INDEX(装备库!$A$2:$Y$1047,MATCH(ROW()-1,装备库!$AO$2:$AO$1046,0),COLUMN()),"")</f>
        <v>0</v>
      </c>
      <c r="M562">
        <f>IFERROR(INDEX(装备库!$A$2:$Y$1047,MATCH(ROW()-1,装备库!$AO$2:$AO$1046,0),COLUMN()),"")</f>
        <v>0</v>
      </c>
      <c r="N562">
        <f>IFERROR(INDEX(装备库!$A$2:$Y$1047,MATCH(ROW()-1,装备库!$AO$2:$AO$1046,0),COLUMN()),"")</f>
        <v>0</v>
      </c>
      <c r="O562">
        <f>IFERROR(INDEX(装备库!$A$2:$Y$1047,MATCH(ROW()-1,装备库!$AO$2:$AO$1046,0),COLUMN()),"")</f>
        <v>0</v>
      </c>
      <c r="P562">
        <f>IFERROR(INDEX(装备库!$A$2:$Y$1047,MATCH(ROW()-1,装备库!$AO$2:$AO$1046,0),COLUMN()),"")</f>
        <v>0</v>
      </c>
      <c r="Q562">
        <f>IFERROR(INDEX(装备库!$A$2:$Y$1047,MATCH(ROW()-1,装备库!$AO$2:$AO$1046,0),COLUMN()),"")</f>
        <v>0</v>
      </c>
      <c r="R562">
        <f>IFERROR(INDEX(装备库!$A$2:$Y$1047,MATCH(ROW()-1,装备库!$AO$2:$AO$1046,0),COLUMN()),"")</f>
        <v>0</v>
      </c>
      <c r="S562">
        <f>IFERROR(INDEX(装备库!$A$2:$Y$1047,MATCH(ROW()-1,装备库!$AO$2:$AO$1046,0),COLUMN()),"")</f>
        <v>1</v>
      </c>
      <c r="T562">
        <f>IFERROR(INDEX(装备库!$A$2:$Y$1047,MATCH(ROW()-1,装备库!$AO$2:$AO$1046,0),COLUMN()),"")</f>
        <v>0</v>
      </c>
      <c r="U562">
        <f>IFERROR(INDEX(装备库!$A$2:$Y$1047,MATCH(ROW()-1,装备库!$AO$2:$AO$1046,0),COLUMN()),"")</f>
        <v>0</v>
      </c>
      <c r="V562">
        <f>IFERROR(INDEX(装备库!$A$2:$Y$1047,MATCH(ROW()-1,装备库!$AO$2:$AO$1046,0),COLUMN()),"")</f>
        <v>0</v>
      </c>
      <c r="W562" t="str">
        <f>IFERROR(INDEX(装备库!$A$2:$Y$1047,MATCH(ROW()-1,装备库!$AO$2:$AO$1046,0),COLUMN()),"")</f>
        <v>精简攻会会无</v>
      </c>
      <c r="X562">
        <f>IFERROR(INDEX(装备库!$A$2:$Y$1047,MATCH(ROW()-1,装备库!$AO$2:$AO$1046,0),COLUMN()),"")</f>
        <v>3</v>
      </c>
      <c r="Y562" t="str">
        <f>IFERROR(INDEX(装备库!$A$2:$Y$1047,MATCH(ROW()-1,装备库!$AO$2:$AO$1046,0),COLUMN()),"")</f>
        <v>活动</v>
      </c>
    </row>
    <row r="563" spans="1:25" x14ac:dyDescent="0.35">
      <c r="A563" t="str">
        <f>IFERROR(INDEX(装备库!$A$2:$Y$1047,MATCH(ROW()-1,装备库!$AO$2:$AO$1046,0),COLUMN()),"")</f>
        <v>腰坠</v>
      </c>
      <c r="B563" t="str">
        <f>IFERROR(INDEX(装备库!$A$2:$Y$1047,MATCH(ROW()-1,装备库!$AO$2:$AO$1046,0),COLUMN()),"")</f>
        <v>临梧坠</v>
      </c>
      <c r="C563">
        <f>IFERROR(INDEX(装备库!$A$2:$Y$1047,MATCH(ROW()-1,装备库!$AO$2:$AO$1046,0),COLUMN()),"")</f>
        <v>10100</v>
      </c>
      <c r="D563" t="str">
        <f>IFERROR(INDEX(装备库!$A$2:$Y$1047,MATCH(ROW()-1,装备库!$AO$2:$AO$1046,0),COLUMN()),"")</f>
        <v>临梧坠(10100会招)</v>
      </c>
      <c r="E563">
        <f>IFERROR(INDEX(装备库!$A$2:$Y$1047,MATCH(ROW()-1,装备库!$AO$2:$AO$1046,0),COLUMN()),"")</f>
        <v>353</v>
      </c>
      <c r="F563">
        <f>IFERROR(INDEX(装备库!$A$2:$Y$1047,MATCH(ROW()-1,装备库!$AO$2:$AO$1046,0),COLUMN()),"")</f>
        <v>572</v>
      </c>
      <c r="G563">
        <f>IFERROR(INDEX(装备库!$A$2:$Y$1047,MATCH(ROW()-1,装备库!$AO$2:$AO$1046,0),COLUMN()),"")</f>
        <v>1769</v>
      </c>
      <c r="H563">
        <f>IFERROR(INDEX(装备库!$A$2:$Y$1047,MATCH(ROW()-1,装备库!$AO$2:$AO$1046,0),COLUMN()),"")</f>
        <v>0</v>
      </c>
      <c r="I563">
        <f>IFERROR(INDEX(装备库!$A$2:$Y$1047,MATCH(ROW()-1,装备库!$AO$2:$AO$1046,0),COLUMN()),"")</f>
        <v>0</v>
      </c>
      <c r="J563">
        <f>IFERROR(INDEX(装备库!$A$2:$Y$1047,MATCH(ROW()-1,装备库!$AO$2:$AO$1046,0),COLUMN()),"")</f>
        <v>1573</v>
      </c>
      <c r="K563">
        <f>IFERROR(INDEX(装备库!$A$2:$Y$1047,MATCH(ROW()-1,装备库!$AO$2:$AO$1046,0),COLUMN()),"")</f>
        <v>0</v>
      </c>
      <c r="L563">
        <f>IFERROR(INDEX(装备库!$A$2:$Y$1047,MATCH(ROW()-1,装备库!$AO$2:$AO$1046,0),COLUMN()),"")</f>
        <v>0</v>
      </c>
      <c r="M563">
        <f>IFERROR(INDEX(装备库!$A$2:$Y$1047,MATCH(ROW()-1,装备库!$AO$2:$AO$1046,0),COLUMN()),"")</f>
        <v>0</v>
      </c>
      <c r="N563">
        <f>IFERROR(INDEX(装备库!$A$2:$Y$1047,MATCH(ROW()-1,装备库!$AO$2:$AO$1046,0),COLUMN()),"")</f>
        <v>0</v>
      </c>
      <c r="O563">
        <f>IFERROR(INDEX(装备库!$A$2:$Y$1047,MATCH(ROW()-1,装备库!$AO$2:$AO$1046,0),COLUMN()),"")</f>
        <v>1</v>
      </c>
      <c r="P563">
        <f>IFERROR(INDEX(装备库!$A$2:$Y$1047,MATCH(ROW()-1,装备库!$AO$2:$AO$1046,0),COLUMN()),"")</f>
        <v>0</v>
      </c>
      <c r="Q563">
        <f>IFERROR(INDEX(装备库!$A$2:$Y$1047,MATCH(ROW()-1,装备库!$AO$2:$AO$1046,0),COLUMN()),"")</f>
        <v>0</v>
      </c>
      <c r="R563">
        <f>IFERROR(INDEX(装备库!$A$2:$Y$1047,MATCH(ROW()-1,装备库!$AO$2:$AO$1046,0),COLUMN()),"")</f>
        <v>0</v>
      </c>
      <c r="S563">
        <f>IFERROR(INDEX(装备库!$A$2:$Y$1047,MATCH(ROW()-1,装备库!$AO$2:$AO$1046,0),COLUMN()),"")</f>
        <v>0</v>
      </c>
      <c r="T563">
        <f>IFERROR(INDEX(装备库!$A$2:$Y$1047,MATCH(ROW()-1,装备库!$AO$2:$AO$1046,0),COLUMN()),"")</f>
        <v>0</v>
      </c>
      <c r="U563">
        <f>IFERROR(INDEX(装备库!$A$2:$Y$1047,MATCH(ROW()-1,装备库!$AO$2:$AO$1046,0),COLUMN()),"")</f>
        <v>0</v>
      </c>
      <c r="V563">
        <f>IFERROR(INDEX(装备库!$A$2:$Y$1047,MATCH(ROW()-1,装备库!$AO$2:$AO$1046,0),COLUMN()),"")</f>
        <v>0</v>
      </c>
      <c r="W563" t="str">
        <f>IFERROR(INDEX(装备库!$A$2:$Y$1047,MATCH(ROW()-1,装备库!$AO$2:$AO$1046,0),COLUMN()),"")</f>
        <v>会招</v>
      </c>
      <c r="X563">
        <f>IFERROR(INDEX(装备库!$A$2:$Y$1047,MATCH(ROW()-1,装备库!$AO$2:$AO$1046,0),COLUMN()),"")</f>
        <v>6</v>
      </c>
      <c r="Y563" t="str">
        <f>IFERROR(INDEX(装备库!$A$2:$Y$1047,MATCH(ROW()-1,装备库!$AO$2:$AO$1046,0),COLUMN()),"")</f>
        <v>声望</v>
      </c>
    </row>
    <row r="564" spans="1:25" x14ac:dyDescent="0.35">
      <c r="A564" t="str">
        <f>IFERROR(INDEX(装备库!$A$2:$Y$1047,MATCH(ROW()-1,装备库!$AO$2:$AO$1046,0),COLUMN()),"")</f>
        <v>腰坠</v>
      </c>
      <c r="B564" t="str">
        <f>IFERROR(INDEX(装备库!$A$2:$Y$1047,MATCH(ROW()-1,装备库!$AO$2:$AO$1046,0),COLUMN()),"")</f>
        <v>元雾坠</v>
      </c>
      <c r="C564">
        <f>IFERROR(INDEX(装备库!$A$2:$Y$1047,MATCH(ROW()-1,装备库!$AO$2:$AO$1046,0),COLUMN()),"")</f>
        <v>10100</v>
      </c>
      <c r="D564" t="str">
        <f>IFERROR(INDEX(装备库!$A$2:$Y$1047,MATCH(ROW()-1,装备库!$AO$2:$AO$1046,0),COLUMN()),"")</f>
        <v>元雾坠(10100会无)</v>
      </c>
      <c r="E564">
        <f>IFERROR(INDEX(装备库!$A$2:$Y$1047,MATCH(ROW()-1,装备库!$AO$2:$AO$1046,0),COLUMN()),"")</f>
        <v>353</v>
      </c>
      <c r="F564">
        <f>IFERROR(INDEX(装备库!$A$2:$Y$1047,MATCH(ROW()-1,装备库!$AO$2:$AO$1046,0),COLUMN()),"")</f>
        <v>572</v>
      </c>
      <c r="G564">
        <f>IFERROR(INDEX(装备库!$A$2:$Y$1047,MATCH(ROW()-1,装备库!$AO$2:$AO$1046,0),COLUMN()),"")</f>
        <v>1769</v>
      </c>
      <c r="H564">
        <f>IFERROR(INDEX(装备库!$A$2:$Y$1047,MATCH(ROW()-1,装备库!$AO$2:$AO$1046,0),COLUMN()),"")</f>
        <v>0</v>
      </c>
      <c r="I564">
        <f>IFERROR(INDEX(装备库!$A$2:$Y$1047,MATCH(ROW()-1,装备库!$AO$2:$AO$1046,0),COLUMN()),"")</f>
        <v>0</v>
      </c>
      <c r="J564">
        <f>IFERROR(INDEX(装备库!$A$2:$Y$1047,MATCH(ROW()-1,装备库!$AO$2:$AO$1046,0),COLUMN()),"")</f>
        <v>0</v>
      </c>
      <c r="K564">
        <f>IFERROR(INDEX(装备库!$A$2:$Y$1047,MATCH(ROW()-1,装备库!$AO$2:$AO$1046,0),COLUMN()),"")</f>
        <v>1573</v>
      </c>
      <c r="L564">
        <f>IFERROR(INDEX(装备库!$A$2:$Y$1047,MATCH(ROW()-1,装备库!$AO$2:$AO$1046,0),COLUMN()),"")</f>
        <v>0</v>
      </c>
      <c r="M564">
        <f>IFERROR(INDEX(装备库!$A$2:$Y$1047,MATCH(ROW()-1,装备库!$AO$2:$AO$1046,0),COLUMN()),"")</f>
        <v>0</v>
      </c>
      <c r="N564">
        <f>IFERROR(INDEX(装备库!$A$2:$Y$1047,MATCH(ROW()-1,装备库!$AO$2:$AO$1046,0),COLUMN()),"")</f>
        <v>0</v>
      </c>
      <c r="O564">
        <f>IFERROR(INDEX(装备库!$A$2:$Y$1047,MATCH(ROW()-1,装备库!$AO$2:$AO$1046,0),COLUMN()),"")</f>
        <v>0</v>
      </c>
      <c r="P564">
        <f>IFERROR(INDEX(装备库!$A$2:$Y$1047,MATCH(ROW()-1,装备库!$AO$2:$AO$1046,0),COLUMN()),"")</f>
        <v>0</v>
      </c>
      <c r="Q564">
        <f>IFERROR(INDEX(装备库!$A$2:$Y$1047,MATCH(ROW()-1,装备库!$AO$2:$AO$1046,0),COLUMN()),"")</f>
        <v>0</v>
      </c>
      <c r="R564">
        <f>IFERROR(INDEX(装备库!$A$2:$Y$1047,MATCH(ROW()-1,装备库!$AO$2:$AO$1046,0),COLUMN()),"")</f>
        <v>0</v>
      </c>
      <c r="S564">
        <f>IFERROR(INDEX(装备库!$A$2:$Y$1047,MATCH(ROW()-1,装备库!$AO$2:$AO$1046,0),COLUMN()),"")</f>
        <v>0</v>
      </c>
      <c r="T564">
        <f>IFERROR(INDEX(装备库!$A$2:$Y$1047,MATCH(ROW()-1,装备库!$AO$2:$AO$1046,0),COLUMN()),"")</f>
        <v>0</v>
      </c>
      <c r="U564">
        <f>IFERROR(INDEX(装备库!$A$2:$Y$1047,MATCH(ROW()-1,装备库!$AO$2:$AO$1046,0),COLUMN()),"")</f>
        <v>1</v>
      </c>
      <c r="V564">
        <f>IFERROR(INDEX(装备库!$A$2:$Y$1047,MATCH(ROW()-1,装备库!$AO$2:$AO$1046,0),COLUMN()),"")</f>
        <v>0</v>
      </c>
      <c r="W564" t="str">
        <f>IFERROR(INDEX(装备库!$A$2:$Y$1047,MATCH(ROW()-1,装备库!$AO$2:$AO$1046,0),COLUMN()),"")</f>
        <v>会无</v>
      </c>
      <c r="X564">
        <f>IFERROR(INDEX(装备库!$A$2:$Y$1047,MATCH(ROW()-1,装备库!$AO$2:$AO$1046,0),COLUMN()),"")</f>
        <v>6</v>
      </c>
      <c r="Y564" t="str">
        <f>IFERROR(INDEX(装备库!$A$2:$Y$1047,MATCH(ROW()-1,装备库!$AO$2:$AO$1046,0),COLUMN()),"")</f>
        <v>声望</v>
      </c>
    </row>
    <row r="565" spans="1:25" x14ac:dyDescent="0.35">
      <c r="A565" t="str">
        <f>IFERROR(INDEX(装备库!$A$2:$Y$1047,MATCH(ROW()-1,装备库!$AO$2:$AO$1046,0),COLUMN()),"")</f>
        <v>腰坠</v>
      </c>
      <c r="B565" t="str">
        <f>IFERROR(INDEX(装备库!$A$2:$Y$1047,MATCH(ROW()-1,装备库!$AO$2:$AO$1046,0),COLUMN()),"")</f>
        <v>玄卢坠</v>
      </c>
      <c r="C565">
        <f>IFERROR(INDEX(装备库!$A$2:$Y$1047,MATCH(ROW()-1,装备库!$AO$2:$AO$1046,0),COLUMN()),"")</f>
        <v>10150</v>
      </c>
      <c r="D565" t="str">
        <f>IFERROR(INDEX(装备库!$A$2:$Y$1047,MATCH(ROW()-1,装备库!$AO$2:$AO$1046,0),COLUMN()),"")</f>
        <v>玄卢坠(10150招破)</v>
      </c>
      <c r="E565">
        <f>IFERROR(INDEX(装备库!$A$2:$Y$1047,MATCH(ROW()-1,装备库!$AO$2:$AO$1046,0),COLUMN()),"")</f>
        <v>354</v>
      </c>
      <c r="F565">
        <f>IFERROR(INDEX(装备库!$A$2:$Y$1047,MATCH(ROW()-1,装备库!$AO$2:$AO$1046,0),COLUMN()),"")</f>
        <v>575</v>
      </c>
      <c r="G565">
        <f>IFERROR(INDEX(装备库!$A$2:$Y$1047,MATCH(ROW()-1,装备库!$AO$2:$AO$1046,0),COLUMN()),"")</f>
        <v>0</v>
      </c>
      <c r="H565">
        <f>IFERROR(INDEX(装备库!$A$2:$Y$1047,MATCH(ROW()-1,装备库!$AO$2:$AO$1046,0),COLUMN()),"")</f>
        <v>0</v>
      </c>
      <c r="I565">
        <f>IFERROR(INDEX(装备库!$A$2:$Y$1047,MATCH(ROW()-1,装备库!$AO$2:$AO$1046,0),COLUMN()),"")</f>
        <v>1778</v>
      </c>
      <c r="J565">
        <f>IFERROR(INDEX(装备库!$A$2:$Y$1047,MATCH(ROW()-1,装备库!$AO$2:$AO$1046,0),COLUMN()),"")</f>
        <v>1581</v>
      </c>
      <c r="K565">
        <f>IFERROR(INDEX(装备库!$A$2:$Y$1047,MATCH(ROW()-1,装备库!$AO$2:$AO$1046,0),COLUMN()),"")</f>
        <v>0</v>
      </c>
      <c r="L565">
        <f>IFERROR(INDEX(装备库!$A$2:$Y$1047,MATCH(ROW()-1,装备库!$AO$2:$AO$1046,0),COLUMN()),"")</f>
        <v>0</v>
      </c>
      <c r="M565">
        <f>IFERROR(INDEX(装备库!$A$2:$Y$1047,MATCH(ROW()-1,装备库!$AO$2:$AO$1046,0),COLUMN()),"")</f>
        <v>0</v>
      </c>
      <c r="N565">
        <f>IFERROR(INDEX(装备库!$A$2:$Y$1047,MATCH(ROW()-1,装备库!$AO$2:$AO$1046,0),COLUMN()),"")</f>
        <v>0</v>
      </c>
      <c r="O565">
        <f>IFERROR(INDEX(装备库!$A$2:$Y$1047,MATCH(ROW()-1,装备库!$AO$2:$AO$1046,0),COLUMN()),"")</f>
        <v>1</v>
      </c>
      <c r="P565">
        <f>IFERROR(INDEX(装备库!$A$2:$Y$1047,MATCH(ROW()-1,装备库!$AO$2:$AO$1046,0),COLUMN()),"")</f>
        <v>0</v>
      </c>
      <c r="Q565">
        <f>IFERROR(INDEX(装备库!$A$2:$Y$1047,MATCH(ROW()-1,装备库!$AO$2:$AO$1046,0),COLUMN()),"")</f>
        <v>0</v>
      </c>
      <c r="R565">
        <f>IFERROR(INDEX(装备库!$A$2:$Y$1047,MATCH(ROW()-1,装备库!$AO$2:$AO$1046,0),COLUMN()),"")</f>
        <v>0</v>
      </c>
      <c r="S565">
        <f>IFERROR(INDEX(装备库!$A$2:$Y$1047,MATCH(ROW()-1,装备库!$AO$2:$AO$1046,0),COLUMN()),"")</f>
        <v>0</v>
      </c>
      <c r="T565">
        <f>IFERROR(INDEX(装备库!$A$2:$Y$1047,MATCH(ROW()-1,装备库!$AO$2:$AO$1046,0),COLUMN()),"")</f>
        <v>0</v>
      </c>
      <c r="U565">
        <f>IFERROR(INDEX(装备库!$A$2:$Y$1047,MATCH(ROW()-1,装备库!$AO$2:$AO$1046,0),COLUMN()),"")</f>
        <v>0</v>
      </c>
      <c r="V565">
        <f>IFERROR(INDEX(装备库!$A$2:$Y$1047,MATCH(ROW()-1,装备库!$AO$2:$AO$1046,0),COLUMN()),"")</f>
        <v>0</v>
      </c>
      <c r="W565" t="str">
        <f>IFERROR(INDEX(装备库!$A$2:$Y$1047,MATCH(ROW()-1,装备库!$AO$2:$AO$1046,0),COLUMN()),"")</f>
        <v>招破</v>
      </c>
      <c r="X565">
        <f>IFERROR(INDEX(装备库!$A$2:$Y$1047,MATCH(ROW()-1,装备库!$AO$2:$AO$1046,0),COLUMN()),"")</f>
        <v>6</v>
      </c>
      <c r="Y565" t="str">
        <f>IFERROR(INDEX(装备库!$A$2:$Y$1047,MATCH(ROW()-1,装备库!$AO$2:$AO$1046,0),COLUMN()),"")</f>
        <v>副本</v>
      </c>
    </row>
    <row r="566" spans="1:25" x14ac:dyDescent="0.35">
      <c r="A566" t="str">
        <f>IFERROR(INDEX(装备库!$A$2:$Y$1047,MATCH(ROW()-1,装备库!$AO$2:$AO$1046,0),COLUMN()),"")</f>
        <v>腰坠</v>
      </c>
      <c r="B566" t="str">
        <f>IFERROR(INDEX(装备库!$A$2:$Y$1047,MATCH(ROW()-1,装备库!$AO$2:$AO$1046,0),COLUMN()),"")</f>
        <v>闲月坠</v>
      </c>
      <c r="C566">
        <f>IFERROR(INDEX(装备库!$A$2:$Y$1047,MATCH(ROW()-1,装备库!$AO$2:$AO$1046,0),COLUMN()),"")</f>
        <v>10150</v>
      </c>
      <c r="D566" t="str">
        <f>IFERROR(INDEX(装备库!$A$2:$Y$1047,MATCH(ROW()-1,装备库!$AO$2:$AO$1046,0),COLUMN()),"")</f>
        <v>闲月坠(10150会招)</v>
      </c>
      <c r="E566">
        <f>IFERROR(INDEX(装备库!$A$2:$Y$1047,MATCH(ROW()-1,装备库!$AO$2:$AO$1046,0),COLUMN()),"")</f>
        <v>354</v>
      </c>
      <c r="F566">
        <f>IFERROR(INDEX(装备库!$A$2:$Y$1047,MATCH(ROW()-1,装备库!$AO$2:$AO$1046,0),COLUMN()),"")</f>
        <v>575</v>
      </c>
      <c r="G566">
        <f>IFERROR(INDEX(装备库!$A$2:$Y$1047,MATCH(ROW()-1,装备库!$AO$2:$AO$1046,0),COLUMN()),"")</f>
        <v>1778</v>
      </c>
      <c r="H566">
        <f>IFERROR(INDEX(装备库!$A$2:$Y$1047,MATCH(ROW()-1,装备库!$AO$2:$AO$1046,0),COLUMN()),"")</f>
        <v>0</v>
      </c>
      <c r="I566">
        <f>IFERROR(INDEX(装备库!$A$2:$Y$1047,MATCH(ROW()-1,装备库!$AO$2:$AO$1046,0),COLUMN()),"")</f>
        <v>0</v>
      </c>
      <c r="J566">
        <f>IFERROR(INDEX(装备库!$A$2:$Y$1047,MATCH(ROW()-1,装备库!$AO$2:$AO$1046,0),COLUMN()),"")</f>
        <v>1581</v>
      </c>
      <c r="K566">
        <f>IFERROR(INDEX(装备库!$A$2:$Y$1047,MATCH(ROW()-1,装备库!$AO$2:$AO$1046,0),COLUMN()),"")</f>
        <v>0</v>
      </c>
      <c r="L566">
        <f>IFERROR(INDEX(装备库!$A$2:$Y$1047,MATCH(ROW()-1,装备库!$AO$2:$AO$1046,0),COLUMN()),"")</f>
        <v>0</v>
      </c>
      <c r="M566">
        <f>IFERROR(INDEX(装备库!$A$2:$Y$1047,MATCH(ROW()-1,装备库!$AO$2:$AO$1046,0),COLUMN()),"")</f>
        <v>0</v>
      </c>
      <c r="N566">
        <f>IFERROR(INDEX(装备库!$A$2:$Y$1047,MATCH(ROW()-1,装备库!$AO$2:$AO$1046,0),COLUMN()),"")</f>
        <v>0</v>
      </c>
      <c r="O566">
        <f>IFERROR(INDEX(装备库!$A$2:$Y$1047,MATCH(ROW()-1,装备库!$AO$2:$AO$1046,0),COLUMN()),"")</f>
        <v>1</v>
      </c>
      <c r="P566">
        <f>IFERROR(INDEX(装备库!$A$2:$Y$1047,MATCH(ROW()-1,装备库!$AO$2:$AO$1046,0),COLUMN()),"")</f>
        <v>0</v>
      </c>
      <c r="Q566">
        <f>IFERROR(INDEX(装备库!$A$2:$Y$1047,MATCH(ROW()-1,装备库!$AO$2:$AO$1046,0),COLUMN()),"")</f>
        <v>0</v>
      </c>
      <c r="R566">
        <f>IFERROR(INDEX(装备库!$A$2:$Y$1047,MATCH(ROW()-1,装备库!$AO$2:$AO$1046,0),COLUMN()),"")</f>
        <v>0</v>
      </c>
      <c r="S566">
        <f>IFERROR(INDEX(装备库!$A$2:$Y$1047,MATCH(ROW()-1,装备库!$AO$2:$AO$1046,0),COLUMN()),"")</f>
        <v>0</v>
      </c>
      <c r="T566">
        <f>IFERROR(INDEX(装备库!$A$2:$Y$1047,MATCH(ROW()-1,装备库!$AO$2:$AO$1046,0),COLUMN()),"")</f>
        <v>0</v>
      </c>
      <c r="U566">
        <f>IFERROR(INDEX(装备库!$A$2:$Y$1047,MATCH(ROW()-1,装备库!$AO$2:$AO$1046,0),COLUMN()),"")</f>
        <v>0</v>
      </c>
      <c r="V566">
        <f>IFERROR(INDEX(装备库!$A$2:$Y$1047,MATCH(ROW()-1,装备库!$AO$2:$AO$1046,0),COLUMN()),"")</f>
        <v>0</v>
      </c>
      <c r="W566" t="str">
        <f>IFERROR(INDEX(装备库!$A$2:$Y$1047,MATCH(ROW()-1,装备库!$AO$2:$AO$1046,0),COLUMN()),"")</f>
        <v>会招</v>
      </c>
      <c r="X566">
        <f>IFERROR(INDEX(装备库!$A$2:$Y$1047,MATCH(ROW()-1,装备库!$AO$2:$AO$1046,0),COLUMN()),"")</f>
        <v>6</v>
      </c>
      <c r="Y566" t="str">
        <f>IFERROR(INDEX(装备库!$A$2:$Y$1047,MATCH(ROW()-1,装备库!$AO$2:$AO$1046,0),COLUMN()),"")</f>
        <v>副本</v>
      </c>
    </row>
    <row r="567" spans="1:25" x14ac:dyDescent="0.35">
      <c r="A567" t="str">
        <f>IFERROR(INDEX(装备库!$A$2:$Y$1047,MATCH(ROW()-1,装备库!$AO$2:$AO$1046,0),COLUMN()),"")</f>
        <v>腰坠</v>
      </c>
      <c r="B567" t="str">
        <f>IFERROR(INDEX(装备库!$A$2:$Y$1047,MATCH(ROW()-1,装备库!$AO$2:$AO$1046,0),COLUMN()),"")</f>
        <v>无封腰坠</v>
      </c>
      <c r="C567">
        <f>IFERROR(INDEX(装备库!$A$2:$Y$1047,MATCH(ROW()-1,装备库!$AO$2:$AO$1046,0),COLUMN()),"")</f>
        <v>10300</v>
      </c>
      <c r="D567" t="str">
        <f>IFERROR(INDEX(装备库!$A$2:$Y$1047,MATCH(ROW()-1,装备库!$AO$2:$AO$1046,0),COLUMN()),"")</f>
        <v>无封腰坠(10300精简攻会破)</v>
      </c>
      <c r="E567">
        <f>IFERROR(INDEX(装备库!$A$2:$Y$1047,MATCH(ROW()-1,装备库!$AO$2:$AO$1046,0),COLUMN()),"")</f>
        <v>0</v>
      </c>
      <c r="F567">
        <f>IFERROR(INDEX(装备库!$A$2:$Y$1047,MATCH(ROW()-1,装备库!$AO$2:$AO$1046,0),COLUMN()),"")</f>
        <v>1301</v>
      </c>
      <c r="G567">
        <f>IFERROR(INDEX(装备库!$A$2:$Y$1047,MATCH(ROW()-1,装备库!$AO$2:$AO$1046,0),COLUMN()),"")</f>
        <v>2005</v>
      </c>
      <c r="H567">
        <f>IFERROR(INDEX(装备库!$A$2:$Y$1047,MATCH(ROW()-1,装备库!$AO$2:$AO$1046,0),COLUMN()),"")</f>
        <v>0</v>
      </c>
      <c r="I567">
        <f>IFERROR(INDEX(装备库!$A$2:$Y$1047,MATCH(ROW()-1,装备库!$AO$2:$AO$1046,0),COLUMN()),"")</f>
        <v>2005</v>
      </c>
      <c r="J567">
        <f>IFERROR(INDEX(装备库!$A$2:$Y$1047,MATCH(ROW()-1,装备库!$AO$2:$AO$1046,0),COLUMN()),"")</f>
        <v>0</v>
      </c>
      <c r="K567">
        <f>IFERROR(INDEX(装备库!$A$2:$Y$1047,MATCH(ROW()-1,装备库!$AO$2:$AO$1046,0),COLUMN()),"")</f>
        <v>0</v>
      </c>
      <c r="L567">
        <f>IFERROR(INDEX(装备库!$A$2:$Y$1047,MATCH(ROW()-1,装备库!$AO$2:$AO$1046,0),COLUMN()),"")</f>
        <v>0</v>
      </c>
      <c r="M567">
        <f>IFERROR(INDEX(装备库!$A$2:$Y$1047,MATCH(ROW()-1,装备库!$AO$2:$AO$1046,0),COLUMN()),"")</f>
        <v>0</v>
      </c>
      <c r="N567">
        <f>IFERROR(INDEX(装备库!$A$2:$Y$1047,MATCH(ROW()-1,装备库!$AO$2:$AO$1046,0),COLUMN()),"")</f>
        <v>0</v>
      </c>
      <c r="O567">
        <f>IFERROR(INDEX(装备库!$A$2:$Y$1047,MATCH(ROW()-1,装备库!$AO$2:$AO$1046,0),COLUMN()),"")</f>
        <v>0</v>
      </c>
      <c r="P567">
        <f>IFERROR(INDEX(装备库!$A$2:$Y$1047,MATCH(ROW()-1,装备库!$AO$2:$AO$1046,0),COLUMN()),"")</f>
        <v>0</v>
      </c>
      <c r="Q567">
        <f>IFERROR(INDEX(装备库!$A$2:$Y$1047,MATCH(ROW()-1,装备库!$AO$2:$AO$1046,0),COLUMN()),"")</f>
        <v>0</v>
      </c>
      <c r="R567">
        <f>IFERROR(INDEX(装备库!$A$2:$Y$1047,MATCH(ROW()-1,装备库!$AO$2:$AO$1046,0),COLUMN()),"")</f>
        <v>0</v>
      </c>
      <c r="S567">
        <f>IFERROR(INDEX(装备库!$A$2:$Y$1047,MATCH(ROW()-1,装备库!$AO$2:$AO$1046,0),COLUMN()),"")</f>
        <v>0</v>
      </c>
      <c r="T567">
        <f>IFERROR(INDEX(装备库!$A$2:$Y$1047,MATCH(ROW()-1,装备库!$AO$2:$AO$1046,0),COLUMN()),"")</f>
        <v>1</v>
      </c>
      <c r="U567">
        <f>IFERROR(INDEX(装备库!$A$2:$Y$1047,MATCH(ROW()-1,装备库!$AO$2:$AO$1046,0),COLUMN()),"")</f>
        <v>0</v>
      </c>
      <c r="V567">
        <f>IFERROR(INDEX(装备库!$A$2:$Y$1047,MATCH(ROW()-1,装备库!$AO$2:$AO$1046,0),COLUMN()),"")</f>
        <v>0</v>
      </c>
      <c r="W567" t="str">
        <f>IFERROR(INDEX(装备库!$A$2:$Y$1047,MATCH(ROW()-1,装备库!$AO$2:$AO$1046,0),COLUMN()),"")</f>
        <v>精简攻会破</v>
      </c>
      <c r="X567">
        <f>IFERROR(INDEX(装备库!$A$2:$Y$1047,MATCH(ROW()-1,装备库!$AO$2:$AO$1046,0),COLUMN()),"")</f>
        <v>3</v>
      </c>
      <c r="Y567" t="str">
        <f>IFERROR(INDEX(装备库!$A$2:$Y$1047,MATCH(ROW()-1,装备库!$AO$2:$AO$1046,0),COLUMN()),"")</f>
        <v>活动</v>
      </c>
    </row>
    <row r="568" spans="1:25" x14ac:dyDescent="0.35">
      <c r="A568" t="str">
        <f>IFERROR(INDEX(装备库!$A$2:$Y$1047,MATCH(ROW()-1,装备库!$AO$2:$AO$1046,0),COLUMN()),"")</f>
        <v>腰坠</v>
      </c>
      <c r="B568" t="str">
        <f>IFERROR(INDEX(装备库!$A$2:$Y$1047,MATCH(ROW()-1,装备库!$AO$2:$AO$1046,0),COLUMN()),"")</f>
        <v>无封腰坠</v>
      </c>
      <c r="C568">
        <f>IFERROR(INDEX(装备库!$A$2:$Y$1047,MATCH(ROW()-1,装备库!$AO$2:$AO$1046,0),COLUMN()),"")</f>
        <v>10300</v>
      </c>
      <c r="D568" t="str">
        <f>IFERROR(INDEX(装备库!$A$2:$Y$1047,MATCH(ROW()-1,装备库!$AO$2:$AO$1046,0),COLUMN()),"")</f>
        <v>无封腰坠(10300精简攻会会破)</v>
      </c>
      <c r="E568">
        <f>IFERROR(INDEX(装备库!$A$2:$Y$1047,MATCH(ROW()-1,装备库!$AO$2:$AO$1046,0),COLUMN()),"")</f>
        <v>0</v>
      </c>
      <c r="F568">
        <f>IFERROR(INDEX(装备库!$A$2:$Y$1047,MATCH(ROW()-1,装备库!$AO$2:$AO$1046,0),COLUMN()),"")</f>
        <v>1301</v>
      </c>
      <c r="G568">
        <f>IFERROR(INDEX(装备库!$A$2:$Y$1047,MATCH(ROW()-1,装备库!$AO$2:$AO$1046,0),COLUMN()),"")</f>
        <v>1504</v>
      </c>
      <c r="H568">
        <f>IFERROR(INDEX(装备库!$A$2:$Y$1047,MATCH(ROW()-1,装备库!$AO$2:$AO$1046,0),COLUMN()),"")</f>
        <v>1002</v>
      </c>
      <c r="I568">
        <f>IFERROR(INDEX(装备库!$A$2:$Y$1047,MATCH(ROW()-1,装备库!$AO$2:$AO$1046,0),COLUMN()),"")</f>
        <v>1403</v>
      </c>
      <c r="J568">
        <f>IFERROR(INDEX(装备库!$A$2:$Y$1047,MATCH(ROW()-1,装备库!$AO$2:$AO$1046,0),COLUMN()),"")</f>
        <v>0</v>
      </c>
      <c r="K568">
        <f>IFERROR(INDEX(装备库!$A$2:$Y$1047,MATCH(ROW()-1,装备库!$AO$2:$AO$1046,0),COLUMN()),"")</f>
        <v>0</v>
      </c>
      <c r="L568">
        <f>IFERROR(INDEX(装备库!$A$2:$Y$1047,MATCH(ROW()-1,装备库!$AO$2:$AO$1046,0),COLUMN()),"")</f>
        <v>0</v>
      </c>
      <c r="M568">
        <f>IFERROR(INDEX(装备库!$A$2:$Y$1047,MATCH(ROW()-1,装备库!$AO$2:$AO$1046,0),COLUMN()),"")</f>
        <v>0</v>
      </c>
      <c r="N568">
        <f>IFERROR(INDEX(装备库!$A$2:$Y$1047,MATCH(ROW()-1,装备库!$AO$2:$AO$1046,0),COLUMN()),"")</f>
        <v>0</v>
      </c>
      <c r="O568">
        <f>IFERROR(INDEX(装备库!$A$2:$Y$1047,MATCH(ROW()-1,装备库!$AO$2:$AO$1046,0),COLUMN()),"")</f>
        <v>0</v>
      </c>
      <c r="P568">
        <f>IFERROR(INDEX(装备库!$A$2:$Y$1047,MATCH(ROW()-1,装备库!$AO$2:$AO$1046,0),COLUMN()),"")</f>
        <v>0</v>
      </c>
      <c r="Q568">
        <f>IFERROR(INDEX(装备库!$A$2:$Y$1047,MATCH(ROW()-1,装备库!$AO$2:$AO$1046,0),COLUMN()),"")</f>
        <v>0</v>
      </c>
      <c r="R568">
        <f>IFERROR(INDEX(装备库!$A$2:$Y$1047,MATCH(ROW()-1,装备库!$AO$2:$AO$1046,0),COLUMN()),"")</f>
        <v>0</v>
      </c>
      <c r="S568">
        <f>IFERROR(INDEX(装备库!$A$2:$Y$1047,MATCH(ROW()-1,装备库!$AO$2:$AO$1046,0),COLUMN()),"")</f>
        <v>0</v>
      </c>
      <c r="T568">
        <f>IFERROR(INDEX(装备库!$A$2:$Y$1047,MATCH(ROW()-1,装备库!$AO$2:$AO$1046,0),COLUMN()),"")</f>
        <v>1</v>
      </c>
      <c r="U568">
        <f>IFERROR(INDEX(装备库!$A$2:$Y$1047,MATCH(ROW()-1,装备库!$AO$2:$AO$1046,0),COLUMN()),"")</f>
        <v>0</v>
      </c>
      <c r="V568">
        <f>IFERROR(INDEX(装备库!$A$2:$Y$1047,MATCH(ROW()-1,装备库!$AO$2:$AO$1046,0),COLUMN()),"")</f>
        <v>0</v>
      </c>
      <c r="W568" t="str">
        <f>IFERROR(INDEX(装备库!$A$2:$Y$1047,MATCH(ROW()-1,装备库!$AO$2:$AO$1046,0),COLUMN()),"")</f>
        <v>精简攻会会破</v>
      </c>
      <c r="X568">
        <f>IFERROR(INDEX(装备库!$A$2:$Y$1047,MATCH(ROW()-1,装备库!$AO$2:$AO$1046,0),COLUMN()),"")</f>
        <v>3</v>
      </c>
      <c r="Y568" t="str">
        <f>IFERROR(INDEX(装备库!$A$2:$Y$1047,MATCH(ROW()-1,装备库!$AO$2:$AO$1046,0),COLUMN()),"")</f>
        <v>活动</v>
      </c>
    </row>
    <row r="569" spans="1:25" x14ac:dyDescent="0.35">
      <c r="A569" t="str">
        <f>IFERROR(INDEX(装备库!$A$2:$Y$1047,MATCH(ROW()-1,装备库!$AO$2:$AO$1046,0),COLUMN()),"")</f>
        <v>腰坠</v>
      </c>
      <c r="B569" t="str">
        <f>IFERROR(INDEX(装备库!$A$2:$Y$1047,MATCH(ROW()-1,装备库!$AO$2:$AO$1046,0),COLUMN()),"")</f>
        <v>无封腰坠</v>
      </c>
      <c r="C569">
        <f>IFERROR(INDEX(装备库!$A$2:$Y$1047,MATCH(ROW()-1,装备库!$AO$2:$AO$1046,0),COLUMN()),"")</f>
        <v>10300</v>
      </c>
      <c r="D569" t="str">
        <f>IFERROR(INDEX(装备库!$A$2:$Y$1047,MATCH(ROW()-1,装备库!$AO$2:$AO$1046,0),COLUMN()),"")</f>
        <v>无封腰坠(10300精简攻会)</v>
      </c>
      <c r="E569">
        <f>IFERROR(INDEX(装备库!$A$2:$Y$1047,MATCH(ROW()-1,装备库!$AO$2:$AO$1046,0),COLUMN()),"")</f>
        <v>0</v>
      </c>
      <c r="F569">
        <f>IFERROR(INDEX(装备库!$A$2:$Y$1047,MATCH(ROW()-1,装备库!$AO$2:$AO$1046,0),COLUMN()),"")</f>
        <v>1526</v>
      </c>
      <c r="G569">
        <f>IFERROR(INDEX(装备库!$A$2:$Y$1047,MATCH(ROW()-1,装备库!$AO$2:$AO$1046,0),COLUMN()),"")</f>
        <v>3458</v>
      </c>
      <c r="H569">
        <f>IFERROR(INDEX(装备库!$A$2:$Y$1047,MATCH(ROW()-1,装备库!$AO$2:$AO$1046,0),COLUMN()),"")</f>
        <v>0</v>
      </c>
      <c r="I569">
        <f>IFERROR(INDEX(装备库!$A$2:$Y$1047,MATCH(ROW()-1,装备库!$AO$2:$AO$1046,0),COLUMN()),"")</f>
        <v>0</v>
      </c>
      <c r="J569">
        <f>IFERROR(INDEX(装备库!$A$2:$Y$1047,MATCH(ROW()-1,装备库!$AO$2:$AO$1046,0),COLUMN()),"")</f>
        <v>0</v>
      </c>
      <c r="K569">
        <f>IFERROR(INDEX(装备库!$A$2:$Y$1047,MATCH(ROW()-1,装备库!$AO$2:$AO$1046,0),COLUMN()),"")</f>
        <v>0</v>
      </c>
      <c r="L569">
        <f>IFERROR(INDEX(装备库!$A$2:$Y$1047,MATCH(ROW()-1,装备库!$AO$2:$AO$1046,0),COLUMN()),"")</f>
        <v>0</v>
      </c>
      <c r="M569">
        <f>IFERROR(INDEX(装备库!$A$2:$Y$1047,MATCH(ROW()-1,装备库!$AO$2:$AO$1046,0),COLUMN()),"")</f>
        <v>0</v>
      </c>
      <c r="N569">
        <f>IFERROR(INDEX(装备库!$A$2:$Y$1047,MATCH(ROW()-1,装备库!$AO$2:$AO$1046,0),COLUMN()),"")</f>
        <v>0</v>
      </c>
      <c r="O569">
        <f>IFERROR(INDEX(装备库!$A$2:$Y$1047,MATCH(ROW()-1,装备库!$AO$2:$AO$1046,0),COLUMN()),"")</f>
        <v>0</v>
      </c>
      <c r="P569">
        <f>IFERROR(INDEX(装备库!$A$2:$Y$1047,MATCH(ROW()-1,装备库!$AO$2:$AO$1046,0),COLUMN()),"")</f>
        <v>0</v>
      </c>
      <c r="Q569">
        <f>IFERROR(INDEX(装备库!$A$2:$Y$1047,MATCH(ROW()-1,装备库!$AO$2:$AO$1046,0),COLUMN()),"")</f>
        <v>0</v>
      </c>
      <c r="R569">
        <f>IFERROR(INDEX(装备库!$A$2:$Y$1047,MATCH(ROW()-1,装备库!$AO$2:$AO$1046,0),COLUMN()),"")</f>
        <v>1</v>
      </c>
      <c r="S569">
        <f>IFERROR(INDEX(装备库!$A$2:$Y$1047,MATCH(ROW()-1,装备库!$AO$2:$AO$1046,0),COLUMN()),"")</f>
        <v>0</v>
      </c>
      <c r="T569">
        <f>IFERROR(INDEX(装备库!$A$2:$Y$1047,MATCH(ROW()-1,装备库!$AO$2:$AO$1046,0),COLUMN()),"")</f>
        <v>0</v>
      </c>
      <c r="U569">
        <f>IFERROR(INDEX(装备库!$A$2:$Y$1047,MATCH(ROW()-1,装备库!$AO$2:$AO$1046,0),COLUMN()),"")</f>
        <v>0</v>
      </c>
      <c r="V569">
        <f>IFERROR(INDEX(装备库!$A$2:$Y$1047,MATCH(ROW()-1,装备库!$AO$2:$AO$1046,0),COLUMN()),"")</f>
        <v>0</v>
      </c>
      <c r="W569" t="str">
        <f>IFERROR(INDEX(装备库!$A$2:$Y$1047,MATCH(ROW()-1,装备库!$AO$2:$AO$1046,0),COLUMN()),"")</f>
        <v>精简攻会</v>
      </c>
      <c r="X569">
        <f>IFERROR(INDEX(装备库!$A$2:$Y$1047,MATCH(ROW()-1,装备库!$AO$2:$AO$1046,0),COLUMN()),"")</f>
        <v>3</v>
      </c>
      <c r="Y569" t="str">
        <f>IFERROR(INDEX(装备库!$A$2:$Y$1047,MATCH(ROW()-1,装备库!$AO$2:$AO$1046,0),COLUMN()),"")</f>
        <v>活动</v>
      </c>
    </row>
    <row r="570" spans="1:25" x14ac:dyDescent="0.35">
      <c r="A570" t="str">
        <f>IFERROR(INDEX(装备库!$A$2:$Y$1047,MATCH(ROW()-1,装备库!$AO$2:$AO$1046,0),COLUMN()),"")</f>
        <v>腰坠</v>
      </c>
      <c r="B570" t="str">
        <f>IFERROR(INDEX(装备库!$A$2:$Y$1047,MATCH(ROW()-1,装备库!$AO$2:$AO$1046,0),COLUMN()),"")</f>
        <v>定酣坠</v>
      </c>
      <c r="C570">
        <f>IFERROR(INDEX(装备库!$A$2:$Y$1047,MATCH(ROW()-1,装备库!$AO$2:$AO$1046,0),COLUMN()),"")</f>
        <v>10350</v>
      </c>
      <c r="D570" t="str">
        <f>IFERROR(INDEX(装备库!$A$2:$Y$1047,MATCH(ROW()-1,装备库!$AO$2:$AO$1046,0),COLUMN()),"")</f>
        <v>定酣坠(10350会无)</v>
      </c>
      <c r="E570">
        <f>IFERROR(INDEX(装备库!$A$2:$Y$1047,MATCH(ROW()-1,装备库!$AO$2:$AO$1046,0),COLUMN()),"")</f>
        <v>361</v>
      </c>
      <c r="F570">
        <f>IFERROR(INDEX(装备库!$A$2:$Y$1047,MATCH(ROW()-1,装备库!$AO$2:$AO$1046,0),COLUMN()),"")</f>
        <v>586</v>
      </c>
      <c r="G570">
        <f>IFERROR(INDEX(装备库!$A$2:$Y$1047,MATCH(ROW()-1,装备库!$AO$2:$AO$1046,0),COLUMN()),"")</f>
        <v>1813</v>
      </c>
      <c r="H570">
        <f>IFERROR(INDEX(装备库!$A$2:$Y$1047,MATCH(ROW()-1,装备库!$AO$2:$AO$1046,0),COLUMN()),"")</f>
        <v>0</v>
      </c>
      <c r="I570">
        <f>IFERROR(INDEX(装备库!$A$2:$Y$1047,MATCH(ROW()-1,装备库!$AO$2:$AO$1046,0),COLUMN()),"")</f>
        <v>0</v>
      </c>
      <c r="J570">
        <f>IFERROR(INDEX(装备库!$A$2:$Y$1047,MATCH(ROW()-1,装备库!$AO$2:$AO$1046,0),COLUMN()),"")</f>
        <v>0</v>
      </c>
      <c r="K570">
        <f>IFERROR(INDEX(装备库!$A$2:$Y$1047,MATCH(ROW()-1,装备库!$AO$2:$AO$1046,0),COLUMN()),"")</f>
        <v>1612</v>
      </c>
      <c r="L570">
        <f>IFERROR(INDEX(装备库!$A$2:$Y$1047,MATCH(ROW()-1,装备库!$AO$2:$AO$1046,0),COLUMN()),"")</f>
        <v>0</v>
      </c>
      <c r="M570">
        <f>IFERROR(INDEX(装备库!$A$2:$Y$1047,MATCH(ROW()-1,装备库!$AO$2:$AO$1046,0),COLUMN()),"")</f>
        <v>0</v>
      </c>
      <c r="N570">
        <f>IFERROR(INDEX(装备库!$A$2:$Y$1047,MATCH(ROW()-1,装备库!$AO$2:$AO$1046,0),COLUMN()),"")</f>
        <v>0</v>
      </c>
      <c r="O570">
        <f>IFERROR(INDEX(装备库!$A$2:$Y$1047,MATCH(ROW()-1,装备库!$AO$2:$AO$1046,0),COLUMN()),"")</f>
        <v>0</v>
      </c>
      <c r="P570">
        <f>IFERROR(INDEX(装备库!$A$2:$Y$1047,MATCH(ROW()-1,装备库!$AO$2:$AO$1046,0),COLUMN()),"")</f>
        <v>0</v>
      </c>
      <c r="Q570">
        <f>IFERROR(INDEX(装备库!$A$2:$Y$1047,MATCH(ROW()-1,装备库!$AO$2:$AO$1046,0),COLUMN()),"")</f>
        <v>0</v>
      </c>
      <c r="R570">
        <f>IFERROR(INDEX(装备库!$A$2:$Y$1047,MATCH(ROW()-1,装备库!$AO$2:$AO$1046,0),COLUMN()),"")</f>
        <v>0</v>
      </c>
      <c r="S570">
        <f>IFERROR(INDEX(装备库!$A$2:$Y$1047,MATCH(ROW()-1,装备库!$AO$2:$AO$1046,0),COLUMN()),"")</f>
        <v>0</v>
      </c>
      <c r="T570">
        <f>IFERROR(INDEX(装备库!$A$2:$Y$1047,MATCH(ROW()-1,装备库!$AO$2:$AO$1046,0),COLUMN()),"")</f>
        <v>0</v>
      </c>
      <c r="U570">
        <f>IFERROR(INDEX(装备库!$A$2:$Y$1047,MATCH(ROW()-1,装备库!$AO$2:$AO$1046,0),COLUMN()),"")</f>
        <v>1</v>
      </c>
      <c r="V570">
        <f>IFERROR(INDEX(装备库!$A$2:$Y$1047,MATCH(ROW()-1,装备库!$AO$2:$AO$1046,0),COLUMN()),"")</f>
        <v>0</v>
      </c>
      <c r="W570" t="str">
        <f>IFERROR(INDEX(装备库!$A$2:$Y$1047,MATCH(ROW()-1,装备库!$AO$2:$AO$1046,0),COLUMN()),"")</f>
        <v>会无</v>
      </c>
      <c r="X570">
        <f>IFERROR(INDEX(装备库!$A$2:$Y$1047,MATCH(ROW()-1,装备库!$AO$2:$AO$1046,0),COLUMN()),"")</f>
        <v>6</v>
      </c>
      <c r="Y570" t="str">
        <f>IFERROR(INDEX(装备库!$A$2:$Y$1047,MATCH(ROW()-1,装备库!$AO$2:$AO$1046,0),COLUMN()),"")</f>
        <v>声望</v>
      </c>
    </row>
    <row r="571" spans="1:25" x14ac:dyDescent="0.35">
      <c r="A571" t="str">
        <f>IFERROR(INDEX(装备库!$A$2:$Y$1047,MATCH(ROW()-1,装备库!$AO$2:$AO$1046,0),COLUMN()),"")</f>
        <v>腰坠</v>
      </c>
      <c r="B571" t="str">
        <f>IFERROR(INDEX(装备库!$A$2:$Y$1047,MATCH(ROW()-1,装备库!$AO$2:$AO$1046,0),COLUMN()),"")</f>
        <v>虚韵坠</v>
      </c>
      <c r="C571">
        <f>IFERROR(INDEX(装备库!$A$2:$Y$1047,MATCH(ROW()-1,装备库!$AO$2:$AO$1046,0),COLUMN()),"")</f>
        <v>10400</v>
      </c>
      <c r="D571" t="str">
        <f>IFERROR(INDEX(装备库!$A$2:$Y$1047,MATCH(ROW()-1,装备库!$AO$2:$AO$1046,0),COLUMN()),"")</f>
        <v>虚韵坠(10400破无)</v>
      </c>
      <c r="E571">
        <f>IFERROR(INDEX(装备库!$A$2:$Y$1047,MATCH(ROW()-1,装备库!$AO$2:$AO$1046,0),COLUMN()),"")</f>
        <v>363</v>
      </c>
      <c r="F571">
        <f>IFERROR(INDEX(装备库!$A$2:$Y$1047,MATCH(ROW()-1,装备库!$AO$2:$AO$1046,0),COLUMN()),"")</f>
        <v>589</v>
      </c>
      <c r="G571">
        <f>IFERROR(INDEX(装备库!$A$2:$Y$1047,MATCH(ROW()-1,装备库!$AO$2:$AO$1046,0),COLUMN()),"")</f>
        <v>0</v>
      </c>
      <c r="H571">
        <f>IFERROR(INDEX(装备库!$A$2:$Y$1047,MATCH(ROW()-1,装备库!$AO$2:$AO$1046,0),COLUMN()),"")</f>
        <v>0</v>
      </c>
      <c r="I571">
        <f>IFERROR(INDEX(装备库!$A$2:$Y$1047,MATCH(ROW()-1,装备库!$AO$2:$AO$1046,0),COLUMN()),"")</f>
        <v>1822</v>
      </c>
      <c r="J571">
        <f>IFERROR(INDEX(装备库!$A$2:$Y$1047,MATCH(ROW()-1,装备库!$AO$2:$AO$1046,0),COLUMN()),"")</f>
        <v>0</v>
      </c>
      <c r="K571">
        <f>IFERROR(INDEX(装备库!$A$2:$Y$1047,MATCH(ROW()-1,装备库!$AO$2:$AO$1046,0),COLUMN()),"")</f>
        <v>1619</v>
      </c>
      <c r="L571">
        <f>IFERROR(INDEX(装备库!$A$2:$Y$1047,MATCH(ROW()-1,装备库!$AO$2:$AO$1046,0),COLUMN()),"")</f>
        <v>0</v>
      </c>
      <c r="M571">
        <f>IFERROR(INDEX(装备库!$A$2:$Y$1047,MATCH(ROW()-1,装备库!$AO$2:$AO$1046,0),COLUMN()),"")</f>
        <v>0</v>
      </c>
      <c r="N571">
        <f>IFERROR(INDEX(装备库!$A$2:$Y$1047,MATCH(ROW()-1,装备库!$AO$2:$AO$1046,0),COLUMN()),"")</f>
        <v>0</v>
      </c>
      <c r="O571">
        <f>IFERROR(INDEX(装备库!$A$2:$Y$1047,MATCH(ROW()-1,装备库!$AO$2:$AO$1046,0),COLUMN()),"")</f>
        <v>0</v>
      </c>
      <c r="P571">
        <f>IFERROR(INDEX(装备库!$A$2:$Y$1047,MATCH(ROW()-1,装备库!$AO$2:$AO$1046,0),COLUMN()),"")</f>
        <v>0</v>
      </c>
      <c r="Q571">
        <f>IFERROR(INDEX(装备库!$A$2:$Y$1047,MATCH(ROW()-1,装备库!$AO$2:$AO$1046,0),COLUMN()),"")</f>
        <v>0</v>
      </c>
      <c r="R571">
        <f>IFERROR(INDEX(装备库!$A$2:$Y$1047,MATCH(ROW()-1,装备库!$AO$2:$AO$1046,0),COLUMN()),"")</f>
        <v>0</v>
      </c>
      <c r="S571">
        <f>IFERROR(INDEX(装备库!$A$2:$Y$1047,MATCH(ROW()-1,装备库!$AO$2:$AO$1046,0),COLUMN()),"")</f>
        <v>1</v>
      </c>
      <c r="T571">
        <f>IFERROR(INDEX(装备库!$A$2:$Y$1047,MATCH(ROW()-1,装备库!$AO$2:$AO$1046,0),COLUMN()),"")</f>
        <v>0</v>
      </c>
      <c r="U571">
        <f>IFERROR(INDEX(装备库!$A$2:$Y$1047,MATCH(ROW()-1,装备库!$AO$2:$AO$1046,0),COLUMN()),"")</f>
        <v>0</v>
      </c>
      <c r="V571">
        <f>IFERROR(INDEX(装备库!$A$2:$Y$1047,MATCH(ROW()-1,装备库!$AO$2:$AO$1046,0),COLUMN()),"")</f>
        <v>0</v>
      </c>
      <c r="W571" t="str">
        <f>IFERROR(INDEX(装备库!$A$2:$Y$1047,MATCH(ROW()-1,装备库!$AO$2:$AO$1046,0),COLUMN()),"")</f>
        <v>破无</v>
      </c>
      <c r="X571">
        <f>IFERROR(INDEX(装备库!$A$2:$Y$1047,MATCH(ROW()-1,装备库!$AO$2:$AO$1046,0),COLUMN()),"")</f>
        <v>6</v>
      </c>
      <c r="Y571" t="str">
        <f>IFERROR(INDEX(装备库!$A$2:$Y$1047,MATCH(ROW()-1,装备库!$AO$2:$AO$1046,0),COLUMN()),"")</f>
        <v>侠义值</v>
      </c>
    </row>
    <row r="572" spans="1:25" x14ac:dyDescent="0.35">
      <c r="A572" t="str">
        <f>IFERROR(INDEX(装备库!$A$2:$Y$1047,MATCH(ROW()-1,装备库!$AO$2:$AO$1046,0),COLUMN()),"")</f>
        <v>腰坠</v>
      </c>
      <c r="B572" t="str">
        <f>IFERROR(INDEX(装备库!$A$2:$Y$1047,MATCH(ROW()-1,装备库!$AO$2:$AO$1046,0),COLUMN()),"")</f>
        <v>无封腰坠</v>
      </c>
      <c r="C572">
        <f>IFERROR(INDEX(装备库!$A$2:$Y$1047,MATCH(ROW()-1,装备库!$AO$2:$AO$1046,0),COLUMN()),"")</f>
        <v>10600</v>
      </c>
      <c r="D572" t="str">
        <f>IFERROR(INDEX(装备库!$A$2:$Y$1047,MATCH(ROW()-1,装备库!$AO$2:$AO$1046,0),COLUMN()),"")</f>
        <v>无封腰坠(10600精简攻破)</v>
      </c>
      <c r="E572">
        <f>IFERROR(INDEX(装备库!$A$2:$Y$1047,MATCH(ROW()-1,装备库!$AO$2:$AO$1046,0),COLUMN()),"")</f>
        <v>0</v>
      </c>
      <c r="F572">
        <f>IFERROR(INDEX(装备库!$A$2:$Y$1047,MATCH(ROW()-1,装备库!$AO$2:$AO$1046,0),COLUMN()),"")</f>
        <v>1570</v>
      </c>
      <c r="G572">
        <f>IFERROR(INDEX(装备库!$A$2:$Y$1047,MATCH(ROW()-1,装备库!$AO$2:$AO$1046,0),COLUMN()),"")</f>
        <v>0</v>
      </c>
      <c r="H572">
        <f>IFERROR(INDEX(装备库!$A$2:$Y$1047,MATCH(ROW()-1,装备库!$AO$2:$AO$1046,0),COLUMN()),"")</f>
        <v>0</v>
      </c>
      <c r="I572">
        <f>IFERROR(INDEX(装备库!$A$2:$Y$1047,MATCH(ROW()-1,装备库!$AO$2:$AO$1046,0),COLUMN()),"")</f>
        <v>3559</v>
      </c>
      <c r="J572">
        <f>IFERROR(INDEX(装备库!$A$2:$Y$1047,MATCH(ROW()-1,装备库!$AO$2:$AO$1046,0),COLUMN()),"")</f>
        <v>0</v>
      </c>
      <c r="K572">
        <f>IFERROR(INDEX(装备库!$A$2:$Y$1047,MATCH(ROW()-1,装备库!$AO$2:$AO$1046,0),COLUMN()),"")</f>
        <v>0</v>
      </c>
      <c r="L572">
        <f>IFERROR(INDEX(装备库!$A$2:$Y$1047,MATCH(ROW()-1,装备库!$AO$2:$AO$1046,0),COLUMN()),"")</f>
        <v>0</v>
      </c>
      <c r="M572">
        <f>IFERROR(INDEX(装备库!$A$2:$Y$1047,MATCH(ROW()-1,装备库!$AO$2:$AO$1046,0),COLUMN()),"")</f>
        <v>0</v>
      </c>
      <c r="N572">
        <f>IFERROR(INDEX(装备库!$A$2:$Y$1047,MATCH(ROW()-1,装备库!$AO$2:$AO$1046,0),COLUMN()),"")</f>
        <v>0</v>
      </c>
      <c r="O572">
        <f>IFERROR(INDEX(装备库!$A$2:$Y$1047,MATCH(ROW()-1,装备库!$AO$2:$AO$1046,0),COLUMN()),"")</f>
        <v>0</v>
      </c>
      <c r="P572">
        <f>IFERROR(INDEX(装备库!$A$2:$Y$1047,MATCH(ROW()-1,装备库!$AO$2:$AO$1046,0),COLUMN()),"")</f>
        <v>0</v>
      </c>
      <c r="Q572">
        <f>IFERROR(INDEX(装备库!$A$2:$Y$1047,MATCH(ROW()-1,装备库!$AO$2:$AO$1046,0),COLUMN()),"")</f>
        <v>0</v>
      </c>
      <c r="R572">
        <f>IFERROR(INDEX(装备库!$A$2:$Y$1047,MATCH(ROW()-1,装备库!$AO$2:$AO$1046,0),COLUMN()),"")</f>
        <v>0</v>
      </c>
      <c r="S572">
        <f>IFERROR(INDEX(装备库!$A$2:$Y$1047,MATCH(ROW()-1,装备库!$AO$2:$AO$1046,0),COLUMN()),"")</f>
        <v>0</v>
      </c>
      <c r="T572">
        <f>IFERROR(INDEX(装备库!$A$2:$Y$1047,MATCH(ROW()-1,装备库!$AO$2:$AO$1046,0),COLUMN()),"")</f>
        <v>1</v>
      </c>
      <c r="U572">
        <f>IFERROR(INDEX(装备库!$A$2:$Y$1047,MATCH(ROW()-1,装备库!$AO$2:$AO$1046,0),COLUMN()),"")</f>
        <v>0</v>
      </c>
      <c r="V572">
        <f>IFERROR(INDEX(装备库!$A$2:$Y$1047,MATCH(ROW()-1,装备库!$AO$2:$AO$1046,0),COLUMN()),"")</f>
        <v>0</v>
      </c>
      <c r="W572" t="str">
        <f>IFERROR(INDEX(装备库!$A$2:$Y$1047,MATCH(ROW()-1,装备库!$AO$2:$AO$1046,0),COLUMN()),"")</f>
        <v>精简攻破</v>
      </c>
      <c r="X572">
        <f>IFERROR(INDEX(装备库!$A$2:$Y$1047,MATCH(ROW()-1,装备库!$AO$2:$AO$1046,0),COLUMN()),"")</f>
        <v>3</v>
      </c>
      <c r="Y572" t="str">
        <f>IFERROR(INDEX(装备库!$A$2:$Y$1047,MATCH(ROW()-1,装备库!$AO$2:$AO$1046,0),COLUMN()),"")</f>
        <v>活动</v>
      </c>
    </row>
    <row r="573" spans="1:25" x14ac:dyDescent="0.35">
      <c r="A573" t="str">
        <f>IFERROR(INDEX(装备库!$A$2:$Y$1047,MATCH(ROW()-1,装备库!$AO$2:$AO$1046,0),COLUMN()),"")</f>
        <v>腰坠</v>
      </c>
      <c r="B573" t="str">
        <f>IFERROR(INDEX(装备库!$A$2:$Y$1047,MATCH(ROW()-1,装备库!$AO$2:$AO$1046,0),COLUMN()),"")</f>
        <v>无封腰坠</v>
      </c>
      <c r="C573">
        <f>IFERROR(INDEX(装备库!$A$2:$Y$1047,MATCH(ROW()-1,装备库!$AO$2:$AO$1046,0),COLUMN()),"")</f>
        <v>10600</v>
      </c>
      <c r="D573" t="str">
        <f>IFERROR(INDEX(装备库!$A$2:$Y$1047,MATCH(ROW()-1,装备库!$AO$2:$AO$1046,0),COLUMN()),"")</f>
        <v>无封腰坠(10600精简攻会无)</v>
      </c>
      <c r="E573">
        <f>IFERROR(INDEX(装备库!$A$2:$Y$1047,MATCH(ROW()-1,装备库!$AO$2:$AO$1046,0),COLUMN()),"")</f>
        <v>0</v>
      </c>
      <c r="F573">
        <f>IFERROR(INDEX(装备库!$A$2:$Y$1047,MATCH(ROW()-1,装备库!$AO$2:$AO$1046,0),COLUMN()),"")</f>
        <v>1339</v>
      </c>
      <c r="G573">
        <f>IFERROR(INDEX(装备库!$A$2:$Y$1047,MATCH(ROW()-1,装备库!$AO$2:$AO$1046,0),COLUMN()),"")</f>
        <v>2063</v>
      </c>
      <c r="H573">
        <f>IFERROR(INDEX(装备库!$A$2:$Y$1047,MATCH(ROW()-1,装备库!$AO$2:$AO$1046,0),COLUMN()),"")</f>
        <v>0</v>
      </c>
      <c r="I573">
        <f>IFERROR(INDEX(装备库!$A$2:$Y$1047,MATCH(ROW()-1,装备库!$AO$2:$AO$1046,0),COLUMN()),"")</f>
        <v>0</v>
      </c>
      <c r="J573">
        <f>IFERROR(INDEX(装备库!$A$2:$Y$1047,MATCH(ROW()-1,装备库!$AO$2:$AO$1046,0),COLUMN()),"")</f>
        <v>0</v>
      </c>
      <c r="K573">
        <f>IFERROR(INDEX(装备库!$A$2:$Y$1047,MATCH(ROW()-1,装备库!$AO$2:$AO$1046,0),COLUMN()),"")</f>
        <v>2063</v>
      </c>
      <c r="L573">
        <f>IFERROR(INDEX(装备库!$A$2:$Y$1047,MATCH(ROW()-1,装备库!$AO$2:$AO$1046,0),COLUMN()),"")</f>
        <v>0</v>
      </c>
      <c r="M573">
        <f>IFERROR(INDEX(装备库!$A$2:$Y$1047,MATCH(ROW()-1,装备库!$AO$2:$AO$1046,0),COLUMN()),"")</f>
        <v>0</v>
      </c>
      <c r="N573">
        <f>IFERROR(INDEX(装备库!$A$2:$Y$1047,MATCH(ROW()-1,装备库!$AO$2:$AO$1046,0),COLUMN()),"")</f>
        <v>0</v>
      </c>
      <c r="O573">
        <f>IFERROR(INDEX(装备库!$A$2:$Y$1047,MATCH(ROW()-1,装备库!$AO$2:$AO$1046,0),COLUMN()),"")</f>
        <v>0</v>
      </c>
      <c r="P573">
        <f>IFERROR(INDEX(装备库!$A$2:$Y$1047,MATCH(ROW()-1,装备库!$AO$2:$AO$1046,0),COLUMN()),"")</f>
        <v>0</v>
      </c>
      <c r="Q573">
        <f>IFERROR(INDEX(装备库!$A$2:$Y$1047,MATCH(ROW()-1,装备库!$AO$2:$AO$1046,0),COLUMN()),"")</f>
        <v>0</v>
      </c>
      <c r="R573">
        <f>IFERROR(INDEX(装备库!$A$2:$Y$1047,MATCH(ROW()-1,装备库!$AO$2:$AO$1046,0),COLUMN()),"")</f>
        <v>1</v>
      </c>
      <c r="S573">
        <f>IFERROR(INDEX(装备库!$A$2:$Y$1047,MATCH(ROW()-1,装备库!$AO$2:$AO$1046,0),COLUMN()),"")</f>
        <v>0</v>
      </c>
      <c r="T573">
        <f>IFERROR(INDEX(装备库!$A$2:$Y$1047,MATCH(ROW()-1,装备库!$AO$2:$AO$1046,0),COLUMN()),"")</f>
        <v>0</v>
      </c>
      <c r="U573">
        <f>IFERROR(INDEX(装备库!$A$2:$Y$1047,MATCH(ROW()-1,装备库!$AO$2:$AO$1046,0),COLUMN()),"")</f>
        <v>0</v>
      </c>
      <c r="V573">
        <f>IFERROR(INDEX(装备库!$A$2:$Y$1047,MATCH(ROW()-1,装备库!$AO$2:$AO$1046,0),COLUMN()),"")</f>
        <v>0</v>
      </c>
      <c r="W573" t="str">
        <f>IFERROR(INDEX(装备库!$A$2:$Y$1047,MATCH(ROW()-1,装备库!$AO$2:$AO$1046,0),COLUMN()),"")</f>
        <v>精简攻会无</v>
      </c>
      <c r="X573">
        <f>IFERROR(INDEX(装备库!$A$2:$Y$1047,MATCH(ROW()-1,装备库!$AO$2:$AO$1046,0),COLUMN()),"")</f>
        <v>3</v>
      </c>
      <c r="Y573" t="str">
        <f>IFERROR(INDEX(装备库!$A$2:$Y$1047,MATCH(ROW()-1,装备库!$AO$2:$AO$1046,0),COLUMN()),"")</f>
        <v>活动</v>
      </c>
    </row>
    <row r="574" spans="1:25" x14ac:dyDescent="0.35">
      <c r="A574" t="str">
        <f>IFERROR(INDEX(装备库!$A$2:$Y$1047,MATCH(ROW()-1,装备库!$AO$2:$AO$1046,0),COLUMN()),"")</f>
        <v>腰坠</v>
      </c>
      <c r="B574" t="str">
        <f>IFERROR(INDEX(装备库!$A$2:$Y$1047,MATCH(ROW()-1,装备库!$AO$2:$AO$1046,0),COLUMN()),"")</f>
        <v>无封腰坠</v>
      </c>
      <c r="C574">
        <f>IFERROR(INDEX(装备库!$A$2:$Y$1047,MATCH(ROW()-1,装备库!$AO$2:$AO$1046,0),COLUMN()),"")</f>
        <v>10600</v>
      </c>
      <c r="D574" t="str">
        <f>IFERROR(INDEX(装备库!$A$2:$Y$1047,MATCH(ROW()-1,装备库!$AO$2:$AO$1046,0),COLUMN()),"")</f>
        <v>无封腰坠(10600精简攻会破无)</v>
      </c>
      <c r="E574">
        <f>IFERROR(INDEX(装备库!$A$2:$Y$1047,MATCH(ROW()-1,装备库!$AO$2:$AO$1046,0),COLUMN()),"")</f>
        <v>0</v>
      </c>
      <c r="F574">
        <f>IFERROR(INDEX(装备库!$A$2:$Y$1047,MATCH(ROW()-1,装备库!$AO$2:$AO$1046,0),COLUMN()),"")</f>
        <v>1339</v>
      </c>
      <c r="G574">
        <f>IFERROR(INDEX(装备库!$A$2:$Y$1047,MATCH(ROW()-1,装备库!$AO$2:$AO$1046,0),COLUMN()),"")</f>
        <v>1651</v>
      </c>
      <c r="H574">
        <f>IFERROR(INDEX(装备库!$A$2:$Y$1047,MATCH(ROW()-1,装备库!$AO$2:$AO$1046,0),COLUMN()),"")</f>
        <v>0</v>
      </c>
      <c r="I574">
        <f>IFERROR(INDEX(装备库!$A$2:$Y$1047,MATCH(ROW()-1,装备库!$AO$2:$AO$1046,0),COLUMN()),"")</f>
        <v>1444</v>
      </c>
      <c r="J574">
        <f>IFERROR(INDEX(装备库!$A$2:$Y$1047,MATCH(ROW()-1,装备库!$AO$2:$AO$1046,0),COLUMN()),"")</f>
        <v>0</v>
      </c>
      <c r="K574">
        <f>IFERROR(INDEX(装备库!$A$2:$Y$1047,MATCH(ROW()-1,装备库!$AO$2:$AO$1046,0),COLUMN()),"")</f>
        <v>1032</v>
      </c>
      <c r="L574">
        <f>IFERROR(INDEX(装备库!$A$2:$Y$1047,MATCH(ROW()-1,装备库!$AO$2:$AO$1046,0),COLUMN()),"")</f>
        <v>0</v>
      </c>
      <c r="M574">
        <f>IFERROR(INDEX(装备库!$A$2:$Y$1047,MATCH(ROW()-1,装备库!$AO$2:$AO$1046,0),COLUMN()),"")</f>
        <v>0</v>
      </c>
      <c r="N574">
        <f>IFERROR(INDEX(装备库!$A$2:$Y$1047,MATCH(ROW()-1,装备库!$AO$2:$AO$1046,0),COLUMN()),"")</f>
        <v>0</v>
      </c>
      <c r="O574">
        <f>IFERROR(INDEX(装备库!$A$2:$Y$1047,MATCH(ROW()-1,装备库!$AO$2:$AO$1046,0),COLUMN()),"")</f>
        <v>0</v>
      </c>
      <c r="P574">
        <f>IFERROR(INDEX(装备库!$A$2:$Y$1047,MATCH(ROW()-1,装备库!$AO$2:$AO$1046,0),COLUMN()),"")</f>
        <v>0</v>
      </c>
      <c r="Q574">
        <f>IFERROR(INDEX(装备库!$A$2:$Y$1047,MATCH(ROW()-1,装备库!$AO$2:$AO$1046,0),COLUMN()),"")</f>
        <v>0</v>
      </c>
      <c r="R574">
        <f>IFERROR(INDEX(装备库!$A$2:$Y$1047,MATCH(ROW()-1,装备库!$AO$2:$AO$1046,0),COLUMN()),"")</f>
        <v>1</v>
      </c>
      <c r="S574">
        <f>IFERROR(INDEX(装备库!$A$2:$Y$1047,MATCH(ROW()-1,装备库!$AO$2:$AO$1046,0),COLUMN()),"")</f>
        <v>0</v>
      </c>
      <c r="T574">
        <f>IFERROR(INDEX(装备库!$A$2:$Y$1047,MATCH(ROW()-1,装备库!$AO$2:$AO$1046,0),COLUMN()),"")</f>
        <v>0</v>
      </c>
      <c r="U574">
        <f>IFERROR(INDEX(装备库!$A$2:$Y$1047,MATCH(ROW()-1,装备库!$AO$2:$AO$1046,0),COLUMN()),"")</f>
        <v>0</v>
      </c>
      <c r="V574">
        <f>IFERROR(INDEX(装备库!$A$2:$Y$1047,MATCH(ROW()-1,装备库!$AO$2:$AO$1046,0),COLUMN()),"")</f>
        <v>0</v>
      </c>
      <c r="W574" t="str">
        <f>IFERROR(INDEX(装备库!$A$2:$Y$1047,MATCH(ROW()-1,装备库!$AO$2:$AO$1046,0),COLUMN()),"")</f>
        <v>精简攻会破无</v>
      </c>
      <c r="X574">
        <f>IFERROR(INDEX(装备库!$A$2:$Y$1047,MATCH(ROW()-1,装备库!$AO$2:$AO$1046,0),COLUMN()),"")</f>
        <v>3</v>
      </c>
      <c r="Y574" t="str">
        <f>IFERROR(INDEX(装备库!$A$2:$Y$1047,MATCH(ROW()-1,装备库!$AO$2:$AO$1046,0),COLUMN()),"")</f>
        <v>活动</v>
      </c>
    </row>
    <row r="575" spans="1:25" x14ac:dyDescent="0.35">
      <c r="A575" t="str">
        <f>IFERROR(INDEX(装备库!$A$2:$Y$1047,MATCH(ROW()-1,装备库!$AO$2:$AO$1046,0),COLUMN()),"")</f>
        <v>腰坠</v>
      </c>
      <c r="B575" t="str">
        <f>IFERROR(INDEX(装备库!$A$2:$Y$1047,MATCH(ROW()-1,装备库!$AO$2:$AO$1046,0),COLUMN()),"")</f>
        <v>元雾坠</v>
      </c>
      <c r="C575">
        <f>IFERROR(INDEX(装备库!$A$2:$Y$1047,MATCH(ROW()-1,装备库!$AO$2:$AO$1046,0),COLUMN()),"")</f>
        <v>10700</v>
      </c>
      <c r="D575" t="str">
        <f>IFERROR(INDEX(装备库!$A$2:$Y$1047,MATCH(ROW()-1,装备库!$AO$2:$AO$1046,0),COLUMN()),"")</f>
        <v>元雾坠(10700会无)</v>
      </c>
      <c r="E575">
        <f>IFERROR(INDEX(装备库!$A$2:$Y$1047,MATCH(ROW()-1,装备库!$AO$2:$AO$1046,0),COLUMN()),"")</f>
        <v>374</v>
      </c>
      <c r="F575">
        <f>IFERROR(INDEX(装备库!$A$2:$Y$1047,MATCH(ROW()-1,装备库!$AO$2:$AO$1046,0),COLUMN()),"")</f>
        <v>606</v>
      </c>
      <c r="G575">
        <f>IFERROR(INDEX(装备库!$A$2:$Y$1047,MATCH(ROW()-1,装备库!$AO$2:$AO$1046,0),COLUMN()),"")</f>
        <v>1874</v>
      </c>
      <c r="H575">
        <f>IFERROR(INDEX(装备库!$A$2:$Y$1047,MATCH(ROW()-1,装备库!$AO$2:$AO$1046,0),COLUMN()),"")</f>
        <v>0</v>
      </c>
      <c r="I575">
        <f>IFERROR(INDEX(装备库!$A$2:$Y$1047,MATCH(ROW()-1,装备库!$AO$2:$AO$1046,0),COLUMN()),"")</f>
        <v>0</v>
      </c>
      <c r="J575">
        <f>IFERROR(INDEX(装备库!$A$2:$Y$1047,MATCH(ROW()-1,装备库!$AO$2:$AO$1046,0),COLUMN()),"")</f>
        <v>0</v>
      </c>
      <c r="K575">
        <f>IFERROR(INDEX(装备库!$A$2:$Y$1047,MATCH(ROW()-1,装备库!$AO$2:$AO$1046,0),COLUMN()),"")</f>
        <v>1666</v>
      </c>
      <c r="L575">
        <f>IFERROR(INDEX(装备库!$A$2:$Y$1047,MATCH(ROW()-1,装备库!$AO$2:$AO$1046,0),COLUMN()),"")</f>
        <v>0</v>
      </c>
      <c r="M575">
        <f>IFERROR(INDEX(装备库!$A$2:$Y$1047,MATCH(ROW()-1,装备库!$AO$2:$AO$1046,0),COLUMN()),"")</f>
        <v>0</v>
      </c>
      <c r="N575">
        <f>IFERROR(INDEX(装备库!$A$2:$Y$1047,MATCH(ROW()-1,装备库!$AO$2:$AO$1046,0),COLUMN()),"")</f>
        <v>0</v>
      </c>
      <c r="O575">
        <f>IFERROR(INDEX(装备库!$A$2:$Y$1047,MATCH(ROW()-1,装备库!$AO$2:$AO$1046,0),COLUMN()),"")</f>
        <v>0</v>
      </c>
      <c r="P575">
        <f>IFERROR(INDEX(装备库!$A$2:$Y$1047,MATCH(ROW()-1,装备库!$AO$2:$AO$1046,0),COLUMN()),"")</f>
        <v>0</v>
      </c>
      <c r="Q575">
        <f>IFERROR(INDEX(装备库!$A$2:$Y$1047,MATCH(ROW()-1,装备库!$AO$2:$AO$1046,0),COLUMN()),"")</f>
        <v>0</v>
      </c>
      <c r="R575">
        <f>IFERROR(INDEX(装备库!$A$2:$Y$1047,MATCH(ROW()-1,装备库!$AO$2:$AO$1046,0),COLUMN()),"")</f>
        <v>0</v>
      </c>
      <c r="S575">
        <f>IFERROR(INDEX(装备库!$A$2:$Y$1047,MATCH(ROW()-1,装备库!$AO$2:$AO$1046,0),COLUMN()),"")</f>
        <v>0</v>
      </c>
      <c r="T575">
        <f>IFERROR(INDEX(装备库!$A$2:$Y$1047,MATCH(ROW()-1,装备库!$AO$2:$AO$1046,0),COLUMN()),"")</f>
        <v>0</v>
      </c>
      <c r="U575">
        <f>IFERROR(INDEX(装备库!$A$2:$Y$1047,MATCH(ROW()-1,装备库!$AO$2:$AO$1046,0),COLUMN()),"")</f>
        <v>1</v>
      </c>
      <c r="V575">
        <f>IFERROR(INDEX(装备库!$A$2:$Y$1047,MATCH(ROW()-1,装备库!$AO$2:$AO$1046,0),COLUMN()),"")</f>
        <v>0</v>
      </c>
      <c r="W575" t="str">
        <f>IFERROR(INDEX(装备库!$A$2:$Y$1047,MATCH(ROW()-1,装备库!$AO$2:$AO$1046,0),COLUMN()),"")</f>
        <v>会无</v>
      </c>
      <c r="X575">
        <f>IFERROR(INDEX(装备库!$A$2:$Y$1047,MATCH(ROW()-1,装备库!$AO$2:$AO$1046,0),COLUMN()),"")</f>
        <v>6</v>
      </c>
      <c r="Y575" t="str">
        <f>IFERROR(INDEX(装备库!$A$2:$Y$1047,MATCH(ROW()-1,装备库!$AO$2:$AO$1046,0),COLUMN()),"")</f>
        <v>声望</v>
      </c>
    </row>
    <row r="576" spans="1:25" x14ac:dyDescent="0.35">
      <c r="A576" t="str">
        <f>IFERROR(INDEX(装备库!$A$2:$Y$1047,MATCH(ROW()-1,装备库!$AO$2:$AO$1046,0),COLUMN()),"")</f>
        <v>腰坠</v>
      </c>
      <c r="B576" t="str">
        <f>IFERROR(INDEX(装备库!$A$2:$Y$1047,MATCH(ROW()-1,装备库!$AO$2:$AO$1046,0),COLUMN()),"")</f>
        <v>无封腰坠</v>
      </c>
      <c r="C576">
        <f>IFERROR(INDEX(装备库!$A$2:$Y$1047,MATCH(ROW()-1,装备库!$AO$2:$AO$1046,0),COLUMN()),"")</f>
        <v>10900</v>
      </c>
      <c r="D576" t="str">
        <f>IFERROR(INDEX(装备库!$A$2:$Y$1047,MATCH(ROW()-1,装备库!$AO$2:$AO$1046,0),COLUMN()),"")</f>
        <v>无封腰坠(10900精简攻招破)</v>
      </c>
      <c r="E576">
        <f>IFERROR(INDEX(装备库!$A$2:$Y$1047,MATCH(ROW()-1,装备库!$AO$2:$AO$1046,0),COLUMN()),"")</f>
        <v>0</v>
      </c>
      <c r="F576">
        <f>IFERROR(INDEX(装备库!$A$2:$Y$1047,MATCH(ROW()-1,装备库!$AO$2:$AO$1046,0),COLUMN()),"")</f>
        <v>1377</v>
      </c>
      <c r="G576">
        <f>IFERROR(INDEX(装备库!$A$2:$Y$1047,MATCH(ROW()-1,装备库!$AO$2:$AO$1046,0),COLUMN()),"")</f>
        <v>0</v>
      </c>
      <c r="H576">
        <f>IFERROR(INDEX(装备库!$A$2:$Y$1047,MATCH(ROW()-1,装备库!$AO$2:$AO$1046,0),COLUMN()),"")</f>
        <v>0</v>
      </c>
      <c r="I576">
        <f>IFERROR(INDEX(装备库!$A$2:$Y$1047,MATCH(ROW()-1,装备库!$AO$2:$AO$1046,0),COLUMN()),"")</f>
        <v>2228</v>
      </c>
      <c r="J576">
        <f>IFERROR(INDEX(装备库!$A$2:$Y$1047,MATCH(ROW()-1,装备库!$AO$2:$AO$1046,0),COLUMN()),"")</f>
        <v>2016</v>
      </c>
      <c r="K576">
        <f>IFERROR(INDEX(装备库!$A$2:$Y$1047,MATCH(ROW()-1,装备库!$AO$2:$AO$1046,0),COLUMN()),"")</f>
        <v>0</v>
      </c>
      <c r="L576">
        <f>IFERROR(INDEX(装备库!$A$2:$Y$1047,MATCH(ROW()-1,装备库!$AO$2:$AO$1046,0),COLUMN()),"")</f>
        <v>0</v>
      </c>
      <c r="M576">
        <f>IFERROR(INDEX(装备库!$A$2:$Y$1047,MATCH(ROW()-1,装备库!$AO$2:$AO$1046,0),COLUMN()),"")</f>
        <v>0</v>
      </c>
      <c r="N576">
        <f>IFERROR(INDEX(装备库!$A$2:$Y$1047,MATCH(ROW()-1,装备库!$AO$2:$AO$1046,0),COLUMN()),"")</f>
        <v>0</v>
      </c>
      <c r="O576">
        <f>IFERROR(INDEX(装备库!$A$2:$Y$1047,MATCH(ROW()-1,装备库!$AO$2:$AO$1046,0),COLUMN()),"")</f>
        <v>0</v>
      </c>
      <c r="P576">
        <f>IFERROR(INDEX(装备库!$A$2:$Y$1047,MATCH(ROW()-1,装备库!$AO$2:$AO$1046,0),COLUMN()),"")</f>
        <v>0</v>
      </c>
      <c r="Q576">
        <f>IFERROR(INDEX(装备库!$A$2:$Y$1047,MATCH(ROW()-1,装备库!$AO$2:$AO$1046,0),COLUMN()),"")</f>
        <v>1</v>
      </c>
      <c r="R576">
        <f>IFERROR(INDEX(装备库!$A$2:$Y$1047,MATCH(ROW()-1,装备库!$AO$2:$AO$1046,0),COLUMN()),"")</f>
        <v>0</v>
      </c>
      <c r="S576">
        <f>IFERROR(INDEX(装备库!$A$2:$Y$1047,MATCH(ROW()-1,装备库!$AO$2:$AO$1046,0),COLUMN()),"")</f>
        <v>0</v>
      </c>
      <c r="T576">
        <f>IFERROR(INDEX(装备库!$A$2:$Y$1047,MATCH(ROW()-1,装备库!$AO$2:$AO$1046,0),COLUMN()),"")</f>
        <v>0</v>
      </c>
      <c r="U576">
        <f>IFERROR(INDEX(装备库!$A$2:$Y$1047,MATCH(ROW()-1,装备库!$AO$2:$AO$1046,0),COLUMN()),"")</f>
        <v>0</v>
      </c>
      <c r="V576">
        <f>IFERROR(INDEX(装备库!$A$2:$Y$1047,MATCH(ROW()-1,装备库!$AO$2:$AO$1046,0),COLUMN()),"")</f>
        <v>0</v>
      </c>
      <c r="W576" t="str">
        <f>IFERROR(INDEX(装备库!$A$2:$Y$1047,MATCH(ROW()-1,装备库!$AO$2:$AO$1046,0),COLUMN()),"")</f>
        <v>精简攻招破</v>
      </c>
      <c r="X576">
        <f>IFERROR(INDEX(装备库!$A$2:$Y$1047,MATCH(ROW()-1,装备库!$AO$2:$AO$1046,0),COLUMN()),"")</f>
        <v>3</v>
      </c>
      <c r="Y576" t="str">
        <f>IFERROR(INDEX(装备库!$A$2:$Y$1047,MATCH(ROW()-1,装备库!$AO$2:$AO$1046,0),COLUMN()),"")</f>
        <v>活动</v>
      </c>
    </row>
    <row r="577" spans="1:25" x14ac:dyDescent="0.35">
      <c r="A577" t="str">
        <f>IFERROR(INDEX(装备库!$A$2:$Y$1047,MATCH(ROW()-1,装备库!$AO$2:$AO$1046,0),COLUMN()),"")</f>
        <v>腰坠</v>
      </c>
      <c r="B577" t="str">
        <f>IFERROR(INDEX(装备库!$A$2:$Y$1047,MATCH(ROW()-1,装备库!$AO$2:$AO$1046,0),COLUMN()),"")</f>
        <v>无封腰坠</v>
      </c>
      <c r="C577">
        <f>IFERROR(INDEX(装备库!$A$2:$Y$1047,MATCH(ROW()-1,装备库!$AO$2:$AO$1046,0),COLUMN()),"")</f>
        <v>10900</v>
      </c>
      <c r="D577" t="str">
        <f>IFERROR(INDEX(装备库!$A$2:$Y$1047,MATCH(ROW()-1,装备库!$AO$2:$AO$1046,0),COLUMN()),"")</f>
        <v>无封腰坠(10900精简攻无)</v>
      </c>
      <c r="E577">
        <f>IFERROR(INDEX(装备库!$A$2:$Y$1047,MATCH(ROW()-1,装备库!$AO$2:$AO$1046,0),COLUMN()),"")</f>
        <v>0</v>
      </c>
      <c r="F577">
        <f>IFERROR(INDEX(装备库!$A$2:$Y$1047,MATCH(ROW()-1,装备库!$AO$2:$AO$1046,0),COLUMN()),"")</f>
        <v>1615</v>
      </c>
      <c r="G577">
        <f>IFERROR(INDEX(装备库!$A$2:$Y$1047,MATCH(ROW()-1,装备库!$AO$2:$AO$1046,0),COLUMN()),"")</f>
        <v>0</v>
      </c>
      <c r="H577">
        <f>IFERROR(INDEX(装备库!$A$2:$Y$1047,MATCH(ROW()-1,装备库!$AO$2:$AO$1046,0),COLUMN()),"")</f>
        <v>0</v>
      </c>
      <c r="I577">
        <f>IFERROR(INDEX(装备库!$A$2:$Y$1047,MATCH(ROW()-1,装备库!$AO$2:$AO$1046,0),COLUMN()),"")</f>
        <v>0</v>
      </c>
      <c r="J577">
        <f>IFERROR(INDEX(装备库!$A$2:$Y$1047,MATCH(ROW()-1,装备库!$AO$2:$AO$1046,0),COLUMN()),"")</f>
        <v>0</v>
      </c>
      <c r="K577">
        <f>IFERROR(INDEX(装备库!$A$2:$Y$1047,MATCH(ROW()-1,装备库!$AO$2:$AO$1046,0),COLUMN()),"")</f>
        <v>3660</v>
      </c>
      <c r="L577">
        <f>IFERROR(INDEX(装备库!$A$2:$Y$1047,MATCH(ROW()-1,装备库!$AO$2:$AO$1046,0),COLUMN()),"")</f>
        <v>0</v>
      </c>
      <c r="M577">
        <f>IFERROR(INDEX(装备库!$A$2:$Y$1047,MATCH(ROW()-1,装备库!$AO$2:$AO$1046,0),COLUMN()),"")</f>
        <v>0</v>
      </c>
      <c r="N577">
        <f>IFERROR(INDEX(装备库!$A$2:$Y$1047,MATCH(ROW()-1,装备库!$AO$2:$AO$1046,0),COLUMN()),"")</f>
        <v>0</v>
      </c>
      <c r="O577">
        <f>IFERROR(INDEX(装备库!$A$2:$Y$1047,MATCH(ROW()-1,装备库!$AO$2:$AO$1046,0),COLUMN()),"")</f>
        <v>0</v>
      </c>
      <c r="P577">
        <f>IFERROR(INDEX(装备库!$A$2:$Y$1047,MATCH(ROW()-1,装备库!$AO$2:$AO$1046,0),COLUMN()),"")</f>
        <v>0</v>
      </c>
      <c r="Q577">
        <f>IFERROR(INDEX(装备库!$A$2:$Y$1047,MATCH(ROW()-1,装备库!$AO$2:$AO$1046,0),COLUMN()),"")</f>
        <v>0</v>
      </c>
      <c r="R577">
        <f>IFERROR(INDEX(装备库!$A$2:$Y$1047,MATCH(ROW()-1,装备库!$AO$2:$AO$1046,0),COLUMN()),"")</f>
        <v>0</v>
      </c>
      <c r="S577">
        <f>IFERROR(INDEX(装备库!$A$2:$Y$1047,MATCH(ROW()-1,装备库!$AO$2:$AO$1046,0),COLUMN()),"")</f>
        <v>1</v>
      </c>
      <c r="T577">
        <f>IFERROR(INDEX(装备库!$A$2:$Y$1047,MATCH(ROW()-1,装备库!$AO$2:$AO$1046,0),COLUMN()),"")</f>
        <v>0</v>
      </c>
      <c r="U577">
        <f>IFERROR(INDEX(装备库!$A$2:$Y$1047,MATCH(ROW()-1,装备库!$AO$2:$AO$1046,0),COLUMN()),"")</f>
        <v>0</v>
      </c>
      <c r="V577">
        <f>IFERROR(INDEX(装备库!$A$2:$Y$1047,MATCH(ROW()-1,装备库!$AO$2:$AO$1046,0),COLUMN()),"")</f>
        <v>0</v>
      </c>
      <c r="W577" t="str">
        <f>IFERROR(INDEX(装备库!$A$2:$Y$1047,MATCH(ROW()-1,装备库!$AO$2:$AO$1046,0),COLUMN()),"")</f>
        <v>精简攻无</v>
      </c>
      <c r="X577">
        <f>IFERROR(INDEX(装备库!$A$2:$Y$1047,MATCH(ROW()-1,装备库!$AO$2:$AO$1046,0),COLUMN()),"")</f>
        <v>3</v>
      </c>
      <c r="Y577" t="str">
        <f>IFERROR(INDEX(装备库!$A$2:$Y$1047,MATCH(ROW()-1,装备库!$AO$2:$AO$1046,0),COLUMN()),"")</f>
        <v>活动</v>
      </c>
    </row>
    <row r="578" spans="1:25" x14ac:dyDescent="0.35">
      <c r="A578" t="str">
        <f>IFERROR(INDEX(装备库!$A$2:$Y$1047,MATCH(ROW()-1,装备库!$AO$2:$AO$1046,0),COLUMN()),"")</f>
        <v>腰坠</v>
      </c>
      <c r="B578" t="str">
        <f>IFERROR(INDEX(装备库!$A$2:$Y$1047,MATCH(ROW()-1,装备库!$AO$2:$AO$1046,0),COLUMN()),"")</f>
        <v>无封腰坠</v>
      </c>
      <c r="C578">
        <f>IFERROR(INDEX(装备库!$A$2:$Y$1047,MATCH(ROW()-1,装备库!$AO$2:$AO$1046,0),COLUMN()),"")</f>
        <v>10900</v>
      </c>
      <c r="D578" t="str">
        <f>IFERROR(INDEX(装备库!$A$2:$Y$1047,MATCH(ROW()-1,装备库!$AO$2:$AO$1046,0),COLUMN()),"")</f>
        <v>无封腰坠(10900精简攻会会无)</v>
      </c>
      <c r="E578">
        <f>IFERROR(INDEX(装备库!$A$2:$Y$1047,MATCH(ROW()-1,装备库!$AO$2:$AO$1046,0),COLUMN()),"")</f>
        <v>0</v>
      </c>
      <c r="F578">
        <f>IFERROR(INDEX(装备库!$A$2:$Y$1047,MATCH(ROW()-1,装备库!$AO$2:$AO$1046,0),COLUMN()),"")</f>
        <v>1377</v>
      </c>
      <c r="G578">
        <f>IFERROR(INDEX(装备库!$A$2:$Y$1047,MATCH(ROW()-1,装备库!$AO$2:$AO$1046,0),COLUMN()),"")</f>
        <v>2016</v>
      </c>
      <c r="H578">
        <f>IFERROR(INDEX(装备库!$A$2:$Y$1047,MATCH(ROW()-1,装备库!$AO$2:$AO$1046,0),COLUMN()),"")</f>
        <v>1061</v>
      </c>
      <c r="I578">
        <f>IFERROR(INDEX(装备库!$A$2:$Y$1047,MATCH(ROW()-1,装备库!$AO$2:$AO$1046,0),COLUMN()),"")</f>
        <v>0</v>
      </c>
      <c r="J578">
        <f>IFERROR(INDEX(装备库!$A$2:$Y$1047,MATCH(ROW()-1,装备库!$AO$2:$AO$1046,0),COLUMN()),"")</f>
        <v>0</v>
      </c>
      <c r="K578">
        <f>IFERROR(INDEX(装备库!$A$2:$Y$1047,MATCH(ROW()-1,装备库!$AO$2:$AO$1046,0),COLUMN()),"")</f>
        <v>1061</v>
      </c>
      <c r="L578">
        <f>IFERROR(INDEX(装备库!$A$2:$Y$1047,MATCH(ROW()-1,装备库!$AO$2:$AO$1046,0),COLUMN()),"")</f>
        <v>0</v>
      </c>
      <c r="M578">
        <f>IFERROR(INDEX(装备库!$A$2:$Y$1047,MATCH(ROW()-1,装备库!$AO$2:$AO$1046,0),COLUMN()),"")</f>
        <v>0</v>
      </c>
      <c r="N578">
        <f>IFERROR(INDEX(装备库!$A$2:$Y$1047,MATCH(ROW()-1,装备库!$AO$2:$AO$1046,0),COLUMN()),"")</f>
        <v>0</v>
      </c>
      <c r="O578">
        <f>IFERROR(INDEX(装备库!$A$2:$Y$1047,MATCH(ROW()-1,装备库!$AO$2:$AO$1046,0),COLUMN()),"")</f>
        <v>0</v>
      </c>
      <c r="P578">
        <f>IFERROR(INDEX(装备库!$A$2:$Y$1047,MATCH(ROW()-1,装备库!$AO$2:$AO$1046,0),COLUMN()),"")</f>
        <v>0</v>
      </c>
      <c r="Q578">
        <f>IFERROR(INDEX(装备库!$A$2:$Y$1047,MATCH(ROW()-1,装备库!$AO$2:$AO$1046,0),COLUMN()),"")</f>
        <v>0</v>
      </c>
      <c r="R578">
        <f>IFERROR(INDEX(装备库!$A$2:$Y$1047,MATCH(ROW()-1,装备库!$AO$2:$AO$1046,0),COLUMN()),"")</f>
        <v>0</v>
      </c>
      <c r="S578">
        <f>IFERROR(INDEX(装备库!$A$2:$Y$1047,MATCH(ROW()-1,装备库!$AO$2:$AO$1046,0),COLUMN()),"")</f>
        <v>1</v>
      </c>
      <c r="T578">
        <f>IFERROR(INDEX(装备库!$A$2:$Y$1047,MATCH(ROW()-1,装备库!$AO$2:$AO$1046,0),COLUMN()),"")</f>
        <v>0</v>
      </c>
      <c r="U578">
        <f>IFERROR(INDEX(装备库!$A$2:$Y$1047,MATCH(ROW()-1,装备库!$AO$2:$AO$1046,0),COLUMN()),"")</f>
        <v>0</v>
      </c>
      <c r="V578">
        <f>IFERROR(INDEX(装备库!$A$2:$Y$1047,MATCH(ROW()-1,装备库!$AO$2:$AO$1046,0),COLUMN()),"")</f>
        <v>0</v>
      </c>
      <c r="W578" t="str">
        <f>IFERROR(INDEX(装备库!$A$2:$Y$1047,MATCH(ROW()-1,装备库!$AO$2:$AO$1046,0),COLUMN()),"")</f>
        <v>精简攻会会无</v>
      </c>
      <c r="X578">
        <f>IFERROR(INDEX(装备库!$A$2:$Y$1047,MATCH(ROW()-1,装备库!$AO$2:$AO$1046,0),COLUMN()),"")</f>
        <v>3</v>
      </c>
      <c r="Y578" t="str">
        <f>IFERROR(INDEX(装备库!$A$2:$Y$1047,MATCH(ROW()-1,装备库!$AO$2:$AO$1046,0),COLUMN()),"")</f>
        <v>活动</v>
      </c>
    </row>
    <row r="579" spans="1:25" x14ac:dyDescent="0.35">
      <c r="A579" t="str">
        <f>IFERROR(INDEX(装备库!$A$2:$Y$1047,MATCH(ROW()-1,装备库!$AO$2:$AO$1046,0),COLUMN()),"")</f>
        <v>腰坠</v>
      </c>
      <c r="B579" t="str">
        <f>IFERROR(INDEX(装备库!$A$2:$Y$1047,MATCH(ROW()-1,装备库!$AO$2:$AO$1046,0),COLUMN()),"")</f>
        <v>定酣坠</v>
      </c>
      <c r="C579">
        <f>IFERROR(INDEX(装备库!$A$2:$Y$1047,MATCH(ROW()-1,装备库!$AO$2:$AO$1046,0),COLUMN()),"")</f>
        <v>11100</v>
      </c>
      <c r="D579" t="str">
        <f>IFERROR(INDEX(装备库!$A$2:$Y$1047,MATCH(ROW()-1,装备库!$AO$2:$AO$1046,0),COLUMN()),"")</f>
        <v>定酣坠(11100会无)</v>
      </c>
      <c r="E579">
        <f>IFERROR(INDEX(装备库!$A$2:$Y$1047,MATCH(ROW()-1,装备库!$AO$2:$AO$1046,0),COLUMN()),"")</f>
        <v>388</v>
      </c>
      <c r="F579">
        <f>IFERROR(INDEX(装备库!$A$2:$Y$1047,MATCH(ROW()-1,装备库!$AO$2:$AO$1046,0),COLUMN()),"")</f>
        <v>629</v>
      </c>
      <c r="G579">
        <f>IFERROR(INDEX(装备库!$A$2:$Y$1047,MATCH(ROW()-1,装备库!$AO$2:$AO$1046,0),COLUMN()),"")</f>
        <v>1945</v>
      </c>
      <c r="H579">
        <f>IFERROR(INDEX(装备库!$A$2:$Y$1047,MATCH(ROW()-1,装备库!$AO$2:$AO$1046,0),COLUMN()),"")</f>
        <v>0</v>
      </c>
      <c r="I579">
        <f>IFERROR(INDEX(装备库!$A$2:$Y$1047,MATCH(ROW()-1,装备库!$AO$2:$AO$1046,0),COLUMN()),"")</f>
        <v>0</v>
      </c>
      <c r="J579">
        <f>IFERROR(INDEX(装备库!$A$2:$Y$1047,MATCH(ROW()-1,装备库!$AO$2:$AO$1046,0),COLUMN()),"")</f>
        <v>0</v>
      </c>
      <c r="K579">
        <f>IFERROR(INDEX(装备库!$A$2:$Y$1047,MATCH(ROW()-1,装备库!$AO$2:$AO$1046,0),COLUMN()),"")</f>
        <v>1728</v>
      </c>
      <c r="L579">
        <f>IFERROR(INDEX(装备库!$A$2:$Y$1047,MATCH(ROW()-1,装备库!$AO$2:$AO$1046,0),COLUMN()),"")</f>
        <v>0</v>
      </c>
      <c r="M579">
        <f>IFERROR(INDEX(装备库!$A$2:$Y$1047,MATCH(ROW()-1,装备库!$AO$2:$AO$1046,0),COLUMN()),"")</f>
        <v>0</v>
      </c>
      <c r="N579">
        <f>IFERROR(INDEX(装备库!$A$2:$Y$1047,MATCH(ROW()-1,装备库!$AO$2:$AO$1046,0),COLUMN()),"")</f>
        <v>0</v>
      </c>
      <c r="O579">
        <f>IFERROR(INDEX(装备库!$A$2:$Y$1047,MATCH(ROW()-1,装备库!$AO$2:$AO$1046,0),COLUMN()),"")</f>
        <v>0</v>
      </c>
      <c r="P579">
        <f>IFERROR(INDEX(装备库!$A$2:$Y$1047,MATCH(ROW()-1,装备库!$AO$2:$AO$1046,0),COLUMN()),"")</f>
        <v>0</v>
      </c>
      <c r="Q579">
        <f>IFERROR(INDEX(装备库!$A$2:$Y$1047,MATCH(ROW()-1,装备库!$AO$2:$AO$1046,0),COLUMN()),"")</f>
        <v>0</v>
      </c>
      <c r="R579">
        <f>IFERROR(INDEX(装备库!$A$2:$Y$1047,MATCH(ROW()-1,装备库!$AO$2:$AO$1046,0),COLUMN()),"")</f>
        <v>0</v>
      </c>
      <c r="S579">
        <f>IFERROR(INDEX(装备库!$A$2:$Y$1047,MATCH(ROW()-1,装备库!$AO$2:$AO$1046,0),COLUMN()),"")</f>
        <v>0</v>
      </c>
      <c r="T579">
        <f>IFERROR(INDEX(装备库!$A$2:$Y$1047,MATCH(ROW()-1,装备库!$AO$2:$AO$1046,0),COLUMN()),"")</f>
        <v>0</v>
      </c>
      <c r="U579">
        <f>IFERROR(INDEX(装备库!$A$2:$Y$1047,MATCH(ROW()-1,装备库!$AO$2:$AO$1046,0),COLUMN()),"")</f>
        <v>1</v>
      </c>
      <c r="V579">
        <f>IFERROR(INDEX(装备库!$A$2:$Y$1047,MATCH(ROW()-1,装备库!$AO$2:$AO$1046,0),COLUMN()),"")</f>
        <v>0</v>
      </c>
      <c r="W579" t="str">
        <f>IFERROR(INDEX(装备库!$A$2:$Y$1047,MATCH(ROW()-1,装备库!$AO$2:$AO$1046,0),COLUMN()),"")</f>
        <v>会无</v>
      </c>
      <c r="X579">
        <f>IFERROR(INDEX(装备库!$A$2:$Y$1047,MATCH(ROW()-1,装备库!$AO$2:$AO$1046,0),COLUMN()),"")</f>
        <v>6</v>
      </c>
      <c r="Y579" t="str">
        <f>IFERROR(INDEX(装备库!$A$2:$Y$1047,MATCH(ROW()-1,装备库!$AO$2:$AO$1046,0),COLUMN()),"")</f>
        <v>声望</v>
      </c>
    </row>
    <row r="580" spans="1:25" x14ac:dyDescent="0.35">
      <c r="A580" t="str">
        <f>IFERROR(INDEX(装备库!$A$2:$Y$1047,MATCH(ROW()-1,装备库!$AO$2:$AO$1046,0),COLUMN()),"")</f>
        <v>腰坠</v>
      </c>
      <c r="B580" t="str">
        <f>IFERROR(INDEX(装备库!$A$2:$Y$1047,MATCH(ROW()-1,装备库!$AO$2:$AO$1046,0),COLUMN()),"")</f>
        <v>旋山坠</v>
      </c>
      <c r="C580">
        <f>IFERROR(INDEX(装备库!$A$2:$Y$1047,MATCH(ROW()-1,装备库!$AO$2:$AO$1046,0),COLUMN()),"")</f>
        <v>11150</v>
      </c>
      <c r="D580" t="str">
        <f>IFERROR(INDEX(装备库!$A$2:$Y$1047,MATCH(ROW()-1,装备库!$AO$2:$AO$1046,0),COLUMN()),"")</f>
        <v>旋山坠(11150招破)</v>
      </c>
      <c r="E580">
        <f>IFERROR(INDEX(装备库!$A$2:$Y$1047,MATCH(ROW()-1,装备库!$AO$2:$AO$1046,0),COLUMN()),"")</f>
        <v>389</v>
      </c>
      <c r="F580">
        <f>IFERROR(INDEX(装备库!$A$2:$Y$1047,MATCH(ROW()-1,装备库!$AO$2:$AO$1046,0),COLUMN()),"")</f>
        <v>632</v>
      </c>
      <c r="G580">
        <f>IFERROR(INDEX(装备库!$A$2:$Y$1047,MATCH(ROW()-1,装备库!$AO$2:$AO$1046,0),COLUMN()),"")</f>
        <v>0</v>
      </c>
      <c r="H580">
        <f>IFERROR(INDEX(装备库!$A$2:$Y$1047,MATCH(ROW()-1,装备库!$AO$2:$AO$1046,0),COLUMN()),"")</f>
        <v>0</v>
      </c>
      <c r="I580">
        <f>IFERROR(INDEX(装备库!$A$2:$Y$1047,MATCH(ROW()-1,装备库!$AO$2:$AO$1046,0),COLUMN()),"")</f>
        <v>1953</v>
      </c>
      <c r="J580">
        <f>IFERROR(INDEX(装备库!$A$2:$Y$1047,MATCH(ROW()-1,装备库!$AO$2:$AO$1046,0),COLUMN()),"")</f>
        <v>1736</v>
      </c>
      <c r="K580">
        <f>IFERROR(INDEX(装备库!$A$2:$Y$1047,MATCH(ROW()-1,装备库!$AO$2:$AO$1046,0),COLUMN()),"")</f>
        <v>0</v>
      </c>
      <c r="L580">
        <f>IFERROR(INDEX(装备库!$A$2:$Y$1047,MATCH(ROW()-1,装备库!$AO$2:$AO$1046,0),COLUMN()),"")</f>
        <v>0</v>
      </c>
      <c r="M580">
        <f>IFERROR(INDEX(装备库!$A$2:$Y$1047,MATCH(ROW()-1,装备库!$AO$2:$AO$1046,0),COLUMN()),"")</f>
        <v>0</v>
      </c>
      <c r="N580">
        <f>IFERROR(INDEX(装备库!$A$2:$Y$1047,MATCH(ROW()-1,装备库!$AO$2:$AO$1046,0),COLUMN()),"")</f>
        <v>0</v>
      </c>
      <c r="O580">
        <f>IFERROR(INDEX(装备库!$A$2:$Y$1047,MATCH(ROW()-1,装备库!$AO$2:$AO$1046,0),COLUMN()),"")</f>
        <v>1</v>
      </c>
      <c r="P580">
        <f>IFERROR(INDEX(装备库!$A$2:$Y$1047,MATCH(ROW()-1,装备库!$AO$2:$AO$1046,0),COLUMN()),"")</f>
        <v>0</v>
      </c>
      <c r="Q580">
        <f>IFERROR(INDEX(装备库!$A$2:$Y$1047,MATCH(ROW()-1,装备库!$AO$2:$AO$1046,0),COLUMN()),"")</f>
        <v>0</v>
      </c>
      <c r="R580">
        <f>IFERROR(INDEX(装备库!$A$2:$Y$1047,MATCH(ROW()-1,装备库!$AO$2:$AO$1046,0),COLUMN()),"")</f>
        <v>0</v>
      </c>
      <c r="S580">
        <f>IFERROR(INDEX(装备库!$A$2:$Y$1047,MATCH(ROW()-1,装备库!$AO$2:$AO$1046,0),COLUMN()),"")</f>
        <v>0</v>
      </c>
      <c r="T580">
        <f>IFERROR(INDEX(装备库!$A$2:$Y$1047,MATCH(ROW()-1,装备库!$AO$2:$AO$1046,0),COLUMN()),"")</f>
        <v>0</v>
      </c>
      <c r="U580">
        <f>IFERROR(INDEX(装备库!$A$2:$Y$1047,MATCH(ROW()-1,装备库!$AO$2:$AO$1046,0),COLUMN()),"")</f>
        <v>0</v>
      </c>
      <c r="V580">
        <f>IFERROR(INDEX(装备库!$A$2:$Y$1047,MATCH(ROW()-1,装备库!$AO$2:$AO$1046,0),COLUMN()),"")</f>
        <v>0</v>
      </c>
      <c r="W580" t="str">
        <f>IFERROR(INDEX(装备库!$A$2:$Y$1047,MATCH(ROW()-1,装备库!$AO$2:$AO$1046,0),COLUMN()),"")</f>
        <v>招破</v>
      </c>
      <c r="X580">
        <f>IFERROR(INDEX(装备库!$A$2:$Y$1047,MATCH(ROW()-1,装备库!$AO$2:$AO$1046,0),COLUMN()),"")</f>
        <v>6</v>
      </c>
      <c r="Y580" t="str">
        <f>IFERROR(INDEX(装备库!$A$2:$Y$1047,MATCH(ROW()-1,装备库!$AO$2:$AO$1046,0),COLUMN()),"")</f>
        <v>副本</v>
      </c>
    </row>
    <row r="581" spans="1:25" x14ac:dyDescent="0.35">
      <c r="A581" t="str">
        <f>IFERROR(INDEX(装备库!$A$2:$Y$1047,MATCH(ROW()-1,装备库!$AO$2:$AO$1046,0),COLUMN()),"")</f>
        <v>腰坠</v>
      </c>
      <c r="B581" t="str">
        <f>IFERROR(INDEX(装备库!$A$2:$Y$1047,MATCH(ROW()-1,装备库!$AO$2:$AO$1046,0),COLUMN()),"")</f>
        <v>湘灿坠</v>
      </c>
      <c r="C581">
        <f>IFERROR(INDEX(装备库!$A$2:$Y$1047,MATCH(ROW()-1,装备库!$AO$2:$AO$1046,0),COLUMN()),"")</f>
        <v>11150</v>
      </c>
      <c r="D581" t="str">
        <f>IFERROR(INDEX(装备库!$A$2:$Y$1047,MATCH(ROW()-1,装备库!$AO$2:$AO$1046,0),COLUMN()),"")</f>
        <v>湘灿坠(11150会招)</v>
      </c>
      <c r="E581">
        <f>IFERROR(INDEX(装备库!$A$2:$Y$1047,MATCH(ROW()-1,装备库!$AO$2:$AO$1046,0),COLUMN()),"")</f>
        <v>389</v>
      </c>
      <c r="F581">
        <f>IFERROR(INDEX(装备库!$A$2:$Y$1047,MATCH(ROW()-1,装备库!$AO$2:$AO$1046,0),COLUMN()),"")</f>
        <v>632</v>
      </c>
      <c r="G581">
        <f>IFERROR(INDEX(装备库!$A$2:$Y$1047,MATCH(ROW()-1,装备库!$AO$2:$AO$1046,0),COLUMN()),"")</f>
        <v>1953</v>
      </c>
      <c r="H581">
        <f>IFERROR(INDEX(装备库!$A$2:$Y$1047,MATCH(ROW()-1,装备库!$AO$2:$AO$1046,0),COLUMN()),"")</f>
        <v>0</v>
      </c>
      <c r="I581">
        <f>IFERROR(INDEX(装备库!$A$2:$Y$1047,MATCH(ROW()-1,装备库!$AO$2:$AO$1046,0),COLUMN()),"")</f>
        <v>0</v>
      </c>
      <c r="J581">
        <f>IFERROR(INDEX(装备库!$A$2:$Y$1047,MATCH(ROW()-1,装备库!$AO$2:$AO$1046,0),COLUMN()),"")</f>
        <v>1736</v>
      </c>
      <c r="K581">
        <f>IFERROR(INDEX(装备库!$A$2:$Y$1047,MATCH(ROW()-1,装备库!$AO$2:$AO$1046,0),COLUMN()),"")</f>
        <v>0</v>
      </c>
      <c r="L581">
        <f>IFERROR(INDEX(装备库!$A$2:$Y$1047,MATCH(ROW()-1,装备库!$AO$2:$AO$1046,0),COLUMN()),"")</f>
        <v>0</v>
      </c>
      <c r="M581">
        <f>IFERROR(INDEX(装备库!$A$2:$Y$1047,MATCH(ROW()-1,装备库!$AO$2:$AO$1046,0),COLUMN()),"")</f>
        <v>0</v>
      </c>
      <c r="N581">
        <f>IFERROR(INDEX(装备库!$A$2:$Y$1047,MATCH(ROW()-1,装备库!$AO$2:$AO$1046,0),COLUMN()),"")</f>
        <v>0</v>
      </c>
      <c r="O581">
        <f>IFERROR(INDEX(装备库!$A$2:$Y$1047,MATCH(ROW()-1,装备库!$AO$2:$AO$1046,0),COLUMN()),"")</f>
        <v>1</v>
      </c>
      <c r="P581">
        <f>IFERROR(INDEX(装备库!$A$2:$Y$1047,MATCH(ROW()-1,装备库!$AO$2:$AO$1046,0),COLUMN()),"")</f>
        <v>0</v>
      </c>
      <c r="Q581">
        <f>IFERROR(INDEX(装备库!$A$2:$Y$1047,MATCH(ROW()-1,装备库!$AO$2:$AO$1046,0),COLUMN()),"")</f>
        <v>0</v>
      </c>
      <c r="R581">
        <f>IFERROR(INDEX(装备库!$A$2:$Y$1047,MATCH(ROW()-1,装备库!$AO$2:$AO$1046,0),COLUMN()),"")</f>
        <v>0</v>
      </c>
      <c r="S581">
        <f>IFERROR(INDEX(装备库!$A$2:$Y$1047,MATCH(ROW()-1,装备库!$AO$2:$AO$1046,0),COLUMN()),"")</f>
        <v>0</v>
      </c>
      <c r="T581">
        <f>IFERROR(INDEX(装备库!$A$2:$Y$1047,MATCH(ROW()-1,装备库!$AO$2:$AO$1046,0),COLUMN()),"")</f>
        <v>0</v>
      </c>
      <c r="U581">
        <f>IFERROR(INDEX(装备库!$A$2:$Y$1047,MATCH(ROW()-1,装备库!$AO$2:$AO$1046,0),COLUMN()),"")</f>
        <v>0</v>
      </c>
      <c r="V581">
        <f>IFERROR(INDEX(装备库!$A$2:$Y$1047,MATCH(ROW()-1,装备库!$AO$2:$AO$1046,0),COLUMN()),"")</f>
        <v>0</v>
      </c>
      <c r="W581" t="str">
        <f>IFERROR(INDEX(装备库!$A$2:$Y$1047,MATCH(ROW()-1,装备库!$AO$2:$AO$1046,0),COLUMN()),"")</f>
        <v>会招</v>
      </c>
      <c r="X581">
        <f>IFERROR(INDEX(装备库!$A$2:$Y$1047,MATCH(ROW()-1,装备库!$AO$2:$AO$1046,0),COLUMN()),"")</f>
        <v>6</v>
      </c>
      <c r="Y581" t="str">
        <f>IFERROR(INDEX(装备库!$A$2:$Y$1047,MATCH(ROW()-1,装备库!$AO$2:$AO$1046,0),COLUMN()),"")</f>
        <v>世界BOSS</v>
      </c>
    </row>
    <row r="582" spans="1:25" x14ac:dyDescent="0.35">
      <c r="A582" t="str">
        <f>IFERROR(INDEX(装备库!$A$2:$Y$1047,MATCH(ROW()-1,装备库!$AO$2:$AO$1046,0),COLUMN()),"")</f>
        <v>腰坠</v>
      </c>
      <c r="B582" t="str">
        <f>IFERROR(INDEX(装备库!$A$2:$Y$1047,MATCH(ROW()-1,装备库!$AO$2:$AO$1046,0),COLUMN()),"")</f>
        <v>烟梦坠</v>
      </c>
      <c r="C582">
        <f>IFERROR(INDEX(装备库!$A$2:$Y$1047,MATCH(ROW()-1,装备库!$AO$2:$AO$1046,0),COLUMN()),"")</f>
        <v>11150</v>
      </c>
      <c r="D582" t="str">
        <f>IFERROR(INDEX(装备库!$A$2:$Y$1047,MATCH(ROW()-1,装备库!$AO$2:$AO$1046,0),COLUMN()),"")</f>
        <v>烟梦坠(11150会招)</v>
      </c>
      <c r="E582">
        <f>IFERROR(INDEX(装备库!$A$2:$Y$1047,MATCH(ROW()-1,装备库!$AO$2:$AO$1046,0),COLUMN()),"")</f>
        <v>389</v>
      </c>
      <c r="F582">
        <f>IFERROR(INDEX(装备库!$A$2:$Y$1047,MATCH(ROW()-1,装备库!$AO$2:$AO$1046,0),COLUMN()),"")</f>
        <v>632</v>
      </c>
      <c r="G582">
        <f>IFERROR(INDEX(装备库!$A$2:$Y$1047,MATCH(ROW()-1,装备库!$AO$2:$AO$1046,0),COLUMN()),"")</f>
        <v>1953</v>
      </c>
      <c r="H582">
        <f>IFERROR(INDEX(装备库!$A$2:$Y$1047,MATCH(ROW()-1,装备库!$AO$2:$AO$1046,0),COLUMN()),"")</f>
        <v>0</v>
      </c>
      <c r="I582">
        <f>IFERROR(INDEX(装备库!$A$2:$Y$1047,MATCH(ROW()-1,装备库!$AO$2:$AO$1046,0),COLUMN()),"")</f>
        <v>0</v>
      </c>
      <c r="J582">
        <f>IFERROR(INDEX(装备库!$A$2:$Y$1047,MATCH(ROW()-1,装备库!$AO$2:$AO$1046,0),COLUMN()),"")</f>
        <v>1736</v>
      </c>
      <c r="K582">
        <f>IFERROR(INDEX(装备库!$A$2:$Y$1047,MATCH(ROW()-1,装备库!$AO$2:$AO$1046,0),COLUMN()),"")</f>
        <v>0</v>
      </c>
      <c r="L582">
        <f>IFERROR(INDEX(装备库!$A$2:$Y$1047,MATCH(ROW()-1,装备库!$AO$2:$AO$1046,0),COLUMN()),"")</f>
        <v>0</v>
      </c>
      <c r="M582">
        <f>IFERROR(INDEX(装备库!$A$2:$Y$1047,MATCH(ROW()-1,装备库!$AO$2:$AO$1046,0),COLUMN()),"")</f>
        <v>0</v>
      </c>
      <c r="N582">
        <f>IFERROR(INDEX(装备库!$A$2:$Y$1047,MATCH(ROW()-1,装备库!$AO$2:$AO$1046,0),COLUMN()),"")</f>
        <v>0</v>
      </c>
      <c r="O582">
        <f>IFERROR(INDEX(装备库!$A$2:$Y$1047,MATCH(ROW()-1,装备库!$AO$2:$AO$1046,0),COLUMN()),"")</f>
        <v>1</v>
      </c>
      <c r="P582">
        <f>IFERROR(INDEX(装备库!$A$2:$Y$1047,MATCH(ROW()-1,装备库!$AO$2:$AO$1046,0),COLUMN()),"")</f>
        <v>0</v>
      </c>
      <c r="Q582">
        <f>IFERROR(INDEX(装备库!$A$2:$Y$1047,MATCH(ROW()-1,装备库!$AO$2:$AO$1046,0),COLUMN()),"")</f>
        <v>0</v>
      </c>
      <c r="R582">
        <f>IFERROR(INDEX(装备库!$A$2:$Y$1047,MATCH(ROW()-1,装备库!$AO$2:$AO$1046,0),COLUMN()),"")</f>
        <v>0</v>
      </c>
      <c r="S582">
        <f>IFERROR(INDEX(装备库!$A$2:$Y$1047,MATCH(ROW()-1,装备库!$AO$2:$AO$1046,0),COLUMN()),"")</f>
        <v>0</v>
      </c>
      <c r="T582">
        <f>IFERROR(INDEX(装备库!$A$2:$Y$1047,MATCH(ROW()-1,装备库!$AO$2:$AO$1046,0),COLUMN()),"")</f>
        <v>0</v>
      </c>
      <c r="U582">
        <f>IFERROR(INDEX(装备库!$A$2:$Y$1047,MATCH(ROW()-1,装备库!$AO$2:$AO$1046,0),COLUMN()),"")</f>
        <v>0</v>
      </c>
      <c r="V582">
        <f>IFERROR(INDEX(装备库!$A$2:$Y$1047,MATCH(ROW()-1,装备库!$AO$2:$AO$1046,0),COLUMN()),"")</f>
        <v>0</v>
      </c>
      <c r="W582" t="str">
        <f>IFERROR(INDEX(装备库!$A$2:$Y$1047,MATCH(ROW()-1,装备库!$AO$2:$AO$1046,0),COLUMN()),"")</f>
        <v>会招</v>
      </c>
      <c r="X582">
        <f>IFERROR(INDEX(装备库!$A$2:$Y$1047,MATCH(ROW()-1,装备库!$AO$2:$AO$1046,0),COLUMN()),"")</f>
        <v>6</v>
      </c>
      <c r="Y582" t="str">
        <f>IFERROR(INDEX(装备库!$A$2:$Y$1047,MATCH(ROW()-1,装备库!$AO$2:$AO$1046,0),COLUMN()),"")</f>
        <v>副本</v>
      </c>
    </row>
    <row r="583" spans="1:25" x14ac:dyDescent="0.35">
      <c r="A583" t="str">
        <f>IFERROR(INDEX(装备库!$A$2:$Y$1047,MATCH(ROW()-1,装备库!$AO$2:$AO$1046,0),COLUMN()),"")</f>
        <v>腰坠</v>
      </c>
      <c r="B583" t="str">
        <f>IFERROR(INDEX(装备库!$A$2:$Y$1047,MATCH(ROW()-1,装备库!$AO$2:$AO$1046,0),COLUMN()),"")</f>
        <v>风落秋</v>
      </c>
      <c r="C583">
        <f>IFERROR(INDEX(装备库!$A$2:$Y$1047,MATCH(ROW()-1,装备库!$AO$2:$AO$1046,0),COLUMN()),"")</f>
        <v>11150</v>
      </c>
      <c r="D583" t="str">
        <f>IFERROR(INDEX(装备库!$A$2:$Y$1047,MATCH(ROW()-1,装备库!$AO$2:$AO$1046,0),COLUMN()),"")</f>
        <v>风落秋(11150特效破无)</v>
      </c>
      <c r="E583">
        <f>IFERROR(INDEX(装备库!$A$2:$Y$1047,MATCH(ROW()-1,装备库!$AO$2:$AO$1046,0),COLUMN()),"")</f>
        <v>389</v>
      </c>
      <c r="F583">
        <f>IFERROR(INDEX(装备库!$A$2:$Y$1047,MATCH(ROW()-1,装备库!$AO$2:$AO$1046,0),COLUMN()),"")</f>
        <v>632</v>
      </c>
      <c r="G583">
        <f>IFERROR(INDEX(装备库!$A$2:$Y$1047,MATCH(ROW()-1,装备库!$AO$2:$AO$1046,0),COLUMN()),"")</f>
        <v>0</v>
      </c>
      <c r="H583">
        <f>IFERROR(INDEX(装备库!$A$2:$Y$1047,MATCH(ROW()-1,装备库!$AO$2:$AO$1046,0),COLUMN()),"")</f>
        <v>0</v>
      </c>
      <c r="I583">
        <f>IFERROR(INDEX(装备库!$A$2:$Y$1047,MATCH(ROW()-1,装备库!$AO$2:$AO$1046,0),COLUMN()),"")</f>
        <v>1953</v>
      </c>
      <c r="J583">
        <f>IFERROR(INDEX(装备库!$A$2:$Y$1047,MATCH(ROW()-1,装备库!$AO$2:$AO$1046,0),COLUMN()),"")</f>
        <v>0</v>
      </c>
      <c r="K583">
        <f>IFERROR(INDEX(装备库!$A$2:$Y$1047,MATCH(ROW()-1,装备库!$AO$2:$AO$1046,0),COLUMN()),"")</f>
        <v>1736</v>
      </c>
      <c r="L583">
        <f>IFERROR(INDEX(装备库!$A$2:$Y$1047,MATCH(ROW()-1,装备库!$AO$2:$AO$1046,0),COLUMN()),"")</f>
        <v>0</v>
      </c>
      <c r="M583">
        <f>IFERROR(INDEX(装备库!$A$2:$Y$1047,MATCH(ROW()-1,装备库!$AO$2:$AO$1046,0),COLUMN()),"")</f>
        <v>0</v>
      </c>
      <c r="N583">
        <f>IFERROR(INDEX(装备库!$A$2:$Y$1047,MATCH(ROW()-1,装备库!$AO$2:$AO$1046,0),COLUMN()),"")</f>
        <v>0</v>
      </c>
      <c r="O583">
        <f>IFERROR(INDEX(装备库!$A$2:$Y$1047,MATCH(ROW()-1,装备库!$AO$2:$AO$1046,0),COLUMN()),"")</f>
        <v>0</v>
      </c>
      <c r="P583">
        <f>IFERROR(INDEX(装备库!$A$2:$Y$1047,MATCH(ROW()-1,装备库!$AO$2:$AO$1046,0),COLUMN()),"")</f>
        <v>0</v>
      </c>
      <c r="Q583">
        <f>IFERROR(INDEX(装备库!$A$2:$Y$1047,MATCH(ROW()-1,装备库!$AO$2:$AO$1046,0),COLUMN()),"")</f>
        <v>0</v>
      </c>
      <c r="R583">
        <f>IFERROR(INDEX(装备库!$A$2:$Y$1047,MATCH(ROW()-1,装备库!$AO$2:$AO$1046,0),COLUMN()),"")</f>
        <v>0</v>
      </c>
      <c r="S583">
        <f>IFERROR(INDEX(装备库!$A$2:$Y$1047,MATCH(ROW()-1,装备库!$AO$2:$AO$1046,0),COLUMN()),"")</f>
        <v>1</v>
      </c>
      <c r="T583">
        <f>IFERROR(INDEX(装备库!$A$2:$Y$1047,MATCH(ROW()-1,装备库!$AO$2:$AO$1046,0),COLUMN()),"")</f>
        <v>0</v>
      </c>
      <c r="U583">
        <f>IFERROR(INDEX(装备库!$A$2:$Y$1047,MATCH(ROW()-1,装备库!$AO$2:$AO$1046,0),COLUMN()),"")</f>
        <v>0</v>
      </c>
      <c r="V583">
        <f>IFERROR(INDEX(装备库!$A$2:$Y$1047,MATCH(ROW()-1,装备库!$AO$2:$AO$1046,0),COLUMN()),"")</f>
        <v>0</v>
      </c>
      <c r="W583" t="str">
        <f>IFERROR(INDEX(装备库!$A$2:$Y$1047,MATCH(ROW()-1,装备库!$AO$2:$AO$1046,0),COLUMN()),"")</f>
        <v>特效破无</v>
      </c>
      <c r="X583">
        <f>IFERROR(INDEX(装备库!$A$2:$Y$1047,MATCH(ROW()-1,装备库!$AO$2:$AO$1046,0),COLUMN()),"")</f>
        <v>4</v>
      </c>
      <c r="Y583" t="str">
        <f>IFERROR(INDEX(装备库!$A$2:$Y$1047,MATCH(ROW()-1,装备库!$AO$2:$AO$1046,0),COLUMN()),"")</f>
        <v>副本</v>
      </c>
    </row>
    <row r="584" spans="1:25" x14ac:dyDescent="0.35">
      <c r="A584" t="str">
        <f>IFERROR(INDEX(装备库!$A$2:$Y$1047,MATCH(ROW()-1,装备库!$AO$2:$AO$1046,0),COLUMN()),"")</f>
        <v>腰坠</v>
      </c>
      <c r="B584" t="str">
        <f>IFERROR(INDEX(装备库!$A$2:$Y$1047,MATCH(ROW()-1,装备库!$AO$2:$AO$1046,0),COLUMN()),"")</f>
        <v>元雾坠</v>
      </c>
      <c r="C584">
        <f>IFERROR(INDEX(装备库!$A$2:$Y$1047,MATCH(ROW()-1,装备库!$AO$2:$AO$1046,0),COLUMN()),"")</f>
        <v>11300</v>
      </c>
      <c r="D584" t="str">
        <f>IFERROR(INDEX(装备库!$A$2:$Y$1047,MATCH(ROW()-1,装备库!$AO$2:$AO$1046,0),COLUMN()),"")</f>
        <v>元雾坠(11300会无)</v>
      </c>
      <c r="E584">
        <f>IFERROR(INDEX(装备库!$A$2:$Y$1047,MATCH(ROW()-1,装备库!$AO$2:$AO$1046,0),COLUMN()),"")</f>
        <v>395</v>
      </c>
      <c r="F584">
        <f>IFERROR(INDEX(装备库!$A$2:$Y$1047,MATCH(ROW()-1,装备库!$AO$2:$AO$1046,0),COLUMN()),"")</f>
        <v>640</v>
      </c>
      <c r="G584">
        <f>IFERROR(INDEX(装备库!$A$2:$Y$1047,MATCH(ROW()-1,装备库!$AO$2:$AO$1046,0),COLUMN()),"")</f>
        <v>1980</v>
      </c>
      <c r="H584">
        <f>IFERROR(INDEX(装备库!$A$2:$Y$1047,MATCH(ROW()-1,装备库!$AO$2:$AO$1046,0),COLUMN()),"")</f>
        <v>0</v>
      </c>
      <c r="I584">
        <f>IFERROR(INDEX(装备库!$A$2:$Y$1047,MATCH(ROW()-1,装备库!$AO$2:$AO$1046,0),COLUMN()),"")</f>
        <v>0</v>
      </c>
      <c r="J584">
        <f>IFERROR(INDEX(装备库!$A$2:$Y$1047,MATCH(ROW()-1,装备库!$AO$2:$AO$1046,0),COLUMN()),"")</f>
        <v>0</v>
      </c>
      <c r="K584">
        <f>IFERROR(INDEX(装备库!$A$2:$Y$1047,MATCH(ROW()-1,装备库!$AO$2:$AO$1046,0),COLUMN()),"")</f>
        <v>1760</v>
      </c>
      <c r="L584">
        <f>IFERROR(INDEX(装备库!$A$2:$Y$1047,MATCH(ROW()-1,装备库!$AO$2:$AO$1046,0),COLUMN()),"")</f>
        <v>0</v>
      </c>
      <c r="M584">
        <f>IFERROR(INDEX(装备库!$A$2:$Y$1047,MATCH(ROW()-1,装备库!$AO$2:$AO$1046,0),COLUMN()),"")</f>
        <v>0</v>
      </c>
      <c r="N584">
        <f>IFERROR(INDEX(装备库!$A$2:$Y$1047,MATCH(ROW()-1,装备库!$AO$2:$AO$1046,0),COLUMN()),"")</f>
        <v>0</v>
      </c>
      <c r="O584">
        <f>IFERROR(INDEX(装备库!$A$2:$Y$1047,MATCH(ROW()-1,装备库!$AO$2:$AO$1046,0),COLUMN()),"")</f>
        <v>0</v>
      </c>
      <c r="P584">
        <f>IFERROR(INDEX(装备库!$A$2:$Y$1047,MATCH(ROW()-1,装备库!$AO$2:$AO$1046,0),COLUMN()),"")</f>
        <v>0</v>
      </c>
      <c r="Q584">
        <f>IFERROR(INDEX(装备库!$A$2:$Y$1047,MATCH(ROW()-1,装备库!$AO$2:$AO$1046,0),COLUMN()),"")</f>
        <v>0</v>
      </c>
      <c r="R584">
        <f>IFERROR(INDEX(装备库!$A$2:$Y$1047,MATCH(ROW()-1,装备库!$AO$2:$AO$1046,0),COLUMN()),"")</f>
        <v>0</v>
      </c>
      <c r="S584">
        <f>IFERROR(INDEX(装备库!$A$2:$Y$1047,MATCH(ROW()-1,装备库!$AO$2:$AO$1046,0),COLUMN()),"")</f>
        <v>0</v>
      </c>
      <c r="T584">
        <f>IFERROR(INDEX(装备库!$A$2:$Y$1047,MATCH(ROW()-1,装备库!$AO$2:$AO$1046,0),COLUMN()),"")</f>
        <v>0</v>
      </c>
      <c r="U584">
        <f>IFERROR(INDEX(装备库!$A$2:$Y$1047,MATCH(ROW()-1,装备库!$AO$2:$AO$1046,0),COLUMN()),"")</f>
        <v>1</v>
      </c>
      <c r="V584">
        <f>IFERROR(INDEX(装备库!$A$2:$Y$1047,MATCH(ROW()-1,装备库!$AO$2:$AO$1046,0),COLUMN()),"")</f>
        <v>0</v>
      </c>
      <c r="W584" t="str">
        <f>IFERROR(INDEX(装备库!$A$2:$Y$1047,MATCH(ROW()-1,装备库!$AO$2:$AO$1046,0),COLUMN()),"")</f>
        <v>会无</v>
      </c>
      <c r="X584">
        <f>IFERROR(INDEX(装备库!$A$2:$Y$1047,MATCH(ROW()-1,装备库!$AO$2:$AO$1046,0),COLUMN()),"")</f>
        <v>6</v>
      </c>
      <c r="Y584" t="str">
        <f>IFERROR(INDEX(装备库!$A$2:$Y$1047,MATCH(ROW()-1,装备库!$AO$2:$AO$1046,0),COLUMN()),"")</f>
        <v>声望</v>
      </c>
    </row>
    <row r="585" spans="1:25" x14ac:dyDescent="0.35">
      <c r="A585" t="str">
        <f>IFERROR(INDEX(装备库!$A$2:$Y$1047,MATCH(ROW()-1,装备库!$AO$2:$AO$1046,0),COLUMN()),"")</f>
        <v>腰坠</v>
      </c>
      <c r="B585" t="str">
        <f>IFERROR(INDEX(装备库!$A$2:$Y$1047,MATCH(ROW()-1,装备库!$AO$2:$AO$1046,0),COLUMN()),"")</f>
        <v>无封腰坠</v>
      </c>
      <c r="C585">
        <f>IFERROR(INDEX(装备库!$A$2:$Y$1047,MATCH(ROW()-1,装备库!$AO$2:$AO$1046,0),COLUMN()),"")</f>
        <v>11500</v>
      </c>
      <c r="D585" t="str">
        <f>IFERROR(INDEX(装备库!$A$2:$Y$1047,MATCH(ROW()-1,装备库!$AO$2:$AO$1046,0),COLUMN()),"")</f>
        <v>无封腰坠(11500精简攻会破)</v>
      </c>
      <c r="E585">
        <f>IFERROR(INDEX(装备库!$A$2:$Y$1047,MATCH(ROW()-1,装备库!$AO$2:$AO$1046,0),COLUMN()),"")</f>
        <v>0</v>
      </c>
      <c r="F585">
        <f>IFERROR(INDEX(装备库!$A$2:$Y$1047,MATCH(ROW()-1,装备库!$AO$2:$AO$1046,0),COLUMN()),"")</f>
        <v>1453</v>
      </c>
      <c r="G585">
        <f>IFERROR(INDEX(装备库!$A$2:$Y$1047,MATCH(ROW()-1,装备库!$AO$2:$AO$1046,0),COLUMN()),"")</f>
        <v>2294</v>
      </c>
      <c r="H585">
        <f>IFERROR(INDEX(装备库!$A$2:$Y$1047,MATCH(ROW()-1,装备库!$AO$2:$AO$1046,0),COLUMN()),"")</f>
        <v>0</v>
      </c>
      <c r="I585">
        <f>IFERROR(INDEX(装备库!$A$2:$Y$1047,MATCH(ROW()-1,装备库!$AO$2:$AO$1046,0),COLUMN()),"")</f>
        <v>2294</v>
      </c>
      <c r="J585">
        <f>IFERROR(INDEX(装备库!$A$2:$Y$1047,MATCH(ROW()-1,装备库!$AO$2:$AO$1046,0),COLUMN()),"")</f>
        <v>0</v>
      </c>
      <c r="K585">
        <f>IFERROR(INDEX(装备库!$A$2:$Y$1047,MATCH(ROW()-1,装备库!$AO$2:$AO$1046,0),COLUMN()),"")</f>
        <v>0</v>
      </c>
      <c r="L585">
        <f>IFERROR(INDEX(装备库!$A$2:$Y$1047,MATCH(ROW()-1,装备库!$AO$2:$AO$1046,0),COLUMN()),"")</f>
        <v>0</v>
      </c>
      <c r="M585">
        <f>IFERROR(INDEX(装备库!$A$2:$Y$1047,MATCH(ROW()-1,装备库!$AO$2:$AO$1046,0),COLUMN()),"")</f>
        <v>0</v>
      </c>
      <c r="N585">
        <f>IFERROR(INDEX(装备库!$A$2:$Y$1047,MATCH(ROW()-1,装备库!$AO$2:$AO$1046,0),COLUMN()),"")</f>
        <v>0</v>
      </c>
      <c r="O585">
        <f>IFERROR(INDEX(装备库!$A$2:$Y$1047,MATCH(ROW()-1,装备库!$AO$2:$AO$1046,0),COLUMN()),"")</f>
        <v>0</v>
      </c>
      <c r="P585">
        <f>IFERROR(INDEX(装备库!$A$2:$Y$1047,MATCH(ROW()-1,装备库!$AO$2:$AO$1046,0),COLUMN()),"")</f>
        <v>0</v>
      </c>
      <c r="Q585">
        <f>IFERROR(INDEX(装备库!$A$2:$Y$1047,MATCH(ROW()-1,装备库!$AO$2:$AO$1046,0),COLUMN()),"")</f>
        <v>0</v>
      </c>
      <c r="R585">
        <f>IFERROR(INDEX(装备库!$A$2:$Y$1047,MATCH(ROW()-1,装备库!$AO$2:$AO$1046,0),COLUMN()),"")</f>
        <v>0</v>
      </c>
      <c r="S585">
        <f>IFERROR(INDEX(装备库!$A$2:$Y$1047,MATCH(ROW()-1,装备库!$AO$2:$AO$1046,0),COLUMN()),"")</f>
        <v>0</v>
      </c>
      <c r="T585">
        <f>IFERROR(INDEX(装备库!$A$2:$Y$1047,MATCH(ROW()-1,装备库!$AO$2:$AO$1046,0),COLUMN()),"")</f>
        <v>1</v>
      </c>
      <c r="U585">
        <f>IFERROR(INDEX(装备库!$A$2:$Y$1047,MATCH(ROW()-1,装备库!$AO$2:$AO$1046,0),COLUMN()),"")</f>
        <v>0</v>
      </c>
      <c r="V585">
        <f>IFERROR(INDEX(装备库!$A$2:$Y$1047,MATCH(ROW()-1,装备库!$AO$2:$AO$1046,0),COLUMN()),"")</f>
        <v>0</v>
      </c>
      <c r="W585" t="str">
        <f>IFERROR(INDEX(装备库!$A$2:$Y$1047,MATCH(ROW()-1,装备库!$AO$2:$AO$1046,0),COLUMN()),"")</f>
        <v>精简攻会破</v>
      </c>
      <c r="X585">
        <f>IFERROR(INDEX(装备库!$A$2:$Y$1047,MATCH(ROW()-1,装备库!$AO$2:$AO$1046,0),COLUMN()),"")</f>
        <v>3</v>
      </c>
      <c r="Y585" t="str">
        <f>IFERROR(INDEX(装备库!$A$2:$Y$1047,MATCH(ROW()-1,装备库!$AO$2:$AO$1046,0),COLUMN()),"")</f>
        <v>活动</v>
      </c>
    </row>
    <row r="586" spans="1:25" x14ac:dyDescent="0.35">
      <c r="A586" t="str">
        <f>IFERROR(INDEX(装备库!$A$2:$Y$1047,MATCH(ROW()-1,装备库!$AO$2:$AO$1046,0),COLUMN()),"")</f>
        <v>腰坠</v>
      </c>
      <c r="B586" t="str">
        <f>IFERROR(INDEX(装备库!$A$2:$Y$1047,MATCH(ROW()-1,装备库!$AO$2:$AO$1046,0),COLUMN()),"")</f>
        <v>无封腰坠</v>
      </c>
      <c r="C586">
        <f>IFERROR(INDEX(装备库!$A$2:$Y$1047,MATCH(ROW()-1,装备库!$AO$2:$AO$1046,0),COLUMN()),"")</f>
        <v>11500</v>
      </c>
      <c r="D586" t="str">
        <f>IFERROR(INDEX(装备库!$A$2:$Y$1047,MATCH(ROW()-1,装备库!$AO$2:$AO$1046,0),COLUMN()),"")</f>
        <v>无封腰坠(11500精简攻会会破)</v>
      </c>
      <c r="E586">
        <f>IFERROR(INDEX(装备库!$A$2:$Y$1047,MATCH(ROW()-1,装备库!$AO$2:$AO$1046,0),COLUMN()),"")</f>
        <v>0</v>
      </c>
      <c r="F586">
        <f>IFERROR(INDEX(装备库!$A$2:$Y$1047,MATCH(ROW()-1,装备库!$AO$2:$AO$1046,0),COLUMN()),"")</f>
        <v>1453</v>
      </c>
      <c r="G586">
        <f>IFERROR(INDEX(装备库!$A$2:$Y$1047,MATCH(ROW()-1,装备库!$AO$2:$AO$1046,0),COLUMN()),"")</f>
        <v>1735</v>
      </c>
      <c r="H586">
        <f>IFERROR(INDEX(装备库!$A$2:$Y$1047,MATCH(ROW()-1,装备库!$AO$2:$AO$1046,0),COLUMN()),"")</f>
        <v>1119</v>
      </c>
      <c r="I586">
        <f>IFERROR(INDEX(装备库!$A$2:$Y$1047,MATCH(ROW()-1,装备库!$AO$2:$AO$1046,0),COLUMN()),"")</f>
        <v>1623</v>
      </c>
      <c r="J586">
        <f>IFERROR(INDEX(装备库!$A$2:$Y$1047,MATCH(ROW()-1,装备库!$AO$2:$AO$1046,0),COLUMN()),"")</f>
        <v>0</v>
      </c>
      <c r="K586">
        <f>IFERROR(INDEX(装备库!$A$2:$Y$1047,MATCH(ROW()-1,装备库!$AO$2:$AO$1046,0),COLUMN()),"")</f>
        <v>0</v>
      </c>
      <c r="L586">
        <f>IFERROR(INDEX(装备库!$A$2:$Y$1047,MATCH(ROW()-1,装备库!$AO$2:$AO$1046,0),COLUMN()),"")</f>
        <v>0</v>
      </c>
      <c r="M586">
        <f>IFERROR(INDEX(装备库!$A$2:$Y$1047,MATCH(ROW()-1,装备库!$AO$2:$AO$1046,0),COLUMN()),"")</f>
        <v>0</v>
      </c>
      <c r="N586">
        <f>IFERROR(INDEX(装备库!$A$2:$Y$1047,MATCH(ROW()-1,装备库!$AO$2:$AO$1046,0),COLUMN()),"")</f>
        <v>0</v>
      </c>
      <c r="O586">
        <f>IFERROR(INDEX(装备库!$A$2:$Y$1047,MATCH(ROW()-1,装备库!$AO$2:$AO$1046,0),COLUMN()),"")</f>
        <v>0</v>
      </c>
      <c r="P586">
        <f>IFERROR(INDEX(装备库!$A$2:$Y$1047,MATCH(ROW()-1,装备库!$AO$2:$AO$1046,0),COLUMN()),"")</f>
        <v>0</v>
      </c>
      <c r="Q586">
        <f>IFERROR(INDEX(装备库!$A$2:$Y$1047,MATCH(ROW()-1,装备库!$AO$2:$AO$1046,0),COLUMN()),"")</f>
        <v>0</v>
      </c>
      <c r="R586">
        <f>IFERROR(INDEX(装备库!$A$2:$Y$1047,MATCH(ROW()-1,装备库!$AO$2:$AO$1046,0),COLUMN()),"")</f>
        <v>0</v>
      </c>
      <c r="S586">
        <f>IFERROR(INDEX(装备库!$A$2:$Y$1047,MATCH(ROW()-1,装备库!$AO$2:$AO$1046,0),COLUMN()),"")</f>
        <v>0</v>
      </c>
      <c r="T586">
        <f>IFERROR(INDEX(装备库!$A$2:$Y$1047,MATCH(ROW()-1,装备库!$AO$2:$AO$1046,0),COLUMN()),"")</f>
        <v>1</v>
      </c>
      <c r="U586">
        <f>IFERROR(INDEX(装备库!$A$2:$Y$1047,MATCH(ROW()-1,装备库!$AO$2:$AO$1046,0),COLUMN()),"")</f>
        <v>0</v>
      </c>
      <c r="V586">
        <f>IFERROR(INDEX(装备库!$A$2:$Y$1047,MATCH(ROW()-1,装备库!$AO$2:$AO$1046,0),COLUMN()),"")</f>
        <v>0</v>
      </c>
      <c r="W586" t="str">
        <f>IFERROR(INDEX(装备库!$A$2:$Y$1047,MATCH(ROW()-1,装备库!$AO$2:$AO$1046,0),COLUMN()),"")</f>
        <v>精简攻会会破</v>
      </c>
      <c r="X586">
        <f>IFERROR(INDEX(装备库!$A$2:$Y$1047,MATCH(ROW()-1,装备库!$AO$2:$AO$1046,0),COLUMN()),"")</f>
        <v>3</v>
      </c>
      <c r="Y586" t="str">
        <f>IFERROR(INDEX(装备库!$A$2:$Y$1047,MATCH(ROW()-1,装备库!$AO$2:$AO$1046,0),COLUMN()),"")</f>
        <v>活动</v>
      </c>
    </row>
    <row r="587" spans="1:25" x14ac:dyDescent="0.35">
      <c r="A587" t="str">
        <f>IFERROR(INDEX(装备库!$A$2:$Y$1047,MATCH(ROW()-1,装备库!$AO$2:$AO$1046,0),COLUMN()),"")</f>
        <v>腰坠</v>
      </c>
      <c r="B587" t="str">
        <f>IFERROR(INDEX(装备库!$A$2:$Y$1047,MATCH(ROW()-1,装备库!$AO$2:$AO$1046,0),COLUMN()),"")</f>
        <v>无封腰坠</v>
      </c>
      <c r="C587">
        <f>IFERROR(INDEX(装备库!$A$2:$Y$1047,MATCH(ROW()-1,装备库!$AO$2:$AO$1046,0),COLUMN()),"")</f>
        <v>11500</v>
      </c>
      <c r="D587" t="str">
        <f>IFERROR(INDEX(装备库!$A$2:$Y$1047,MATCH(ROW()-1,装备库!$AO$2:$AO$1046,0),COLUMN()),"")</f>
        <v>无封腰坠(11500精简攻会)</v>
      </c>
      <c r="E587">
        <f>IFERROR(INDEX(装备库!$A$2:$Y$1047,MATCH(ROW()-1,装备库!$AO$2:$AO$1046,0),COLUMN()),"")</f>
        <v>0</v>
      </c>
      <c r="F587">
        <f>IFERROR(INDEX(装备库!$A$2:$Y$1047,MATCH(ROW()-1,装备库!$AO$2:$AO$1046,0),COLUMN()),"")</f>
        <v>1704</v>
      </c>
      <c r="G587">
        <f>IFERROR(INDEX(装备库!$A$2:$Y$1047,MATCH(ROW()-1,装备库!$AO$2:$AO$1046,0),COLUMN()),"")</f>
        <v>3973</v>
      </c>
      <c r="H587">
        <f>IFERROR(INDEX(装备库!$A$2:$Y$1047,MATCH(ROW()-1,装备库!$AO$2:$AO$1046,0),COLUMN()),"")</f>
        <v>0</v>
      </c>
      <c r="I587">
        <f>IFERROR(INDEX(装备库!$A$2:$Y$1047,MATCH(ROW()-1,装备库!$AO$2:$AO$1046,0),COLUMN()),"")</f>
        <v>0</v>
      </c>
      <c r="J587">
        <f>IFERROR(INDEX(装备库!$A$2:$Y$1047,MATCH(ROW()-1,装备库!$AO$2:$AO$1046,0),COLUMN()),"")</f>
        <v>0</v>
      </c>
      <c r="K587">
        <f>IFERROR(INDEX(装备库!$A$2:$Y$1047,MATCH(ROW()-1,装备库!$AO$2:$AO$1046,0),COLUMN()),"")</f>
        <v>0</v>
      </c>
      <c r="L587">
        <f>IFERROR(INDEX(装备库!$A$2:$Y$1047,MATCH(ROW()-1,装备库!$AO$2:$AO$1046,0),COLUMN()),"")</f>
        <v>0</v>
      </c>
      <c r="M587">
        <f>IFERROR(INDEX(装备库!$A$2:$Y$1047,MATCH(ROW()-1,装备库!$AO$2:$AO$1046,0),COLUMN()),"")</f>
        <v>0</v>
      </c>
      <c r="N587">
        <f>IFERROR(INDEX(装备库!$A$2:$Y$1047,MATCH(ROW()-1,装备库!$AO$2:$AO$1046,0),COLUMN()),"")</f>
        <v>0</v>
      </c>
      <c r="O587">
        <f>IFERROR(INDEX(装备库!$A$2:$Y$1047,MATCH(ROW()-1,装备库!$AO$2:$AO$1046,0),COLUMN()),"")</f>
        <v>0</v>
      </c>
      <c r="P587">
        <f>IFERROR(INDEX(装备库!$A$2:$Y$1047,MATCH(ROW()-1,装备库!$AO$2:$AO$1046,0),COLUMN()),"")</f>
        <v>0</v>
      </c>
      <c r="Q587">
        <f>IFERROR(INDEX(装备库!$A$2:$Y$1047,MATCH(ROW()-1,装备库!$AO$2:$AO$1046,0),COLUMN()),"")</f>
        <v>0</v>
      </c>
      <c r="R587">
        <f>IFERROR(INDEX(装备库!$A$2:$Y$1047,MATCH(ROW()-1,装备库!$AO$2:$AO$1046,0),COLUMN()),"")</f>
        <v>1</v>
      </c>
      <c r="S587">
        <f>IFERROR(INDEX(装备库!$A$2:$Y$1047,MATCH(ROW()-1,装备库!$AO$2:$AO$1046,0),COLUMN()),"")</f>
        <v>0</v>
      </c>
      <c r="T587">
        <f>IFERROR(INDEX(装备库!$A$2:$Y$1047,MATCH(ROW()-1,装备库!$AO$2:$AO$1046,0),COLUMN()),"")</f>
        <v>0</v>
      </c>
      <c r="U587">
        <f>IFERROR(INDEX(装备库!$A$2:$Y$1047,MATCH(ROW()-1,装备库!$AO$2:$AO$1046,0),COLUMN()),"")</f>
        <v>0</v>
      </c>
      <c r="V587">
        <f>IFERROR(INDEX(装备库!$A$2:$Y$1047,MATCH(ROW()-1,装备库!$AO$2:$AO$1046,0),COLUMN()),"")</f>
        <v>0</v>
      </c>
      <c r="W587" t="str">
        <f>IFERROR(INDEX(装备库!$A$2:$Y$1047,MATCH(ROW()-1,装备库!$AO$2:$AO$1046,0),COLUMN()),"")</f>
        <v>精简攻会</v>
      </c>
      <c r="X587">
        <f>IFERROR(INDEX(装备库!$A$2:$Y$1047,MATCH(ROW()-1,装备库!$AO$2:$AO$1046,0),COLUMN()),"")</f>
        <v>3</v>
      </c>
      <c r="Y587" t="str">
        <f>IFERROR(INDEX(装备库!$A$2:$Y$1047,MATCH(ROW()-1,装备库!$AO$2:$AO$1046,0),COLUMN()),"")</f>
        <v>活动</v>
      </c>
    </row>
    <row r="588" spans="1:25" x14ac:dyDescent="0.35">
      <c r="A588" t="str">
        <f>IFERROR(INDEX(装备库!$A$2:$Y$1047,MATCH(ROW()-1,装备库!$AO$2:$AO$1046,0),COLUMN()),"")</f>
        <v>腰坠</v>
      </c>
      <c r="B588" t="str">
        <f>IFERROR(INDEX(装备库!$A$2:$Y$1047,MATCH(ROW()-1,装备库!$AO$2:$AO$1046,0),COLUMN()),"")</f>
        <v>定酣坠</v>
      </c>
      <c r="C588">
        <f>IFERROR(INDEX(装备库!$A$2:$Y$1047,MATCH(ROW()-1,装备库!$AO$2:$AO$1046,0),COLUMN()),"")</f>
        <v>11850</v>
      </c>
      <c r="D588" t="str">
        <f>IFERROR(INDEX(装备库!$A$2:$Y$1047,MATCH(ROW()-1,装备库!$AO$2:$AO$1046,0),COLUMN()),"")</f>
        <v>定酣坠(11850会无)</v>
      </c>
      <c r="E588">
        <f>IFERROR(INDEX(装备库!$A$2:$Y$1047,MATCH(ROW()-1,装备库!$AO$2:$AO$1046,0),COLUMN()),"")</f>
        <v>414</v>
      </c>
      <c r="F588">
        <f>IFERROR(INDEX(装备库!$A$2:$Y$1047,MATCH(ROW()-1,装备库!$AO$2:$AO$1046,0),COLUMN()),"")</f>
        <v>671</v>
      </c>
      <c r="G588">
        <f>IFERROR(INDEX(装备库!$A$2:$Y$1047,MATCH(ROW()-1,装备库!$AO$2:$AO$1046,0),COLUMN()),"")</f>
        <v>2076</v>
      </c>
      <c r="H588">
        <f>IFERROR(INDEX(装备库!$A$2:$Y$1047,MATCH(ROW()-1,装备库!$AO$2:$AO$1046,0),COLUMN()),"")</f>
        <v>0</v>
      </c>
      <c r="I588">
        <f>IFERROR(INDEX(装备库!$A$2:$Y$1047,MATCH(ROW()-1,装备库!$AO$2:$AO$1046,0),COLUMN()),"")</f>
        <v>0</v>
      </c>
      <c r="J588">
        <f>IFERROR(INDEX(装备库!$A$2:$Y$1047,MATCH(ROW()-1,装备库!$AO$2:$AO$1046,0),COLUMN()),"")</f>
        <v>0</v>
      </c>
      <c r="K588">
        <f>IFERROR(INDEX(装备库!$A$2:$Y$1047,MATCH(ROW()-1,装备库!$AO$2:$AO$1046,0),COLUMN()),"")</f>
        <v>1845</v>
      </c>
      <c r="L588">
        <f>IFERROR(INDEX(装备库!$A$2:$Y$1047,MATCH(ROW()-1,装备库!$AO$2:$AO$1046,0),COLUMN()),"")</f>
        <v>0</v>
      </c>
      <c r="M588">
        <f>IFERROR(INDEX(装备库!$A$2:$Y$1047,MATCH(ROW()-1,装备库!$AO$2:$AO$1046,0),COLUMN()),"")</f>
        <v>0</v>
      </c>
      <c r="N588">
        <f>IFERROR(INDEX(装备库!$A$2:$Y$1047,MATCH(ROW()-1,装备库!$AO$2:$AO$1046,0),COLUMN()),"")</f>
        <v>0</v>
      </c>
      <c r="O588">
        <f>IFERROR(INDEX(装备库!$A$2:$Y$1047,MATCH(ROW()-1,装备库!$AO$2:$AO$1046,0),COLUMN()),"")</f>
        <v>0</v>
      </c>
      <c r="P588">
        <f>IFERROR(INDEX(装备库!$A$2:$Y$1047,MATCH(ROW()-1,装备库!$AO$2:$AO$1046,0),COLUMN()),"")</f>
        <v>0</v>
      </c>
      <c r="Q588">
        <f>IFERROR(INDEX(装备库!$A$2:$Y$1047,MATCH(ROW()-1,装备库!$AO$2:$AO$1046,0),COLUMN()),"")</f>
        <v>0</v>
      </c>
      <c r="R588">
        <f>IFERROR(INDEX(装备库!$A$2:$Y$1047,MATCH(ROW()-1,装备库!$AO$2:$AO$1046,0),COLUMN()),"")</f>
        <v>0</v>
      </c>
      <c r="S588">
        <f>IFERROR(INDEX(装备库!$A$2:$Y$1047,MATCH(ROW()-1,装备库!$AO$2:$AO$1046,0),COLUMN()),"")</f>
        <v>0</v>
      </c>
      <c r="T588">
        <f>IFERROR(INDEX(装备库!$A$2:$Y$1047,MATCH(ROW()-1,装备库!$AO$2:$AO$1046,0),COLUMN()),"")</f>
        <v>0</v>
      </c>
      <c r="U588">
        <f>IFERROR(INDEX(装备库!$A$2:$Y$1047,MATCH(ROW()-1,装备库!$AO$2:$AO$1046,0),COLUMN()),"")</f>
        <v>1</v>
      </c>
      <c r="V588">
        <f>IFERROR(INDEX(装备库!$A$2:$Y$1047,MATCH(ROW()-1,装备库!$AO$2:$AO$1046,0),COLUMN()),"")</f>
        <v>0</v>
      </c>
      <c r="W588" t="str">
        <f>IFERROR(INDEX(装备库!$A$2:$Y$1047,MATCH(ROW()-1,装备库!$AO$2:$AO$1046,0),COLUMN()),"")</f>
        <v>会无</v>
      </c>
      <c r="X588">
        <f>IFERROR(INDEX(装备库!$A$2:$Y$1047,MATCH(ROW()-1,装备库!$AO$2:$AO$1046,0),COLUMN()),"")</f>
        <v>6</v>
      </c>
      <c r="Y588" t="str">
        <f>IFERROR(INDEX(装备库!$A$2:$Y$1047,MATCH(ROW()-1,装备库!$AO$2:$AO$1046,0),COLUMN()),"")</f>
        <v>声望</v>
      </c>
    </row>
    <row r="589" spans="1:25" x14ac:dyDescent="0.35">
      <c r="A589" t="str">
        <f>IFERROR(INDEX(装备库!$A$2:$Y$1047,MATCH(ROW()-1,装备库!$AO$2:$AO$1046,0),COLUMN()),"")</f>
        <v>腰坠</v>
      </c>
      <c r="B589" t="str">
        <f>IFERROR(INDEX(装备库!$A$2:$Y$1047,MATCH(ROW()-1,装备库!$AO$2:$AO$1046,0),COLUMN()),"")</f>
        <v>无封腰坠</v>
      </c>
      <c r="C589">
        <f>IFERROR(INDEX(装备库!$A$2:$Y$1047,MATCH(ROW()-1,装备库!$AO$2:$AO$1046,0),COLUMN()),"")</f>
        <v>12100</v>
      </c>
      <c r="D589" t="str">
        <f>IFERROR(INDEX(装备库!$A$2:$Y$1047,MATCH(ROW()-1,装备库!$AO$2:$AO$1046,0),COLUMN()),"")</f>
        <v>无封腰坠(12100精简攻破)</v>
      </c>
      <c r="E589">
        <f>IFERROR(INDEX(装备库!$A$2:$Y$1047,MATCH(ROW()-1,装备库!$AO$2:$AO$1046,0),COLUMN()),"")</f>
        <v>0</v>
      </c>
      <c r="F589">
        <f>IFERROR(INDEX(装备库!$A$2:$Y$1047,MATCH(ROW()-1,装备库!$AO$2:$AO$1046,0),COLUMN()),"")</f>
        <v>1792</v>
      </c>
      <c r="G589">
        <f>IFERROR(INDEX(装备库!$A$2:$Y$1047,MATCH(ROW()-1,装备库!$AO$2:$AO$1046,0),COLUMN()),"")</f>
        <v>0</v>
      </c>
      <c r="H589">
        <f>IFERROR(INDEX(装备库!$A$2:$Y$1047,MATCH(ROW()-1,装备库!$AO$2:$AO$1046,0),COLUMN()),"")</f>
        <v>0</v>
      </c>
      <c r="I589">
        <f>IFERROR(INDEX(装备库!$A$2:$Y$1047,MATCH(ROW()-1,装备库!$AO$2:$AO$1046,0),COLUMN()),"")</f>
        <v>4181</v>
      </c>
      <c r="J589">
        <f>IFERROR(INDEX(装备库!$A$2:$Y$1047,MATCH(ROW()-1,装备库!$AO$2:$AO$1046,0),COLUMN()),"")</f>
        <v>0</v>
      </c>
      <c r="K589">
        <f>IFERROR(INDEX(装备库!$A$2:$Y$1047,MATCH(ROW()-1,装备库!$AO$2:$AO$1046,0),COLUMN()),"")</f>
        <v>0</v>
      </c>
      <c r="L589">
        <f>IFERROR(INDEX(装备库!$A$2:$Y$1047,MATCH(ROW()-1,装备库!$AO$2:$AO$1046,0),COLUMN()),"")</f>
        <v>0</v>
      </c>
      <c r="M589">
        <f>IFERROR(INDEX(装备库!$A$2:$Y$1047,MATCH(ROW()-1,装备库!$AO$2:$AO$1046,0),COLUMN()),"")</f>
        <v>0</v>
      </c>
      <c r="N589">
        <f>IFERROR(INDEX(装备库!$A$2:$Y$1047,MATCH(ROW()-1,装备库!$AO$2:$AO$1046,0),COLUMN()),"")</f>
        <v>0</v>
      </c>
      <c r="O589">
        <f>IFERROR(INDEX(装备库!$A$2:$Y$1047,MATCH(ROW()-1,装备库!$AO$2:$AO$1046,0),COLUMN()),"")</f>
        <v>0</v>
      </c>
      <c r="P589">
        <f>IFERROR(INDEX(装备库!$A$2:$Y$1047,MATCH(ROW()-1,装备库!$AO$2:$AO$1046,0),COLUMN()),"")</f>
        <v>0</v>
      </c>
      <c r="Q589">
        <f>IFERROR(INDEX(装备库!$A$2:$Y$1047,MATCH(ROW()-1,装备库!$AO$2:$AO$1046,0),COLUMN()),"")</f>
        <v>0</v>
      </c>
      <c r="R589">
        <f>IFERROR(INDEX(装备库!$A$2:$Y$1047,MATCH(ROW()-1,装备库!$AO$2:$AO$1046,0),COLUMN()),"")</f>
        <v>0</v>
      </c>
      <c r="S589">
        <f>IFERROR(INDEX(装备库!$A$2:$Y$1047,MATCH(ROW()-1,装备库!$AO$2:$AO$1046,0),COLUMN()),"")</f>
        <v>0</v>
      </c>
      <c r="T589">
        <f>IFERROR(INDEX(装备库!$A$2:$Y$1047,MATCH(ROW()-1,装备库!$AO$2:$AO$1046,0),COLUMN()),"")</f>
        <v>1</v>
      </c>
      <c r="U589">
        <f>IFERROR(INDEX(装备库!$A$2:$Y$1047,MATCH(ROW()-1,装备库!$AO$2:$AO$1046,0),COLUMN()),"")</f>
        <v>0</v>
      </c>
      <c r="V589">
        <f>IFERROR(INDEX(装备库!$A$2:$Y$1047,MATCH(ROW()-1,装备库!$AO$2:$AO$1046,0),COLUMN()),"")</f>
        <v>0</v>
      </c>
      <c r="W589" t="str">
        <f>IFERROR(INDEX(装备库!$A$2:$Y$1047,MATCH(ROW()-1,装备库!$AO$2:$AO$1046,0),COLUMN()),"")</f>
        <v>精简攻破</v>
      </c>
      <c r="X589">
        <f>IFERROR(INDEX(装备库!$A$2:$Y$1047,MATCH(ROW()-1,装备库!$AO$2:$AO$1046,0),COLUMN()),"")</f>
        <v>3</v>
      </c>
      <c r="Y589" t="str">
        <f>IFERROR(INDEX(装备库!$A$2:$Y$1047,MATCH(ROW()-1,装备库!$AO$2:$AO$1046,0),COLUMN()),"")</f>
        <v>活动</v>
      </c>
    </row>
    <row r="590" spans="1:25" x14ac:dyDescent="0.35">
      <c r="A590" t="str">
        <f>IFERROR(INDEX(装备库!$A$2:$Y$1047,MATCH(ROW()-1,装备库!$AO$2:$AO$1046,0),COLUMN()),"")</f>
        <v>腰坠</v>
      </c>
      <c r="B590" t="str">
        <f>IFERROR(INDEX(装备库!$A$2:$Y$1047,MATCH(ROW()-1,装备库!$AO$2:$AO$1046,0),COLUMN()),"")</f>
        <v>无封腰坠</v>
      </c>
      <c r="C590">
        <f>IFERROR(INDEX(装备库!$A$2:$Y$1047,MATCH(ROW()-1,装备库!$AO$2:$AO$1046,0),COLUMN()),"")</f>
        <v>12100</v>
      </c>
      <c r="D590" t="str">
        <f>IFERROR(INDEX(装备库!$A$2:$Y$1047,MATCH(ROW()-1,装备库!$AO$2:$AO$1046,0),COLUMN()),"")</f>
        <v>无封腰坠(12100精简攻会无)</v>
      </c>
      <c r="E590">
        <f>IFERROR(INDEX(装备库!$A$2:$Y$1047,MATCH(ROW()-1,装备库!$AO$2:$AO$1046,0),COLUMN()),"")</f>
        <v>0</v>
      </c>
      <c r="F590">
        <f>IFERROR(INDEX(装备库!$A$2:$Y$1047,MATCH(ROW()-1,装备库!$AO$2:$AO$1046,0),COLUMN()),"")</f>
        <v>1529</v>
      </c>
      <c r="G590">
        <f>IFERROR(INDEX(装备库!$A$2:$Y$1047,MATCH(ROW()-1,装备库!$AO$2:$AO$1046,0),COLUMN()),"")</f>
        <v>2355</v>
      </c>
      <c r="H590">
        <f>IFERROR(INDEX(装备库!$A$2:$Y$1047,MATCH(ROW()-1,装备库!$AO$2:$AO$1046,0),COLUMN()),"")</f>
        <v>0</v>
      </c>
      <c r="I590">
        <f>IFERROR(INDEX(装备库!$A$2:$Y$1047,MATCH(ROW()-1,装备库!$AO$2:$AO$1046,0),COLUMN()),"")</f>
        <v>0</v>
      </c>
      <c r="J590">
        <f>IFERROR(INDEX(装备库!$A$2:$Y$1047,MATCH(ROW()-1,装备库!$AO$2:$AO$1046,0),COLUMN()),"")</f>
        <v>0</v>
      </c>
      <c r="K590">
        <f>IFERROR(INDEX(装备库!$A$2:$Y$1047,MATCH(ROW()-1,装备库!$AO$2:$AO$1046,0),COLUMN()),"")</f>
        <v>2473</v>
      </c>
      <c r="L590">
        <f>IFERROR(INDEX(装备库!$A$2:$Y$1047,MATCH(ROW()-1,装备库!$AO$2:$AO$1046,0),COLUMN()),"")</f>
        <v>0</v>
      </c>
      <c r="M590">
        <f>IFERROR(INDEX(装备库!$A$2:$Y$1047,MATCH(ROW()-1,装备库!$AO$2:$AO$1046,0),COLUMN()),"")</f>
        <v>0</v>
      </c>
      <c r="N590">
        <f>IFERROR(INDEX(装备库!$A$2:$Y$1047,MATCH(ROW()-1,装备库!$AO$2:$AO$1046,0),COLUMN()),"")</f>
        <v>0</v>
      </c>
      <c r="O590">
        <f>IFERROR(INDEX(装备库!$A$2:$Y$1047,MATCH(ROW()-1,装备库!$AO$2:$AO$1046,0),COLUMN()),"")</f>
        <v>0</v>
      </c>
      <c r="P590">
        <f>IFERROR(INDEX(装备库!$A$2:$Y$1047,MATCH(ROW()-1,装备库!$AO$2:$AO$1046,0),COLUMN()),"")</f>
        <v>0</v>
      </c>
      <c r="Q590">
        <f>IFERROR(INDEX(装备库!$A$2:$Y$1047,MATCH(ROW()-1,装备库!$AO$2:$AO$1046,0),COLUMN()),"")</f>
        <v>0</v>
      </c>
      <c r="R590">
        <f>IFERROR(INDEX(装备库!$A$2:$Y$1047,MATCH(ROW()-1,装备库!$AO$2:$AO$1046,0),COLUMN()),"")</f>
        <v>1</v>
      </c>
      <c r="S590">
        <f>IFERROR(INDEX(装备库!$A$2:$Y$1047,MATCH(ROW()-1,装备库!$AO$2:$AO$1046,0),COLUMN()),"")</f>
        <v>0</v>
      </c>
      <c r="T590">
        <f>IFERROR(INDEX(装备库!$A$2:$Y$1047,MATCH(ROW()-1,装备库!$AO$2:$AO$1046,0),COLUMN()),"")</f>
        <v>0</v>
      </c>
      <c r="U590">
        <f>IFERROR(INDEX(装备库!$A$2:$Y$1047,MATCH(ROW()-1,装备库!$AO$2:$AO$1046,0),COLUMN()),"")</f>
        <v>0</v>
      </c>
      <c r="V590">
        <f>IFERROR(INDEX(装备库!$A$2:$Y$1047,MATCH(ROW()-1,装备库!$AO$2:$AO$1046,0),COLUMN()),"")</f>
        <v>0</v>
      </c>
      <c r="W590" t="str">
        <f>IFERROR(INDEX(装备库!$A$2:$Y$1047,MATCH(ROW()-1,装备库!$AO$2:$AO$1046,0),COLUMN()),"")</f>
        <v>精简攻会无</v>
      </c>
      <c r="X590">
        <f>IFERROR(INDEX(装备库!$A$2:$Y$1047,MATCH(ROW()-1,装备库!$AO$2:$AO$1046,0),COLUMN()),"")</f>
        <v>3</v>
      </c>
      <c r="Y590" t="str">
        <f>IFERROR(INDEX(装备库!$A$2:$Y$1047,MATCH(ROW()-1,装备库!$AO$2:$AO$1046,0),COLUMN()),"")</f>
        <v>活动</v>
      </c>
    </row>
    <row r="591" spans="1:25" x14ac:dyDescent="0.35">
      <c r="A591" t="str">
        <f>IFERROR(INDEX(装备库!$A$2:$Y$1047,MATCH(ROW()-1,装备库!$AO$2:$AO$1046,0),COLUMN()),"")</f>
        <v>腰坠</v>
      </c>
      <c r="B591" t="str">
        <f>IFERROR(INDEX(装备库!$A$2:$Y$1047,MATCH(ROW()-1,装备库!$AO$2:$AO$1046,0),COLUMN()),"")</f>
        <v>无封腰坠</v>
      </c>
      <c r="C591">
        <f>IFERROR(INDEX(装备库!$A$2:$Y$1047,MATCH(ROW()-1,装备库!$AO$2:$AO$1046,0),COLUMN()),"")</f>
        <v>12100</v>
      </c>
      <c r="D591" t="str">
        <f>IFERROR(INDEX(装备库!$A$2:$Y$1047,MATCH(ROW()-1,装备库!$AO$2:$AO$1046,0),COLUMN()),"")</f>
        <v>无封腰坠(12100精简攻会破无)</v>
      </c>
      <c r="E591">
        <f>IFERROR(INDEX(装备库!$A$2:$Y$1047,MATCH(ROW()-1,装备库!$AO$2:$AO$1046,0),COLUMN()),"")</f>
        <v>0</v>
      </c>
      <c r="F591">
        <f>IFERROR(INDEX(装备库!$A$2:$Y$1047,MATCH(ROW()-1,装备库!$AO$2:$AO$1046,0),COLUMN()),"")</f>
        <v>1529</v>
      </c>
      <c r="G591">
        <f>IFERROR(INDEX(装备库!$A$2:$Y$1047,MATCH(ROW()-1,装备库!$AO$2:$AO$1046,0),COLUMN()),"")</f>
        <v>1884</v>
      </c>
      <c r="H591">
        <f>IFERROR(INDEX(装备库!$A$2:$Y$1047,MATCH(ROW()-1,装备库!$AO$2:$AO$1046,0),COLUMN()),"")</f>
        <v>0</v>
      </c>
      <c r="I591">
        <f>IFERROR(INDEX(装备库!$A$2:$Y$1047,MATCH(ROW()-1,装备库!$AO$2:$AO$1046,0),COLUMN()),"")</f>
        <v>1649</v>
      </c>
      <c r="J591">
        <f>IFERROR(INDEX(装备库!$A$2:$Y$1047,MATCH(ROW()-1,装备库!$AO$2:$AO$1046,0),COLUMN()),"")</f>
        <v>0</v>
      </c>
      <c r="K591">
        <f>IFERROR(INDEX(装备库!$A$2:$Y$1047,MATCH(ROW()-1,装备库!$AO$2:$AO$1046,0),COLUMN()),"")</f>
        <v>1295</v>
      </c>
      <c r="L591">
        <f>IFERROR(INDEX(装备库!$A$2:$Y$1047,MATCH(ROW()-1,装备库!$AO$2:$AO$1046,0),COLUMN()),"")</f>
        <v>0</v>
      </c>
      <c r="M591">
        <f>IFERROR(INDEX(装备库!$A$2:$Y$1047,MATCH(ROW()-1,装备库!$AO$2:$AO$1046,0),COLUMN()),"")</f>
        <v>0</v>
      </c>
      <c r="N591">
        <f>IFERROR(INDEX(装备库!$A$2:$Y$1047,MATCH(ROW()-1,装备库!$AO$2:$AO$1046,0),COLUMN()),"")</f>
        <v>0</v>
      </c>
      <c r="O591">
        <f>IFERROR(INDEX(装备库!$A$2:$Y$1047,MATCH(ROW()-1,装备库!$AO$2:$AO$1046,0),COLUMN()),"")</f>
        <v>0</v>
      </c>
      <c r="P591">
        <f>IFERROR(INDEX(装备库!$A$2:$Y$1047,MATCH(ROW()-1,装备库!$AO$2:$AO$1046,0),COLUMN()),"")</f>
        <v>0</v>
      </c>
      <c r="Q591">
        <f>IFERROR(INDEX(装备库!$A$2:$Y$1047,MATCH(ROW()-1,装备库!$AO$2:$AO$1046,0),COLUMN()),"")</f>
        <v>0</v>
      </c>
      <c r="R591">
        <f>IFERROR(INDEX(装备库!$A$2:$Y$1047,MATCH(ROW()-1,装备库!$AO$2:$AO$1046,0),COLUMN()),"")</f>
        <v>1</v>
      </c>
      <c r="S591">
        <f>IFERROR(INDEX(装备库!$A$2:$Y$1047,MATCH(ROW()-1,装备库!$AO$2:$AO$1046,0),COLUMN()),"")</f>
        <v>0</v>
      </c>
      <c r="T591">
        <f>IFERROR(INDEX(装备库!$A$2:$Y$1047,MATCH(ROW()-1,装备库!$AO$2:$AO$1046,0),COLUMN()),"")</f>
        <v>0</v>
      </c>
      <c r="U591">
        <f>IFERROR(INDEX(装备库!$A$2:$Y$1047,MATCH(ROW()-1,装备库!$AO$2:$AO$1046,0),COLUMN()),"")</f>
        <v>0</v>
      </c>
      <c r="V591">
        <f>IFERROR(INDEX(装备库!$A$2:$Y$1047,MATCH(ROW()-1,装备库!$AO$2:$AO$1046,0),COLUMN()),"")</f>
        <v>0</v>
      </c>
      <c r="W591" t="str">
        <f>IFERROR(INDEX(装备库!$A$2:$Y$1047,MATCH(ROW()-1,装备库!$AO$2:$AO$1046,0),COLUMN()),"")</f>
        <v>精简攻会破无</v>
      </c>
      <c r="X591">
        <f>IFERROR(INDEX(装备库!$A$2:$Y$1047,MATCH(ROW()-1,装备库!$AO$2:$AO$1046,0),COLUMN()),"")</f>
        <v>3</v>
      </c>
      <c r="Y591" t="str">
        <f>IFERROR(INDEX(装备库!$A$2:$Y$1047,MATCH(ROW()-1,装备库!$AO$2:$AO$1046,0),COLUMN()),"")</f>
        <v>活动</v>
      </c>
    </row>
    <row r="592" spans="1:25" x14ac:dyDescent="0.35">
      <c r="A592" t="str">
        <f>IFERROR(INDEX(装备库!$A$2:$Y$1047,MATCH(ROW()-1,装备库!$AO$2:$AO$1046,0),COLUMN()),"")</f>
        <v>腰坠</v>
      </c>
      <c r="B592" t="str">
        <f>IFERROR(INDEX(装备库!$A$2:$Y$1047,MATCH(ROW()-1,装备库!$AO$2:$AO$1046,0),COLUMN()),"")</f>
        <v>安衿坠</v>
      </c>
      <c r="C592">
        <f>IFERROR(INDEX(装备库!$A$2:$Y$1047,MATCH(ROW()-1,装备库!$AO$2:$AO$1046,0),COLUMN()),"")</f>
        <v>12450</v>
      </c>
      <c r="D592" t="str">
        <f>IFERROR(INDEX(装备库!$A$2:$Y$1047,MATCH(ROW()-1,装备库!$AO$2:$AO$1046,0),COLUMN()),"")</f>
        <v>安衿坠(12450招破)</v>
      </c>
      <c r="E592">
        <f>IFERROR(INDEX(装备库!$A$2:$Y$1047,MATCH(ROW()-1,装备库!$AO$2:$AO$1046,0),COLUMN()),"")</f>
        <v>435</v>
      </c>
      <c r="F592">
        <f>IFERROR(INDEX(装备库!$A$2:$Y$1047,MATCH(ROW()-1,装备库!$AO$2:$AO$1046,0),COLUMN()),"")</f>
        <v>705</v>
      </c>
      <c r="G592">
        <f>IFERROR(INDEX(装备库!$A$2:$Y$1047,MATCH(ROW()-1,装备库!$AO$2:$AO$1046,0),COLUMN()),"")</f>
        <v>0</v>
      </c>
      <c r="H592">
        <f>IFERROR(INDEX(装备库!$A$2:$Y$1047,MATCH(ROW()-1,装备库!$AO$2:$AO$1046,0),COLUMN()),"")</f>
        <v>0</v>
      </c>
      <c r="I592">
        <f>IFERROR(INDEX(装备库!$A$2:$Y$1047,MATCH(ROW()-1,装备库!$AO$2:$AO$1046,0),COLUMN()),"")</f>
        <v>2181</v>
      </c>
      <c r="J592">
        <f>IFERROR(INDEX(装备库!$A$2:$Y$1047,MATCH(ROW()-1,装备库!$AO$2:$AO$1046,0),COLUMN()),"")</f>
        <v>1939</v>
      </c>
      <c r="K592">
        <f>IFERROR(INDEX(装备库!$A$2:$Y$1047,MATCH(ROW()-1,装备库!$AO$2:$AO$1046,0),COLUMN()),"")</f>
        <v>0</v>
      </c>
      <c r="L592">
        <f>IFERROR(INDEX(装备库!$A$2:$Y$1047,MATCH(ROW()-1,装备库!$AO$2:$AO$1046,0),COLUMN()),"")</f>
        <v>0</v>
      </c>
      <c r="M592">
        <f>IFERROR(INDEX(装备库!$A$2:$Y$1047,MATCH(ROW()-1,装备库!$AO$2:$AO$1046,0),COLUMN()),"")</f>
        <v>0</v>
      </c>
      <c r="N592">
        <f>IFERROR(INDEX(装备库!$A$2:$Y$1047,MATCH(ROW()-1,装备库!$AO$2:$AO$1046,0),COLUMN()),"")</f>
        <v>0</v>
      </c>
      <c r="O592">
        <f>IFERROR(INDEX(装备库!$A$2:$Y$1047,MATCH(ROW()-1,装备库!$AO$2:$AO$1046,0),COLUMN()),"")</f>
        <v>1</v>
      </c>
      <c r="P592">
        <f>IFERROR(INDEX(装备库!$A$2:$Y$1047,MATCH(ROW()-1,装备库!$AO$2:$AO$1046,0),COLUMN()),"")</f>
        <v>0</v>
      </c>
      <c r="Q592">
        <f>IFERROR(INDEX(装备库!$A$2:$Y$1047,MATCH(ROW()-1,装备库!$AO$2:$AO$1046,0),COLUMN()),"")</f>
        <v>0</v>
      </c>
      <c r="R592">
        <f>IFERROR(INDEX(装备库!$A$2:$Y$1047,MATCH(ROW()-1,装备库!$AO$2:$AO$1046,0),COLUMN()),"")</f>
        <v>0</v>
      </c>
      <c r="S592">
        <f>IFERROR(INDEX(装备库!$A$2:$Y$1047,MATCH(ROW()-1,装备库!$AO$2:$AO$1046,0),COLUMN()),"")</f>
        <v>0</v>
      </c>
      <c r="T592">
        <f>IFERROR(INDEX(装备库!$A$2:$Y$1047,MATCH(ROW()-1,装备库!$AO$2:$AO$1046,0),COLUMN()),"")</f>
        <v>0</v>
      </c>
      <c r="U592">
        <f>IFERROR(INDEX(装备库!$A$2:$Y$1047,MATCH(ROW()-1,装备库!$AO$2:$AO$1046,0),COLUMN()),"")</f>
        <v>0</v>
      </c>
      <c r="V592">
        <f>IFERROR(INDEX(装备库!$A$2:$Y$1047,MATCH(ROW()-1,装备库!$AO$2:$AO$1046,0),COLUMN()),"")</f>
        <v>0</v>
      </c>
      <c r="W592" t="str">
        <f>IFERROR(INDEX(装备库!$A$2:$Y$1047,MATCH(ROW()-1,装备库!$AO$2:$AO$1046,0),COLUMN()),"")</f>
        <v>招破</v>
      </c>
      <c r="X592">
        <f>IFERROR(INDEX(装备库!$A$2:$Y$1047,MATCH(ROW()-1,装备库!$AO$2:$AO$1046,0),COLUMN()),"")</f>
        <v>6</v>
      </c>
      <c r="Y592" t="str">
        <f>IFERROR(INDEX(装备库!$A$2:$Y$1047,MATCH(ROW()-1,装备库!$AO$2:$AO$1046,0),COLUMN()),"")</f>
        <v>副本</v>
      </c>
    </row>
    <row r="593" spans="1:25" x14ac:dyDescent="0.35">
      <c r="A593" t="str">
        <f>IFERROR(INDEX(装备库!$A$2:$Y$1047,MATCH(ROW()-1,装备库!$AO$2:$AO$1046,0),COLUMN()),"")</f>
        <v>腰坠</v>
      </c>
      <c r="B593" t="str">
        <f>IFERROR(INDEX(装备库!$A$2:$Y$1047,MATCH(ROW()-1,装备库!$AO$2:$AO$1046,0),COLUMN()),"")</f>
        <v>温刃坠</v>
      </c>
      <c r="C593">
        <f>IFERROR(INDEX(装备库!$A$2:$Y$1047,MATCH(ROW()-1,装备库!$AO$2:$AO$1046,0),COLUMN()),"")</f>
        <v>12450</v>
      </c>
      <c r="D593" t="str">
        <f>IFERROR(INDEX(装备库!$A$2:$Y$1047,MATCH(ROW()-1,装备库!$AO$2:$AO$1046,0),COLUMN()),"")</f>
        <v>温刃坠(12450会招)</v>
      </c>
      <c r="E593">
        <f>IFERROR(INDEX(装备库!$A$2:$Y$1047,MATCH(ROW()-1,装备库!$AO$2:$AO$1046,0),COLUMN()),"")</f>
        <v>435</v>
      </c>
      <c r="F593">
        <f>IFERROR(INDEX(装备库!$A$2:$Y$1047,MATCH(ROW()-1,装备库!$AO$2:$AO$1046,0),COLUMN()),"")</f>
        <v>705</v>
      </c>
      <c r="G593">
        <f>IFERROR(INDEX(装备库!$A$2:$Y$1047,MATCH(ROW()-1,装备库!$AO$2:$AO$1046,0),COLUMN()),"")</f>
        <v>2181</v>
      </c>
      <c r="H593">
        <f>IFERROR(INDEX(装备库!$A$2:$Y$1047,MATCH(ROW()-1,装备库!$AO$2:$AO$1046,0),COLUMN()),"")</f>
        <v>0</v>
      </c>
      <c r="I593">
        <f>IFERROR(INDEX(装备库!$A$2:$Y$1047,MATCH(ROW()-1,装备库!$AO$2:$AO$1046,0),COLUMN()),"")</f>
        <v>0</v>
      </c>
      <c r="J593">
        <f>IFERROR(INDEX(装备库!$A$2:$Y$1047,MATCH(ROW()-1,装备库!$AO$2:$AO$1046,0),COLUMN()),"")</f>
        <v>1939</v>
      </c>
      <c r="K593">
        <f>IFERROR(INDEX(装备库!$A$2:$Y$1047,MATCH(ROW()-1,装备库!$AO$2:$AO$1046,0),COLUMN()),"")</f>
        <v>0</v>
      </c>
      <c r="L593">
        <f>IFERROR(INDEX(装备库!$A$2:$Y$1047,MATCH(ROW()-1,装备库!$AO$2:$AO$1046,0),COLUMN()),"")</f>
        <v>0</v>
      </c>
      <c r="M593">
        <f>IFERROR(INDEX(装备库!$A$2:$Y$1047,MATCH(ROW()-1,装备库!$AO$2:$AO$1046,0),COLUMN()),"")</f>
        <v>0</v>
      </c>
      <c r="N593">
        <f>IFERROR(INDEX(装备库!$A$2:$Y$1047,MATCH(ROW()-1,装备库!$AO$2:$AO$1046,0),COLUMN()),"")</f>
        <v>0</v>
      </c>
      <c r="O593">
        <f>IFERROR(INDEX(装备库!$A$2:$Y$1047,MATCH(ROW()-1,装备库!$AO$2:$AO$1046,0),COLUMN()),"")</f>
        <v>1</v>
      </c>
      <c r="P593">
        <f>IFERROR(INDEX(装备库!$A$2:$Y$1047,MATCH(ROW()-1,装备库!$AO$2:$AO$1046,0),COLUMN()),"")</f>
        <v>0</v>
      </c>
      <c r="Q593">
        <f>IFERROR(INDEX(装备库!$A$2:$Y$1047,MATCH(ROW()-1,装备库!$AO$2:$AO$1046,0),COLUMN()),"")</f>
        <v>0</v>
      </c>
      <c r="R593">
        <f>IFERROR(INDEX(装备库!$A$2:$Y$1047,MATCH(ROW()-1,装备库!$AO$2:$AO$1046,0),COLUMN()),"")</f>
        <v>0</v>
      </c>
      <c r="S593">
        <f>IFERROR(INDEX(装备库!$A$2:$Y$1047,MATCH(ROW()-1,装备库!$AO$2:$AO$1046,0),COLUMN()),"")</f>
        <v>0</v>
      </c>
      <c r="T593">
        <f>IFERROR(INDEX(装备库!$A$2:$Y$1047,MATCH(ROW()-1,装备库!$AO$2:$AO$1046,0),COLUMN()),"")</f>
        <v>0</v>
      </c>
      <c r="U593">
        <f>IFERROR(INDEX(装备库!$A$2:$Y$1047,MATCH(ROW()-1,装备库!$AO$2:$AO$1046,0),COLUMN()),"")</f>
        <v>0</v>
      </c>
      <c r="V593">
        <f>IFERROR(INDEX(装备库!$A$2:$Y$1047,MATCH(ROW()-1,装备库!$AO$2:$AO$1046,0),COLUMN()),"")</f>
        <v>0</v>
      </c>
      <c r="W593" t="str">
        <f>IFERROR(INDEX(装备库!$A$2:$Y$1047,MATCH(ROW()-1,装备库!$AO$2:$AO$1046,0),COLUMN()),"")</f>
        <v>会招</v>
      </c>
      <c r="X593">
        <f>IFERROR(INDEX(装备库!$A$2:$Y$1047,MATCH(ROW()-1,装备库!$AO$2:$AO$1046,0),COLUMN()),"")</f>
        <v>6</v>
      </c>
      <c r="Y593" t="str">
        <f>IFERROR(INDEX(装备库!$A$2:$Y$1047,MATCH(ROW()-1,装备库!$AO$2:$AO$1046,0),COLUMN()),"")</f>
        <v>副本</v>
      </c>
    </row>
    <row r="594" spans="1:25" x14ac:dyDescent="0.35">
      <c r="A594" t="str">
        <f>IFERROR(INDEX(装备库!$A$2:$Y$1047,MATCH(ROW()-1,装备库!$AO$2:$AO$1046,0),COLUMN()),"")</f>
        <v>腰坠</v>
      </c>
      <c r="B594" t="str">
        <f>IFERROR(INDEX(装备库!$A$2:$Y$1047,MATCH(ROW()-1,装备库!$AO$2:$AO$1046,0),COLUMN()),"")</f>
        <v>湖静坠</v>
      </c>
      <c r="C594">
        <f>IFERROR(INDEX(装备库!$A$2:$Y$1047,MATCH(ROW()-1,装备库!$AO$2:$AO$1046,0),COLUMN()),"")</f>
        <v>12450</v>
      </c>
      <c r="D594" t="str">
        <f>IFERROR(INDEX(装备库!$A$2:$Y$1047,MATCH(ROW()-1,装备库!$AO$2:$AO$1046,0),COLUMN()),"")</f>
        <v>湖静坠(12450会招)</v>
      </c>
      <c r="E594">
        <f>IFERROR(INDEX(装备库!$A$2:$Y$1047,MATCH(ROW()-1,装备库!$AO$2:$AO$1046,0),COLUMN()),"")</f>
        <v>435</v>
      </c>
      <c r="F594">
        <f>IFERROR(INDEX(装备库!$A$2:$Y$1047,MATCH(ROW()-1,装备库!$AO$2:$AO$1046,0),COLUMN()),"")</f>
        <v>705</v>
      </c>
      <c r="G594">
        <f>IFERROR(INDEX(装备库!$A$2:$Y$1047,MATCH(ROW()-1,装备库!$AO$2:$AO$1046,0),COLUMN()),"")</f>
        <v>2181</v>
      </c>
      <c r="H594">
        <f>IFERROR(INDEX(装备库!$A$2:$Y$1047,MATCH(ROW()-1,装备库!$AO$2:$AO$1046,0),COLUMN()),"")</f>
        <v>0</v>
      </c>
      <c r="I594">
        <f>IFERROR(INDEX(装备库!$A$2:$Y$1047,MATCH(ROW()-1,装备库!$AO$2:$AO$1046,0),COLUMN()),"")</f>
        <v>0</v>
      </c>
      <c r="J594">
        <f>IFERROR(INDEX(装备库!$A$2:$Y$1047,MATCH(ROW()-1,装备库!$AO$2:$AO$1046,0),COLUMN()),"")</f>
        <v>1939</v>
      </c>
      <c r="K594">
        <f>IFERROR(INDEX(装备库!$A$2:$Y$1047,MATCH(ROW()-1,装备库!$AO$2:$AO$1046,0),COLUMN()),"")</f>
        <v>0</v>
      </c>
      <c r="L594">
        <f>IFERROR(INDEX(装备库!$A$2:$Y$1047,MATCH(ROW()-1,装备库!$AO$2:$AO$1046,0),COLUMN()),"")</f>
        <v>0</v>
      </c>
      <c r="M594">
        <f>IFERROR(INDEX(装备库!$A$2:$Y$1047,MATCH(ROW()-1,装备库!$AO$2:$AO$1046,0),COLUMN()),"")</f>
        <v>0</v>
      </c>
      <c r="N594">
        <f>IFERROR(INDEX(装备库!$A$2:$Y$1047,MATCH(ROW()-1,装备库!$AO$2:$AO$1046,0),COLUMN()),"")</f>
        <v>0</v>
      </c>
      <c r="O594">
        <f>IFERROR(INDEX(装备库!$A$2:$Y$1047,MATCH(ROW()-1,装备库!$AO$2:$AO$1046,0),COLUMN()),"")</f>
        <v>1</v>
      </c>
      <c r="P594">
        <f>IFERROR(INDEX(装备库!$A$2:$Y$1047,MATCH(ROW()-1,装备库!$AO$2:$AO$1046,0),COLUMN()),"")</f>
        <v>0</v>
      </c>
      <c r="Q594">
        <f>IFERROR(INDEX(装备库!$A$2:$Y$1047,MATCH(ROW()-1,装备库!$AO$2:$AO$1046,0),COLUMN()),"")</f>
        <v>0</v>
      </c>
      <c r="R594">
        <f>IFERROR(INDEX(装备库!$A$2:$Y$1047,MATCH(ROW()-1,装备库!$AO$2:$AO$1046,0),COLUMN()),"")</f>
        <v>0</v>
      </c>
      <c r="S594">
        <f>IFERROR(INDEX(装备库!$A$2:$Y$1047,MATCH(ROW()-1,装备库!$AO$2:$AO$1046,0),COLUMN()),"")</f>
        <v>0</v>
      </c>
      <c r="T594">
        <f>IFERROR(INDEX(装备库!$A$2:$Y$1047,MATCH(ROW()-1,装备库!$AO$2:$AO$1046,0),COLUMN()),"")</f>
        <v>0</v>
      </c>
      <c r="U594">
        <f>IFERROR(INDEX(装备库!$A$2:$Y$1047,MATCH(ROW()-1,装备库!$AO$2:$AO$1046,0),COLUMN()),"")</f>
        <v>0</v>
      </c>
      <c r="V594">
        <f>IFERROR(INDEX(装备库!$A$2:$Y$1047,MATCH(ROW()-1,装备库!$AO$2:$AO$1046,0),COLUMN()),"")</f>
        <v>0</v>
      </c>
      <c r="W594" t="str">
        <f>IFERROR(INDEX(装备库!$A$2:$Y$1047,MATCH(ROW()-1,装备库!$AO$2:$AO$1046,0),COLUMN()),"")</f>
        <v>会招</v>
      </c>
      <c r="X594">
        <f>IFERROR(INDEX(装备库!$A$2:$Y$1047,MATCH(ROW()-1,装备库!$AO$2:$AO$1046,0),COLUMN()),"")</f>
        <v>6</v>
      </c>
      <c r="Y594" t="str">
        <f>IFERROR(INDEX(装备库!$A$2:$Y$1047,MATCH(ROW()-1,装备库!$AO$2:$AO$1046,0),COLUMN()),"")</f>
        <v>世界BOSS</v>
      </c>
    </row>
    <row r="595" spans="1:25" x14ac:dyDescent="0.35">
      <c r="A595" t="str">
        <f>IFERROR(INDEX(装备库!$A$2:$Y$1047,MATCH(ROW()-1,装备库!$AO$2:$AO$1046,0),COLUMN()),"")</f>
        <v>腰坠</v>
      </c>
      <c r="B595" t="str">
        <f>IFERROR(INDEX(装备库!$A$2:$Y$1047,MATCH(ROW()-1,装备库!$AO$2:$AO$1046,0),COLUMN()),"")</f>
        <v>恸黄沙</v>
      </c>
      <c r="C595">
        <f>IFERROR(INDEX(装备库!$A$2:$Y$1047,MATCH(ROW()-1,装备库!$AO$2:$AO$1046,0),COLUMN()),"")</f>
        <v>12450</v>
      </c>
      <c r="D595" t="str">
        <f>IFERROR(INDEX(装备库!$A$2:$Y$1047,MATCH(ROW()-1,装备库!$AO$2:$AO$1046,0),COLUMN()),"")</f>
        <v>恸黄沙(12450特效破无)</v>
      </c>
      <c r="E595">
        <f>IFERROR(INDEX(装备库!$A$2:$Y$1047,MATCH(ROW()-1,装备库!$AO$2:$AO$1046,0),COLUMN()),"")</f>
        <v>435</v>
      </c>
      <c r="F595">
        <f>IFERROR(INDEX(装备库!$A$2:$Y$1047,MATCH(ROW()-1,装备库!$AO$2:$AO$1046,0),COLUMN()),"")</f>
        <v>705</v>
      </c>
      <c r="G595">
        <f>IFERROR(INDEX(装备库!$A$2:$Y$1047,MATCH(ROW()-1,装备库!$AO$2:$AO$1046,0),COLUMN()),"")</f>
        <v>0</v>
      </c>
      <c r="H595">
        <f>IFERROR(INDEX(装备库!$A$2:$Y$1047,MATCH(ROW()-1,装备库!$AO$2:$AO$1046,0),COLUMN()),"")</f>
        <v>0</v>
      </c>
      <c r="I595">
        <f>IFERROR(INDEX(装备库!$A$2:$Y$1047,MATCH(ROW()-1,装备库!$AO$2:$AO$1046,0),COLUMN()),"")</f>
        <v>2181</v>
      </c>
      <c r="J595">
        <f>IFERROR(INDEX(装备库!$A$2:$Y$1047,MATCH(ROW()-1,装备库!$AO$2:$AO$1046,0),COLUMN()),"")</f>
        <v>0</v>
      </c>
      <c r="K595">
        <f>IFERROR(INDEX(装备库!$A$2:$Y$1047,MATCH(ROW()-1,装备库!$AO$2:$AO$1046,0),COLUMN()),"")</f>
        <v>1939</v>
      </c>
      <c r="L595">
        <f>IFERROR(INDEX(装备库!$A$2:$Y$1047,MATCH(ROW()-1,装备库!$AO$2:$AO$1046,0),COLUMN()),"")</f>
        <v>0</v>
      </c>
      <c r="M595">
        <f>IFERROR(INDEX(装备库!$A$2:$Y$1047,MATCH(ROW()-1,装备库!$AO$2:$AO$1046,0),COLUMN()),"")</f>
        <v>0</v>
      </c>
      <c r="N595">
        <f>IFERROR(INDEX(装备库!$A$2:$Y$1047,MATCH(ROW()-1,装备库!$AO$2:$AO$1046,0),COLUMN()),"")</f>
        <v>0</v>
      </c>
      <c r="O595">
        <f>IFERROR(INDEX(装备库!$A$2:$Y$1047,MATCH(ROW()-1,装备库!$AO$2:$AO$1046,0),COLUMN()),"")</f>
        <v>0</v>
      </c>
      <c r="P595">
        <f>IFERROR(INDEX(装备库!$A$2:$Y$1047,MATCH(ROW()-1,装备库!$AO$2:$AO$1046,0),COLUMN()),"")</f>
        <v>0</v>
      </c>
      <c r="Q595">
        <f>IFERROR(INDEX(装备库!$A$2:$Y$1047,MATCH(ROW()-1,装备库!$AO$2:$AO$1046,0),COLUMN()),"")</f>
        <v>0</v>
      </c>
      <c r="R595">
        <f>IFERROR(INDEX(装备库!$A$2:$Y$1047,MATCH(ROW()-1,装备库!$AO$2:$AO$1046,0),COLUMN()),"")</f>
        <v>0</v>
      </c>
      <c r="S595">
        <f>IFERROR(INDEX(装备库!$A$2:$Y$1047,MATCH(ROW()-1,装备库!$AO$2:$AO$1046,0),COLUMN()),"")</f>
        <v>1</v>
      </c>
      <c r="T595">
        <f>IFERROR(INDEX(装备库!$A$2:$Y$1047,MATCH(ROW()-1,装备库!$AO$2:$AO$1046,0),COLUMN()),"")</f>
        <v>0</v>
      </c>
      <c r="U595">
        <f>IFERROR(INDEX(装备库!$A$2:$Y$1047,MATCH(ROW()-1,装备库!$AO$2:$AO$1046,0),COLUMN()),"")</f>
        <v>0</v>
      </c>
      <c r="V595">
        <f>IFERROR(INDEX(装备库!$A$2:$Y$1047,MATCH(ROW()-1,装备库!$AO$2:$AO$1046,0),COLUMN()),"")</f>
        <v>0</v>
      </c>
      <c r="W595" t="str">
        <f>IFERROR(INDEX(装备库!$A$2:$Y$1047,MATCH(ROW()-1,装备库!$AO$2:$AO$1046,0),COLUMN()),"")</f>
        <v>特效破无</v>
      </c>
      <c r="X595">
        <f>IFERROR(INDEX(装备库!$A$2:$Y$1047,MATCH(ROW()-1,装备库!$AO$2:$AO$1046,0),COLUMN()),"")</f>
        <v>4</v>
      </c>
      <c r="Y595" t="str">
        <f>IFERROR(INDEX(装备库!$A$2:$Y$1047,MATCH(ROW()-1,装备库!$AO$2:$AO$1046,0),COLUMN()),"")</f>
        <v>副本</v>
      </c>
    </row>
    <row r="596" spans="1:25" x14ac:dyDescent="0.35">
      <c r="A596" t="str">
        <f>IFERROR(INDEX(装备库!$A$2:$Y$1047,MATCH(ROW()-1,装备库!$AO$2:$AO$1046,0),COLUMN()),"")</f>
        <v>腰坠</v>
      </c>
      <c r="B596" t="str">
        <f>IFERROR(INDEX(装备库!$A$2:$Y$1047,MATCH(ROW()-1,装备库!$AO$2:$AO$1046,0),COLUMN()),"")</f>
        <v>定酣坠</v>
      </c>
      <c r="C596">
        <f>IFERROR(INDEX(装备库!$A$2:$Y$1047,MATCH(ROW()-1,装备库!$AO$2:$AO$1046,0),COLUMN()),"")</f>
        <v>12600</v>
      </c>
      <c r="D596" t="str">
        <f>IFERROR(INDEX(装备库!$A$2:$Y$1047,MATCH(ROW()-1,装备库!$AO$2:$AO$1046,0),COLUMN()),"")</f>
        <v>定酣坠(12600会无)</v>
      </c>
      <c r="E596">
        <f>IFERROR(INDEX(装备库!$A$2:$Y$1047,MATCH(ROW()-1,装备库!$AO$2:$AO$1046,0),COLUMN()),"")</f>
        <v>440</v>
      </c>
      <c r="F596">
        <f>IFERROR(INDEX(装备库!$A$2:$Y$1047,MATCH(ROW()-1,装备库!$AO$2:$AO$1046,0),COLUMN()),"")</f>
        <v>714</v>
      </c>
      <c r="G596">
        <f>IFERROR(INDEX(装备库!$A$2:$Y$1047,MATCH(ROW()-1,装备库!$AO$2:$AO$1046,0),COLUMN()),"")</f>
        <v>2207</v>
      </c>
      <c r="H596">
        <f>IFERROR(INDEX(装备库!$A$2:$Y$1047,MATCH(ROW()-1,装备库!$AO$2:$AO$1046,0),COLUMN()),"")</f>
        <v>0</v>
      </c>
      <c r="I596">
        <f>IFERROR(INDEX(装备库!$A$2:$Y$1047,MATCH(ROW()-1,装备库!$AO$2:$AO$1046,0),COLUMN()),"")</f>
        <v>0</v>
      </c>
      <c r="J596">
        <f>IFERROR(INDEX(装备库!$A$2:$Y$1047,MATCH(ROW()-1,装备库!$AO$2:$AO$1046,0),COLUMN()),"")</f>
        <v>0</v>
      </c>
      <c r="K596">
        <f>IFERROR(INDEX(装备库!$A$2:$Y$1047,MATCH(ROW()-1,装备库!$AO$2:$AO$1046,0),COLUMN()),"")</f>
        <v>1962</v>
      </c>
      <c r="L596">
        <f>IFERROR(INDEX(装备库!$A$2:$Y$1047,MATCH(ROW()-1,装备库!$AO$2:$AO$1046,0),COLUMN()),"")</f>
        <v>0</v>
      </c>
      <c r="M596">
        <f>IFERROR(INDEX(装备库!$A$2:$Y$1047,MATCH(ROW()-1,装备库!$AO$2:$AO$1046,0),COLUMN()),"")</f>
        <v>0</v>
      </c>
      <c r="N596">
        <f>IFERROR(INDEX(装备库!$A$2:$Y$1047,MATCH(ROW()-1,装备库!$AO$2:$AO$1046,0),COLUMN()),"")</f>
        <v>0</v>
      </c>
      <c r="O596">
        <f>IFERROR(INDEX(装备库!$A$2:$Y$1047,MATCH(ROW()-1,装备库!$AO$2:$AO$1046,0),COLUMN()),"")</f>
        <v>0</v>
      </c>
      <c r="P596">
        <f>IFERROR(INDEX(装备库!$A$2:$Y$1047,MATCH(ROW()-1,装备库!$AO$2:$AO$1046,0),COLUMN()),"")</f>
        <v>0</v>
      </c>
      <c r="Q596">
        <f>IFERROR(INDEX(装备库!$A$2:$Y$1047,MATCH(ROW()-1,装备库!$AO$2:$AO$1046,0),COLUMN()),"")</f>
        <v>0</v>
      </c>
      <c r="R596">
        <f>IFERROR(INDEX(装备库!$A$2:$Y$1047,MATCH(ROW()-1,装备库!$AO$2:$AO$1046,0),COLUMN()),"")</f>
        <v>0</v>
      </c>
      <c r="S596">
        <f>IFERROR(INDEX(装备库!$A$2:$Y$1047,MATCH(ROW()-1,装备库!$AO$2:$AO$1046,0),COLUMN()),"")</f>
        <v>0</v>
      </c>
      <c r="T596">
        <f>IFERROR(INDEX(装备库!$A$2:$Y$1047,MATCH(ROW()-1,装备库!$AO$2:$AO$1046,0),COLUMN()),"")</f>
        <v>0</v>
      </c>
      <c r="U596">
        <f>IFERROR(INDEX(装备库!$A$2:$Y$1047,MATCH(ROW()-1,装备库!$AO$2:$AO$1046,0),COLUMN()),"")</f>
        <v>1</v>
      </c>
      <c r="V596">
        <f>IFERROR(INDEX(装备库!$A$2:$Y$1047,MATCH(ROW()-1,装备库!$AO$2:$AO$1046,0),COLUMN()),"")</f>
        <v>0</v>
      </c>
      <c r="W596" t="str">
        <f>IFERROR(INDEX(装备库!$A$2:$Y$1047,MATCH(ROW()-1,装备库!$AO$2:$AO$1046,0),COLUMN()),"")</f>
        <v>会无</v>
      </c>
      <c r="X596">
        <f>IFERROR(INDEX(装备库!$A$2:$Y$1047,MATCH(ROW()-1,装备库!$AO$2:$AO$1046,0),COLUMN()),"")</f>
        <v>6</v>
      </c>
      <c r="Y596" t="str">
        <f>IFERROR(INDEX(装备库!$A$2:$Y$1047,MATCH(ROW()-1,装备库!$AO$2:$AO$1046,0),COLUMN()),"")</f>
        <v>声望</v>
      </c>
    </row>
    <row r="597" spans="1:25" x14ac:dyDescent="0.35">
      <c r="A597" t="str">
        <f>IFERROR(INDEX(装备库!$A$2:$Y$1047,MATCH(ROW()-1,装备库!$AO$2:$AO$1046,0),COLUMN()),"")</f>
        <v>长兵</v>
      </c>
      <c r="B597" t="str">
        <f>IFERROR(INDEX(装备库!$A$2:$Y$1047,MATCH(ROW()-1,装备库!$AO$2:$AO$1046,0),COLUMN()),"")</f>
        <v>泣血</v>
      </c>
      <c r="C597">
        <f>IFERROR(INDEX(装备库!$A$2:$Y$1047,MATCH(ROW()-1,装备库!$AO$2:$AO$1046,0),COLUMN()),"")</f>
        <v>5150</v>
      </c>
      <c r="D597" t="str">
        <f>IFERROR(INDEX(装备库!$A$2:$Y$1047,MATCH(ROW()-1,装备库!$AO$2:$AO$1046,0),COLUMN()),"")</f>
        <v>泣血(5150大橙武)</v>
      </c>
      <c r="E597">
        <f>IFERROR(INDEX(装备库!$A$2:$Y$1047,MATCH(ROW()-1,装备库!$AO$2:$AO$1046,0),COLUMN()),"")</f>
        <v>599</v>
      </c>
      <c r="F597">
        <f>IFERROR(INDEX(装备库!$A$2:$Y$1047,MATCH(ROW()-1,装备库!$AO$2:$AO$1046,0),COLUMN()),"")</f>
        <v>2246</v>
      </c>
      <c r="G597">
        <f>IFERROR(INDEX(装备库!$A$2:$Y$1047,MATCH(ROW()-1,装备库!$AO$2:$AO$1046,0),COLUMN()),"")</f>
        <v>2423</v>
      </c>
      <c r="H597">
        <f>IFERROR(INDEX(装备库!$A$2:$Y$1047,MATCH(ROW()-1,装备库!$AO$2:$AO$1046,0),COLUMN()),"")</f>
        <v>0</v>
      </c>
      <c r="I597">
        <f>IFERROR(INDEX(装备库!$A$2:$Y$1047,MATCH(ROW()-1,装备库!$AO$2:$AO$1046,0),COLUMN()),"")</f>
        <v>2590</v>
      </c>
      <c r="J597">
        <f>IFERROR(INDEX(装备库!$A$2:$Y$1047,MATCH(ROW()-1,装备库!$AO$2:$AO$1046,0),COLUMN()),"")</f>
        <v>0</v>
      </c>
      <c r="K597">
        <f>IFERROR(INDEX(装备库!$A$2:$Y$1047,MATCH(ROW()-1,装备库!$AO$2:$AO$1046,0),COLUMN()),"")</f>
        <v>0</v>
      </c>
      <c r="L597">
        <f>IFERROR(INDEX(装备库!$A$2:$Y$1047,MATCH(ROW()-1,装备库!$AO$2:$AO$1046,0),COLUMN()),"")</f>
        <v>835</v>
      </c>
      <c r="M597">
        <f>IFERROR(INDEX(装备库!$A$2:$Y$1047,MATCH(ROW()-1,装备库!$AO$2:$AO$1046,0),COLUMN()),"")</f>
        <v>1885</v>
      </c>
      <c r="N597">
        <f>IFERROR(INDEX(装备库!$A$2:$Y$1047,MATCH(ROW()-1,装备库!$AO$2:$AO$1046,0),COLUMN()),"")</f>
        <v>3141</v>
      </c>
      <c r="O597">
        <f>IFERROR(INDEX(装备库!$A$2:$Y$1047,MATCH(ROW()-1,装备库!$AO$2:$AO$1046,0),COLUMN()),"")</f>
        <v>1</v>
      </c>
      <c r="P597">
        <f>IFERROR(INDEX(装备库!$A$2:$Y$1047,MATCH(ROW()-1,装备库!$AO$2:$AO$1046,0),COLUMN()),"")</f>
        <v>1</v>
      </c>
      <c r="Q597">
        <f>IFERROR(INDEX(装备库!$A$2:$Y$1047,MATCH(ROW()-1,装备库!$AO$2:$AO$1046,0),COLUMN()),"")</f>
        <v>0</v>
      </c>
      <c r="R597">
        <f>IFERROR(INDEX(装备库!$A$2:$Y$1047,MATCH(ROW()-1,装备库!$AO$2:$AO$1046,0),COLUMN()),"")</f>
        <v>0</v>
      </c>
      <c r="S597">
        <f>IFERROR(INDEX(装备库!$A$2:$Y$1047,MATCH(ROW()-1,装备库!$AO$2:$AO$1046,0),COLUMN()),"")</f>
        <v>1</v>
      </c>
      <c r="T597">
        <f>IFERROR(INDEX(装备库!$A$2:$Y$1047,MATCH(ROW()-1,装备库!$AO$2:$AO$1046,0),COLUMN()),"")</f>
        <v>0</v>
      </c>
      <c r="U597">
        <f>IFERROR(INDEX(装备库!$A$2:$Y$1047,MATCH(ROW()-1,装备库!$AO$2:$AO$1046,0),COLUMN()),"")</f>
        <v>0</v>
      </c>
      <c r="V597">
        <f>IFERROR(INDEX(装备库!$A$2:$Y$1047,MATCH(ROW()-1,装备库!$AO$2:$AO$1046,0),COLUMN()),"")</f>
        <v>0</v>
      </c>
      <c r="W597" t="str">
        <f>IFERROR(INDEX(装备库!$A$2:$Y$1047,MATCH(ROW()-1,装备库!$AO$2:$AO$1046,0),COLUMN()),"")</f>
        <v>大橙武</v>
      </c>
      <c r="X597">
        <f>IFERROR(INDEX(装备库!$A$2:$Y$1047,MATCH(ROW()-1,装备库!$AO$2:$AO$1046,0),COLUMN()),"")</f>
        <v>8</v>
      </c>
      <c r="Y597" t="str">
        <f>IFERROR(INDEX(装备库!$A$2:$Y$1047,MATCH(ROW()-1,装备库!$AO$2:$AO$1046,0),COLUMN()),"")</f>
        <v>任务</v>
      </c>
    </row>
    <row r="598" spans="1:25" x14ac:dyDescent="0.35">
      <c r="A598" t="str">
        <f>IFERROR(INDEX(装备库!$A$2:$Y$1047,MATCH(ROW()-1,装备库!$AO$2:$AO$1046,0),COLUMN()),"")</f>
        <v>长兵</v>
      </c>
      <c r="B598" t="str">
        <f>IFERROR(INDEX(装备库!$A$2:$Y$1047,MATCH(ROW()-1,装备库!$AO$2:$AO$1046,0),COLUMN()),"")</f>
        <v>祷山川·征</v>
      </c>
      <c r="C598">
        <f>IFERROR(INDEX(装备库!$A$2:$Y$1047,MATCH(ROW()-1,装备库!$AO$2:$AO$1046,0),COLUMN()),"")</f>
        <v>5300</v>
      </c>
      <c r="D598" t="str">
        <f>IFERROR(INDEX(装备库!$A$2:$Y$1047,MATCH(ROW()-1,装备库!$AO$2:$AO$1046,0),COLUMN()),"")</f>
        <v>祷山川·征(5300小橙武)</v>
      </c>
      <c r="E598">
        <f>IFERROR(INDEX(装备库!$A$2:$Y$1047,MATCH(ROW()-1,装备库!$AO$2:$AO$1046,0),COLUMN()),"")</f>
        <v>617</v>
      </c>
      <c r="F598">
        <f>IFERROR(INDEX(装备库!$A$2:$Y$1047,MATCH(ROW()-1,装备库!$AO$2:$AO$1046,0),COLUMN()),"")</f>
        <v>2312</v>
      </c>
      <c r="G598">
        <f>IFERROR(INDEX(装备库!$A$2:$Y$1047,MATCH(ROW()-1,装备库!$AO$2:$AO$1046,0),COLUMN()),"")</f>
        <v>2493</v>
      </c>
      <c r="H598">
        <f>IFERROR(INDEX(装备库!$A$2:$Y$1047,MATCH(ROW()-1,装备库!$AO$2:$AO$1046,0),COLUMN()),"")</f>
        <v>0</v>
      </c>
      <c r="I598">
        <f>IFERROR(INDEX(装备库!$A$2:$Y$1047,MATCH(ROW()-1,装备库!$AO$2:$AO$1046,0),COLUMN()),"")</f>
        <v>2665</v>
      </c>
      <c r="J598">
        <f>IFERROR(INDEX(装备库!$A$2:$Y$1047,MATCH(ROW()-1,装备库!$AO$2:$AO$1046,0),COLUMN()),"")</f>
        <v>0</v>
      </c>
      <c r="K598">
        <f>IFERROR(INDEX(装备库!$A$2:$Y$1047,MATCH(ROW()-1,装备库!$AO$2:$AO$1046,0),COLUMN()),"")</f>
        <v>0</v>
      </c>
      <c r="L598">
        <f>IFERROR(INDEX(装备库!$A$2:$Y$1047,MATCH(ROW()-1,装备库!$AO$2:$AO$1046,0),COLUMN()),"")</f>
        <v>860</v>
      </c>
      <c r="M598">
        <f>IFERROR(INDEX(装备库!$A$2:$Y$1047,MATCH(ROW()-1,装备库!$AO$2:$AO$1046,0),COLUMN()),"")</f>
        <v>1940</v>
      </c>
      <c r="N598">
        <f>IFERROR(INDEX(装备库!$A$2:$Y$1047,MATCH(ROW()-1,装备库!$AO$2:$AO$1046,0),COLUMN()),"")</f>
        <v>3233</v>
      </c>
      <c r="O598">
        <f>IFERROR(INDEX(装备库!$A$2:$Y$1047,MATCH(ROW()-1,装备库!$AO$2:$AO$1046,0),COLUMN()),"")</f>
        <v>1</v>
      </c>
      <c r="P598">
        <f>IFERROR(INDEX(装备库!$A$2:$Y$1047,MATCH(ROW()-1,装备库!$AO$2:$AO$1046,0),COLUMN()),"")</f>
        <v>1</v>
      </c>
      <c r="Q598">
        <f>IFERROR(INDEX(装备库!$A$2:$Y$1047,MATCH(ROW()-1,装备库!$AO$2:$AO$1046,0),COLUMN()),"")</f>
        <v>0</v>
      </c>
      <c r="R598">
        <f>IFERROR(INDEX(装备库!$A$2:$Y$1047,MATCH(ROW()-1,装备库!$AO$2:$AO$1046,0),COLUMN()),"")</f>
        <v>0</v>
      </c>
      <c r="S598">
        <f>IFERROR(INDEX(装备库!$A$2:$Y$1047,MATCH(ROW()-1,装备库!$AO$2:$AO$1046,0),COLUMN()),"")</f>
        <v>1</v>
      </c>
      <c r="T598">
        <f>IFERROR(INDEX(装备库!$A$2:$Y$1047,MATCH(ROW()-1,装备库!$AO$2:$AO$1046,0),COLUMN()),"")</f>
        <v>0</v>
      </c>
      <c r="U598">
        <f>IFERROR(INDEX(装备库!$A$2:$Y$1047,MATCH(ROW()-1,装备库!$AO$2:$AO$1046,0),COLUMN()),"")</f>
        <v>0</v>
      </c>
      <c r="V598">
        <f>IFERROR(INDEX(装备库!$A$2:$Y$1047,MATCH(ROW()-1,装备库!$AO$2:$AO$1046,0),COLUMN()),"")</f>
        <v>0</v>
      </c>
      <c r="W598" t="str">
        <f>IFERROR(INDEX(装备库!$A$2:$Y$1047,MATCH(ROW()-1,装备库!$AO$2:$AO$1046,0),COLUMN()),"")</f>
        <v>小橙武</v>
      </c>
      <c r="X598">
        <f>IFERROR(INDEX(装备库!$A$2:$Y$1047,MATCH(ROW()-1,装备库!$AO$2:$AO$1046,0),COLUMN()),"")</f>
        <v>8</v>
      </c>
      <c r="Y598" t="str">
        <f>IFERROR(INDEX(装备库!$A$2:$Y$1047,MATCH(ROW()-1,装备库!$AO$2:$AO$1046,0),COLUMN()),"")</f>
        <v>神兵试炼</v>
      </c>
    </row>
    <row r="599" spans="1:25" x14ac:dyDescent="0.35">
      <c r="A599" t="str">
        <f>IFERROR(INDEX(装备库!$A$2:$Y$1047,MATCH(ROW()-1,装备库!$AO$2:$AO$1046,0),COLUMN()),"")</f>
        <v>长兵</v>
      </c>
      <c r="B599" t="str">
        <f>IFERROR(INDEX(装备库!$A$2:$Y$1047,MATCH(ROW()-1,装备库!$AO$2:$AO$1046,0),COLUMN()),"")</f>
        <v>泣血</v>
      </c>
      <c r="C599">
        <f>IFERROR(INDEX(装备库!$A$2:$Y$1047,MATCH(ROW()-1,装备库!$AO$2:$AO$1046,0),COLUMN()),"")</f>
        <v>5420</v>
      </c>
      <c r="D599" t="str">
        <f>IFERROR(INDEX(装备库!$A$2:$Y$1047,MATCH(ROW()-1,装备库!$AO$2:$AO$1046,0),COLUMN()),"")</f>
        <v>泣血(5420大橙武)</v>
      </c>
      <c r="E599">
        <f>IFERROR(INDEX(装备库!$A$2:$Y$1047,MATCH(ROW()-1,装备库!$AO$2:$AO$1046,0),COLUMN()),"")</f>
        <v>631</v>
      </c>
      <c r="F599">
        <f>IFERROR(INDEX(装备库!$A$2:$Y$1047,MATCH(ROW()-1,装备库!$AO$2:$AO$1046,0),COLUMN()),"")</f>
        <v>2364</v>
      </c>
      <c r="G599">
        <f>IFERROR(INDEX(装备库!$A$2:$Y$1047,MATCH(ROW()-1,装备库!$AO$2:$AO$1046,0),COLUMN()),"")</f>
        <v>2550</v>
      </c>
      <c r="H599">
        <f>IFERROR(INDEX(装备库!$A$2:$Y$1047,MATCH(ROW()-1,装备库!$AO$2:$AO$1046,0),COLUMN()),"")</f>
        <v>0</v>
      </c>
      <c r="I599">
        <f>IFERROR(INDEX(装备库!$A$2:$Y$1047,MATCH(ROW()-1,装备库!$AO$2:$AO$1046,0),COLUMN()),"")</f>
        <v>2725</v>
      </c>
      <c r="J599">
        <f>IFERROR(INDEX(装备库!$A$2:$Y$1047,MATCH(ROW()-1,装备库!$AO$2:$AO$1046,0),COLUMN()),"")</f>
        <v>0</v>
      </c>
      <c r="K599">
        <f>IFERROR(INDEX(装备库!$A$2:$Y$1047,MATCH(ROW()-1,装备库!$AO$2:$AO$1046,0),COLUMN()),"")</f>
        <v>0</v>
      </c>
      <c r="L599">
        <f>IFERROR(INDEX(装备库!$A$2:$Y$1047,MATCH(ROW()-1,装备库!$AO$2:$AO$1046,0),COLUMN()),"")</f>
        <v>879</v>
      </c>
      <c r="M599">
        <f>IFERROR(INDEX(装备库!$A$2:$Y$1047,MATCH(ROW()-1,装备库!$AO$2:$AO$1046,0),COLUMN()),"")</f>
        <v>1984</v>
      </c>
      <c r="N599">
        <f>IFERROR(INDEX(装备库!$A$2:$Y$1047,MATCH(ROW()-1,装备库!$AO$2:$AO$1046,0),COLUMN()),"")</f>
        <v>3306</v>
      </c>
      <c r="O599">
        <f>IFERROR(INDEX(装备库!$A$2:$Y$1047,MATCH(ROW()-1,装备库!$AO$2:$AO$1046,0),COLUMN()),"")</f>
        <v>1</v>
      </c>
      <c r="P599">
        <f>IFERROR(INDEX(装备库!$A$2:$Y$1047,MATCH(ROW()-1,装备库!$AO$2:$AO$1046,0),COLUMN()),"")</f>
        <v>1</v>
      </c>
      <c r="Q599">
        <f>IFERROR(INDEX(装备库!$A$2:$Y$1047,MATCH(ROW()-1,装备库!$AO$2:$AO$1046,0),COLUMN()),"")</f>
        <v>0</v>
      </c>
      <c r="R599">
        <f>IFERROR(INDEX(装备库!$A$2:$Y$1047,MATCH(ROW()-1,装备库!$AO$2:$AO$1046,0),COLUMN()),"")</f>
        <v>0</v>
      </c>
      <c r="S599">
        <f>IFERROR(INDEX(装备库!$A$2:$Y$1047,MATCH(ROW()-1,装备库!$AO$2:$AO$1046,0),COLUMN()),"")</f>
        <v>1</v>
      </c>
      <c r="T599">
        <f>IFERROR(INDEX(装备库!$A$2:$Y$1047,MATCH(ROW()-1,装备库!$AO$2:$AO$1046,0),COLUMN()),"")</f>
        <v>0</v>
      </c>
      <c r="U599">
        <f>IFERROR(INDEX(装备库!$A$2:$Y$1047,MATCH(ROW()-1,装备库!$AO$2:$AO$1046,0),COLUMN()),"")</f>
        <v>0</v>
      </c>
      <c r="V599">
        <f>IFERROR(INDEX(装备库!$A$2:$Y$1047,MATCH(ROW()-1,装备库!$AO$2:$AO$1046,0),COLUMN()),"")</f>
        <v>0</v>
      </c>
      <c r="W599" t="str">
        <f>IFERROR(INDEX(装备库!$A$2:$Y$1047,MATCH(ROW()-1,装备库!$AO$2:$AO$1046,0),COLUMN()),"")</f>
        <v>大橙武</v>
      </c>
      <c r="X599">
        <f>IFERROR(INDEX(装备库!$A$2:$Y$1047,MATCH(ROW()-1,装备库!$AO$2:$AO$1046,0),COLUMN()),"")</f>
        <v>8</v>
      </c>
      <c r="Y599" t="str">
        <f>IFERROR(INDEX(装备库!$A$2:$Y$1047,MATCH(ROW()-1,装备库!$AO$2:$AO$1046,0),COLUMN()),"")</f>
        <v>任务</v>
      </c>
    </row>
    <row r="600" spans="1:25" x14ac:dyDescent="0.35">
      <c r="A600" t="str">
        <f>IFERROR(INDEX(装备库!$A$2:$Y$1047,MATCH(ROW()-1,装备库!$AO$2:$AO$1046,0),COLUMN()),"")</f>
        <v>长兵</v>
      </c>
      <c r="B600" t="str">
        <f>IFERROR(INDEX(装备库!$A$2:$Y$1047,MATCH(ROW()-1,装备库!$AO$2:$AO$1046,0),COLUMN()),"")</f>
        <v>泣血</v>
      </c>
      <c r="C600">
        <f>IFERROR(INDEX(装备库!$A$2:$Y$1047,MATCH(ROW()-1,装备库!$AO$2:$AO$1046,0),COLUMN()),"")</f>
        <v>5690</v>
      </c>
      <c r="D600" t="str">
        <f>IFERROR(INDEX(装备库!$A$2:$Y$1047,MATCH(ROW()-1,装备库!$AO$2:$AO$1046,0),COLUMN()),"")</f>
        <v>泣血(5690大橙武)</v>
      </c>
      <c r="E600">
        <f>IFERROR(INDEX(装备库!$A$2:$Y$1047,MATCH(ROW()-1,装备库!$AO$2:$AO$1046,0),COLUMN()),"")</f>
        <v>662</v>
      </c>
      <c r="F600">
        <f>IFERROR(INDEX(装备库!$A$2:$Y$1047,MATCH(ROW()-1,装备库!$AO$2:$AO$1046,0),COLUMN()),"")</f>
        <v>2482</v>
      </c>
      <c r="G600">
        <f>IFERROR(INDEX(装备库!$A$2:$Y$1047,MATCH(ROW()-1,装备库!$AO$2:$AO$1046,0),COLUMN()),"")</f>
        <v>2677</v>
      </c>
      <c r="H600">
        <f>IFERROR(INDEX(装备库!$A$2:$Y$1047,MATCH(ROW()-1,装备库!$AO$2:$AO$1046,0),COLUMN()),"")</f>
        <v>0</v>
      </c>
      <c r="I600">
        <f>IFERROR(INDEX(装备库!$A$2:$Y$1047,MATCH(ROW()-1,装备库!$AO$2:$AO$1046,0),COLUMN()),"")</f>
        <v>2861</v>
      </c>
      <c r="J600">
        <f>IFERROR(INDEX(装备库!$A$2:$Y$1047,MATCH(ROW()-1,装备库!$AO$2:$AO$1046,0),COLUMN()),"")</f>
        <v>0</v>
      </c>
      <c r="K600">
        <f>IFERROR(INDEX(装备库!$A$2:$Y$1047,MATCH(ROW()-1,装备库!$AO$2:$AO$1046,0),COLUMN()),"")</f>
        <v>0</v>
      </c>
      <c r="L600">
        <f>IFERROR(INDEX(装备库!$A$2:$Y$1047,MATCH(ROW()-1,装备库!$AO$2:$AO$1046,0),COLUMN()),"")</f>
        <v>923</v>
      </c>
      <c r="M600">
        <f>IFERROR(INDEX(装备库!$A$2:$Y$1047,MATCH(ROW()-1,装备库!$AO$2:$AO$1046,0),COLUMN()),"")</f>
        <v>2082</v>
      </c>
      <c r="N600">
        <f>IFERROR(INDEX(装备库!$A$2:$Y$1047,MATCH(ROW()-1,装备库!$AO$2:$AO$1046,0),COLUMN()),"")</f>
        <v>3470</v>
      </c>
      <c r="O600">
        <f>IFERROR(INDEX(装备库!$A$2:$Y$1047,MATCH(ROW()-1,装备库!$AO$2:$AO$1046,0),COLUMN()),"")</f>
        <v>1</v>
      </c>
      <c r="P600">
        <f>IFERROR(INDEX(装备库!$A$2:$Y$1047,MATCH(ROW()-1,装备库!$AO$2:$AO$1046,0),COLUMN()),"")</f>
        <v>1</v>
      </c>
      <c r="Q600">
        <f>IFERROR(INDEX(装备库!$A$2:$Y$1047,MATCH(ROW()-1,装备库!$AO$2:$AO$1046,0),COLUMN()),"")</f>
        <v>0</v>
      </c>
      <c r="R600">
        <f>IFERROR(INDEX(装备库!$A$2:$Y$1047,MATCH(ROW()-1,装备库!$AO$2:$AO$1046,0),COLUMN()),"")</f>
        <v>0</v>
      </c>
      <c r="S600">
        <f>IFERROR(INDEX(装备库!$A$2:$Y$1047,MATCH(ROW()-1,装备库!$AO$2:$AO$1046,0),COLUMN()),"")</f>
        <v>1</v>
      </c>
      <c r="T600">
        <f>IFERROR(INDEX(装备库!$A$2:$Y$1047,MATCH(ROW()-1,装备库!$AO$2:$AO$1046,0),COLUMN()),"")</f>
        <v>0</v>
      </c>
      <c r="U600">
        <f>IFERROR(INDEX(装备库!$A$2:$Y$1047,MATCH(ROW()-1,装备库!$AO$2:$AO$1046,0),COLUMN()),"")</f>
        <v>0</v>
      </c>
      <c r="V600">
        <f>IFERROR(INDEX(装备库!$A$2:$Y$1047,MATCH(ROW()-1,装备库!$AO$2:$AO$1046,0),COLUMN()),"")</f>
        <v>0</v>
      </c>
      <c r="W600" t="str">
        <f>IFERROR(INDEX(装备库!$A$2:$Y$1047,MATCH(ROW()-1,装备库!$AO$2:$AO$1046,0),COLUMN()),"")</f>
        <v>大橙武</v>
      </c>
      <c r="X600">
        <f>IFERROR(INDEX(装备库!$A$2:$Y$1047,MATCH(ROW()-1,装备库!$AO$2:$AO$1046,0),COLUMN()),"")</f>
        <v>8</v>
      </c>
      <c r="Y600" t="str">
        <f>IFERROR(INDEX(装备库!$A$2:$Y$1047,MATCH(ROW()-1,装备库!$AO$2:$AO$1046,0),COLUMN()),"")</f>
        <v>任务</v>
      </c>
    </row>
    <row r="601" spans="1:25" x14ac:dyDescent="0.35">
      <c r="A601" t="str">
        <f>IFERROR(INDEX(装备库!$A$2:$Y$1047,MATCH(ROW()-1,装备库!$AO$2:$AO$1046,0),COLUMN()),"")</f>
        <v>长兵</v>
      </c>
      <c r="B601" t="str">
        <f>IFERROR(INDEX(装备库!$A$2:$Y$1047,MATCH(ROW()-1,装备库!$AO$2:$AO$1046,0),COLUMN()),"")</f>
        <v>煞·泣血</v>
      </c>
      <c r="C601">
        <f>IFERROR(INDEX(装备库!$A$2:$Y$1047,MATCH(ROW()-1,装备库!$AO$2:$AO$1046,0),COLUMN()),"")</f>
        <v>5690</v>
      </c>
      <c r="D601" t="str">
        <f>IFERROR(INDEX(装备库!$A$2:$Y$1047,MATCH(ROW()-1,装备库!$AO$2:$AO$1046,0),COLUMN()),"")</f>
        <v>煞·泣血(5690大橙武)</v>
      </c>
      <c r="E601">
        <f>IFERROR(INDEX(装备库!$A$2:$Y$1047,MATCH(ROW()-1,装备库!$AO$2:$AO$1046,0),COLUMN()),"")</f>
        <v>662</v>
      </c>
      <c r="F601">
        <f>IFERROR(INDEX(装备库!$A$2:$Y$1047,MATCH(ROW()-1,装备库!$AO$2:$AO$1046,0),COLUMN()),"")</f>
        <v>2482</v>
      </c>
      <c r="G601">
        <f>IFERROR(INDEX(装备库!$A$2:$Y$1047,MATCH(ROW()-1,装备库!$AO$2:$AO$1046,0),COLUMN()),"")</f>
        <v>2677</v>
      </c>
      <c r="H601">
        <f>IFERROR(INDEX(装备库!$A$2:$Y$1047,MATCH(ROW()-1,装备库!$AO$2:$AO$1046,0),COLUMN()),"")</f>
        <v>0</v>
      </c>
      <c r="I601">
        <f>IFERROR(INDEX(装备库!$A$2:$Y$1047,MATCH(ROW()-1,装备库!$AO$2:$AO$1046,0),COLUMN()),"")</f>
        <v>2861</v>
      </c>
      <c r="J601">
        <f>IFERROR(INDEX(装备库!$A$2:$Y$1047,MATCH(ROW()-1,装备库!$AO$2:$AO$1046,0),COLUMN()),"")</f>
        <v>0</v>
      </c>
      <c r="K601">
        <f>IFERROR(INDEX(装备库!$A$2:$Y$1047,MATCH(ROW()-1,装备库!$AO$2:$AO$1046,0),COLUMN()),"")</f>
        <v>0</v>
      </c>
      <c r="L601">
        <f>IFERROR(INDEX(装备库!$A$2:$Y$1047,MATCH(ROW()-1,装备库!$AO$2:$AO$1046,0),COLUMN()),"")</f>
        <v>923</v>
      </c>
      <c r="M601">
        <f>IFERROR(INDEX(装备库!$A$2:$Y$1047,MATCH(ROW()-1,装备库!$AO$2:$AO$1046,0),COLUMN()),"")</f>
        <v>2082</v>
      </c>
      <c r="N601">
        <f>IFERROR(INDEX(装备库!$A$2:$Y$1047,MATCH(ROW()-1,装备库!$AO$2:$AO$1046,0),COLUMN()),"")</f>
        <v>3470</v>
      </c>
      <c r="O601">
        <f>IFERROR(INDEX(装备库!$A$2:$Y$1047,MATCH(ROW()-1,装备库!$AO$2:$AO$1046,0),COLUMN()),"")</f>
        <v>1</v>
      </c>
      <c r="P601">
        <f>IFERROR(INDEX(装备库!$A$2:$Y$1047,MATCH(ROW()-1,装备库!$AO$2:$AO$1046,0),COLUMN()),"")</f>
        <v>1</v>
      </c>
      <c r="Q601">
        <f>IFERROR(INDEX(装备库!$A$2:$Y$1047,MATCH(ROW()-1,装备库!$AO$2:$AO$1046,0),COLUMN()),"")</f>
        <v>0</v>
      </c>
      <c r="R601">
        <f>IFERROR(INDEX(装备库!$A$2:$Y$1047,MATCH(ROW()-1,装备库!$AO$2:$AO$1046,0),COLUMN()),"")</f>
        <v>0</v>
      </c>
      <c r="S601">
        <f>IFERROR(INDEX(装备库!$A$2:$Y$1047,MATCH(ROW()-1,装备库!$AO$2:$AO$1046,0),COLUMN()),"")</f>
        <v>1</v>
      </c>
      <c r="T601">
        <f>IFERROR(INDEX(装备库!$A$2:$Y$1047,MATCH(ROW()-1,装备库!$AO$2:$AO$1046,0),COLUMN()),"")</f>
        <v>0</v>
      </c>
      <c r="U601">
        <f>IFERROR(INDEX(装备库!$A$2:$Y$1047,MATCH(ROW()-1,装备库!$AO$2:$AO$1046,0),COLUMN()),"")</f>
        <v>0</v>
      </c>
      <c r="V601">
        <f>IFERROR(INDEX(装备库!$A$2:$Y$1047,MATCH(ROW()-1,装备库!$AO$2:$AO$1046,0),COLUMN()),"")</f>
        <v>0</v>
      </c>
      <c r="W601" t="str">
        <f>IFERROR(INDEX(装备库!$A$2:$Y$1047,MATCH(ROW()-1,装备库!$AO$2:$AO$1046,0),COLUMN()),"")</f>
        <v>大橙武</v>
      </c>
      <c r="X601">
        <f>IFERROR(INDEX(装备库!$A$2:$Y$1047,MATCH(ROW()-1,装备库!$AO$2:$AO$1046,0),COLUMN()),"")</f>
        <v>8</v>
      </c>
      <c r="Y601" t="str">
        <f>IFERROR(INDEX(装备库!$A$2:$Y$1047,MATCH(ROW()-1,装备库!$AO$2:$AO$1046,0),COLUMN()),"")</f>
        <v>任务</v>
      </c>
    </row>
    <row r="602" spans="1:25" x14ac:dyDescent="0.35">
      <c r="A602" t="str">
        <f>IFERROR(INDEX(装备库!$A$2:$Y$1047,MATCH(ROW()-1,装备库!$AO$2:$AO$1046,0),COLUMN()),"")</f>
        <v>长兵</v>
      </c>
      <c r="B602" t="str">
        <f>IFERROR(INDEX(装备库!$A$2:$Y$1047,MATCH(ROW()-1,装备库!$AO$2:$AO$1046,0),COLUMN()),"")</f>
        <v>旷野孤疆</v>
      </c>
      <c r="C602">
        <f>IFERROR(INDEX(装备库!$A$2:$Y$1047,MATCH(ROW()-1,装备库!$AO$2:$AO$1046,0),COLUMN()),"")</f>
        <v>7600</v>
      </c>
      <c r="D602" t="str">
        <f>IFERROR(INDEX(装备库!$A$2:$Y$1047,MATCH(ROW()-1,装备库!$AO$2:$AO$1046,0),COLUMN()),"")</f>
        <v>旷野孤疆(7600大橙武)</v>
      </c>
      <c r="E602">
        <f>IFERROR(INDEX(装备库!$A$2:$Y$1047,MATCH(ROW()-1,装备库!$AO$2:$AO$1046,0),COLUMN()),"")</f>
        <v>884</v>
      </c>
      <c r="F602">
        <f>IFERROR(INDEX(装备库!$A$2:$Y$1047,MATCH(ROW()-1,装备库!$AO$2:$AO$1046,0),COLUMN()),"")</f>
        <v>3315</v>
      </c>
      <c r="G602">
        <f>IFERROR(INDEX(装备库!$A$2:$Y$1047,MATCH(ROW()-1,装备库!$AO$2:$AO$1046,0),COLUMN()),"")</f>
        <v>3575</v>
      </c>
      <c r="H602">
        <f>IFERROR(INDEX(装备库!$A$2:$Y$1047,MATCH(ROW()-1,装备库!$AO$2:$AO$1046,0),COLUMN()),"")</f>
        <v>0</v>
      </c>
      <c r="I602">
        <f>IFERROR(INDEX(装备库!$A$2:$Y$1047,MATCH(ROW()-1,装备库!$AO$2:$AO$1046,0),COLUMN()),"")</f>
        <v>3822</v>
      </c>
      <c r="J602">
        <f>IFERROR(INDEX(装备库!$A$2:$Y$1047,MATCH(ROW()-1,装备库!$AO$2:$AO$1046,0),COLUMN()),"")</f>
        <v>0</v>
      </c>
      <c r="K602">
        <f>IFERROR(INDEX(装备库!$A$2:$Y$1047,MATCH(ROW()-1,装备库!$AO$2:$AO$1046,0),COLUMN()),"")</f>
        <v>0</v>
      </c>
      <c r="L602">
        <f>IFERROR(INDEX(装备库!$A$2:$Y$1047,MATCH(ROW()-1,装备库!$AO$2:$AO$1046,0),COLUMN()),"")</f>
        <v>1233</v>
      </c>
      <c r="M602">
        <f>IFERROR(INDEX(装备库!$A$2:$Y$1047,MATCH(ROW()-1,装备库!$AO$2:$AO$1046,0),COLUMN()),"")</f>
        <v>2782</v>
      </c>
      <c r="N602">
        <f>IFERROR(INDEX(装备库!$A$2:$Y$1047,MATCH(ROW()-1,装备库!$AO$2:$AO$1046,0),COLUMN()),"")</f>
        <v>4637</v>
      </c>
      <c r="O602">
        <f>IFERROR(INDEX(装备库!$A$2:$Y$1047,MATCH(ROW()-1,装备库!$AO$2:$AO$1046,0),COLUMN()),"")</f>
        <v>1</v>
      </c>
      <c r="P602">
        <f>IFERROR(INDEX(装备库!$A$2:$Y$1047,MATCH(ROW()-1,装备库!$AO$2:$AO$1046,0),COLUMN()),"")</f>
        <v>1</v>
      </c>
      <c r="Q602">
        <f>IFERROR(INDEX(装备库!$A$2:$Y$1047,MATCH(ROW()-1,装备库!$AO$2:$AO$1046,0),COLUMN()),"")</f>
        <v>0</v>
      </c>
      <c r="R602">
        <f>IFERROR(INDEX(装备库!$A$2:$Y$1047,MATCH(ROW()-1,装备库!$AO$2:$AO$1046,0),COLUMN()),"")</f>
        <v>0</v>
      </c>
      <c r="S602">
        <f>IFERROR(INDEX(装备库!$A$2:$Y$1047,MATCH(ROW()-1,装备库!$AO$2:$AO$1046,0),COLUMN()),"")</f>
        <v>1</v>
      </c>
      <c r="T602">
        <f>IFERROR(INDEX(装备库!$A$2:$Y$1047,MATCH(ROW()-1,装备库!$AO$2:$AO$1046,0),COLUMN()),"")</f>
        <v>0</v>
      </c>
      <c r="U602">
        <f>IFERROR(INDEX(装备库!$A$2:$Y$1047,MATCH(ROW()-1,装备库!$AO$2:$AO$1046,0),COLUMN()),"")</f>
        <v>0</v>
      </c>
      <c r="V602">
        <f>IFERROR(INDEX(装备库!$A$2:$Y$1047,MATCH(ROW()-1,装备库!$AO$2:$AO$1046,0),COLUMN()),"")</f>
        <v>0</v>
      </c>
      <c r="W602" t="str">
        <f>IFERROR(INDEX(装备库!$A$2:$Y$1047,MATCH(ROW()-1,装备库!$AO$2:$AO$1046,0),COLUMN()),"")</f>
        <v>大橙武</v>
      </c>
      <c r="X602">
        <f>IFERROR(INDEX(装备库!$A$2:$Y$1047,MATCH(ROW()-1,装备库!$AO$2:$AO$1046,0),COLUMN()),"")</f>
        <v>8</v>
      </c>
      <c r="Y602" t="str">
        <f>IFERROR(INDEX(装备库!$A$2:$Y$1047,MATCH(ROW()-1,装备库!$AO$2:$AO$1046,0),COLUMN()),"")</f>
        <v>任务</v>
      </c>
    </row>
    <row r="603" spans="1:25" x14ac:dyDescent="0.35">
      <c r="A603" t="str">
        <f>IFERROR(INDEX(装备库!$A$2:$Y$1047,MATCH(ROW()-1,装备库!$AO$2:$AO$1046,0),COLUMN()),"")</f>
        <v>长兵</v>
      </c>
      <c r="B603" t="str">
        <f>IFERROR(INDEX(装备库!$A$2:$Y$1047,MATCH(ROW()-1,装备库!$AO$2:$AO$1046,0),COLUMN()),"")</f>
        <v>旷野孤疆</v>
      </c>
      <c r="C603">
        <f>IFERROR(INDEX(装备库!$A$2:$Y$1047,MATCH(ROW()-1,装备库!$AO$2:$AO$1046,0),COLUMN()),"")</f>
        <v>8000</v>
      </c>
      <c r="D603" t="str">
        <f>IFERROR(INDEX(装备库!$A$2:$Y$1047,MATCH(ROW()-1,装备库!$AO$2:$AO$1046,0),COLUMN()),"")</f>
        <v>旷野孤疆(8000大橙武)</v>
      </c>
      <c r="E603">
        <f>IFERROR(INDEX(装备库!$A$2:$Y$1047,MATCH(ROW()-1,装备库!$AO$2:$AO$1046,0),COLUMN()),"")</f>
        <v>931</v>
      </c>
      <c r="F603">
        <f>IFERROR(INDEX(装备库!$A$2:$Y$1047,MATCH(ROW()-1,装备库!$AO$2:$AO$1046,0),COLUMN()),"")</f>
        <v>3489</v>
      </c>
      <c r="G603">
        <f>IFERROR(INDEX(装备库!$A$2:$Y$1047,MATCH(ROW()-1,装备库!$AO$2:$AO$1046,0),COLUMN()),"")</f>
        <v>3763</v>
      </c>
      <c r="H603">
        <f>IFERROR(INDEX(装备库!$A$2:$Y$1047,MATCH(ROW()-1,装备库!$AO$2:$AO$1046,0),COLUMN()),"")</f>
        <v>0</v>
      </c>
      <c r="I603">
        <f>IFERROR(INDEX(装备库!$A$2:$Y$1047,MATCH(ROW()-1,装备库!$AO$2:$AO$1046,0),COLUMN()),"")</f>
        <v>4023</v>
      </c>
      <c r="J603">
        <f>IFERROR(INDEX(装备库!$A$2:$Y$1047,MATCH(ROW()-1,装备库!$AO$2:$AO$1046,0),COLUMN()),"")</f>
        <v>0</v>
      </c>
      <c r="K603">
        <f>IFERROR(INDEX(装备库!$A$2:$Y$1047,MATCH(ROW()-1,装备库!$AO$2:$AO$1046,0),COLUMN()),"")</f>
        <v>0</v>
      </c>
      <c r="L603">
        <f>IFERROR(INDEX(装备库!$A$2:$Y$1047,MATCH(ROW()-1,装备库!$AO$2:$AO$1046,0),COLUMN()),"")</f>
        <v>1298</v>
      </c>
      <c r="M603">
        <f>IFERROR(INDEX(装备库!$A$2:$Y$1047,MATCH(ROW()-1,装备库!$AO$2:$AO$1046,0),COLUMN()),"")</f>
        <v>2928</v>
      </c>
      <c r="N603">
        <f>IFERROR(INDEX(装备库!$A$2:$Y$1047,MATCH(ROW()-1,装备库!$AO$2:$AO$1046,0),COLUMN()),"")</f>
        <v>4880</v>
      </c>
      <c r="O603">
        <f>IFERROR(INDEX(装备库!$A$2:$Y$1047,MATCH(ROW()-1,装备库!$AO$2:$AO$1046,0),COLUMN()),"")</f>
        <v>1</v>
      </c>
      <c r="P603">
        <f>IFERROR(INDEX(装备库!$A$2:$Y$1047,MATCH(ROW()-1,装备库!$AO$2:$AO$1046,0),COLUMN()),"")</f>
        <v>1</v>
      </c>
      <c r="Q603">
        <f>IFERROR(INDEX(装备库!$A$2:$Y$1047,MATCH(ROW()-1,装备库!$AO$2:$AO$1046,0),COLUMN()),"")</f>
        <v>0</v>
      </c>
      <c r="R603">
        <f>IFERROR(INDEX(装备库!$A$2:$Y$1047,MATCH(ROW()-1,装备库!$AO$2:$AO$1046,0),COLUMN()),"")</f>
        <v>0</v>
      </c>
      <c r="S603">
        <f>IFERROR(INDEX(装备库!$A$2:$Y$1047,MATCH(ROW()-1,装备库!$AO$2:$AO$1046,0),COLUMN()),"")</f>
        <v>1</v>
      </c>
      <c r="T603">
        <f>IFERROR(INDEX(装备库!$A$2:$Y$1047,MATCH(ROW()-1,装备库!$AO$2:$AO$1046,0),COLUMN()),"")</f>
        <v>0</v>
      </c>
      <c r="U603">
        <f>IFERROR(INDEX(装备库!$A$2:$Y$1047,MATCH(ROW()-1,装备库!$AO$2:$AO$1046,0),COLUMN()),"")</f>
        <v>0</v>
      </c>
      <c r="V603">
        <f>IFERROR(INDEX(装备库!$A$2:$Y$1047,MATCH(ROW()-1,装备库!$AO$2:$AO$1046,0),COLUMN()),"")</f>
        <v>0</v>
      </c>
      <c r="W603" t="str">
        <f>IFERROR(INDEX(装备库!$A$2:$Y$1047,MATCH(ROW()-1,装备库!$AO$2:$AO$1046,0),COLUMN()),"")</f>
        <v>大橙武</v>
      </c>
      <c r="X603">
        <f>IFERROR(INDEX(装备库!$A$2:$Y$1047,MATCH(ROW()-1,装备库!$AO$2:$AO$1046,0),COLUMN()),"")</f>
        <v>8</v>
      </c>
      <c r="Y603" t="str">
        <f>IFERROR(INDEX(装备库!$A$2:$Y$1047,MATCH(ROW()-1,装备库!$AO$2:$AO$1046,0),COLUMN()),"")</f>
        <v>任务</v>
      </c>
    </row>
    <row r="604" spans="1:25" x14ac:dyDescent="0.35">
      <c r="A604" t="str">
        <f>IFERROR(INDEX(装备库!$A$2:$Y$1047,MATCH(ROW()-1,装备库!$AO$2:$AO$1046,0),COLUMN()),"")</f>
        <v>长兵</v>
      </c>
      <c r="B604" t="str">
        <f>IFERROR(INDEX(装备库!$A$2:$Y$1047,MATCH(ROW()-1,装备库!$AO$2:$AO$1046,0),COLUMN()),"")</f>
        <v>大解脱</v>
      </c>
      <c r="C604">
        <f>IFERROR(INDEX(装备库!$A$2:$Y$1047,MATCH(ROW()-1,装备库!$AO$2:$AO$1046,0),COLUMN()),"")</f>
        <v>8000</v>
      </c>
      <c r="D604" t="str">
        <f>IFERROR(INDEX(装备库!$A$2:$Y$1047,MATCH(ROW()-1,装备库!$AO$2:$AO$1046,0),COLUMN()),"")</f>
        <v>大解脱(8000招破)</v>
      </c>
      <c r="E604">
        <f>IFERROR(INDEX(装备库!$A$2:$Y$1047,MATCH(ROW()-1,装备库!$AO$2:$AO$1046,0),COLUMN()),"")</f>
        <v>670</v>
      </c>
      <c r="F604">
        <f>IFERROR(INDEX(装备库!$A$2:$Y$1047,MATCH(ROW()-1,装备库!$AO$2:$AO$1046,0),COLUMN()),"")</f>
        <v>2596</v>
      </c>
      <c r="G604">
        <f>IFERROR(INDEX(装备库!$A$2:$Y$1047,MATCH(ROW()-1,装备库!$AO$2:$AO$1046,0),COLUMN()),"")</f>
        <v>0</v>
      </c>
      <c r="H604">
        <f>IFERROR(INDEX(装备库!$A$2:$Y$1047,MATCH(ROW()-1,装备库!$AO$2:$AO$1046,0),COLUMN()),"")</f>
        <v>0</v>
      </c>
      <c r="I604">
        <f>IFERROR(INDEX(装备库!$A$2:$Y$1047,MATCH(ROW()-1,装备库!$AO$2:$AO$1046,0),COLUMN()),"")</f>
        <v>3363</v>
      </c>
      <c r="J604">
        <f>IFERROR(INDEX(装备库!$A$2:$Y$1047,MATCH(ROW()-1,装备库!$AO$2:$AO$1046,0),COLUMN()),"")</f>
        <v>2990</v>
      </c>
      <c r="K604">
        <f>IFERROR(INDEX(装备库!$A$2:$Y$1047,MATCH(ROW()-1,装备库!$AO$2:$AO$1046,0),COLUMN()),"")</f>
        <v>0</v>
      </c>
      <c r="L604">
        <f>IFERROR(INDEX(装备库!$A$2:$Y$1047,MATCH(ROW()-1,装备库!$AO$2:$AO$1046,0),COLUMN()),"")</f>
        <v>0</v>
      </c>
      <c r="M604">
        <f>IFERROR(INDEX(装备库!$A$2:$Y$1047,MATCH(ROW()-1,装备库!$AO$2:$AO$1046,0),COLUMN()),"")</f>
        <v>2108</v>
      </c>
      <c r="N604">
        <f>IFERROR(INDEX(装备库!$A$2:$Y$1047,MATCH(ROW()-1,装备库!$AO$2:$AO$1046,0),COLUMN()),"")</f>
        <v>3514</v>
      </c>
      <c r="O604">
        <f>IFERROR(INDEX(装备库!$A$2:$Y$1047,MATCH(ROW()-1,装备库!$AO$2:$AO$1046,0),COLUMN()),"")</f>
        <v>1</v>
      </c>
      <c r="P604">
        <f>IFERROR(INDEX(装备库!$A$2:$Y$1047,MATCH(ROW()-1,装备库!$AO$2:$AO$1046,0),COLUMN()),"")</f>
        <v>1</v>
      </c>
      <c r="Q604">
        <f>IFERROR(INDEX(装备库!$A$2:$Y$1047,MATCH(ROW()-1,装备库!$AO$2:$AO$1046,0),COLUMN()),"")</f>
        <v>0</v>
      </c>
      <c r="R604">
        <f>IFERROR(INDEX(装备库!$A$2:$Y$1047,MATCH(ROW()-1,装备库!$AO$2:$AO$1046,0),COLUMN()),"")</f>
        <v>0</v>
      </c>
      <c r="S604">
        <f>IFERROR(INDEX(装备库!$A$2:$Y$1047,MATCH(ROW()-1,装备库!$AO$2:$AO$1046,0),COLUMN()),"")</f>
        <v>1</v>
      </c>
      <c r="T604">
        <f>IFERROR(INDEX(装备库!$A$2:$Y$1047,MATCH(ROW()-1,装备库!$AO$2:$AO$1046,0),COLUMN()),"")</f>
        <v>0</v>
      </c>
      <c r="U604">
        <f>IFERROR(INDEX(装备库!$A$2:$Y$1047,MATCH(ROW()-1,装备库!$AO$2:$AO$1046,0),COLUMN()),"")</f>
        <v>0</v>
      </c>
      <c r="V604">
        <f>IFERROR(INDEX(装备库!$A$2:$Y$1047,MATCH(ROW()-1,装备库!$AO$2:$AO$1046,0),COLUMN()),"")</f>
        <v>0</v>
      </c>
      <c r="W604" t="str">
        <f>IFERROR(INDEX(装备库!$A$2:$Y$1047,MATCH(ROW()-1,装备库!$AO$2:$AO$1046,0),COLUMN()),"")</f>
        <v>招破</v>
      </c>
      <c r="X604">
        <f>IFERROR(INDEX(装备库!$A$2:$Y$1047,MATCH(ROW()-1,装备库!$AO$2:$AO$1046,0),COLUMN()),"")</f>
        <v>6</v>
      </c>
      <c r="Y604" t="str">
        <f>IFERROR(INDEX(装备库!$A$2:$Y$1047,MATCH(ROW()-1,装备库!$AO$2:$AO$1046,0),COLUMN()),"")</f>
        <v>副本</v>
      </c>
    </row>
    <row r="605" spans="1:25" x14ac:dyDescent="0.35">
      <c r="A605" t="str">
        <f>IFERROR(INDEX(装备库!$A$2:$Y$1047,MATCH(ROW()-1,装备库!$AO$2:$AO$1046,0),COLUMN()),"")</f>
        <v>长兵</v>
      </c>
      <c r="B605" t="str">
        <f>IFERROR(INDEX(装备库!$A$2:$Y$1047,MATCH(ROW()-1,装备库!$AO$2:$AO$1046,0),COLUMN()),"")</f>
        <v>洛山枪</v>
      </c>
      <c r="C605">
        <f>IFERROR(INDEX(装备库!$A$2:$Y$1047,MATCH(ROW()-1,装备库!$AO$2:$AO$1046,0),COLUMN()),"")</f>
        <v>8100</v>
      </c>
      <c r="D605" t="str">
        <f>IFERROR(INDEX(装备库!$A$2:$Y$1047,MATCH(ROW()-1,装备库!$AO$2:$AO$1046,0),COLUMN()),"")</f>
        <v>洛山枪(8100招破)</v>
      </c>
      <c r="E605">
        <f>IFERROR(INDEX(装备库!$A$2:$Y$1047,MATCH(ROW()-1,装备库!$AO$2:$AO$1046,0),COLUMN()),"")</f>
        <v>679</v>
      </c>
      <c r="F605">
        <f>IFERROR(INDEX(装备库!$A$2:$Y$1047,MATCH(ROW()-1,装备库!$AO$2:$AO$1046,0),COLUMN()),"")</f>
        <v>2628</v>
      </c>
      <c r="G605">
        <f>IFERROR(INDEX(装备库!$A$2:$Y$1047,MATCH(ROW()-1,装备库!$AO$2:$AO$1046,0),COLUMN()),"")</f>
        <v>0</v>
      </c>
      <c r="H605">
        <f>IFERROR(INDEX(装备库!$A$2:$Y$1047,MATCH(ROW()-1,装备库!$AO$2:$AO$1046,0),COLUMN()),"")</f>
        <v>0</v>
      </c>
      <c r="I605">
        <f>IFERROR(INDEX(装备库!$A$2:$Y$1047,MATCH(ROW()-1,装备库!$AO$2:$AO$1046,0),COLUMN()),"")</f>
        <v>3406</v>
      </c>
      <c r="J605">
        <f>IFERROR(INDEX(装备库!$A$2:$Y$1047,MATCH(ROW()-1,装备库!$AO$2:$AO$1046,0),COLUMN()),"")</f>
        <v>3633</v>
      </c>
      <c r="K605">
        <f>IFERROR(INDEX(装备库!$A$2:$Y$1047,MATCH(ROW()-1,装备库!$AO$2:$AO$1046,0),COLUMN()),"")</f>
        <v>0</v>
      </c>
      <c r="L605">
        <f>IFERROR(INDEX(装备库!$A$2:$Y$1047,MATCH(ROW()-1,装备库!$AO$2:$AO$1046,0),COLUMN()),"")</f>
        <v>0</v>
      </c>
      <c r="M605">
        <f>IFERROR(INDEX(装备库!$A$2:$Y$1047,MATCH(ROW()-1,装备库!$AO$2:$AO$1046,0),COLUMN()),"")</f>
        <v>2135</v>
      </c>
      <c r="N605">
        <f>IFERROR(INDEX(装备库!$A$2:$Y$1047,MATCH(ROW()-1,装备库!$AO$2:$AO$1046,0),COLUMN()),"")</f>
        <v>3558</v>
      </c>
      <c r="O605">
        <f>IFERROR(INDEX(装备库!$A$2:$Y$1047,MATCH(ROW()-1,装备库!$AO$2:$AO$1046,0),COLUMN()),"")</f>
        <v>1</v>
      </c>
      <c r="P605">
        <f>IFERROR(INDEX(装备库!$A$2:$Y$1047,MATCH(ROW()-1,装备库!$AO$2:$AO$1046,0),COLUMN()),"")</f>
        <v>1</v>
      </c>
      <c r="Q605">
        <f>IFERROR(INDEX(装备库!$A$2:$Y$1047,MATCH(ROW()-1,装备库!$AO$2:$AO$1046,0),COLUMN()),"")</f>
        <v>0</v>
      </c>
      <c r="R605">
        <f>IFERROR(INDEX(装备库!$A$2:$Y$1047,MATCH(ROW()-1,装备库!$AO$2:$AO$1046,0),COLUMN()),"")</f>
        <v>0</v>
      </c>
      <c r="S605">
        <f>IFERROR(INDEX(装备库!$A$2:$Y$1047,MATCH(ROW()-1,装备库!$AO$2:$AO$1046,0),COLUMN()),"")</f>
        <v>1</v>
      </c>
      <c r="T605">
        <f>IFERROR(INDEX(装备库!$A$2:$Y$1047,MATCH(ROW()-1,装备库!$AO$2:$AO$1046,0),COLUMN()),"")</f>
        <v>0</v>
      </c>
      <c r="U605">
        <f>IFERROR(INDEX(装备库!$A$2:$Y$1047,MATCH(ROW()-1,装备库!$AO$2:$AO$1046,0),COLUMN()),"")</f>
        <v>0</v>
      </c>
      <c r="V605">
        <f>IFERROR(INDEX(装备库!$A$2:$Y$1047,MATCH(ROW()-1,装备库!$AO$2:$AO$1046,0),COLUMN()),"")</f>
        <v>0</v>
      </c>
      <c r="W605" t="str">
        <f>IFERROR(INDEX(装备库!$A$2:$Y$1047,MATCH(ROW()-1,装备库!$AO$2:$AO$1046,0),COLUMN()),"")</f>
        <v>招破</v>
      </c>
      <c r="X605">
        <f>IFERROR(INDEX(装备库!$A$2:$Y$1047,MATCH(ROW()-1,装备库!$AO$2:$AO$1046,0),COLUMN()),"")</f>
        <v>6</v>
      </c>
      <c r="Y605" t="str">
        <f>IFERROR(INDEX(装备库!$A$2:$Y$1047,MATCH(ROW()-1,装备库!$AO$2:$AO$1046,0),COLUMN()),"")</f>
        <v>任务</v>
      </c>
    </row>
    <row r="606" spans="1:25" x14ac:dyDescent="0.35">
      <c r="A606" t="str">
        <f>IFERROR(INDEX(装备库!$A$2:$Y$1047,MATCH(ROW()-1,装备库!$AO$2:$AO$1046,0),COLUMN()),"")</f>
        <v>长兵</v>
      </c>
      <c r="B606" t="str">
        <f>IFERROR(INDEX(装备库!$A$2:$Y$1047,MATCH(ROW()-1,装备库!$AO$2:$AO$1046,0),COLUMN()),"")</f>
        <v>顾望枪</v>
      </c>
      <c r="C606">
        <f>IFERROR(INDEX(装备库!$A$2:$Y$1047,MATCH(ROW()-1,装备库!$AO$2:$AO$1046,0),COLUMN()),"")</f>
        <v>8100</v>
      </c>
      <c r="D606" t="str">
        <f>IFERROR(INDEX(装备库!$A$2:$Y$1047,MATCH(ROW()-1,装备库!$AO$2:$AO$1046,0),COLUMN()),"")</f>
        <v>顾望枪(8100力道纯会)</v>
      </c>
      <c r="E606">
        <f>IFERROR(INDEX(装备库!$A$2:$Y$1047,MATCH(ROW()-1,装备库!$AO$2:$AO$1046,0),COLUMN()),"")</f>
        <v>848</v>
      </c>
      <c r="F606">
        <f>IFERROR(INDEX(装备库!$A$2:$Y$1047,MATCH(ROW()-1,装备库!$AO$2:$AO$1046,0),COLUMN()),"")</f>
        <v>3221</v>
      </c>
      <c r="G606">
        <f>IFERROR(INDEX(装备库!$A$2:$Y$1047,MATCH(ROW()-1,装备库!$AO$2:$AO$1046,0),COLUMN()),"")</f>
        <v>4351</v>
      </c>
      <c r="H606">
        <f>IFERROR(INDEX(装备库!$A$2:$Y$1047,MATCH(ROW()-1,装备库!$AO$2:$AO$1046,0),COLUMN()),"")</f>
        <v>0</v>
      </c>
      <c r="I606">
        <f>IFERROR(INDEX(装备库!$A$2:$Y$1047,MATCH(ROW()-1,装备库!$AO$2:$AO$1046,0),COLUMN()),"")</f>
        <v>0</v>
      </c>
      <c r="J606">
        <f>IFERROR(INDEX(装备库!$A$2:$Y$1047,MATCH(ROW()-1,装备库!$AO$2:$AO$1046,0),COLUMN()),"")</f>
        <v>0</v>
      </c>
      <c r="K606">
        <f>IFERROR(INDEX(装备库!$A$2:$Y$1047,MATCH(ROW()-1,装备库!$AO$2:$AO$1046,0),COLUMN()),"")</f>
        <v>0</v>
      </c>
      <c r="L606">
        <f>IFERROR(INDEX(装备库!$A$2:$Y$1047,MATCH(ROW()-1,装备库!$AO$2:$AO$1046,0),COLUMN()),"")</f>
        <v>0</v>
      </c>
      <c r="M606">
        <f>IFERROR(INDEX(装备库!$A$2:$Y$1047,MATCH(ROW()-1,装备库!$AO$2:$AO$1046,0),COLUMN()),"")</f>
        <v>2135</v>
      </c>
      <c r="N606">
        <f>IFERROR(INDEX(装备库!$A$2:$Y$1047,MATCH(ROW()-1,装备库!$AO$2:$AO$1046,0),COLUMN()),"")</f>
        <v>3558</v>
      </c>
      <c r="O606">
        <f>IFERROR(INDEX(装备库!$A$2:$Y$1047,MATCH(ROW()-1,装备库!$AO$2:$AO$1046,0),COLUMN()),"")</f>
        <v>0</v>
      </c>
      <c r="P606">
        <f>IFERROR(INDEX(装备库!$A$2:$Y$1047,MATCH(ROW()-1,装备库!$AO$2:$AO$1046,0),COLUMN()),"")</f>
        <v>0</v>
      </c>
      <c r="Q606">
        <f>IFERROR(INDEX(装备库!$A$2:$Y$1047,MATCH(ROW()-1,装备库!$AO$2:$AO$1046,0),COLUMN()),"")</f>
        <v>0</v>
      </c>
      <c r="R606">
        <f>IFERROR(INDEX(装备库!$A$2:$Y$1047,MATCH(ROW()-1,装备库!$AO$2:$AO$1046,0),COLUMN()),"")</f>
        <v>0</v>
      </c>
      <c r="S606">
        <f>IFERROR(INDEX(装备库!$A$2:$Y$1047,MATCH(ROW()-1,装备库!$AO$2:$AO$1046,0),COLUMN()),"")</f>
        <v>0</v>
      </c>
      <c r="T606">
        <f>IFERROR(INDEX(装备库!$A$2:$Y$1047,MATCH(ROW()-1,装备库!$AO$2:$AO$1046,0),COLUMN()),"")</f>
        <v>0</v>
      </c>
      <c r="U606">
        <f>IFERROR(INDEX(装备库!$A$2:$Y$1047,MATCH(ROW()-1,装备库!$AO$2:$AO$1046,0),COLUMN()),"")</f>
        <v>0</v>
      </c>
      <c r="V606">
        <f>IFERROR(INDEX(装备库!$A$2:$Y$1047,MATCH(ROW()-1,装备库!$AO$2:$AO$1046,0),COLUMN()),"")</f>
        <v>0</v>
      </c>
      <c r="W606" t="str">
        <f>IFERROR(INDEX(装备库!$A$2:$Y$1047,MATCH(ROW()-1,装备库!$AO$2:$AO$1046,0),COLUMN()),"")</f>
        <v>力道纯会</v>
      </c>
      <c r="X606">
        <f>IFERROR(INDEX(装备库!$A$2:$Y$1047,MATCH(ROW()-1,装备库!$AO$2:$AO$1046,0),COLUMN()),"")</f>
        <v>6</v>
      </c>
      <c r="Y606" t="str">
        <f>IFERROR(INDEX(装备库!$A$2:$Y$1047,MATCH(ROW()-1,装备库!$AO$2:$AO$1046,0),COLUMN()),"")</f>
        <v>任务</v>
      </c>
    </row>
    <row r="607" spans="1:25" x14ac:dyDescent="0.35">
      <c r="A607" t="str">
        <f>IFERROR(INDEX(装备库!$A$2:$Y$1047,MATCH(ROW()-1,装备库!$AO$2:$AO$1046,0),COLUMN()),"")</f>
        <v>长兵</v>
      </c>
      <c r="B607" t="str">
        <f>IFERROR(INDEX(装备库!$A$2:$Y$1047,MATCH(ROW()-1,装备库!$AO$2:$AO$1046,0),COLUMN()),"")</f>
        <v>旷野孤疆</v>
      </c>
      <c r="C607">
        <f>IFERROR(INDEX(装备库!$A$2:$Y$1047,MATCH(ROW()-1,装备库!$AO$2:$AO$1046,0),COLUMN()),"")</f>
        <v>8400</v>
      </c>
      <c r="D607" t="str">
        <f>IFERROR(INDEX(装备库!$A$2:$Y$1047,MATCH(ROW()-1,装备库!$AO$2:$AO$1046,0),COLUMN()),"")</f>
        <v>旷野孤疆(8400大橙武)</v>
      </c>
      <c r="E607">
        <f>IFERROR(INDEX(装备库!$A$2:$Y$1047,MATCH(ROW()-1,装备库!$AO$2:$AO$1046,0),COLUMN()),"")</f>
        <v>978</v>
      </c>
      <c r="F607">
        <f>IFERROR(INDEX(装备库!$A$2:$Y$1047,MATCH(ROW()-1,装备库!$AO$2:$AO$1046,0),COLUMN()),"")</f>
        <v>3664</v>
      </c>
      <c r="G607">
        <f>IFERROR(INDEX(装备库!$A$2:$Y$1047,MATCH(ROW()-1,装备库!$AO$2:$AO$1046,0),COLUMN()),"")</f>
        <v>3951</v>
      </c>
      <c r="H607">
        <f>IFERROR(INDEX(装备库!$A$2:$Y$1047,MATCH(ROW()-1,装备库!$AO$2:$AO$1046,0),COLUMN()),"")</f>
        <v>0</v>
      </c>
      <c r="I607">
        <f>IFERROR(INDEX(装备库!$A$2:$Y$1047,MATCH(ROW()-1,装备库!$AO$2:$AO$1046,0),COLUMN()),"")</f>
        <v>4224</v>
      </c>
      <c r="J607">
        <f>IFERROR(INDEX(装备库!$A$2:$Y$1047,MATCH(ROW()-1,装备库!$AO$2:$AO$1046,0),COLUMN()),"")</f>
        <v>0</v>
      </c>
      <c r="K607">
        <f>IFERROR(INDEX(装备库!$A$2:$Y$1047,MATCH(ROW()-1,装备库!$AO$2:$AO$1046,0),COLUMN()),"")</f>
        <v>0</v>
      </c>
      <c r="L607">
        <f>IFERROR(INDEX(装备库!$A$2:$Y$1047,MATCH(ROW()-1,装备库!$AO$2:$AO$1046,0),COLUMN()),"")</f>
        <v>1363</v>
      </c>
      <c r="M607">
        <f>IFERROR(INDEX(装备库!$A$2:$Y$1047,MATCH(ROW()-1,装备库!$AO$2:$AO$1046,0),COLUMN()),"")</f>
        <v>3075</v>
      </c>
      <c r="N607">
        <f>IFERROR(INDEX(装备库!$A$2:$Y$1047,MATCH(ROW()-1,装备库!$AO$2:$AO$1046,0),COLUMN()),"")</f>
        <v>5125</v>
      </c>
      <c r="O607">
        <f>IFERROR(INDEX(装备库!$A$2:$Y$1047,MATCH(ROW()-1,装备库!$AO$2:$AO$1046,0),COLUMN()),"")</f>
        <v>1</v>
      </c>
      <c r="P607">
        <f>IFERROR(INDEX(装备库!$A$2:$Y$1047,MATCH(ROW()-1,装备库!$AO$2:$AO$1046,0),COLUMN()),"")</f>
        <v>1</v>
      </c>
      <c r="Q607">
        <f>IFERROR(INDEX(装备库!$A$2:$Y$1047,MATCH(ROW()-1,装备库!$AO$2:$AO$1046,0),COLUMN()),"")</f>
        <v>0</v>
      </c>
      <c r="R607">
        <f>IFERROR(INDEX(装备库!$A$2:$Y$1047,MATCH(ROW()-1,装备库!$AO$2:$AO$1046,0),COLUMN()),"")</f>
        <v>0</v>
      </c>
      <c r="S607">
        <f>IFERROR(INDEX(装备库!$A$2:$Y$1047,MATCH(ROW()-1,装备库!$AO$2:$AO$1046,0),COLUMN()),"")</f>
        <v>1</v>
      </c>
      <c r="T607">
        <f>IFERROR(INDEX(装备库!$A$2:$Y$1047,MATCH(ROW()-1,装备库!$AO$2:$AO$1046,0),COLUMN()),"")</f>
        <v>0</v>
      </c>
      <c r="U607">
        <f>IFERROR(INDEX(装备库!$A$2:$Y$1047,MATCH(ROW()-1,装备库!$AO$2:$AO$1046,0),COLUMN()),"")</f>
        <v>0</v>
      </c>
      <c r="V607">
        <f>IFERROR(INDEX(装备库!$A$2:$Y$1047,MATCH(ROW()-1,装备库!$AO$2:$AO$1046,0),COLUMN()),"")</f>
        <v>0</v>
      </c>
      <c r="W607" t="str">
        <f>IFERROR(INDEX(装备库!$A$2:$Y$1047,MATCH(ROW()-1,装备库!$AO$2:$AO$1046,0),COLUMN()),"")</f>
        <v>大橙武</v>
      </c>
      <c r="X607">
        <f>IFERROR(INDEX(装备库!$A$2:$Y$1047,MATCH(ROW()-1,装备库!$AO$2:$AO$1046,0),COLUMN()),"")</f>
        <v>8</v>
      </c>
      <c r="Y607" t="str">
        <f>IFERROR(INDEX(装备库!$A$2:$Y$1047,MATCH(ROW()-1,装备库!$AO$2:$AO$1046,0),COLUMN()),"")</f>
        <v>任务</v>
      </c>
    </row>
    <row r="608" spans="1:25" x14ac:dyDescent="0.35">
      <c r="A608" t="str">
        <f>IFERROR(INDEX(装备库!$A$2:$Y$1047,MATCH(ROW()-1,装备库!$AO$2:$AO$1046,0),COLUMN()),"")</f>
        <v>长兵</v>
      </c>
      <c r="B608" t="str">
        <f>IFERROR(INDEX(装备库!$A$2:$Y$1047,MATCH(ROW()-1,装备库!$AO$2:$AO$1046,0),COLUMN()),"")</f>
        <v>安魂</v>
      </c>
      <c r="C608">
        <f>IFERROR(INDEX(装备库!$A$2:$Y$1047,MATCH(ROW()-1,装备库!$AO$2:$AO$1046,0),COLUMN()),"")</f>
        <v>8600</v>
      </c>
      <c r="D608" t="str">
        <f>IFERROR(INDEX(装备库!$A$2:$Y$1047,MATCH(ROW()-1,装备库!$AO$2:$AO$1046,0),COLUMN()),"")</f>
        <v>安魂(8600力道纯破)</v>
      </c>
      <c r="E608">
        <f>IFERROR(INDEX(装备库!$A$2:$Y$1047,MATCH(ROW()-1,装备库!$AO$2:$AO$1046,0),COLUMN()),"")</f>
        <v>901</v>
      </c>
      <c r="F608">
        <f>IFERROR(INDEX(装备库!$A$2:$Y$1047,MATCH(ROW()-1,装备库!$AO$2:$AO$1046,0),COLUMN()),"")</f>
        <v>3420</v>
      </c>
      <c r="G608">
        <f>IFERROR(INDEX(装备库!$A$2:$Y$1047,MATCH(ROW()-1,装备库!$AO$2:$AO$1046,0),COLUMN()),"")</f>
        <v>0</v>
      </c>
      <c r="H608">
        <f>IFERROR(INDEX(装备库!$A$2:$Y$1047,MATCH(ROW()-1,装备库!$AO$2:$AO$1046,0),COLUMN()),"")</f>
        <v>0</v>
      </c>
      <c r="I608">
        <f>IFERROR(INDEX(装备库!$A$2:$Y$1047,MATCH(ROW()-1,装备库!$AO$2:$AO$1046,0),COLUMN()),"")</f>
        <v>4620</v>
      </c>
      <c r="J608">
        <f>IFERROR(INDEX(装备库!$A$2:$Y$1047,MATCH(ROW()-1,装备库!$AO$2:$AO$1046,0),COLUMN()),"")</f>
        <v>0</v>
      </c>
      <c r="K608">
        <f>IFERROR(INDEX(装备库!$A$2:$Y$1047,MATCH(ROW()-1,装备库!$AO$2:$AO$1046,0),COLUMN()),"")</f>
        <v>0</v>
      </c>
      <c r="L608">
        <f>IFERROR(INDEX(装备库!$A$2:$Y$1047,MATCH(ROW()-1,装备库!$AO$2:$AO$1046,0),COLUMN()),"")</f>
        <v>0</v>
      </c>
      <c r="M608">
        <f>IFERROR(INDEX(装备库!$A$2:$Y$1047,MATCH(ROW()-1,装备库!$AO$2:$AO$1046,0),COLUMN()),"")</f>
        <v>2267</v>
      </c>
      <c r="N608">
        <f>IFERROR(INDEX(装备库!$A$2:$Y$1047,MATCH(ROW()-1,装备库!$AO$2:$AO$1046,0),COLUMN()),"")</f>
        <v>3778</v>
      </c>
      <c r="O608">
        <f>IFERROR(INDEX(装备库!$A$2:$Y$1047,MATCH(ROW()-1,装备库!$AO$2:$AO$1046,0),COLUMN()),"")</f>
        <v>1</v>
      </c>
      <c r="P608">
        <f>IFERROR(INDEX(装备库!$A$2:$Y$1047,MATCH(ROW()-1,装备库!$AO$2:$AO$1046,0),COLUMN()),"")</f>
        <v>1</v>
      </c>
      <c r="Q608">
        <f>IFERROR(INDEX(装备库!$A$2:$Y$1047,MATCH(ROW()-1,装备库!$AO$2:$AO$1046,0),COLUMN()),"")</f>
        <v>0</v>
      </c>
      <c r="R608">
        <f>IFERROR(INDEX(装备库!$A$2:$Y$1047,MATCH(ROW()-1,装备库!$AO$2:$AO$1046,0),COLUMN()),"")</f>
        <v>0</v>
      </c>
      <c r="S608">
        <f>IFERROR(INDEX(装备库!$A$2:$Y$1047,MATCH(ROW()-1,装备库!$AO$2:$AO$1046,0),COLUMN()),"")</f>
        <v>1</v>
      </c>
      <c r="T608">
        <f>IFERROR(INDEX(装备库!$A$2:$Y$1047,MATCH(ROW()-1,装备库!$AO$2:$AO$1046,0),COLUMN()),"")</f>
        <v>0</v>
      </c>
      <c r="U608">
        <f>IFERROR(INDEX(装备库!$A$2:$Y$1047,MATCH(ROW()-1,装备库!$AO$2:$AO$1046,0),COLUMN()),"")</f>
        <v>0</v>
      </c>
      <c r="V608">
        <f>IFERROR(INDEX(装备库!$A$2:$Y$1047,MATCH(ROW()-1,装备库!$AO$2:$AO$1046,0),COLUMN()),"")</f>
        <v>0</v>
      </c>
      <c r="W608" t="str">
        <f>IFERROR(INDEX(装备库!$A$2:$Y$1047,MATCH(ROW()-1,装备库!$AO$2:$AO$1046,0),COLUMN()),"")</f>
        <v>力道纯破</v>
      </c>
      <c r="X608">
        <f>IFERROR(INDEX(装备库!$A$2:$Y$1047,MATCH(ROW()-1,装备库!$AO$2:$AO$1046,0),COLUMN()),"")</f>
        <v>6</v>
      </c>
      <c r="Y608" t="str">
        <f>IFERROR(INDEX(装备库!$A$2:$Y$1047,MATCH(ROW()-1,装备库!$AO$2:$AO$1046,0),COLUMN()),"")</f>
        <v>精英怪</v>
      </c>
    </row>
    <row r="609" spans="1:25" x14ac:dyDescent="0.35">
      <c r="A609" t="str">
        <f>IFERROR(INDEX(装备库!$A$2:$Y$1047,MATCH(ROW()-1,装备库!$AO$2:$AO$1046,0),COLUMN()),"")</f>
        <v>长兵</v>
      </c>
      <c r="B609" t="str">
        <f>IFERROR(INDEX(装备库!$A$2:$Y$1047,MATCH(ROW()-1,装备库!$AO$2:$AO$1046,0),COLUMN()),"")</f>
        <v>洛山枪</v>
      </c>
      <c r="C609">
        <f>IFERROR(INDEX(装备库!$A$2:$Y$1047,MATCH(ROW()-1,装备库!$AO$2:$AO$1046,0),COLUMN()),"")</f>
        <v>8800</v>
      </c>
      <c r="D609" t="str">
        <f>IFERROR(INDEX(装备库!$A$2:$Y$1047,MATCH(ROW()-1,装备库!$AO$2:$AO$1046,0),COLUMN()),"")</f>
        <v>洛山枪(8800招破)</v>
      </c>
      <c r="E609">
        <f>IFERROR(INDEX(装备库!$A$2:$Y$1047,MATCH(ROW()-1,装备库!$AO$2:$AO$1046,0),COLUMN()),"")</f>
        <v>737</v>
      </c>
      <c r="F609">
        <f>IFERROR(INDEX(装备库!$A$2:$Y$1047,MATCH(ROW()-1,装备库!$AO$2:$AO$1046,0),COLUMN()),"")</f>
        <v>2855</v>
      </c>
      <c r="G609">
        <f>IFERROR(INDEX(装备库!$A$2:$Y$1047,MATCH(ROW()-1,装备库!$AO$2:$AO$1046,0),COLUMN()),"")</f>
        <v>0</v>
      </c>
      <c r="H609">
        <f>IFERROR(INDEX(装备库!$A$2:$Y$1047,MATCH(ROW()-1,装备库!$AO$2:$AO$1046,0),COLUMN()),"")</f>
        <v>0</v>
      </c>
      <c r="I609">
        <f>IFERROR(INDEX(装备库!$A$2:$Y$1047,MATCH(ROW()-1,装备库!$AO$2:$AO$1046,0),COLUMN()),"")</f>
        <v>3700</v>
      </c>
      <c r="J609">
        <f>IFERROR(INDEX(装备库!$A$2:$Y$1047,MATCH(ROW()-1,装备库!$AO$2:$AO$1046,0),COLUMN()),"")</f>
        <v>3946</v>
      </c>
      <c r="K609">
        <f>IFERROR(INDEX(装备库!$A$2:$Y$1047,MATCH(ROW()-1,装备库!$AO$2:$AO$1046,0),COLUMN()),"")</f>
        <v>0</v>
      </c>
      <c r="L609">
        <f>IFERROR(INDEX(装备库!$A$2:$Y$1047,MATCH(ROW()-1,装备库!$AO$2:$AO$1046,0),COLUMN()),"")</f>
        <v>0</v>
      </c>
      <c r="M609">
        <f>IFERROR(INDEX(装备库!$A$2:$Y$1047,MATCH(ROW()-1,装备库!$AO$2:$AO$1046,0),COLUMN()),"")</f>
        <v>2319</v>
      </c>
      <c r="N609">
        <f>IFERROR(INDEX(装备库!$A$2:$Y$1047,MATCH(ROW()-1,装备库!$AO$2:$AO$1046,0),COLUMN()),"")</f>
        <v>3865</v>
      </c>
      <c r="O609">
        <f>IFERROR(INDEX(装备库!$A$2:$Y$1047,MATCH(ROW()-1,装备库!$AO$2:$AO$1046,0),COLUMN()),"")</f>
        <v>1</v>
      </c>
      <c r="P609">
        <f>IFERROR(INDEX(装备库!$A$2:$Y$1047,MATCH(ROW()-1,装备库!$AO$2:$AO$1046,0),COLUMN()),"")</f>
        <v>1</v>
      </c>
      <c r="Q609">
        <f>IFERROR(INDEX(装备库!$A$2:$Y$1047,MATCH(ROW()-1,装备库!$AO$2:$AO$1046,0),COLUMN()),"")</f>
        <v>0</v>
      </c>
      <c r="R609">
        <f>IFERROR(INDEX(装备库!$A$2:$Y$1047,MATCH(ROW()-1,装备库!$AO$2:$AO$1046,0),COLUMN()),"")</f>
        <v>0</v>
      </c>
      <c r="S609">
        <f>IFERROR(INDEX(装备库!$A$2:$Y$1047,MATCH(ROW()-1,装备库!$AO$2:$AO$1046,0),COLUMN()),"")</f>
        <v>1</v>
      </c>
      <c r="T609">
        <f>IFERROR(INDEX(装备库!$A$2:$Y$1047,MATCH(ROW()-1,装备库!$AO$2:$AO$1046,0),COLUMN()),"")</f>
        <v>0</v>
      </c>
      <c r="U609">
        <f>IFERROR(INDEX(装备库!$A$2:$Y$1047,MATCH(ROW()-1,装备库!$AO$2:$AO$1046,0),COLUMN()),"")</f>
        <v>0</v>
      </c>
      <c r="V609">
        <f>IFERROR(INDEX(装备库!$A$2:$Y$1047,MATCH(ROW()-1,装备库!$AO$2:$AO$1046,0),COLUMN()),"")</f>
        <v>0</v>
      </c>
      <c r="W609" t="str">
        <f>IFERROR(INDEX(装备库!$A$2:$Y$1047,MATCH(ROW()-1,装备库!$AO$2:$AO$1046,0),COLUMN()),"")</f>
        <v>招破</v>
      </c>
      <c r="X609">
        <f>IFERROR(INDEX(装备库!$A$2:$Y$1047,MATCH(ROW()-1,装备库!$AO$2:$AO$1046,0),COLUMN()),"")</f>
        <v>6</v>
      </c>
      <c r="Y609" t="str">
        <f>IFERROR(INDEX(装备库!$A$2:$Y$1047,MATCH(ROW()-1,装备库!$AO$2:$AO$1046,0),COLUMN()),"")</f>
        <v>任务</v>
      </c>
    </row>
    <row r="610" spans="1:25" x14ac:dyDescent="0.35">
      <c r="A610" t="str">
        <f>IFERROR(INDEX(装备库!$A$2:$Y$1047,MATCH(ROW()-1,装备库!$AO$2:$AO$1046,0),COLUMN()),"")</f>
        <v>长兵</v>
      </c>
      <c r="B610" t="str">
        <f>IFERROR(INDEX(装备库!$A$2:$Y$1047,MATCH(ROW()-1,装备库!$AO$2:$AO$1046,0),COLUMN()),"")</f>
        <v>旷野孤疆</v>
      </c>
      <c r="C610">
        <f>IFERROR(INDEX(装备库!$A$2:$Y$1047,MATCH(ROW()-1,装备库!$AO$2:$AO$1046,0),COLUMN()),"")</f>
        <v>8850</v>
      </c>
      <c r="D610" t="str">
        <f>IFERROR(INDEX(装备库!$A$2:$Y$1047,MATCH(ROW()-1,装备库!$AO$2:$AO$1046,0),COLUMN()),"")</f>
        <v>旷野孤疆(8850大橙武)</v>
      </c>
      <c r="E610">
        <f>IFERROR(INDEX(装备库!$A$2:$Y$1047,MATCH(ROW()-1,装备库!$AO$2:$AO$1046,0),COLUMN()),"")</f>
        <v>1030</v>
      </c>
      <c r="F610">
        <f>IFERROR(INDEX(装备库!$A$2:$Y$1047,MATCH(ROW()-1,装备库!$AO$2:$AO$1046,0),COLUMN()),"")</f>
        <v>3860</v>
      </c>
      <c r="G610">
        <f>IFERROR(INDEX(装备库!$A$2:$Y$1047,MATCH(ROW()-1,装备库!$AO$2:$AO$1046,0),COLUMN()),"")</f>
        <v>4163</v>
      </c>
      <c r="H610">
        <f>IFERROR(INDEX(装备库!$A$2:$Y$1047,MATCH(ROW()-1,装备库!$AO$2:$AO$1046,0),COLUMN()),"")</f>
        <v>0</v>
      </c>
      <c r="I610">
        <f>IFERROR(INDEX(装备库!$A$2:$Y$1047,MATCH(ROW()-1,装备库!$AO$2:$AO$1046,0),COLUMN()),"")</f>
        <v>4450</v>
      </c>
      <c r="J610">
        <f>IFERROR(INDEX(装备库!$A$2:$Y$1047,MATCH(ROW()-1,装备库!$AO$2:$AO$1046,0),COLUMN()),"")</f>
        <v>0</v>
      </c>
      <c r="K610">
        <f>IFERROR(INDEX(装备库!$A$2:$Y$1047,MATCH(ROW()-1,装备库!$AO$2:$AO$1046,0),COLUMN()),"")</f>
        <v>0</v>
      </c>
      <c r="L610">
        <f>IFERROR(INDEX(装备库!$A$2:$Y$1047,MATCH(ROW()-1,装备库!$AO$2:$AO$1046,0),COLUMN()),"")</f>
        <v>1436</v>
      </c>
      <c r="M610">
        <f>IFERROR(INDEX(装备库!$A$2:$Y$1047,MATCH(ROW()-1,装备库!$AO$2:$AO$1046,0),COLUMN()),"")</f>
        <v>3240</v>
      </c>
      <c r="N610">
        <f>IFERROR(INDEX(装备库!$A$2:$Y$1047,MATCH(ROW()-1,装备库!$AO$2:$AO$1046,0),COLUMN()),"")</f>
        <v>5400</v>
      </c>
      <c r="O610">
        <f>IFERROR(INDEX(装备库!$A$2:$Y$1047,MATCH(ROW()-1,装备库!$AO$2:$AO$1046,0),COLUMN()),"")</f>
        <v>1</v>
      </c>
      <c r="P610">
        <f>IFERROR(INDEX(装备库!$A$2:$Y$1047,MATCH(ROW()-1,装备库!$AO$2:$AO$1046,0),COLUMN()),"")</f>
        <v>1</v>
      </c>
      <c r="Q610">
        <f>IFERROR(INDEX(装备库!$A$2:$Y$1047,MATCH(ROW()-1,装备库!$AO$2:$AO$1046,0),COLUMN()),"")</f>
        <v>0</v>
      </c>
      <c r="R610">
        <f>IFERROR(INDEX(装备库!$A$2:$Y$1047,MATCH(ROW()-1,装备库!$AO$2:$AO$1046,0),COLUMN()),"")</f>
        <v>0</v>
      </c>
      <c r="S610">
        <f>IFERROR(INDEX(装备库!$A$2:$Y$1047,MATCH(ROW()-1,装备库!$AO$2:$AO$1046,0),COLUMN()),"")</f>
        <v>1</v>
      </c>
      <c r="T610">
        <f>IFERROR(INDEX(装备库!$A$2:$Y$1047,MATCH(ROW()-1,装备库!$AO$2:$AO$1046,0),COLUMN()),"")</f>
        <v>0</v>
      </c>
      <c r="U610">
        <f>IFERROR(INDEX(装备库!$A$2:$Y$1047,MATCH(ROW()-1,装备库!$AO$2:$AO$1046,0),COLUMN()),"")</f>
        <v>0</v>
      </c>
      <c r="V610">
        <f>IFERROR(INDEX(装备库!$A$2:$Y$1047,MATCH(ROW()-1,装备库!$AO$2:$AO$1046,0),COLUMN()),"")</f>
        <v>0</v>
      </c>
      <c r="W610" t="str">
        <f>IFERROR(INDEX(装备库!$A$2:$Y$1047,MATCH(ROW()-1,装备库!$AO$2:$AO$1046,0),COLUMN()),"")</f>
        <v>大橙武</v>
      </c>
      <c r="X610">
        <f>IFERROR(INDEX(装备库!$A$2:$Y$1047,MATCH(ROW()-1,装备库!$AO$2:$AO$1046,0),COLUMN()),"")</f>
        <v>8</v>
      </c>
      <c r="Y610" t="str">
        <f>IFERROR(INDEX(装备库!$A$2:$Y$1047,MATCH(ROW()-1,装备库!$AO$2:$AO$1046,0),COLUMN()),"")</f>
        <v>任务</v>
      </c>
    </row>
    <row r="611" spans="1:25" x14ac:dyDescent="0.35">
      <c r="A611" t="str">
        <f>IFERROR(INDEX(装备库!$A$2:$Y$1047,MATCH(ROW()-1,装备库!$AO$2:$AO$1046,0),COLUMN()),"")</f>
        <v>长兵</v>
      </c>
      <c r="B611" t="str">
        <f>IFERROR(INDEX(装备库!$A$2:$Y$1047,MATCH(ROW()-1,装备库!$AO$2:$AO$1046,0),COLUMN()),"")</f>
        <v>犹共水</v>
      </c>
      <c r="C611">
        <f>IFERROR(INDEX(装备库!$A$2:$Y$1047,MATCH(ROW()-1,装备库!$AO$2:$AO$1046,0),COLUMN()),"")</f>
        <v>9100</v>
      </c>
      <c r="D611" t="str">
        <f>IFERROR(INDEX(装备库!$A$2:$Y$1047,MATCH(ROW()-1,装备库!$AO$2:$AO$1046,0),COLUMN()),"")</f>
        <v>犹共水(9100破无)</v>
      </c>
      <c r="E611">
        <f>IFERROR(INDEX(装备库!$A$2:$Y$1047,MATCH(ROW()-1,装备库!$AO$2:$AO$1046,0),COLUMN()),"")</f>
        <v>763</v>
      </c>
      <c r="F611">
        <f>IFERROR(INDEX(装备库!$A$2:$Y$1047,MATCH(ROW()-1,装备库!$AO$2:$AO$1046,0),COLUMN()),"")</f>
        <v>2953</v>
      </c>
      <c r="G611">
        <f>IFERROR(INDEX(装备库!$A$2:$Y$1047,MATCH(ROW()-1,装备库!$AO$2:$AO$1046,0),COLUMN()),"")</f>
        <v>0</v>
      </c>
      <c r="H611">
        <f>IFERROR(INDEX(装备库!$A$2:$Y$1047,MATCH(ROW()-1,装备库!$AO$2:$AO$1046,0),COLUMN()),"")</f>
        <v>0</v>
      </c>
      <c r="I611">
        <f>IFERROR(INDEX(装备库!$A$2:$Y$1047,MATCH(ROW()-1,装备库!$AO$2:$AO$1046,0),COLUMN()),"")</f>
        <v>3826</v>
      </c>
      <c r="J611">
        <f>IFERROR(INDEX(装备库!$A$2:$Y$1047,MATCH(ROW()-1,装备库!$AO$2:$AO$1046,0),COLUMN()),"")</f>
        <v>0</v>
      </c>
      <c r="K611">
        <f>IFERROR(INDEX(装备库!$A$2:$Y$1047,MATCH(ROW()-1,装备库!$AO$2:$AO$1046,0),COLUMN()),"")</f>
        <v>4081</v>
      </c>
      <c r="L611">
        <f>IFERROR(INDEX(装备库!$A$2:$Y$1047,MATCH(ROW()-1,装备库!$AO$2:$AO$1046,0),COLUMN()),"")</f>
        <v>0</v>
      </c>
      <c r="M611">
        <f>IFERROR(INDEX(装备库!$A$2:$Y$1047,MATCH(ROW()-1,装备库!$AO$2:$AO$1046,0),COLUMN()),"")</f>
        <v>2399</v>
      </c>
      <c r="N611">
        <f>IFERROR(INDEX(装备库!$A$2:$Y$1047,MATCH(ROW()-1,装备库!$AO$2:$AO$1046,0),COLUMN()),"")</f>
        <v>3998</v>
      </c>
      <c r="O611">
        <f>IFERROR(INDEX(装备库!$A$2:$Y$1047,MATCH(ROW()-1,装备库!$AO$2:$AO$1046,0),COLUMN()),"")</f>
        <v>1</v>
      </c>
      <c r="P611">
        <f>IFERROR(INDEX(装备库!$A$2:$Y$1047,MATCH(ROW()-1,装备库!$AO$2:$AO$1046,0),COLUMN()),"")</f>
        <v>1</v>
      </c>
      <c r="Q611">
        <f>IFERROR(INDEX(装备库!$A$2:$Y$1047,MATCH(ROW()-1,装备库!$AO$2:$AO$1046,0),COLUMN()),"")</f>
        <v>0</v>
      </c>
      <c r="R611">
        <f>IFERROR(INDEX(装备库!$A$2:$Y$1047,MATCH(ROW()-1,装备库!$AO$2:$AO$1046,0),COLUMN()),"")</f>
        <v>0</v>
      </c>
      <c r="S611">
        <f>IFERROR(INDEX(装备库!$A$2:$Y$1047,MATCH(ROW()-1,装备库!$AO$2:$AO$1046,0),COLUMN()),"")</f>
        <v>1</v>
      </c>
      <c r="T611">
        <f>IFERROR(INDEX(装备库!$A$2:$Y$1047,MATCH(ROW()-1,装备库!$AO$2:$AO$1046,0),COLUMN()),"")</f>
        <v>0</v>
      </c>
      <c r="U611">
        <f>IFERROR(INDEX(装备库!$A$2:$Y$1047,MATCH(ROW()-1,装备库!$AO$2:$AO$1046,0),COLUMN()),"")</f>
        <v>0</v>
      </c>
      <c r="V611">
        <f>IFERROR(INDEX(装备库!$A$2:$Y$1047,MATCH(ROW()-1,装备库!$AO$2:$AO$1046,0),COLUMN()),"")</f>
        <v>0</v>
      </c>
      <c r="W611" t="str">
        <f>IFERROR(INDEX(装备库!$A$2:$Y$1047,MATCH(ROW()-1,装备库!$AO$2:$AO$1046,0),COLUMN()),"")</f>
        <v>破无</v>
      </c>
      <c r="X611">
        <f>IFERROR(INDEX(装备库!$A$2:$Y$1047,MATCH(ROW()-1,装备库!$AO$2:$AO$1046,0),COLUMN()),"")</f>
        <v>6</v>
      </c>
      <c r="Y611" t="str">
        <f>IFERROR(INDEX(装备库!$A$2:$Y$1047,MATCH(ROW()-1,装备库!$AO$2:$AO$1046,0),COLUMN()),"")</f>
        <v>副本</v>
      </c>
    </row>
    <row r="612" spans="1:25" x14ac:dyDescent="0.35">
      <c r="A612" t="str">
        <f>IFERROR(INDEX(装备库!$A$2:$Y$1047,MATCH(ROW()-1,装备库!$AO$2:$AO$1046,0),COLUMN()),"")</f>
        <v>长兵</v>
      </c>
      <c r="B612" t="str">
        <f>IFERROR(INDEX(装备库!$A$2:$Y$1047,MATCH(ROW()-1,装备库!$AO$2:$AO$1046,0),COLUMN()),"")</f>
        <v>旷野孤疆</v>
      </c>
      <c r="C612">
        <f>IFERROR(INDEX(装备库!$A$2:$Y$1047,MATCH(ROW()-1,装备库!$AO$2:$AO$1046,0),COLUMN()),"")</f>
        <v>9300</v>
      </c>
      <c r="D612" t="str">
        <f>IFERROR(INDEX(装备库!$A$2:$Y$1047,MATCH(ROW()-1,装备库!$AO$2:$AO$1046,0),COLUMN()),"")</f>
        <v>旷野孤疆(9300大橙武)</v>
      </c>
      <c r="E612">
        <f>IFERROR(INDEX(装备库!$A$2:$Y$1047,MATCH(ROW()-1,装备库!$AO$2:$AO$1046,0),COLUMN()),"")</f>
        <v>1082</v>
      </c>
      <c r="F612">
        <f>IFERROR(INDEX(装备库!$A$2:$Y$1047,MATCH(ROW()-1,装备库!$AO$2:$AO$1046,0),COLUMN()),"")</f>
        <v>4056</v>
      </c>
      <c r="G612">
        <f>IFERROR(INDEX(装备库!$A$2:$Y$1047,MATCH(ROW()-1,装备库!$AO$2:$AO$1046,0),COLUMN()),"")</f>
        <v>4375</v>
      </c>
      <c r="H612">
        <f>IFERROR(INDEX(装备库!$A$2:$Y$1047,MATCH(ROW()-1,装备库!$AO$2:$AO$1046,0),COLUMN()),"")</f>
        <v>0</v>
      </c>
      <c r="I612">
        <f>IFERROR(INDEX(装备库!$A$2:$Y$1047,MATCH(ROW()-1,装备库!$AO$2:$AO$1046,0),COLUMN()),"")</f>
        <v>4676</v>
      </c>
      <c r="J612">
        <f>IFERROR(INDEX(装备库!$A$2:$Y$1047,MATCH(ROW()-1,装备库!$AO$2:$AO$1046,0),COLUMN()),"")</f>
        <v>0</v>
      </c>
      <c r="K612">
        <f>IFERROR(INDEX(装备库!$A$2:$Y$1047,MATCH(ROW()-1,装备库!$AO$2:$AO$1046,0),COLUMN()),"")</f>
        <v>0</v>
      </c>
      <c r="L612">
        <f>IFERROR(INDEX(装备库!$A$2:$Y$1047,MATCH(ROW()-1,装备库!$AO$2:$AO$1046,0),COLUMN()),"")</f>
        <v>1509</v>
      </c>
      <c r="M612">
        <f>IFERROR(INDEX(装备库!$A$2:$Y$1047,MATCH(ROW()-1,装备库!$AO$2:$AO$1046,0),COLUMN()),"")</f>
        <v>3405</v>
      </c>
      <c r="N612">
        <f>IFERROR(INDEX(装备库!$A$2:$Y$1047,MATCH(ROW()-1,装备库!$AO$2:$AO$1046,0),COLUMN()),"")</f>
        <v>5675</v>
      </c>
      <c r="O612">
        <f>IFERROR(INDEX(装备库!$A$2:$Y$1047,MATCH(ROW()-1,装备库!$AO$2:$AO$1046,0),COLUMN()),"")</f>
        <v>1</v>
      </c>
      <c r="P612">
        <f>IFERROR(INDEX(装备库!$A$2:$Y$1047,MATCH(ROW()-1,装备库!$AO$2:$AO$1046,0),COLUMN()),"")</f>
        <v>1</v>
      </c>
      <c r="Q612">
        <f>IFERROR(INDEX(装备库!$A$2:$Y$1047,MATCH(ROW()-1,装备库!$AO$2:$AO$1046,0),COLUMN()),"")</f>
        <v>0</v>
      </c>
      <c r="R612">
        <f>IFERROR(INDEX(装备库!$A$2:$Y$1047,MATCH(ROW()-1,装备库!$AO$2:$AO$1046,0),COLUMN()),"")</f>
        <v>0</v>
      </c>
      <c r="S612">
        <f>IFERROR(INDEX(装备库!$A$2:$Y$1047,MATCH(ROW()-1,装备库!$AO$2:$AO$1046,0),COLUMN()),"")</f>
        <v>1</v>
      </c>
      <c r="T612">
        <f>IFERROR(INDEX(装备库!$A$2:$Y$1047,MATCH(ROW()-1,装备库!$AO$2:$AO$1046,0),COLUMN()),"")</f>
        <v>0</v>
      </c>
      <c r="U612">
        <f>IFERROR(INDEX(装备库!$A$2:$Y$1047,MATCH(ROW()-1,装备库!$AO$2:$AO$1046,0),COLUMN()),"")</f>
        <v>0</v>
      </c>
      <c r="V612">
        <f>IFERROR(INDEX(装备库!$A$2:$Y$1047,MATCH(ROW()-1,装备库!$AO$2:$AO$1046,0),COLUMN()),"")</f>
        <v>0</v>
      </c>
      <c r="W612" t="str">
        <f>IFERROR(INDEX(装备库!$A$2:$Y$1047,MATCH(ROW()-1,装备库!$AO$2:$AO$1046,0),COLUMN()),"")</f>
        <v>大橙武</v>
      </c>
      <c r="X612">
        <f>IFERROR(INDEX(装备库!$A$2:$Y$1047,MATCH(ROW()-1,装备库!$AO$2:$AO$1046,0),COLUMN()),"")</f>
        <v>8</v>
      </c>
      <c r="Y612" t="str">
        <f>IFERROR(INDEX(装备库!$A$2:$Y$1047,MATCH(ROW()-1,装备库!$AO$2:$AO$1046,0),COLUMN()),"")</f>
        <v>任务</v>
      </c>
    </row>
    <row r="613" spans="1:25" x14ac:dyDescent="0.35">
      <c r="A613" t="str">
        <f>IFERROR(INDEX(装备库!$A$2:$Y$1047,MATCH(ROW()-1,装备库!$AO$2:$AO$1046,0),COLUMN()),"")</f>
        <v>长兵</v>
      </c>
      <c r="B613" t="str">
        <f>IFERROR(INDEX(装备库!$A$2:$Y$1047,MATCH(ROW()-1,装备库!$AO$2:$AO$1046,0),COLUMN()),"")</f>
        <v>一斩锋芒·崇光</v>
      </c>
      <c r="C613">
        <f>IFERROR(INDEX(装备库!$A$2:$Y$1047,MATCH(ROW()-1,装备库!$AO$2:$AO$1046,0),COLUMN()),"")</f>
        <v>9300</v>
      </c>
      <c r="D613" t="str">
        <f>IFERROR(INDEX(装备库!$A$2:$Y$1047,MATCH(ROW()-1,装备库!$AO$2:$AO$1046,0),COLUMN()),"")</f>
        <v>一斩锋芒·崇光(9300招破)</v>
      </c>
      <c r="E613">
        <f>IFERROR(INDEX(装备库!$A$2:$Y$1047,MATCH(ROW()-1,装备库!$AO$2:$AO$1046,0),COLUMN()),"")</f>
        <v>779</v>
      </c>
      <c r="F613">
        <f>IFERROR(INDEX(装备库!$A$2:$Y$1047,MATCH(ROW()-1,装备库!$AO$2:$AO$1046,0),COLUMN()),"")</f>
        <v>3018</v>
      </c>
      <c r="G613">
        <f>IFERROR(INDEX(装备库!$A$2:$Y$1047,MATCH(ROW()-1,装备库!$AO$2:$AO$1046,0),COLUMN()),"")</f>
        <v>0</v>
      </c>
      <c r="H613">
        <f>IFERROR(INDEX(装备库!$A$2:$Y$1047,MATCH(ROW()-1,装备库!$AO$2:$AO$1046,0),COLUMN()),"")</f>
        <v>0</v>
      </c>
      <c r="I613">
        <f>IFERROR(INDEX(装备库!$A$2:$Y$1047,MATCH(ROW()-1,装备库!$AO$2:$AO$1046,0),COLUMN()),"")</f>
        <v>3910</v>
      </c>
      <c r="J613">
        <f>IFERROR(INDEX(装备库!$A$2:$Y$1047,MATCH(ROW()-1,装备库!$AO$2:$AO$1046,0),COLUMN()),"")</f>
        <v>4171</v>
      </c>
      <c r="K613">
        <f>IFERROR(INDEX(装备库!$A$2:$Y$1047,MATCH(ROW()-1,装备库!$AO$2:$AO$1046,0),COLUMN()),"")</f>
        <v>0</v>
      </c>
      <c r="L613">
        <f>IFERROR(INDEX(装备库!$A$2:$Y$1047,MATCH(ROW()-1,装备库!$AO$2:$AO$1046,0),COLUMN()),"")</f>
        <v>0</v>
      </c>
      <c r="M613">
        <f>IFERROR(INDEX(装备库!$A$2:$Y$1047,MATCH(ROW()-1,装备库!$AO$2:$AO$1046,0),COLUMN()),"")</f>
        <v>2451</v>
      </c>
      <c r="N613">
        <f>IFERROR(INDEX(装备库!$A$2:$Y$1047,MATCH(ROW()-1,装备库!$AO$2:$AO$1046,0),COLUMN()),"")</f>
        <v>4085</v>
      </c>
      <c r="O613">
        <f>IFERROR(INDEX(装备库!$A$2:$Y$1047,MATCH(ROW()-1,装备库!$AO$2:$AO$1046,0),COLUMN()),"")</f>
        <v>1</v>
      </c>
      <c r="P613">
        <f>IFERROR(INDEX(装备库!$A$2:$Y$1047,MATCH(ROW()-1,装备库!$AO$2:$AO$1046,0),COLUMN()),"")</f>
        <v>1</v>
      </c>
      <c r="Q613">
        <f>IFERROR(INDEX(装备库!$A$2:$Y$1047,MATCH(ROW()-1,装备库!$AO$2:$AO$1046,0),COLUMN()),"")</f>
        <v>0</v>
      </c>
      <c r="R613">
        <f>IFERROR(INDEX(装备库!$A$2:$Y$1047,MATCH(ROW()-1,装备库!$AO$2:$AO$1046,0),COLUMN()),"")</f>
        <v>0</v>
      </c>
      <c r="S613">
        <f>IFERROR(INDEX(装备库!$A$2:$Y$1047,MATCH(ROW()-1,装备库!$AO$2:$AO$1046,0),COLUMN()),"")</f>
        <v>1</v>
      </c>
      <c r="T613">
        <f>IFERROR(INDEX(装备库!$A$2:$Y$1047,MATCH(ROW()-1,装备库!$AO$2:$AO$1046,0),COLUMN()),"")</f>
        <v>0</v>
      </c>
      <c r="U613">
        <f>IFERROR(INDEX(装备库!$A$2:$Y$1047,MATCH(ROW()-1,装备库!$AO$2:$AO$1046,0),COLUMN()),"")</f>
        <v>0</v>
      </c>
      <c r="V613">
        <f>IFERROR(INDEX(装备库!$A$2:$Y$1047,MATCH(ROW()-1,装备库!$AO$2:$AO$1046,0),COLUMN()),"")</f>
        <v>0</v>
      </c>
      <c r="W613" t="str">
        <f>IFERROR(INDEX(装备库!$A$2:$Y$1047,MATCH(ROW()-1,装备库!$AO$2:$AO$1046,0),COLUMN()),"")</f>
        <v>招破</v>
      </c>
      <c r="X613">
        <f>IFERROR(INDEX(装备库!$A$2:$Y$1047,MATCH(ROW()-1,装备库!$AO$2:$AO$1046,0),COLUMN()),"")</f>
        <v>6</v>
      </c>
      <c r="Y613" t="str">
        <f>IFERROR(INDEX(装备库!$A$2:$Y$1047,MATCH(ROW()-1,装备库!$AO$2:$AO$1046,0),COLUMN()),"")</f>
        <v>副本</v>
      </c>
    </row>
    <row r="614" spans="1:25" x14ac:dyDescent="0.35">
      <c r="A614" t="str">
        <f>IFERROR(INDEX(装备库!$A$2:$Y$1047,MATCH(ROW()-1,装备库!$AO$2:$AO$1046,0),COLUMN()),"")</f>
        <v>长兵</v>
      </c>
      <c r="B614" t="str">
        <f>IFERROR(INDEX(装备库!$A$2:$Y$1047,MATCH(ROW()-1,装备库!$AO$2:$AO$1046,0),COLUMN()),"")</f>
        <v>红缨枪·外·断浪</v>
      </c>
      <c r="C614">
        <f>IFERROR(INDEX(装备库!$A$2:$Y$1047,MATCH(ROW()-1,装备库!$AO$2:$AO$1046,0),COLUMN()),"")</f>
        <v>9500</v>
      </c>
      <c r="D614" t="str">
        <f>IFERROR(INDEX(装备库!$A$2:$Y$1047,MATCH(ROW()-1,装备库!$AO$2:$AO$1046,0),COLUMN()),"")</f>
        <v>红缨枪·外·断浪(9500破无)</v>
      </c>
      <c r="E614">
        <f>IFERROR(INDEX(装备库!$A$2:$Y$1047,MATCH(ROW()-1,装备库!$AO$2:$AO$1046,0),COLUMN()),"")</f>
        <v>796</v>
      </c>
      <c r="F614">
        <f>IFERROR(INDEX(装备库!$A$2:$Y$1047,MATCH(ROW()-1,装备库!$AO$2:$AO$1046,0),COLUMN()),"")</f>
        <v>3083</v>
      </c>
      <c r="G614">
        <f>IFERROR(INDEX(装备库!$A$2:$Y$1047,MATCH(ROW()-1,装备库!$AO$2:$AO$1046,0),COLUMN()),"")</f>
        <v>0</v>
      </c>
      <c r="H614">
        <f>IFERROR(INDEX(装备库!$A$2:$Y$1047,MATCH(ROW()-1,装备库!$AO$2:$AO$1046,0),COLUMN()),"")</f>
        <v>0</v>
      </c>
      <c r="I614">
        <f>IFERROR(INDEX(装备库!$A$2:$Y$1047,MATCH(ROW()-1,装备库!$AO$2:$AO$1046,0),COLUMN()),"")</f>
        <v>3994</v>
      </c>
      <c r="J614">
        <f>IFERROR(INDEX(装备库!$A$2:$Y$1047,MATCH(ROW()-1,装备库!$AO$2:$AO$1046,0),COLUMN()),"")</f>
        <v>0</v>
      </c>
      <c r="K614">
        <f>IFERROR(INDEX(装备库!$A$2:$Y$1047,MATCH(ROW()-1,装备库!$AO$2:$AO$1046,0),COLUMN()),"")</f>
        <v>4260</v>
      </c>
      <c r="L614">
        <f>IFERROR(INDEX(装备库!$A$2:$Y$1047,MATCH(ROW()-1,装备库!$AO$2:$AO$1046,0),COLUMN()),"")</f>
        <v>0</v>
      </c>
      <c r="M614">
        <f>IFERROR(INDEX(装备库!$A$2:$Y$1047,MATCH(ROW()-1,装备库!$AO$2:$AO$1046,0),COLUMN()),"")</f>
        <v>2504</v>
      </c>
      <c r="N614">
        <f>IFERROR(INDEX(装备库!$A$2:$Y$1047,MATCH(ROW()-1,装备库!$AO$2:$AO$1046,0),COLUMN()),"")</f>
        <v>4173</v>
      </c>
      <c r="O614">
        <f>IFERROR(INDEX(装备库!$A$2:$Y$1047,MATCH(ROW()-1,装备库!$AO$2:$AO$1046,0),COLUMN()),"")</f>
        <v>1</v>
      </c>
      <c r="P614">
        <f>IFERROR(INDEX(装备库!$A$2:$Y$1047,MATCH(ROW()-1,装备库!$AO$2:$AO$1046,0),COLUMN()),"")</f>
        <v>1</v>
      </c>
      <c r="Q614">
        <f>IFERROR(INDEX(装备库!$A$2:$Y$1047,MATCH(ROW()-1,装备库!$AO$2:$AO$1046,0),COLUMN()),"")</f>
        <v>0</v>
      </c>
      <c r="R614">
        <f>IFERROR(INDEX(装备库!$A$2:$Y$1047,MATCH(ROW()-1,装备库!$AO$2:$AO$1046,0),COLUMN()),"")</f>
        <v>0</v>
      </c>
      <c r="S614">
        <f>IFERROR(INDEX(装备库!$A$2:$Y$1047,MATCH(ROW()-1,装备库!$AO$2:$AO$1046,0),COLUMN()),"")</f>
        <v>1</v>
      </c>
      <c r="T614">
        <f>IFERROR(INDEX(装备库!$A$2:$Y$1047,MATCH(ROW()-1,装备库!$AO$2:$AO$1046,0),COLUMN()),"")</f>
        <v>0</v>
      </c>
      <c r="U614">
        <f>IFERROR(INDEX(装备库!$A$2:$Y$1047,MATCH(ROW()-1,装备库!$AO$2:$AO$1046,0),COLUMN()),"")</f>
        <v>0</v>
      </c>
      <c r="V614">
        <f>IFERROR(INDEX(装备库!$A$2:$Y$1047,MATCH(ROW()-1,装备库!$AO$2:$AO$1046,0),COLUMN()),"")</f>
        <v>0</v>
      </c>
      <c r="W614" t="str">
        <f>IFERROR(INDEX(装备库!$A$2:$Y$1047,MATCH(ROW()-1,装备库!$AO$2:$AO$1046,0),COLUMN()),"")</f>
        <v>破无</v>
      </c>
      <c r="X614">
        <f>IFERROR(INDEX(装备库!$A$2:$Y$1047,MATCH(ROW()-1,装备库!$AO$2:$AO$1046,0),COLUMN()),"")</f>
        <v>6</v>
      </c>
      <c r="Y614" t="str">
        <f>IFERROR(INDEX(装备库!$A$2:$Y$1047,MATCH(ROW()-1,装备库!$AO$2:$AO$1046,0),COLUMN()),"")</f>
        <v>任务</v>
      </c>
    </row>
    <row r="615" spans="1:25" x14ac:dyDescent="0.35">
      <c r="A615" t="str">
        <f>IFERROR(INDEX(装备库!$A$2:$Y$1047,MATCH(ROW()-1,装备库!$AO$2:$AO$1046,0),COLUMN()),"")</f>
        <v>长兵</v>
      </c>
      <c r="B615" t="str">
        <f>IFERROR(INDEX(装备库!$A$2:$Y$1047,MATCH(ROW()-1,装备库!$AO$2:$AO$1046,0),COLUMN()),"")</f>
        <v>寻踪觅宝·天镜枪</v>
      </c>
      <c r="C615">
        <f>IFERROR(INDEX(装备库!$A$2:$Y$1047,MATCH(ROW()-1,装备库!$AO$2:$AO$1046,0),COLUMN()),"")</f>
        <v>9600</v>
      </c>
      <c r="D615" t="str">
        <f>IFERROR(INDEX(装备库!$A$2:$Y$1047,MATCH(ROW()-1,装备库!$AO$2:$AO$1046,0),COLUMN()),"")</f>
        <v>寻踪觅宝·天镜枪(9600会招)</v>
      </c>
      <c r="E615">
        <f>IFERROR(INDEX(装备库!$A$2:$Y$1047,MATCH(ROW()-1,装备库!$AO$2:$AO$1046,0),COLUMN()),"")</f>
        <v>804</v>
      </c>
      <c r="F615">
        <f>IFERROR(INDEX(装备库!$A$2:$Y$1047,MATCH(ROW()-1,装备库!$AO$2:$AO$1046,0),COLUMN()),"")</f>
        <v>3115</v>
      </c>
      <c r="G615">
        <f>IFERROR(INDEX(装备库!$A$2:$Y$1047,MATCH(ROW()-1,装备库!$AO$2:$AO$1046,0),COLUMN()),"")</f>
        <v>4036</v>
      </c>
      <c r="H615">
        <f>IFERROR(INDEX(装备库!$A$2:$Y$1047,MATCH(ROW()-1,装备库!$AO$2:$AO$1046,0),COLUMN()),"")</f>
        <v>0</v>
      </c>
      <c r="I615">
        <f>IFERROR(INDEX(装备库!$A$2:$Y$1047,MATCH(ROW()-1,装备库!$AO$2:$AO$1046,0),COLUMN()),"")</f>
        <v>0</v>
      </c>
      <c r="J615">
        <f>IFERROR(INDEX(装备库!$A$2:$Y$1047,MATCH(ROW()-1,装备库!$AO$2:$AO$1046,0),COLUMN()),"")</f>
        <v>4305</v>
      </c>
      <c r="K615">
        <f>IFERROR(INDEX(装备库!$A$2:$Y$1047,MATCH(ROW()-1,装备库!$AO$2:$AO$1046,0),COLUMN()),"")</f>
        <v>0</v>
      </c>
      <c r="L615">
        <f>IFERROR(INDEX(装备库!$A$2:$Y$1047,MATCH(ROW()-1,装备库!$AO$2:$AO$1046,0),COLUMN()),"")</f>
        <v>0</v>
      </c>
      <c r="M615">
        <f>IFERROR(INDEX(装备库!$A$2:$Y$1047,MATCH(ROW()-1,装备库!$AO$2:$AO$1046,0),COLUMN()),"")</f>
        <v>2530</v>
      </c>
      <c r="N615">
        <f>IFERROR(INDEX(装备库!$A$2:$Y$1047,MATCH(ROW()-1,装备库!$AO$2:$AO$1046,0),COLUMN()),"")</f>
        <v>4217</v>
      </c>
      <c r="O615">
        <f>IFERROR(INDEX(装备库!$A$2:$Y$1047,MATCH(ROW()-1,装备库!$AO$2:$AO$1046,0),COLUMN()),"")</f>
        <v>1</v>
      </c>
      <c r="P615">
        <f>IFERROR(INDEX(装备库!$A$2:$Y$1047,MATCH(ROW()-1,装备库!$AO$2:$AO$1046,0),COLUMN()),"")</f>
        <v>1</v>
      </c>
      <c r="Q615">
        <f>IFERROR(INDEX(装备库!$A$2:$Y$1047,MATCH(ROW()-1,装备库!$AO$2:$AO$1046,0),COLUMN()),"")</f>
        <v>0</v>
      </c>
      <c r="R615">
        <f>IFERROR(INDEX(装备库!$A$2:$Y$1047,MATCH(ROW()-1,装备库!$AO$2:$AO$1046,0),COLUMN()),"")</f>
        <v>0</v>
      </c>
      <c r="S615">
        <f>IFERROR(INDEX(装备库!$A$2:$Y$1047,MATCH(ROW()-1,装备库!$AO$2:$AO$1046,0),COLUMN()),"")</f>
        <v>1</v>
      </c>
      <c r="T615">
        <f>IFERROR(INDEX(装备库!$A$2:$Y$1047,MATCH(ROW()-1,装备库!$AO$2:$AO$1046,0),COLUMN()),"")</f>
        <v>0</v>
      </c>
      <c r="U615">
        <f>IFERROR(INDEX(装备库!$A$2:$Y$1047,MATCH(ROW()-1,装备库!$AO$2:$AO$1046,0),COLUMN()),"")</f>
        <v>0</v>
      </c>
      <c r="V615">
        <f>IFERROR(INDEX(装备库!$A$2:$Y$1047,MATCH(ROW()-1,装备库!$AO$2:$AO$1046,0),COLUMN()),"")</f>
        <v>0</v>
      </c>
      <c r="W615" t="str">
        <f>IFERROR(INDEX(装备库!$A$2:$Y$1047,MATCH(ROW()-1,装备库!$AO$2:$AO$1046,0),COLUMN()),"")</f>
        <v>会招</v>
      </c>
      <c r="X615">
        <f>IFERROR(INDEX(装备库!$A$2:$Y$1047,MATCH(ROW()-1,装备库!$AO$2:$AO$1046,0),COLUMN()),"")</f>
        <v>6</v>
      </c>
      <c r="Y615" t="str">
        <f>IFERROR(INDEX(装备库!$A$2:$Y$1047,MATCH(ROW()-1,装备库!$AO$2:$AO$1046,0),COLUMN()),"")</f>
        <v>挖宝</v>
      </c>
    </row>
    <row r="616" spans="1:25" x14ac:dyDescent="0.35">
      <c r="A616" t="str">
        <f>IFERROR(INDEX(装备库!$A$2:$Y$1047,MATCH(ROW()-1,装备库!$AO$2:$AO$1046,0),COLUMN()),"")</f>
        <v>长兵</v>
      </c>
      <c r="B616" t="str">
        <f>IFERROR(INDEX(装备库!$A$2:$Y$1047,MATCH(ROW()-1,装备库!$AO$2:$AO$1046,0),COLUMN()),"")</f>
        <v>瀚女枪</v>
      </c>
      <c r="C616">
        <f>IFERROR(INDEX(装备库!$A$2:$Y$1047,MATCH(ROW()-1,装备库!$AO$2:$AO$1046,0),COLUMN()),"")</f>
        <v>9600</v>
      </c>
      <c r="D616" t="str">
        <f>IFERROR(INDEX(装备库!$A$2:$Y$1047,MATCH(ROW()-1,装备库!$AO$2:$AO$1046,0),COLUMN()),"")</f>
        <v>瀚女枪(9600会无)</v>
      </c>
      <c r="E616">
        <f>IFERROR(INDEX(装备库!$A$2:$Y$1047,MATCH(ROW()-1,装备库!$AO$2:$AO$1046,0),COLUMN()),"")</f>
        <v>804</v>
      </c>
      <c r="F616">
        <f>IFERROR(INDEX(装备库!$A$2:$Y$1047,MATCH(ROW()-1,装备库!$AO$2:$AO$1046,0),COLUMN()),"")</f>
        <v>3115</v>
      </c>
      <c r="G616">
        <f>IFERROR(INDEX(装备库!$A$2:$Y$1047,MATCH(ROW()-1,装备库!$AO$2:$AO$1046,0),COLUMN()),"")</f>
        <v>4036</v>
      </c>
      <c r="H616">
        <f>IFERROR(INDEX(装备库!$A$2:$Y$1047,MATCH(ROW()-1,装备库!$AO$2:$AO$1046,0),COLUMN()),"")</f>
        <v>0</v>
      </c>
      <c r="I616">
        <f>IFERROR(INDEX(装备库!$A$2:$Y$1047,MATCH(ROW()-1,装备库!$AO$2:$AO$1046,0),COLUMN()),"")</f>
        <v>0</v>
      </c>
      <c r="J616">
        <f>IFERROR(INDEX(装备库!$A$2:$Y$1047,MATCH(ROW()-1,装备库!$AO$2:$AO$1046,0),COLUMN()),"")</f>
        <v>0</v>
      </c>
      <c r="K616">
        <f>IFERROR(INDEX(装备库!$A$2:$Y$1047,MATCH(ROW()-1,装备库!$AO$2:$AO$1046,0),COLUMN()),"")</f>
        <v>4305</v>
      </c>
      <c r="L616">
        <f>IFERROR(INDEX(装备库!$A$2:$Y$1047,MATCH(ROW()-1,装备库!$AO$2:$AO$1046,0),COLUMN()),"")</f>
        <v>0</v>
      </c>
      <c r="M616">
        <f>IFERROR(INDEX(装备库!$A$2:$Y$1047,MATCH(ROW()-1,装备库!$AO$2:$AO$1046,0),COLUMN()),"")</f>
        <v>2530</v>
      </c>
      <c r="N616">
        <f>IFERROR(INDEX(装备库!$A$2:$Y$1047,MATCH(ROW()-1,装备库!$AO$2:$AO$1046,0),COLUMN()),"")</f>
        <v>4217</v>
      </c>
      <c r="O616">
        <f>IFERROR(INDEX(装备库!$A$2:$Y$1047,MATCH(ROW()-1,装备库!$AO$2:$AO$1046,0),COLUMN()),"")</f>
        <v>1</v>
      </c>
      <c r="P616">
        <f>IFERROR(INDEX(装备库!$A$2:$Y$1047,MATCH(ROW()-1,装备库!$AO$2:$AO$1046,0),COLUMN()),"")</f>
        <v>0</v>
      </c>
      <c r="Q616">
        <f>IFERROR(INDEX(装备库!$A$2:$Y$1047,MATCH(ROW()-1,装备库!$AO$2:$AO$1046,0),COLUMN()),"")</f>
        <v>1</v>
      </c>
      <c r="R616">
        <f>IFERROR(INDEX(装备库!$A$2:$Y$1047,MATCH(ROW()-1,装备库!$AO$2:$AO$1046,0),COLUMN()),"")</f>
        <v>1</v>
      </c>
      <c r="S616">
        <f>IFERROR(INDEX(装备库!$A$2:$Y$1047,MATCH(ROW()-1,装备库!$AO$2:$AO$1046,0),COLUMN()),"")</f>
        <v>0</v>
      </c>
      <c r="T616">
        <f>IFERROR(INDEX(装备库!$A$2:$Y$1047,MATCH(ROW()-1,装备库!$AO$2:$AO$1046,0),COLUMN()),"")</f>
        <v>0</v>
      </c>
      <c r="U616">
        <f>IFERROR(INDEX(装备库!$A$2:$Y$1047,MATCH(ROW()-1,装备库!$AO$2:$AO$1046,0),COLUMN()),"")</f>
        <v>0</v>
      </c>
      <c r="V616">
        <f>IFERROR(INDEX(装备库!$A$2:$Y$1047,MATCH(ROW()-1,装备库!$AO$2:$AO$1046,0),COLUMN()),"")</f>
        <v>0</v>
      </c>
      <c r="W616" t="str">
        <f>IFERROR(INDEX(装备库!$A$2:$Y$1047,MATCH(ROW()-1,装备库!$AO$2:$AO$1046,0),COLUMN()),"")</f>
        <v>会无</v>
      </c>
      <c r="X616">
        <f>IFERROR(INDEX(装备库!$A$2:$Y$1047,MATCH(ROW()-1,装备库!$AO$2:$AO$1046,0),COLUMN()),"")</f>
        <v>6</v>
      </c>
      <c r="Y616" t="str">
        <f>IFERROR(INDEX(装备库!$A$2:$Y$1047,MATCH(ROW()-1,装备库!$AO$2:$AO$1046,0),COLUMN()),"")</f>
        <v>侠义值</v>
      </c>
    </row>
    <row r="617" spans="1:25" x14ac:dyDescent="0.35">
      <c r="A617" t="str">
        <f>IFERROR(INDEX(装备库!$A$2:$Y$1047,MATCH(ROW()-1,装备库!$AO$2:$AO$1046,0),COLUMN()),"")</f>
        <v>长兵</v>
      </c>
      <c r="B617" t="str">
        <f>IFERROR(INDEX(装备库!$A$2:$Y$1047,MATCH(ROW()-1,装备库!$AO$2:$AO$1046,0),COLUMN()),"")</f>
        <v>旷野孤疆</v>
      </c>
      <c r="C617">
        <f>IFERROR(INDEX(装备库!$A$2:$Y$1047,MATCH(ROW()-1,装备库!$AO$2:$AO$1046,0),COLUMN()),"")</f>
        <v>9800</v>
      </c>
      <c r="D617" t="str">
        <f>IFERROR(INDEX(装备库!$A$2:$Y$1047,MATCH(ROW()-1,装备库!$AO$2:$AO$1046,0),COLUMN()),"")</f>
        <v>旷野孤疆(9800大橙武)</v>
      </c>
      <c r="E617">
        <f>IFERROR(INDEX(装备库!$A$2:$Y$1047,MATCH(ROW()-1,装备库!$AO$2:$AO$1046,0),COLUMN()),"")</f>
        <v>1141</v>
      </c>
      <c r="F617">
        <f>IFERROR(INDEX(装备库!$A$2:$Y$1047,MATCH(ROW()-1,装备库!$AO$2:$AO$1046,0),COLUMN()),"")</f>
        <v>4274</v>
      </c>
      <c r="G617">
        <f>IFERROR(INDEX(装备库!$A$2:$Y$1047,MATCH(ROW()-1,装备库!$AO$2:$AO$1046,0),COLUMN()),"")</f>
        <v>4610</v>
      </c>
      <c r="H617">
        <f>IFERROR(INDEX(装备库!$A$2:$Y$1047,MATCH(ROW()-1,装备库!$AO$2:$AO$1046,0),COLUMN()),"")</f>
        <v>0</v>
      </c>
      <c r="I617">
        <f>IFERROR(INDEX(装备库!$A$2:$Y$1047,MATCH(ROW()-1,装备库!$AO$2:$AO$1046,0),COLUMN()),"")</f>
        <v>4928</v>
      </c>
      <c r="J617">
        <f>IFERROR(INDEX(装备库!$A$2:$Y$1047,MATCH(ROW()-1,装备库!$AO$2:$AO$1046,0),COLUMN()),"")</f>
        <v>0</v>
      </c>
      <c r="K617">
        <f>IFERROR(INDEX(装备库!$A$2:$Y$1047,MATCH(ROW()-1,装备库!$AO$2:$AO$1046,0),COLUMN()),"")</f>
        <v>0</v>
      </c>
      <c r="L617">
        <f>IFERROR(INDEX(装备库!$A$2:$Y$1047,MATCH(ROW()-1,装备库!$AO$2:$AO$1046,0),COLUMN()),"")</f>
        <v>1590</v>
      </c>
      <c r="M617">
        <f>IFERROR(INDEX(装备库!$A$2:$Y$1047,MATCH(ROW()-1,装备库!$AO$2:$AO$1046,0),COLUMN()),"")</f>
        <v>3588</v>
      </c>
      <c r="N617">
        <f>IFERROR(INDEX(装备库!$A$2:$Y$1047,MATCH(ROW()-1,装备库!$AO$2:$AO$1046,0),COLUMN()),"")</f>
        <v>5980</v>
      </c>
      <c r="O617">
        <f>IFERROR(INDEX(装备库!$A$2:$Y$1047,MATCH(ROW()-1,装备库!$AO$2:$AO$1046,0),COLUMN()),"")</f>
        <v>1</v>
      </c>
      <c r="P617">
        <f>IFERROR(INDEX(装备库!$A$2:$Y$1047,MATCH(ROW()-1,装备库!$AO$2:$AO$1046,0),COLUMN()),"")</f>
        <v>1</v>
      </c>
      <c r="Q617">
        <f>IFERROR(INDEX(装备库!$A$2:$Y$1047,MATCH(ROW()-1,装备库!$AO$2:$AO$1046,0),COLUMN()),"")</f>
        <v>0</v>
      </c>
      <c r="R617">
        <f>IFERROR(INDEX(装备库!$A$2:$Y$1047,MATCH(ROW()-1,装备库!$AO$2:$AO$1046,0),COLUMN()),"")</f>
        <v>0</v>
      </c>
      <c r="S617">
        <f>IFERROR(INDEX(装备库!$A$2:$Y$1047,MATCH(ROW()-1,装备库!$AO$2:$AO$1046,0),COLUMN()),"")</f>
        <v>1</v>
      </c>
      <c r="T617">
        <f>IFERROR(INDEX(装备库!$A$2:$Y$1047,MATCH(ROW()-1,装备库!$AO$2:$AO$1046,0),COLUMN()),"")</f>
        <v>0</v>
      </c>
      <c r="U617">
        <f>IFERROR(INDEX(装备库!$A$2:$Y$1047,MATCH(ROW()-1,装备库!$AO$2:$AO$1046,0),COLUMN()),"")</f>
        <v>0</v>
      </c>
      <c r="V617">
        <f>IFERROR(INDEX(装备库!$A$2:$Y$1047,MATCH(ROW()-1,装备库!$AO$2:$AO$1046,0),COLUMN()),"")</f>
        <v>0</v>
      </c>
      <c r="W617" t="str">
        <f>IFERROR(INDEX(装备库!$A$2:$Y$1047,MATCH(ROW()-1,装备库!$AO$2:$AO$1046,0),COLUMN()),"")</f>
        <v>大橙武</v>
      </c>
      <c r="X617">
        <f>IFERROR(INDEX(装备库!$A$2:$Y$1047,MATCH(ROW()-1,装备库!$AO$2:$AO$1046,0),COLUMN()),"")</f>
        <v>8</v>
      </c>
      <c r="Y617" t="str">
        <f>IFERROR(INDEX(装备库!$A$2:$Y$1047,MATCH(ROW()-1,装备库!$AO$2:$AO$1046,0),COLUMN()),"")</f>
        <v>任务</v>
      </c>
    </row>
    <row r="618" spans="1:25" x14ac:dyDescent="0.35">
      <c r="A618" t="str">
        <f>IFERROR(INDEX(装备库!$A$2:$Y$1047,MATCH(ROW()-1,装备库!$AO$2:$AO$1046,0),COLUMN()),"")</f>
        <v>长兵</v>
      </c>
      <c r="B618" t="str">
        <f>IFERROR(INDEX(装备库!$A$2:$Y$1047,MATCH(ROW()-1,装备库!$AO$2:$AO$1046,0),COLUMN()),"")</f>
        <v>乔凌枪</v>
      </c>
      <c r="C618">
        <f>IFERROR(INDEX(装备库!$A$2:$Y$1047,MATCH(ROW()-1,装备库!$AO$2:$AO$1046,0),COLUMN()),"")</f>
        <v>10000</v>
      </c>
      <c r="D618" t="str">
        <f>IFERROR(INDEX(装备库!$A$2:$Y$1047,MATCH(ROW()-1,装备库!$AO$2:$AO$1046,0),COLUMN()),"")</f>
        <v>乔凌枪(10000招破)</v>
      </c>
      <c r="E618">
        <f>IFERROR(INDEX(装备库!$A$2:$Y$1047,MATCH(ROW()-1,装备库!$AO$2:$AO$1046,0),COLUMN()),"")</f>
        <v>838</v>
      </c>
      <c r="F618">
        <f>IFERROR(INDEX(装备库!$A$2:$Y$1047,MATCH(ROW()-1,装备库!$AO$2:$AO$1046,0),COLUMN()),"")</f>
        <v>3245</v>
      </c>
      <c r="G618">
        <f>IFERROR(INDEX(装备库!$A$2:$Y$1047,MATCH(ROW()-1,装备库!$AO$2:$AO$1046,0),COLUMN()),"")</f>
        <v>0</v>
      </c>
      <c r="H618">
        <f>IFERROR(INDEX(装备库!$A$2:$Y$1047,MATCH(ROW()-1,装备库!$AO$2:$AO$1046,0),COLUMN()),"")</f>
        <v>0</v>
      </c>
      <c r="I618">
        <f>IFERROR(INDEX(装备库!$A$2:$Y$1047,MATCH(ROW()-1,装备库!$AO$2:$AO$1046,0),COLUMN()),"")</f>
        <v>4204</v>
      </c>
      <c r="J618">
        <f>IFERROR(INDEX(装备库!$A$2:$Y$1047,MATCH(ROW()-1,装备库!$AO$2:$AO$1046,0),COLUMN()),"")</f>
        <v>4485</v>
      </c>
      <c r="K618">
        <f>IFERROR(INDEX(装备库!$A$2:$Y$1047,MATCH(ROW()-1,装备库!$AO$2:$AO$1046,0),COLUMN()),"")</f>
        <v>0</v>
      </c>
      <c r="L618">
        <f>IFERROR(INDEX(装备库!$A$2:$Y$1047,MATCH(ROW()-1,装备库!$AO$2:$AO$1046,0),COLUMN()),"")</f>
        <v>0</v>
      </c>
      <c r="M618">
        <f>IFERROR(INDEX(装备库!$A$2:$Y$1047,MATCH(ROW()-1,装备库!$AO$2:$AO$1046,0),COLUMN()),"")</f>
        <v>2636</v>
      </c>
      <c r="N618">
        <f>IFERROR(INDEX(装备库!$A$2:$Y$1047,MATCH(ROW()-1,装备库!$AO$2:$AO$1046,0),COLUMN()),"")</f>
        <v>4393</v>
      </c>
      <c r="O618">
        <f>IFERROR(INDEX(装备库!$A$2:$Y$1047,MATCH(ROW()-1,装备库!$AO$2:$AO$1046,0),COLUMN()),"")</f>
        <v>1</v>
      </c>
      <c r="P618">
        <f>IFERROR(INDEX(装备库!$A$2:$Y$1047,MATCH(ROW()-1,装备库!$AO$2:$AO$1046,0),COLUMN()),"")</f>
        <v>1</v>
      </c>
      <c r="Q618">
        <f>IFERROR(INDEX(装备库!$A$2:$Y$1047,MATCH(ROW()-1,装备库!$AO$2:$AO$1046,0),COLUMN()),"")</f>
        <v>0</v>
      </c>
      <c r="R618">
        <f>IFERROR(INDEX(装备库!$A$2:$Y$1047,MATCH(ROW()-1,装备库!$AO$2:$AO$1046,0),COLUMN()),"")</f>
        <v>0</v>
      </c>
      <c r="S618">
        <f>IFERROR(INDEX(装备库!$A$2:$Y$1047,MATCH(ROW()-1,装备库!$AO$2:$AO$1046,0),COLUMN()),"")</f>
        <v>1</v>
      </c>
      <c r="T618">
        <f>IFERROR(INDEX(装备库!$A$2:$Y$1047,MATCH(ROW()-1,装备库!$AO$2:$AO$1046,0),COLUMN()),"")</f>
        <v>0</v>
      </c>
      <c r="U618">
        <f>IFERROR(INDEX(装备库!$A$2:$Y$1047,MATCH(ROW()-1,装备库!$AO$2:$AO$1046,0),COLUMN()),"")</f>
        <v>0</v>
      </c>
      <c r="V618">
        <f>IFERROR(INDEX(装备库!$A$2:$Y$1047,MATCH(ROW()-1,装备库!$AO$2:$AO$1046,0),COLUMN()),"")</f>
        <v>0</v>
      </c>
      <c r="W618" t="str">
        <f>IFERROR(INDEX(装备库!$A$2:$Y$1047,MATCH(ROW()-1,装备库!$AO$2:$AO$1046,0),COLUMN()),"")</f>
        <v>招破</v>
      </c>
      <c r="X618">
        <f>IFERROR(INDEX(装备库!$A$2:$Y$1047,MATCH(ROW()-1,装备库!$AO$2:$AO$1046,0),COLUMN()),"")</f>
        <v>6</v>
      </c>
      <c r="Y618" t="str">
        <f>IFERROR(INDEX(装备库!$A$2:$Y$1047,MATCH(ROW()-1,装备库!$AO$2:$AO$1046,0),COLUMN()),"")</f>
        <v>副本</v>
      </c>
    </row>
    <row r="619" spans="1:25" x14ac:dyDescent="0.35">
      <c r="A619" t="str">
        <f>IFERROR(INDEX(装备库!$A$2:$Y$1047,MATCH(ROW()-1,装备库!$AO$2:$AO$1046,0),COLUMN()),"")</f>
        <v>长兵</v>
      </c>
      <c r="B619" t="str">
        <f>IFERROR(INDEX(装备库!$A$2:$Y$1047,MATCH(ROW()-1,装备库!$AO$2:$AO$1046,0),COLUMN()),"")</f>
        <v>念河山</v>
      </c>
      <c r="C619">
        <f>IFERROR(INDEX(装备库!$A$2:$Y$1047,MATCH(ROW()-1,装备库!$AO$2:$AO$1046,0),COLUMN()),"")</f>
        <v>10000</v>
      </c>
      <c r="D619" t="str">
        <f>IFERROR(INDEX(装备库!$A$2:$Y$1047,MATCH(ROW()-1,装备库!$AO$2:$AO$1046,0),COLUMN()),"")</f>
        <v>念河山(10000速招)</v>
      </c>
      <c r="E619">
        <f>IFERROR(INDEX(装备库!$A$2:$Y$1047,MATCH(ROW()-1,装备库!$AO$2:$AO$1046,0),COLUMN()),"")</f>
        <v>838</v>
      </c>
      <c r="F619">
        <f>IFERROR(INDEX(装备库!$A$2:$Y$1047,MATCH(ROW()-1,装备库!$AO$2:$AO$1046,0),COLUMN()),"")</f>
        <v>3245</v>
      </c>
      <c r="G619">
        <f>IFERROR(INDEX(装备库!$A$2:$Y$1047,MATCH(ROW()-1,装备库!$AO$2:$AO$1046,0),COLUMN()),"")</f>
        <v>0</v>
      </c>
      <c r="H619">
        <f>IFERROR(INDEX(装备库!$A$2:$Y$1047,MATCH(ROW()-1,装备库!$AO$2:$AO$1046,0),COLUMN()),"")</f>
        <v>0</v>
      </c>
      <c r="I619">
        <f>IFERROR(INDEX(装备库!$A$2:$Y$1047,MATCH(ROW()-1,装备库!$AO$2:$AO$1046,0),COLUMN()),"")</f>
        <v>0</v>
      </c>
      <c r="J619">
        <f>IFERROR(INDEX(装备库!$A$2:$Y$1047,MATCH(ROW()-1,装备库!$AO$2:$AO$1046,0),COLUMN()),"")</f>
        <v>4485</v>
      </c>
      <c r="K619">
        <f>IFERROR(INDEX(装备库!$A$2:$Y$1047,MATCH(ROW()-1,装备库!$AO$2:$AO$1046,0),COLUMN()),"")</f>
        <v>0</v>
      </c>
      <c r="L619">
        <f>IFERROR(INDEX(装备库!$A$2:$Y$1047,MATCH(ROW()-1,装备库!$AO$2:$AO$1046,0),COLUMN()),"")</f>
        <v>4204</v>
      </c>
      <c r="M619">
        <f>IFERROR(INDEX(装备库!$A$2:$Y$1047,MATCH(ROW()-1,装备库!$AO$2:$AO$1046,0),COLUMN()),"")</f>
        <v>2636</v>
      </c>
      <c r="N619">
        <f>IFERROR(INDEX(装备库!$A$2:$Y$1047,MATCH(ROW()-1,装备库!$AO$2:$AO$1046,0),COLUMN()),"")</f>
        <v>4393</v>
      </c>
      <c r="O619">
        <f>IFERROR(INDEX(装备库!$A$2:$Y$1047,MATCH(ROW()-1,装备库!$AO$2:$AO$1046,0),COLUMN()),"")</f>
        <v>1</v>
      </c>
      <c r="P619">
        <f>IFERROR(INDEX(装备库!$A$2:$Y$1047,MATCH(ROW()-1,装备库!$AO$2:$AO$1046,0),COLUMN()),"")</f>
        <v>1</v>
      </c>
      <c r="Q619">
        <f>IFERROR(INDEX(装备库!$A$2:$Y$1047,MATCH(ROW()-1,装备库!$AO$2:$AO$1046,0),COLUMN()),"")</f>
        <v>1</v>
      </c>
      <c r="R619">
        <f>IFERROR(INDEX(装备库!$A$2:$Y$1047,MATCH(ROW()-1,装备库!$AO$2:$AO$1046,0),COLUMN()),"")</f>
        <v>0</v>
      </c>
      <c r="S619">
        <f>IFERROR(INDEX(装备库!$A$2:$Y$1047,MATCH(ROW()-1,装备库!$AO$2:$AO$1046,0),COLUMN()),"")</f>
        <v>0</v>
      </c>
      <c r="T619">
        <f>IFERROR(INDEX(装备库!$A$2:$Y$1047,MATCH(ROW()-1,装备库!$AO$2:$AO$1046,0),COLUMN()),"")</f>
        <v>0</v>
      </c>
      <c r="U619">
        <f>IFERROR(INDEX(装备库!$A$2:$Y$1047,MATCH(ROW()-1,装备库!$AO$2:$AO$1046,0),COLUMN()),"")</f>
        <v>0</v>
      </c>
      <c r="V619">
        <f>IFERROR(INDEX(装备库!$A$2:$Y$1047,MATCH(ROW()-1,装备库!$AO$2:$AO$1046,0),COLUMN()),"")</f>
        <v>0</v>
      </c>
      <c r="W619" t="str">
        <f>IFERROR(INDEX(装备库!$A$2:$Y$1047,MATCH(ROW()-1,装备库!$AO$2:$AO$1046,0),COLUMN()),"")</f>
        <v>速招</v>
      </c>
      <c r="X619">
        <f>IFERROR(INDEX(装备库!$A$2:$Y$1047,MATCH(ROW()-1,装备库!$AO$2:$AO$1046,0),COLUMN()),"")</f>
        <v>6</v>
      </c>
      <c r="Y619" t="str">
        <f>IFERROR(INDEX(装备库!$A$2:$Y$1047,MATCH(ROW()-1,装备库!$AO$2:$AO$1046,0),COLUMN()),"")</f>
        <v>副本</v>
      </c>
    </row>
    <row r="620" spans="1:25" x14ac:dyDescent="0.35">
      <c r="A620" t="str">
        <f>IFERROR(INDEX(装备库!$A$2:$Y$1047,MATCH(ROW()-1,装备库!$AO$2:$AO$1046,0),COLUMN()),"")</f>
        <v>长兵</v>
      </c>
      <c r="B620" t="str">
        <f>IFERROR(INDEX(装备库!$A$2:$Y$1047,MATCH(ROW()-1,装备库!$AO$2:$AO$1046,0),COLUMN()),"")</f>
        <v>麟月枪</v>
      </c>
      <c r="C620">
        <f>IFERROR(INDEX(装备库!$A$2:$Y$1047,MATCH(ROW()-1,装备库!$AO$2:$AO$1046,0),COLUMN()),"")</f>
        <v>10000</v>
      </c>
      <c r="D620" t="str">
        <f>IFERROR(INDEX(装备库!$A$2:$Y$1047,MATCH(ROW()-1,装备库!$AO$2:$AO$1046,0),COLUMN()),"")</f>
        <v>麟月枪(10000速招)</v>
      </c>
      <c r="E620">
        <f>IFERROR(INDEX(装备库!$A$2:$Y$1047,MATCH(ROW()-1,装备库!$AO$2:$AO$1046,0),COLUMN()),"")</f>
        <v>838</v>
      </c>
      <c r="F620">
        <f>IFERROR(INDEX(装备库!$A$2:$Y$1047,MATCH(ROW()-1,装备库!$AO$2:$AO$1046,0),COLUMN()),"")</f>
        <v>3245</v>
      </c>
      <c r="G620">
        <f>IFERROR(INDEX(装备库!$A$2:$Y$1047,MATCH(ROW()-1,装备库!$AO$2:$AO$1046,0),COLUMN()),"")</f>
        <v>0</v>
      </c>
      <c r="H620">
        <f>IFERROR(INDEX(装备库!$A$2:$Y$1047,MATCH(ROW()-1,装备库!$AO$2:$AO$1046,0),COLUMN()),"")</f>
        <v>0</v>
      </c>
      <c r="I620">
        <f>IFERROR(INDEX(装备库!$A$2:$Y$1047,MATCH(ROW()-1,装备库!$AO$2:$AO$1046,0),COLUMN()),"")</f>
        <v>0</v>
      </c>
      <c r="J620">
        <f>IFERROR(INDEX(装备库!$A$2:$Y$1047,MATCH(ROW()-1,装备库!$AO$2:$AO$1046,0),COLUMN()),"")</f>
        <v>4485</v>
      </c>
      <c r="K620">
        <f>IFERROR(INDEX(装备库!$A$2:$Y$1047,MATCH(ROW()-1,装备库!$AO$2:$AO$1046,0),COLUMN()),"")</f>
        <v>0</v>
      </c>
      <c r="L620">
        <f>IFERROR(INDEX(装备库!$A$2:$Y$1047,MATCH(ROW()-1,装备库!$AO$2:$AO$1046,0),COLUMN()),"")</f>
        <v>4204</v>
      </c>
      <c r="M620">
        <f>IFERROR(INDEX(装备库!$A$2:$Y$1047,MATCH(ROW()-1,装备库!$AO$2:$AO$1046,0),COLUMN()),"")</f>
        <v>2636</v>
      </c>
      <c r="N620">
        <f>IFERROR(INDEX(装备库!$A$2:$Y$1047,MATCH(ROW()-1,装备库!$AO$2:$AO$1046,0),COLUMN()),"")</f>
        <v>4393</v>
      </c>
      <c r="O620">
        <f>IFERROR(INDEX(装备库!$A$2:$Y$1047,MATCH(ROW()-1,装备库!$AO$2:$AO$1046,0),COLUMN()),"")</f>
        <v>1</v>
      </c>
      <c r="P620">
        <f>IFERROR(INDEX(装备库!$A$2:$Y$1047,MATCH(ROW()-1,装备库!$AO$2:$AO$1046,0),COLUMN()),"")</f>
        <v>1</v>
      </c>
      <c r="Q620">
        <f>IFERROR(INDEX(装备库!$A$2:$Y$1047,MATCH(ROW()-1,装备库!$AO$2:$AO$1046,0),COLUMN()),"")</f>
        <v>1</v>
      </c>
      <c r="R620">
        <f>IFERROR(INDEX(装备库!$A$2:$Y$1047,MATCH(ROW()-1,装备库!$AO$2:$AO$1046,0),COLUMN()),"")</f>
        <v>0</v>
      </c>
      <c r="S620">
        <f>IFERROR(INDEX(装备库!$A$2:$Y$1047,MATCH(ROW()-1,装备库!$AO$2:$AO$1046,0),COLUMN()),"")</f>
        <v>0</v>
      </c>
      <c r="T620">
        <f>IFERROR(INDEX(装备库!$A$2:$Y$1047,MATCH(ROW()-1,装备库!$AO$2:$AO$1046,0),COLUMN()),"")</f>
        <v>0</v>
      </c>
      <c r="U620">
        <f>IFERROR(INDEX(装备库!$A$2:$Y$1047,MATCH(ROW()-1,装备库!$AO$2:$AO$1046,0),COLUMN()),"")</f>
        <v>0</v>
      </c>
      <c r="V620">
        <f>IFERROR(INDEX(装备库!$A$2:$Y$1047,MATCH(ROW()-1,装备库!$AO$2:$AO$1046,0),COLUMN()),"")</f>
        <v>0</v>
      </c>
      <c r="W620" t="str">
        <f>IFERROR(INDEX(装备库!$A$2:$Y$1047,MATCH(ROW()-1,装备库!$AO$2:$AO$1046,0),COLUMN()),"")</f>
        <v>速招</v>
      </c>
      <c r="X620">
        <f>IFERROR(INDEX(装备库!$A$2:$Y$1047,MATCH(ROW()-1,装备库!$AO$2:$AO$1046,0),COLUMN()),"")</f>
        <v>6</v>
      </c>
      <c r="Y620" t="str">
        <f>IFERROR(INDEX(装备库!$A$2:$Y$1047,MATCH(ROW()-1,装备库!$AO$2:$AO$1046,0),COLUMN()),"")</f>
        <v>副本</v>
      </c>
    </row>
    <row r="621" spans="1:25" x14ac:dyDescent="0.35">
      <c r="A621" t="str">
        <f>IFERROR(INDEX(装备库!$A$2:$Y$1047,MATCH(ROW()-1,装备库!$AO$2:$AO$1046,0),COLUMN()),"")</f>
        <v>长兵</v>
      </c>
      <c r="B621" t="str">
        <f>IFERROR(INDEX(装备库!$A$2:$Y$1047,MATCH(ROW()-1,装备库!$AO$2:$AO$1046,0),COLUMN()),"")</f>
        <v>新收烽火</v>
      </c>
      <c r="C621">
        <f>IFERROR(INDEX(装备库!$A$2:$Y$1047,MATCH(ROW()-1,装备库!$AO$2:$AO$1046,0),COLUMN()),"")</f>
        <v>10000</v>
      </c>
      <c r="D621" t="str">
        <f>IFERROR(INDEX(装备库!$A$2:$Y$1047,MATCH(ROW()-1,装备库!$AO$2:$AO$1046,0),COLUMN()),"")</f>
        <v>新收烽火(10000破无)</v>
      </c>
      <c r="E621">
        <f>IFERROR(INDEX(装备库!$A$2:$Y$1047,MATCH(ROW()-1,装备库!$AO$2:$AO$1046,0),COLUMN()),"")</f>
        <v>838</v>
      </c>
      <c r="F621">
        <f>IFERROR(INDEX(装备库!$A$2:$Y$1047,MATCH(ROW()-1,装备库!$AO$2:$AO$1046,0),COLUMN()),"")</f>
        <v>3245</v>
      </c>
      <c r="G621">
        <f>IFERROR(INDEX(装备库!$A$2:$Y$1047,MATCH(ROW()-1,装备库!$AO$2:$AO$1046,0),COLUMN()),"")</f>
        <v>0</v>
      </c>
      <c r="H621">
        <f>IFERROR(INDEX(装备库!$A$2:$Y$1047,MATCH(ROW()-1,装备库!$AO$2:$AO$1046,0),COLUMN()),"")</f>
        <v>0</v>
      </c>
      <c r="I621">
        <f>IFERROR(INDEX(装备库!$A$2:$Y$1047,MATCH(ROW()-1,装备库!$AO$2:$AO$1046,0),COLUMN()),"")</f>
        <v>4204</v>
      </c>
      <c r="J621">
        <f>IFERROR(INDEX(装备库!$A$2:$Y$1047,MATCH(ROW()-1,装备库!$AO$2:$AO$1046,0),COLUMN()),"")</f>
        <v>0</v>
      </c>
      <c r="K621">
        <f>IFERROR(INDEX(装备库!$A$2:$Y$1047,MATCH(ROW()-1,装备库!$AO$2:$AO$1046,0),COLUMN()),"")</f>
        <v>4485</v>
      </c>
      <c r="L621">
        <f>IFERROR(INDEX(装备库!$A$2:$Y$1047,MATCH(ROW()-1,装备库!$AO$2:$AO$1046,0),COLUMN()),"")</f>
        <v>0</v>
      </c>
      <c r="M621">
        <f>IFERROR(INDEX(装备库!$A$2:$Y$1047,MATCH(ROW()-1,装备库!$AO$2:$AO$1046,0),COLUMN()),"")</f>
        <v>2636</v>
      </c>
      <c r="N621">
        <f>IFERROR(INDEX(装备库!$A$2:$Y$1047,MATCH(ROW()-1,装备库!$AO$2:$AO$1046,0),COLUMN()),"")</f>
        <v>4393</v>
      </c>
      <c r="O621">
        <f>IFERROR(INDEX(装备库!$A$2:$Y$1047,MATCH(ROW()-1,装备库!$AO$2:$AO$1046,0),COLUMN()),"")</f>
        <v>1</v>
      </c>
      <c r="P621">
        <f>IFERROR(INDEX(装备库!$A$2:$Y$1047,MATCH(ROW()-1,装备库!$AO$2:$AO$1046,0),COLUMN()),"")</f>
        <v>1</v>
      </c>
      <c r="Q621">
        <f>IFERROR(INDEX(装备库!$A$2:$Y$1047,MATCH(ROW()-1,装备库!$AO$2:$AO$1046,0),COLUMN()),"")</f>
        <v>0</v>
      </c>
      <c r="R621">
        <f>IFERROR(INDEX(装备库!$A$2:$Y$1047,MATCH(ROW()-1,装备库!$AO$2:$AO$1046,0),COLUMN()),"")</f>
        <v>0</v>
      </c>
      <c r="S621">
        <f>IFERROR(INDEX(装备库!$A$2:$Y$1047,MATCH(ROW()-1,装备库!$AO$2:$AO$1046,0),COLUMN()),"")</f>
        <v>1</v>
      </c>
      <c r="T621">
        <f>IFERROR(INDEX(装备库!$A$2:$Y$1047,MATCH(ROW()-1,装备库!$AO$2:$AO$1046,0),COLUMN()),"")</f>
        <v>0</v>
      </c>
      <c r="U621">
        <f>IFERROR(INDEX(装备库!$A$2:$Y$1047,MATCH(ROW()-1,装备库!$AO$2:$AO$1046,0),COLUMN()),"")</f>
        <v>0</v>
      </c>
      <c r="V621">
        <f>IFERROR(INDEX(装备库!$A$2:$Y$1047,MATCH(ROW()-1,装备库!$AO$2:$AO$1046,0),COLUMN()),"")</f>
        <v>0</v>
      </c>
      <c r="W621" t="str">
        <f>IFERROR(INDEX(装备库!$A$2:$Y$1047,MATCH(ROW()-1,装备库!$AO$2:$AO$1046,0),COLUMN()),"")</f>
        <v>破无</v>
      </c>
      <c r="X621">
        <f>IFERROR(INDEX(装备库!$A$2:$Y$1047,MATCH(ROW()-1,装备库!$AO$2:$AO$1046,0),COLUMN()),"")</f>
        <v>6</v>
      </c>
      <c r="Y621" t="str">
        <f>IFERROR(INDEX(装备库!$A$2:$Y$1047,MATCH(ROW()-1,装备库!$AO$2:$AO$1046,0),COLUMN()),"")</f>
        <v>副本</v>
      </c>
    </row>
    <row r="622" spans="1:25" x14ac:dyDescent="0.35">
      <c r="A622" t="str">
        <f>IFERROR(INDEX(装备库!$A$2:$Y$1047,MATCH(ROW()-1,装备库!$AO$2:$AO$1046,0),COLUMN()),"")</f>
        <v>长兵</v>
      </c>
      <c r="B622" t="str">
        <f>IFERROR(INDEX(装备库!$A$2:$Y$1047,MATCH(ROW()-1,装备库!$AO$2:$AO$1046,0),COLUMN()),"")</f>
        <v>断北枪</v>
      </c>
      <c r="C622">
        <f>IFERROR(INDEX(装备库!$A$2:$Y$1047,MATCH(ROW()-1,装备库!$AO$2:$AO$1046,0),COLUMN()),"")</f>
        <v>10000</v>
      </c>
      <c r="D622" t="str">
        <f>IFERROR(INDEX(装备库!$A$2:$Y$1047,MATCH(ROW()-1,装备库!$AO$2:$AO$1046,0),COLUMN()),"")</f>
        <v>断北枪(10000破无)</v>
      </c>
      <c r="E622">
        <f>IFERROR(INDEX(装备库!$A$2:$Y$1047,MATCH(ROW()-1,装备库!$AO$2:$AO$1046,0),COLUMN()),"")</f>
        <v>838</v>
      </c>
      <c r="F622">
        <f>IFERROR(INDEX(装备库!$A$2:$Y$1047,MATCH(ROW()-1,装备库!$AO$2:$AO$1046,0),COLUMN()),"")</f>
        <v>3245</v>
      </c>
      <c r="G622">
        <f>IFERROR(INDEX(装备库!$A$2:$Y$1047,MATCH(ROW()-1,装备库!$AO$2:$AO$1046,0),COLUMN()),"")</f>
        <v>0</v>
      </c>
      <c r="H622">
        <f>IFERROR(INDEX(装备库!$A$2:$Y$1047,MATCH(ROW()-1,装备库!$AO$2:$AO$1046,0),COLUMN()),"")</f>
        <v>0</v>
      </c>
      <c r="I622">
        <f>IFERROR(INDEX(装备库!$A$2:$Y$1047,MATCH(ROW()-1,装备库!$AO$2:$AO$1046,0),COLUMN()),"")</f>
        <v>4204</v>
      </c>
      <c r="J622">
        <f>IFERROR(INDEX(装备库!$A$2:$Y$1047,MATCH(ROW()-1,装备库!$AO$2:$AO$1046,0),COLUMN()),"")</f>
        <v>0</v>
      </c>
      <c r="K622">
        <f>IFERROR(INDEX(装备库!$A$2:$Y$1047,MATCH(ROW()-1,装备库!$AO$2:$AO$1046,0),COLUMN()),"")</f>
        <v>4485</v>
      </c>
      <c r="L622">
        <f>IFERROR(INDEX(装备库!$A$2:$Y$1047,MATCH(ROW()-1,装备库!$AO$2:$AO$1046,0),COLUMN()),"")</f>
        <v>0</v>
      </c>
      <c r="M622">
        <f>IFERROR(INDEX(装备库!$A$2:$Y$1047,MATCH(ROW()-1,装备库!$AO$2:$AO$1046,0),COLUMN()),"")</f>
        <v>2636</v>
      </c>
      <c r="N622">
        <f>IFERROR(INDEX(装备库!$A$2:$Y$1047,MATCH(ROW()-1,装备库!$AO$2:$AO$1046,0),COLUMN()),"")</f>
        <v>4393</v>
      </c>
      <c r="O622">
        <f>IFERROR(INDEX(装备库!$A$2:$Y$1047,MATCH(ROW()-1,装备库!$AO$2:$AO$1046,0),COLUMN()),"")</f>
        <v>1</v>
      </c>
      <c r="P622">
        <f>IFERROR(INDEX(装备库!$A$2:$Y$1047,MATCH(ROW()-1,装备库!$AO$2:$AO$1046,0),COLUMN()),"")</f>
        <v>1</v>
      </c>
      <c r="Q622">
        <f>IFERROR(INDEX(装备库!$A$2:$Y$1047,MATCH(ROW()-1,装备库!$AO$2:$AO$1046,0),COLUMN()),"")</f>
        <v>0</v>
      </c>
      <c r="R622">
        <f>IFERROR(INDEX(装备库!$A$2:$Y$1047,MATCH(ROW()-1,装备库!$AO$2:$AO$1046,0),COLUMN()),"")</f>
        <v>0</v>
      </c>
      <c r="S622">
        <f>IFERROR(INDEX(装备库!$A$2:$Y$1047,MATCH(ROW()-1,装备库!$AO$2:$AO$1046,0),COLUMN()),"")</f>
        <v>1</v>
      </c>
      <c r="T622">
        <f>IFERROR(INDEX(装备库!$A$2:$Y$1047,MATCH(ROW()-1,装备库!$AO$2:$AO$1046,0),COLUMN()),"")</f>
        <v>0</v>
      </c>
      <c r="U622">
        <f>IFERROR(INDEX(装备库!$A$2:$Y$1047,MATCH(ROW()-1,装备库!$AO$2:$AO$1046,0),COLUMN()),"")</f>
        <v>0</v>
      </c>
      <c r="V622">
        <f>IFERROR(INDEX(装备库!$A$2:$Y$1047,MATCH(ROW()-1,装备库!$AO$2:$AO$1046,0),COLUMN()),"")</f>
        <v>0</v>
      </c>
      <c r="W622" t="str">
        <f>IFERROR(INDEX(装备库!$A$2:$Y$1047,MATCH(ROW()-1,装备库!$AO$2:$AO$1046,0),COLUMN()),"")</f>
        <v>破无</v>
      </c>
      <c r="X622">
        <f>IFERROR(INDEX(装备库!$A$2:$Y$1047,MATCH(ROW()-1,装备库!$AO$2:$AO$1046,0),COLUMN()),"")</f>
        <v>6</v>
      </c>
      <c r="Y622" t="str">
        <f>IFERROR(INDEX(装备库!$A$2:$Y$1047,MATCH(ROW()-1,装备库!$AO$2:$AO$1046,0),COLUMN()),"")</f>
        <v>副本</v>
      </c>
    </row>
    <row r="623" spans="1:25" x14ac:dyDescent="0.35">
      <c r="A623" t="str">
        <f>IFERROR(INDEX(装备库!$A$2:$Y$1047,MATCH(ROW()-1,装备库!$AO$2:$AO$1046,0),COLUMN()),"")</f>
        <v>长兵</v>
      </c>
      <c r="B623" t="str">
        <f>IFERROR(INDEX(装备库!$A$2:$Y$1047,MATCH(ROW()-1,装备库!$AO$2:$AO$1046,0),COLUMN()),"")</f>
        <v>沉龙荡波·催沙</v>
      </c>
      <c r="C623">
        <f>IFERROR(INDEX(装备库!$A$2:$Y$1047,MATCH(ROW()-1,装备库!$AO$2:$AO$1046,0),COLUMN()),"")</f>
        <v>10000</v>
      </c>
      <c r="D623" t="str">
        <f>IFERROR(INDEX(装备库!$A$2:$Y$1047,MATCH(ROW()-1,装备库!$AO$2:$AO$1046,0),COLUMN()),"")</f>
        <v>沉龙荡波·催沙(10000破无)</v>
      </c>
      <c r="E623">
        <f>IFERROR(INDEX(装备库!$A$2:$Y$1047,MATCH(ROW()-1,装备库!$AO$2:$AO$1046,0),COLUMN()),"")</f>
        <v>838</v>
      </c>
      <c r="F623">
        <f>IFERROR(INDEX(装备库!$A$2:$Y$1047,MATCH(ROW()-1,装备库!$AO$2:$AO$1046,0),COLUMN()),"")</f>
        <v>3245</v>
      </c>
      <c r="G623">
        <f>IFERROR(INDEX(装备库!$A$2:$Y$1047,MATCH(ROW()-1,装备库!$AO$2:$AO$1046,0),COLUMN()),"")</f>
        <v>0</v>
      </c>
      <c r="H623">
        <f>IFERROR(INDEX(装备库!$A$2:$Y$1047,MATCH(ROW()-1,装备库!$AO$2:$AO$1046,0),COLUMN()),"")</f>
        <v>0</v>
      </c>
      <c r="I623">
        <f>IFERROR(INDEX(装备库!$A$2:$Y$1047,MATCH(ROW()-1,装备库!$AO$2:$AO$1046,0),COLUMN()),"")</f>
        <v>4204</v>
      </c>
      <c r="J623">
        <f>IFERROR(INDEX(装备库!$A$2:$Y$1047,MATCH(ROW()-1,装备库!$AO$2:$AO$1046,0),COLUMN()),"")</f>
        <v>0</v>
      </c>
      <c r="K623">
        <f>IFERROR(INDEX(装备库!$A$2:$Y$1047,MATCH(ROW()-1,装备库!$AO$2:$AO$1046,0),COLUMN()),"")</f>
        <v>4485</v>
      </c>
      <c r="L623">
        <f>IFERROR(INDEX(装备库!$A$2:$Y$1047,MATCH(ROW()-1,装备库!$AO$2:$AO$1046,0),COLUMN()),"")</f>
        <v>0</v>
      </c>
      <c r="M623">
        <f>IFERROR(INDEX(装备库!$A$2:$Y$1047,MATCH(ROW()-1,装备库!$AO$2:$AO$1046,0),COLUMN()),"")</f>
        <v>2636</v>
      </c>
      <c r="N623">
        <f>IFERROR(INDEX(装备库!$A$2:$Y$1047,MATCH(ROW()-1,装备库!$AO$2:$AO$1046,0),COLUMN()),"")</f>
        <v>4393</v>
      </c>
      <c r="O623">
        <f>IFERROR(INDEX(装备库!$A$2:$Y$1047,MATCH(ROW()-1,装备库!$AO$2:$AO$1046,0),COLUMN()),"")</f>
        <v>1</v>
      </c>
      <c r="P623">
        <f>IFERROR(INDEX(装备库!$A$2:$Y$1047,MATCH(ROW()-1,装备库!$AO$2:$AO$1046,0),COLUMN()),"")</f>
        <v>1</v>
      </c>
      <c r="Q623">
        <f>IFERROR(INDEX(装备库!$A$2:$Y$1047,MATCH(ROW()-1,装备库!$AO$2:$AO$1046,0),COLUMN()),"")</f>
        <v>0</v>
      </c>
      <c r="R623">
        <f>IFERROR(INDEX(装备库!$A$2:$Y$1047,MATCH(ROW()-1,装备库!$AO$2:$AO$1046,0),COLUMN()),"")</f>
        <v>0</v>
      </c>
      <c r="S623">
        <f>IFERROR(INDEX(装备库!$A$2:$Y$1047,MATCH(ROW()-1,装备库!$AO$2:$AO$1046,0),COLUMN()),"")</f>
        <v>1</v>
      </c>
      <c r="T623">
        <f>IFERROR(INDEX(装备库!$A$2:$Y$1047,MATCH(ROW()-1,装备库!$AO$2:$AO$1046,0),COLUMN()),"")</f>
        <v>0</v>
      </c>
      <c r="U623">
        <f>IFERROR(INDEX(装备库!$A$2:$Y$1047,MATCH(ROW()-1,装备库!$AO$2:$AO$1046,0),COLUMN()),"")</f>
        <v>0</v>
      </c>
      <c r="V623">
        <f>IFERROR(INDEX(装备库!$A$2:$Y$1047,MATCH(ROW()-1,装备库!$AO$2:$AO$1046,0),COLUMN()),"")</f>
        <v>0</v>
      </c>
      <c r="W623" t="str">
        <f>IFERROR(INDEX(装备库!$A$2:$Y$1047,MATCH(ROW()-1,装备库!$AO$2:$AO$1046,0),COLUMN()),"")</f>
        <v>破无</v>
      </c>
      <c r="X623">
        <f>IFERROR(INDEX(装备库!$A$2:$Y$1047,MATCH(ROW()-1,装备库!$AO$2:$AO$1046,0),COLUMN()),"")</f>
        <v>6</v>
      </c>
      <c r="Y623" t="str">
        <f>IFERROR(INDEX(装备库!$A$2:$Y$1047,MATCH(ROW()-1,装备库!$AO$2:$AO$1046,0),COLUMN()),"")</f>
        <v>飞沙令</v>
      </c>
    </row>
    <row r="624" spans="1:25" x14ac:dyDescent="0.35">
      <c r="A624" t="str">
        <f>IFERROR(INDEX(装备库!$A$2:$Y$1047,MATCH(ROW()-1,装备库!$AO$2:$AO$1046,0),COLUMN()),"")</f>
        <v>长兵</v>
      </c>
      <c r="B624" t="str">
        <f>IFERROR(INDEX(装备库!$A$2:$Y$1047,MATCH(ROW()-1,装备库!$AO$2:$AO$1046,0),COLUMN()),"")</f>
        <v>御赐大锅铲·刀功</v>
      </c>
      <c r="C624">
        <f>IFERROR(INDEX(装备库!$A$2:$Y$1047,MATCH(ROW()-1,装备库!$AO$2:$AO$1046,0),COLUMN()),"")</f>
        <v>10000</v>
      </c>
      <c r="D624" t="str">
        <f>IFERROR(INDEX(装备库!$A$2:$Y$1047,MATCH(ROW()-1,装备库!$AO$2:$AO$1046,0),COLUMN()),"")</f>
        <v>御赐大锅铲·刀功(10000破无)</v>
      </c>
      <c r="E624">
        <f>IFERROR(INDEX(装备库!$A$2:$Y$1047,MATCH(ROW()-1,装备库!$AO$2:$AO$1046,0),COLUMN()),"")</f>
        <v>838</v>
      </c>
      <c r="F624">
        <f>IFERROR(INDEX(装备库!$A$2:$Y$1047,MATCH(ROW()-1,装备库!$AO$2:$AO$1046,0),COLUMN()),"")</f>
        <v>3245</v>
      </c>
      <c r="G624">
        <f>IFERROR(INDEX(装备库!$A$2:$Y$1047,MATCH(ROW()-1,装备库!$AO$2:$AO$1046,0),COLUMN()),"")</f>
        <v>0</v>
      </c>
      <c r="H624">
        <f>IFERROR(INDEX(装备库!$A$2:$Y$1047,MATCH(ROW()-1,装备库!$AO$2:$AO$1046,0),COLUMN()),"")</f>
        <v>0</v>
      </c>
      <c r="I624">
        <f>IFERROR(INDEX(装备库!$A$2:$Y$1047,MATCH(ROW()-1,装备库!$AO$2:$AO$1046,0),COLUMN()),"")</f>
        <v>4204</v>
      </c>
      <c r="J624">
        <f>IFERROR(INDEX(装备库!$A$2:$Y$1047,MATCH(ROW()-1,装备库!$AO$2:$AO$1046,0),COLUMN()),"")</f>
        <v>0</v>
      </c>
      <c r="K624">
        <f>IFERROR(INDEX(装备库!$A$2:$Y$1047,MATCH(ROW()-1,装备库!$AO$2:$AO$1046,0),COLUMN()),"")</f>
        <v>4485</v>
      </c>
      <c r="L624">
        <f>IFERROR(INDEX(装备库!$A$2:$Y$1047,MATCH(ROW()-1,装备库!$AO$2:$AO$1046,0),COLUMN()),"")</f>
        <v>0</v>
      </c>
      <c r="M624">
        <f>IFERROR(INDEX(装备库!$A$2:$Y$1047,MATCH(ROW()-1,装备库!$AO$2:$AO$1046,0),COLUMN()),"")</f>
        <v>2636</v>
      </c>
      <c r="N624">
        <f>IFERROR(INDEX(装备库!$A$2:$Y$1047,MATCH(ROW()-1,装备库!$AO$2:$AO$1046,0),COLUMN()),"")</f>
        <v>4393</v>
      </c>
      <c r="O624">
        <f>IFERROR(INDEX(装备库!$A$2:$Y$1047,MATCH(ROW()-1,装备库!$AO$2:$AO$1046,0),COLUMN()),"")</f>
        <v>1</v>
      </c>
      <c r="P624">
        <f>IFERROR(INDEX(装备库!$A$2:$Y$1047,MATCH(ROW()-1,装备库!$AO$2:$AO$1046,0),COLUMN()),"")</f>
        <v>1</v>
      </c>
      <c r="Q624">
        <f>IFERROR(INDEX(装备库!$A$2:$Y$1047,MATCH(ROW()-1,装备库!$AO$2:$AO$1046,0),COLUMN()),"")</f>
        <v>0</v>
      </c>
      <c r="R624">
        <f>IFERROR(INDEX(装备库!$A$2:$Y$1047,MATCH(ROW()-1,装备库!$AO$2:$AO$1046,0),COLUMN()),"")</f>
        <v>0</v>
      </c>
      <c r="S624">
        <f>IFERROR(INDEX(装备库!$A$2:$Y$1047,MATCH(ROW()-1,装备库!$AO$2:$AO$1046,0),COLUMN()),"")</f>
        <v>1</v>
      </c>
      <c r="T624">
        <f>IFERROR(INDEX(装备库!$A$2:$Y$1047,MATCH(ROW()-1,装备库!$AO$2:$AO$1046,0),COLUMN()),"")</f>
        <v>0</v>
      </c>
      <c r="U624">
        <f>IFERROR(INDEX(装备库!$A$2:$Y$1047,MATCH(ROW()-1,装备库!$AO$2:$AO$1046,0),COLUMN()),"")</f>
        <v>0</v>
      </c>
      <c r="V624">
        <f>IFERROR(INDEX(装备库!$A$2:$Y$1047,MATCH(ROW()-1,装备库!$AO$2:$AO$1046,0),COLUMN()),"")</f>
        <v>0</v>
      </c>
      <c r="W624" t="str">
        <f>IFERROR(INDEX(装备库!$A$2:$Y$1047,MATCH(ROW()-1,装备库!$AO$2:$AO$1046,0),COLUMN()),"")</f>
        <v>破无</v>
      </c>
      <c r="X624">
        <f>IFERROR(INDEX(装备库!$A$2:$Y$1047,MATCH(ROW()-1,装备库!$AO$2:$AO$1046,0),COLUMN()),"")</f>
        <v>6</v>
      </c>
      <c r="Y624" t="str">
        <f>IFERROR(INDEX(装备库!$A$2:$Y$1047,MATCH(ROW()-1,装备库!$AO$2:$AO$1046,0),COLUMN()),"")</f>
        <v>活动</v>
      </c>
    </row>
    <row r="625" spans="1:25" x14ac:dyDescent="0.35">
      <c r="A625" t="str">
        <f>IFERROR(INDEX(装备库!$A$2:$Y$1047,MATCH(ROW()-1,装备库!$AO$2:$AO$1046,0),COLUMN()),"")</f>
        <v>长兵</v>
      </c>
      <c r="B625" t="str">
        <f>IFERROR(INDEX(装备库!$A$2:$Y$1047,MATCH(ROW()-1,装备库!$AO$2:$AO$1046,0),COLUMN()),"")</f>
        <v>麟阁</v>
      </c>
      <c r="C625">
        <f>IFERROR(INDEX(装备库!$A$2:$Y$1047,MATCH(ROW()-1,装备库!$AO$2:$AO$1046,0),COLUMN()),"")</f>
        <v>10000</v>
      </c>
      <c r="D625" t="str">
        <f>IFERROR(INDEX(装备库!$A$2:$Y$1047,MATCH(ROW()-1,装备库!$AO$2:$AO$1046,0),COLUMN()),"")</f>
        <v>麟阁(10000会招)</v>
      </c>
      <c r="E625">
        <f>IFERROR(INDEX(装备库!$A$2:$Y$1047,MATCH(ROW()-1,装备库!$AO$2:$AO$1046,0),COLUMN()),"")</f>
        <v>838</v>
      </c>
      <c r="F625">
        <f>IFERROR(INDEX(装备库!$A$2:$Y$1047,MATCH(ROW()-1,装备库!$AO$2:$AO$1046,0),COLUMN()),"")</f>
        <v>3245</v>
      </c>
      <c r="G625">
        <f>IFERROR(INDEX(装备库!$A$2:$Y$1047,MATCH(ROW()-1,装备库!$AO$2:$AO$1046,0),COLUMN()),"")</f>
        <v>4204</v>
      </c>
      <c r="H625">
        <f>IFERROR(INDEX(装备库!$A$2:$Y$1047,MATCH(ROW()-1,装备库!$AO$2:$AO$1046,0),COLUMN()),"")</f>
        <v>0</v>
      </c>
      <c r="I625">
        <f>IFERROR(INDEX(装备库!$A$2:$Y$1047,MATCH(ROW()-1,装备库!$AO$2:$AO$1046,0),COLUMN()),"")</f>
        <v>0</v>
      </c>
      <c r="J625">
        <f>IFERROR(INDEX(装备库!$A$2:$Y$1047,MATCH(ROW()-1,装备库!$AO$2:$AO$1046,0),COLUMN()),"")</f>
        <v>4485</v>
      </c>
      <c r="K625">
        <f>IFERROR(INDEX(装备库!$A$2:$Y$1047,MATCH(ROW()-1,装备库!$AO$2:$AO$1046,0),COLUMN()),"")</f>
        <v>0</v>
      </c>
      <c r="L625">
        <f>IFERROR(INDEX(装备库!$A$2:$Y$1047,MATCH(ROW()-1,装备库!$AO$2:$AO$1046,0),COLUMN()),"")</f>
        <v>0</v>
      </c>
      <c r="M625">
        <f>IFERROR(INDEX(装备库!$A$2:$Y$1047,MATCH(ROW()-1,装备库!$AO$2:$AO$1046,0),COLUMN()),"")</f>
        <v>2636</v>
      </c>
      <c r="N625">
        <f>IFERROR(INDEX(装备库!$A$2:$Y$1047,MATCH(ROW()-1,装备库!$AO$2:$AO$1046,0),COLUMN()),"")</f>
        <v>4393</v>
      </c>
      <c r="O625">
        <f>IFERROR(INDEX(装备库!$A$2:$Y$1047,MATCH(ROW()-1,装备库!$AO$2:$AO$1046,0),COLUMN()),"")</f>
        <v>1</v>
      </c>
      <c r="P625">
        <f>IFERROR(INDEX(装备库!$A$2:$Y$1047,MATCH(ROW()-1,装备库!$AO$2:$AO$1046,0),COLUMN()),"")</f>
        <v>1</v>
      </c>
      <c r="Q625">
        <f>IFERROR(INDEX(装备库!$A$2:$Y$1047,MATCH(ROW()-1,装备库!$AO$2:$AO$1046,0),COLUMN()),"")</f>
        <v>0</v>
      </c>
      <c r="R625">
        <f>IFERROR(INDEX(装备库!$A$2:$Y$1047,MATCH(ROW()-1,装备库!$AO$2:$AO$1046,0),COLUMN()),"")</f>
        <v>0</v>
      </c>
      <c r="S625">
        <f>IFERROR(INDEX(装备库!$A$2:$Y$1047,MATCH(ROW()-1,装备库!$AO$2:$AO$1046,0),COLUMN()),"")</f>
        <v>1</v>
      </c>
      <c r="T625">
        <f>IFERROR(INDEX(装备库!$A$2:$Y$1047,MATCH(ROW()-1,装备库!$AO$2:$AO$1046,0),COLUMN()),"")</f>
        <v>0</v>
      </c>
      <c r="U625">
        <f>IFERROR(INDEX(装备库!$A$2:$Y$1047,MATCH(ROW()-1,装备库!$AO$2:$AO$1046,0),COLUMN()),"")</f>
        <v>0</v>
      </c>
      <c r="V625">
        <f>IFERROR(INDEX(装备库!$A$2:$Y$1047,MATCH(ROW()-1,装备库!$AO$2:$AO$1046,0),COLUMN()),"")</f>
        <v>0</v>
      </c>
      <c r="W625" t="str">
        <f>IFERROR(INDEX(装备库!$A$2:$Y$1047,MATCH(ROW()-1,装备库!$AO$2:$AO$1046,0),COLUMN()),"")</f>
        <v>会招</v>
      </c>
      <c r="X625">
        <f>IFERROR(INDEX(装备库!$A$2:$Y$1047,MATCH(ROW()-1,装备库!$AO$2:$AO$1046,0),COLUMN()),"")</f>
        <v>6</v>
      </c>
      <c r="Y625" t="str">
        <f>IFERROR(INDEX(装备库!$A$2:$Y$1047,MATCH(ROW()-1,装备库!$AO$2:$AO$1046,0),COLUMN()),"")</f>
        <v>副本</v>
      </c>
    </row>
    <row r="626" spans="1:25" x14ac:dyDescent="0.35">
      <c r="A626" t="str">
        <f>IFERROR(INDEX(装备库!$A$2:$Y$1047,MATCH(ROW()-1,装备库!$AO$2:$AO$1046,0),COLUMN()),"")</f>
        <v>长兵</v>
      </c>
      <c r="B626" t="str">
        <f>IFERROR(INDEX(装备库!$A$2:$Y$1047,MATCH(ROW()-1,装备库!$AO$2:$AO$1046,0),COLUMN()),"")</f>
        <v>应雷枪</v>
      </c>
      <c r="C626">
        <f>IFERROR(INDEX(装备库!$A$2:$Y$1047,MATCH(ROW()-1,装备库!$AO$2:$AO$1046,0),COLUMN()),"")</f>
        <v>10000</v>
      </c>
      <c r="D626" t="str">
        <f>IFERROR(INDEX(装备库!$A$2:$Y$1047,MATCH(ROW()-1,装备库!$AO$2:$AO$1046,0),COLUMN()),"")</f>
        <v>应雷枪(10000会招)</v>
      </c>
      <c r="E626">
        <f>IFERROR(INDEX(装备库!$A$2:$Y$1047,MATCH(ROW()-1,装备库!$AO$2:$AO$1046,0),COLUMN()),"")</f>
        <v>838</v>
      </c>
      <c r="F626">
        <f>IFERROR(INDEX(装备库!$A$2:$Y$1047,MATCH(ROW()-1,装备库!$AO$2:$AO$1046,0),COLUMN()),"")</f>
        <v>3245</v>
      </c>
      <c r="G626">
        <f>IFERROR(INDEX(装备库!$A$2:$Y$1047,MATCH(ROW()-1,装备库!$AO$2:$AO$1046,0),COLUMN()),"")</f>
        <v>4204</v>
      </c>
      <c r="H626">
        <f>IFERROR(INDEX(装备库!$A$2:$Y$1047,MATCH(ROW()-1,装备库!$AO$2:$AO$1046,0),COLUMN()),"")</f>
        <v>0</v>
      </c>
      <c r="I626">
        <f>IFERROR(INDEX(装备库!$A$2:$Y$1047,MATCH(ROW()-1,装备库!$AO$2:$AO$1046,0),COLUMN()),"")</f>
        <v>0</v>
      </c>
      <c r="J626">
        <f>IFERROR(INDEX(装备库!$A$2:$Y$1047,MATCH(ROW()-1,装备库!$AO$2:$AO$1046,0),COLUMN()),"")</f>
        <v>4485</v>
      </c>
      <c r="K626">
        <f>IFERROR(INDEX(装备库!$A$2:$Y$1047,MATCH(ROW()-1,装备库!$AO$2:$AO$1046,0),COLUMN()),"")</f>
        <v>0</v>
      </c>
      <c r="L626">
        <f>IFERROR(INDEX(装备库!$A$2:$Y$1047,MATCH(ROW()-1,装备库!$AO$2:$AO$1046,0),COLUMN()),"")</f>
        <v>0</v>
      </c>
      <c r="M626">
        <f>IFERROR(INDEX(装备库!$A$2:$Y$1047,MATCH(ROW()-1,装备库!$AO$2:$AO$1046,0),COLUMN()),"")</f>
        <v>2636</v>
      </c>
      <c r="N626">
        <f>IFERROR(INDEX(装备库!$A$2:$Y$1047,MATCH(ROW()-1,装备库!$AO$2:$AO$1046,0),COLUMN()),"")</f>
        <v>4393</v>
      </c>
      <c r="O626">
        <f>IFERROR(INDEX(装备库!$A$2:$Y$1047,MATCH(ROW()-1,装备库!$AO$2:$AO$1046,0),COLUMN()),"")</f>
        <v>1</v>
      </c>
      <c r="P626">
        <f>IFERROR(INDEX(装备库!$A$2:$Y$1047,MATCH(ROW()-1,装备库!$AO$2:$AO$1046,0),COLUMN()),"")</f>
        <v>1</v>
      </c>
      <c r="Q626">
        <f>IFERROR(INDEX(装备库!$A$2:$Y$1047,MATCH(ROW()-1,装备库!$AO$2:$AO$1046,0),COLUMN()),"")</f>
        <v>0</v>
      </c>
      <c r="R626">
        <f>IFERROR(INDEX(装备库!$A$2:$Y$1047,MATCH(ROW()-1,装备库!$AO$2:$AO$1046,0),COLUMN()),"")</f>
        <v>0</v>
      </c>
      <c r="S626">
        <f>IFERROR(INDEX(装备库!$A$2:$Y$1047,MATCH(ROW()-1,装备库!$AO$2:$AO$1046,0),COLUMN()),"")</f>
        <v>1</v>
      </c>
      <c r="T626">
        <f>IFERROR(INDEX(装备库!$A$2:$Y$1047,MATCH(ROW()-1,装备库!$AO$2:$AO$1046,0),COLUMN()),"")</f>
        <v>0</v>
      </c>
      <c r="U626">
        <f>IFERROR(INDEX(装备库!$A$2:$Y$1047,MATCH(ROW()-1,装备库!$AO$2:$AO$1046,0),COLUMN()),"")</f>
        <v>0</v>
      </c>
      <c r="V626">
        <f>IFERROR(INDEX(装备库!$A$2:$Y$1047,MATCH(ROW()-1,装备库!$AO$2:$AO$1046,0),COLUMN()),"")</f>
        <v>0</v>
      </c>
      <c r="W626" t="str">
        <f>IFERROR(INDEX(装备库!$A$2:$Y$1047,MATCH(ROW()-1,装备库!$AO$2:$AO$1046,0),COLUMN()),"")</f>
        <v>会招</v>
      </c>
      <c r="X626">
        <f>IFERROR(INDEX(装备库!$A$2:$Y$1047,MATCH(ROW()-1,装备库!$AO$2:$AO$1046,0),COLUMN()),"")</f>
        <v>6</v>
      </c>
      <c r="Y626" t="str">
        <f>IFERROR(INDEX(装备库!$A$2:$Y$1047,MATCH(ROW()-1,装备库!$AO$2:$AO$1046,0),COLUMN()),"")</f>
        <v>副本</v>
      </c>
    </row>
    <row r="627" spans="1:25" x14ac:dyDescent="0.35">
      <c r="A627" t="str">
        <f>IFERROR(INDEX(装备库!$A$2:$Y$1047,MATCH(ROW()-1,装备库!$AO$2:$AO$1046,0),COLUMN()),"")</f>
        <v>长兵</v>
      </c>
      <c r="B627" t="str">
        <f>IFERROR(INDEX(装备库!$A$2:$Y$1047,MATCH(ROW()-1,装备库!$AO$2:$AO$1046,0),COLUMN()),"")</f>
        <v>寻踪觅宝·凌遥枪</v>
      </c>
      <c r="C627">
        <f>IFERROR(INDEX(装备库!$A$2:$Y$1047,MATCH(ROW()-1,装备库!$AO$2:$AO$1046,0),COLUMN()),"")</f>
        <v>10000</v>
      </c>
      <c r="D627" t="str">
        <f>IFERROR(INDEX(装备库!$A$2:$Y$1047,MATCH(ROW()-1,装备库!$AO$2:$AO$1046,0),COLUMN()),"")</f>
        <v>寻踪觅宝·凌遥枪(10000会招)</v>
      </c>
      <c r="E627">
        <f>IFERROR(INDEX(装备库!$A$2:$Y$1047,MATCH(ROW()-1,装备库!$AO$2:$AO$1046,0),COLUMN()),"")</f>
        <v>838</v>
      </c>
      <c r="F627">
        <f>IFERROR(INDEX(装备库!$A$2:$Y$1047,MATCH(ROW()-1,装备库!$AO$2:$AO$1046,0),COLUMN()),"")</f>
        <v>3245</v>
      </c>
      <c r="G627">
        <f>IFERROR(INDEX(装备库!$A$2:$Y$1047,MATCH(ROW()-1,装备库!$AO$2:$AO$1046,0),COLUMN()),"")</f>
        <v>4204</v>
      </c>
      <c r="H627">
        <f>IFERROR(INDEX(装备库!$A$2:$Y$1047,MATCH(ROW()-1,装备库!$AO$2:$AO$1046,0),COLUMN()),"")</f>
        <v>0</v>
      </c>
      <c r="I627">
        <f>IFERROR(INDEX(装备库!$A$2:$Y$1047,MATCH(ROW()-1,装备库!$AO$2:$AO$1046,0),COLUMN()),"")</f>
        <v>0</v>
      </c>
      <c r="J627">
        <f>IFERROR(INDEX(装备库!$A$2:$Y$1047,MATCH(ROW()-1,装备库!$AO$2:$AO$1046,0),COLUMN()),"")</f>
        <v>4485</v>
      </c>
      <c r="K627">
        <f>IFERROR(INDEX(装备库!$A$2:$Y$1047,MATCH(ROW()-1,装备库!$AO$2:$AO$1046,0),COLUMN()),"")</f>
        <v>0</v>
      </c>
      <c r="L627">
        <f>IFERROR(INDEX(装备库!$A$2:$Y$1047,MATCH(ROW()-1,装备库!$AO$2:$AO$1046,0),COLUMN()),"")</f>
        <v>0</v>
      </c>
      <c r="M627">
        <f>IFERROR(INDEX(装备库!$A$2:$Y$1047,MATCH(ROW()-1,装备库!$AO$2:$AO$1046,0),COLUMN()),"")</f>
        <v>2636</v>
      </c>
      <c r="N627">
        <f>IFERROR(INDEX(装备库!$A$2:$Y$1047,MATCH(ROW()-1,装备库!$AO$2:$AO$1046,0),COLUMN()),"")</f>
        <v>4393</v>
      </c>
      <c r="O627">
        <f>IFERROR(INDEX(装备库!$A$2:$Y$1047,MATCH(ROW()-1,装备库!$AO$2:$AO$1046,0),COLUMN()),"")</f>
        <v>1</v>
      </c>
      <c r="P627">
        <f>IFERROR(INDEX(装备库!$A$2:$Y$1047,MATCH(ROW()-1,装备库!$AO$2:$AO$1046,0),COLUMN()),"")</f>
        <v>1</v>
      </c>
      <c r="Q627">
        <f>IFERROR(INDEX(装备库!$A$2:$Y$1047,MATCH(ROW()-1,装备库!$AO$2:$AO$1046,0),COLUMN()),"")</f>
        <v>0</v>
      </c>
      <c r="R627">
        <f>IFERROR(INDEX(装备库!$A$2:$Y$1047,MATCH(ROW()-1,装备库!$AO$2:$AO$1046,0),COLUMN()),"")</f>
        <v>0</v>
      </c>
      <c r="S627">
        <f>IFERROR(INDEX(装备库!$A$2:$Y$1047,MATCH(ROW()-1,装备库!$AO$2:$AO$1046,0),COLUMN()),"")</f>
        <v>1</v>
      </c>
      <c r="T627">
        <f>IFERROR(INDEX(装备库!$A$2:$Y$1047,MATCH(ROW()-1,装备库!$AO$2:$AO$1046,0),COLUMN()),"")</f>
        <v>0</v>
      </c>
      <c r="U627">
        <f>IFERROR(INDEX(装备库!$A$2:$Y$1047,MATCH(ROW()-1,装备库!$AO$2:$AO$1046,0),COLUMN()),"")</f>
        <v>0</v>
      </c>
      <c r="V627">
        <f>IFERROR(INDEX(装备库!$A$2:$Y$1047,MATCH(ROW()-1,装备库!$AO$2:$AO$1046,0),COLUMN()),"")</f>
        <v>0</v>
      </c>
      <c r="W627" t="str">
        <f>IFERROR(INDEX(装备库!$A$2:$Y$1047,MATCH(ROW()-1,装备库!$AO$2:$AO$1046,0),COLUMN()),"")</f>
        <v>会招</v>
      </c>
      <c r="X627">
        <f>IFERROR(INDEX(装备库!$A$2:$Y$1047,MATCH(ROW()-1,装备库!$AO$2:$AO$1046,0),COLUMN()),"")</f>
        <v>6</v>
      </c>
      <c r="Y627" t="str">
        <f>IFERROR(INDEX(装备库!$A$2:$Y$1047,MATCH(ROW()-1,装备库!$AO$2:$AO$1046,0),COLUMN()),"")</f>
        <v>挖宝</v>
      </c>
    </row>
    <row r="628" spans="1:25" x14ac:dyDescent="0.35">
      <c r="A628" t="str">
        <f>IFERROR(INDEX(装备库!$A$2:$Y$1047,MATCH(ROW()-1,装备库!$AO$2:$AO$1046,0),COLUMN()),"")</f>
        <v>长兵</v>
      </c>
      <c r="B628" t="str">
        <f>IFERROR(INDEX(装备库!$A$2:$Y$1047,MATCH(ROW()-1,装备库!$AO$2:$AO$1046,0),COLUMN()),"")</f>
        <v>渺野</v>
      </c>
      <c r="C628">
        <f>IFERROR(INDEX(装备库!$A$2:$Y$1047,MATCH(ROW()-1,装备库!$AO$2:$AO$1046,0),COLUMN()),"")</f>
        <v>10150</v>
      </c>
      <c r="D628" t="str">
        <f>IFERROR(INDEX(装备库!$A$2:$Y$1047,MATCH(ROW()-1,装备库!$AO$2:$AO$1046,0),COLUMN()),"")</f>
        <v>渺野(10150会无)</v>
      </c>
      <c r="E628">
        <f>IFERROR(INDEX(装备库!$A$2:$Y$1047,MATCH(ROW()-1,装备库!$AO$2:$AO$1046,0),COLUMN()),"")</f>
        <v>851</v>
      </c>
      <c r="F628">
        <f>IFERROR(INDEX(装备库!$A$2:$Y$1047,MATCH(ROW()-1,装备库!$AO$2:$AO$1046,0),COLUMN()),"")</f>
        <v>3294</v>
      </c>
      <c r="G628">
        <f>IFERROR(INDEX(装备库!$A$2:$Y$1047,MATCH(ROW()-1,装备库!$AO$2:$AO$1046,0),COLUMN()),"")</f>
        <v>4267</v>
      </c>
      <c r="H628">
        <f>IFERROR(INDEX(装备库!$A$2:$Y$1047,MATCH(ROW()-1,装备库!$AO$2:$AO$1046,0),COLUMN()),"")</f>
        <v>0</v>
      </c>
      <c r="I628">
        <f>IFERROR(INDEX(装备库!$A$2:$Y$1047,MATCH(ROW()-1,装备库!$AO$2:$AO$1046,0),COLUMN()),"")</f>
        <v>0</v>
      </c>
      <c r="J628">
        <f>IFERROR(INDEX(装备库!$A$2:$Y$1047,MATCH(ROW()-1,装备库!$AO$2:$AO$1046,0),COLUMN()),"")</f>
        <v>0</v>
      </c>
      <c r="K628">
        <f>IFERROR(INDEX(装备库!$A$2:$Y$1047,MATCH(ROW()-1,装备库!$AO$2:$AO$1046,0),COLUMN()),"")</f>
        <v>4552</v>
      </c>
      <c r="L628">
        <f>IFERROR(INDEX(装备库!$A$2:$Y$1047,MATCH(ROW()-1,装备库!$AO$2:$AO$1046,0),COLUMN()),"")</f>
        <v>0</v>
      </c>
      <c r="M628">
        <f>IFERROR(INDEX(装备库!$A$2:$Y$1047,MATCH(ROW()-1,装备库!$AO$2:$AO$1046,0),COLUMN()),"")</f>
        <v>2675</v>
      </c>
      <c r="N628">
        <f>IFERROR(INDEX(装备库!$A$2:$Y$1047,MATCH(ROW()-1,装备库!$AO$2:$AO$1046,0),COLUMN()),"")</f>
        <v>4459</v>
      </c>
      <c r="O628">
        <f>IFERROR(INDEX(装备库!$A$2:$Y$1047,MATCH(ROW()-1,装备库!$AO$2:$AO$1046,0),COLUMN()),"")</f>
        <v>1</v>
      </c>
      <c r="P628">
        <f>IFERROR(INDEX(装备库!$A$2:$Y$1047,MATCH(ROW()-1,装备库!$AO$2:$AO$1046,0),COLUMN()),"")</f>
        <v>0</v>
      </c>
      <c r="Q628">
        <f>IFERROR(INDEX(装备库!$A$2:$Y$1047,MATCH(ROW()-1,装备库!$AO$2:$AO$1046,0),COLUMN()),"")</f>
        <v>1</v>
      </c>
      <c r="R628">
        <f>IFERROR(INDEX(装备库!$A$2:$Y$1047,MATCH(ROW()-1,装备库!$AO$2:$AO$1046,0),COLUMN()),"")</f>
        <v>1</v>
      </c>
      <c r="S628">
        <f>IFERROR(INDEX(装备库!$A$2:$Y$1047,MATCH(ROW()-1,装备库!$AO$2:$AO$1046,0),COLUMN()),"")</f>
        <v>0</v>
      </c>
      <c r="T628">
        <f>IFERROR(INDEX(装备库!$A$2:$Y$1047,MATCH(ROW()-1,装备库!$AO$2:$AO$1046,0),COLUMN()),"")</f>
        <v>0</v>
      </c>
      <c r="U628">
        <f>IFERROR(INDEX(装备库!$A$2:$Y$1047,MATCH(ROW()-1,装备库!$AO$2:$AO$1046,0),COLUMN()),"")</f>
        <v>0</v>
      </c>
      <c r="V628">
        <f>IFERROR(INDEX(装备库!$A$2:$Y$1047,MATCH(ROW()-1,装备库!$AO$2:$AO$1046,0),COLUMN()),"")</f>
        <v>0</v>
      </c>
      <c r="W628" t="str">
        <f>IFERROR(INDEX(装备库!$A$2:$Y$1047,MATCH(ROW()-1,装备库!$AO$2:$AO$1046,0),COLUMN()),"")</f>
        <v>会无</v>
      </c>
      <c r="X628">
        <f>IFERROR(INDEX(装备库!$A$2:$Y$1047,MATCH(ROW()-1,装备库!$AO$2:$AO$1046,0),COLUMN()),"")</f>
        <v>6</v>
      </c>
      <c r="Y628" t="str">
        <f>IFERROR(INDEX(装备库!$A$2:$Y$1047,MATCH(ROW()-1,装备库!$AO$2:$AO$1046,0),COLUMN()),"")</f>
        <v>副本</v>
      </c>
    </row>
    <row r="629" spans="1:25" x14ac:dyDescent="0.35">
      <c r="A629" t="str">
        <f>IFERROR(INDEX(装备库!$A$2:$Y$1047,MATCH(ROW()-1,装备库!$AO$2:$AO$1046,0),COLUMN()),"")</f>
        <v>长兵</v>
      </c>
      <c r="B629" t="str">
        <f>IFERROR(INDEX(装备库!$A$2:$Y$1047,MATCH(ROW()-1,装备库!$AO$2:$AO$1046,0),COLUMN()),"")</f>
        <v>旷野孤疆</v>
      </c>
      <c r="C629">
        <f>IFERROR(INDEX(装备库!$A$2:$Y$1047,MATCH(ROW()-1,装备库!$AO$2:$AO$1046,0),COLUMN()),"")</f>
        <v>10300</v>
      </c>
      <c r="D629" t="str">
        <f>IFERROR(INDEX(装备库!$A$2:$Y$1047,MATCH(ROW()-1,装备库!$AO$2:$AO$1046,0),COLUMN()),"")</f>
        <v>旷野孤疆(10300大橙武)</v>
      </c>
      <c r="E629">
        <f>IFERROR(INDEX(装备库!$A$2:$Y$1047,MATCH(ROW()-1,装备库!$AO$2:$AO$1046,0),COLUMN()),"")</f>
        <v>1199</v>
      </c>
      <c r="F629">
        <f>IFERROR(INDEX(装备库!$A$2:$Y$1047,MATCH(ROW()-1,装备库!$AO$2:$AO$1046,0),COLUMN()),"")</f>
        <v>4492</v>
      </c>
      <c r="G629">
        <f>IFERROR(INDEX(装备库!$A$2:$Y$1047,MATCH(ROW()-1,装备库!$AO$2:$AO$1046,0),COLUMN()),"")</f>
        <v>4845</v>
      </c>
      <c r="H629">
        <f>IFERROR(INDEX(装备库!$A$2:$Y$1047,MATCH(ROW()-1,装备库!$AO$2:$AO$1046,0),COLUMN()),"")</f>
        <v>0</v>
      </c>
      <c r="I629">
        <f>IFERROR(INDEX(装备库!$A$2:$Y$1047,MATCH(ROW()-1,装备库!$AO$2:$AO$1046,0),COLUMN()),"")</f>
        <v>5179</v>
      </c>
      <c r="J629">
        <f>IFERROR(INDEX(装备库!$A$2:$Y$1047,MATCH(ROW()-1,装备库!$AO$2:$AO$1046,0),COLUMN()),"")</f>
        <v>0</v>
      </c>
      <c r="K629">
        <f>IFERROR(INDEX(装备库!$A$2:$Y$1047,MATCH(ROW()-1,装备库!$AO$2:$AO$1046,0),COLUMN()),"")</f>
        <v>0</v>
      </c>
      <c r="L629">
        <f>IFERROR(INDEX(装备库!$A$2:$Y$1047,MATCH(ROW()-1,装备库!$AO$2:$AO$1046,0),COLUMN()),"")</f>
        <v>1671</v>
      </c>
      <c r="M629">
        <f>IFERROR(INDEX(装备库!$A$2:$Y$1047,MATCH(ROW()-1,装备库!$AO$2:$AO$1046,0),COLUMN()),"")</f>
        <v>3771</v>
      </c>
      <c r="N629">
        <f>IFERROR(INDEX(装备库!$A$2:$Y$1047,MATCH(ROW()-1,装备库!$AO$2:$AO$1046,0),COLUMN()),"")</f>
        <v>6285</v>
      </c>
      <c r="O629">
        <f>IFERROR(INDEX(装备库!$A$2:$Y$1047,MATCH(ROW()-1,装备库!$AO$2:$AO$1046,0),COLUMN()),"")</f>
        <v>1</v>
      </c>
      <c r="P629">
        <f>IFERROR(INDEX(装备库!$A$2:$Y$1047,MATCH(ROW()-1,装备库!$AO$2:$AO$1046,0),COLUMN()),"")</f>
        <v>1</v>
      </c>
      <c r="Q629">
        <f>IFERROR(INDEX(装备库!$A$2:$Y$1047,MATCH(ROW()-1,装备库!$AO$2:$AO$1046,0),COLUMN()),"")</f>
        <v>0</v>
      </c>
      <c r="R629">
        <f>IFERROR(INDEX(装备库!$A$2:$Y$1047,MATCH(ROW()-1,装备库!$AO$2:$AO$1046,0),COLUMN()),"")</f>
        <v>0</v>
      </c>
      <c r="S629">
        <f>IFERROR(INDEX(装备库!$A$2:$Y$1047,MATCH(ROW()-1,装备库!$AO$2:$AO$1046,0),COLUMN()),"")</f>
        <v>1</v>
      </c>
      <c r="T629">
        <f>IFERROR(INDEX(装备库!$A$2:$Y$1047,MATCH(ROW()-1,装备库!$AO$2:$AO$1046,0),COLUMN()),"")</f>
        <v>0</v>
      </c>
      <c r="U629">
        <f>IFERROR(INDEX(装备库!$A$2:$Y$1047,MATCH(ROW()-1,装备库!$AO$2:$AO$1046,0),COLUMN()),"")</f>
        <v>0</v>
      </c>
      <c r="V629">
        <f>IFERROR(INDEX(装备库!$A$2:$Y$1047,MATCH(ROW()-1,装备库!$AO$2:$AO$1046,0),COLUMN()),"")</f>
        <v>0</v>
      </c>
      <c r="W629" t="str">
        <f>IFERROR(INDEX(装备库!$A$2:$Y$1047,MATCH(ROW()-1,装备库!$AO$2:$AO$1046,0),COLUMN()),"")</f>
        <v>大橙武</v>
      </c>
      <c r="X629">
        <f>IFERROR(INDEX(装备库!$A$2:$Y$1047,MATCH(ROW()-1,装备库!$AO$2:$AO$1046,0),COLUMN()),"")</f>
        <v>8</v>
      </c>
      <c r="Y629" t="str">
        <f>IFERROR(INDEX(装备库!$A$2:$Y$1047,MATCH(ROW()-1,装备库!$AO$2:$AO$1046,0),COLUMN()),"")</f>
        <v>任务</v>
      </c>
    </row>
    <row r="630" spans="1:25" x14ac:dyDescent="0.35">
      <c r="A630" t="str">
        <f>IFERROR(INDEX(装备库!$A$2:$Y$1047,MATCH(ROW()-1,装备库!$AO$2:$AO$1046,0),COLUMN()),"")</f>
        <v>长兵</v>
      </c>
      <c r="B630" t="str">
        <f>IFERROR(INDEX(装备库!$A$2:$Y$1047,MATCH(ROW()-1,装备库!$AO$2:$AO$1046,0),COLUMN()),"")</f>
        <v>虚范枪</v>
      </c>
      <c r="C630">
        <f>IFERROR(INDEX(装备库!$A$2:$Y$1047,MATCH(ROW()-1,装备库!$AO$2:$AO$1046,0),COLUMN()),"")</f>
        <v>10400</v>
      </c>
      <c r="D630" t="str">
        <f>IFERROR(INDEX(装备库!$A$2:$Y$1047,MATCH(ROW()-1,装备库!$AO$2:$AO$1046,0),COLUMN()),"")</f>
        <v>虚范枪(10400会无)</v>
      </c>
      <c r="E630">
        <f>IFERROR(INDEX(装备库!$A$2:$Y$1047,MATCH(ROW()-1,装备库!$AO$2:$AO$1046,0),COLUMN()),"")</f>
        <v>871</v>
      </c>
      <c r="F630">
        <f>IFERROR(INDEX(装备库!$A$2:$Y$1047,MATCH(ROW()-1,装备库!$AO$2:$AO$1046,0),COLUMN()),"")</f>
        <v>3375</v>
      </c>
      <c r="G630">
        <f>IFERROR(INDEX(装备库!$A$2:$Y$1047,MATCH(ROW()-1,装备库!$AO$2:$AO$1046,0),COLUMN()),"")</f>
        <v>4373</v>
      </c>
      <c r="H630">
        <f>IFERROR(INDEX(装备库!$A$2:$Y$1047,MATCH(ROW()-1,装备库!$AO$2:$AO$1046,0),COLUMN()),"")</f>
        <v>0</v>
      </c>
      <c r="I630">
        <f>IFERROR(INDEX(装备库!$A$2:$Y$1047,MATCH(ROW()-1,装备库!$AO$2:$AO$1046,0),COLUMN()),"")</f>
        <v>0</v>
      </c>
      <c r="J630">
        <f>IFERROR(INDEX(装备库!$A$2:$Y$1047,MATCH(ROW()-1,装备库!$AO$2:$AO$1046,0),COLUMN()),"")</f>
        <v>0</v>
      </c>
      <c r="K630">
        <f>IFERROR(INDEX(装备库!$A$2:$Y$1047,MATCH(ROW()-1,装备库!$AO$2:$AO$1046,0),COLUMN()),"")</f>
        <v>4664</v>
      </c>
      <c r="L630">
        <f>IFERROR(INDEX(装备库!$A$2:$Y$1047,MATCH(ROW()-1,装备库!$AO$2:$AO$1046,0),COLUMN()),"")</f>
        <v>0</v>
      </c>
      <c r="M630">
        <f>IFERROR(INDEX(装备库!$A$2:$Y$1047,MATCH(ROW()-1,装备库!$AO$2:$AO$1046,0),COLUMN()),"")</f>
        <v>2741</v>
      </c>
      <c r="N630">
        <f>IFERROR(INDEX(装备库!$A$2:$Y$1047,MATCH(ROW()-1,装备库!$AO$2:$AO$1046,0),COLUMN()),"")</f>
        <v>4569</v>
      </c>
      <c r="O630">
        <f>IFERROR(INDEX(装备库!$A$2:$Y$1047,MATCH(ROW()-1,装备库!$AO$2:$AO$1046,0),COLUMN()),"")</f>
        <v>1</v>
      </c>
      <c r="P630">
        <f>IFERROR(INDEX(装备库!$A$2:$Y$1047,MATCH(ROW()-1,装备库!$AO$2:$AO$1046,0),COLUMN()),"")</f>
        <v>0</v>
      </c>
      <c r="Q630">
        <f>IFERROR(INDEX(装备库!$A$2:$Y$1047,MATCH(ROW()-1,装备库!$AO$2:$AO$1046,0),COLUMN()),"")</f>
        <v>1</v>
      </c>
      <c r="R630">
        <f>IFERROR(INDEX(装备库!$A$2:$Y$1047,MATCH(ROW()-1,装备库!$AO$2:$AO$1046,0),COLUMN()),"")</f>
        <v>1</v>
      </c>
      <c r="S630">
        <f>IFERROR(INDEX(装备库!$A$2:$Y$1047,MATCH(ROW()-1,装备库!$AO$2:$AO$1046,0),COLUMN()),"")</f>
        <v>0</v>
      </c>
      <c r="T630">
        <f>IFERROR(INDEX(装备库!$A$2:$Y$1047,MATCH(ROW()-1,装备库!$AO$2:$AO$1046,0),COLUMN()),"")</f>
        <v>0</v>
      </c>
      <c r="U630">
        <f>IFERROR(INDEX(装备库!$A$2:$Y$1047,MATCH(ROW()-1,装备库!$AO$2:$AO$1046,0),COLUMN()),"")</f>
        <v>0</v>
      </c>
      <c r="V630">
        <f>IFERROR(INDEX(装备库!$A$2:$Y$1047,MATCH(ROW()-1,装备库!$AO$2:$AO$1046,0),COLUMN()),"")</f>
        <v>0</v>
      </c>
      <c r="W630" t="str">
        <f>IFERROR(INDEX(装备库!$A$2:$Y$1047,MATCH(ROW()-1,装备库!$AO$2:$AO$1046,0),COLUMN()),"")</f>
        <v>会无</v>
      </c>
      <c r="X630">
        <f>IFERROR(INDEX(装备库!$A$2:$Y$1047,MATCH(ROW()-1,装备库!$AO$2:$AO$1046,0),COLUMN()),"")</f>
        <v>6</v>
      </c>
      <c r="Y630" t="str">
        <f>IFERROR(INDEX(装备库!$A$2:$Y$1047,MATCH(ROW()-1,装备库!$AO$2:$AO$1046,0),COLUMN()),"")</f>
        <v>侠义值</v>
      </c>
    </row>
    <row r="631" spans="1:25" x14ac:dyDescent="0.35">
      <c r="A631" t="str">
        <f>IFERROR(INDEX(装备库!$A$2:$Y$1047,MATCH(ROW()-1,装备库!$AO$2:$AO$1046,0),COLUMN()),"")</f>
        <v>长兵</v>
      </c>
      <c r="B631" t="str">
        <f>IFERROR(INDEX(装备库!$A$2:$Y$1047,MATCH(ROW()-1,装备库!$AO$2:$AO$1046,0),COLUMN()),"")</f>
        <v>红缨亮银枪·肃清</v>
      </c>
      <c r="C631">
        <f>IFERROR(INDEX(装备库!$A$2:$Y$1047,MATCH(ROW()-1,装备库!$AO$2:$AO$1046,0),COLUMN()),"")</f>
        <v>10600</v>
      </c>
      <c r="D631" t="str">
        <f>IFERROR(INDEX(装备库!$A$2:$Y$1047,MATCH(ROW()-1,装备库!$AO$2:$AO$1046,0),COLUMN()),"")</f>
        <v>红缨亮银枪·肃清(10600特效招破)</v>
      </c>
      <c r="E631">
        <f>IFERROR(INDEX(装备库!$A$2:$Y$1047,MATCH(ROW()-1,装备库!$AO$2:$AO$1046,0),COLUMN()),"")</f>
        <v>888</v>
      </c>
      <c r="F631">
        <f>IFERROR(INDEX(装备库!$A$2:$Y$1047,MATCH(ROW()-1,装备库!$AO$2:$AO$1046,0),COLUMN()),"")</f>
        <v>3440</v>
      </c>
      <c r="G631">
        <f>IFERROR(INDEX(装备库!$A$2:$Y$1047,MATCH(ROW()-1,装备库!$AO$2:$AO$1046,0),COLUMN()),"")</f>
        <v>0</v>
      </c>
      <c r="H631">
        <f>IFERROR(INDEX(装备库!$A$2:$Y$1047,MATCH(ROW()-1,装备库!$AO$2:$AO$1046,0),COLUMN()),"")</f>
        <v>0</v>
      </c>
      <c r="I631">
        <f>IFERROR(INDEX(装备库!$A$2:$Y$1047,MATCH(ROW()-1,装备库!$AO$2:$AO$1046,0),COLUMN()),"")</f>
        <v>4457</v>
      </c>
      <c r="J631">
        <f>IFERROR(INDEX(装备库!$A$2:$Y$1047,MATCH(ROW()-1,装备库!$AO$2:$AO$1046,0),COLUMN()),"")</f>
        <v>4754</v>
      </c>
      <c r="K631">
        <f>IFERROR(INDEX(装备库!$A$2:$Y$1047,MATCH(ROW()-1,装备库!$AO$2:$AO$1046,0),COLUMN()),"")</f>
        <v>0</v>
      </c>
      <c r="L631">
        <f>IFERROR(INDEX(装备库!$A$2:$Y$1047,MATCH(ROW()-1,装备库!$AO$2:$AO$1046,0),COLUMN()),"")</f>
        <v>0</v>
      </c>
      <c r="M631">
        <f>IFERROR(INDEX(装备库!$A$2:$Y$1047,MATCH(ROW()-1,装备库!$AO$2:$AO$1046,0),COLUMN()),"")</f>
        <v>2794</v>
      </c>
      <c r="N631">
        <f>IFERROR(INDEX(装备库!$A$2:$Y$1047,MATCH(ROW()-1,装备库!$AO$2:$AO$1046,0),COLUMN()),"")</f>
        <v>4657</v>
      </c>
      <c r="O631">
        <f>IFERROR(INDEX(装备库!$A$2:$Y$1047,MATCH(ROW()-1,装备库!$AO$2:$AO$1046,0),COLUMN()),"")</f>
        <v>1</v>
      </c>
      <c r="P631">
        <f>IFERROR(INDEX(装备库!$A$2:$Y$1047,MATCH(ROW()-1,装备库!$AO$2:$AO$1046,0),COLUMN()),"")</f>
        <v>1</v>
      </c>
      <c r="Q631">
        <f>IFERROR(INDEX(装备库!$A$2:$Y$1047,MATCH(ROW()-1,装备库!$AO$2:$AO$1046,0),COLUMN()),"")</f>
        <v>0</v>
      </c>
      <c r="R631">
        <f>IFERROR(INDEX(装备库!$A$2:$Y$1047,MATCH(ROW()-1,装备库!$AO$2:$AO$1046,0),COLUMN()),"")</f>
        <v>0</v>
      </c>
      <c r="S631">
        <f>IFERROR(INDEX(装备库!$A$2:$Y$1047,MATCH(ROW()-1,装备库!$AO$2:$AO$1046,0),COLUMN()),"")</f>
        <v>1</v>
      </c>
      <c r="T631">
        <f>IFERROR(INDEX(装备库!$A$2:$Y$1047,MATCH(ROW()-1,装备库!$AO$2:$AO$1046,0),COLUMN()),"")</f>
        <v>0</v>
      </c>
      <c r="U631">
        <f>IFERROR(INDEX(装备库!$A$2:$Y$1047,MATCH(ROW()-1,装备库!$AO$2:$AO$1046,0),COLUMN()),"")</f>
        <v>0</v>
      </c>
      <c r="V631">
        <f>IFERROR(INDEX(装备库!$A$2:$Y$1047,MATCH(ROW()-1,装备库!$AO$2:$AO$1046,0),COLUMN()),"")</f>
        <v>0</v>
      </c>
      <c r="W631" t="str">
        <f>IFERROR(INDEX(装备库!$A$2:$Y$1047,MATCH(ROW()-1,装备库!$AO$2:$AO$1046,0),COLUMN()),"")</f>
        <v>特效招破</v>
      </c>
      <c r="X631">
        <f>IFERROR(INDEX(装备库!$A$2:$Y$1047,MATCH(ROW()-1,装备库!$AO$2:$AO$1046,0),COLUMN()),"")</f>
        <v>4</v>
      </c>
      <c r="Y631" t="str">
        <f>IFERROR(INDEX(装备库!$A$2:$Y$1047,MATCH(ROW()-1,装备库!$AO$2:$AO$1046,0),COLUMN()),"")</f>
        <v>副本</v>
      </c>
    </row>
    <row r="632" spans="1:25" x14ac:dyDescent="0.35">
      <c r="A632" t="str">
        <f>IFERROR(INDEX(装备库!$A$2:$Y$1047,MATCH(ROW()-1,装备库!$AO$2:$AO$1046,0),COLUMN()),"")</f>
        <v>长兵</v>
      </c>
      <c r="B632" t="str">
        <f>IFERROR(INDEX(装备库!$A$2:$Y$1047,MATCH(ROW()-1,装备库!$AO$2:$AO$1046,0),COLUMN()),"")</f>
        <v>风销残烟·起岩风</v>
      </c>
      <c r="C632">
        <f>IFERROR(INDEX(装备库!$A$2:$Y$1047,MATCH(ROW()-1,装备库!$AO$2:$AO$1046,0),COLUMN()),"")</f>
        <v>11000</v>
      </c>
      <c r="D632" t="str">
        <f>IFERROR(INDEX(装备库!$A$2:$Y$1047,MATCH(ROW()-1,装备库!$AO$2:$AO$1046,0),COLUMN()),"")</f>
        <v>风销残烟·起岩风(11000破无)</v>
      </c>
      <c r="E632">
        <f>IFERROR(INDEX(装备库!$A$2:$Y$1047,MATCH(ROW()-1,装备库!$AO$2:$AO$1046,0),COLUMN()),"")</f>
        <v>922</v>
      </c>
      <c r="F632">
        <f>IFERROR(INDEX(装备库!$A$2:$Y$1047,MATCH(ROW()-1,装备库!$AO$2:$AO$1046,0),COLUMN()),"")</f>
        <v>3569</v>
      </c>
      <c r="G632">
        <f>IFERROR(INDEX(装备库!$A$2:$Y$1047,MATCH(ROW()-1,装备库!$AO$2:$AO$1046,0),COLUMN()),"")</f>
        <v>0</v>
      </c>
      <c r="H632">
        <f>IFERROR(INDEX(装备库!$A$2:$Y$1047,MATCH(ROW()-1,装备库!$AO$2:$AO$1046,0),COLUMN()),"")</f>
        <v>0</v>
      </c>
      <c r="I632">
        <f>IFERROR(INDEX(装备库!$A$2:$Y$1047,MATCH(ROW()-1,装备库!$AO$2:$AO$1046,0),COLUMN()),"")</f>
        <v>4625</v>
      </c>
      <c r="J632">
        <f>IFERROR(INDEX(装备库!$A$2:$Y$1047,MATCH(ROW()-1,装备库!$AO$2:$AO$1046,0),COLUMN()),"")</f>
        <v>0</v>
      </c>
      <c r="K632">
        <f>IFERROR(INDEX(装备库!$A$2:$Y$1047,MATCH(ROW()-1,装备库!$AO$2:$AO$1046,0),COLUMN()),"")</f>
        <v>4933</v>
      </c>
      <c r="L632">
        <f>IFERROR(INDEX(装备库!$A$2:$Y$1047,MATCH(ROW()-1,装备库!$AO$2:$AO$1046,0),COLUMN()),"")</f>
        <v>0</v>
      </c>
      <c r="M632">
        <f>IFERROR(INDEX(装备库!$A$2:$Y$1047,MATCH(ROW()-1,装备库!$AO$2:$AO$1046,0),COLUMN()),"")</f>
        <v>2900</v>
      </c>
      <c r="N632">
        <f>IFERROR(INDEX(装备库!$A$2:$Y$1047,MATCH(ROW()-1,装备库!$AO$2:$AO$1046,0),COLUMN()),"")</f>
        <v>4833</v>
      </c>
      <c r="O632">
        <f>IFERROR(INDEX(装备库!$A$2:$Y$1047,MATCH(ROW()-1,装备库!$AO$2:$AO$1046,0),COLUMN()),"")</f>
        <v>1</v>
      </c>
      <c r="P632">
        <f>IFERROR(INDEX(装备库!$A$2:$Y$1047,MATCH(ROW()-1,装备库!$AO$2:$AO$1046,0),COLUMN()),"")</f>
        <v>1</v>
      </c>
      <c r="Q632">
        <f>IFERROR(INDEX(装备库!$A$2:$Y$1047,MATCH(ROW()-1,装备库!$AO$2:$AO$1046,0),COLUMN()),"")</f>
        <v>0</v>
      </c>
      <c r="R632">
        <f>IFERROR(INDEX(装备库!$A$2:$Y$1047,MATCH(ROW()-1,装备库!$AO$2:$AO$1046,0),COLUMN()),"")</f>
        <v>0</v>
      </c>
      <c r="S632">
        <f>IFERROR(INDEX(装备库!$A$2:$Y$1047,MATCH(ROW()-1,装备库!$AO$2:$AO$1046,0),COLUMN()),"")</f>
        <v>1</v>
      </c>
      <c r="T632">
        <f>IFERROR(INDEX(装备库!$A$2:$Y$1047,MATCH(ROW()-1,装备库!$AO$2:$AO$1046,0),COLUMN()),"")</f>
        <v>0</v>
      </c>
      <c r="U632">
        <f>IFERROR(INDEX(装备库!$A$2:$Y$1047,MATCH(ROW()-1,装备库!$AO$2:$AO$1046,0),COLUMN()),"")</f>
        <v>0</v>
      </c>
      <c r="V632">
        <f>IFERROR(INDEX(装备库!$A$2:$Y$1047,MATCH(ROW()-1,装备库!$AO$2:$AO$1046,0),COLUMN()),"")</f>
        <v>0</v>
      </c>
      <c r="W632" t="str">
        <f>IFERROR(INDEX(装备库!$A$2:$Y$1047,MATCH(ROW()-1,装备库!$AO$2:$AO$1046,0),COLUMN()),"")</f>
        <v>破无</v>
      </c>
      <c r="X632">
        <f>IFERROR(INDEX(装备库!$A$2:$Y$1047,MATCH(ROW()-1,装备库!$AO$2:$AO$1046,0),COLUMN()),"")</f>
        <v>6</v>
      </c>
      <c r="Y632" t="str">
        <f>IFERROR(INDEX(装备库!$A$2:$Y$1047,MATCH(ROW()-1,装备库!$AO$2:$AO$1046,0),COLUMN()),"")</f>
        <v>飞沙令</v>
      </c>
    </row>
    <row r="633" spans="1:25" x14ac:dyDescent="0.35">
      <c r="A633" t="str">
        <f>IFERROR(INDEX(装备库!$A$2:$Y$1047,MATCH(ROW()-1,装备库!$AO$2:$AO$1046,0),COLUMN()),"")</f>
        <v>长兵</v>
      </c>
      <c r="B633" t="str">
        <f>IFERROR(INDEX(装备库!$A$2:$Y$1047,MATCH(ROW()-1,装备库!$AO$2:$AO$1046,0),COLUMN()),"")</f>
        <v>寻踪觅宝·风吟枪</v>
      </c>
      <c r="C633">
        <f>IFERROR(INDEX(装备库!$A$2:$Y$1047,MATCH(ROW()-1,装备库!$AO$2:$AO$1046,0),COLUMN()),"")</f>
        <v>11000</v>
      </c>
      <c r="D633" t="str">
        <f>IFERROR(INDEX(装备库!$A$2:$Y$1047,MATCH(ROW()-1,装备库!$AO$2:$AO$1046,0),COLUMN()),"")</f>
        <v>寻踪觅宝·风吟枪(11000会招)</v>
      </c>
      <c r="E633">
        <f>IFERROR(INDEX(装备库!$A$2:$Y$1047,MATCH(ROW()-1,装备库!$AO$2:$AO$1046,0),COLUMN()),"")</f>
        <v>922</v>
      </c>
      <c r="F633">
        <f>IFERROR(INDEX(装备库!$A$2:$Y$1047,MATCH(ROW()-1,装备库!$AO$2:$AO$1046,0),COLUMN()),"")</f>
        <v>3569</v>
      </c>
      <c r="G633">
        <f>IFERROR(INDEX(装备库!$A$2:$Y$1047,MATCH(ROW()-1,装备库!$AO$2:$AO$1046,0),COLUMN()),"")</f>
        <v>4625</v>
      </c>
      <c r="H633">
        <f>IFERROR(INDEX(装备库!$A$2:$Y$1047,MATCH(ROW()-1,装备库!$AO$2:$AO$1046,0),COLUMN()),"")</f>
        <v>0</v>
      </c>
      <c r="I633">
        <f>IFERROR(INDEX(装备库!$A$2:$Y$1047,MATCH(ROW()-1,装备库!$AO$2:$AO$1046,0),COLUMN()),"")</f>
        <v>0</v>
      </c>
      <c r="J633">
        <f>IFERROR(INDEX(装备库!$A$2:$Y$1047,MATCH(ROW()-1,装备库!$AO$2:$AO$1046,0),COLUMN()),"")</f>
        <v>4933</v>
      </c>
      <c r="K633">
        <f>IFERROR(INDEX(装备库!$A$2:$Y$1047,MATCH(ROW()-1,装备库!$AO$2:$AO$1046,0),COLUMN()),"")</f>
        <v>0</v>
      </c>
      <c r="L633">
        <f>IFERROR(INDEX(装备库!$A$2:$Y$1047,MATCH(ROW()-1,装备库!$AO$2:$AO$1046,0),COLUMN()),"")</f>
        <v>0</v>
      </c>
      <c r="M633">
        <f>IFERROR(INDEX(装备库!$A$2:$Y$1047,MATCH(ROW()-1,装备库!$AO$2:$AO$1046,0),COLUMN()),"")</f>
        <v>2900</v>
      </c>
      <c r="N633">
        <f>IFERROR(INDEX(装备库!$A$2:$Y$1047,MATCH(ROW()-1,装备库!$AO$2:$AO$1046,0),COLUMN()),"")</f>
        <v>4833</v>
      </c>
      <c r="O633">
        <f>IFERROR(INDEX(装备库!$A$2:$Y$1047,MATCH(ROW()-1,装备库!$AO$2:$AO$1046,0),COLUMN()),"")</f>
        <v>1</v>
      </c>
      <c r="P633">
        <f>IFERROR(INDEX(装备库!$A$2:$Y$1047,MATCH(ROW()-1,装备库!$AO$2:$AO$1046,0),COLUMN()),"")</f>
        <v>1</v>
      </c>
      <c r="Q633">
        <f>IFERROR(INDEX(装备库!$A$2:$Y$1047,MATCH(ROW()-1,装备库!$AO$2:$AO$1046,0),COLUMN()),"")</f>
        <v>0</v>
      </c>
      <c r="R633">
        <f>IFERROR(INDEX(装备库!$A$2:$Y$1047,MATCH(ROW()-1,装备库!$AO$2:$AO$1046,0),COLUMN()),"")</f>
        <v>0</v>
      </c>
      <c r="S633">
        <f>IFERROR(INDEX(装备库!$A$2:$Y$1047,MATCH(ROW()-1,装备库!$AO$2:$AO$1046,0),COLUMN()),"")</f>
        <v>1</v>
      </c>
      <c r="T633">
        <f>IFERROR(INDEX(装备库!$A$2:$Y$1047,MATCH(ROW()-1,装备库!$AO$2:$AO$1046,0),COLUMN()),"")</f>
        <v>0</v>
      </c>
      <c r="U633">
        <f>IFERROR(INDEX(装备库!$A$2:$Y$1047,MATCH(ROW()-1,装备库!$AO$2:$AO$1046,0),COLUMN()),"")</f>
        <v>0</v>
      </c>
      <c r="V633">
        <f>IFERROR(INDEX(装备库!$A$2:$Y$1047,MATCH(ROW()-1,装备库!$AO$2:$AO$1046,0),COLUMN()),"")</f>
        <v>0</v>
      </c>
      <c r="W633" t="str">
        <f>IFERROR(INDEX(装备库!$A$2:$Y$1047,MATCH(ROW()-1,装备库!$AO$2:$AO$1046,0),COLUMN()),"")</f>
        <v>会招</v>
      </c>
      <c r="X633">
        <f>IFERROR(INDEX(装备库!$A$2:$Y$1047,MATCH(ROW()-1,装备库!$AO$2:$AO$1046,0),COLUMN()),"")</f>
        <v>6</v>
      </c>
      <c r="Y633" t="str">
        <f>IFERROR(INDEX(装备库!$A$2:$Y$1047,MATCH(ROW()-1,装备库!$AO$2:$AO$1046,0),COLUMN()),"")</f>
        <v>挖宝</v>
      </c>
    </row>
    <row r="634" spans="1:25" x14ac:dyDescent="0.35">
      <c r="A634" t="str">
        <f>IFERROR(INDEX(装备库!$A$2:$Y$1047,MATCH(ROW()-1,装备库!$AO$2:$AO$1046,0),COLUMN()),"")</f>
        <v>长兵</v>
      </c>
      <c r="B634" t="str">
        <f>IFERROR(INDEX(装备库!$A$2:$Y$1047,MATCH(ROW()-1,装备库!$AO$2:$AO$1046,0),COLUMN()),"")</f>
        <v>破弦</v>
      </c>
      <c r="C634">
        <f>IFERROR(INDEX(装备库!$A$2:$Y$1047,MATCH(ROW()-1,装备库!$AO$2:$AO$1046,0),COLUMN()),"")</f>
        <v>11150</v>
      </c>
      <c r="D634" t="str">
        <f>IFERROR(INDEX(装备库!$A$2:$Y$1047,MATCH(ROW()-1,装备库!$AO$2:$AO$1046,0),COLUMN()),"")</f>
        <v>破弦(11150招破)</v>
      </c>
      <c r="E634">
        <f>IFERROR(INDEX(装备库!$A$2:$Y$1047,MATCH(ROW()-1,装备库!$AO$2:$AO$1046,0),COLUMN()),"")</f>
        <v>934</v>
      </c>
      <c r="F634">
        <f>IFERROR(INDEX(装备库!$A$2:$Y$1047,MATCH(ROW()-1,装备库!$AO$2:$AO$1046,0),COLUMN()),"")</f>
        <v>3618</v>
      </c>
      <c r="G634">
        <f>IFERROR(INDEX(装备库!$A$2:$Y$1047,MATCH(ROW()-1,装备库!$AO$2:$AO$1046,0),COLUMN()),"")</f>
        <v>0</v>
      </c>
      <c r="H634">
        <f>IFERROR(INDEX(装备库!$A$2:$Y$1047,MATCH(ROW()-1,装备库!$AO$2:$AO$1046,0),COLUMN()),"")</f>
        <v>0</v>
      </c>
      <c r="I634">
        <f>IFERROR(INDEX(装备库!$A$2:$Y$1047,MATCH(ROW()-1,装备库!$AO$2:$AO$1046,0),COLUMN()),"")</f>
        <v>4688</v>
      </c>
      <c r="J634">
        <f>IFERROR(INDEX(装备库!$A$2:$Y$1047,MATCH(ROW()-1,装备库!$AO$2:$AO$1046,0),COLUMN()),"")</f>
        <v>5000</v>
      </c>
      <c r="K634">
        <f>IFERROR(INDEX(装备库!$A$2:$Y$1047,MATCH(ROW()-1,装备库!$AO$2:$AO$1046,0),COLUMN()),"")</f>
        <v>0</v>
      </c>
      <c r="L634">
        <f>IFERROR(INDEX(装备库!$A$2:$Y$1047,MATCH(ROW()-1,装备库!$AO$2:$AO$1046,0),COLUMN()),"")</f>
        <v>0</v>
      </c>
      <c r="M634">
        <f>IFERROR(INDEX(装备库!$A$2:$Y$1047,MATCH(ROW()-1,装备库!$AO$2:$AO$1046,0),COLUMN()),"")</f>
        <v>2939</v>
      </c>
      <c r="N634">
        <f>IFERROR(INDEX(装备库!$A$2:$Y$1047,MATCH(ROW()-1,装备库!$AO$2:$AO$1046,0),COLUMN()),"")</f>
        <v>4898</v>
      </c>
      <c r="O634">
        <f>IFERROR(INDEX(装备库!$A$2:$Y$1047,MATCH(ROW()-1,装备库!$AO$2:$AO$1046,0),COLUMN()),"")</f>
        <v>1</v>
      </c>
      <c r="P634">
        <f>IFERROR(INDEX(装备库!$A$2:$Y$1047,MATCH(ROW()-1,装备库!$AO$2:$AO$1046,0),COLUMN()),"")</f>
        <v>1</v>
      </c>
      <c r="Q634">
        <f>IFERROR(INDEX(装备库!$A$2:$Y$1047,MATCH(ROW()-1,装备库!$AO$2:$AO$1046,0),COLUMN()),"")</f>
        <v>0</v>
      </c>
      <c r="R634">
        <f>IFERROR(INDEX(装备库!$A$2:$Y$1047,MATCH(ROW()-1,装备库!$AO$2:$AO$1046,0),COLUMN()),"")</f>
        <v>0</v>
      </c>
      <c r="S634">
        <f>IFERROR(INDEX(装备库!$A$2:$Y$1047,MATCH(ROW()-1,装备库!$AO$2:$AO$1046,0),COLUMN()),"")</f>
        <v>1</v>
      </c>
      <c r="T634">
        <f>IFERROR(INDEX(装备库!$A$2:$Y$1047,MATCH(ROW()-1,装备库!$AO$2:$AO$1046,0),COLUMN()),"")</f>
        <v>0</v>
      </c>
      <c r="U634">
        <f>IFERROR(INDEX(装备库!$A$2:$Y$1047,MATCH(ROW()-1,装备库!$AO$2:$AO$1046,0),COLUMN()),"")</f>
        <v>0</v>
      </c>
      <c r="V634">
        <f>IFERROR(INDEX(装备库!$A$2:$Y$1047,MATCH(ROW()-1,装备库!$AO$2:$AO$1046,0),COLUMN()),"")</f>
        <v>0</v>
      </c>
      <c r="W634" t="str">
        <f>IFERROR(INDEX(装备库!$A$2:$Y$1047,MATCH(ROW()-1,装备库!$AO$2:$AO$1046,0),COLUMN()),"")</f>
        <v>招破</v>
      </c>
      <c r="X634">
        <f>IFERROR(INDEX(装备库!$A$2:$Y$1047,MATCH(ROW()-1,装备库!$AO$2:$AO$1046,0),COLUMN()),"")</f>
        <v>6</v>
      </c>
      <c r="Y634" t="str">
        <f>IFERROR(INDEX(装备库!$A$2:$Y$1047,MATCH(ROW()-1,装备库!$AO$2:$AO$1046,0),COLUMN()),"")</f>
        <v>世界BOSS</v>
      </c>
    </row>
    <row r="635" spans="1:25" x14ac:dyDescent="0.35">
      <c r="A635" t="str">
        <f>IFERROR(INDEX(装备库!$A$2:$Y$1047,MATCH(ROW()-1,装备库!$AO$2:$AO$1046,0),COLUMN()),"")</f>
        <v>长兵</v>
      </c>
      <c r="B635" t="str">
        <f>IFERROR(INDEX(装备库!$A$2:$Y$1047,MATCH(ROW()-1,装备库!$AO$2:$AO$1046,0),COLUMN()),"")</f>
        <v>度旌节</v>
      </c>
      <c r="C635">
        <f>IFERROR(INDEX(装备库!$A$2:$Y$1047,MATCH(ROW()-1,装备库!$AO$2:$AO$1046,0),COLUMN()),"")</f>
        <v>11150</v>
      </c>
      <c r="D635" t="str">
        <f>IFERROR(INDEX(装备库!$A$2:$Y$1047,MATCH(ROW()-1,装备库!$AO$2:$AO$1046,0),COLUMN()),"")</f>
        <v>度旌节(11150会无)</v>
      </c>
      <c r="E635">
        <f>IFERROR(INDEX(装备库!$A$2:$Y$1047,MATCH(ROW()-1,装备库!$AO$2:$AO$1046,0),COLUMN()),"")</f>
        <v>934</v>
      </c>
      <c r="F635">
        <f>IFERROR(INDEX(装备库!$A$2:$Y$1047,MATCH(ROW()-1,装备库!$AO$2:$AO$1046,0),COLUMN()),"")</f>
        <v>3618</v>
      </c>
      <c r="G635">
        <f>IFERROR(INDEX(装备库!$A$2:$Y$1047,MATCH(ROW()-1,装备库!$AO$2:$AO$1046,0),COLUMN()),"")</f>
        <v>4688</v>
      </c>
      <c r="H635">
        <f>IFERROR(INDEX(装备库!$A$2:$Y$1047,MATCH(ROW()-1,装备库!$AO$2:$AO$1046,0),COLUMN()),"")</f>
        <v>0</v>
      </c>
      <c r="I635">
        <f>IFERROR(INDEX(装备库!$A$2:$Y$1047,MATCH(ROW()-1,装备库!$AO$2:$AO$1046,0),COLUMN()),"")</f>
        <v>0</v>
      </c>
      <c r="J635">
        <f>IFERROR(INDEX(装备库!$A$2:$Y$1047,MATCH(ROW()-1,装备库!$AO$2:$AO$1046,0),COLUMN()),"")</f>
        <v>0</v>
      </c>
      <c r="K635">
        <f>IFERROR(INDEX(装备库!$A$2:$Y$1047,MATCH(ROW()-1,装备库!$AO$2:$AO$1046,0),COLUMN()),"")</f>
        <v>5000</v>
      </c>
      <c r="L635">
        <f>IFERROR(INDEX(装备库!$A$2:$Y$1047,MATCH(ROW()-1,装备库!$AO$2:$AO$1046,0),COLUMN()),"")</f>
        <v>0</v>
      </c>
      <c r="M635">
        <f>IFERROR(INDEX(装备库!$A$2:$Y$1047,MATCH(ROW()-1,装备库!$AO$2:$AO$1046,0),COLUMN()),"")</f>
        <v>2939</v>
      </c>
      <c r="N635">
        <f>IFERROR(INDEX(装备库!$A$2:$Y$1047,MATCH(ROW()-1,装备库!$AO$2:$AO$1046,0),COLUMN()),"")</f>
        <v>4898</v>
      </c>
      <c r="O635">
        <f>IFERROR(INDEX(装备库!$A$2:$Y$1047,MATCH(ROW()-1,装备库!$AO$2:$AO$1046,0),COLUMN()),"")</f>
        <v>1</v>
      </c>
      <c r="P635">
        <f>IFERROR(INDEX(装备库!$A$2:$Y$1047,MATCH(ROW()-1,装备库!$AO$2:$AO$1046,0),COLUMN()),"")</f>
        <v>0</v>
      </c>
      <c r="Q635">
        <f>IFERROR(INDEX(装备库!$A$2:$Y$1047,MATCH(ROW()-1,装备库!$AO$2:$AO$1046,0),COLUMN()),"")</f>
        <v>1</v>
      </c>
      <c r="R635">
        <f>IFERROR(INDEX(装备库!$A$2:$Y$1047,MATCH(ROW()-1,装备库!$AO$2:$AO$1046,0),COLUMN()),"")</f>
        <v>1</v>
      </c>
      <c r="S635">
        <f>IFERROR(INDEX(装备库!$A$2:$Y$1047,MATCH(ROW()-1,装备库!$AO$2:$AO$1046,0),COLUMN()),"")</f>
        <v>0</v>
      </c>
      <c r="T635">
        <f>IFERROR(INDEX(装备库!$A$2:$Y$1047,MATCH(ROW()-1,装备库!$AO$2:$AO$1046,0),COLUMN()),"")</f>
        <v>0</v>
      </c>
      <c r="U635">
        <f>IFERROR(INDEX(装备库!$A$2:$Y$1047,MATCH(ROW()-1,装备库!$AO$2:$AO$1046,0),COLUMN()),"")</f>
        <v>0</v>
      </c>
      <c r="V635">
        <f>IFERROR(INDEX(装备库!$A$2:$Y$1047,MATCH(ROW()-1,装备库!$AO$2:$AO$1046,0),COLUMN()),"")</f>
        <v>0</v>
      </c>
      <c r="W635" t="str">
        <f>IFERROR(INDEX(装备库!$A$2:$Y$1047,MATCH(ROW()-1,装备库!$AO$2:$AO$1046,0),COLUMN()),"")</f>
        <v>会无</v>
      </c>
      <c r="X635">
        <f>IFERROR(INDEX(装备库!$A$2:$Y$1047,MATCH(ROW()-1,装备库!$AO$2:$AO$1046,0),COLUMN()),"")</f>
        <v>6</v>
      </c>
      <c r="Y635" t="str">
        <f>IFERROR(INDEX(装备库!$A$2:$Y$1047,MATCH(ROW()-1,装备库!$AO$2:$AO$1046,0),COLUMN()),"")</f>
        <v>副本</v>
      </c>
    </row>
    <row r="636" spans="1:25" x14ac:dyDescent="0.35">
      <c r="A636" t="str">
        <f>IFERROR(INDEX(装备库!$A$2:$Y$1047,MATCH(ROW()-1,装备库!$AO$2:$AO$1046,0),COLUMN()),"")</f>
        <v>长兵</v>
      </c>
      <c r="B636" t="str">
        <f>IFERROR(INDEX(装备库!$A$2:$Y$1047,MATCH(ROW()-1,装备库!$AO$2:$AO$1046,0),COLUMN()),"")</f>
        <v>照故陲</v>
      </c>
      <c r="C636">
        <f>IFERROR(INDEX(装备库!$A$2:$Y$1047,MATCH(ROW()-1,装备库!$AO$2:$AO$1046,0),COLUMN()),"")</f>
        <v>11150</v>
      </c>
      <c r="D636" t="str">
        <f>IFERROR(INDEX(装备库!$A$2:$Y$1047,MATCH(ROW()-1,装备库!$AO$2:$AO$1046,0),COLUMN()),"")</f>
        <v>照故陲(11150特效破无)</v>
      </c>
      <c r="E636">
        <f>IFERROR(INDEX(装备库!$A$2:$Y$1047,MATCH(ROW()-1,装备库!$AO$2:$AO$1046,0),COLUMN()),"")</f>
        <v>934</v>
      </c>
      <c r="F636">
        <f>IFERROR(INDEX(装备库!$A$2:$Y$1047,MATCH(ROW()-1,装备库!$AO$2:$AO$1046,0),COLUMN()),"")</f>
        <v>3618</v>
      </c>
      <c r="G636">
        <f>IFERROR(INDEX(装备库!$A$2:$Y$1047,MATCH(ROW()-1,装备库!$AO$2:$AO$1046,0),COLUMN()),"")</f>
        <v>0</v>
      </c>
      <c r="H636">
        <f>IFERROR(INDEX(装备库!$A$2:$Y$1047,MATCH(ROW()-1,装备库!$AO$2:$AO$1046,0),COLUMN()),"")</f>
        <v>0</v>
      </c>
      <c r="I636">
        <f>IFERROR(INDEX(装备库!$A$2:$Y$1047,MATCH(ROW()-1,装备库!$AO$2:$AO$1046,0),COLUMN()),"")</f>
        <v>4688</v>
      </c>
      <c r="J636">
        <f>IFERROR(INDEX(装备库!$A$2:$Y$1047,MATCH(ROW()-1,装备库!$AO$2:$AO$1046,0),COLUMN()),"")</f>
        <v>0</v>
      </c>
      <c r="K636">
        <f>IFERROR(INDEX(装备库!$A$2:$Y$1047,MATCH(ROW()-1,装备库!$AO$2:$AO$1046,0),COLUMN()),"")</f>
        <v>5000</v>
      </c>
      <c r="L636">
        <f>IFERROR(INDEX(装备库!$A$2:$Y$1047,MATCH(ROW()-1,装备库!$AO$2:$AO$1046,0),COLUMN()),"")</f>
        <v>0</v>
      </c>
      <c r="M636">
        <f>IFERROR(INDEX(装备库!$A$2:$Y$1047,MATCH(ROW()-1,装备库!$AO$2:$AO$1046,0),COLUMN()),"")</f>
        <v>2939</v>
      </c>
      <c r="N636">
        <f>IFERROR(INDEX(装备库!$A$2:$Y$1047,MATCH(ROW()-1,装备库!$AO$2:$AO$1046,0),COLUMN()),"")</f>
        <v>4898</v>
      </c>
      <c r="O636">
        <f>IFERROR(INDEX(装备库!$A$2:$Y$1047,MATCH(ROW()-1,装备库!$AO$2:$AO$1046,0),COLUMN()),"")</f>
        <v>1</v>
      </c>
      <c r="P636">
        <f>IFERROR(INDEX(装备库!$A$2:$Y$1047,MATCH(ROW()-1,装备库!$AO$2:$AO$1046,0),COLUMN()),"")</f>
        <v>1</v>
      </c>
      <c r="Q636">
        <f>IFERROR(INDEX(装备库!$A$2:$Y$1047,MATCH(ROW()-1,装备库!$AO$2:$AO$1046,0),COLUMN()),"")</f>
        <v>0</v>
      </c>
      <c r="R636">
        <f>IFERROR(INDEX(装备库!$A$2:$Y$1047,MATCH(ROW()-1,装备库!$AO$2:$AO$1046,0),COLUMN()),"")</f>
        <v>0</v>
      </c>
      <c r="S636">
        <f>IFERROR(INDEX(装备库!$A$2:$Y$1047,MATCH(ROW()-1,装备库!$AO$2:$AO$1046,0),COLUMN()),"")</f>
        <v>1</v>
      </c>
      <c r="T636">
        <f>IFERROR(INDEX(装备库!$A$2:$Y$1047,MATCH(ROW()-1,装备库!$AO$2:$AO$1046,0),COLUMN()),"")</f>
        <v>0</v>
      </c>
      <c r="U636">
        <f>IFERROR(INDEX(装备库!$A$2:$Y$1047,MATCH(ROW()-1,装备库!$AO$2:$AO$1046,0),COLUMN()),"")</f>
        <v>0</v>
      </c>
      <c r="V636">
        <f>IFERROR(INDEX(装备库!$A$2:$Y$1047,MATCH(ROW()-1,装备库!$AO$2:$AO$1046,0),COLUMN()),"")</f>
        <v>0</v>
      </c>
      <c r="W636" t="str">
        <f>IFERROR(INDEX(装备库!$A$2:$Y$1047,MATCH(ROW()-1,装备库!$AO$2:$AO$1046,0),COLUMN()),"")</f>
        <v>特效破无</v>
      </c>
      <c r="X636">
        <f>IFERROR(INDEX(装备库!$A$2:$Y$1047,MATCH(ROW()-1,装备库!$AO$2:$AO$1046,0),COLUMN()),"")</f>
        <v>4</v>
      </c>
      <c r="Y636" t="str">
        <f>IFERROR(INDEX(装备库!$A$2:$Y$1047,MATCH(ROW()-1,装备库!$AO$2:$AO$1046,0),COLUMN()),"")</f>
        <v>副本</v>
      </c>
    </row>
    <row r="637" spans="1:25" x14ac:dyDescent="0.35">
      <c r="A637" t="str">
        <f>IFERROR(INDEX(装备库!$A$2:$Y$1047,MATCH(ROW()-1,装备库!$AO$2:$AO$1046,0),COLUMN()),"")</f>
        <v>长兵</v>
      </c>
      <c r="B637" t="str">
        <f>IFERROR(INDEX(装备库!$A$2:$Y$1047,MATCH(ROW()-1,装备库!$AO$2:$AO$1046,0),COLUMN()),"")</f>
        <v>炎枪重黎</v>
      </c>
      <c r="C637">
        <f>IFERROR(INDEX(装备库!$A$2:$Y$1047,MATCH(ROW()-1,装备库!$AO$2:$AO$1046,0),COLUMN()),"")</f>
        <v>11300</v>
      </c>
      <c r="D637" t="str">
        <f>IFERROR(INDEX(装备库!$A$2:$Y$1047,MATCH(ROW()-1,装备库!$AO$2:$AO$1046,0),COLUMN()),"")</f>
        <v>炎枪重黎(11300招破)</v>
      </c>
      <c r="E637">
        <f>IFERROR(INDEX(装备库!$A$2:$Y$1047,MATCH(ROW()-1,装备库!$AO$2:$AO$1046,0),COLUMN()),"")</f>
        <v>947</v>
      </c>
      <c r="F637">
        <f>IFERROR(INDEX(装备库!$A$2:$Y$1047,MATCH(ROW()-1,装备库!$AO$2:$AO$1046,0),COLUMN()),"")</f>
        <v>3667</v>
      </c>
      <c r="G637">
        <f>IFERROR(INDEX(装备库!$A$2:$Y$1047,MATCH(ROW()-1,装备库!$AO$2:$AO$1046,0),COLUMN()),"")</f>
        <v>0</v>
      </c>
      <c r="H637">
        <f>IFERROR(INDEX(装备库!$A$2:$Y$1047,MATCH(ROW()-1,装备库!$AO$2:$AO$1046,0),COLUMN()),"")</f>
        <v>0</v>
      </c>
      <c r="I637">
        <f>IFERROR(INDEX(装备库!$A$2:$Y$1047,MATCH(ROW()-1,装备库!$AO$2:$AO$1046,0),COLUMN()),"")</f>
        <v>4751</v>
      </c>
      <c r="J637">
        <f>IFERROR(INDEX(装备库!$A$2:$Y$1047,MATCH(ROW()-1,装备库!$AO$2:$AO$1046,0),COLUMN()),"")</f>
        <v>5068</v>
      </c>
      <c r="K637">
        <f>IFERROR(INDEX(装备库!$A$2:$Y$1047,MATCH(ROW()-1,装备库!$AO$2:$AO$1046,0),COLUMN()),"")</f>
        <v>0</v>
      </c>
      <c r="L637">
        <f>IFERROR(INDEX(装备库!$A$2:$Y$1047,MATCH(ROW()-1,装备库!$AO$2:$AO$1046,0),COLUMN()),"")</f>
        <v>0</v>
      </c>
      <c r="M637">
        <f>IFERROR(INDEX(装备库!$A$2:$Y$1047,MATCH(ROW()-1,装备库!$AO$2:$AO$1046,0),COLUMN()),"")</f>
        <v>2979</v>
      </c>
      <c r="N637">
        <f>IFERROR(INDEX(装备库!$A$2:$Y$1047,MATCH(ROW()-1,装备库!$AO$2:$AO$1046,0),COLUMN()),"")</f>
        <v>4965</v>
      </c>
      <c r="O637">
        <f>IFERROR(INDEX(装备库!$A$2:$Y$1047,MATCH(ROW()-1,装备库!$AO$2:$AO$1046,0),COLUMN()),"")</f>
        <v>1</v>
      </c>
      <c r="P637">
        <f>IFERROR(INDEX(装备库!$A$2:$Y$1047,MATCH(ROW()-1,装备库!$AO$2:$AO$1046,0),COLUMN()),"")</f>
        <v>1</v>
      </c>
      <c r="Q637">
        <f>IFERROR(INDEX(装备库!$A$2:$Y$1047,MATCH(ROW()-1,装备库!$AO$2:$AO$1046,0),COLUMN()),"")</f>
        <v>0</v>
      </c>
      <c r="R637">
        <f>IFERROR(INDEX(装备库!$A$2:$Y$1047,MATCH(ROW()-1,装备库!$AO$2:$AO$1046,0),COLUMN()),"")</f>
        <v>0</v>
      </c>
      <c r="S637">
        <f>IFERROR(INDEX(装备库!$A$2:$Y$1047,MATCH(ROW()-1,装备库!$AO$2:$AO$1046,0),COLUMN()),"")</f>
        <v>1</v>
      </c>
      <c r="T637">
        <f>IFERROR(INDEX(装备库!$A$2:$Y$1047,MATCH(ROW()-1,装备库!$AO$2:$AO$1046,0),COLUMN()),"")</f>
        <v>0</v>
      </c>
      <c r="U637">
        <f>IFERROR(INDEX(装备库!$A$2:$Y$1047,MATCH(ROW()-1,装备库!$AO$2:$AO$1046,0),COLUMN()),"")</f>
        <v>0</v>
      </c>
      <c r="V637">
        <f>IFERROR(INDEX(装备库!$A$2:$Y$1047,MATCH(ROW()-1,装备库!$AO$2:$AO$1046,0),COLUMN()),"")</f>
        <v>0</v>
      </c>
      <c r="W637" t="str">
        <f>IFERROR(INDEX(装备库!$A$2:$Y$1047,MATCH(ROW()-1,装备库!$AO$2:$AO$1046,0),COLUMN()),"")</f>
        <v>招破</v>
      </c>
      <c r="X637">
        <f>IFERROR(INDEX(装备库!$A$2:$Y$1047,MATCH(ROW()-1,装备库!$AO$2:$AO$1046,0),COLUMN()),"")</f>
        <v>6</v>
      </c>
      <c r="Y637" t="str">
        <f>IFERROR(INDEX(装备库!$A$2:$Y$1047,MATCH(ROW()-1,装备库!$AO$2:$AO$1046,0),COLUMN()),"")</f>
        <v>副本</v>
      </c>
    </row>
    <row r="638" spans="1:25" x14ac:dyDescent="0.35">
      <c r="A638" t="str">
        <f>IFERROR(INDEX(装备库!$A$2:$Y$1047,MATCH(ROW()-1,装备库!$AO$2:$AO$1046,0),COLUMN()),"")</f>
        <v>长兵</v>
      </c>
      <c r="B638" t="str">
        <f>IFERROR(INDEX(装备库!$A$2:$Y$1047,MATCH(ROW()-1,装备库!$AO$2:$AO$1046,0),COLUMN()),"")</f>
        <v>争衡</v>
      </c>
      <c r="C638">
        <f>IFERROR(INDEX(装备库!$A$2:$Y$1047,MATCH(ROW()-1,装备库!$AO$2:$AO$1046,0),COLUMN()),"")</f>
        <v>11300</v>
      </c>
      <c r="D638" t="str">
        <f>IFERROR(INDEX(装备库!$A$2:$Y$1047,MATCH(ROW()-1,装备库!$AO$2:$AO$1046,0),COLUMN()),"")</f>
        <v>争衡(11300会招)</v>
      </c>
      <c r="E638">
        <f>IFERROR(INDEX(装备库!$A$2:$Y$1047,MATCH(ROW()-1,装备库!$AO$2:$AO$1046,0),COLUMN()),"")</f>
        <v>947</v>
      </c>
      <c r="F638">
        <f>IFERROR(INDEX(装备库!$A$2:$Y$1047,MATCH(ROW()-1,装备库!$AO$2:$AO$1046,0),COLUMN()),"")</f>
        <v>3667</v>
      </c>
      <c r="G638">
        <f>IFERROR(INDEX(装备库!$A$2:$Y$1047,MATCH(ROW()-1,装备库!$AO$2:$AO$1046,0),COLUMN()),"")</f>
        <v>4751</v>
      </c>
      <c r="H638">
        <f>IFERROR(INDEX(装备库!$A$2:$Y$1047,MATCH(ROW()-1,装备库!$AO$2:$AO$1046,0),COLUMN()),"")</f>
        <v>0</v>
      </c>
      <c r="I638">
        <f>IFERROR(INDEX(装备库!$A$2:$Y$1047,MATCH(ROW()-1,装备库!$AO$2:$AO$1046,0),COLUMN()),"")</f>
        <v>0</v>
      </c>
      <c r="J638">
        <f>IFERROR(INDEX(装备库!$A$2:$Y$1047,MATCH(ROW()-1,装备库!$AO$2:$AO$1046,0),COLUMN()),"")</f>
        <v>5068</v>
      </c>
      <c r="K638">
        <f>IFERROR(INDEX(装备库!$A$2:$Y$1047,MATCH(ROW()-1,装备库!$AO$2:$AO$1046,0),COLUMN()),"")</f>
        <v>0</v>
      </c>
      <c r="L638">
        <f>IFERROR(INDEX(装备库!$A$2:$Y$1047,MATCH(ROW()-1,装备库!$AO$2:$AO$1046,0),COLUMN()),"")</f>
        <v>0</v>
      </c>
      <c r="M638">
        <f>IFERROR(INDEX(装备库!$A$2:$Y$1047,MATCH(ROW()-1,装备库!$AO$2:$AO$1046,0),COLUMN()),"")</f>
        <v>2979</v>
      </c>
      <c r="N638">
        <f>IFERROR(INDEX(装备库!$A$2:$Y$1047,MATCH(ROW()-1,装备库!$AO$2:$AO$1046,0),COLUMN()),"")</f>
        <v>4965</v>
      </c>
      <c r="O638">
        <f>IFERROR(INDEX(装备库!$A$2:$Y$1047,MATCH(ROW()-1,装备库!$AO$2:$AO$1046,0),COLUMN()),"")</f>
        <v>1</v>
      </c>
      <c r="P638">
        <f>IFERROR(INDEX(装备库!$A$2:$Y$1047,MATCH(ROW()-1,装备库!$AO$2:$AO$1046,0),COLUMN()),"")</f>
        <v>1</v>
      </c>
      <c r="Q638">
        <f>IFERROR(INDEX(装备库!$A$2:$Y$1047,MATCH(ROW()-1,装备库!$AO$2:$AO$1046,0),COLUMN()),"")</f>
        <v>0</v>
      </c>
      <c r="R638">
        <f>IFERROR(INDEX(装备库!$A$2:$Y$1047,MATCH(ROW()-1,装备库!$AO$2:$AO$1046,0),COLUMN()),"")</f>
        <v>0</v>
      </c>
      <c r="S638">
        <f>IFERROR(INDEX(装备库!$A$2:$Y$1047,MATCH(ROW()-1,装备库!$AO$2:$AO$1046,0),COLUMN()),"")</f>
        <v>1</v>
      </c>
      <c r="T638">
        <f>IFERROR(INDEX(装备库!$A$2:$Y$1047,MATCH(ROW()-1,装备库!$AO$2:$AO$1046,0),COLUMN()),"")</f>
        <v>0</v>
      </c>
      <c r="U638">
        <f>IFERROR(INDEX(装备库!$A$2:$Y$1047,MATCH(ROW()-1,装备库!$AO$2:$AO$1046,0),COLUMN()),"")</f>
        <v>0</v>
      </c>
      <c r="V638">
        <f>IFERROR(INDEX(装备库!$A$2:$Y$1047,MATCH(ROW()-1,装备库!$AO$2:$AO$1046,0),COLUMN()),"")</f>
        <v>0</v>
      </c>
      <c r="W638" t="str">
        <f>IFERROR(INDEX(装备库!$A$2:$Y$1047,MATCH(ROW()-1,装备库!$AO$2:$AO$1046,0),COLUMN()),"")</f>
        <v>会招</v>
      </c>
      <c r="X638">
        <f>IFERROR(INDEX(装备库!$A$2:$Y$1047,MATCH(ROW()-1,装备库!$AO$2:$AO$1046,0),COLUMN()),"")</f>
        <v>6</v>
      </c>
      <c r="Y638" t="str">
        <f>IFERROR(INDEX(装备库!$A$2:$Y$1047,MATCH(ROW()-1,装备库!$AO$2:$AO$1046,0),COLUMN()),"")</f>
        <v>生活技能</v>
      </c>
    </row>
    <row r="639" spans="1:25" x14ac:dyDescent="0.35">
      <c r="A639" t="str">
        <f>IFERROR(INDEX(装备库!$A$2:$Y$1047,MATCH(ROW()-1,装备库!$AO$2:$AO$1046,0),COLUMN()),"")</f>
        <v>长兵</v>
      </c>
      <c r="B639" t="str">
        <f>IFERROR(INDEX(装备库!$A$2:$Y$1047,MATCH(ROW()-1,装备库!$AO$2:$AO$1046,0),COLUMN()),"")</f>
        <v>心存长志</v>
      </c>
      <c r="C639">
        <f>IFERROR(INDEX(装备库!$A$2:$Y$1047,MATCH(ROW()-1,装备库!$AO$2:$AO$1046,0),COLUMN()),"")</f>
        <v>12450</v>
      </c>
      <c r="D639" t="str">
        <f>IFERROR(INDEX(装备库!$A$2:$Y$1047,MATCH(ROW()-1,装备库!$AO$2:$AO$1046,0),COLUMN()),"")</f>
        <v>心存长志(12450招破)</v>
      </c>
      <c r="E639">
        <f>IFERROR(INDEX(装备库!$A$2:$Y$1047,MATCH(ROW()-1,装备库!$AO$2:$AO$1046,0),COLUMN()),"")</f>
        <v>1043</v>
      </c>
      <c r="F639">
        <f>IFERROR(INDEX(装备库!$A$2:$Y$1047,MATCH(ROW()-1,装备库!$AO$2:$AO$1046,0),COLUMN()),"")</f>
        <v>4040</v>
      </c>
      <c r="G639">
        <f>IFERROR(INDEX(装备库!$A$2:$Y$1047,MATCH(ROW()-1,装备库!$AO$2:$AO$1046,0),COLUMN()),"")</f>
        <v>0</v>
      </c>
      <c r="H639">
        <f>IFERROR(INDEX(装备库!$A$2:$Y$1047,MATCH(ROW()-1,装备库!$AO$2:$AO$1046,0),COLUMN()),"")</f>
        <v>0</v>
      </c>
      <c r="I639">
        <f>IFERROR(INDEX(装备库!$A$2:$Y$1047,MATCH(ROW()-1,装备库!$AO$2:$AO$1046,0),COLUMN()),"")</f>
        <v>5234</v>
      </c>
      <c r="J639">
        <f>IFERROR(INDEX(装备库!$A$2:$Y$1047,MATCH(ROW()-1,装备库!$AO$2:$AO$1046,0),COLUMN()),"")</f>
        <v>5583</v>
      </c>
      <c r="K639">
        <f>IFERROR(INDEX(装备库!$A$2:$Y$1047,MATCH(ROW()-1,装备库!$AO$2:$AO$1046,0),COLUMN()),"")</f>
        <v>0</v>
      </c>
      <c r="L639">
        <f>IFERROR(INDEX(装备库!$A$2:$Y$1047,MATCH(ROW()-1,装备库!$AO$2:$AO$1046,0),COLUMN()),"")</f>
        <v>0</v>
      </c>
      <c r="M639">
        <f>IFERROR(INDEX(装备库!$A$2:$Y$1047,MATCH(ROW()-1,装备库!$AO$2:$AO$1046,0),COLUMN()),"")</f>
        <v>3282</v>
      </c>
      <c r="N639">
        <f>IFERROR(INDEX(装备库!$A$2:$Y$1047,MATCH(ROW()-1,装备库!$AO$2:$AO$1046,0),COLUMN()),"")</f>
        <v>5470</v>
      </c>
      <c r="O639">
        <f>IFERROR(INDEX(装备库!$A$2:$Y$1047,MATCH(ROW()-1,装备库!$AO$2:$AO$1046,0),COLUMN()),"")</f>
        <v>1</v>
      </c>
      <c r="P639">
        <f>IFERROR(INDEX(装备库!$A$2:$Y$1047,MATCH(ROW()-1,装备库!$AO$2:$AO$1046,0),COLUMN()),"")</f>
        <v>1</v>
      </c>
      <c r="Q639">
        <f>IFERROR(INDEX(装备库!$A$2:$Y$1047,MATCH(ROW()-1,装备库!$AO$2:$AO$1046,0),COLUMN()),"")</f>
        <v>0</v>
      </c>
      <c r="R639">
        <f>IFERROR(INDEX(装备库!$A$2:$Y$1047,MATCH(ROW()-1,装备库!$AO$2:$AO$1046,0),COLUMN()),"")</f>
        <v>0</v>
      </c>
      <c r="S639">
        <f>IFERROR(INDEX(装备库!$A$2:$Y$1047,MATCH(ROW()-1,装备库!$AO$2:$AO$1046,0),COLUMN()),"")</f>
        <v>1</v>
      </c>
      <c r="T639">
        <f>IFERROR(INDEX(装备库!$A$2:$Y$1047,MATCH(ROW()-1,装备库!$AO$2:$AO$1046,0),COLUMN()),"")</f>
        <v>0</v>
      </c>
      <c r="U639">
        <f>IFERROR(INDEX(装备库!$A$2:$Y$1047,MATCH(ROW()-1,装备库!$AO$2:$AO$1046,0),COLUMN()),"")</f>
        <v>0</v>
      </c>
      <c r="V639">
        <f>IFERROR(INDEX(装备库!$A$2:$Y$1047,MATCH(ROW()-1,装备库!$AO$2:$AO$1046,0),COLUMN()),"")</f>
        <v>0</v>
      </c>
      <c r="W639" t="str">
        <f>IFERROR(INDEX(装备库!$A$2:$Y$1047,MATCH(ROW()-1,装备库!$AO$2:$AO$1046,0),COLUMN()),"")</f>
        <v>招破</v>
      </c>
      <c r="X639">
        <f>IFERROR(INDEX(装备库!$A$2:$Y$1047,MATCH(ROW()-1,装备库!$AO$2:$AO$1046,0),COLUMN()),"")</f>
        <v>6</v>
      </c>
      <c r="Y639" t="str">
        <f>IFERROR(INDEX(装备库!$A$2:$Y$1047,MATCH(ROW()-1,装备库!$AO$2:$AO$1046,0),COLUMN()),"")</f>
        <v>世界BOSS</v>
      </c>
    </row>
    <row r="640" spans="1:25" x14ac:dyDescent="0.35">
      <c r="A640" t="str">
        <f>IFERROR(INDEX(装备库!$A$2:$Y$1047,MATCH(ROW()-1,装备库!$AO$2:$AO$1046,0),COLUMN()),"")</f>
        <v>长兵</v>
      </c>
      <c r="B640" t="str">
        <f>IFERROR(INDEX(装备库!$A$2:$Y$1047,MATCH(ROW()-1,装备库!$AO$2:$AO$1046,0),COLUMN()),"")</f>
        <v>千里悲</v>
      </c>
      <c r="C640">
        <f>IFERROR(INDEX(装备库!$A$2:$Y$1047,MATCH(ROW()-1,装备库!$AO$2:$AO$1046,0),COLUMN()),"")</f>
        <v>12450</v>
      </c>
      <c r="D640" t="str">
        <f>IFERROR(INDEX(装备库!$A$2:$Y$1047,MATCH(ROW()-1,装备库!$AO$2:$AO$1046,0),COLUMN()),"")</f>
        <v>千里悲(12450会无)</v>
      </c>
      <c r="E640">
        <f>IFERROR(INDEX(装备库!$A$2:$Y$1047,MATCH(ROW()-1,装备库!$AO$2:$AO$1046,0),COLUMN()),"")</f>
        <v>1043</v>
      </c>
      <c r="F640">
        <f>IFERROR(INDEX(装备库!$A$2:$Y$1047,MATCH(ROW()-1,装备库!$AO$2:$AO$1046,0),COLUMN()),"")</f>
        <v>4040</v>
      </c>
      <c r="G640">
        <f>IFERROR(INDEX(装备库!$A$2:$Y$1047,MATCH(ROW()-1,装备库!$AO$2:$AO$1046,0),COLUMN()),"")</f>
        <v>5234</v>
      </c>
      <c r="H640">
        <f>IFERROR(INDEX(装备库!$A$2:$Y$1047,MATCH(ROW()-1,装备库!$AO$2:$AO$1046,0),COLUMN()),"")</f>
        <v>0</v>
      </c>
      <c r="I640">
        <f>IFERROR(INDEX(装备库!$A$2:$Y$1047,MATCH(ROW()-1,装备库!$AO$2:$AO$1046,0),COLUMN()),"")</f>
        <v>0</v>
      </c>
      <c r="J640">
        <f>IFERROR(INDEX(装备库!$A$2:$Y$1047,MATCH(ROW()-1,装备库!$AO$2:$AO$1046,0),COLUMN()),"")</f>
        <v>0</v>
      </c>
      <c r="K640">
        <f>IFERROR(INDEX(装备库!$A$2:$Y$1047,MATCH(ROW()-1,装备库!$AO$2:$AO$1046,0),COLUMN()),"")</f>
        <v>5583</v>
      </c>
      <c r="L640">
        <f>IFERROR(INDEX(装备库!$A$2:$Y$1047,MATCH(ROW()-1,装备库!$AO$2:$AO$1046,0),COLUMN()),"")</f>
        <v>0</v>
      </c>
      <c r="M640">
        <f>IFERROR(INDEX(装备库!$A$2:$Y$1047,MATCH(ROW()-1,装备库!$AO$2:$AO$1046,0),COLUMN()),"")</f>
        <v>3282</v>
      </c>
      <c r="N640">
        <f>IFERROR(INDEX(装备库!$A$2:$Y$1047,MATCH(ROW()-1,装备库!$AO$2:$AO$1046,0),COLUMN()),"")</f>
        <v>5470</v>
      </c>
      <c r="O640">
        <f>IFERROR(INDEX(装备库!$A$2:$Y$1047,MATCH(ROW()-1,装备库!$AO$2:$AO$1046,0),COLUMN()),"")</f>
        <v>1</v>
      </c>
      <c r="P640">
        <f>IFERROR(INDEX(装备库!$A$2:$Y$1047,MATCH(ROW()-1,装备库!$AO$2:$AO$1046,0),COLUMN()),"")</f>
        <v>0</v>
      </c>
      <c r="Q640">
        <f>IFERROR(INDEX(装备库!$A$2:$Y$1047,MATCH(ROW()-1,装备库!$AO$2:$AO$1046,0),COLUMN()),"")</f>
        <v>1</v>
      </c>
      <c r="R640">
        <f>IFERROR(INDEX(装备库!$A$2:$Y$1047,MATCH(ROW()-1,装备库!$AO$2:$AO$1046,0),COLUMN()),"")</f>
        <v>1</v>
      </c>
      <c r="S640">
        <f>IFERROR(INDEX(装备库!$A$2:$Y$1047,MATCH(ROW()-1,装备库!$AO$2:$AO$1046,0),COLUMN()),"")</f>
        <v>0</v>
      </c>
      <c r="T640">
        <f>IFERROR(INDEX(装备库!$A$2:$Y$1047,MATCH(ROW()-1,装备库!$AO$2:$AO$1046,0),COLUMN()),"")</f>
        <v>0</v>
      </c>
      <c r="U640">
        <f>IFERROR(INDEX(装备库!$A$2:$Y$1047,MATCH(ROW()-1,装备库!$AO$2:$AO$1046,0),COLUMN()),"")</f>
        <v>0</v>
      </c>
      <c r="V640">
        <f>IFERROR(INDEX(装备库!$A$2:$Y$1047,MATCH(ROW()-1,装备库!$AO$2:$AO$1046,0),COLUMN()),"")</f>
        <v>0</v>
      </c>
      <c r="W640" t="str">
        <f>IFERROR(INDEX(装备库!$A$2:$Y$1047,MATCH(ROW()-1,装备库!$AO$2:$AO$1046,0),COLUMN()),"")</f>
        <v>会无</v>
      </c>
      <c r="X640">
        <f>IFERROR(INDEX(装备库!$A$2:$Y$1047,MATCH(ROW()-1,装备库!$AO$2:$AO$1046,0),COLUMN()),"")</f>
        <v>6</v>
      </c>
      <c r="Y640" t="str">
        <f>IFERROR(INDEX(装备库!$A$2:$Y$1047,MATCH(ROW()-1,装备库!$AO$2:$AO$1046,0),COLUMN()),"")</f>
        <v>副本</v>
      </c>
    </row>
    <row r="641" spans="1:25" x14ac:dyDescent="0.35">
      <c r="A641" t="str">
        <f>IFERROR(INDEX(装备库!$A$2:$Y$1047,MATCH(ROW()-1,装备库!$AO$2:$AO$1046,0),COLUMN()),"")</f>
        <v>长兵</v>
      </c>
      <c r="B641" t="str">
        <f>IFERROR(INDEX(装备库!$A$2:$Y$1047,MATCH(ROW()-1,装备库!$AO$2:$AO$1046,0),COLUMN()),"")</f>
        <v>化山川</v>
      </c>
      <c r="C641">
        <f>IFERROR(INDEX(装备库!$A$2:$Y$1047,MATCH(ROW()-1,装备库!$AO$2:$AO$1046,0),COLUMN()),"")</f>
        <v>12450</v>
      </c>
      <c r="D641" t="str">
        <f>IFERROR(INDEX(装备库!$A$2:$Y$1047,MATCH(ROW()-1,装备库!$AO$2:$AO$1046,0),COLUMN()),"")</f>
        <v>化山川(12450特效破无)</v>
      </c>
      <c r="E641">
        <f>IFERROR(INDEX(装备库!$A$2:$Y$1047,MATCH(ROW()-1,装备库!$AO$2:$AO$1046,0),COLUMN()),"")</f>
        <v>1043</v>
      </c>
      <c r="F641">
        <f>IFERROR(INDEX(装备库!$A$2:$Y$1047,MATCH(ROW()-1,装备库!$AO$2:$AO$1046,0),COLUMN()),"")</f>
        <v>4040</v>
      </c>
      <c r="G641">
        <f>IFERROR(INDEX(装备库!$A$2:$Y$1047,MATCH(ROW()-1,装备库!$AO$2:$AO$1046,0),COLUMN()),"")</f>
        <v>0</v>
      </c>
      <c r="H641">
        <f>IFERROR(INDEX(装备库!$A$2:$Y$1047,MATCH(ROW()-1,装备库!$AO$2:$AO$1046,0),COLUMN()),"")</f>
        <v>0</v>
      </c>
      <c r="I641">
        <f>IFERROR(INDEX(装备库!$A$2:$Y$1047,MATCH(ROW()-1,装备库!$AO$2:$AO$1046,0),COLUMN()),"")</f>
        <v>5234</v>
      </c>
      <c r="J641">
        <f>IFERROR(INDEX(装备库!$A$2:$Y$1047,MATCH(ROW()-1,装备库!$AO$2:$AO$1046,0),COLUMN()),"")</f>
        <v>0</v>
      </c>
      <c r="K641">
        <f>IFERROR(INDEX(装备库!$A$2:$Y$1047,MATCH(ROW()-1,装备库!$AO$2:$AO$1046,0),COLUMN()),"")</f>
        <v>5583</v>
      </c>
      <c r="L641">
        <f>IFERROR(INDEX(装备库!$A$2:$Y$1047,MATCH(ROW()-1,装备库!$AO$2:$AO$1046,0),COLUMN()),"")</f>
        <v>0</v>
      </c>
      <c r="M641">
        <f>IFERROR(INDEX(装备库!$A$2:$Y$1047,MATCH(ROW()-1,装备库!$AO$2:$AO$1046,0),COLUMN()),"")</f>
        <v>3282</v>
      </c>
      <c r="N641">
        <f>IFERROR(INDEX(装备库!$A$2:$Y$1047,MATCH(ROW()-1,装备库!$AO$2:$AO$1046,0),COLUMN()),"")</f>
        <v>5470</v>
      </c>
      <c r="O641">
        <f>IFERROR(INDEX(装备库!$A$2:$Y$1047,MATCH(ROW()-1,装备库!$AO$2:$AO$1046,0),COLUMN()),"")</f>
        <v>1</v>
      </c>
      <c r="P641">
        <f>IFERROR(INDEX(装备库!$A$2:$Y$1047,MATCH(ROW()-1,装备库!$AO$2:$AO$1046,0),COLUMN()),"")</f>
        <v>1</v>
      </c>
      <c r="Q641">
        <f>IFERROR(INDEX(装备库!$A$2:$Y$1047,MATCH(ROW()-1,装备库!$AO$2:$AO$1046,0),COLUMN()),"")</f>
        <v>0</v>
      </c>
      <c r="R641">
        <f>IFERROR(INDEX(装备库!$A$2:$Y$1047,MATCH(ROW()-1,装备库!$AO$2:$AO$1046,0),COLUMN()),"")</f>
        <v>0</v>
      </c>
      <c r="S641">
        <f>IFERROR(INDEX(装备库!$A$2:$Y$1047,MATCH(ROW()-1,装备库!$AO$2:$AO$1046,0),COLUMN()),"")</f>
        <v>1</v>
      </c>
      <c r="T641">
        <f>IFERROR(INDEX(装备库!$A$2:$Y$1047,MATCH(ROW()-1,装备库!$AO$2:$AO$1046,0),COLUMN()),"")</f>
        <v>0</v>
      </c>
      <c r="U641">
        <f>IFERROR(INDEX(装备库!$A$2:$Y$1047,MATCH(ROW()-1,装备库!$AO$2:$AO$1046,0),COLUMN()),"")</f>
        <v>0</v>
      </c>
      <c r="V641">
        <f>IFERROR(INDEX(装备库!$A$2:$Y$1047,MATCH(ROW()-1,装备库!$AO$2:$AO$1046,0),COLUMN()),"")</f>
        <v>0</v>
      </c>
      <c r="W641" t="str">
        <f>IFERROR(INDEX(装备库!$A$2:$Y$1047,MATCH(ROW()-1,装备库!$AO$2:$AO$1046,0),COLUMN()),"")</f>
        <v>特效破无</v>
      </c>
      <c r="X641">
        <f>IFERROR(INDEX(装备库!$A$2:$Y$1047,MATCH(ROW()-1,装备库!$AO$2:$AO$1046,0),COLUMN()),"")</f>
        <v>4</v>
      </c>
      <c r="Y641" t="str">
        <f>IFERROR(INDEX(装备库!$A$2:$Y$1047,MATCH(ROW()-1,装备库!$AO$2:$AO$1046,0),COLUMN()),"")</f>
        <v>副本</v>
      </c>
    </row>
    <row r="642" spans="1:25" x14ac:dyDescent="0.35">
      <c r="A642" t="str">
        <f>IFERROR(INDEX(装备库!$A$2:$Y$1047,MATCH(ROW()-1,装备库!$AO$2:$AO$1046,0),COLUMN()),"")</f>
        <v>长兵</v>
      </c>
      <c r="B642" t="str">
        <f>IFERROR(INDEX(装备库!$A$2:$Y$1047,MATCH(ROW()-1,装备库!$AO$2:$AO$1046,0),COLUMN()),"")</f>
        <v>热血山河</v>
      </c>
      <c r="C642">
        <f>IFERROR(INDEX(装备库!$A$2:$Y$1047,MATCH(ROW()-1,装备库!$AO$2:$AO$1046,0),COLUMN()),"")</f>
        <v>12600</v>
      </c>
      <c r="D642" t="str">
        <f>IFERROR(INDEX(装备库!$A$2:$Y$1047,MATCH(ROW()-1,装备库!$AO$2:$AO$1046,0),COLUMN()),"")</f>
        <v>热血山河(12600会招)</v>
      </c>
      <c r="E642">
        <f>IFERROR(INDEX(装备库!$A$2:$Y$1047,MATCH(ROW()-1,装备库!$AO$2:$AO$1046,0),COLUMN()),"")</f>
        <v>1056</v>
      </c>
      <c r="F642">
        <f>IFERROR(INDEX(装备库!$A$2:$Y$1047,MATCH(ROW()-1,装备库!$AO$2:$AO$1046,0),COLUMN()),"")</f>
        <v>4089</v>
      </c>
      <c r="G642">
        <f>IFERROR(INDEX(装备库!$A$2:$Y$1047,MATCH(ROW()-1,装备库!$AO$2:$AO$1046,0),COLUMN()),"")</f>
        <v>5297</v>
      </c>
      <c r="H642">
        <f>IFERROR(INDEX(装备库!$A$2:$Y$1047,MATCH(ROW()-1,装备库!$AO$2:$AO$1046,0),COLUMN()),"")</f>
        <v>0</v>
      </c>
      <c r="I642">
        <f>IFERROR(INDEX(装备库!$A$2:$Y$1047,MATCH(ROW()-1,装备库!$AO$2:$AO$1046,0),COLUMN()),"")</f>
        <v>0</v>
      </c>
      <c r="J642">
        <f>IFERROR(INDEX(装备库!$A$2:$Y$1047,MATCH(ROW()-1,装备库!$AO$2:$AO$1046,0),COLUMN()),"")</f>
        <v>5651</v>
      </c>
      <c r="K642">
        <f>IFERROR(INDEX(装备库!$A$2:$Y$1047,MATCH(ROW()-1,装备库!$AO$2:$AO$1046,0),COLUMN()),"")</f>
        <v>0</v>
      </c>
      <c r="L642">
        <f>IFERROR(INDEX(装备库!$A$2:$Y$1047,MATCH(ROW()-1,装备库!$AO$2:$AO$1046,0),COLUMN()),"")</f>
        <v>0</v>
      </c>
      <c r="M642">
        <f>IFERROR(INDEX(装备库!$A$2:$Y$1047,MATCH(ROW()-1,装备库!$AO$2:$AO$1046,0),COLUMN()),"")</f>
        <v>3321</v>
      </c>
      <c r="N642">
        <f>IFERROR(INDEX(装备库!$A$2:$Y$1047,MATCH(ROW()-1,装备库!$AO$2:$AO$1046,0),COLUMN()),"")</f>
        <v>5535</v>
      </c>
      <c r="O642">
        <f>IFERROR(INDEX(装备库!$A$2:$Y$1047,MATCH(ROW()-1,装备库!$AO$2:$AO$1046,0),COLUMN()),"")</f>
        <v>1</v>
      </c>
      <c r="P642">
        <f>IFERROR(INDEX(装备库!$A$2:$Y$1047,MATCH(ROW()-1,装备库!$AO$2:$AO$1046,0),COLUMN()),"")</f>
        <v>1</v>
      </c>
      <c r="Q642">
        <f>IFERROR(INDEX(装备库!$A$2:$Y$1047,MATCH(ROW()-1,装备库!$AO$2:$AO$1046,0),COLUMN()),"")</f>
        <v>0</v>
      </c>
      <c r="R642">
        <f>IFERROR(INDEX(装备库!$A$2:$Y$1047,MATCH(ROW()-1,装备库!$AO$2:$AO$1046,0),COLUMN()),"")</f>
        <v>0</v>
      </c>
      <c r="S642">
        <f>IFERROR(INDEX(装备库!$A$2:$Y$1047,MATCH(ROW()-1,装备库!$AO$2:$AO$1046,0),COLUMN()),"")</f>
        <v>1</v>
      </c>
      <c r="T642">
        <f>IFERROR(INDEX(装备库!$A$2:$Y$1047,MATCH(ROW()-1,装备库!$AO$2:$AO$1046,0),COLUMN()),"")</f>
        <v>0</v>
      </c>
      <c r="U642">
        <f>IFERROR(INDEX(装备库!$A$2:$Y$1047,MATCH(ROW()-1,装备库!$AO$2:$AO$1046,0),COLUMN()),"")</f>
        <v>0</v>
      </c>
      <c r="V642">
        <f>IFERROR(INDEX(装备库!$A$2:$Y$1047,MATCH(ROW()-1,装备库!$AO$2:$AO$1046,0),COLUMN()),"")</f>
        <v>0</v>
      </c>
      <c r="W642" t="str">
        <f>IFERROR(INDEX(装备库!$A$2:$Y$1047,MATCH(ROW()-1,装备库!$AO$2:$AO$1046,0),COLUMN()),"")</f>
        <v>会招</v>
      </c>
      <c r="X642">
        <f>IFERROR(INDEX(装备库!$A$2:$Y$1047,MATCH(ROW()-1,装备库!$AO$2:$AO$1046,0),COLUMN()),"")</f>
        <v>6</v>
      </c>
      <c r="Y642" t="str">
        <f>IFERROR(INDEX(装备库!$A$2:$Y$1047,MATCH(ROW()-1,装备库!$AO$2:$AO$1046,0),COLUMN()),"")</f>
        <v>生活技能</v>
      </c>
    </row>
    <row r="643" spans="1:25" x14ac:dyDescent="0.35">
      <c r="A643" t="str">
        <f>IFERROR(INDEX(装备库!$A$2:$Y$1047,MATCH(ROW()-1,装备库!$AO$2:$AO$1046,0),COLUMN()),"")</f>
        <v/>
      </c>
      <c r="B643" t="str">
        <f>IFERROR(INDEX(装备库!$A$2:$Y$1047,MATCH(ROW()-1,装备库!$AO$2:$AO$1046,0),COLUMN()),"")</f>
        <v/>
      </c>
      <c r="C643" t="str">
        <f>IFERROR(INDEX(装备库!$A$2:$Y$1047,MATCH(ROW()-1,装备库!$AO$2:$AO$1046,0),COLUMN()),"")</f>
        <v/>
      </c>
      <c r="D643" t="str">
        <f>IFERROR(INDEX(装备库!$A$2:$Y$1047,MATCH(ROW()-1,装备库!$AO$2:$AO$1046,0),COLUMN()),"")</f>
        <v/>
      </c>
      <c r="E643" t="str">
        <f>IFERROR(INDEX(装备库!$A$2:$Y$1047,MATCH(ROW()-1,装备库!$AO$2:$AO$1046,0),COLUMN()),"")</f>
        <v/>
      </c>
      <c r="F643" t="str">
        <f>IFERROR(INDEX(装备库!$A$2:$Y$1047,MATCH(ROW()-1,装备库!$AO$2:$AO$1046,0),COLUMN()),"")</f>
        <v/>
      </c>
      <c r="G643" t="str">
        <f>IFERROR(INDEX(装备库!$A$2:$Y$1047,MATCH(ROW()-1,装备库!$AO$2:$AO$1046,0),COLUMN()),"")</f>
        <v/>
      </c>
      <c r="H643" t="str">
        <f>IFERROR(INDEX(装备库!$A$2:$Y$1047,MATCH(ROW()-1,装备库!$AO$2:$AO$1046,0),COLUMN()),"")</f>
        <v/>
      </c>
      <c r="I643" t="str">
        <f>IFERROR(INDEX(装备库!$A$2:$Y$1047,MATCH(ROW()-1,装备库!$AO$2:$AO$1046,0),COLUMN()),"")</f>
        <v/>
      </c>
      <c r="J643" t="str">
        <f>IFERROR(INDEX(装备库!$A$2:$Y$1047,MATCH(ROW()-1,装备库!$AO$2:$AO$1046,0),COLUMN()),"")</f>
        <v/>
      </c>
      <c r="K643" t="str">
        <f>IFERROR(INDEX(装备库!$A$2:$Y$1047,MATCH(ROW()-1,装备库!$AO$2:$AO$1046,0),COLUMN()),"")</f>
        <v/>
      </c>
      <c r="L643" t="str">
        <f>IFERROR(INDEX(装备库!$A$2:$Y$1047,MATCH(ROW()-1,装备库!$AO$2:$AO$1046,0),COLUMN()),"")</f>
        <v/>
      </c>
      <c r="M643" t="str">
        <f>IFERROR(INDEX(装备库!$A$2:$Y$1047,MATCH(ROW()-1,装备库!$AO$2:$AO$1046,0),COLUMN()),"")</f>
        <v/>
      </c>
      <c r="N643" t="str">
        <f>IFERROR(INDEX(装备库!$A$2:$Y$1047,MATCH(ROW()-1,装备库!$AO$2:$AO$1046,0),COLUMN()),"")</f>
        <v/>
      </c>
      <c r="O643" t="str">
        <f>IFERROR(INDEX(装备库!$A$2:$Y$1047,MATCH(ROW()-1,装备库!$AO$2:$AO$1046,0),COLUMN()),"")</f>
        <v/>
      </c>
      <c r="P643" t="str">
        <f>IFERROR(INDEX(装备库!$A$2:$Y$1047,MATCH(ROW()-1,装备库!$AO$2:$AO$1046,0),COLUMN()),"")</f>
        <v/>
      </c>
      <c r="Q643" t="str">
        <f>IFERROR(INDEX(装备库!$A$2:$Y$1047,MATCH(ROW()-1,装备库!$AO$2:$AO$1046,0),COLUMN()),"")</f>
        <v/>
      </c>
      <c r="R643" t="str">
        <f>IFERROR(INDEX(装备库!$A$2:$Y$1047,MATCH(ROW()-1,装备库!$AO$2:$AO$1046,0),COLUMN()),"")</f>
        <v/>
      </c>
      <c r="S643" t="str">
        <f>IFERROR(INDEX(装备库!$A$2:$Y$1047,MATCH(ROW()-1,装备库!$AO$2:$AO$1046,0),COLUMN()),"")</f>
        <v/>
      </c>
      <c r="T643" t="str">
        <f>IFERROR(INDEX(装备库!$A$2:$Y$1047,MATCH(ROW()-1,装备库!$AO$2:$AO$1046,0),COLUMN()),"")</f>
        <v/>
      </c>
      <c r="U643" t="str">
        <f>IFERROR(INDEX(装备库!$A$2:$Y$1047,MATCH(ROW()-1,装备库!$AO$2:$AO$1046,0),COLUMN()),"")</f>
        <v/>
      </c>
      <c r="V643" t="str">
        <f>IFERROR(INDEX(装备库!$A$2:$Y$1047,MATCH(ROW()-1,装备库!$AO$2:$AO$1046,0),COLUMN()),"")</f>
        <v/>
      </c>
      <c r="W643" t="str">
        <f>IFERROR(INDEX(装备库!$A$2:$Y$1047,MATCH(ROW()-1,装备库!$AO$2:$AO$1046,0),COLUMN()),"")</f>
        <v/>
      </c>
      <c r="X643" t="str">
        <f>IFERROR(INDEX(装备库!$A$2:$Y$1047,MATCH(ROW()-1,装备库!$AO$2:$AO$1046,0),COLUMN()),"")</f>
        <v/>
      </c>
      <c r="Y643" t="str">
        <f>IFERROR(INDEX(装备库!$A$2:$Y$1047,MATCH(ROW()-1,装备库!$AO$2:$AO$1046,0),COLUMN()),"")</f>
        <v/>
      </c>
    </row>
    <row r="644" spans="1:25" x14ac:dyDescent="0.35">
      <c r="A644" t="str">
        <f>IFERROR(INDEX(装备库!$A$2:$Y$1047,MATCH(ROW()-1,装备库!$AO$2:$AO$1046,0),COLUMN()),"")</f>
        <v/>
      </c>
      <c r="B644" t="str">
        <f>IFERROR(INDEX(装备库!$A$2:$Y$1047,MATCH(ROW()-1,装备库!$AO$2:$AO$1046,0),COLUMN()),"")</f>
        <v/>
      </c>
      <c r="C644" t="str">
        <f>IFERROR(INDEX(装备库!$A$2:$Y$1047,MATCH(ROW()-1,装备库!$AO$2:$AO$1046,0),COLUMN()),"")</f>
        <v/>
      </c>
      <c r="D644" t="str">
        <f>IFERROR(INDEX(装备库!$A$2:$Y$1047,MATCH(ROW()-1,装备库!$AO$2:$AO$1046,0),COLUMN()),"")</f>
        <v/>
      </c>
      <c r="E644" t="str">
        <f>IFERROR(INDEX(装备库!$A$2:$Y$1047,MATCH(ROW()-1,装备库!$AO$2:$AO$1046,0),COLUMN()),"")</f>
        <v/>
      </c>
      <c r="F644" t="str">
        <f>IFERROR(INDEX(装备库!$A$2:$Y$1047,MATCH(ROW()-1,装备库!$AO$2:$AO$1046,0),COLUMN()),"")</f>
        <v/>
      </c>
      <c r="G644" t="str">
        <f>IFERROR(INDEX(装备库!$A$2:$Y$1047,MATCH(ROW()-1,装备库!$AO$2:$AO$1046,0),COLUMN()),"")</f>
        <v/>
      </c>
      <c r="H644" t="str">
        <f>IFERROR(INDEX(装备库!$A$2:$Y$1047,MATCH(ROW()-1,装备库!$AO$2:$AO$1046,0),COLUMN()),"")</f>
        <v/>
      </c>
      <c r="I644" t="str">
        <f>IFERROR(INDEX(装备库!$A$2:$Y$1047,MATCH(ROW()-1,装备库!$AO$2:$AO$1046,0),COLUMN()),"")</f>
        <v/>
      </c>
      <c r="J644" t="str">
        <f>IFERROR(INDEX(装备库!$A$2:$Y$1047,MATCH(ROW()-1,装备库!$AO$2:$AO$1046,0),COLUMN()),"")</f>
        <v/>
      </c>
      <c r="K644" t="str">
        <f>IFERROR(INDEX(装备库!$A$2:$Y$1047,MATCH(ROW()-1,装备库!$AO$2:$AO$1046,0),COLUMN()),"")</f>
        <v/>
      </c>
      <c r="L644" t="str">
        <f>IFERROR(INDEX(装备库!$A$2:$Y$1047,MATCH(ROW()-1,装备库!$AO$2:$AO$1046,0),COLUMN()),"")</f>
        <v/>
      </c>
      <c r="M644" t="str">
        <f>IFERROR(INDEX(装备库!$A$2:$Y$1047,MATCH(ROW()-1,装备库!$AO$2:$AO$1046,0),COLUMN()),"")</f>
        <v/>
      </c>
      <c r="N644" t="str">
        <f>IFERROR(INDEX(装备库!$A$2:$Y$1047,MATCH(ROW()-1,装备库!$AO$2:$AO$1046,0),COLUMN()),"")</f>
        <v/>
      </c>
      <c r="O644" t="str">
        <f>IFERROR(INDEX(装备库!$A$2:$Y$1047,MATCH(ROW()-1,装备库!$AO$2:$AO$1046,0),COLUMN()),"")</f>
        <v/>
      </c>
      <c r="P644" t="str">
        <f>IFERROR(INDEX(装备库!$A$2:$Y$1047,MATCH(ROW()-1,装备库!$AO$2:$AO$1046,0),COLUMN()),"")</f>
        <v/>
      </c>
      <c r="Q644" t="str">
        <f>IFERROR(INDEX(装备库!$A$2:$Y$1047,MATCH(ROW()-1,装备库!$AO$2:$AO$1046,0),COLUMN()),"")</f>
        <v/>
      </c>
      <c r="R644" t="str">
        <f>IFERROR(INDEX(装备库!$A$2:$Y$1047,MATCH(ROW()-1,装备库!$AO$2:$AO$1046,0),COLUMN()),"")</f>
        <v/>
      </c>
      <c r="S644" t="str">
        <f>IFERROR(INDEX(装备库!$A$2:$Y$1047,MATCH(ROW()-1,装备库!$AO$2:$AO$1046,0),COLUMN()),"")</f>
        <v/>
      </c>
      <c r="T644" t="str">
        <f>IFERROR(INDEX(装备库!$A$2:$Y$1047,MATCH(ROW()-1,装备库!$AO$2:$AO$1046,0),COLUMN()),"")</f>
        <v/>
      </c>
      <c r="U644" t="str">
        <f>IFERROR(INDEX(装备库!$A$2:$Y$1047,MATCH(ROW()-1,装备库!$AO$2:$AO$1046,0),COLUMN()),"")</f>
        <v/>
      </c>
      <c r="V644" t="str">
        <f>IFERROR(INDEX(装备库!$A$2:$Y$1047,MATCH(ROW()-1,装备库!$AO$2:$AO$1046,0),COLUMN()),"")</f>
        <v/>
      </c>
      <c r="W644" t="str">
        <f>IFERROR(INDEX(装备库!$A$2:$Y$1047,MATCH(ROW()-1,装备库!$AO$2:$AO$1046,0),COLUMN()),"")</f>
        <v/>
      </c>
      <c r="X644" t="str">
        <f>IFERROR(INDEX(装备库!$A$2:$Y$1047,MATCH(ROW()-1,装备库!$AO$2:$AO$1046,0),COLUMN()),"")</f>
        <v/>
      </c>
      <c r="Y644" t="str">
        <f>IFERROR(INDEX(装备库!$A$2:$Y$1047,MATCH(ROW()-1,装备库!$AO$2:$AO$1046,0),COLUMN()),"")</f>
        <v/>
      </c>
    </row>
    <row r="645" spans="1:25" x14ac:dyDescent="0.35">
      <c r="A645" t="str">
        <f>IFERROR(INDEX(装备库!$A$2:$Y$1047,MATCH(ROW()-1,装备库!$AO$2:$AO$1046,0),COLUMN()),"")</f>
        <v/>
      </c>
      <c r="B645" t="str">
        <f>IFERROR(INDEX(装备库!$A$2:$Y$1047,MATCH(ROW()-1,装备库!$AO$2:$AO$1046,0),COLUMN()),"")</f>
        <v/>
      </c>
      <c r="C645" t="str">
        <f>IFERROR(INDEX(装备库!$A$2:$Y$1047,MATCH(ROW()-1,装备库!$AO$2:$AO$1046,0),COLUMN()),"")</f>
        <v/>
      </c>
      <c r="D645" t="str">
        <f>IFERROR(INDEX(装备库!$A$2:$Y$1047,MATCH(ROW()-1,装备库!$AO$2:$AO$1046,0),COLUMN()),"")</f>
        <v/>
      </c>
      <c r="E645" t="str">
        <f>IFERROR(INDEX(装备库!$A$2:$Y$1047,MATCH(ROW()-1,装备库!$AO$2:$AO$1046,0),COLUMN()),"")</f>
        <v/>
      </c>
      <c r="F645" t="str">
        <f>IFERROR(INDEX(装备库!$A$2:$Y$1047,MATCH(ROW()-1,装备库!$AO$2:$AO$1046,0),COLUMN()),"")</f>
        <v/>
      </c>
      <c r="G645" t="str">
        <f>IFERROR(INDEX(装备库!$A$2:$Y$1047,MATCH(ROW()-1,装备库!$AO$2:$AO$1046,0),COLUMN()),"")</f>
        <v/>
      </c>
      <c r="H645" t="str">
        <f>IFERROR(INDEX(装备库!$A$2:$Y$1047,MATCH(ROW()-1,装备库!$AO$2:$AO$1046,0),COLUMN()),"")</f>
        <v/>
      </c>
      <c r="I645" t="str">
        <f>IFERROR(INDEX(装备库!$A$2:$Y$1047,MATCH(ROW()-1,装备库!$AO$2:$AO$1046,0),COLUMN()),"")</f>
        <v/>
      </c>
      <c r="J645" t="str">
        <f>IFERROR(INDEX(装备库!$A$2:$Y$1047,MATCH(ROW()-1,装备库!$AO$2:$AO$1046,0),COLUMN()),"")</f>
        <v/>
      </c>
      <c r="K645" t="str">
        <f>IFERROR(INDEX(装备库!$A$2:$Y$1047,MATCH(ROW()-1,装备库!$AO$2:$AO$1046,0),COLUMN()),"")</f>
        <v/>
      </c>
      <c r="L645" t="str">
        <f>IFERROR(INDEX(装备库!$A$2:$Y$1047,MATCH(ROW()-1,装备库!$AO$2:$AO$1046,0),COLUMN()),"")</f>
        <v/>
      </c>
      <c r="M645" t="str">
        <f>IFERROR(INDEX(装备库!$A$2:$Y$1047,MATCH(ROW()-1,装备库!$AO$2:$AO$1046,0),COLUMN()),"")</f>
        <v/>
      </c>
      <c r="N645" t="str">
        <f>IFERROR(INDEX(装备库!$A$2:$Y$1047,MATCH(ROW()-1,装备库!$AO$2:$AO$1046,0),COLUMN()),"")</f>
        <v/>
      </c>
      <c r="O645" t="str">
        <f>IFERROR(INDEX(装备库!$A$2:$Y$1047,MATCH(ROW()-1,装备库!$AO$2:$AO$1046,0),COLUMN()),"")</f>
        <v/>
      </c>
      <c r="P645" t="str">
        <f>IFERROR(INDEX(装备库!$A$2:$Y$1047,MATCH(ROW()-1,装备库!$AO$2:$AO$1046,0),COLUMN()),"")</f>
        <v/>
      </c>
      <c r="Q645" t="str">
        <f>IFERROR(INDEX(装备库!$A$2:$Y$1047,MATCH(ROW()-1,装备库!$AO$2:$AO$1046,0),COLUMN()),"")</f>
        <v/>
      </c>
      <c r="R645" t="str">
        <f>IFERROR(INDEX(装备库!$A$2:$Y$1047,MATCH(ROW()-1,装备库!$AO$2:$AO$1046,0),COLUMN()),"")</f>
        <v/>
      </c>
      <c r="S645" t="str">
        <f>IFERROR(INDEX(装备库!$A$2:$Y$1047,MATCH(ROW()-1,装备库!$AO$2:$AO$1046,0),COLUMN()),"")</f>
        <v/>
      </c>
      <c r="T645" t="str">
        <f>IFERROR(INDEX(装备库!$A$2:$Y$1047,MATCH(ROW()-1,装备库!$AO$2:$AO$1046,0),COLUMN()),"")</f>
        <v/>
      </c>
      <c r="U645" t="str">
        <f>IFERROR(INDEX(装备库!$A$2:$Y$1047,MATCH(ROW()-1,装备库!$AO$2:$AO$1046,0),COLUMN()),"")</f>
        <v/>
      </c>
      <c r="V645" t="str">
        <f>IFERROR(INDEX(装备库!$A$2:$Y$1047,MATCH(ROW()-1,装备库!$AO$2:$AO$1046,0),COLUMN()),"")</f>
        <v/>
      </c>
      <c r="W645" t="str">
        <f>IFERROR(INDEX(装备库!$A$2:$Y$1047,MATCH(ROW()-1,装备库!$AO$2:$AO$1046,0),COLUMN()),"")</f>
        <v/>
      </c>
      <c r="X645" t="str">
        <f>IFERROR(INDEX(装备库!$A$2:$Y$1047,MATCH(ROW()-1,装备库!$AO$2:$AO$1046,0),COLUMN()),"")</f>
        <v/>
      </c>
      <c r="Y645" t="str">
        <f>IFERROR(INDEX(装备库!$A$2:$Y$1047,MATCH(ROW()-1,装备库!$AO$2:$AO$1046,0),COLUMN()),"")</f>
        <v/>
      </c>
    </row>
    <row r="646" spans="1:25" x14ac:dyDescent="0.35">
      <c r="A646" t="str">
        <f>IFERROR(INDEX(装备库!$A$2:$Y$1047,MATCH(ROW()-1,装备库!$AO$2:$AO$1046,0),COLUMN()),"")</f>
        <v/>
      </c>
      <c r="B646" t="str">
        <f>IFERROR(INDEX(装备库!$A$2:$Y$1047,MATCH(ROW()-1,装备库!$AO$2:$AO$1046,0),COLUMN()),"")</f>
        <v/>
      </c>
      <c r="C646" t="str">
        <f>IFERROR(INDEX(装备库!$A$2:$Y$1047,MATCH(ROW()-1,装备库!$AO$2:$AO$1046,0),COLUMN()),"")</f>
        <v/>
      </c>
      <c r="D646" t="str">
        <f>IFERROR(INDEX(装备库!$A$2:$Y$1047,MATCH(ROW()-1,装备库!$AO$2:$AO$1046,0),COLUMN()),"")</f>
        <v/>
      </c>
      <c r="E646" t="str">
        <f>IFERROR(INDEX(装备库!$A$2:$Y$1047,MATCH(ROW()-1,装备库!$AO$2:$AO$1046,0),COLUMN()),"")</f>
        <v/>
      </c>
      <c r="F646" t="str">
        <f>IFERROR(INDEX(装备库!$A$2:$Y$1047,MATCH(ROW()-1,装备库!$AO$2:$AO$1046,0),COLUMN()),"")</f>
        <v/>
      </c>
      <c r="G646" t="str">
        <f>IFERROR(INDEX(装备库!$A$2:$Y$1047,MATCH(ROW()-1,装备库!$AO$2:$AO$1046,0),COLUMN()),"")</f>
        <v/>
      </c>
      <c r="H646" t="str">
        <f>IFERROR(INDEX(装备库!$A$2:$Y$1047,MATCH(ROW()-1,装备库!$AO$2:$AO$1046,0),COLUMN()),"")</f>
        <v/>
      </c>
      <c r="I646" t="str">
        <f>IFERROR(INDEX(装备库!$A$2:$Y$1047,MATCH(ROW()-1,装备库!$AO$2:$AO$1046,0),COLUMN()),"")</f>
        <v/>
      </c>
      <c r="J646" t="str">
        <f>IFERROR(INDEX(装备库!$A$2:$Y$1047,MATCH(ROW()-1,装备库!$AO$2:$AO$1046,0),COLUMN()),"")</f>
        <v/>
      </c>
      <c r="K646" t="str">
        <f>IFERROR(INDEX(装备库!$A$2:$Y$1047,MATCH(ROW()-1,装备库!$AO$2:$AO$1046,0),COLUMN()),"")</f>
        <v/>
      </c>
      <c r="L646" t="str">
        <f>IFERROR(INDEX(装备库!$A$2:$Y$1047,MATCH(ROW()-1,装备库!$AO$2:$AO$1046,0),COLUMN()),"")</f>
        <v/>
      </c>
      <c r="M646" t="str">
        <f>IFERROR(INDEX(装备库!$A$2:$Y$1047,MATCH(ROW()-1,装备库!$AO$2:$AO$1046,0),COLUMN()),"")</f>
        <v/>
      </c>
      <c r="N646" t="str">
        <f>IFERROR(INDEX(装备库!$A$2:$Y$1047,MATCH(ROW()-1,装备库!$AO$2:$AO$1046,0),COLUMN()),"")</f>
        <v/>
      </c>
      <c r="O646" t="str">
        <f>IFERROR(INDEX(装备库!$A$2:$Y$1047,MATCH(ROW()-1,装备库!$AO$2:$AO$1046,0),COLUMN()),"")</f>
        <v/>
      </c>
      <c r="P646" t="str">
        <f>IFERROR(INDEX(装备库!$A$2:$Y$1047,MATCH(ROW()-1,装备库!$AO$2:$AO$1046,0),COLUMN()),"")</f>
        <v/>
      </c>
      <c r="Q646" t="str">
        <f>IFERROR(INDEX(装备库!$A$2:$Y$1047,MATCH(ROW()-1,装备库!$AO$2:$AO$1046,0),COLUMN()),"")</f>
        <v/>
      </c>
      <c r="R646" t="str">
        <f>IFERROR(INDEX(装备库!$A$2:$Y$1047,MATCH(ROW()-1,装备库!$AO$2:$AO$1046,0),COLUMN()),"")</f>
        <v/>
      </c>
      <c r="S646" t="str">
        <f>IFERROR(INDEX(装备库!$A$2:$Y$1047,MATCH(ROW()-1,装备库!$AO$2:$AO$1046,0),COLUMN()),"")</f>
        <v/>
      </c>
      <c r="T646" t="str">
        <f>IFERROR(INDEX(装备库!$A$2:$Y$1047,MATCH(ROW()-1,装备库!$AO$2:$AO$1046,0),COLUMN()),"")</f>
        <v/>
      </c>
      <c r="U646" t="str">
        <f>IFERROR(INDEX(装备库!$A$2:$Y$1047,MATCH(ROW()-1,装备库!$AO$2:$AO$1046,0),COLUMN()),"")</f>
        <v/>
      </c>
      <c r="V646" t="str">
        <f>IFERROR(INDEX(装备库!$A$2:$Y$1047,MATCH(ROW()-1,装备库!$AO$2:$AO$1046,0),COLUMN()),"")</f>
        <v/>
      </c>
      <c r="W646" t="str">
        <f>IFERROR(INDEX(装备库!$A$2:$Y$1047,MATCH(ROW()-1,装备库!$AO$2:$AO$1046,0),COLUMN()),"")</f>
        <v/>
      </c>
      <c r="X646" t="str">
        <f>IFERROR(INDEX(装备库!$A$2:$Y$1047,MATCH(ROW()-1,装备库!$AO$2:$AO$1046,0),COLUMN()),"")</f>
        <v/>
      </c>
      <c r="Y646" t="str">
        <f>IFERROR(INDEX(装备库!$A$2:$Y$1047,MATCH(ROW()-1,装备库!$AO$2:$AO$1046,0),COLUMN()),"")</f>
        <v/>
      </c>
    </row>
    <row r="647" spans="1:25" x14ac:dyDescent="0.35">
      <c r="A647" t="str">
        <f>IFERROR(INDEX(装备库!$A$2:$Y$1047,MATCH(ROW()-1,装备库!$AO$2:$AO$1046,0),COLUMN()),"")</f>
        <v/>
      </c>
      <c r="B647" t="str">
        <f>IFERROR(INDEX(装备库!$A$2:$Y$1047,MATCH(ROW()-1,装备库!$AO$2:$AO$1046,0),COLUMN()),"")</f>
        <v/>
      </c>
      <c r="C647" t="str">
        <f>IFERROR(INDEX(装备库!$A$2:$Y$1047,MATCH(ROW()-1,装备库!$AO$2:$AO$1046,0),COLUMN()),"")</f>
        <v/>
      </c>
      <c r="D647" t="str">
        <f>IFERROR(INDEX(装备库!$A$2:$Y$1047,MATCH(ROW()-1,装备库!$AO$2:$AO$1046,0),COLUMN()),"")</f>
        <v/>
      </c>
      <c r="E647" t="str">
        <f>IFERROR(INDEX(装备库!$A$2:$Y$1047,MATCH(ROW()-1,装备库!$AO$2:$AO$1046,0),COLUMN()),"")</f>
        <v/>
      </c>
      <c r="F647" t="str">
        <f>IFERROR(INDEX(装备库!$A$2:$Y$1047,MATCH(ROW()-1,装备库!$AO$2:$AO$1046,0),COLUMN()),"")</f>
        <v/>
      </c>
      <c r="G647" t="str">
        <f>IFERROR(INDEX(装备库!$A$2:$Y$1047,MATCH(ROW()-1,装备库!$AO$2:$AO$1046,0),COLUMN()),"")</f>
        <v/>
      </c>
      <c r="H647" t="str">
        <f>IFERROR(INDEX(装备库!$A$2:$Y$1047,MATCH(ROW()-1,装备库!$AO$2:$AO$1046,0),COLUMN()),"")</f>
        <v/>
      </c>
      <c r="I647" t="str">
        <f>IFERROR(INDEX(装备库!$A$2:$Y$1047,MATCH(ROW()-1,装备库!$AO$2:$AO$1046,0),COLUMN()),"")</f>
        <v/>
      </c>
      <c r="J647" t="str">
        <f>IFERROR(INDEX(装备库!$A$2:$Y$1047,MATCH(ROW()-1,装备库!$AO$2:$AO$1046,0),COLUMN()),"")</f>
        <v/>
      </c>
      <c r="K647" t="str">
        <f>IFERROR(INDEX(装备库!$A$2:$Y$1047,MATCH(ROW()-1,装备库!$AO$2:$AO$1046,0),COLUMN()),"")</f>
        <v/>
      </c>
      <c r="L647" t="str">
        <f>IFERROR(INDEX(装备库!$A$2:$Y$1047,MATCH(ROW()-1,装备库!$AO$2:$AO$1046,0),COLUMN()),"")</f>
        <v/>
      </c>
      <c r="M647" t="str">
        <f>IFERROR(INDEX(装备库!$A$2:$Y$1047,MATCH(ROW()-1,装备库!$AO$2:$AO$1046,0),COLUMN()),"")</f>
        <v/>
      </c>
      <c r="N647" t="str">
        <f>IFERROR(INDEX(装备库!$A$2:$Y$1047,MATCH(ROW()-1,装备库!$AO$2:$AO$1046,0),COLUMN()),"")</f>
        <v/>
      </c>
      <c r="O647" t="str">
        <f>IFERROR(INDEX(装备库!$A$2:$Y$1047,MATCH(ROW()-1,装备库!$AO$2:$AO$1046,0),COLUMN()),"")</f>
        <v/>
      </c>
      <c r="P647" t="str">
        <f>IFERROR(INDEX(装备库!$A$2:$Y$1047,MATCH(ROW()-1,装备库!$AO$2:$AO$1046,0),COLUMN()),"")</f>
        <v/>
      </c>
      <c r="Q647" t="str">
        <f>IFERROR(INDEX(装备库!$A$2:$Y$1047,MATCH(ROW()-1,装备库!$AO$2:$AO$1046,0),COLUMN()),"")</f>
        <v/>
      </c>
      <c r="R647" t="str">
        <f>IFERROR(INDEX(装备库!$A$2:$Y$1047,MATCH(ROW()-1,装备库!$AO$2:$AO$1046,0),COLUMN()),"")</f>
        <v/>
      </c>
      <c r="S647" t="str">
        <f>IFERROR(INDEX(装备库!$A$2:$Y$1047,MATCH(ROW()-1,装备库!$AO$2:$AO$1046,0),COLUMN()),"")</f>
        <v/>
      </c>
      <c r="T647" t="str">
        <f>IFERROR(INDEX(装备库!$A$2:$Y$1047,MATCH(ROW()-1,装备库!$AO$2:$AO$1046,0),COLUMN()),"")</f>
        <v/>
      </c>
      <c r="U647" t="str">
        <f>IFERROR(INDEX(装备库!$A$2:$Y$1047,MATCH(ROW()-1,装备库!$AO$2:$AO$1046,0),COLUMN()),"")</f>
        <v/>
      </c>
      <c r="V647" t="str">
        <f>IFERROR(INDEX(装备库!$A$2:$Y$1047,MATCH(ROW()-1,装备库!$AO$2:$AO$1046,0),COLUMN()),"")</f>
        <v/>
      </c>
      <c r="W647" t="str">
        <f>IFERROR(INDEX(装备库!$A$2:$Y$1047,MATCH(ROW()-1,装备库!$AO$2:$AO$1046,0),COLUMN()),"")</f>
        <v/>
      </c>
      <c r="X647" t="str">
        <f>IFERROR(INDEX(装备库!$A$2:$Y$1047,MATCH(ROW()-1,装备库!$AO$2:$AO$1046,0),COLUMN()),"")</f>
        <v/>
      </c>
      <c r="Y647" t="str">
        <f>IFERROR(INDEX(装备库!$A$2:$Y$1047,MATCH(ROW()-1,装备库!$AO$2:$AO$1046,0),COLUMN()),"")</f>
        <v/>
      </c>
    </row>
    <row r="648" spans="1:25" x14ac:dyDescent="0.35">
      <c r="A648" t="str">
        <f>IFERROR(INDEX(装备库!$A$2:$Y$1047,MATCH(ROW()-1,装备库!$AO$2:$AO$1046,0),COLUMN()),"")</f>
        <v/>
      </c>
      <c r="B648" t="str">
        <f>IFERROR(INDEX(装备库!$A$2:$Y$1047,MATCH(ROW()-1,装备库!$AO$2:$AO$1046,0),COLUMN()),"")</f>
        <v/>
      </c>
      <c r="C648" t="str">
        <f>IFERROR(INDEX(装备库!$A$2:$Y$1047,MATCH(ROW()-1,装备库!$AO$2:$AO$1046,0),COLUMN()),"")</f>
        <v/>
      </c>
      <c r="D648" t="str">
        <f>IFERROR(INDEX(装备库!$A$2:$Y$1047,MATCH(ROW()-1,装备库!$AO$2:$AO$1046,0),COLUMN()),"")</f>
        <v/>
      </c>
      <c r="E648" t="str">
        <f>IFERROR(INDEX(装备库!$A$2:$Y$1047,MATCH(ROW()-1,装备库!$AO$2:$AO$1046,0),COLUMN()),"")</f>
        <v/>
      </c>
      <c r="F648" t="str">
        <f>IFERROR(INDEX(装备库!$A$2:$Y$1047,MATCH(ROW()-1,装备库!$AO$2:$AO$1046,0),COLUMN()),"")</f>
        <v/>
      </c>
      <c r="G648" t="str">
        <f>IFERROR(INDEX(装备库!$A$2:$Y$1047,MATCH(ROW()-1,装备库!$AO$2:$AO$1046,0),COLUMN()),"")</f>
        <v/>
      </c>
      <c r="H648" t="str">
        <f>IFERROR(INDEX(装备库!$A$2:$Y$1047,MATCH(ROW()-1,装备库!$AO$2:$AO$1046,0),COLUMN()),"")</f>
        <v/>
      </c>
      <c r="I648" t="str">
        <f>IFERROR(INDEX(装备库!$A$2:$Y$1047,MATCH(ROW()-1,装备库!$AO$2:$AO$1046,0),COLUMN()),"")</f>
        <v/>
      </c>
      <c r="J648" t="str">
        <f>IFERROR(INDEX(装备库!$A$2:$Y$1047,MATCH(ROW()-1,装备库!$AO$2:$AO$1046,0),COLUMN()),"")</f>
        <v/>
      </c>
      <c r="K648" t="str">
        <f>IFERROR(INDEX(装备库!$A$2:$Y$1047,MATCH(ROW()-1,装备库!$AO$2:$AO$1046,0),COLUMN()),"")</f>
        <v/>
      </c>
      <c r="L648" t="str">
        <f>IFERROR(INDEX(装备库!$A$2:$Y$1047,MATCH(ROW()-1,装备库!$AO$2:$AO$1046,0),COLUMN()),"")</f>
        <v/>
      </c>
      <c r="M648" t="str">
        <f>IFERROR(INDEX(装备库!$A$2:$Y$1047,MATCH(ROW()-1,装备库!$AO$2:$AO$1046,0),COLUMN()),"")</f>
        <v/>
      </c>
      <c r="N648" t="str">
        <f>IFERROR(INDEX(装备库!$A$2:$Y$1047,MATCH(ROW()-1,装备库!$AO$2:$AO$1046,0),COLUMN()),"")</f>
        <v/>
      </c>
      <c r="O648" t="str">
        <f>IFERROR(INDEX(装备库!$A$2:$Y$1047,MATCH(ROW()-1,装备库!$AO$2:$AO$1046,0),COLUMN()),"")</f>
        <v/>
      </c>
      <c r="P648" t="str">
        <f>IFERROR(INDEX(装备库!$A$2:$Y$1047,MATCH(ROW()-1,装备库!$AO$2:$AO$1046,0),COLUMN()),"")</f>
        <v/>
      </c>
      <c r="Q648" t="str">
        <f>IFERROR(INDEX(装备库!$A$2:$Y$1047,MATCH(ROW()-1,装备库!$AO$2:$AO$1046,0),COLUMN()),"")</f>
        <v/>
      </c>
      <c r="R648" t="str">
        <f>IFERROR(INDEX(装备库!$A$2:$Y$1047,MATCH(ROW()-1,装备库!$AO$2:$AO$1046,0),COLUMN()),"")</f>
        <v/>
      </c>
      <c r="S648" t="str">
        <f>IFERROR(INDEX(装备库!$A$2:$Y$1047,MATCH(ROW()-1,装备库!$AO$2:$AO$1046,0),COLUMN()),"")</f>
        <v/>
      </c>
      <c r="T648" t="str">
        <f>IFERROR(INDEX(装备库!$A$2:$Y$1047,MATCH(ROW()-1,装备库!$AO$2:$AO$1046,0),COLUMN()),"")</f>
        <v/>
      </c>
      <c r="U648" t="str">
        <f>IFERROR(INDEX(装备库!$A$2:$Y$1047,MATCH(ROW()-1,装备库!$AO$2:$AO$1046,0),COLUMN()),"")</f>
        <v/>
      </c>
      <c r="V648" t="str">
        <f>IFERROR(INDEX(装备库!$A$2:$Y$1047,MATCH(ROW()-1,装备库!$AO$2:$AO$1046,0),COLUMN()),"")</f>
        <v/>
      </c>
      <c r="W648" t="str">
        <f>IFERROR(INDEX(装备库!$A$2:$Y$1047,MATCH(ROW()-1,装备库!$AO$2:$AO$1046,0),COLUMN()),"")</f>
        <v/>
      </c>
      <c r="X648" t="str">
        <f>IFERROR(INDEX(装备库!$A$2:$Y$1047,MATCH(ROW()-1,装备库!$AO$2:$AO$1046,0),COLUMN()),"")</f>
        <v/>
      </c>
      <c r="Y648" t="str">
        <f>IFERROR(INDEX(装备库!$A$2:$Y$1047,MATCH(ROW()-1,装备库!$AO$2:$AO$1046,0),COLUMN()),"")</f>
        <v/>
      </c>
    </row>
    <row r="649" spans="1:25" x14ac:dyDescent="0.35">
      <c r="A649" t="str">
        <f>IFERROR(INDEX(装备库!$A$2:$Y$1047,MATCH(ROW()-1,装备库!$AO$2:$AO$1046,0),COLUMN()),"")</f>
        <v/>
      </c>
      <c r="B649" t="str">
        <f>IFERROR(INDEX(装备库!$A$2:$Y$1047,MATCH(ROW()-1,装备库!$AO$2:$AO$1046,0),COLUMN()),"")</f>
        <v/>
      </c>
      <c r="C649" t="str">
        <f>IFERROR(INDEX(装备库!$A$2:$Y$1047,MATCH(ROW()-1,装备库!$AO$2:$AO$1046,0),COLUMN()),"")</f>
        <v/>
      </c>
      <c r="D649" t="str">
        <f>IFERROR(INDEX(装备库!$A$2:$Y$1047,MATCH(ROW()-1,装备库!$AO$2:$AO$1046,0),COLUMN()),"")</f>
        <v/>
      </c>
      <c r="E649" t="str">
        <f>IFERROR(INDEX(装备库!$A$2:$Y$1047,MATCH(ROW()-1,装备库!$AO$2:$AO$1046,0),COLUMN()),"")</f>
        <v/>
      </c>
      <c r="F649" t="str">
        <f>IFERROR(INDEX(装备库!$A$2:$Y$1047,MATCH(ROW()-1,装备库!$AO$2:$AO$1046,0),COLUMN()),"")</f>
        <v/>
      </c>
      <c r="G649" t="str">
        <f>IFERROR(INDEX(装备库!$A$2:$Y$1047,MATCH(ROW()-1,装备库!$AO$2:$AO$1046,0),COLUMN()),"")</f>
        <v/>
      </c>
      <c r="H649" t="str">
        <f>IFERROR(INDEX(装备库!$A$2:$Y$1047,MATCH(ROW()-1,装备库!$AO$2:$AO$1046,0),COLUMN()),"")</f>
        <v/>
      </c>
      <c r="I649" t="str">
        <f>IFERROR(INDEX(装备库!$A$2:$Y$1047,MATCH(ROW()-1,装备库!$AO$2:$AO$1046,0),COLUMN()),"")</f>
        <v/>
      </c>
      <c r="J649" t="str">
        <f>IFERROR(INDEX(装备库!$A$2:$Y$1047,MATCH(ROW()-1,装备库!$AO$2:$AO$1046,0),COLUMN()),"")</f>
        <v/>
      </c>
      <c r="K649" t="str">
        <f>IFERROR(INDEX(装备库!$A$2:$Y$1047,MATCH(ROW()-1,装备库!$AO$2:$AO$1046,0),COLUMN()),"")</f>
        <v/>
      </c>
      <c r="L649" t="str">
        <f>IFERROR(INDEX(装备库!$A$2:$Y$1047,MATCH(ROW()-1,装备库!$AO$2:$AO$1046,0),COLUMN()),"")</f>
        <v/>
      </c>
      <c r="M649" t="str">
        <f>IFERROR(INDEX(装备库!$A$2:$Y$1047,MATCH(ROW()-1,装备库!$AO$2:$AO$1046,0),COLUMN()),"")</f>
        <v/>
      </c>
      <c r="N649" t="str">
        <f>IFERROR(INDEX(装备库!$A$2:$Y$1047,MATCH(ROW()-1,装备库!$AO$2:$AO$1046,0),COLUMN()),"")</f>
        <v/>
      </c>
      <c r="O649" t="str">
        <f>IFERROR(INDEX(装备库!$A$2:$Y$1047,MATCH(ROW()-1,装备库!$AO$2:$AO$1046,0),COLUMN()),"")</f>
        <v/>
      </c>
      <c r="P649" t="str">
        <f>IFERROR(INDEX(装备库!$A$2:$Y$1047,MATCH(ROW()-1,装备库!$AO$2:$AO$1046,0),COLUMN()),"")</f>
        <v/>
      </c>
      <c r="Q649" t="str">
        <f>IFERROR(INDEX(装备库!$A$2:$Y$1047,MATCH(ROW()-1,装备库!$AO$2:$AO$1046,0),COLUMN()),"")</f>
        <v/>
      </c>
      <c r="R649" t="str">
        <f>IFERROR(INDEX(装备库!$A$2:$Y$1047,MATCH(ROW()-1,装备库!$AO$2:$AO$1046,0),COLUMN()),"")</f>
        <v/>
      </c>
      <c r="S649" t="str">
        <f>IFERROR(INDEX(装备库!$A$2:$Y$1047,MATCH(ROW()-1,装备库!$AO$2:$AO$1046,0),COLUMN()),"")</f>
        <v/>
      </c>
      <c r="T649" t="str">
        <f>IFERROR(INDEX(装备库!$A$2:$Y$1047,MATCH(ROW()-1,装备库!$AO$2:$AO$1046,0),COLUMN()),"")</f>
        <v/>
      </c>
      <c r="U649" t="str">
        <f>IFERROR(INDEX(装备库!$A$2:$Y$1047,MATCH(ROW()-1,装备库!$AO$2:$AO$1046,0),COLUMN()),"")</f>
        <v/>
      </c>
      <c r="V649" t="str">
        <f>IFERROR(INDEX(装备库!$A$2:$Y$1047,MATCH(ROW()-1,装备库!$AO$2:$AO$1046,0),COLUMN()),"")</f>
        <v/>
      </c>
      <c r="W649" t="str">
        <f>IFERROR(INDEX(装备库!$A$2:$Y$1047,MATCH(ROW()-1,装备库!$AO$2:$AO$1046,0),COLUMN()),"")</f>
        <v/>
      </c>
      <c r="X649" t="str">
        <f>IFERROR(INDEX(装备库!$A$2:$Y$1047,MATCH(ROW()-1,装备库!$AO$2:$AO$1046,0),COLUMN()),"")</f>
        <v/>
      </c>
      <c r="Y649" t="str">
        <f>IFERROR(INDEX(装备库!$A$2:$Y$1047,MATCH(ROW()-1,装备库!$AO$2:$AO$1046,0),COLUMN()),"")</f>
        <v/>
      </c>
    </row>
    <row r="650" spans="1:25" x14ac:dyDescent="0.35">
      <c r="A650" t="str">
        <f>IFERROR(INDEX(装备库!$A$2:$Y$1047,MATCH(ROW()-1,装备库!$AO$2:$AO$1046,0),COLUMN()),"")</f>
        <v/>
      </c>
      <c r="B650" t="str">
        <f>IFERROR(INDEX(装备库!$A$2:$Y$1047,MATCH(ROW()-1,装备库!$AO$2:$AO$1046,0),COLUMN()),"")</f>
        <v/>
      </c>
      <c r="C650" t="str">
        <f>IFERROR(INDEX(装备库!$A$2:$Y$1047,MATCH(ROW()-1,装备库!$AO$2:$AO$1046,0),COLUMN()),"")</f>
        <v/>
      </c>
      <c r="D650" t="str">
        <f>IFERROR(INDEX(装备库!$A$2:$Y$1047,MATCH(ROW()-1,装备库!$AO$2:$AO$1046,0),COLUMN()),"")</f>
        <v/>
      </c>
      <c r="E650" t="str">
        <f>IFERROR(INDEX(装备库!$A$2:$Y$1047,MATCH(ROW()-1,装备库!$AO$2:$AO$1046,0),COLUMN()),"")</f>
        <v/>
      </c>
      <c r="F650" t="str">
        <f>IFERROR(INDEX(装备库!$A$2:$Y$1047,MATCH(ROW()-1,装备库!$AO$2:$AO$1046,0),COLUMN()),"")</f>
        <v/>
      </c>
      <c r="G650" t="str">
        <f>IFERROR(INDEX(装备库!$A$2:$Y$1047,MATCH(ROW()-1,装备库!$AO$2:$AO$1046,0),COLUMN()),"")</f>
        <v/>
      </c>
      <c r="H650" t="str">
        <f>IFERROR(INDEX(装备库!$A$2:$Y$1047,MATCH(ROW()-1,装备库!$AO$2:$AO$1046,0),COLUMN()),"")</f>
        <v/>
      </c>
      <c r="I650" t="str">
        <f>IFERROR(INDEX(装备库!$A$2:$Y$1047,MATCH(ROW()-1,装备库!$AO$2:$AO$1046,0),COLUMN()),"")</f>
        <v/>
      </c>
      <c r="J650" t="str">
        <f>IFERROR(INDEX(装备库!$A$2:$Y$1047,MATCH(ROW()-1,装备库!$AO$2:$AO$1046,0),COLUMN()),"")</f>
        <v/>
      </c>
      <c r="K650" t="str">
        <f>IFERROR(INDEX(装备库!$A$2:$Y$1047,MATCH(ROW()-1,装备库!$AO$2:$AO$1046,0),COLUMN()),"")</f>
        <v/>
      </c>
      <c r="L650" t="str">
        <f>IFERROR(INDEX(装备库!$A$2:$Y$1047,MATCH(ROW()-1,装备库!$AO$2:$AO$1046,0),COLUMN()),"")</f>
        <v/>
      </c>
      <c r="M650" t="str">
        <f>IFERROR(INDEX(装备库!$A$2:$Y$1047,MATCH(ROW()-1,装备库!$AO$2:$AO$1046,0),COLUMN()),"")</f>
        <v/>
      </c>
      <c r="N650" t="str">
        <f>IFERROR(INDEX(装备库!$A$2:$Y$1047,MATCH(ROW()-1,装备库!$AO$2:$AO$1046,0),COLUMN()),"")</f>
        <v/>
      </c>
      <c r="O650" t="str">
        <f>IFERROR(INDEX(装备库!$A$2:$Y$1047,MATCH(ROW()-1,装备库!$AO$2:$AO$1046,0),COLUMN()),"")</f>
        <v/>
      </c>
      <c r="P650" t="str">
        <f>IFERROR(INDEX(装备库!$A$2:$Y$1047,MATCH(ROW()-1,装备库!$AO$2:$AO$1046,0),COLUMN()),"")</f>
        <v/>
      </c>
      <c r="Q650" t="str">
        <f>IFERROR(INDEX(装备库!$A$2:$Y$1047,MATCH(ROW()-1,装备库!$AO$2:$AO$1046,0),COLUMN()),"")</f>
        <v/>
      </c>
      <c r="R650" t="str">
        <f>IFERROR(INDEX(装备库!$A$2:$Y$1047,MATCH(ROW()-1,装备库!$AO$2:$AO$1046,0),COLUMN()),"")</f>
        <v/>
      </c>
      <c r="S650" t="str">
        <f>IFERROR(INDEX(装备库!$A$2:$Y$1047,MATCH(ROW()-1,装备库!$AO$2:$AO$1046,0),COLUMN()),"")</f>
        <v/>
      </c>
      <c r="T650" t="str">
        <f>IFERROR(INDEX(装备库!$A$2:$Y$1047,MATCH(ROW()-1,装备库!$AO$2:$AO$1046,0),COLUMN()),"")</f>
        <v/>
      </c>
      <c r="U650" t="str">
        <f>IFERROR(INDEX(装备库!$A$2:$Y$1047,MATCH(ROW()-1,装备库!$AO$2:$AO$1046,0),COLUMN()),"")</f>
        <v/>
      </c>
      <c r="V650" t="str">
        <f>IFERROR(INDEX(装备库!$A$2:$Y$1047,MATCH(ROW()-1,装备库!$AO$2:$AO$1046,0),COLUMN()),"")</f>
        <v/>
      </c>
      <c r="W650" t="str">
        <f>IFERROR(INDEX(装备库!$A$2:$Y$1047,MATCH(ROW()-1,装备库!$AO$2:$AO$1046,0),COLUMN()),"")</f>
        <v/>
      </c>
      <c r="X650" t="str">
        <f>IFERROR(INDEX(装备库!$A$2:$Y$1047,MATCH(ROW()-1,装备库!$AO$2:$AO$1046,0),COLUMN()),"")</f>
        <v/>
      </c>
      <c r="Y650" t="str">
        <f>IFERROR(INDEX(装备库!$A$2:$Y$1047,MATCH(ROW()-1,装备库!$AO$2:$AO$1046,0),COLUMN()),"")</f>
        <v/>
      </c>
    </row>
    <row r="651" spans="1:25" x14ac:dyDescent="0.35">
      <c r="A651" t="str">
        <f>IFERROR(INDEX(装备库!$A$2:$Y$1047,MATCH(ROW()-1,装备库!$AO$2:$AO$1046,0),COLUMN()),"")</f>
        <v/>
      </c>
      <c r="B651" t="str">
        <f>IFERROR(INDEX(装备库!$A$2:$Y$1047,MATCH(ROW()-1,装备库!$AO$2:$AO$1046,0),COLUMN()),"")</f>
        <v/>
      </c>
      <c r="C651" t="str">
        <f>IFERROR(INDEX(装备库!$A$2:$Y$1047,MATCH(ROW()-1,装备库!$AO$2:$AO$1046,0),COLUMN()),"")</f>
        <v/>
      </c>
      <c r="D651" t="str">
        <f>IFERROR(INDEX(装备库!$A$2:$Y$1047,MATCH(ROW()-1,装备库!$AO$2:$AO$1046,0),COLUMN()),"")</f>
        <v/>
      </c>
      <c r="E651" t="str">
        <f>IFERROR(INDEX(装备库!$A$2:$Y$1047,MATCH(ROW()-1,装备库!$AO$2:$AO$1046,0),COLUMN()),"")</f>
        <v/>
      </c>
      <c r="F651" t="str">
        <f>IFERROR(INDEX(装备库!$A$2:$Y$1047,MATCH(ROW()-1,装备库!$AO$2:$AO$1046,0),COLUMN()),"")</f>
        <v/>
      </c>
      <c r="G651" t="str">
        <f>IFERROR(INDEX(装备库!$A$2:$Y$1047,MATCH(ROW()-1,装备库!$AO$2:$AO$1046,0),COLUMN()),"")</f>
        <v/>
      </c>
      <c r="H651" t="str">
        <f>IFERROR(INDEX(装备库!$A$2:$Y$1047,MATCH(ROW()-1,装备库!$AO$2:$AO$1046,0),COLUMN()),"")</f>
        <v/>
      </c>
      <c r="I651" t="str">
        <f>IFERROR(INDEX(装备库!$A$2:$Y$1047,MATCH(ROW()-1,装备库!$AO$2:$AO$1046,0),COLUMN()),"")</f>
        <v/>
      </c>
      <c r="J651" t="str">
        <f>IFERROR(INDEX(装备库!$A$2:$Y$1047,MATCH(ROW()-1,装备库!$AO$2:$AO$1046,0),COLUMN()),"")</f>
        <v/>
      </c>
      <c r="K651" t="str">
        <f>IFERROR(INDEX(装备库!$A$2:$Y$1047,MATCH(ROW()-1,装备库!$AO$2:$AO$1046,0),COLUMN()),"")</f>
        <v/>
      </c>
      <c r="L651" t="str">
        <f>IFERROR(INDEX(装备库!$A$2:$Y$1047,MATCH(ROW()-1,装备库!$AO$2:$AO$1046,0),COLUMN()),"")</f>
        <v/>
      </c>
      <c r="M651" t="str">
        <f>IFERROR(INDEX(装备库!$A$2:$Y$1047,MATCH(ROW()-1,装备库!$AO$2:$AO$1046,0),COLUMN()),"")</f>
        <v/>
      </c>
      <c r="N651" t="str">
        <f>IFERROR(INDEX(装备库!$A$2:$Y$1047,MATCH(ROW()-1,装备库!$AO$2:$AO$1046,0),COLUMN()),"")</f>
        <v/>
      </c>
      <c r="O651" t="str">
        <f>IFERROR(INDEX(装备库!$A$2:$Y$1047,MATCH(ROW()-1,装备库!$AO$2:$AO$1046,0),COLUMN()),"")</f>
        <v/>
      </c>
      <c r="P651" t="str">
        <f>IFERROR(INDEX(装备库!$A$2:$Y$1047,MATCH(ROW()-1,装备库!$AO$2:$AO$1046,0),COLUMN()),"")</f>
        <v/>
      </c>
      <c r="Q651" t="str">
        <f>IFERROR(INDEX(装备库!$A$2:$Y$1047,MATCH(ROW()-1,装备库!$AO$2:$AO$1046,0),COLUMN()),"")</f>
        <v/>
      </c>
      <c r="R651" t="str">
        <f>IFERROR(INDEX(装备库!$A$2:$Y$1047,MATCH(ROW()-1,装备库!$AO$2:$AO$1046,0),COLUMN()),"")</f>
        <v/>
      </c>
      <c r="S651" t="str">
        <f>IFERROR(INDEX(装备库!$A$2:$Y$1047,MATCH(ROW()-1,装备库!$AO$2:$AO$1046,0),COLUMN()),"")</f>
        <v/>
      </c>
      <c r="T651" t="str">
        <f>IFERROR(INDEX(装备库!$A$2:$Y$1047,MATCH(ROW()-1,装备库!$AO$2:$AO$1046,0),COLUMN()),"")</f>
        <v/>
      </c>
      <c r="U651" t="str">
        <f>IFERROR(INDEX(装备库!$A$2:$Y$1047,MATCH(ROW()-1,装备库!$AO$2:$AO$1046,0),COLUMN()),"")</f>
        <v/>
      </c>
      <c r="V651" t="str">
        <f>IFERROR(INDEX(装备库!$A$2:$Y$1047,MATCH(ROW()-1,装备库!$AO$2:$AO$1046,0),COLUMN()),"")</f>
        <v/>
      </c>
      <c r="W651" t="str">
        <f>IFERROR(INDEX(装备库!$A$2:$Y$1047,MATCH(ROW()-1,装备库!$AO$2:$AO$1046,0),COLUMN()),"")</f>
        <v/>
      </c>
      <c r="X651" t="str">
        <f>IFERROR(INDEX(装备库!$A$2:$Y$1047,MATCH(ROW()-1,装备库!$AO$2:$AO$1046,0),COLUMN()),"")</f>
        <v/>
      </c>
      <c r="Y651" t="str">
        <f>IFERROR(INDEX(装备库!$A$2:$Y$1047,MATCH(ROW()-1,装备库!$AO$2:$AO$1046,0),COLUMN()),"")</f>
        <v/>
      </c>
    </row>
    <row r="652" spans="1:25" x14ac:dyDescent="0.35">
      <c r="A652" t="str">
        <f>IFERROR(INDEX(装备库!$A$2:$Y$1047,MATCH(ROW()-1,装备库!$AO$2:$AO$1046,0),COLUMN()),"")</f>
        <v/>
      </c>
      <c r="B652" t="str">
        <f>IFERROR(INDEX(装备库!$A$2:$Y$1047,MATCH(ROW()-1,装备库!$AO$2:$AO$1046,0),COLUMN()),"")</f>
        <v/>
      </c>
      <c r="C652" t="str">
        <f>IFERROR(INDEX(装备库!$A$2:$Y$1047,MATCH(ROW()-1,装备库!$AO$2:$AO$1046,0),COLUMN()),"")</f>
        <v/>
      </c>
      <c r="D652" t="str">
        <f>IFERROR(INDEX(装备库!$A$2:$Y$1047,MATCH(ROW()-1,装备库!$AO$2:$AO$1046,0),COLUMN()),"")</f>
        <v/>
      </c>
      <c r="E652" t="str">
        <f>IFERROR(INDEX(装备库!$A$2:$Y$1047,MATCH(ROW()-1,装备库!$AO$2:$AO$1046,0),COLUMN()),"")</f>
        <v/>
      </c>
      <c r="F652" t="str">
        <f>IFERROR(INDEX(装备库!$A$2:$Y$1047,MATCH(ROW()-1,装备库!$AO$2:$AO$1046,0),COLUMN()),"")</f>
        <v/>
      </c>
      <c r="G652" t="str">
        <f>IFERROR(INDEX(装备库!$A$2:$Y$1047,MATCH(ROW()-1,装备库!$AO$2:$AO$1046,0),COLUMN()),"")</f>
        <v/>
      </c>
      <c r="H652" t="str">
        <f>IFERROR(INDEX(装备库!$A$2:$Y$1047,MATCH(ROW()-1,装备库!$AO$2:$AO$1046,0),COLUMN()),"")</f>
        <v/>
      </c>
      <c r="I652" t="str">
        <f>IFERROR(INDEX(装备库!$A$2:$Y$1047,MATCH(ROW()-1,装备库!$AO$2:$AO$1046,0),COLUMN()),"")</f>
        <v/>
      </c>
      <c r="J652" t="str">
        <f>IFERROR(INDEX(装备库!$A$2:$Y$1047,MATCH(ROW()-1,装备库!$AO$2:$AO$1046,0),COLUMN()),"")</f>
        <v/>
      </c>
      <c r="K652" t="str">
        <f>IFERROR(INDEX(装备库!$A$2:$Y$1047,MATCH(ROW()-1,装备库!$AO$2:$AO$1046,0),COLUMN()),"")</f>
        <v/>
      </c>
      <c r="L652" t="str">
        <f>IFERROR(INDEX(装备库!$A$2:$Y$1047,MATCH(ROW()-1,装备库!$AO$2:$AO$1046,0),COLUMN()),"")</f>
        <v/>
      </c>
      <c r="M652" t="str">
        <f>IFERROR(INDEX(装备库!$A$2:$Y$1047,MATCH(ROW()-1,装备库!$AO$2:$AO$1046,0),COLUMN()),"")</f>
        <v/>
      </c>
      <c r="N652" t="str">
        <f>IFERROR(INDEX(装备库!$A$2:$Y$1047,MATCH(ROW()-1,装备库!$AO$2:$AO$1046,0),COLUMN()),"")</f>
        <v/>
      </c>
      <c r="O652" t="str">
        <f>IFERROR(INDEX(装备库!$A$2:$Y$1047,MATCH(ROW()-1,装备库!$AO$2:$AO$1046,0),COLUMN()),"")</f>
        <v/>
      </c>
      <c r="P652" t="str">
        <f>IFERROR(INDEX(装备库!$A$2:$Y$1047,MATCH(ROW()-1,装备库!$AO$2:$AO$1046,0),COLUMN()),"")</f>
        <v/>
      </c>
      <c r="Q652" t="str">
        <f>IFERROR(INDEX(装备库!$A$2:$Y$1047,MATCH(ROW()-1,装备库!$AO$2:$AO$1046,0),COLUMN()),"")</f>
        <v/>
      </c>
      <c r="R652" t="str">
        <f>IFERROR(INDEX(装备库!$A$2:$Y$1047,MATCH(ROW()-1,装备库!$AO$2:$AO$1046,0),COLUMN()),"")</f>
        <v/>
      </c>
      <c r="S652" t="str">
        <f>IFERROR(INDEX(装备库!$A$2:$Y$1047,MATCH(ROW()-1,装备库!$AO$2:$AO$1046,0),COLUMN()),"")</f>
        <v/>
      </c>
      <c r="T652" t="str">
        <f>IFERROR(INDEX(装备库!$A$2:$Y$1047,MATCH(ROW()-1,装备库!$AO$2:$AO$1046,0),COLUMN()),"")</f>
        <v/>
      </c>
      <c r="U652" t="str">
        <f>IFERROR(INDEX(装备库!$A$2:$Y$1047,MATCH(ROW()-1,装备库!$AO$2:$AO$1046,0),COLUMN()),"")</f>
        <v/>
      </c>
      <c r="V652" t="str">
        <f>IFERROR(INDEX(装备库!$A$2:$Y$1047,MATCH(ROW()-1,装备库!$AO$2:$AO$1046,0),COLUMN()),"")</f>
        <v/>
      </c>
      <c r="W652" t="str">
        <f>IFERROR(INDEX(装备库!$A$2:$Y$1047,MATCH(ROW()-1,装备库!$AO$2:$AO$1046,0),COLUMN()),"")</f>
        <v/>
      </c>
      <c r="X652" t="str">
        <f>IFERROR(INDEX(装备库!$A$2:$Y$1047,MATCH(ROW()-1,装备库!$AO$2:$AO$1046,0),COLUMN()),"")</f>
        <v/>
      </c>
      <c r="Y652" t="str">
        <f>IFERROR(INDEX(装备库!$A$2:$Y$1047,MATCH(ROW()-1,装备库!$AO$2:$AO$1046,0),COLUMN()),"")</f>
        <v/>
      </c>
    </row>
    <row r="653" spans="1:25" x14ac:dyDescent="0.35">
      <c r="A653" t="str">
        <f>IFERROR(INDEX(装备库!$A$2:$Y$1047,MATCH(ROW()-1,装备库!$AO$2:$AO$1046,0),COLUMN()),"")</f>
        <v/>
      </c>
      <c r="B653" t="str">
        <f>IFERROR(INDEX(装备库!$A$2:$Y$1047,MATCH(ROW()-1,装备库!$AO$2:$AO$1046,0),COLUMN()),"")</f>
        <v/>
      </c>
      <c r="C653" t="str">
        <f>IFERROR(INDEX(装备库!$A$2:$Y$1047,MATCH(ROW()-1,装备库!$AO$2:$AO$1046,0),COLUMN()),"")</f>
        <v/>
      </c>
      <c r="D653" t="str">
        <f>IFERROR(INDEX(装备库!$A$2:$Y$1047,MATCH(ROW()-1,装备库!$AO$2:$AO$1046,0),COLUMN()),"")</f>
        <v/>
      </c>
      <c r="E653" t="str">
        <f>IFERROR(INDEX(装备库!$A$2:$Y$1047,MATCH(ROW()-1,装备库!$AO$2:$AO$1046,0),COLUMN()),"")</f>
        <v/>
      </c>
      <c r="F653" t="str">
        <f>IFERROR(INDEX(装备库!$A$2:$Y$1047,MATCH(ROW()-1,装备库!$AO$2:$AO$1046,0),COLUMN()),"")</f>
        <v/>
      </c>
      <c r="G653" t="str">
        <f>IFERROR(INDEX(装备库!$A$2:$Y$1047,MATCH(ROW()-1,装备库!$AO$2:$AO$1046,0),COLUMN()),"")</f>
        <v/>
      </c>
      <c r="H653" t="str">
        <f>IFERROR(INDEX(装备库!$A$2:$Y$1047,MATCH(ROW()-1,装备库!$AO$2:$AO$1046,0),COLUMN()),"")</f>
        <v/>
      </c>
      <c r="I653" t="str">
        <f>IFERROR(INDEX(装备库!$A$2:$Y$1047,MATCH(ROW()-1,装备库!$AO$2:$AO$1046,0),COLUMN()),"")</f>
        <v/>
      </c>
      <c r="J653" t="str">
        <f>IFERROR(INDEX(装备库!$A$2:$Y$1047,MATCH(ROW()-1,装备库!$AO$2:$AO$1046,0),COLUMN()),"")</f>
        <v/>
      </c>
      <c r="K653" t="str">
        <f>IFERROR(INDEX(装备库!$A$2:$Y$1047,MATCH(ROW()-1,装备库!$AO$2:$AO$1046,0),COLUMN()),"")</f>
        <v/>
      </c>
      <c r="L653" t="str">
        <f>IFERROR(INDEX(装备库!$A$2:$Y$1047,MATCH(ROW()-1,装备库!$AO$2:$AO$1046,0),COLUMN()),"")</f>
        <v/>
      </c>
      <c r="M653" t="str">
        <f>IFERROR(INDEX(装备库!$A$2:$Y$1047,MATCH(ROW()-1,装备库!$AO$2:$AO$1046,0),COLUMN()),"")</f>
        <v/>
      </c>
      <c r="N653" t="str">
        <f>IFERROR(INDEX(装备库!$A$2:$Y$1047,MATCH(ROW()-1,装备库!$AO$2:$AO$1046,0),COLUMN()),"")</f>
        <v/>
      </c>
      <c r="O653" t="str">
        <f>IFERROR(INDEX(装备库!$A$2:$Y$1047,MATCH(ROW()-1,装备库!$AO$2:$AO$1046,0),COLUMN()),"")</f>
        <v/>
      </c>
      <c r="P653" t="str">
        <f>IFERROR(INDEX(装备库!$A$2:$Y$1047,MATCH(ROW()-1,装备库!$AO$2:$AO$1046,0),COLUMN()),"")</f>
        <v/>
      </c>
      <c r="Q653" t="str">
        <f>IFERROR(INDEX(装备库!$A$2:$Y$1047,MATCH(ROW()-1,装备库!$AO$2:$AO$1046,0),COLUMN()),"")</f>
        <v/>
      </c>
      <c r="R653" t="str">
        <f>IFERROR(INDEX(装备库!$A$2:$Y$1047,MATCH(ROW()-1,装备库!$AO$2:$AO$1046,0),COLUMN()),"")</f>
        <v/>
      </c>
      <c r="S653" t="str">
        <f>IFERROR(INDEX(装备库!$A$2:$Y$1047,MATCH(ROW()-1,装备库!$AO$2:$AO$1046,0),COLUMN()),"")</f>
        <v/>
      </c>
      <c r="T653" t="str">
        <f>IFERROR(INDEX(装备库!$A$2:$Y$1047,MATCH(ROW()-1,装备库!$AO$2:$AO$1046,0),COLUMN()),"")</f>
        <v/>
      </c>
      <c r="U653" t="str">
        <f>IFERROR(INDEX(装备库!$A$2:$Y$1047,MATCH(ROW()-1,装备库!$AO$2:$AO$1046,0),COLUMN()),"")</f>
        <v/>
      </c>
      <c r="V653" t="str">
        <f>IFERROR(INDEX(装备库!$A$2:$Y$1047,MATCH(ROW()-1,装备库!$AO$2:$AO$1046,0),COLUMN()),"")</f>
        <v/>
      </c>
      <c r="W653" t="str">
        <f>IFERROR(INDEX(装备库!$A$2:$Y$1047,MATCH(ROW()-1,装备库!$AO$2:$AO$1046,0),COLUMN()),"")</f>
        <v/>
      </c>
      <c r="X653" t="str">
        <f>IFERROR(INDEX(装备库!$A$2:$Y$1047,MATCH(ROW()-1,装备库!$AO$2:$AO$1046,0),COLUMN()),"")</f>
        <v/>
      </c>
      <c r="Y653" t="str">
        <f>IFERROR(INDEX(装备库!$A$2:$Y$1047,MATCH(ROW()-1,装备库!$AO$2:$AO$1046,0),COLUMN()),"")</f>
        <v/>
      </c>
    </row>
    <row r="654" spans="1:25" x14ac:dyDescent="0.35">
      <c r="A654" t="str">
        <f>IFERROR(INDEX(装备库!$A$2:$Y$1047,MATCH(ROW()-1,装备库!$AO$2:$AO$1046,0),COLUMN()),"")</f>
        <v/>
      </c>
      <c r="B654" t="str">
        <f>IFERROR(INDEX(装备库!$A$2:$Y$1047,MATCH(ROW()-1,装备库!$AO$2:$AO$1046,0),COLUMN()),"")</f>
        <v/>
      </c>
      <c r="C654" t="str">
        <f>IFERROR(INDEX(装备库!$A$2:$Y$1047,MATCH(ROW()-1,装备库!$AO$2:$AO$1046,0),COLUMN()),"")</f>
        <v/>
      </c>
      <c r="D654" t="str">
        <f>IFERROR(INDEX(装备库!$A$2:$Y$1047,MATCH(ROW()-1,装备库!$AO$2:$AO$1046,0),COLUMN()),"")</f>
        <v/>
      </c>
      <c r="E654" t="str">
        <f>IFERROR(INDEX(装备库!$A$2:$Y$1047,MATCH(ROW()-1,装备库!$AO$2:$AO$1046,0),COLUMN()),"")</f>
        <v/>
      </c>
      <c r="F654" t="str">
        <f>IFERROR(INDEX(装备库!$A$2:$Y$1047,MATCH(ROW()-1,装备库!$AO$2:$AO$1046,0),COLUMN()),"")</f>
        <v/>
      </c>
      <c r="G654" t="str">
        <f>IFERROR(INDEX(装备库!$A$2:$Y$1047,MATCH(ROW()-1,装备库!$AO$2:$AO$1046,0),COLUMN()),"")</f>
        <v/>
      </c>
      <c r="H654" t="str">
        <f>IFERROR(INDEX(装备库!$A$2:$Y$1047,MATCH(ROW()-1,装备库!$AO$2:$AO$1046,0),COLUMN()),"")</f>
        <v/>
      </c>
      <c r="I654" t="str">
        <f>IFERROR(INDEX(装备库!$A$2:$Y$1047,MATCH(ROW()-1,装备库!$AO$2:$AO$1046,0),COLUMN()),"")</f>
        <v/>
      </c>
      <c r="J654" t="str">
        <f>IFERROR(INDEX(装备库!$A$2:$Y$1047,MATCH(ROW()-1,装备库!$AO$2:$AO$1046,0),COLUMN()),"")</f>
        <v/>
      </c>
      <c r="K654" t="str">
        <f>IFERROR(INDEX(装备库!$A$2:$Y$1047,MATCH(ROW()-1,装备库!$AO$2:$AO$1046,0),COLUMN()),"")</f>
        <v/>
      </c>
      <c r="L654" t="str">
        <f>IFERROR(INDEX(装备库!$A$2:$Y$1047,MATCH(ROW()-1,装备库!$AO$2:$AO$1046,0),COLUMN()),"")</f>
        <v/>
      </c>
      <c r="M654" t="str">
        <f>IFERROR(INDEX(装备库!$A$2:$Y$1047,MATCH(ROW()-1,装备库!$AO$2:$AO$1046,0),COLUMN()),"")</f>
        <v/>
      </c>
      <c r="N654" t="str">
        <f>IFERROR(INDEX(装备库!$A$2:$Y$1047,MATCH(ROW()-1,装备库!$AO$2:$AO$1046,0),COLUMN()),"")</f>
        <v/>
      </c>
      <c r="O654" t="str">
        <f>IFERROR(INDEX(装备库!$A$2:$Y$1047,MATCH(ROW()-1,装备库!$AO$2:$AO$1046,0),COLUMN()),"")</f>
        <v/>
      </c>
      <c r="P654" t="str">
        <f>IFERROR(INDEX(装备库!$A$2:$Y$1047,MATCH(ROW()-1,装备库!$AO$2:$AO$1046,0),COLUMN()),"")</f>
        <v/>
      </c>
      <c r="Q654" t="str">
        <f>IFERROR(INDEX(装备库!$A$2:$Y$1047,MATCH(ROW()-1,装备库!$AO$2:$AO$1046,0),COLUMN()),"")</f>
        <v/>
      </c>
      <c r="R654" t="str">
        <f>IFERROR(INDEX(装备库!$A$2:$Y$1047,MATCH(ROW()-1,装备库!$AO$2:$AO$1046,0),COLUMN()),"")</f>
        <v/>
      </c>
      <c r="S654" t="str">
        <f>IFERROR(INDEX(装备库!$A$2:$Y$1047,MATCH(ROW()-1,装备库!$AO$2:$AO$1046,0),COLUMN()),"")</f>
        <v/>
      </c>
      <c r="T654" t="str">
        <f>IFERROR(INDEX(装备库!$A$2:$Y$1047,MATCH(ROW()-1,装备库!$AO$2:$AO$1046,0),COLUMN()),"")</f>
        <v/>
      </c>
      <c r="U654" t="str">
        <f>IFERROR(INDEX(装备库!$A$2:$Y$1047,MATCH(ROW()-1,装备库!$AO$2:$AO$1046,0),COLUMN()),"")</f>
        <v/>
      </c>
      <c r="V654" t="str">
        <f>IFERROR(INDEX(装备库!$A$2:$Y$1047,MATCH(ROW()-1,装备库!$AO$2:$AO$1046,0),COLUMN()),"")</f>
        <v/>
      </c>
      <c r="W654" t="str">
        <f>IFERROR(INDEX(装备库!$A$2:$Y$1047,MATCH(ROW()-1,装备库!$AO$2:$AO$1046,0),COLUMN()),"")</f>
        <v/>
      </c>
      <c r="X654" t="str">
        <f>IFERROR(INDEX(装备库!$A$2:$Y$1047,MATCH(ROW()-1,装备库!$AO$2:$AO$1046,0),COLUMN()),"")</f>
        <v/>
      </c>
      <c r="Y654" t="str">
        <f>IFERROR(INDEX(装备库!$A$2:$Y$1047,MATCH(ROW()-1,装备库!$AO$2:$AO$1046,0),COLUMN()),"")</f>
        <v/>
      </c>
    </row>
    <row r="655" spans="1:25" x14ac:dyDescent="0.35">
      <c r="A655" t="str">
        <f>IFERROR(INDEX(装备库!$A$2:$Y$1047,MATCH(ROW()-1,装备库!$AO$2:$AO$1046,0),COLUMN()),"")</f>
        <v/>
      </c>
      <c r="B655" t="str">
        <f>IFERROR(INDEX(装备库!$A$2:$Y$1047,MATCH(ROW()-1,装备库!$AO$2:$AO$1046,0),COLUMN()),"")</f>
        <v/>
      </c>
      <c r="C655" t="str">
        <f>IFERROR(INDEX(装备库!$A$2:$Y$1047,MATCH(ROW()-1,装备库!$AO$2:$AO$1046,0),COLUMN()),"")</f>
        <v/>
      </c>
      <c r="D655" t="str">
        <f>IFERROR(INDEX(装备库!$A$2:$Y$1047,MATCH(ROW()-1,装备库!$AO$2:$AO$1046,0),COLUMN()),"")</f>
        <v/>
      </c>
      <c r="E655" t="str">
        <f>IFERROR(INDEX(装备库!$A$2:$Y$1047,MATCH(ROW()-1,装备库!$AO$2:$AO$1046,0),COLUMN()),"")</f>
        <v/>
      </c>
      <c r="F655" t="str">
        <f>IFERROR(INDEX(装备库!$A$2:$Y$1047,MATCH(ROW()-1,装备库!$AO$2:$AO$1046,0),COLUMN()),"")</f>
        <v/>
      </c>
      <c r="G655" t="str">
        <f>IFERROR(INDEX(装备库!$A$2:$Y$1047,MATCH(ROW()-1,装备库!$AO$2:$AO$1046,0),COLUMN()),"")</f>
        <v/>
      </c>
      <c r="H655" t="str">
        <f>IFERROR(INDEX(装备库!$A$2:$Y$1047,MATCH(ROW()-1,装备库!$AO$2:$AO$1046,0),COLUMN()),"")</f>
        <v/>
      </c>
      <c r="I655" t="str">
        <f>IFERROR(INDEX(装备库!$A$2:$Y$1047,MATCH(ROW()-1,装备库!$AO$2:$AO$1046,0),COLUMN()),"")</f>
        <v/>
      </c>
      <c r="J655" t="str">
        <f>IFERROR(INDEX(装备库!$A$2:$Y$1047,MATCH(ROW()-1,装备库!$AO$2:$AO$1046,0),COLUMN()),"")</f>
        <v/>
      </c>
      <c r="K655" t="str">
        <f>IFERROR(INDEX(装备库!$A$2:$Y$1047,MATCH(ROW()-1,装备库!$AO$2:$AO$1046,0),COLUMN()),"")</f>
        <v/>
      </c>
      <c r="L655" t="str">
        <f>IFERROR(INDEX(装备库!$A$2:$Y$1047,MATCH(ROW()-1,装备库!$AO$2:$AO$1046,0),COLUMN()),"")</f>
        <v/>
      </c>
      <c r="M655" t="str">
        <f>IFERROR(INDEX(装备库!$A$2:$Y$1047,MATCH(ROW()-1,装备库!$AO$2:$AO$1046,0),COLUMN()),"")</f>
        <v/>
      </c>
      <c r="N655" t="str">
        <f>IFERROR(INDEX(装备库!$A$2:$Y$1047,MATCH(ROW()-1,装备库!$AO$2:$AO$1046,0),COLUMN()),"")</f>
        <v/>
      </c>
      <c r="O655" t="str">
        <f>IFERROR(INDEX(装备库!$A$2:$Y$1047,MATCH(ROW()-1,装备库!$AO$2:$AO$1046,0),COLUMN()),"")</f>
        <v/>
      </c>
      <c r="P655" t="str">
        <f>IFERROR(INDEX(装备库!$A$2:$Y$1047,MATCH(ROW()-1,装备库!$AO$2:$AO$1046,0),COLUMN()),"")</f>
        <v/>
      </c>
      <c r="Q655" t="str">
        <f>IFERROR(INDEX(装备库!$A$2:$Y$1047,MATCH(ROW()-1,装备库!$AO$2:$AO$1046,0),COLUMN()),"")</f>
        <v/>
      </c>
      <c r="R655" t="str">
        <f>IFERROR(INDEX(装备库!$A$2:$Y$1047,MATCH(ROW()-1,装备库!$AO$2:$AO$1046,0),COLUMN()),"")</f>
        <v/>
      </c>
      <c r="S655" t="str">
        <f>IFERROR(INDEX(装备库!$A$2:$Y$1047,MATCH(ROW()-1,装备库!$AO$2:$AO$1046,0),COLUMN()),"")</f>
        <v/>
      </c>
      <c r="T655" t="str">
        <f>IFERROR(INDEX(装备库!$A$2:$Y$1047,MATCH(ROW()-1,装备库!$AO$2:$AO$1046,0),COLUMN()),"")</f>
        <v/>
      </c>
      <c r="U655" t="str">
        <f>IFERROR(INDEX(装备库!$A$2:$Y$1047,MATCH(ROW()-1,装备库!$AO$2:$AO$1046,0),COLUMN()),"")</f>
        <v/>
      </c>
      <c r="V655" t="str">
        <f>IFERROR(INDEX(装备库!$A$2:$Y$1047,MATCH(ROW()-1,装备库!$AO$2:$AO$1046,0),COLUMN()),"")</f>
        <v/>
      </c>
      <c r="W655" t="str">
        <f>IFERROR(INDEX(装备库!$A$2:$Y$1047,MATCH(ROW()-1,装备库!$AO$2:$AO$1046,0),COLUMN()),"")</f>
        <v/>
      </c>
      <c r="X655" t="str">
        <f>IFERROR(INDEX(装备库!$A$2:$Y$1047,MATCH(ROW()-1,装备库!$AO$2:$AO$1046,0),COLUMN()),"")</f>
        <v/>
      </c>
      <c r="Y655" t="str">
        <f>IFERROR(INDEX(装备库!$A$2:$Y$1047,MATCH(ROW()-1,装备库!$AO$2:$AO$1046,0),COLUMN()),"")</f>
        <v/>
      </c>
    </row>
    <row r="656" spans="1:25" x14ac:dyDescent="0.35">
      <c r="A656" t="str">
        <f>IFERROR(INDEX(装备库!$A$2:$Y$1047,MATCH(ROW()-1,装备库!$AO$2:$AO$1046,0),COLUMN()),"")</f>
        <v/>
      </c>
      <c r="B656" t="str">
        <f>IFERROR(INDEX(装备库!$A$2:$Y$1047,MATCH(ROW()-1,装备库!$AO$2:$AO$1046,0),COLUMN()),"")</f>
        <v/>
      </c>
      <c r="C656" t="str">
        <f>IFERROR(INDEX(装备库!$A$2:$Y$1047,MATCH(ROW()-1,装备库!$AO$2:$AO$1046,0),COLUMN()),"")</f>
        <v/>
      </c>
      <c r="D656" t="str">
        <f>IFERROR(INDEX(装备库!$A$2:$Y$1047,MATCH(ROW()-1,装备库!$AO$2:$AO$1046,0),COLUMN()),"")</f>
        <v/>
      </c>
      <c r="E656" t="str">
        <f>IFERROR(INDEX(装备库!$A$2:$Y$1047,MATCH(ROW()-1,装备库!$AO$2:$AO$1046,0),COLUMN()),"")</f>
        <v/>
      </c>
      <c r="F656" t="str">
        <f>IFERROR(INDEX(装备库!$A$2:$Y$1047,MATCH(ROW()-1,装备库!$AO$2:$AO$1046,0),COLUMN()),"")</f>
        <v/>
      </c>
      <c r="G656" t="str">
        <f>IFERROR(INDEX(装备库!$A$2:$Y$1047,MATCH(ROW()-1,装备库!$AO$2:$AO$1046,0),COLUMN()),"")</f>
        <v/>
      </c>
      <c r="H656" t="str">
        <f>IFERROR(INDEX(装备库!$A$2:$Y$1047,MATCH(ROW()-1,装备库!$AO$2:$AO$1046,0),COLUMN()),"")</f>
        <v/>
      </c>
      <c r="I656" t="str">
        <f>IFERROR(INDEX(装备库!$A$2:$Y$1047,MATCH(ROW()-1,装备库!$AO$2:$AO$1046,0),COLUMN()),"")</f>
        <v/>
      </c>
      <c r="J656" t="str">
        <f>IFERROR(INDEX(装备库!$A$2:$Y$1047,MATCH(ROW()-1,装备库!$AO$2:$AO$1046,0),COLUMN()),"")</f>
        <v/>
      </c>
      <c r="K656" t="str">
        <f>IFERROR(INDEX(装备库!$A$2:$Y$1047,MATCH(ROW()-1,装备库!$AO$2:$AO$1046,0),COLUMN()),"")</f>
        <v/>
      </c>
      <c r="L656" t="str">
        <f>IFERROR(INDEX(装备库!$A$2:$Y$1047,MATCH(ROW()-1,装备库!$AO$2:$AO$1046,0),COLUMN()),"")</f>
        <v/>
      </c>
      <c r="M656" t="str">
        <f>IFERROR(INDEX(装备库!$A$2:$Y$1047,MATCH(ROW()-1,装备库!$AO$2:$AO$1046,0),COLUMN()),"")</f>
        <v/>
      </c>
      <c r="N656" t="str">
        <f>IFERROR(INDEX(装备库!$A$2:$Y$1047,MATCH(ROW()-1,装备库!$AO$2:$AO$1046,0),COLUMN()),"")</f>
        <v/>
      </c>
      <c r="O656" t="str">
        <f>IFERROR(INDEX(装备库!$A$2:$Y$1047,MATCH(ROW()-1,装备库!$AO$2:$AO$1046,0),COLUMN()),"")</f>
        <v/>
      </c>
      <c r="P656" t="str">
        <f>IFERROR(INDEX(装备库!$A$2:$Y$1047,MATCH(ROW()-1,装备库!$AO$2:$AO$1046,0),COLUMN()),"")</f>
        <v/>
      </c>
      <c r="Q656" t="str">
        <f>IFERROR(INDEX(装备库!$A$2:$Y$1047,MATCH(ROW()-1,装备库!$AO$2:$AO$1046,0),COLUMN()),"")</f>
        <v/>
      </c>
      <c r="R656" t="str">
        <f>IFERROR(INDEX(装备库!$A$2:$Y$1047,MATCH(ROW()-1,装备库!$AO$2:$AO$1046,0),COLUMN()),"")</f>
        <v/>
      </c>
      <c r="S656" t="str">
        <f>IFERROR(INDEX(装备库!$A$2:$Y$1047,MATCH(ROW()-1,装备库!$AO$2:$AO$1046,0),COLUMN()),"")</f>
        <v/>
      </c>
      <c r="T656" t="str">
        <f>IFERROR(INDEX(装备库!$A$2:$Y$1047,MATCH(ROW()-1,装备库!$AO$2:$AO$1046,0),COLUMN()),"")</f>
        <v/>
      </c>
      <c r="U656" t="str">
        <f>IFERROR(INDEX(装备库!$A$2:$Y$1047,MATCH(ROW()-1,装备库!$AO$2:$AO$1046,0),COLUMN()),"")</f>
        <v/>
      </c>
      <c r="V656" t="str">
        <f>IFERROR(INDEX(装备库!$A$2:$Y$1047,MATCH(ROW()-1,装备库!$AO$2:$AO$1046,0),COLUMN()),"")</f>
        <v/>
      </c>
      <c r="W656" t="str">
        <f>IFERROR(INDEX(装备库!$A$2:$Y$1047,MATCH(ROW()-1,装备库!$AO$2:$AO$1046,0),COLUMN()),"")</f>
        <v/>
      </c>
      <c r="X656" t="str">
        <f>IFERROR(INDEX(装备库!$A$2:$Y$1047,MATCH(ROW()-1,装备库!$AO$2:$AO$1046,0),COLUMN()),"")</f>
        <v/>
      </c>
      <c r="Y656" t="str">
        <f>IFERROR(INDEX(装备库!$A$2:$Y$1047,MATCH(ROW()-1,装备库!$AO$2:$AO$1046,0),COLUMN()),"")</f>
        <v/>
      </c>
    </row>
    <row r="657" spans="1:25" x14ac:dyDescent="0.35">
      <c r="A657" t="str">
        <f>IFERROR(INDEX(装备库!$A$2:$Y$1047,MATCH(ROW()-1,装备库!$AO$2:$AO$1046,0),COLUMN()),"")</f>
        <v/>
      </c>
      <c r="B657" t="str">
        <f>IFERROR(INDEX(装备库!$A$2:$Y$1047,MATCH(ROW()-1,装备库!$AO$2:$AO$1046,0),COLUMN()),"")</f>
        <v/>
      </c>
      <c r="C657" t="str">
        <f>IFERROR(INDEX(装备库!$A$2:$Y$1047,MATCH(ROW()-1,装备库!$AO$2:$AO$1046,0),COLUMN()),"")</f>
        <v/>
      </c>
      <c r="D657" t="str">
        <f>IFERROR(INDEX(装备库!$A$2:$Y$1047,MATCH(ROW()-1,装备库!$AO$2:$AO$1046,0),COLUMN()),"")</f>
        <v/>
      </c>
      <c r="E657" t="str">
        <f>IFERROR(INDEX(装备库!$A$2:$Y$1047,MATCH(ROW()-1,装备库!$AO$2:$AO$1046,0),COLUMN()),"")</f>
        <v/>
      </c>
      <c r="F657" t="str">
        <f>IFERROR(INDEX(装备库!$A$2:$Y$1047,MATCH(ROW()-1,装备库!$AO$2:$AO$1046,0),COLUMN()),"")</f>
        <v/>
      </c>
      <c r="G657" t="str">
        <f>IFERROR(INDEX(装备库!$A$2:$Y$1047,MATCH(ROW()-1,装备库!$AO$2:$AO$1046,0),COLUMN()),"")</f>
        <v/>
      </c>
      <c r="H657" t="str">
        <f>IFERROR(INDEX(装备库!$A$2:$Y$1047,MATCH(ROW()-1,装备库!$AO$2:$AO$1046,0),COLUMN()),"")</f>
        <v/>
      </c>
      <c r="I657" t="str">
        <f>IFERROR(INDEX(装备库!$A$2:$Y$1047,MATCH(ROW()-1,装备库!$AO$2:$AO$1046,0),COLUMN()),"")</f>
        <v/>
      </c>
      <c r="J657" t="str">
        <f>IFERROR(INDEX(装备库!$A$2:$Y$1047,MATCH(ROW()-1,装备库!$AO$2:$AO$1046,0),COLUMN()),"")</f>
        <v/>
      </c>
      <c r="K657" t="str">
        <f>IFERROR(INDEX(装备库!$A$2:$Y$1047,MATCH(ROW()-1,装备库!$AO$2:$AO$1046,0),COLUMN()),"")</f>
        <v/>
      </c>
      <c r="L657" t="str">
        <f>IFERROR(INDEX(装备库!$A$2:$Y$1047,MATCH(ROW()-1,装备库!$AO$2:$AO$1046,0),COLUMN()),"")</f>
        <v/>
      </c>
      <c r="M657" t="str">
        <f>IFERROR(INDEX(装备库!$A$2:$Y$1047,MATCH(ROW()-1,装备库!$AO$2:$AO$1046,0),COLUMN()),"")</f>
        <v/>
      </c>
      <c r="N657" t="str">
        <f>IFERROR(INDEX(装备库!$A$2:$Y$1047,MATCH(ROW()-1,装备库!$AO$2:$AO$1046,0),COLUMN()),"")</f>
        <v/>
      </c>
      <c r="O657" t="str">
        <f>IFERROR(INDEX(装备库!$A$2:$Y$1047,MATCH(ROW()-1,装备库!$AO$2:$AO$1046,0),COLUMN()),"")</f>
        <v/>
      </c>
      <c r="P657" t="str">
        <f>IFERROR(INDEX(装备库!$A$2:$Y$1047,MATCH(ROW()-1,装备库!$AO$2:$AO$1046,0),COLUMN()),"")</f>
        <v/>
      </c>
      <c r="Q657" t="str">
        <f>IFERROR(INDEX(装备库!$A$2:$Y$1047,MATCH(ROW()-1,装备库!$AO$2:$AO$1046,0),COLUMN()),"")</f>
        <v/>
      </c>
      <c r="R657" t="str">
        <f>IFERROR(INDEX(装备库!$A$2:$Y$1047,MATCH(ROW()-1,装备库!$AO$2:$AO$1046,0),COLUMN()),"")</f>
        <v/>
      </c>
      <c r="S657" t="str">
        <f>IFERROR(INDEX(装备库!$A$2:$Y$1047,MATCH(ROW()-1,装备库!$AO$2:$AO$1046,0),COLUMN()),"")</f>
        <v/>
      </c>
      <c r="T657" t="str">
        <f>IFERROR(INDEX(装备库!$A$2:$Y$1047,MATCH(ROW()-1,装备库!$AO$2:$AO$1046,0),COLUMN()),"")</f>
        <v/>
      </c>
      <c r="U657" t="str">
        <f>IFERROR(INDEX(装备库!$A$2:$Y$1047,MATCH(ROW()-1,装备库!$AO$2:$AO$1046,0),COLUMN()),"")</f>
        <v/>
      </c>
      <c r="V657" t="str">
        <f>IFERROR(INDEX(装备库!$A$2:$Y$1047,MATCH(ROW()-1,装备库!$AO$2:$AO$1046,0),COLUMN()),"")</f>
        <v/>
      </c>
      <c r="W657" t="str">
        <f>IFERROR(INDEX(装备库!$A$2:$Y$1047,MATCH(ROW()-1,装备库!$AO$2:$AO$1046,0),COLUMN()),"")</f>
        <v/>
      </c>
      <c r="X657" t="str">
        <f>IFERROR(INDEX(装备库!$A$2:$Y$1047,MATCH(ROW()-1,装备库!$AO$2:$AO$1046,0),COLUMN()),"")</f>
        <v/>
      </c>
      <c r="Y657" t="str">
        <f>IFERROR(INDEX(装备库!$A$2:$Y$1047,MATCH(ROW()-1,装备库!$AO$2:$AO$1046,0),COLUMN()),"")</f>
        <v/>
      </c>
    </row>
    <row r="658" spans="1:25" x14ac:dyDescent="0.35">
      <c r="A658" t="str">
        <f>IFERROR(INDEX(装备库!$A$2:$Y$1047,MATCH(ROW()-1,装备库!$AO$2:$AO$1046,0),COLUMN()),"")</f>
        <v/>
      </c>
      <c r="B658" t="str">
        <f>IFERROR(INDEX(装备库!$A$2:$Y$1047,MATCH(ROW()-1,装备库!$AO$2:$AO$1046,0),COLUMN()),"")</f>
        <v/>
      </c>
      <c r="C658" t="str">
        <f>IFERROR(INDEX(装备库!$A$2:$Y$1047,MATCH(ROW()-1,装备库!$AO$2:$AO$1046,0),COLUMN()),"")</f>
        <v/>
      </c>
      <c r="D658" t="str">
        <f>IFERROR(INDEX(装备库!$A$2:$Y$1047,MATCH(ROW()-1,装备库!$AO$2:$AO$1046,0),COLUMN()),"")</f>
        <v/>
      </c>
      <c r="E658" t="str">
        <f>IFERROR(INDEX(装备库!$A$2:$Y$1047,MATCH(ROW()-1,装备库!$AO$2:$AO$1046,0),COLUMN()),"")</f>
        <v/>
      </c>
      <c r="F658" t="str">
        <f>IFERROR(INDEX(装备库!$A$2:$Y$1047,MATCH(ROW()-1,装备库!$AO$2:$AO$1046,0),COLUMN()),"")</f>
        <v/>
      </c>
      <c r="G658" t="str">
        <f>IFERROR(INDEX(装备库!$A$2:$Y$1047,MATCH(ROW()-1,装备库!$AO$2:$AO$1046,0),COLUMN()),"")</f>
        <v/>
      </c>
      <c r="H658" t="str">
        <f>IFERROR(INDEX(装备库!$A$2:$Y$1047,MATCH(ROW()-1,装备库!$AO$2:$AO$1046,0),COLUMN()),"")</f>
        <v/>
      </c>
      <c r="I658" t="str">
        <f>IFERROR(INDEX(装备库!$A$2:$Y$1047,MATCH(ROW()-1,装备库!$AO$2:$AO$1046,0),COLUMN()),"")</f>
        <v/>
      </c>
      <c r="J658" t="str">
        <f>IFERROR(INDEX(装备库!$A$2:$Y$1047,MATCH(ROW()-1,装备库!$AO$2:$AO$1046,0),COLUMN()),"")</f>
        <v/>
      </c>
      <c r="K658" t="str">
        <f>IFERROR(INDEX(装备库!$A$2:$Y$1047,MATCH(ROW()-1,装备库!$AO$2:$AO$1046,0),COLUMN()),"")</f>
        <v/>
      </c>
      <c r="L658" t="str">
        <f>IFERROR(INDEX(装备库!$A$2:$Y$1047,MATCH(ROW()-1,装备库!$AO$2:$AO$1046,0),COLUMN()),"")</f>
        <v/>
      </c>
      <c r="M658" t="str">
        <f>IFERROR(INDEX(装备库!$A$2:$Y$1047,MATCH(ROW()-1,装备库!$AO$2:$AO$1046,0),COLUMN()),"")</f>
        <v/>
      </c>
      <c r="N658" t="str">
        <f>IFERROR(INDEX(装备库!$A$2:$Y$1047,MATCH(ROW()-1,装备库!$AO$2:$AO$1046,0),COLUMN()),"")</f>
        <v/>
      </c>
      <c r="O658" t="str">
        <f>IFERROR(INDEX(装备库!$A$2:$Y$1047,MATCH(ROW()-1,装备库!$AO$2:$AO$1046,0),COLUMN()),"")</f>
        <v/>
      </c>
      <c r="P658" t="str">
        <f>IFERROR(INDEX(装备库!$A$2:$Y$1047,MATCH(ROW()-1,装备库!$AO$2:$AO$1046,0),COLUMN()),"")</f>
        <v/>
      </c>
      <c r="Q658" t="str">
        <f>IFERROR(INDEX(装备库!$A$2:$Y$1047,MATCH(ROW()-1,装备库!$AO$2:$AO$1046,0),COLUMN()),"")</f>
        <v/>
      </c>
      <c r="R658" t="str">
        <f>IFERROR(INDEX(装备库!$A$2:$Y$1047,MATCH(ROW()-1,装备库!$AO$2:$AO$1046,0),COLUMN()),"")</f>
        <v/>
      </c>
      <c r="S658" t="str">
        <f>IFERROR(INDEX(装备库!$A$2:$Y$1047,MATCH(ROW()-1,装备库!$AO$2:$AO$1046,0),COLUMN()),"")</f>
        <v/>
      </c>
      <c r="T658" t="str">
        <f>IFERROR(INDEX(装备库!$A$2:$Y$1047,MATCH(ROW()-1,装备库!$AO$2:$AO$1046,0),COLUMN()),"")</f>
        <v/>
      </c>
      <c r="U658" t="str">
        <f>IFERROR(INDEX(装备库!$A$2:$Y$1047,MATCH(ROW()-1,装备库!$AO$2:$AO$1046,0),COLUMN()),"")</f>
        <v/>
      </c>
      <c r="V658" t="str">
        <f>IFERROR(INDEX(装备库!$A$2:$Y$1047,MATCH(ROW()-1,装备库!$AO$2:$AO$1046,0),COLUMN()),"")</f>
        <v/>
      </c>
      <c r="W658" t="str">
        <f>IFERROR(INDEX(装备库!$A$2:$Y$1047,MATCH(ROW()-1,装备库!$AO$2:$AO$1046,0),COLUMN()),"")</f>
        <v/>
      </c>
      <c r="X658" t="str">
        <f>IFERROR(INDEX(装备库!$A$2:$Y$1047,MATCH(ROW()-1,装备库!$AO$2:$AO$1046,0),COLUMN()),"")</f>
        <v/>
      </c>
      <c r="Y658" t="str">
        <f>IFERROR(INDEX(装备库!$A$2:$Y$1047,MATCH(ROW()-1,装备库!$AO$2:$AO$1046,0),COLUMN()),"")</f>
        <v/>
      </c>
    </row>
    <row r="659" spans="1:25" x14ac:dyDescent="0.35">
      <c r="A659" t="str">
        <f>IFERROR(INDEX(装备库!$A$2:$Y$1047,MATCH(ROW()-1,装备库!$AO$2:$AO$1046,0),COLUMN()),"")</f>
        <v/>
      </c>
      <c r="B659" t="str">
        <f>IFERROR(INDEX(装备库!$A$2:$Y$1047,MATCH(ROW()-1,装备库!$AO$2:$AO$1046,0),COLUMN()),"")</f>
        <v/>
      </c>
      <c r="C659" t="str">
        <f>IFERROR(INDEX(装备库!$A$2:$Y$1047,MATCH(ROW()-1,装备库!$AO$2:$AO$1046,0),COLUMN()),"")</f>
        <v/>
      </c>
      <c r="D659" t="str">
        <f>IFERROR(INDEX(装备库!$A$2:$Y$1047,MATCH(ROW()-1,装备库!$AO$2:$AO$1046,0),COLUMN()),"")</f>
        <v/>
      </c>
      <c r="E659" t="str">
        <f>IFERROR(INDEX(装备库!$A$2:$Y$1047,MATCH(ROW()-1,装备库!$AO$2:$AO$1046,0),COLUMN()),"")</f>
        <v/>
      </c>
      <c r="F659" t="str">
        <f>IFERROR(INDEX(装备库!$A$2:$Y$1047,MATCH(ROW()-1,装备库!$AO$2:$AO$1046,0),COLUMN()),"")</f>
        <v/>
      </c>
      <c r="G659" t="str">
        <f>IFERROR(INDEX(装备库!$A$2:$Y$1047,MATCH(ROW()-1,装备库!$AO$2:$AO$1046,0),COLUMN()),"")</f>
        <v/>
      </c>
      <c r="H659" t="str">
        <f>IFERROR(INDEX(装备库!$A$2:$Y$1047,MATCH(ROW()-1,装备库!$AO$2:$AO$1046,0),COLUMN()),"")</f>
        <v/>
      </c>
      <c r="I659" t="str">
        <f>IFERROR(INDEX(装备库!$A$2:$Y$1047,MATCH(ROW()-1,装备库!$AO$2:$AO$1046,0),COLUMN()),"")</f>
        <v/>
      </c>
      <c r="J659" t="str">
        <f>IFERROR(INDEX(装备库!$A$2:$Y$1047,MATCH(ROW()-1,装备库!$AO$2:$AO$1046,0),COLUMN()),"")</f>
        <v/>
      </c>
      <c r="K659" t="str">
        <f>IFERROR(INDEX(装备库!$A$2:$Y$1047,MATCH(ROW()-1,装备库!$AO$2:$AO$1046,0),COLUMN()),"")</f>
        <v/>
      </c>
      <c r="L659" t="str">
        <f>IFERROR(INDEX(装备库!$A$2:$Y$1047,MATCH(ROW()-1,装备库!$AO$2:$AO$1046,0),COLUMN()),"")</f>
        <v/>
      </c>
      <c r="M659" t="str">
        <f>IFERROR(INDEX(装备库!$A$2:$Y$1047,MATCH(ROW()-1,装备库!$AO$2:$AO$1046,0),COLUMN()),"")</f>
        <v/>
      </c>
      <c r="N659" t="str">
        <f>IFERROR(INDEX(装备库!$A$2:$Y$1047,MATCH(ROW()-1,装备库!$AO$2:$AO$1046,0),COLUMN()),"")</f>
        <v/>
      </c>
      <c r="O659" t="str">
        <f>IFERROR(INDEX(装备库!$A$2:$Y$1047,MATCH(ROW()-1,装备库!$AO$2:$AO$1046,0),COLUMN()),"")</f>
        <v/>
      </c>
      <c r="P659" t="str">
        <f>IFERROR(INDEX(装备库!$A$2:$Y$1047,MATCH(ROW()-1,装备库!$AO$2:$AO$1046,0),COLUMN()),"")</f>
        <v/>
      </c>
      <c r="Q659" t="str">
        <f>IFERROR(INDEX(装备库!$A$2:$Y$1047,MATCH(ROW()-1,装备库!$AO$2:$AO$1046,0),COLUMN()),"")</f>
        <v/>
      </c>
      <c r="R659" t="str">
        <f>IFERROR(INDEX(装备库!$A$2:$Y$1047,MATCH(ROW()-1,装备库!$AO$2:$AO$1046,0),COLUMN()),"")</f>
        <v/>
      </c>
      <c r="S659" t="str">
        <f>IFERROR(INDEX(装备库!$A$2:$Y$1047,MATCH(ROW()-1,装备库!$AO$2:$AO$1046,0),COLUMN()),"")</f>
        <v/>
      </c>
      <c r="T659" t="str">
        <f>IFERROR(INDEX(装备库!$A$2:$Y$1047,MATCH(ROW()-1,装备库!$AO$2:$AO$1046,0),COLUMN()),"")</f>
        <v/>
      </c>
      <c r="U659" t="str">
        <f>IFERROR(INDEX(装备库!$A$2:$Y$1047,MATCH(ROW()-1,装备库!$AO$2:$AO$1046,0),COLUMN()),"")</f>
        <v/>
      </c>
      <c r="V659" t="str">
        <f>IFERROR(INDEX(装备库!$A$2:$Y$1047,MATCH(ROW()-1,装备库!$AO$2:$AO$1046,0),COLUMN()),"")</f>
        <v/>
      </c>
      <c r="W659" t="str">
        <f>IFERROR(INDEX(装备库!$A$2:$Y$1047,MATCH(ROW()-1,装备库!$AO$2:$AO$1046,0),COLUMN()),"")</f>
        <v/>
      </c>
      <c r="X659" t="str">
        <f>IFERROR(INDEX(装备库!$A$2:$Y$1047,MATCH(ROW()-1,装备库!$AO$2:$AO$1046,0),COLUMN()),"")</f>
        <v/>
      </c>
      <c r="Y659" t="str">
        <f>IFERROR(INDEX(装备库!$A$2:$Y$1047,MATCH(ROW()-1,装备库!$AO$2:$AO$1046,0),COLUMN()),"")</f>
        <v/>
      </c>
    </row>
    <row r="660" spans="1:25" x14ac:dyDescent="0.35">
      <c r="A660" t="str">
        <f>IFERROR(INDEX(装备库!$A$2:$Y$1047,MATCH(ROW()-1,装备库!$AO$2:$AO$1046,0),COLUMN()),"")</f>
        <v/>
      </c>
      <c r="B660" t="str">
        <f>IFERROR(INDEX(装备库!$A$2:$Y$1047,MATCH(ROW()-1,装备库!$AO$2:$AO$1046,0),COLUMN()),"")</f>
        <v/>
      </c>
      <c r="C660" t="str">
        <f>IFERROR(INDEX(装备库!$A$2:$Y$1047,MATCH(ROW()-1,装备库!$AO$2:$AO$1046,0),COLUMN()),"")</f>
        <v/>
      </c>
      <c r="D660" t="str">
        <f>IFERROR(INDEX(装备库!$A$2:$Y$1047,MATCH(ROW()-1,装备库!$AO$2:$AO$1046,0),COLUMN()),"")</f>
        <v/>
      </c>
      <c r="E660" t="str">
        <f>IFERROR(INDEX(装备库!$A$2:$Y$1047,MATCH(ROW()-1,装备库!$AO$2:$AO$1046,0),COLUMN()),"")</f>
        <v/>
      </c>
      <c r="F660" t="str">
        <f>IFERROR(INDEX(装备库!$A$2:$Y$1047,MATCH(ROW()-1,装备库!$AO$2:$AO$1046,0),COLUMN()),"")</f>
        <v/>
      </c>
      <c r="G660" t="str">
        <f>IFERROR(INDEX(装备库!$A$2:$Y$1047,MATCH(ROW()-1,装备库!$AO$2:$AO$1046,0),COLUMN()),"")</f>
        <v/>
      </c>
      <c r="H660" t="str">
        <f>IFERROR(INDEX(装备库!$A$2:$Y$1047,MATCH(ROW()-1,装备库!$AO$2:$AO$1046,0),COLUMN()),"")</f>
        <v/>
      </c>
      <c r="I660" t="str">
        <f>IFERROR(INDEX(装备库!$A$2:$Y$1047,MATCH(ROW()-1,装备库!$AO$2:$AO$1046,0),COLUMN()),"")</f>
        <v/>
      </c>
      <c r="J660" t="str">
        <f>IFERROR(INDEX(装备库!$A$2:$Y$1047,MATCH(ROW()-1,装备库!$AO$2:$AO$1046,0),COLUMN()),"")</f>
        <v/>
      </c>
      <c r="K660" t="str">
        <f>IFERROR(INDEX(装备库!$A$2:$Y$1047,MATCH(ROW()-1,装备库!$AO$2:$AO$1046,0),COLUMN()),"")</f>
        <v/>
      </c>
      <c r="L660" t="str">
        <f>IFERROR(INDEX(装备库!$A$2:$Y$1047,MATCH(ROW()-1,装备库!$AO$2:$AO$1046,0),COLUMN()),"")</f>
        <v/>
      </c>
      <c r="M660" t="str">
        <f>IFERROR(INDEX(装备库!$A$2:$Y$1047,MATCH(ROW()-1,装备库!$AO$2:$AO$1046,0),COLUMN()),"")</f>
        <v/>
      </c>
      <c r="N660" t="str">
        <f>IFERROR(INDEX(装备库!$A$2:$Y$1047,MATCH(ROW()-1,装备库!$AO$2:$AO$1046,0),COLUMN()),"")</f>
        <v/>
      </c>
      <c r="O660" t="str">
        <f>IFERROR(INDEX(装备库!$A$2:$Y$1047,MATCH(ROW()-1,装备库!$AO$2:$AO$1046,0),COLUMN()),"")</f>
        <v/>
      </c>
      <c r="P660" t="str">
        <f>IFERROR(INDEX(装备库!$A$2:$Y$1047,MATCH(ROW()-1,装备库!$AO$2:$AO$1046,0),COLUMN()),"")</f>
        <v/>
      </c>
      <c r="Q660" t="str">
        <f>IFERROR(INDEX(装备库!$A$2:$Y$1047,MATCH(ROW()-1,装备库!$AO$2:$AO$1046,0),COLUMN()),"")</f>
        <v/>
      </c>
      <c r="R660" t="str">
        <f>IFERROR(INDEX(装备库!$A$2:$Y$1047,MATCH(ROW()-1,装备库!$AO$2:$AO$1046,0),COLUMN()),"")</f>
        <v/>
      </c>
      <c r="S660" t="str">
        <f>IFERROR(INDEX(装备库!$A$2:$Y$1047,MATCH(ROW()-1,装备库!$AO$2:$AO$1046,0),COLUMN()),"")</f>
        <v/>
      </c>
      <c r="T660" t="str">
        <f>IFERROR(INDEX(装备库!$A$2:$Y$1047,MATCH(ROW()-1,装备库!$AO$2:$AO$1046,0),COLUMN()),"")</f>
        <v/>
      </c>
      <c r="U660" t="str">
        <f>IFERROR(INDEX(装备库!$A$2:$Y$1047,MATCH(ROW()-1,装备库!$AO$2:$AO$1046,0),COLUMN()),"")</f>
        <v/>
      </c>
      <c r="V660" t="str">
        <f>IFERROR(INDEX(装备库!$A$2:$Y$1047,MATCH(ROW()-1,装备库!$AO$2:$AO$1046,0),COLUMN()),"")</f>
        <v/>
      </c>
      <c r="W660" t="str">
        <f>IFERROR(INDEX(装备库!$A$2:$Y$1047,MATCH(ROW()-1,装备库!$AO$2:$AO$1046,0),COLUMN()),"")</f>
        <v/>
      </c>
      <c r="X660" t="str">
        <f>IFERROR(INDEX(装备库!$A$2:$Y$1047,MATCH(ROW()-1,装备库!$AO$2:$AO$1046,0),COLUMN()),"")</f>
        <v/>
      </c>
      <c r="Y660" t="str">
        <f>IFERROR(INDEX(装备库!$A$2:$Y$1047,MATCH(ROW()-1,装备库!$AO$2:$AO$1046,0),COLUMN()),"")</f>
        <v/>
      </c>
    </row>
    <row r="661" spans="1:25" x14ac:dyDescent="0.35">
      <c r="A661" t="str">
        <f>IFERROR(INDEX(装备库!$A$2:$Y$1047,MATCH(ROW()-1,装备库!$AO$2:$AO$1046,0),COLUMN()),"")</f>
        <v/>
      </c>
      <c r="B661" t="str">
        <f>IFERROR(INDEX(装备库!$A$2:$Y$1047,MATCH(ROW()-1,装备库!$AO$2:$AO$1046,0),COLUMN()),"")</f>
        <v/>
      </c>
      <c r="C661" t="str">
        <f>IFERROR(INDEX(装备库!$A$2:$Y$1047,MATCH(ROW()-1,装备库!$AO$2:$AO$1046,0),COLUMN()),"")</f>
        <v/>
      </c>
      <c r="D661" t="str">
        <f>IFERROR(INDEX(装备库!$A$2:$Y$1047,MATCH(ROW()-1,装备库!$AO$2:$AO$1046,0),COLUMN()),"")</f>
        <v/>
      </c>
      <c r="E661" t="str">
        <f>IFERROR(INDEX(装备库!$A$2:$Y$1047,MATCH(ROW()-1,装备库!$AO$2:$AO$1046,0),COLUMN()),"")</f>
        <v/>
      </c>
      <c r="F661" t="str">
        <f>IFERROR(INDEX(装备库!$A$2:$Y$1047,MATCH(ROW()-1,装备库!$AO$2:$AO$1046,0),COLUMN()),"")</f>
        <v/>
      </c>
      <c r="G661" t="str">
        <f>IFERROR(INDEX(装备库!$A$2:$Y$1047,MATCH(ROW()-1,装备库!$AO$2:$AO$1046,0),COLUMN()),"")</f>
        <v/>
      </c>
      <c r="H661" t="str">
        <f>IFERROR(INDEX(装备库!$A$2:$Y$1047,MATCH(ROW()-1,装备库!$AO$2:$AO$1046,0),COLUMN()),"")</f>
        <v/>
      </c>
      <c r="I661" t="str">
        <f>IFERROR(INDEX(装备库!$A$2:$Y$1047,MATCH(ROW()-1,装备库!$AO$2:$AO$1046,0),COLUMN()),"")</f>
        <v/>
      </c>
      <c r="J661" t="str">
        <f>IFERROR(INDEX(装备库!$A$2:$Y$1047,MATCH(ROW()-1,装备库!$AO$2:$AO$1046,0),COLUMN()),"")</f>
        <v/>
      </c>
      <c r="K661" t="str">
        <f>IFERROR(INDEX(装备库!$A$2:$Y$1047,MATCH(ROW()-1,装备库!$AO$2:$AO$1046,0),COLUMN()),"")</f>
        <v/>
      </c>
      <c r="L661" t="str">
        <f>IFERROR(INDEX(装备库!$A$2:$Y$1047,MATCH(ROW()-1,装备库!$AO$2:$AO$1046,0),COLUMN()),"")</f>
        <v/>
      </c>
      <c r="M661" t="str">
        <f>IFERROR(INDEX(装备库!$A$2:$Y$1047,MATCH(ROW()-1,装备库!$AO$2:$AO$1046,0),COLUMN()),"")</f>
        <v/>
      </c>
      <c r="N661" t="str">
        <f>IFERROR(INDEX(装备库!$A$2:$Y$1047,MATCH(ROW()-1,装备库!$AO$2:$AO$1046,0),COLUMN()),"")</f>
        <v/>
      </c>
      <c r="O661" t="str">
        <f>IFERROR(INDEX(装备库!$A$2:$Y$1047,MATCH(ROW()-1,装备库!$AO$2:$AO$1046,0),COLUMN()),"")</f>
        <v/>
      </c>
      <c r="P661" t="str">
        <f>IFERROR(INDEX(装备库!$A$2:$Y$1047,MATCH(ROW()-1,装备库!$AO$2:$AO$1046,0),COLUMN()),"")</f>
        <v/>
      </c>
      <c r="Q661" t="str">
        <f>IFERROR(INDEX(装备库!$A$2:$Y$1047,MATCH(ROW()-1,装备库!$AO$2:$AO$1046,0),COLUMN()),"")</f>
        <v/>
      </c>
      <c r="R661" t="str">
        <f>IFERROR(INDEX(装备库!$A$2:$Y$1047,MATCH(ROW()-1,装备库!$AO$2:$AO$1046,0),COLUMN()),"")</f>
        <v/>
      </c>
      <c r="S661" t="str">
        <f>IFERROR(INDEX(装备库!$A$2:$Y$1047,MATCH(ROW()-1,装备库!$AO$2:$AO$1046,0),COLUMN()),"")</f>
        <v/>
      </c>
      <c r="T661" t="str">
        <f>IFERROR(INDEX(装备库!$A$2:$Y$1047,MATCH(ROW()-1,装备库!$AO$2:$AO$1046,0),COLUMN()),"")</f>
        <v/>
      </c>
      <c r="U661" t="str">
        <f>IFERROR(INDEX(装备库!$A$2:$Y$1047,MATCH(ROW()-1,装备库!$AO$2:$AO$1046,0),COLUMN()),"")</f>
        <v/>
      </c>
      <c r="V661" t="str">
        <f>IFERROR(INDEX(装备库!$A$2:$Y$1047,MATCH(ROW()-1,装备库!$AO$2:$AO$1046,0),COLUMN()),"")</f>
        <v/>
      </c>
      <c r="W661" t="str">
        <f>IFERROR(INDEX(装备库!$A$2:$Y$1047,MATCH(ROW()-1,装备库!$AO$2:$AO$1046,0),COLUMN()),"")</f>
        <v/>
      </c>
      <c r="X661" t="str">
        <f>IFERROR(INDEX(装备库!$A$2:$Y$1047,MATCH(ROW()-1,装备库!$AO$2:$AO$1046,0),COLUMN()),"")</f>
        <v/>
      </c>
      <c r="Y661" t="str">
        <f>IFERROR(INDEX(装备库!$A$2:$Y$1047,MATCH(ROW()-1,装备库!$AO$2:$AO$1046,0),COLUMN()),"")</f>
        <v/>
      </c>
    </row>
    <row r="662" spans="1:25" x14ac:dyDescent="0.35">
      <c r="A662" t="str">
        <f>IFERROR(INDEX(装备库!$A$2:$Y$1047,MATCH(ROW()-1,装备库!$AO$2:$AO$1046,0),COLUMN()),"")</f>
        <v/>
      </c>
      <c r="B662" t="str">
        <f>IFERROR(INDEX(装备库!$A$2:$Y$1047,MATCH(ROW()-1,装备库!$AO$2:$AO$1046,0),COLUMN()),"")</f>
        <v/>
      </c>
      <c r="C662" t="str">
        <f>IFERROR(INDEX(装备库!$A$2:$Y$1047,MATCH(ROW()-1,装备库!$AO$2:$AO$1046,0),COLUMN()),"")</f>
        <v/>
      </c>
      <c r="D662" t="str">
        <f>IFERROR(INDEX(装备库!$A$2:$Y$1047,MATCH(ROW()-1,装备库!$AO$2:$AO$1046,0),COLUMN()),"")</f>
        <v/>
      </c>
      <c r="E662" t="str">
        <f>IFERROR(INDEX(装备库!$A$2:$Y$1047,MATCH(ROW()-1,装备库!$AO$2:$AO$1046,0),COLUMN()),"")</f>
        <v/>
      </c>
      <c r="F662" t="str">
        <f>IFERROR(INDEX(装备库!$A$2:$Y$1047,MATCH(ROW()-1,装备库!$AO$2:$AO$1046,0),COLUMN()),"")</f>
        <v/>
      </c>
      <c r="G662" t="str">
        <f>IFERROR(INDEX(装备库!$A$2:$Y$1047,MATCH(ROW()-1,装备库!$AO$2:$AO$1046,0),COLUMN()),"")</f>
        <v/>
      </c>
      <c r="H662" t="str">
        <f>IFERROR(INDEX(装备库!$A$2:$Y$1047,MATCH(ROW()-1,装备库!$AO$2:$AO$1046,0),COLUMN()),"")</f>
        <v/>
      </c>
      <c r="I662" t="str">
        <f>IFERROR(INDEX(装备库!$A$2:$Y$1047,MATCH(ROW()-1,装备库!$AO$2:$AO$1046,0),COLUMN()),"")</f>
        <v/>
      </c>
      <c r="J662" t="str">
        <f>IFERROR(INDEX(装备库!$A$2:$Y$1047,MATCH(ROW()-1,装备库!$AO$2:$AO$1046,0),COLUMN()),"")</f>
        <v/>
      </c>
      <c r="K662" t="str">
        <f>IFERROR(INDEX(装备库!$A$2:$Y$1047,MATCH(ROW()-1,装备库!$AO$2:$AO$1046,0),COLUMN()),"")</f>
        <v/>
      </c>
      <c r="L662" t="str">
        <f>IFERROR(INDEX(装备库!$A$2:$Y$1047,MATCH(ROW()-1,装备库!$AO$2:$AO$1046,0),COLUMN()),"")</f>
        <v/>
      </c>
      <c r="M662" t="str">
        <f>IFERROR(INDEX(装备库!$A$2:$Y$1047,MATCH(ROW()-1,装备库!$AO$2:$AO$1046,0),COLUMN()),"")</f>
        <v/>
      </c>
      <c r="N662" t="str">
        <f>IFERROR(INDEX(装备库!$A$2:$Y$1047,MATCH(ROW()-1,装备库!$AO$2:$AO$1046,0),COLUMN()),"")</f>
        <v/>
      </c>
      <c r="O662" t="str">
        <f>IFERROR(INDEX(装备库!$A$2:$Y$1047,MATCH(ROW()-1,装备库!$AO$2:$AO$1046,0),COLUMN()),"")</f>
        <v/>
      </c>
      <c r="P662" t="str">
        <f>IFERROR(INDEX(装备库!$A$2:$Y$1047,MATCH(ROW()-1,装备库!$AO$2:$AO$1046,0),COLUMN()),"")</f>
        <v/>
      </c>
      <c r="Q662" t="str">
        <f>IFERROR(INDEX(装备库!$A$2:$Y$1047,MATCH(ROW()-1,装备库!$AO$2:$AO$1046,0),COLUMN()),"")</f>
        <v/>
      </c>
      <c r="R662" t="str">
        <f>IFERROR(INDEX(装备库!$A$2:$Y$1047,MATCH(ROW()-1,装备库!$AO$2:$AO$1046,0),COLUMN()),"")</f>
        <v/>
      </c>
      <c r="S662" t="str">
        <f>IFERROR(INDEX(装备库!$A$2:$Y$1047,MATCH(ROW()-1,装备库!$AO$2:$AO$1046,0),COLUMN()),"")</f>
        <v/>
      </c>
      <c r="T662" t="str">
        <f>IFERROR(INDEX(装备库!$A$2:$Y$1047,MATCH(ROW()-1,装备库!$AO$2:$AO$1046,0),COLUMN()),"")</f>
        <v/>
      </c>
      <c r="U662" t="str">
        <f>IFERROR(INDEX(装备库!$A$2:$Y$1047,MATCH(ROW()-1,装备库!$AO$2:$AO$1046,0),COLUMN()),"")</f>
        <v/>
      </c>
      <c r="V662" t="str">
        <f>IFERROR(INDEX(装备库!$A$2:$Y$1047,MATCH(ROW()-1,装备库!$AO$2:$AO$1046,0),COLUMN()),"")</f>
        <v/>
      </c>
      <c r="W662" t="str">
        <f>IFERROR(INDEX(装备库!$A$2:$Y$1047,MATCH(ROW()-1,装备库!$AO$2:$AO$1046,0),COLUMN()),"")</f>
        <v/>
      </c>
      <c r="X662" t="str">
        <f>IFERROR(INDEX(装备库!$A$2:$Y$1047,MATCH(ROW()-1,装备库!$AO$2:$AO$1046,0),COLUMN()),"")</f>
        <v/>
      </c>
      <c r="Y662" t="str">
        <f>IFERROR(INDEX(装备库!$A$2:$Y$1047,MATCH(ROW()-1,装备库!$AO$2:$AO$1046,0),COLUMN()),"")</f>
        <v/>
      </c>
    </row>
    <row r="663" spans="1:25" x14ac:dyDescent="0.35">
      <c r="A663" t="str">
        <f>IFERROR(INDEX(装备库!$A$2:$Y$1047,MATCH(ROW()-1,装备库!$AO$2:$AO$1046,0),COLUMN()),"")</f>
        <v/>
      </c>
      <c r="B663" t="str">
        <f>IFERROR(INDEX(装备库!$A$2:$Y$1047,MATCH(ROW()-1,装备库!$AO$2:$AO$1046,0),COLUMN()),"")</f>
        <v/>
      </c>
      <c r="C663" t="str">
        <f>IFERROR(INDEX(装备库!$A$2:$Y$1047,MATCH(ROW()-1,装备库!$AO$2:$AO$1046,0),COLUMN()),"")</f>
        <v/>
      </c>
      <c r="D663" t="str">
        <f>IFERROR(INDEX(装备库!$A$2:$Y$1047,MATCH(ROW()-1,装备库!$AO$2:$AO$1046,0),COLUMN()),"")</f>
        <v/>
      </c>
      <c r="E663" t="str">
        <f>IFERROR(INDEX(装备库!$A$2:$Y$1047,MATCH(ROW()-1,装备库!$AO$2:$AO$1046,0),COLUMN()),"")</f>
        <v/>
      </c>
      <c r="F663" t="str">
        <f>IFERROR(INDEX(装备库!$A$2:$Y$1047,MATCH(ROW()-1,装备库!$AO$2:$AO$1046,0),COLUMN()),"")</f>
        <v/>
      </c>
      <c r="G663" t="str">
        <f>IFERROR(INDEX(装备库!$A$2:$Y$1047,MATCH(ROW()-1,装备库!$AO$2:$AO$1046,0),COLUMN()),"")</f>
        <v/>
      </c>
      <c r="H663" t="str">
        <f>IFERROR(INDEX(装备库!$A$2:$Y$1047,MATCH(ROW()-1,装备库!$AO$2:$AO$1046,0),COLUMN()),"")</f>
        <v/>
      </c>
      <c r="I663" t="str">
        <f>IFERROR(INDEX(装备库!$A$2:$Y$1047,MATCH(ROW()-1,装备库!$AO$2:$AO$1046,0),COLUMN()),"")</f>
        <v/>
      </c>
      <c r="J663" t="str">
        <f>IFERROR(INDEX(装备库!$A$2:$Y$1047,MATCH(ROW()-1,装备库!$AO$2:$AO$1046,0),COLUMN()),"")</f>
        <v/>
      </c>
      <c r="K663" t="str">
        <f>IFERROR(INDEX(装备库!$A$2:$Y$1047,MATCH(ROW()-1,装备库!$AO$2:$AO$1046,0),COLUMN()),"")</f>
        <v/>
      </c>
      <c r="L663" t="str">
        <f>IFERROR(INDEX(装备库!$A$2:$Y$1047,MATCH(ROW()-1,装备库!$AO$2:$AO$1046,0),COLUMN()),"")</f>
        <v/>
      </c>
      <c r="M663" t="str">
        <f>IFERROR(INDEX(装备库!$A$2:$Y$1047,MATCH(ROW()-1,装备库!$AO$2:$AO$1046,0),COLUMN()),"")</f>
        <v/>
      </c>
      <c r="N663" t="str">
        <f>IFERROR(INDEX(装备库!$A$2:$Y$1047,MATCH(ROW()-1,装备库!$AO$2:$AO$1046,0),COLUMN()),"")</f>
        <v/>
      </c>
      <c r="O663" t="str">
        <f>IFERROR(INDEX(装备库!$A$2:$Y$1047,MATCH(ROW()-1,装备库!$AO$2:$AO$1046,0),COLUMN()),"")</f>
        <v/>
      </c>
      <c r="P663" t="str">
        <f>IFERROR(INDEX(装备库!$A$2:$Y$1047,MATCH(ROW()-1,装备库!$AO$2:$AO$1046,0),COLUMN()),"")</f>
        <v/>
      </c>
      <c r="Q663" t="str">
        <f>IFERROR(INDEX(装备库!$A$2:$Y$1047,MATCH(ROW()-1,装备库!$AO$2:$AO$1046,0),COLUMN()),"")</f>
        <v/>
      </c>
      <c r="R663" t="str">
        <f>IFERROR(INDEX(装备库!$A$2:$Y$1047,MATCH(ROW()-1,装备库!$AO$2:$AO$1046,0),COLUMN()),"")</f>
        <v/>
      </c>
      <c r="S663" t="str">
        <f>IFERROR(INDEX(装备库!$A$2:$Y$1047,MATCH(ROW()-1,装备库!$AO$2:$AO$1046,0),COLUMN()),"")</f>
        <v/>
      </c>
      <c r="T663" t="str">
        <f>IFERROR(INDEX(装备库!$A$2:$Y$1047,MATCH(ROW()-1,装备库!$AO$2:$AO$1046,0),COLUMN()),"")</f>
        <v/>
      </c>
      <c r="U663" t="str">
        <f>IFERROR(INDEX(装备库!$A$2:$Y$1047,MATCH(ROW()-1,装备库!$AO$2:$AO$1046,0),COLUMN()),"")</f>
        <v/>
      </c>
      <c r="V663" t="str">
        <f>IFERROR(INDEX(装备库!$A$2:$Y$1047,MATCH(ROW()-1,装备库!$AO$2:$AO$1046,0),COLUMN()),"")</f>
        <v/>
      </c>
      <c r="W663" t="str">
        <f>IFERROR(INDEX(装备库!$A$2:$Y$1047,MATCH(ROW()-1,装备库!$AO$2:$AO$1046,0),COLUMN()),"")</f>
        <v/>
      </c>
      <c r="X663" t="str">
        <f>IFERROR(INDEX(装备库!$A$2:$Y$1047,MATCH(ROW()-1,装备库!$AO$2:$AO$1046,0),COLUMN()),"")</f>
        <v/>
      </c>
      <c r="Y663" t="str">
        <f>IFERROR(INDEX(装备库!$A$2:$Y$1047,MATCH(ROW()-1,装备库!$AO$2:$AO$1046,0),COLUMN()),"")</f>
        <v/>
      </c>
    </row>
    <row r="664" spans="1:25" x14ac:dyDescent="0.35">
      <c r="A664" t="str">
        <f>IFERROR(INDEX(装备库!$A$2:$Y$1047,MATCH(ROW()-1,装备库!$AO$2:$AO$1046,0),COLUMN()),"")</f>
        <v/>
      </c>
      <c r="B664" t="str">
        <f>IFERROR(INDEX(装备库!$A$2:$Y$1047,MATCH(ROW()-1,装备库!$AO$2:$AO$1046,0),COLUMN()),"")</f>
        <v/>
      </c>
      <c r="C664" t="str">
        <f>IFERROR(INDEX(装备库!$A$2:$Y$1047,MATCH(ROW()-1,装备库!$AO$2:$AO$1046,0),COLUMN()),"")</f>
        <v/>
      </c>
      <c r="D664" t="str">
        <f>IFERROR(INDEX(装备库!$A$2:$Y$1047,MATCH(ROW()-1,装备库!$AO$2:$AO$1046,0),COLUMN()),"")</f>
        <v/>
      </c>
      <c r="E664" t="str">
        <f>IFERROR(INDEX(装备库!$A$2:$Y$1047,MATCH(ROW()-1,装备库!$AO$2:$AO$1046,0),COLUMN()),"")</f>
        <v/>
      </c>
      <c r="F664" t="str">
        <f>IFERROR(INDEX(装备库!$A$2:$Y$1047,MATCH(ROW()-1,装备库!$AO$2:$AO$1046,0),COLUMN()),"")</f>
        <v/>
      </c>
      <c r="G664" t="str">
        <f>IFERROR(INDEX(装备库!$A$2:$Y$1047,MATCH(ROW()-1,装备库!$AO$2:$AO$1046,0),COLUMN()),"")</f>
        <v/>
      </c>
      <c r="H664" t="str">
        <f>IFERROR(INDEX(装备库!$A$2:$Y$1047,MATCH(ROW()-1,装备库!$AO$2:$AO$1046,0),COLUMN()),"")</f>
        <v/>
      </c>
      <c r="I664" t="str">
        <f>IFERROR(INDEX(装备库!$A$2:$Y$1047,MATCH(ROW()-1,装备库!$AO$2:$AO$1046,0),COLUMN()),"")</f>
        <v/>
      </c>
      <c r="J664" t="str">
        <f>IFERROR(INDEX(装备库!$A$2:$Y$1047,MATCH(ROW()-1,装备库!$AO$2:$AO$1046,0),COLUMN()),"")</f>
        <v/>
      </c>
      <c r="K664" t="str">
        <f>IFERROR(INDEX(装备库!$A$2:$Y$1047,MATCH(ROW()-1,装备库!$AO$2:$AO$1046,0),COLUMN()),"")</f>
        <v/>
      </c>
      <c r="L664" t="str">
        <f>IFERROR(INDEX(装备库!$A$2:$Y$1047,MATCH(ROW()-1,装备库!$AO$2:$AO$1046,0),COLUMN()),"")</f>
        <v/>
      </c>
      <c r="M664" t="str">
        <f>IFERROR(INDEX(装备库!$A$2:$Y$1047,MATCH(ROW()-1,装备库!$AO$2:$AO$1046,0),COLUMN()),"")</f>
        <v/>
      </c>
      <c r="N664" t="str">
        <f>IFERROR(INDEX(装备库!$A$2:$Y$1047,MATCH(ROW()-1,装备库!$AO$2:$AO$1046,0),COLUMN()),"")</f>
        <v/>
      </c>
      <c r="O664" t="str">
        <f>IFERROR(INDEX(装备库!$A$2:$Y$1047,MATCH(ROW()-1,装备库!$AO$2:$AO$1046,0),COLUMN()),"")</f>
        <v/>
      </c>
      <c r="P664" t="str">
        <f>IFERROR(INDEX(装备库!$A$2:$Y$1047,MATCH(ROW()-1,装备库!$AO$2:$AO$1046,0),COLUMN()),"")</f>
        <v/>
      </c>
      <c r="Q664" t="str">
        <f>IFERROR(INDEX(装备库!$A$2:$Y$1047,MATCH(ROW()-1,装备库!$AO$2:$AO$1046,0),COLUMN()),"")</f>
        <v/>
      </c>
      <c r="R664" t="str">
        <f>IFERROR(INDEX(装备库!$A$2:$Y$1047,MATCH(ROW()-1,装备库!$AO$2:$AO$1046,0),COLUMN()),"")</f>
        <v/>
      </c>
      <c r="S664" t="str">
        <f>IFERROR(INDEX(装备库!$A$2:$Y$1047,MATCH(ROW()-1,装备库!$AO$2:$AO$1046,0),COLUMN()),"")</f>
        <v/>
      </c>
      <c r="T664" t="str">
        <f>IFERROR(INDEX(装备库!$A$2:$Y$1047,MATCH(ROW()-1,装备库!$AO$2:$AO$1046,0),COLUMN()),"")</f>
        <v/>
      </c>
      <c r="U664" t="str">
        <f>IFERROR(INDEX(装备库!$A$2:$Y$1047,MATCH(ROW()-1,装备库!$AO$2:$AO$1046,0),COLUMN()),"")</f>
        <v/>
      </c>
      <c r="V664" t="str">
        <f>IFERROR(INDEX(装备库!$A$2:$Y$1047,MATCH(ROW()-1,装备库!$AO$2:$AO$1046,0),COLUMN()),"")</f>
        <v/>
      </c>
      <c r="W664" t="str">
        <f>IFERROR(INDEX(装备库!$A$2:$Y$1047,MATCH(ROW()-1,装备库!$AO$2:$AO$1046,0),COLUMN()),"")</f>
        <v/>
      </c>
      <c r="X664" t="str">
        <f>IFERROR(INDEX(装备库!$A$2:$Y$1047,MATCH(ROW()-1,装备库!$AO$2:$AO$1046,0),COLUMN()),"")</f>
        <v/>
      </c>
      <c r="Y664" t="str">
        <f>IFERROR(INDEX(装备库!$A$2:$Y$1047,MATCH(ROW()-1,装备库!$AO$2:$AO$1046,0),COLUMN()),"")</f>
        <v/>
      </c>
    </row>
    <row r="665" spans="1:25" x14ac:dyDescent="0.35">
      <c r="A665" t="str">
        <f>IFERROR(INDEX(装备库!$A$2:$Y$1047,MATCH(ROW()-1,装备库!$AO$2:$AO$1046,0),COLUMN()),"")</f>
        <v/>
      </c>
      <c r="B665" t="str">
        <f>IFERROR(INDEX(装备库!$A$2:$Y$1047,MATCH(ROW()-1,装备库!$AO$2:$AO$1046,0),COLUMN()),"")</f>
        <v/>
      </c>
      <c r="C665" t="str">
        <f>IFERROR(INDEX(装备库!$A$2:$Y$1047,MATCH(ROW()-1,装备库!$AO$2:$AO$1046,0),COLUMN()),"")</f>
        <v/>
      </c>
      <c r="D665" t="str">
        <f>IFERROR(INDEX(装备库!$A$2:$Y$1047,MATCH(ROW()-1,装备库!$AO$2:$AO$1046,0),COLUMN()),"")</f>
        <v/>
      </c>
      <c r="E665" t="str">
        <f>IFERROR(INDEX(装备库!$A$2:$Y$1047,MATCH(ROW()-1,装备库!$AO$2:$AO$1046,0),COLUMN()),"")</f>
        <v/>
      </c>
      <c r="F665" t="str">
        <f>IFERROR(INDEX(装备库!$A$2:$Y$1047,MATCH(ROW()-1,装备库!$AO$2:$AO$1046,0),COLUMN()),"")</f>
        <v/>
      </c>
      <c r="G665" t="str">
        <f>IFERROR(INDEX(装备库!$A$2:$Y$1047,MATCH(ROW()-1,装备库!$AO$2:$AO$1046,0),COLUMN()),"")</f>
        <v/>
      </c>
      <c r="H665" t="str">
        <f>IFERROR(INDEX(装备库!$A$2:$Y$1047,MATCH(ROW()-1,装备库!$AO$2:$AO$1046,0),COLUMN()),"")</f>
        <v/>
      </c>
      <c r="I665" t="str">
        <f>IFERROR(INDEX(装备库!$A$2:$Y$1047,MATCH(ROW()-1,装备库!$AO$2:$AO$1046,0),COLUMN()),"")</f>
        <v/>
      </c>
      <c r="J665" t="str">
        <f>IFERROR(INDEX(装备库!$A$2:$Y$1047,MATCH(ROW()-1,装备库!$AO$2:$AO$1046,0),COLUMN()),"")</f>
        <v/>
      </c>
      <c r="K665" t="str">
        <f>IFERROR(INDEX(装备库!$A$2:$Y$1047,MATCH(ROW()-1,装备库!$AO$2:$AO$1046,0),COLUMN()),"")</f>
        <v/>
      </c>
      <c r="L665" t="str">
        <f>IFERROR(INDEX(装备库!$A$2:$Y$1047,MATCH(ROW()-1,装备库!$AO$2:$AO$1046,0),COLUMN()),"")</f>
        <v/>
      </c>
      <c r="M665" t="str">
        <f>IFERROR(INDEX(装备库!$A$2:$Y$1047,MATCH(ROW()-1,装备库!$AO$2:$AO$1046,0),COLUMN()),"")</f>
        <v/>
      </c>
      <c r="N665" t="str">
        <f>IFERROR(INDEX(装备库!$A$2:$Y$1047,MATCH(ROW()-1,装备库!$AO$2:$AO$1046,0),COLUMN()),"")</f>
        <v/>
      </c>
      <c r="O665" t="str">
        <f>IFERROR(INDEX(装备库!$A$2:$Y$1047,MATCH(ROW()-1,装备库!$AO$2:$AO$1046,0),COLUMN()),"")</f>
        <v/>
      </c>
      <c r="P665" t="str">
        <f>IFERROR(INDEX(装备库!$A$2:$Y$1047,MATCH(ROW()-1,装备库!$AO$2:$AO$1046,0),COLUMN()),"")</f>
        <v/>
      </c>
      <c r="Q665" t="str">
        <f>IFERROR(INDEX(装备库!$A$2:$Y$1047,MATCH(ROW()-1,装备库!$AO$2:$AO$1046,0),COLUMN()),"")</f>
        <v/>
      </c>
      <c r="R665" t="str">
        <f>IFERROR(INDEX(装备库!$A$2:$Y$1047,MATCH(ROW()-1,装备库!$AO$2:$AO$1046,0),COLUMN()),"")</f>
        <v/>
      </c>
      <c r="S665" t="str">
        <f>IFERROR(INDEX(装备库!$A$2:$Y$1047,MATCH(ROW()-1,装备库!$AO$2:$AO$1046,0),COLUMN()),"")</f>
        <v/>
      </c>
      <c r="T665" t="str">
        <f>IFERROR(INDEX(装备库!$A$2:$Y$1047,MATCH(ROW()-1,装备库!$AO$2:$AO$1046,0),COLUMN()),"")</f>
        <v/>
      </c>
      <c r="U665" t="str">
        <f>IFERROR(INDEX(装备库!$A$2:$Y$1047,MATCH(ROW()-1,装备库!$AO$2:$AO$1046,0),COLUMN()),"")</f>
        <v/>
      </c>
      <c r="V665" t="str">
        <f>IFERROR(INDEX(装备库!$A$2:$Y$1047,MATCH(ROW()-1,装备库!$AO$2:$AO$1046,0),COLUMN()),"")</f>
        <v/>
      </c>
      <c r="W665" t="str">
        <f>IFERROR(INDEX(装备库!$A$2:$Y$1047,MATCH(ROW()-1,装备库!$AO$2:$AO$1046,0),COLUMN()),"")</f>
        <v/>
      </c>
      <c r="X665" t="str">
        <f>IFERROR(INDEX(装备库!$A$2:$Y$1047,MATCH(ROW()-1,装备库!$AO$2:$AO$1046,0),COLUMN()),"")</f>
        <v/>
      </c>
      <c r="Y665" t="str">
        <f>IFERROR(INDEX(装备库!$A$2:$Y$1047,MATCH(ROW()-1,装备库!$AO$2:$AO$1046,0),COLUMN()),"")</f>
        <v/>
      </c>
    </row>
    <row r="666" spans="1:25" x14ac:dyDescent="0.35">
      <c r="A666" t="str">
        <f>IFERROR(INDEX(装备库!$A$2:$Y$1047,MATCH(ROW()-1,装备库!$AO$2:$AO$1046,0),COLUMN()),"")</f>
        <v/>
      </c>
      <c r="B666" t="str">
        <f>IFERROR(INDEX(装备库!$A$2:$Y$1047,MATCH(ROW()-1,装备库!$AO$2:$AO$1046,0),COLUMN()),"")</f>
        <v/>
      </c>
      <c r="C666" t="str">
        <f>IFERROR(INDEX(装备库!$A$2:$Y$1047,MATCH(ROW()-1,装备库!$AO$2:$AO$1046,0),COLUMN()),"")</f>
        <v/>
      </c>
      <c r="D666" t="str">
        <f>IFERROR(INDEX(装备库!$A$2:$Y$1047,MATCH(ROW()-1,装备库!$AO$2:$AO$1046,0),COLUMN()),"")</f>
        <v/>
      </c>
      <c r="E666" t="str">
        <f>IFERROR(INDEX(装备库!$A$2:$Y$1047,MATCH(ROW()-1,装备库!$AO$2:$AO$1046,0),COLUMN()),"")</f>
        <v/>
      </c>
      <c r="F666" t="str">
        <f>IFERROR(INDEX(装备库!$A$2:$Y$1047,MATCH(ROW()-1,装备库!$AO$2:$AO$1046,0),COLUMN()),"")</f>
        <v/>
      </c>
      <c r="G666" t="str">
        <f>IFERROR(INDEX(装备库!$A$2:$Y$1047,MATCH(ROW()-1,装备库!$AO$2:$AO$1046,0),COLUMN()),"")</f>
        <v/>
      </c>
      <c r="H666" t="str">
        <f>IFERROR(INDEX(装备库!$A$2:$Y$1047,MATCH(ROW()-1,装备库!$AO$2:$AO$1046,0),COLUMN()),"")</f>
        <v/>
      </c>
      <c r="I666" t="str">
        <f>IFERROR(INDEX(装备库!$A$2:$Y$1047,MATCH(ROW()-1,装备库!$AO$2:$AO$1046,0),COLUMN()),"")</f>
        <v/>
      </c>
      <c r="J666" t="str">
        <f>IFERROR(INDEX(装备库!$A$2:$Y$1047,MATCH(ROW()-1,装备库!$AO$2:$AO$1046,0),COLUMN()),"")</f>
        <v/>
      </c>
      <c r="K666" t="str">
        <f>IFERROR(INDEX(装备库!$A$2:$Y$1047,MATCH(ROW()-1,装备库!$AO$2:$AO$1046,0),COLUMN()),"")</f>
        <v/>
      </c>
      <c r="L666" t="str">
        <f>IFERROR(INDEX(装备库!$A$2:$Y$1047,MATCH(ROW()-1,装备库!$AO$2:$AO$1046,0),COLUMN()),"")</f>
        <v/>
      </c>
      <c r="M666" t="str">
        <f>IFERROR(INDEX(装备库!$A$2:$Y$1047,MATCH(ROW()-1,装备库!$AO$2:$AO$1046,0),COLUMN()),"")</f>
        <v/>
      </c>
      <c r="N666" t="str">
        <f>IFERROR(INDEX(装备库!$A$2:$Y$1047,MATCH(ROW()-1,装备库!$AO$2:$AO$1046,0),COLUMN()),"")</f>
        <v/>
      </c>
      <c r="O666" t="str">
        <f>IFERROR(INDEX(装备库!$A$2:$Y$1047,MATCH(ROW()-1,装备库!$AO$2:$AO$1046,0),COLUMN()),"")</f>
        <v/>
      </c>
      <c r="P666" t="str">
        <f>IFERROR(INDEX(装备库!$A$2:$Y$1047,MATCH(ROW()-1,装备库!$AO$2:$AO$1046,0),COLUMN()),"")</f>
        <v/>
      </c>
      <c r="Q666" t="str">
        <f>IFERROR(INDEX(装备库!$A$2:$Y$1047,MATCH(ROW()-1,装备库!$AO$2:$AO$1046,0),COLUMN()),"")</f>
        <v/>
      </c>
      <c r="R666" t="str">
        <f>IFERROR(INDEX(装备库!$A$2:$Y$1047,MATCH(ROW()-1,装备库!$AO$2:$AO$1046,0),COLUMN()),"")</f>
        <v/>
      </c>
      <c r="S666" t="str">
        <f>IFERROR(INDEX(装备库!$A$2:$Y$1047,MATCH(ROW()-1,装备库!$AO$2:$AO$1046,0),COLUMN()),"")</f>
        <v/>
      </c>
      <c r="T666" t="str">
        <f>IFERROR(INDEX(装备库!$A$2:$Y$1047,MATCH(ROW()-1,装备库!$AO$2:$AO$1046,0),COLUMN()),"")</f>
        <v/>
      </c>
      <c r="U666" t="str">
        <f>IFERROR(INDEX(装备库!$A$2:$Y$1047,MATCH(ROW()-1,装备库!$AO$2:$AO$1046,0),COLUMN()),"")</f>
        <v/>
      </c>
      <c r="V666" t="str">
        <f>IFERROR(INDEX(装备库!$A$2:$Y$1047,MATCH(ROW()-1,装备库!$AO$2:$AO$1046,0),COLUMN()),"")</f>
        <v/>
      </c>
      <c r="W666" t="str">
        <f>IFERROR(INDEX(装备库!$A$2:$Y$1047,MATCH(ROW()-1,装备库!$AO$2:$AO$1046,0),COLUMN()),"")</f>
        <v/>
      </c>
      <c r="X666" t="str">
        <f>IFERROR(INDEX(装备库!$A$2:$Y$1047,MATCH(ROW()-1,装备库!$AO$2:$AO$1046,0),COLUMN()),"")</f>
        <v/>
      </c>
      <c r="Y666" t="str">
        <f>IFERROR(INDEX(装备库!$A$2:$Y$1047,MATCH(ROW()-1,装备库!$AO$2:$AO$1046,0),COLUMN()),"")</f>
        <v/>
      </c>
    </row>
    <row r="667" spans="1:25" x14ac:dyDescent="0.35">
      <c r="A667" t="str">
        <f>IFERROR(INDEX(装备库!$A$2:$Y$1047,MATCH(ROW()-1,装备库!$AO$2:$AO$1046,0),COLUMN()),"")</f>
        <v/>
      </c>
      <c r="B667" t="str">
        <f>IFERROR(INDEX(装备库!$A$2:$Y$1047,MATCH(ROW()-1,装备库!$AO$2:$AO$1046,0),COLUMN()),"")</f>
        <v/>
      </c>
      <c r="C667" t="str">
        <f>IFERROR(INDEX(装备库!$A$2:$Y$1047,MATCH(ROW()-1,装备库!$AO$2:$AO$1046,0),COLUMN()),"")</f>
        <v/>
      </c>
      <c r="D667" t="str">
        <f>IFERROR(INDEX(装备库!$A$2:$Y$1047,MATCH(ROW()-1,装备库!$AO$2:$AO$1046,0),COLUMN()),"")</f>
        <v/>
      </c>
      <c r="E667" t="str">
        <f>IFERROR(INDEX(装备库!$A$2:$Y$1047,MATCH(ROW()-1,装备库!$AO$2:$AO$1046,0),COLUMN()),"")</f>
        <v/>
      </c>
      <c r="F667" t="str">
        <f>IFERROR(INDEX(装备库!$A$2:$Y$1047,MATCH(ROW()-1,装备库!$AO$2:$AO$1046,0),COLUMN()),"")</f>
        <v/>
      </c>
      <c r="G667" t="str">
        <f>IFERROR(INDEX(装备库!$A$2:$Y$1047,MATCH(ROW()-1,装备库!$AO$2:$AO$1046,0),COLUMN()),"")</f>
        <v/>
      </c>
      <c r="H667" t="str">
        <f>IFERROR(INDEX(装备库!$A$2:$Y$1047,MATCH(ROW()-1,装备库!$AO$2:$AO$1046,0),COLUMN()),"")</f>
        <v/>
      </c>
      <c r="I667" t="str">
        <f>IFERROR(INDEX(装备库!$A$2:$Y$1047,MATCH(ROW()-1,装备库!$AO$2:$AO$1046,0),COLUMN()),"")</f>
        <v/>
      </c>
      <c r="J667" t="str">
        <f>IFERROR(INDEX(装备库!$A$2:$Y$1047,MATCH(ROW()-1,装备库!$AO$2:$AO$1046,0),COLUMN()),"")</f>
        <v/>
      </c>
      <c r="K667" t="str">
        <f>IFERROR(INDEX(装备库!$A$2:$Y$1047,MATCH(ROW()-1,装备库!$AO$2:$AO$1046,0),COLUMN()),"")</f>
        <v/>
      </c>
      <c r="L667" t="str">
        <f>IFERROR(INDEX(装备库!$A$2:$Y$1047,MATCH(ROW()-1,装备库!$AO$2:$AO$1046,0),COLUMN()),"")</f>
        <v/>
      </c>
      <c r="M667" t="str">
        <f>IFERROR(INDEX(装备库!$A$2:$Y$1047,MATCH(ROW()-1,装备库!$AO$2:$AO$1046,0),COLUMN()),"")</f>
        <v/>
      </c>
      <c r="N667" t="str">
        <f>IFERROR(INDEX(装备库!$A$2:$Y$1047,MATCH(ROW()-1,装备库!$AO$2:$AO$1046,0),COLUMN()),"")</f>
        <v/>
      </c>
      <c r="O667" t="str">
        <f>IFERROR(INDEX(装备库!$A$2:$Y$1047,MATCH(ROW()-1,装备库!$AO$2:$AO$1046,0),COLUMN()),"")</f>
        <v/>
      </c>
      <c r="P667" t="str">
        <f>IFERROR(INDEX(装备库!$A$2:$Y$1047,MATCH(ROW()-1,装备库!$AO$2:$AO$1046,0),COLUMN()),"")</f>
        <v/>
      </c>
      <c r="Q667" t="str">
        <f>IFERROR(INDEX(装备库!$A$2:$Y$1047,MATCH(ROW()-1,装备库!$AO$2:$AO$1046,0),COLUMN()),"")</f>
        <v/>
      </c>
      <c r="R667" t="str">
        <f>IFERROR(INDEX(装备库!$A$2:$Y$1047,MATCH(ROW()-1,装备库!$AO$2:$AO$1046,0),COLUMN()),"")</f>
        <v/>
      </c>
      <c r="S667" t="str">
        <f>IFERROR(INDEX(装备库!$A$2:$Y$1047,MATCH(ROW()-1,装备库!$AO$2:$AO$1046,0),COLUMN()),"")</f>
        <v/>
      </c>
      <c r="T667" t="str">
        <f>IFERROR(INDEX(装备库!$A$2:$Y$1047,MATCH(ROW()-1,装备库!$AO$2:$AO$1046,0),COLUMN()),"")</f>
        <v/>
      </c>
      <c r="U667" t="str">
        <f>IFERROR(INDEX(装备库!$A$2:$Y$1047,MATCH(ROW()-1,装备库!$AO$2:$AO$1046,0),COLUMN()),"")</f>
        <v/>
      </c>
      <c r="V667" t="str">
        <f>IFERROR(INDEX(装备库!$A$2:$Y$1047,MATCH(ROW()-1,装备库!$AO$2:$AO$1046,0),COLUMN()),"")</f>
        <v/>
      </c>
      <c r="W667" t="str">
        <f>IFERROR(INDEX(装备库!$A$2:$Y$1047,MATCH(ROW()-1,装备库!$AO$2:$AO$1046,0),COLUMN()),"")</f>
        <v/>
      </c>
      <c r="X667" t="str">
        <f>IFERROR(INDEX(装备库!$A$2:$Y$1047,MATCH(ROW()-1,装备库!$AO$2:$AO$1046,0),COLUMN()),"")</f>
        <v/>
      </c>
      <c r="Y667" t="str">
        <f>IFERROR(INDEX(装备库!$A$2:$Y$1047,MATCH(ROW()-1,装备库!$AO$2:$AO$1046,0),COLUMN()),"")</f>
        <v/>
      </c>
    </row>
    <row r="668" spans="1:25" x14ac:dyDescent="0.35">
      <c r="A668" t="str">
        <f>IFERROR(INDEX(装备库!$A$2:$Y$1047,MATCH(ROW()-1,装备库!$AO$2:$AO$1046,0),COLUMN()),"")</f>
        <v/>
      </c>
      <c r="B668" t="str">
        <f>IFERROR(INDEX(装备库!$A$2:$Y$1047,MATCH(ROW()-1,装备库!$AO$2:$AO$1046,0),COLUMN()),"")</f>
        <v/>
      </c>
      <c r="C668" t="str">
        <f>IFERROR(INDEX(装备库!$A$2:$Y$1047,MATCH(ROW()-1,装备库!$AO$2:$AO$1046,0),COLUMN()),"")</f>
        <v/>
      </c>
      <c r="D668" t="str">
        <f>IFERROR(INDEX(装备库!$A$2:$Y$1047,MATCH(ROW()-1,装备库!$AO$2:$AO$1046,0),COLUMN()),"")</f>
        <v/>
      </c>
      <c r="E668" t="str">
        <f>IFERROR(INDEX(装备库!$A$2:$Y$1047,MATCH(ROW()-1,装备库!$AO$2:$AO$1046,0),COLUMN()),"")</f>
        <v/>
      </c>
      <c r="F668" t="str">
        <f>IFERROR(INDEX(装备库!$A$2:$Y$1047,MATCH(ROW()-1,装备库!$AO$2:$AO$1046,0),COLUMN()),"")</f>
        <v/>
      </c>
      <c r="G668" t="str">
        <f>IFERROR(INDEX(装备库!$A$2:$Y$1047,MATCH(ROW()-1,装备库!$AO$2:$AO$1046,0),COLUMN()),"")</f>
        <v/>
      </c>
      <c r="H668" t="str">
        <f>IFERROR(INDEX(装备库!$A$2:$Y$1047,MATCH(ROW()-1,装备库!$AO$2:$AO$1046,0),COLUMN()),"")</f>
        <v/>
      </c>
      <c r="I668" t="str">
        <f>IFERROR(INDEX(装备库!$A$2:$Y$1047,MATCH(ROW()-1,装备库!$AO$2:$AO$1046,0),COLUMN()),"")</f>
        <v/>
      </c>
      <c r="J668" t="str">
        <f>IFERROR(INDEX(装备库!$A$2:$Y$1047,MATCH(ROW()-1,装备库!$AO$2:$AO$1046,0),COLUMN()),"")</f>
        <v/>
      </c>
      <c r="K668" t="str">
        <f>IFERROR(INDEX(装备库!$A$2:$Y$1047,MATCH(ROW()-1,装备库!$AO$2:$AO$1046,0),COLUMN()),"")</f>
        <v/>
      </c>
      <c r="L668" t="str">
        <f>IFERROR(INDEX(装备库!$A$2:$Y$1047,MATCH(ROW()-1,装备库!$AO$2:$AO$1046,0),COLUMN()),"")</f>
        <v/>
      </c>
      <c r="M668" t="str">
        <f>IFERROR(INDEX(装备库!$A$2:$Y$1047,MATCH(ROW()-1,装备库!$AO$2:$AO$1046,0),COLUMN()),"")</f>
        <v/>
      </c>
      <c r="N668" t="str">
        <f>IFERROR(INDEX(装备库!$A$2:$Y$1047,MATCH(ROW()-1,装备库!$AO$2:$AO$1046,0),COLUMN()),"")</f>
        <v/>
      </c>
      <c r="O668" t="str">
        <f>IFERROR(INDEX(装备库!$A$2:$Y$1047,MATCH(ROW()-1,装备库!$AO$2:$AO$1046,0),COLUMN()),"")</f>
        <v/>
      </c>
      <c r="P668" t="str">
        <f>IFERROR(INDEX(装备库!$A$2:$Y$1047,MATCH(ROW()-1,装备库!$AO$2:$AO$1046,0),COLUMN()),"")</f>
        <v/>
      </c>
      <c r="Q668" t="str">
        <f>IFERROR(INDEX(装备库!$A$2:$Y$1047,MATCH(ROW()-1,装备库!$AO$2:$AO$1046,0),COLUMN()),"")</f>
        <v/>
      </c>
      <c r="R668" t="str">
        <f>IFERROR(INDEX(装备库!$A$2:$Y$1047,MATCH(ROW()-1,装备库!$AO$2:$AO$1046,0),COLUMN()),"")</f>
        <v/>
      </c>
      <c r="S668" t="str">
        <f>IFERROR(INDEX(装备库!$A$2:$Y$1047,MATCH(ROW()-1,装备库!$AO$2:$AO$1046,0),COLUMN()),"")</f>
        <v/>
      </c>
      <c r="T668" t="str">
        <f>IFERROR(INDEX(装备库!$A$2:$Y$1047,MATCH(ROW()-1,装备库!$AO$2:$AO$1046,0),COLUMN()),"")</f>
        <v/>
      </c>
      <c r="U668" t="str">
        <f>IFERROR(INDEX(装备库!$A$2:$Y$1047,MATCH(ROW()-1,装备库!$AO$2:$AO$1046,0),COLUMN()),"")</f>
        <v/>
      </c>
      <c r="V668" t="str">
        <f>IFERROR(INDEX(装备库!$A$2:$Y$1047,MATCH(ROW()-1,装备库!$AO$2:$AO$1046,0),COLUMN()),"")</f>
        <v/>
      </c>
      <c r="W668" t="str">
        <f>IFERROR(INDEX(装备库!$A$2:$Y$1047,MATCH(ROW()-1,装备库!$AO$2:$AO$1046,0),COLUMN()),"")</f>
        <v/>
      </c>
      <c r="X668" t="str">
        <f>IFERROR(INDEX(装备库!$A$2:$Y$1047,MATCH(ROW()-1,装备库!$AO$2:$AO$1046,0),COLUMN()),"")</f>
        <v/>
      </c>
      <c r="Y668" t="str">
        <f>IFERROR(INDEX(装备库!$A$2:$Y$1047,MATCH(ROW()-1,装备库!$AO$2:$AO$1046,0),COLUMN()),"")</f>
        <v/>
      </c>
    </row>
    <row r="669" spans="1:25" x14ac:dyDescent="0.35">
      <c r="A669" t="str">
        <f>IFERROR(INDEX(装备库!$A$2:$Y$1047,MATCH(ROW()-1,装备库!$AO$2:$AO$1046,0),COLUMN()),"")</f>
        <v/>
      </c>
      <c r="B669" t="str">
        <f>IFERROR(INDEX(装备库!$A$2:$Y$1047,MATCH(ROW()-1,装备库!$AO$2:$AO$1046,0),COLUMN()),"")</f>
        <v/>
      </c>
      <c r="C669" t="str">
        <f>IFERROR(INDEX(装备库!$A$2:$Y$1047,MATCH(ROW()-1,装备库!$AO$2:$AO$1046,0),COLUMN()),"")</f>
        <v/>
      </c>
      <c r="D669" t="str">
        <f>IFERROR(INDEX(装备库!$A$2:$Y$1047,MATCH(ROW()-1,装备库!$AO$2:$AO$1046,0),COLUMN()),"")</f>
        <v/>
      </c>
      <c r="E669" t="str">
        <f>IFERROR(INDEX(装备库!$A$2:$Y$1047,MATCH(ROW()-1,装备库!$AO$2:$AO$1046,0),COLUMN()),"")</f>
        <v/>
      </c>
      <c r="F669" t="str">
        <f>IFERROR(INDEX(装备库!$A$2:$Y$1047,MATCH(ROW()-1,装备库!$AO$2:$AO$1046,0),COLUMN()),"")</f>
        <v/>
      </c>
      <c r="G669" t="str">
        <f>IFERROR(INDEX(装备库!$A$2:$Y$1047,MATCH(ROW()-1,装备库!$AO$2:$AO$1046,0),COLUMN()),"")</f>
        <v/>
      </c>
      <c r="H669" t="str">
        <f>IFERROR(INDEX(装备库!$A$2:$Y$1047,MATCH(ROW()-1,装备库!$AO$2:$AO$1046,0),COLUMN()),"")</f>
        <v/>
      </c>
      <c r="I669" t="str">
        <f>IFERROR(INDEX(装备库!$A$2:$Y$1047,MATCH(ROW()-1,装备库!$AO$2:$AO$1046,0),COLUMN()),"")</f>
        <v/>
      </c>
      <c r="J669" t="str">
        <f>IFERROR(INDEX(装备库!$A$2:$Y$1047,MATCH(ROW()-1,装备库!$AO$2:$AO$1046,0),COLUMN()),"")</f>
        <v/>
      </c>
      <c r="K669" t="str">
        <f>IFERROR(INDEX(装备库!$A$2:$Y$1047,MATCH(ROW()-1,装备库!$AO$2:$AO$1046,0),COLUMN()),"")</f>
        <v/>
      </c>
      <c r="L669" t="str">
        <f>IFERROR(INDEX(装备库!$A$2:$Y$1047,MATCH(ROW()-1,装备库!$AO$2:$AO$1046,0),COLUMN()),"")</f>
        <v/>
      </c>
      <c r="M669" t="str">
        <f>IFERROR(INDEX(装备库!$A$2:$Y$1047,MATCH(ROW()-1,装备库!$AO$2:$AO$1046,0),COLUMN()),"")</f>
        <v/>
      </c>
      <c r="N669" t="str">
        <f>IFERROR(INDEX(装备库!$A$2:$Y$1047,MATCH(ROW()-1,装备库!$AO$2:$AO$1046,0),COLUMN()),"")</f>
        <v/>
      </c>
      <c r="O669" t="str">
        <f>IFERROR(INDEX(装备库!$A$2:$Y$1047,MATCH(ROW()-1,装备库!$AO$2:$AO$1046,0),COLUMN()),"")</f>
        <v/>
      </c>
      <c r="P669" t="str">
        <f>IFERROR(INDEX(装备库!$A$2:$Y$1047,MATCH(ROW()-1,装备库!$AO$2:$AO$1046,0),COLUMN()),"")</f>
        <v/>
      </c>
      <c r="Q669" t="str">
        <f>IFERROR(INDEX(装备库!$A$2:$Y$1047,MATCH(ROW()-1,装备库!$AO$2:$AO$1046,0),COLUMN()),"")</f>
        <v/>
      </c>
      <c r="R669" t="str">
        <f>IFERROR(INDEX(装备库!$A$2:$Y$1047,MATCH(ROW()-1,装备库!$AO$2:$AO$1046,0),COLUMN()),"")</f>
        <v/>
      </c>
      <c r="S669" t="str">
        <f>IFERROR(INDEX(装备库!$A$2:$Y$1047,MATCH(ROW()-1,装备库!$AO$2:$AO$1046,0),COLUMN()),"")</f>
        <v/>
      </c>
      <c r="T669" t="str">
        <f>IFERROR(INDEX(装备库!$A$2:$Y$1047,MATCH(ROW()-1,装备库!$AO$2:$AO$1046,0),COLUMN()),"")</f>
        <v/>
      </c>
      <c r="U669" t="str">
        <f>IFERROR(INDEX(装备库!$A$2:$Y$1047,MATCH(ROW()-1,装备库!$AO$2:$AO$1046,0),COLUMN()),"")</f>
        <v/>
      </c>
      <c r="V669" t="str">
        <f>IFERROR(INDEX(装备库!$A$2:$Y$1047,MATCH(ROW()-1,装备库!$AO$2:$AO$1046,0),COLUMN()),"")</f>
        <v/>
      </c>
      <c r="W669" t="str">
        <f>IFERROR(INDEX(装备库!$A$2:$Y$1047,MATCH(ROW()-1,装备库!$AO$2:$AO$1046,0),COLUMN()),"")</f>
        <v/>
      </c>
      <c r="X669" t="str">
        <f>IFERROR(INDEX(装备库!$A$2:$Y$1047,MATCH(ROW()-1,装备库!$AO$2:$AO$1046,0),COLUMN()),"")</f>
        <v/>
      </c>
      <c r="Y669" t="str">
        <f>IFERROR(INDEX(装备库!$A$2:$Y$1047,MATCH(ROW()-1,装备库!$AO$2:$AO$1046,0),COLUMN()),"")</f>
        <v/>
      </c>
    </row>
    <row r="670" spans="1:25" x14ac:dyDescent="0.35">
      <c r="A670" t="str">
        <f>IFERROR(INDEX(装备库!$A$2:$Y$1047,MATCH(ROW()-1,装备库!$AO$2:$AO$1046,0),COLUMN()),"")</f>
        <v/>
      </c>
      <c r="B670" t="str">
        <f>IFERROR(INDEX(装备库!$A$2:$Y$1047,MATCH(ROW()-1,装备库!$AO$2:$AO$1046,0),COLUMN()),"")</f>
        <v/>
      </c>
      <c r="C670" t="str">
        <f>IFERROR(INDEX(装备库!$A$2:$Y$1047,MATCH(ROW()-1,装备库!$AO$2:$AO$1046,0),COLUMN()),"")</f>
        <v/>
      </c>
      <c r="D670" t="str">
        <f>IFERROR(INDEX(装备库!$A$2:$Y$1047,MATCH(ROW()-1,装备库!$AO$2:$AO$1046,0),COLUMN()),"")</f>
        <v/>
      </c>
      <c r="E670" t="str">
        <f>IFERROR(INDEX(装备库!$A$2:$Y$1047,MATCH(ROW()-1,装备库!$AO$2:$AO$1046,0),COLUMN()),"")</f>
        <v/>
      </c>
      <c r="F670" t="str">
        <f>IFERROR(INDEX(装备库!$A$2:$Y$1047,MATCH(ROW()-1,装备库!$AO$2:$AO$1046,0),COLUMN()),"")</f>
        <v/>
      </c>
      <c r="G670" t="str">
        <f>IFERROR(INDEX(装备库!$A$2:$Y$1047,MATCH(ROW()-1,装备库!$AO$2:$AO$1046,0),COLUMN()),"")</f>
        <v/>
      </c>
      <c r="H670" t="str">
        <f>IFERROR(INDEX(装备库!$A$2:$Y$1047,MATCH(ROW()-1,装备库!$AO$2:$AO$1046,0),COLUMN()),"")</f>
        <v/>
      </c>
      <c r="I670" t="str">
        <f>IFERROR(INDEX(装备库!$A$2:$Y$1047,MATCH(ROW()-1,装备库!$AO$2:$AO$1046,0),COLUMN()),"")</f>
        <v/>
      </c>
      <c r="J670" t="str">
        <f>IFERROR(INDEX(装备库!$A$2:$Y$1047,MATCH(ROW()-1,装备库!$AO$2:$AO$1046,0),COLUMN()),"")</f>
        <v/>
      </c>
      <c r="K670" t="str">
        <f>IFERROR(INDEX(装备库!$A$2:$Y$1047,MATCH(ROW()-1,装备库!$AO$2:$AO$1046,0),COLUMN()),"")</f>
        <v/>
      </c>
      <c r="L670" t="str">
        <f>IFERROR(INDEX(装备库!$A$2:$Y$1047,MATCH(ROW()-1,装备库!$AO$2:$AO$1046,0),COLUMN()),"")</f>
        <v/>
      </c>
      <c r="M670" t="str">
        <f>IFERROR(INDEX(装备库!$A$2:$Y$1047,MATCH(ROW()-1,装备库!$AO$2:$AO$1046,0),COLUMN()),"")</f>
        <v/>
      </c>
      <c r="N670" t="str">
        <f>IFERROR(INDEX(装备库!$A$2:$Y$1047,MATCH(ROW()-1,装备库!$AO$2:$AO$1046,0),COLUMN()),"")</f>
        <v/>
      </c>
      <c r="O670" t="str">
        <f>IFERROR(INDEX(装备库!$A$2:$Y$1047,MATCH(ROW()-1,装备库!$AO$2:$AO$1046,0),COLUMN()),"")</f>
        <v/>
      </c>
      <c r="P670" t="str">
        <f>IFERROR(INDEX(装备库!$A$2:$Y$1047,MATCH(ROW()-1,装备库!$AO$2:$AO$1046,0),COLUMN()),"")</f>
        <v/>
      </c>
      <c r="Q670" t="str">
        <f>IFERROR(INDEX(装备库!$A$2:$Y$1047,MATCH(ROW()-1,装备库!$AO$2:$AO$1046,0),COLUMN()),"")</f>
        <v/>
      </c>
      <c r="R670" t="str">
        <f>IFERROR(INDEX(装备库!$A$2:$Y$1047,MATCH(ROW()-1,装备库!$AO$2:$AO$1046,0),COLUMN()),"")</f>
        <v/>
      </c>
      <c r="S670" t="str">
        <f>IFERROR(INDEX(装备库!$A$2:$Y$1047,MATCH(ROW()-1,装备库!$AO$2:$AO$1046,0),COLUMN()),"")</f>
        <v/>
      </c>
      <c r="T670" t="str">
        <f>IFERROR(INDEX(装备库!$A$2:$Y$1047,MATCH(ROW()-1,装备库!$AO$2:$AO$1046,0),COLUMN()),"")</f>
        <v/>
      </c>
      <c r="U670" t="str">
        <f>IFERROR(INDEX(装备库!$A$2:$Y$1047,MATCH(ROW()-1,装备库!$AO$2:$AO$1046,0),COLUMN()),"")</f>
        <v/>
      </c>
      <c r="V670" t="str">
        <f>IFERROR(INDEX(装备库!$A$2:$Y$1047,MATCH(ROW()-1,装备库!$AO$2:$AO$1046,0),COLUMN()),"")</f>
        <v/>
      </c>
      <c r="W670" t="str">
        <f>IFERROR(INDEX(装备库!$A$2:$Y$1047,MATCH(ROW()-1,装备库!$AO$2:$AO$1046,0),COLUMN()),"")</f>
        <v/>
      </c>
      <c r="X670" t="str">
        <f>IFERROR(INDEX(装备库!$A$2:$Y$1047,MATCH(ROW()-1,装备库!$AO$2:$AO$1046,0),COLUMN()),"")</f>
        <v/>
      </c>
      <c r="Y670" t="str">
        <f>IFERROR(INDEX(装备库!$A$2:$Y$1047,MATCH(ROW()-1,装备库!$AO$2:$AO$1046,0),COLUMN()),"")</f>
        <v/>
      </c>
    </row>
    <row r="671" spans="1:25" x14ac:dyDescent="0.35">
      <c r="A671" t="str">
        <f>IFERROR(INDEX(装备库!$A$2:$Y$1047,MATCH(ROW()-1,装备库!$AO$2:$AO$1046,0),COLUMN()),"")</f>
        <v/>
      </c>
      <c r="B671" t="str">
        <f>IFERROR(INDEX(装备库!$A$2:$Y$1047,MATCH(ROW()-1,装备库!$AO$2:$AO$1046,0),COLUMN()),"")</f>
        <v/>
      </c>
      <c r="C671" t="str">
        <f>IFERROR(INDEX(装备库!$A$2:$Y$1047,MATCH(ROW()-1,装备库!$AO$2:$AO$1046,0),COLUMN()),"")</f>
        <v/>
      </c>
      <c r="D671" t="str">
        <f>IFERROR(INDEX(装备库!$A$2:$Y$1047,MATCH(ROW()-1,装备库!$AO$2:$AO$1046,0),COLUMN()),"")</f>
        <v/>
      </c>
      <c r="E671" t="str">
        <f>IFERROR(INDEX(装备库!$A$2:$Y$1047,MATCH(ROW()-1,装备库!$AO$2:$AO$1046,0),COLUMN()),"")</f>
        <v/>
      </c>
      <c r="F671" t="str">
        <f>IFERROR(INDEX(装备库!$A$2:$Y$1047,MATCH(ROW()-1,装备库!$AO$2:$AO$1046,0),COLUMN()),"")</f>
        <v/>
      </c>
      <c r="G671" t="str">
        <f>IFERROR(INDEX(装备库!$A$2:$Y$1047,MATCH(ROW()-1,装备库!$AO$2:$AO$1046,0),COLUMN()),"")</f>
        <v/>
      </c>
      <c r="H671" t="str">
        <f>IFERROR(INDEX(装备库!$A$2:$Y$1047,MATCH(ROW()-1,装备库!$AO$2:$AO$1046,0),COLUMN()),"")</f>
        <v/>
      </c>
      <c r="I671" t="str">
        <f>IFERROR(INDEX(装备库!$A$2:$Y$1047,MATCH(ROW()-1,装备库!$AO$2:$AO$1046,0),COLUMN()),"")</f>
        <v/>
      </c>
      <c r="J671" t="str">
        <f>IFERROR(INDEX(装备库!$A$2:$Y$1047,MATCH(ROW()-1,装备库!$AO$2:$AO$1046,0),COLUMN()),"")</f>
        <v/>
      </c>
      <c r="K671" t="str">
        <f>IFERROR(INDEX(装备库!$A$2:$Y$1047,MATCH(ROW()-1,装备库!$AO$2:$AO$1046,0),COLUMN()),"")</f>
        <v/>
      </c>
      <c r="L671" t="str">
        <f>IFERROR(INDEX(装备库!$A$2:$Y$1047,MATCH(ROW()-1,装备库!$AO$2:$AO$1046,0),COLUMN()),"")</f>
        <v/>
      </c>
      <c r="M671" t="str">
        <f>IFERROR(INDEX(装备库!$A$2:$Y$1047,MATCH(ROW()-1,装备库!$AO$2:$AO$1046,0),COLUMN()),"")</f>
        <v/>
      </c>
      <c r="N671" t="str">
        <f>IFERROR(INDEX(装备库!$A$2:$Y$1047,MATCH(ROW()-1,装备库!$AO$2:$AO$1046,0),COLUMN()),"")</f>
        <v/>
      </c>
      <c r="O671" t="str">
        <f>IFERROR(INDEX(装备库!$A$2:$Y$1047,MATCH(ROW()-1,装备库!$AO$2:$AO$1046,0),COLUMN()),"")</f>
        <v/>
      </c>
      <c r="P671" t="str">
        <f>IFERROR(INDEX(装备库!$A$2:$Y$1047,MATCH(ROW()-1,装备库!$AO$2:$AO$1046,0),COLUMN()),"")</f>
        <v/>
      </c>
      <c r="Q671" t="str">
        <f>IFERROR(INDEX(装备库!$A$2:$Y$1047,MATCH(ROW()-1,装备库!$AO$2:$AO$1046,0),COLUMN()),"")</f>
        <v/>
      </c>
      <c r="R671" t="str">
        <f>IFERROR(INDEX(装备库!$A$2:$Y$1047,MATCH(ROW()-1,装备库!$AO$2:$AO$1046,0),COLUMN()),"")</f>
        <v/>
      </c>
      <c r="S671" t="str">
        <f>IFERROR(INDEX(装备库!$A$2:$Y$1047,MATCH(ROW()-1,装备库!$AO$2:$AO$1046,0),COLUMN()),"")</f>
        <v/>
      </c>
      <c r="T671" t="str">
        <f>IFERROR(INDEX(装备库!$A$2:$Y$1047,MATCH(ROW()-1,装备库!$AO$2:$AO$1046,0),COLUMN()),"")</f>
        <v/>
      </c>
      <c r="U671" t="str">
        <f>IFERROR(INDEX(装备库!$A$2:$Y$1047,MATCH(ROW()-1,装备库!$AO$2:$AO$1046,0),COLUMN()),"")</f>
        <v/>
      </c>
      <c r="V671" t="str">
        <f>IFERROR(INDEX(装备库!$A$2:$Y$1047,MATCH(ROW()-1,装备库!$AO$2:$AO$1046,0),COLUMN()),"")</f>
        <v/>
      </c>
      <c r="W671" t="str">
        <f>IFERROR(INDEX(装备库!$A$2:$Y$1047,MATCH(ROW()-1,装备库!$AO$2:$AO$1046,0),COLUMN()),"")</f>
        <v/>
      </c>
      <c r="X671" t="str">
        <f>IFERROR(INDEX(装备库!$A$2:$Y$1047,MATCH(ROW()-1,装备库!$AO$2:$AO$1046,0),COLUMN()),"")</f>
        <v/>
      </c>
      <c r="Y671" t="str">
        <f>IFERROR(INDEX(装备库!$A$2:$Y$1047,MATCH(ROW()-1,装备库!$AO$2:$AO$1046,0),COLUMN()),"")</f>
        <v/>
      </c>
    </row>
    <row r="672" spans="1:25" x14ac:dyDescent="0.35">
      <c r="A672" t="str">
        <f>IFERROR(INDEX(装备库!$A$2:$Y$1047,MATCH(ROW()-1,装备库!$AO$2:$AO$1046,0),COLUMN()),"")</f>
        <v/>
      </c>
      <c r="B672" t="str">
        <f>IFERROR(INDEX(装备库!$A$2:$Y$1047,MATCH(ROW()-1,装备库!$AO$2:$AO$1046,0),COLUMN()),"")</f>
        <v/>
      </c>
      <c r="C672" t="str">
        <f>IFERROR(INDEX(装备库!$A$2:$Y$1047,MATCH(ROW()-1,装备库!$AO$2:$AO$1046,0),COLUMN()),"")</f>
        <v/>
      </c>
      <c r="D672" t="str">
        <f>IFERROR(INDEX(装备库!$A$2:$Y$1047,MATCH(ROW()-1,装备库!$AO$2:$AO$1046,0),COLUMN()),"")</f>
        <v/>
      </c>
      <c r="E672" t="str">
        <f>IFERROR(INDEX(装备库!$A$2:$Y$1047,MATCH(ROW()-1,装备库!$AO$2:$AO$1046,0),COLUMN()),"")</f>
        <v/>
      </c>
      <c r="F672" t="str">
        <f>IFERROR(INDEX(装备库!$A$2:$Y$1047,MATCH(ROW()-1,装备库!$AO$2:$AO$1046,0),COLUMN()),"")</f>
        <v/>
      </c>
      <c r="G672" t="str">
        <f>IFERROR(INDEX(装备库!$A$2:$Y$1047,MATCH(ROW()-1,装备库!$AO$2:$AO$1046,0),COLUMN()),"")</f>
        <v/>
      </c>
      <c r="H672" t="str">
        <f>IFERROR(INDEX(装备库!$A$2:$Y$1047,MATCH(ROW()-1,装备库!$AO$2:$AO$1046,0),COLUMN()),"")</f>
        <v/>
      </c>
      <c r="I672" t="str">
        <f>IFERROR(INDEX(装备库!$A$2:$Y$1047,MATCH(ROW()-1,装备库!$AO$2:$AO$1046,0),COLUMN()),"")</f>
        <v/>
      </c>
      <c r="J672" t="str">
        <f>IFERROR(INDEX(装备库!$A$2:$Y$1047,MATCH(ROW()-1,装备库!$AO$2:$AO$1046,0),COLUMN()),"")</f>
        <v/>
      </c>
      <c r="K672" t="str">
        <f>IFERROR(INDEX(装备库!$A$2:$Y$1047,MATCH(ROW()-1,装备库!$AO$2:$AO$1046,0),COLUMN()),"")</f>
        <v/>
      </c>
      <c r="L672" t="str">
        <f>IFERROR(INDEX(装备库!$A$2:$Y$1047,MATCH(ROW()-1,装备库!$AO$2:$AO$1046,0),COLUMN()),"")</f>
        <v/>
      </c>
      <c r="M672" t="str">
        <f>IFERROR(INDEX(装备库!$A$2:$Y$1047,MATCH(ROW()-1,装备库!$AO$2:$AO$1046,0),COLUMN()),"")</f>
        <v/>
      </c>
      <c r="N672" t="str">
        <f>IFERROR(INDEX(装备库!$A$2:$Y$1047,MATCH(ROW()-1,装备库!$AO$2:$AO$1046,0),COLUMN()),"")</f>
        <v/>
      </c>
      <c r="O672" t="str">
        <f>IFERROR(INDEX(装备库!$A$2:$Y$1047,MATCH(ROW()-1,装备库!$AO$2:$AO$1046,0),COLUMN()),"")</f>
        <v/>
      </c>
      <c r="P672" t="str">
        <f>IFERROR(INDEX(装备库!$A$2:$Y$1047,MATCH(ROW()-1,装备库!$AO$2:$AO$1046,0),COLUMN()),"")</f>
        <v/>
      </c>
      <c r="Q672" t="str">
        <f>IFERROR(INDEX(装备库!$A$2:$Y$1047,MATCH(ROW()-1,装备库!$AO$2:$AO$1046,0),COLUMN()),"")</f>
        <v/>
      </c>
      <c r="R672" t="str">
        <f>IFERROR(INDEX(装备库!$A$2:$Y$1047,MATCH(ROW()-1,装备库!$AO$2:$AO$1046,0),COLUMN()),"")</f>
        <v/>
      </c>
      <c r="S672" t="str">
        <f>IFERROR(INDEX(装备库!$A$2:$Y$1047,MATCH(ROW()-1,装备库!$AO$2:$AO$1046,0),COLUMN()),"")</f>
        <v/>
      </c>
      <c r="T672" t="str">
        <f>IFERROR(INDEX(装备库!$A$2:$Y$1047,MATCH(ROW()-1,装备库!$AO$2:$AO$1046,0),COLUMN()),"")</f>
        <v/>
      </c>
      <c r="U672" t="str">
        <f>IFERROR(INDEX(装备库!$A$2:$Y$1047,MATCH(ROW()-1,装备库!$AO$2:$AO$1046,0),COLUMN()),"")</f>
        <v/>
      </c>
      <c r="V672" t="str">
        <f>IFERROR(INDEX(装备库!$A$2:$Y$1047,MATCH(ROW()-1,装备库!$AO$2:$AO$1046,0),COLUMN()),"")</f>
        <v/>
      </c>
      <c r="W672" t="str">
        <f>IFERROR(INDEX(装备库!$A$2:$Y$1047,MATCH(ROW()-1,装备库!$AO$2:$AO$1046,0),COLUMN()),"")</f>
        <v/>
      </c>
      <c r="X672" t="str">
        <f>IFERROR(INDEX(装备库!$A$2:$Y$1047,MATCH(ROW()-1,装备库!$AO$2:$AO$1046,0),COLUMN()),"")</f>
        <v/>
      </c>
      <c r="Y672" t="str">
        <f>IFERROR(INDEX(装备库!$A$2:$Y$1047,MATCH(ROW()-1,装备库!$AO$2:$AO$1046,0),COLUMN()),"")</f>
        <v/>
      </c>
    </row>
    <row r="673" spans="1:25" x14ac:dyDescent="0.35">
      <c r="A673" t="str">
        <f>IFERROR(INDEX(装备库!$A$2:$Y$1047,MATCH(ROW()-1,装备库!$AO$2:$AO$1046,0),COLUMN()),"")</f>
        <v/>
      </c>
      <c r="B673" t="str">
        <f>IFERROR(INDEX(装备库!$A$2:$Y$1047,MATCH(ROW()-1,装备库!$AO$2:$AO$1046,0),COLUMN()),"")</f>
        <v/>
      </c>
      <c r="C673" t="str">
        <f>IFERROR(INDEX(装备库!$A$2:$Y$1047,MATCH(ROW()-1,装备库!$AO$2:$AO$1046,0),COLUMN()),"")</f>
        <v/>
      </c>
      <c r="D673" t="str">
        <f>IFERROR(INDEX(装备库!$A$2:$Y$1047,MATCH(ROW()-1,装备库!$AO$2:$AO$1046,0),COLUMN()),"")</f>
        <v/>
      </c>
      <c r="E673" t="str">
        <f>IFERROR(INDEX(装备库!$A$2:$Y$1047,MATCH(ROW()-1,装备库!$AO$2:$AO$1046,0),COLUMN()),"")</f>
        <v/>
      </c>
      <c r="F673" t="str">
        <f>IFERROR(INDEX(装备库!$A$2:$Y$1047,MATCH(ROW()-1,装备库!$AO$2:$AO$1046,0),COLUMN()),"")</f>
        <v/>
      </c>
      <c r="G673" t="str">
        <f>IFERROR(INDEX(装备库!$A$2:$Y$1047,MATCH(ROW()-1,装备库!$AO$2:$AO$1046,0),COLUMN()),"")</f>
        <v/>
      </c>
      <c r="H673" t="str">
        <f>IFERROR(INDEX(装备库!$A$2:$Y$1047,MATCH(ROW()-1,装备库!$AO$2:$AO$1046,0),COLUMN()),"")</f>
        <v/>
      </c>
      <c r="I673" t="str">
        <f>IFERROR(INDEX(装备库!$A$2:$Y$1047,MATCH(ROW()-1,装备库!$AO$2:$AO$1046,0),COLUMN()),"")</f>
        <v/>
      </c>
      <c r="J673" t="str">
        <f>IFERROR(INDEX(装备库!$A$2:$Y$1047,MATCH(ROW()-1,装备库!$AO$2:$AO$1046,0),COLUMN()),"")</f>
        <v/>
      </c>
      <c r="K673" t="str">
        <f>IFERROR(INDEX(装备库!$A$2:$Y$1047,MATCH(ROW()-1,装备库!$AO$2:$AO$1046,0),COLUMN()),"")</f>
        <v/>
      </c>
      <c r="L673" t="str">
        <f>IFERROR(INDEX(装备库!$A$2:$Y$1047,MATCH(ROW()-1,装备库!$AO$2:$AO$1046,0),COLUMN()),"")</f>
        <v/>
      </c>
      <c r="M673" t="str">
        <f>IFERROR(INDEX(装备库!$A$2:$Y$1047,MATCH(ROW()-1,装备库!$AO$2:$AO$1046,0),COLUMN()),"")</f>
        <v/>
      </c>
      <c r="N673" t="str">
        <f>IFERROR(INDEX(装备库!$A$2:$Y$1047,MATCH(ROW()-1,装备库!$AO$2:$AO$1046,0),COLUMN()),"")</f>
        <v/>
      </c>
      <c r="O673" t="str">
        <f>IFERROR(INDEX(装备库!$A$2:$Y$1047,MATCH(ROW()-1,装备库!$AO$2:$AO$1046,0),COLUMN()),"")</f>
        <v/>
      </c>
      <c r="P673" t="str">
        <f>IFERROR(INDEX(装备库!$A$2:$Y$1047,MATCH(ROW()-1,装备库!$AO$2:$AO$1046,0),COLUMN()),"")</f>
        <v/>
      </c>
      <c r="Q673" t="str">
        <f>IFERROR(INDEX(装备库!$A$2:$Y$1047,MATCH(ROW()-1,装备库!$AO$2:$AO$1046,0),COLUMN()),"")</f>
        <v/>
      </c>
      <c r="R673" t="str">
        <f>IFERROR(INDEX(装备库!$A$2:$Y$1047,MATCH(ROW()-1,装备库!$AO$2:$AO$1046,0),COLUMN()),"")</f>
        <v/>
      </c>
      <c r="S673" t="str">
        <f>IFERROR(INDEX(装备库!$A$2:$Y$1047,MATCH(ROW()-1,装备库!$AO$2:$AO$1046,0),COLUMN()),"")</f>
        <v/>
      </c>
      <c r="T673" t="str">
        <f>IFERROR(INDEX(装备库!$A$2:$Y$1047,MATCH(ROW()-1,装备库!$AO$2:$AO$1046,0),COLUMN()),"")</f>
        <v/>
      </c>
      <c r="U673" t="str">
        <f>IFERROR(INDEX(装备库!$A$2:$Y$1047,MATCH(ROW()-1,装备库!$AO$2:$AO$1046,0),COLUMN()),"")</f>
        <v/>
      </c>
      <c r="V673" t="str">
        <f>IFERROR(INDEX(装备库!$A$2:$Y$1047,MATCH(ROW()-1,装备库!$AO$2:$AO$1046,0),COLUMN()),"")</f>
        <v/>
      </c>
      <c r="W673" t="str">
        <f>IFERROR(INDEX(装备库!$A$2:$Y$1047,MATCH(ROW()-1,装备库!$AO$2:$AO$1046,0),COLUMN()),"")</f>
        <v/>
      </c>
      <c r="X673" t="str">
        <f>IFERROR(INDEX(装备库!$A$2:$Y$1047,MATCH(ROW()-1,装备库!$AO$2:$AO$1046,0),COLUMN()),"")</f>
        <v/>
      </c>
      <c r="Y673" t="str">
        <f>IFERROR(INDEX(装备库!$A$2:$Y$1047,MATCH(ROW()-1,装备库!$AO$2:$AO$1046,0),COLUMN()),"")</f>
        <v/>
      </c>
    </row>
    <row r="674" spans="1:25" x14ac:dyDescent="0.35">
      <c r="A674" t="str">
        <f>IFERROR(INDEX(装备库!$A$2:$Y$1047,MATCH(ROW()-1,装备库!$AO$2:$AO$1046,0),COLUMN()),"")</f>
        <v/>
      </c>
      <c r="B674" t="str">
        <f>IFERROR(INDEX(装备库!$A$2:$Y$1047,MATCH(ROW()-1,装备库!$AO$2:$AO$1046,0),COLUMN()),"")</f>
        <v/>
      </c>
      <c r="C674" t="str">
        <f>IFERROR(INDEX(装备库!$A$2:$Y$1047,MATCH(ROW()-1,装备库!$AO$2:$AO$1046,0),COLUMN()),"")</f>
        <v/>
      </c>
      <c r="D674" t="str">
        <f>IFERROR(INDEX(装备库!$A$2:$Y$1047,MATCH(ROW()-1,装备库!$AO$2:$AO$1046,0),COLUMN()),"")</f>
        <v/>
      </c>
      <c r="E674" t="str">
        <f>IFERROR(INDEX(装备库!$A$2:$Y$1047,MATCH(ROW()-1,装备库!$AO$2:$AO$1046,0),COLUMN()),"")</f>
        <v/>
      </c>
      <c r="F674" t="str">
        <f>IFERROR(INDEX(装备库!$A$2:$Y$1047,MATCH(ROW()-1,装备库!$AO$2:$AO$1046,0),COLUMN()),"")</f>
        <v/>
      </c>
      <c r="G674" t="str">
        <f>IFERROR(INDEX(装备库!$A$2:$Y$1047,MATCH(ROW()-1,装备库!$AO$2:$AO$1046,0),COLUMN()),"")</f>
        <v/>
      </c>
      <c r="H674" t="str">
        <f>IFERROR(INDEX(装备库!$A$2:$Y$1047,MATCH(ROW()-1,装备库!$AO$2:$AO$1046,0),COLUMN()),"")</f>
        <v/>
      </c>
      <c r="I674" t="str">
        <f>IFERROR(INDEX(装备库!$A$2:$Y$1047,MATCH(ROW()-1,装备库!$AO$2:$AO$1046,0),COLUMN()),"")</f>
        <v/>
      </c>
      <c r="J674" t="str">
        <f>IFERROR(INDEX(装备库!$A$2:$Y$1047,MATCH(ROW()-1,装备库!$AO$2:$AO$1046,0),COLUMN()),"")</f>
        <v/>
      </c>
      <c r="K674" t="str">
        <f>IFERROR(INDEX(装备库!$A$2:$Y$1047,MATCH(ROW()-1,装备库!$AO$2:$AO$1046,0),COLUMN()),"")</f>
        <v/>
      </c>
      <c r="L674" t="str">
        <f>IFERROR(INDEX(装备库!$A$2:$Y$1047,MATCH(ROW()-1,装备库!$AO$2:$AO$1046,0),COLUMN()),"")</f>
        <v/>
      </c>
      <c r="M674" t="str">
        <f>IFERROR(INDEX(装备库!$A$2:$Y$1047,MATCH(ROW()-1,装备库!$AO$2:$AO$1046,0),COLUMN()),"")</f>
        <v/>
      </c>
      <c r="N674" t="str">
        <f>IFERROR(INDEX(装备库!$A$2:$Y$1047,MATCH(ROW()-1,装备库!$AO$2:$AO$1046,0),COLUMN()),"")</f>
        <v/>
      </c>
      <c r="O674" t="str">
        <f>IFERROR(INDEX(装备库!$A$2:$Y$1047,MATCH(ROW()-1,装备库!$AO$2:$AO$1046,0),COLUMN()),"")</f>
        <v/>
      </c>
      <c r="P674" t="str">
        <f>IFERROR(INDEX(装备库!$A$2:$Y$1047,MATCH(ROW()-1,装备库!$AO$2:$AO$1046,0),COLUMN()),"")</f>
        <v/>
      </c>
      <c r="Q674" t="str">
        <f>IFERROR(INDEX(装备库!$A$2:$Y$1047,MATCH(ROW()-1,装备库!$AO$2:$AO$1046,0),COLUMN()),"")</f>
        <v/>
      </c>
      <c r="R674" t="str">
        <f>IFERROR(INDEX(装备库!$A$2:$Y$1047,MATCH(ROW()-1,装备库!$AO$2:$AO$1046,0),COLUMN()),"")</f>
        <v/>
      </c>
      <c r="S674" t="str">
        <f>IFERROR(INDEX(装备库!$A$2:$Y$1047,MATCH(ROW()-1,装备库!$AO$2:$AO$1046,0),COLUMN()),"")</f>
        <v/>
      </c>
      <c r="T674" t="str">
        <f>IFERROR(INDEX(装备库!$A$2:$Y$1047,MATCH(ROW()-1,装备库!$AO$2:$AO$1046,0),COLUMN()),"")</f>
        <v/>
      </c>
      <c r="U674" t="str">
        <f>IFERROR(INDEX(装备库!$A$2:$Y$1047,MATCH(ROW()-1,装备库!$AO$2:$AO$1046,0),COLUMN()),"")</f>
        <v/>
      </c>
      <c r="V674" t="str">
        <f>IFERROR(INDEX(装备库!$A$2:$Y$1047,MATCH(ROW()-1,装备库!$AO$2:$AO$1046,0),COLUMN()),"")</f>
        <v/>
      </c>
      <c r="W674" t="str">
        <f>IFERROR(INDEX(装备库!$A$2:$Y$1047,MATCH(ROW()-1,装备库!$AO$2:$AO$1046,0),COLUMN()),"")</f>
        <v/>
      </c>
      <c r="X674" t="str">
        <f>IFERROR(INDEX(装备库!$A$2:$Y$1047,MATCH(ROW()-1,装备库!$AO$2:$AO$1046,0),COLUMN()),"")</f>
        <v/>
      </c>
      <c r="Y674" t="str">
        <f>IFERROR(INDEX(装备库!$A$2:$Y$1047,MATCH(ROW()-1,装备库!$AO$2:$AO$1046,0),COLUMN()),"")</f>
        <v/>
      </c>
    </row>
    <row r="675" spans="1:25" x14ac:dyDescent="0.35">
      <c r="A675" t="str">
        <f>IFERROR(INDEX(装备库!$A$2:$Y$1047,MATCH(ROW()-1,装备库!$AO$2:$AO$1046,0),COLUMN()),"")</f>
        <v/>
      </c>
      <c r="B675" t="str">
        <f>IFERROR(INDEX(装备库!$A$2:$Y$1047,MATCH(ROW()-1,装备库!$AO$2:$AO$1046,0),COLUMN()),"")</f>
        <v/>
      </c>
      <c r="C675" t="str">
        <f>IFERROR(INDEX(装备库!$A$2:$Y$1047,MATCH(ROW()-1,装备库!$AO$2:$AO$1046,0),COLUMN()),"")</f>
        <v/>
      </c>
      <c r="D675" t="str">
        <f>IFERROR(INDEX(装备库!$A$2:$Y$1047,MATCH(ROW()-1,装备库!$AO$2:$AO$1046,0),COLUMN()),"")</f>
        <v/>
      </c>
      <c r="E675" t="str">
        <f>IFERROR(INDEX(装备库!$A$2:$Y$1047,MATCH(ROW()-1,装备库!$AO$2:$AO$1046,0),COLUMN()),"")</f>
        <v/>
      </c>
      <c r="F675" t="str">
        <f>IFERROR(INDEX(装备库!$A$2:$Y$1047,MATCH(ROW()-1,装备库!$AO$2:$AO$1046,0),COLUMN()),"")</f>
        <v/>
      </c>
      <c r="G675" t="str">
        <f>IFERROR(INDEX(装备库!$A$2:$Y$1047,MATCH(ROW()-1,装备库!$AO$2:$AO$1046,0),COLUMN()),"")</f>
        <v/>
      </c>
      <c r="H675" t="str">
        <f>IFERROR(INDEX(装备库!$A$2:$Y$1047,MATCH(ROW()-1,装备库!$AO$2:$AO$1046,0),COLUMN()),"")</f>
        <v/>
      </c>
      <c r="I675" t="str">
        <f>IFERROR(INDEX(装备库!$A$2:$Y$1047,MATCH(ROW()-1,装备库!$AO$2:$AO$1046,0),COLUMN()),"")</f>
        <v/>
      </c>
      <c r="J675" t="str">
        <f>IFERROR(INDEX(装备库!$A$2:$Y$1047,MATCH(ROW()-1,装备库!$AO$2:$AO$1046,0),COLUMN()),"")</f>
        <v/>
      </c>
      <c r="K675" t="str">
        <f>IFERROR(INDEX(装备库!$A$2:$Y$1047,MATCH(ROW()-1,装备库!$AO$2:$AO$1046,0),COLUMN()),"")</f>
        <v/>
      </c>
      <c r="L675" t="str">
        <f>IFERROR(INDEX(装备库!$A$2:$Y$1047,MATCH(ROW()-1,装备库!$AO$2:$AO$1046,0),COLUMN()),"")</f>
        <v/>
      </c>
      <c r="M675" t="str">
        <f>IFERROR(INDEX(装备库!$A$2:$Y$1047,MATCH(ROW()-1,装备库!$AO$2:$AO$1046,0),COLUMN()),"")</f>
        <v/>
      </c>
      <c r="N675" t="str">
        <f>IFERROR(INDEX(装备库!$A$2:$Y$1047,MATCH(ROW()-1,装备库!$AO$2:$AO$1046,0),COLUMN()),"")</f>
        <v/>
      </c>
      <c r="O675" t="str">
        <f>IFERROR(INDEX(装备库!$A$2:$Y$1047,MATCH(ROW()-1,装备库!$AO$2:$AO$1046,0),COLUMN()),"")</f>
        <v/>
      </c>
      <c r="P675" t="str">
        <f>IFERROR(INDEX(装备库!$A$2:$Y$1047,MATCH(ROW()-1,装备库!$AO$2:$AO$1046,0),COLUMN()),"")</f>
        <v/>
      </c>
      <c r="Q675" t="str">
        <f>IFERROR(INDEX(装备库!$A$2:$Y$1047,MATCH(ROW()-1,装备库!$AO$2:$AO$1046,0),COLUMN()),"")</f>
        <v/>
      </c>
      <c r="R675" t="str">
        <f>IFERROR(INDEX(装备库!$A$2:$Y$1047,MATCH(ROW()-1,装备库!$AO$2:$AO$1046,0),COLUMN()),"")</f>
        <v/>
      </c>
      <c r="S675" t="str">
        <f>IFERROR(INDEX(装备库!$A$2:$Y$1047,MATCH(ROW()-1,装备库!$AO$2:$AO$1046,0),COLUMN()),"")</f>
        <v/>
      </c>
      <c r="T675" t="str">
        <f>IFERROR(INDEX(装备库!$A$2:$Y$1047,MATCH(ROW()-1,装备库!$AO$2:$AO$1046,0),COLUMN()),"")</f>
        <v/>
      </c>
      <c r="U675" t="str">
        <f>IFERROR(INDEX(装备库!$A$2:$Y$1047,MATCH(ROW()-1,装备库!$AO$2:$AO$1046,0),COLUMN()),"")</f>
        <v/>
      </c>
      <c r="V675" t="str">
        <f>IFERROR(INDEX(装备库!$A$2:$Y$1047,MATCH(ROW()-1,装备库!$AO$2:$AO$1046,0),COLUMN()),"")</f>
        <v/>
      </c>
      <c r="W675" t="str">
        <f>IFERROR(INDEX(装备库!$A$2:$Y$1047,MATCH(ROW()-1,装备库!$AO$2:$AO$1046,0),COLUMN()),"")</f>
        <v/>
      </c>
      <c r="X675" t="str">
        <f>IFERROR(INDEX(装备库!$A$2:$Y$1047,MATCH(ROW()-1,装备库!$AO$2:$AO$1046,0),COLUMN()),"")</f>
        <v/>
      </c>
      <c r="Y675" t="str">
        <f>IFERROR(INDEX(装备库!$A$2:$Y$1047,MATCH(ROW()-1,装备库!$AO$2:$AO$1046,0),COLUMN()),"")</f>
        <v/>
      </c>
    </row>
    <row r="676" spans="1:25" x14ac:dyDescent="0.35">
      <c r="A676" t="str">
        <f>IFERROR(INDEX(装备库!$A$2:$Y$1047,MATCH(ROW()-1,装备库!$AO$2:$AO$1046,0),COLUMN()),"")</f>
        <v/>
      </c>
      <c r="B676" t="str">
        <f>IFERROR(INDEX(装备库!$A$2:$Y$1047,MATCH(ROW()-1,装备库!$AO$2:$AO$1046,0),COLUMN()),"")</f>
        <v/>
      </c>
      <c r="C676" t="str">
        <f>IFERROR(INDEX(装备库!$A$2:$Y$1047,MATCH(ROW()-1,装备库!$AO$2:$AO$1046,0),COLUMN()),"")</f>
        <v/>
      </c>
      <c r="D676" t="str">
        <f>IFERROR(INDEX(装备库!$A$2:$Y$1047,MATCH(ROW()-1,装备库!$AO$2:$AO$1046,0),COLUMN()),"")</f>
        <v/>
      </c>
      <c r="E676" t="str">
        <f>IFERROR(INDEX(装备库!$A$2:$Y$1047,MATCH(ROW()-1,装备库!$AO$2:$AO$1046,0),COLUMN()),"")</f>
        <v/>
      </c>
      <c r="F676" t="str">
        <f>IFERROR(INDEX(装备库!$A$2:$Y$1047,MATCH(ROW()-1,装备库!$AO$2:$AO$1046,0),COLUMN()),"")</f>
        <v/>
      </c>
      <c r="G676" t="str">
        <f>IFERROR(INDEX(装备库!$A$2:$Y$1047,MATCH(ROW()-1,装备库!$AO$2:$AO$1046,0),COLUMN()),"")</f>
        <v/>
      </c>
      <c r="H676" t="str">
        <f>IFERROR(INDEX(装备库!$A$2:$Y$1047,MATCH(ROW()-1,装备库!$AO$2:$AO$1046,0),COLUMN()),"")</f>
        <v/>
      </c>
      <c r="I676" t="str">
        <f>IFERROR(INDEX(装备库!$A$2:$Y$1047,MATCH(ROW()-1,装备库!$AO$2:$AO$1046,0),COLUMN()),"")</f>
        <v/>
      </c>
      <c r="J676" t="str">
        <f>IFERROR(INDEX(装备库!$A$2:$Y$1047,MATCH(ROW()-1,装备库!$AO$2:$AO$1046,0),COLUMN()),"")</f>
        <v/>
      </c>
      <c r="K676" t="str">
        <f>IFERROR(INDEX(装备库!$A$2:$Y$1047,MATCH(ROW()-1,装备库!$AO$2:$AO$1046,0),COLUMN()),"")</f>
        <v/>
      </c>
      <c r="L676" t="str">
        <f>IFERROR(INDEX(装备库!$A$2:$Y$1047,MATCH(ROW()-1,装备库!$AO$2:$AO$1046,0),COLUMN()),"")</f>
        <v/>
      </c>
      <c r="M676" t="str">
        <f>IFERROR(INDEX(装备库!$A$2:$Y$1047,MATCH(ROW()-1,装备库!$AO$2:$AO$1046,0),COLUMN()),"")</f>
        <v/>
      </c>
      <c r="N676" t="str">
        <f>IFERROR(INDEX(装备库!$A$2:$Y$1047,MATCH(ROW()-1,装备库!$AO$2:$AO$1046,0),COLUMN()),"")</f>
        <v/>
      </c>
      <c r="O676" t="str">
        <f>IFERROR(INDEX(装备库!$A$2:$Y$1047,MATCH(ROW()-1,装备库!$AO$2:$AO$1046,0),COLUMN()),"")</f>
        <v/>
      </c>
      <c r="P676" t="str">
        <f>IFERROR(INDEX(装备库!$A$2:$Y$1047,MATCH(ROW()-1,装备库!$AO$2:$AO$1046,0),COLUMN()),"")</f>
        <v/>
      </c>
      <c r="Q676" t="str">
        <f>IFERROR(INDEX(装备库!$A$2:$Y$1047,MATCH(ROW()-1,装备库!$AO$2:$AO$1046,0),COLUMN()),"")</f>
        <v/>
      </c>
      <c r="R676" t="str">
        <f>IFERROR(INDEX(装备库!$A$2:$Y$1047,MATCH(ROW()-1,装备库!$AO$2:$AO$1046,0),COLUMN()),"")</f>
        <v/>
      </c>
      <c r="S676" t="str">
        <f>IFERROR(INDEX(装备库!$A$2:$Y$1047,MATCH(ROW()-1,装备库!$AO$2:$AO$1046,0),COLUMN()),"")</f>
        <v/>
      </c>
      <c r="T676" t="str">
        <f>IFERROR(INDEX(装备库!$A$2:$Y$1047,MATCH(ROW()-1,装备库!$AO$2:$AO$1046,0),COLUMN()),"")</f>
        <v/>
      </c>
      <c r="U676" t="str">
        <f>IFERROR(INDEX(装备库!$A$2:$Y$1047,MATCH(ROW()-1,装备库!$AO$2:$AO$1046,0),COLUMN()),"")</f>
        <v/>
      </c>
      <c r="V676" t="str">
        <f>IFERROR(INDEX(装备库!$A$2:$Y$1047,MATCH(ROW()-1,装备库!$AO$2:$AO$1046,0),COLUMN()),"")</f>
        <v/>
      </c>
      <c r="W676" t="str">
        <f>IFERROR(INDEX(装备库!$A$2:$Y$1047,MATCH(ROW()-1,装备库!$AO$2:$AO$1046,0),COLUMN()),"")</f>
        <v/>
      </c>
      <c r="X676" t="str">
        <f>IFERROR(INDEX(装备库!$A$2:$Y$1047,MATCH(ROW()-1,装备库!$AO$2:$AO$1046,0),COLUMN()),"")</f>
        <v/>
      </c>
      <c r="Y676" t="str">
        <f>IFERROR(INDEX(装备库!$A$2:$Y$1047,MATCH(ROW()-1,装备库!$AO$2:$AO$1046,0),COLUMN()),"")</f>
        <v/>
      </c>
    </row>
    <row r="677" spans="1:25" x14ac:dyDescent="0.35">
      <c r="A677" t="str">
        <f>IFERROR(INDEX(装备库!$A$2:$Y$1047,MATCH(ROW()-1,装备库!$AO$2:$AO$1046,0),COLUMN()),"")</f>
        <v/>
      </c>
      <c r="B677" t="str">
        <f>IFERROR(INDEX(装备库!$A$2:$Y$1047,MATCH(ROW()-1,装备库!$AO$2:$AO$1046,0),COLUMN()),"")</f>
        <v/>
      </c>
      <c r="C677" t="str">
        <f>IFERROR(INDEX(装备库!$A$2:$Y$1047,MATCH(ROW()-1,装备库!$AO$2:$AO$1046,0),COLUMN()),"")</f>
        <v/>
      </c>
      <c r="D677" t="str">
        <f>IFERROR(INDEX(装备库!$A$2:$Y$1047,MATCH(ROW()-1,装备库!$AO$2:$AO$1046,0),COLUMN()),"")</f>
        <v/>
      </c>
      <c r="E677" t="str">
        <f>IFERROR(INDEX(装备库!$A$2:$Y$1047,MATCH(ROW()-1,装备库!$AO$2:$AO$1046,0),COLUMN()),"")</f>
        <v/>
      </c>
      <c r="F677" t="str">
        <f>IFERROR(INDEX(装备库!$A$2:$Y$1047,MATCH(ROW()-1,装备库!$AO$2:$AO$1046,0),COLUMN()),"")</f>
        <v/>
      </c>
      <c r="G677" t="str">
        <f>IFERROR(INDEX(装备库!$A$2:$Y$1047,MATCH(ROW()-1,装备库!$AO$2:$AO$1046,0),COLUMN()),"")</f>
        <v/>
      </c>
      <c r="H677" t="str">
        <f>IFERROR(INDEX(装备库!$A$2:$Y$1047,MATCH(ROW()-1,装备库!$AO$2:$AO$1046,0),COLUMN()),"")</f>
        <v/>
      </c>
      <c r="I677" t="str">
        <f>IFERROR(INDEX(装备库!$A$2:$Y$1047,MATCH(ROW()-1,装备库!$AO$2:$AO$1046,0),COLUMN()),"")</f>
        <v/>
      </c>
      <c r="J677" t="str">
        <f>IFERROR(INDEX(装备库!$A$2:$Y$1047,MATCH(ROW()-1,装备库!$AO$2:$AO$1046,0),COLUMN()),"")</f>
        <v/>
      </c>
      <c r="K677" t="str">
        <f>IFERROR(INDEX(装备库!$A$2:$Y$1047,MATCH(ROW()-1,装备库!$AO$2:$AO$1046,0),COLUMN()),"")</f>
        <v/>
      </c>
      <c r="L677" t="str">
        <f>IFERROR(INDEX(装备库!$A$2:$Y$1047,MATCH(ROW()-1,装备库!$AO$2:$AO$1046,0),COLUMN()),"")</f>
        <v/>
      </c>
      <c r="M677" t="str">
        <f>IFERROR(INDEX(装备库!$A$2:$Y$1047,MATCH(ROW()-1,装备库!$AO$2:$AO$1046,0),COLUMN()),"")</f>
        <v/>
      </c>
      <c r="N677" t="str">
        <f>IFERROR(INDEX(装备库!$A$2:$Y$1047,MATCH(ROW()-1,装备库!$AO$2:$AO$1046,0),COLUMN()),"")</f>
        <v/>
      </c>
      <c r="O677" t="str">
        <f>IFERROR(INDEX(装备库!$A$2:$Y$1047,MATCH(ROW()-1,装备库!$AO$2:$AO$1046,0),COLUMN()),"")</f>
        <v/>
      </c>
      <c r="P677" t="str">
        <f>IFERROR(INDEX(装备库!$A$2:$Y$1047,MATCH(ROW()-1,装备库!$AO$2:$AO$1046,0),COLUMN()),"")</f>
        <v/>
      </c>
      <c r="Q677" t="str">
        <f>IFERROR(INDEX(装备库!$A$2:$Y$1047,MATCH(ROW()-1,装备库!$AO$2:$AO$1046,0),COLUMN()),"")</f>
        <v/>
      </c>
      <c r="R677" t="str">
        <f>IFERROR(INDEX(装备库!$A$2:$Y$1047,MATCH(ROW()-1,装备库!$AO$2:$AO$1046,0),COLUMN()),"")</f>
        <v/>
      </c>
      <c r="S677" t="str">
        <f>IFERROR(INDEX(装备库!$A$2:$Y$1047,MATCH(ROW()-1,装备库!$AO$2:$AO$1046,0),COLUMN()),"")</f>
        <v/>
      </c>
      <c r="T677" t="str">
        <f>IFERROR(INDEX(装备库!$A$2:$Y$1047,MATCH(ROW()-1,装备库!$AO$2:$AO$1046,0),COLUMN()),"")</f>
        <v/>
      </c>
      <c r="U677" t="str">
        <f>IFERROR(INDEX(装备库!$A$2:$Y$1047,MATCH(ROW()-1,装备库!$AO$2:$AO$1046,0),COLUMN()),"")</f>
        <v/>
      </c>
      <c r="V677" t="str">
        <f>IFERROR(INDEX(装备库!$A$2:$Y$1047,MATCH(ROW()-1,装备库!$AO$2:$AO$1046,0),COLUMN()),"")</f>
        <v/>
      </c>
      <c r="W677" t="str">
        <f>IFERROR(INDEX(装备库!$A$2:$Y$1047,MATCH(ROW()-1,装备库!$AO$2:$AO$1046,0),COLUMN()),"")</f>
        <v/>
      </c>
      <c r="X677" t="str">
        <f>IFERROR(INDEX(装备库!$A$2:$Y$1047,MATCH(ROW()-1,装备库!$AO$2:$AO$1046,0),COLUMN()),"")</f>
        <v/>
      </c>
      <c r="Y677" t="str">
        <f>IFERROR(INDEX(装备库!$A$2:$Y$1047,MATCH(ROW()-1,装备库!$AO$2:$AO$1046,0),COLUMN()),"")</f>
        <v/>
      </c>
    </row>
    <row r="678" spans="1:25" x14ac:dyDescent="0.35">
      <c r="A678" t="str">
        <f>IFERROR(INDEX(装备库!$A$2:$Y$1047,MATCH(ROW()-1,装备库!$AO$2:$AO$1046,0),COLUMN()),"")</f>
        <v/>
      </c>
      <c r="B678" t="str">
        <f>IFERROR(INDEX(装备库!$A$2:$Y$1047,MATCH(ROW()-1,装备库!$AO$2:$AO$1046,0),COLUMN()),"")</f>
        <v/>
      </c>
      <c r="C678" t="str">
        <f>IFERROR(INDEX(装备库!$A$2:$Y$1047,MATCH(ROW()-1,装备库!$AO$2:$AO$1046,0),COLUMN()),"")</f>
        <v/>
      </c>
      <c r="D678" t="str">
        <f>IFERROR(INDEX(装备库!$A$2:$Y$1047,MATCH(ROW()-1,装备库!$AO$2:$AO$1046,0),COLUMN()),"")</f>
        <v/>
      </c>
      <c r="E678" t="str">
        <f>IFERROR(INDEX(装备库!$A$2:$Y$1047,MATCH(ROW()-1,装备库!$AO$2:$AO$1046,0),COLUMN()),"")</f>
        <v/>
      </c>
      <c r="F678" t="str">
        <f>IFERROR(INDEX(装备库!$A$2:$Y$1047,MATCH(ROW()-1,装备库!$AO$2:$AO$1046,0),COLUMN()),"")</f>
        <v/>
      </c>
      <c r="G678" t="str">
        <f>IFERROR(INDEX(装备库!$A$2:$Y$1047,MATCH(ROW()-1,装备库!$AO$2:$AO$1046,0),COLUMN()),"")</f>
        <v/>
      </c>
      <c r="H678" t="str">
        <f>IFERROR(INDEX(装备库!$A$2:$Y$1047,MATCH(ROW()-1,装备库!$AO$2:$AO$1046,0),COLUMN()),"")</f>
        <v/>
      </c>
      <c r="I678" t="str">
        <f>IFERROR(INDEX(装备库!$A$2:$Y$1047,MATCH(ROW()-1,装备库!$AO$2:$AO$1046,0),COLUMN()),"")</f>
        <v/>
      </c>
      <c r="J678" t="str">
        <f>IFERROR(INDEX(装备库!$A$2:$Y$1047,MATCH(ROW()-1,装备库!$AO$2:$AO$1046,0),COLUMN()),"")</f>
        <v/>
      </c>
      <c r="K678" t="str">
        <f>IFERROR(INDEX(装备库!$A$2:$Y$1047,MATCH(ROW()-1,装备库!$AO$2:$AO$1046,0),COLUMN()),"")</f>
        <v/>
      </c>
      <c r="L678" t="str">
        <f>IFERROR(INDEX(装备库!$A$2:$Y$1047,MATCH(ROW()-1,装备库!$AO$2:$AO$1046,0),COLUMN()),"")</f>
        <v/>
      </c>
      <c r="M678" t="str">
        <f>IFERROR(INDEX(装备库!$A$2:$Y$1047,MATCH(ROW()-1,装备库!$AO$2:$AO$1046,0),COLUMN()),"")</f>
        <v/>
      </c>
      <c r="N678" t="str">
        <f>IFERROR(INDEX(装备库!$A$2:$Y$1047,MATCH(ROW()-1,装备库!$AO$2:$AO$1046,0),COLUMN()),"")</f>
        <v/>
      </c>
      <c r="O678" t="str">
        <f>IFERROR(INDEX(装备库!$A$2:$Y$1047,MATCH(ROW()-1,装备库!$AO$2:$AO$1046,0),COLUMN()),"")</f>
        <v/>
      </c>
      <c r="P678" t="str">
        <f>IFERROR(INDEX(装备库!$A$2:$Y$1047,MATCH(ROW()-1,装备库!$AO$2:$AO$1046,0),COLUMN()),"")</f>
        <v/>
      </c>
      <c r="Q678" t="str">
        <f>IFERROR(INDEX(装备库!$A$2:$Y$1047,MATCH(ROW()-1,装备库!$AO$2:$AO$1046,0),COLUMN()),"")</f>
        <v/>
      </c>
      <c r="R678" t="str">
        <f>IFERROR(INDEX(装备库!$A$2:$Y$1047,MATCH(ROW()-1,装备库!$AO$2:$AO$1046,0),COLUMN()),"")</f>
        <v/>
      </c>
      <c r="S678" t="str">
        <f>IFERROR(INDEX(装备库!$A$2:$Y$1047,MATCH(ROW()-1,装备库!$AO$2:$AO$1046,0),COLUMN()),"")</f>
        <v/>
      </c>
      <c r="T678" t="str">
        <f>IFERROR(INDEX(装备库!$A$2:$Y$1047,MATCH(ROW()-1,装备库!$AO$2:$AO$1046,0),COLUMN()),"")</f>
        <v/>
      </c>
      <c r="U678" t="str">
        <f>IFERROR(INDEX(装备库!$A$2:$Y$1047,MATCH(ROW()-1,装备库!$AO$2:$AO$1046,0),COLUMN()),"")</f>
        <v/>
      </c>
      <c r="V678" t="str">
        <f>IFERROR(INDEX(装备库!$A$2:$Y$1047,MATCH(ROW()-1,装备库!$AO$2:$AO$1046,0),COLUMN()),"")</f>
        <v/>
      </c>
      <c r="W678" t="str">
        <f>IFERROR(INDEX(装备库!$A$2:$Y$1047,MATCH(ROW()-1,装备库!$AO$2:$AO$1046,0),COLUMN()),"")</f>
        <v/>
      </c>
      <c r="X678" t="str">
        <f>IFERROR(INDEX(装备库!$A$2:$Y$1047,MATCH(ROW()-1,装备库!$AO$2:$AO$1046,0),COLUMN()),"")</f>
        <v/>
      </c>
      <c r="Y678" t="str">
        <f>IFERROR(INDEX(装备库!$A$2:$Y$1047,MATCH(ROW()-1,装备库!$AO$2:$AO$1046,0),COLUMN()),"")</f>
        <v/>
      </c>
    </row>
    <row r="679" spans="1:25" x14ac:dyDescent="0.35">
      <c r="A679" t="str">
        <f>IFERROR(INDEX(装备库!$A$2:$Y$1047,MATCH(ROW()-1,装备库!$AO$2:$AO$1046,0),COLUMN()),"")</f>
        <v/>
      </c>
      <c r="B679" t="str">
        <f>IFERROR(INDEX(装备库!$A$2:$Y$1047,MATCH(ROW()-1,装备库!$AO$2:$AO$1046,0),COLUMN()),"")</f>
        <v/>
      </c>
      <c r="C679" t="str">
        <f>IFERROR(INDEX(装备库!$A$2:$Y$1047,MATCH(ROW()-1,装备库!$AO$2:$AO$1046,0),COLUMN()),"")</f>
        <v/>
      </c>
      <c r="D679" t="str">
        <f>IFERROR(INDEX(装备库!$A$2:$Y$1047,MATCH(ROW()-1,装备库!$AO$2:$AO$1046,0),COLUMN()),"")</f>
        <v/>
      </c>
      <c r="E679" t="str">
        <f>IFERROR(INDEX(装备库!$A$2:$Y$1047,MATCH(ROW()-1,装备库!$AO$2:$AO$1046,0),COLUMN()),"")</f>
        <v/>
      </c>
      <c r="F679" t="str">
        <f>IFERROR(INDEX(装备库!$A$2:$Y$1047,MATCH(ROW()-1,装备库!$AO$2:$AO$1046,0),COLUMN()),"")</f>
        <v/>
      </c>
      <c r="G679" t="str">
        <f>IFERROR(INDEX(装备库!$A$2:$Y$1047,MATCH(ROW()-1,装备库!$AO$2:$AO$1046,0),COLUMN()),"")</f>
        <v/>
      </c>
      <c r="H679" t="str">
        <f>IFERROR(INDEX(装备库!$A$2:$Y$1047,MATCH(ROW()-1,装备库!$AO$2:$AO$1046,0),COLUMN()),"")</f>
        <v/>
      </c>
      <c r="I679" t="str">
        <f>IFERROR(INDEX(装备库!$A$2:$Y$1047,MATCH(ROW()-1,装备库!$AO$2:$AO$1046,0),COLUMN()),"")</f>
        <v/>
      </c>
      <c r="J679" t="str">
        <f>IFERROR(INDEX(装备库!$A$2:$Y$1047,MATCH(ROW()-1,装备库!$AO$2:$AO$1046,0),COLUMN()),"")</f>
        <v/>
      </c>
      <c r="K679" t="str">
        <f>IFERROR(INDEX(装备库!$A$2:$Y$1047,MATCH(ROW()-1,装备库!$AO$2:$AO$1046,0),COLUMN()),"")</f>
        <v/>
      </c>
      <c r="L679" t="str">
        <f>IFERROR(INDEX(装备库!$A$2:$Y$1047,MATCH(ROW()-1,装备库!$AO$2:$AO$1046,0),COLUMN()),"")</f>
        <v/>
      </c>
      <c r="M679" t="str">
        <f>IFERROR(INDEX(装备库!$A$2:$Y$1047,MATCH(ROW()-1,装备库!$AO$2:$AO$1046,0),COLUMN()),"")</f>
        <v/>
      </c>
      <c r="N679" t="str">
        <f>IFERROR(INDEX(装备库!$A$2:$Y$1047,MATCH(ROW()-1,装备库!$AO$2:$AO$1046,0),COLUMN()),"")</f>
        <v/>
      </c>
      <c r="O679" t="str">
        <f>IFERROR(INDEX(装备库!$A$2:$Y$1047,MATCH(ROW()-1,装备库!$AO$2:$AO$1046,0),COLUMN()),"")</f>
        <v/>
      </c>
      <c r="P679" t="str">
        <f>IFERROR(INDEX(装备库!$A$2:$Y$1047,MATCH(ROW()-1,装备库!$AO$2:$AO$1046,0),COLUMN()),"")</f>
        <v/>
      </c>
      <c r="Q679" t="str">
        <f>IFERROR(INDEX(装备库!$A$2:$Y$1047,MATCH(ROW()-1,装备库!$AO$2:$AO$1046,0),COLUMN()),"")</f>
        <v/>
      </c>
      <c r="R679" t="str">
        <f>IFERROR(INDEX(装备库!$A$2:$Y$1047,MATCH(ROW()-1,装备库!$AO$2:$AO$1046,0),COLUMN()),"")</f>
        <v/>
      </c>
      <c r="S679" t="str">
        <f>IFERROR(INDEX(装备库!$A$2:$Y$1047,MATCH(ROW()-1,装备库!$AO$2:$AO$1046,0),COLUMN()),"")</f>
        <v/>
      </c>
      <c r="T679" t="str">
        <f>IFERROR(INDEX(装备库!$A$2:$Y$1047,MATCH(ROW()-1,装备库!$AO$2:$AO$1046,0),COLUMN()),"")</f>
        <v/>
      </c>
      <c r="U679" t="str">
        <f>IFERROR(INDEX(装备库!$A$2:$Y$1047,MATCH(ROW()-1,装备库!$AO$2:$AO$1046,0),COLUMN()),"")</f>
        <v/>
      </c>
      <c r="V679" t="str">
        <f>IFERROR(INDEX(装备库!$A$2:$Y$1047,MATCH(ROW()-1,装备库!$AO$2:$AO$1046,0),COLUMN()),"")</f>
        <v/>
      </c>
      <c r="W679" t="str">
        <f>IFERROR(INDEX(装备库!$A$2:$Y$1047,MATCH(ROW()-1,装备库!$AO$2:$AO$1046,0),COLUMN()),"")</f>
        <v/>
      </c>
      <c r="X679" t="str">
        <f>IFERROR(INDEX(装备库!$A$2:$Y$1047,MATCH(ROW()-1,装备库!$AO$2:$AO$1046,0),COLUMN()),"")</f>
        <v/>
      </c>
      <c r="Y679" t="str">
        <f>IFERROR(INDEX(装备库!$A$2:$Y$1047,MATCH(ROW()-1,装备库!$AO$2:$AO$1046,0),COLUMN()),"")</f>
        <v/>
      </c>
    </row>
    <row r="680" spans="1:25" x14ac:dyDescent="0.35">
      <c r="A680" t="str">
        <f>IFERROR(INDEX(装备库!$A$2:$Y$1047,MATCH(ROW()-1,装备库!$AO$2:$AO$1046,0),COLUMN()),"")</f>
        <v/>
      </c>
      <c r="B680" t="str">
        <f>IFERROR(INDEX(装备库!$A$2:$Y$1047,MATCH(ROW()-1,装备库!$AO$2:$AO$1046,0),COLUMN()),"")</f>
        <v/>
      </c>
      <c r="C680" t="str">
        <f>IFERROR(INDEX(装备库!$A$2:$Y$1047,MATCH(ROW()-1,装备库!$AO$2:$AO$1046,0),COLUMN()),"")</f>
        <v/>
      </c>
      <c r="D680" t="str">
        <f>IFERROR(INDEX(装备库!$A$2:$Y$1047,MATCH(ROW()-1,装备库!$AO$2:$AO$1046,0),COLUMN()),"")</f>
        <v/>
      </c>
      <c r="E680" t="str">
        <f>IFERROR(INDEX(装备库!$A$2:$Y$1047,MATCH(ROW()-1,装备库!$AO$2:$AO$1046,0),COLUMN()),"")</f>
        <v/>
      </c>
      <c r="F680" t="str">
        <f>IFERROR(INDEX(装备库!$A$2:$Y$1047,MATCH(ROW()-1,装备库!$AO$2:$AO$1046,0),COLUMN()),"")</f>
        <v/>
      </c>
      <c r="G680" t="str">
        <f>IFERROR(INDEX(装备库!$A$2:$Y$1047,MATCH(ROW()-1,装备库!$AO$2:$AO$1046,0),COLUMN()),"")</f>
        <v/>
      </c>
      <c r="H680" t="str">
        <f>IFERROR(INDEX(装备库!$A$2:$Y$1047,MATCH(ROW()-1,装备库!$AO$2:$AO$1046,0),COLUMN()),"")</f>
        <v/>
      </c>
      <c r="I680" t="str">
        <f>IFERROR(INDEX(装备库!$A$2:$Y$1047,MATCH(ROW()-1,装备库!$AO$2:$AO$1046,0),COLUMN()),"")</f>
        <v/>
      </c>
      <c r="J680" t="str">
        <f>IFERROR(INDEX(装备库!$A$2:$Y$1047,MATCH(ROW()-1,装备库!$AO$2:$AO$1046,0),COLUMN()),"")</f>
        <v/>
      </c>
      <c r="K680" t="str">
        <f>IFERROR(INDEX(装备库!$A$2:$Y$1047,MATCH(ROW()-1,装备库!$AO$2:$AO$1046,0),COLUMN()),"")</f>
        <v/>
      </c>
      <c r="L680" t="str">
        <f>IFERROR(INDEX(装备库!$A$2:$Y$1047,MATCH(ROW()-1,装备库!$AO$2:$AO$1046,0),COLUMN()),"")</f>
        <v/>
      </c>
      <c r="M680" t="str">
        <f>IFERROR(INDEX(装备库!$A$2:$Y$1047,MATCH(ROW()-1,装备库!$AO$2:$AO$1046,0),COLUMN()),"")</f>
        <v/>
      </c>
      <c r="N680" t="str">
        <f>IFERROR(INDEX(装备库!$A$2:$Y$1047,MATCH(ROW()-1,装备库!$AO$2:$AO$1046,0),COLUMN()),"")</f>
        <v/>
      </c>
      <c r="O680" t="str">
        <f>IFERROR(INDEX(装备库!$A$2:$Y$1047,MATCH(ROW()-1,装备库!$AO$2:$AO$1046,0),COLUMN()),"")</f>
        <v/>
      </c>
      <c r="P680" t="str">
        <f>IFERROR(INDEX(装备库!$A$2:$Y$1047,MATCH(ROW()-1,装备库!$AO$2:$AO$1046,0),COLUMN()),"")</f>
        <v/>
      </c>
      <c r="Q680" t="str">
        <f>IFERROR(INDEX(装备库!$A$2:$Y$1047,MATCH(ROW()-1,装备库!$AO$2:$AO$1046,0),COLUMN()),"")</f>
        <v/>
      </c>
      <c r="R680" t="str">
        <f>IFERROR(INDEX(装备库!$A$2:$Y$1047,MATCH(ROW()-1,装备库!$AO$2:$AO$1046,0),COLUMN()),"")</f>
        <v/>
      </c>
      <c r="S680" t="str">
        <f>IFERROR(INDEX(装备库!$A$2:$Y$1047,MATCH(ROW()-1,装备库!$AO$2:$AO$1046,0),COLUMN()),"")</f>
        <v/>
      </c>
      <c r="T680" t="str">
        <f>IFERROR(INDEX(装备库!$A$2:$Y$1047,MATCH(ROW()-1,装备库!$AO$2:$AO$1046,0),COLUMN()),"")</f>
        <v/>
      </c>
      <c r="U680" t="str">
        <f>IFERROR(INDEX(装备库!$A$2:$Y$1047,MATCH(ROW()-1,装备库!$AO$2:$AO$1046,0),COLUMN()),"")</f>
        <v/>
      </c>
      <c r="V680" t="str">
        <f>IFERROR(INDEX(装备库!$A$2:$Y$1047,MATCH(ROW()-1,装备库!$AO$2:$AO$1046,0),COLUMN()),"")</f>
        <v/>
      </c>
      <c r="W680" t="str">
        <f>IFERROR(INDEX(装备库!$A$2:$Y$1047,MATCH(ROW()-1,装备库!$AO$2:$AO$1046,0),COLUMN()),"")</f>
        <v/>
      </c>
      <c r="X680" t="str">
        <f>IFERROR(INDEX(装备库!$A$2:$Y$1047,MATCH(ROW()-1,装备库!$AO$2:$AO$1046,0),COLUMN()),"")</f>
        <v/>
      </c>
      <c r="Y680" t="str">
        <f>IFERROR(INDEX(装备库!$A$2:$Y$1047,MATCH(ROW()-1,装备库!$AO$2:$AO$1046,0),COLUMN()),"")</f>
        <v/>
      </c>
    </row>
    <row r="681" spans="1:25" x14ac:dyDescent="0.35">
      <c r="A681" t="str">
        <f>IFERROR(INDEX(装备库!$A$2:$Y$1047,MATCH(ROW()-1,装备库!$AO$2:$AO$1046,0),COLUMN()),"")</f>
        <v/>
      </c>
      <c r="B681" t="str">
        <f>IFERROR(INDEX(装备库!$A$2:$Y$1047,MATCH(ROW()-1,装备库!$AO$2:$AO$1046,0),COLUMN()),"")</f>
        <v/>
      </c>
      <c r="C681" t="str">
        <f>IFERROR(INDEX(装备库!$A$2:$Y$1047,MATCH(ROW()-1,装备库!$AO$2:$AO$1046,0),COLUMN()),"")</f>
        <v/>
      </c>
      <c r="D681" t="str">
        <f>IFERROR(INDEX(装备库!$A$2:$Y$1047,MATCH(ROW()-1,装备库!$AO$2:$AO$1046,0),COLUMN()),"")</f>
        <v/>
      </c>
      <c r="E681" t="str">
        <f>IFERROR(INDEX(装备库!$A$2:$Y$1047,MATCH(ROW()-1,装备库!$AO$2:$AO$1046,0),COLUMN()),"")</f>
        <v/>
      </c>
      <c r="F681" t="str">
        <f>IFERROR(INDEX(装备库!$A$2:$Y$1047,MATCH(ROW()-1,装备库!$AO$2:$AO$1046,0),COLUMN()),"")</f>
        <v/>
      </c>
      <c r="G681" t="str">
        <f>IFERROR(INDEX(装备库!$A$2:$Y$1047,MATCH(ROW()-1,装备库!$AO$2:$AO$1046,0),COLUMN()),"")</f>
        <v/>
      </c>
      <c r="H681" t="str">
        <f>IFERROR(INDEX(装备库!$A$2:$Y$1047,MATCH(ROW()-1,装备库!$AO$2:$AO$1046,0),COLUMN()),"")</f>
        <v/>
      </c>
      <c r="I681" t="str">
        <f>IFERROR(INDEX(装备库!$A$2:$Y$1047,MATCH(ROW()-1,装备库!$AO$2:$AO$1046,0),COLUMN()),"")</f>
        <v/>
      </c>
      <c r="J681" t="str">
        <f>IFERROR(INDEX(装备库!$A$2:$Y$1047,MATCH(ROW()-1,装备库!$AO$2:$AO$1046,0),COLUMN()),"")</f>
        <v/>
      </c>
      <c r="K681" t="str">
        <f>IFERROR(INDEX(装备库!$A$2:$Y$1047,MATCH(ROW()-1,装备库!$AO$2:$AO$1046,0),COLUMN()),"")</f>
        <v/>
      </c>
      <c r="L681" t="str">
        <f>IFERROR(INDEX(装备库!$A$2:$Y$1047,MATCH(ROW()-1,装备库!$AO$2:$AO$1046,0),COLUMN()),"")</f>
        <v/>
      </c>
      <c r="M681" t="str">
        <f>IFERROR(INDEX(装备库!$A$2:$Y$1047,MATCH(ROW()-1,装备库!$AO$2:$AO$1046,0),COLUMN()),"")</f>
        <v/>
      </c>
      <c r="N681" t="str">
        <f>IFERROR(INDEX(装备库!$A$2:$Y$1047,MATCH(ROW()-1,装备库!$AO$2:$AO$1046,0),COLUMN()),"")</f>
        <v/>
      </c>
      <c r="O681" t="str">
        <f>IFERROR(INDEX(装备库!$A$2:$Y$1047,MATCH(ROW()-1,装备库!$AO$2:$AO$1046,0),COLUMN()),"")</f>
        <v/>
      </c>
      <c r="P681" t="str">
        <f>IFERROR(INDEX(装备库!$A$2:$Y$1047,MATCH(ROW()-1,装备库!$AO$2:$AO$1046,0),COLUMN()),"")</f>
        <v/>
      </c>
      <c r="Q681" t="str">
        <f>IFERROR(INDEX(装备库!$A$2:$Y$1047,MATCH(ROW()-1,装备库!$AO$2:$AO$1046,0),COLUMN()),"")</f>
        <v/>
      </c>
      <c r="R681" t="str">
        <f>IFERROR(INDEX(装备库!$A$2:$Y$1047,MATCH(ROW()-1,装备库!$AO$2:$AO$1046,0),COLUMN()),"")</f>
        <v/>
      </c>
      <c r="S681" t="str">
        <f>IFERROR(INDEX(装备库!$A$2:$Y$1047,MATCH(ROW()-1,装备库!$AO$2:$AO$1046,0),COLUMN()),"")</f>
        <v/>
      </c>
      <c r="T681" t="str">
        <f>IFERROR(INDEX(装备库!$A$2:$Y$1047,MATCH(ROW()-1,装备库!$AO$2:$AO$1046,0),COLUMN()),"")</f>
        <v/>
      </c>
      <c r="U681" t="str">
        <f>IFERROR(INDEX(装备库!$A$2:$Y$1047,MATCH(ROW()-1,装备库!$AO$2:$AO$1046,0),COLUMN()),"")</f>
        <v/>
      </c>
      <c r="V681" t="str">
        <f>IFERROR(INDEX(装备库!$A$2:$Y$1047,MATCH(ROW()-1,装备库!$AO$2:$AO$1046,0),COLUMN()),"")</f>
        <v/>
      </c>
      <c r="W681" t="str">
        <f>IFERROR(INDEX(装备库!$A$2:$Y$1047,MATCH(ROW()-1,装备库!$AO$2:$AO$1046,0),COLUMN()),"")</f>
        <v/>
      </c>
      <c r="X681" t="str">
        <f>IFERROR(INDEX(装备库!$A$2:$Y$1047,MATCH(ROW()-1,装备库!$AO$2:$AO$1046,0),COLUMN()),"")</f>
        <v/>
      </c>
      <c r="Y681" t="str">
        <f>IFERROR(INDEX(装备库!$A$2:$Y$1047,MATCH(ROW()-1,装备库!$AO$2:$AO$1046,0),COLUMN()),"")</f>
        <v/>
      </c>
    </row>
    <row r="682" spans="1:25" x14ac:dyDescent="0.35">
      <c r="A682" t="str">
        <f>IFERROR(INDEX(装备库!$A$2:$Y$1047,MATCH(ROW()-1,装备库!$AO$2:$AO$1046,0),COLUMN()),"")</f>
        <v/>
      </c>
      <c r="B682" t="str">
        <f>IFERROR(INDEX(装备库!$A$2:$Y$1047,MATCH(ROW()-1,装备库!$AO$2:$AO$1046,0),COLUMN()),"")</f>
        <v/>
      </c>
      <c r="C682" t="str">
        <f>IFERROR(INDEX(装备库!$A$2:$Y$1047,MATCH(ROW()-1,装备库!$AO$2:$AO$1046,0),COLUMN()),"")</f>
        <v/>
      </c>
      <c r="D682" t="str">
        <f>IFERROR(INDEX(装备库!$A$2:$Y$1047,MATCH(ROW()-1,装备库!$AO$2:$AO$1046,0),COLUMN()),"")</f>
        <v/>
      </c>
      <c r="E682" t="str">
        <f>IFERROR(INDEX(装备库!$A$2:$Y$1047,MATCH(ROW()-1,装备库!$AO$2:$AO$1046,0),COLUMN()),"")</f>
        <v/>
      </c>
      <c r="F682" t="str">
        <f>IFERROR(INDEX(装备库!$A$2:$Y$1047,MATCH(ROW()-1,装备库!$AO$2:$AO$1046,0),COLUMN()),"")</f>
        <v/>
      </c>
      <c r="G682" t="str">
        <f>IFERROR(INDEX(装备库!$A$2:$Y$1047,MATCH(ROW()-1,装备库!$AO$2:$AO$1046,0),COLUMN()),"")</f>
        <v/>
      </c>
      <c r="H682" t="str">
        <f>IFERROR(INDEX(装备库!$A$2:$Y$1047,MATCH(ROW()-1,装备库!$AO$2:$AO$1046,0),COLUMN()),"")</f>
        <v/>
      </c>
      <c r="I682" t="str">
        <f>IFERROR(INDEX(装备库!$A$2:$Y$1047,MATCH(ROW()-1,装备库!$AO$2:$AO$1046,0),COLUMN()),"")</f>
        <v/>
      </c>
      <c r="J682" t="str">
        <f>IFERROR(INDEX(装备库!$A$2:$Y$1047,MATCH(ROW()-1,装备库!$AO$2:$AO$1046,0),COLUMN()),"")</f>
        <v/>
      </c>
      <c r="K682" t="str">
        <f>IFERROR(INDEX(装备库!$A$2:$Y$1047,MATCH(ROW()-1,装备库!$AO$2:$AO$1046,0),COLUMN()),"")</f>
        <v/>
      </c>
      <c r="L682" t="str">
        <f>IFERROR(INDEX(装备库!$A$2:$Y$1047,MATCH(ROW()-1,装备库!$AO$2:$AO$1046,0),COLUMN()),"")</f>
        <v/>
      </c>
      <c r="M682" t="str">
        <f>IFERROR(INDEX(装备库!$A$2:$Y$1047,MATCH(ROW()-1,装备库!$AO$2:$AO$1046,0),COLUMN()),"")</f>
        <v/>
      </c>
      <c r="N682" t="str">
        <f>IFERROR(INDEX(装备库!$A$2:$Y$1047,MATCH(ROW()-1,装备库!$AO$2:$AO$1046,0),COLUMN()),"")</f>
        <v/>
      </c>
      <c r="O682" t="str">
        <f>IFERROR(INDEX(装备库!$A$2:$Y$1047,MATCH(ROW()-1,装备库!$AO$2:$AO$1046,0),COLUMN()),"")</f>
        <v/>
      </c>
      <c r="P682" t="str">
        <f>IFERROR(INDEX(装备库!$A$2:$Y$1047,MATCH(ROW()-1,装备库!$AO$2:$AO$1046,0),COLUMN()),"")</f>
        <v/>
      </c>
      <c r="Q682" t="str">
        <f>IFERROR(INDEX(装备库!$A$2:$Y$1047,MATCH(ROW()-1,装备库!$AO$2:$AO$1046,0),COLUMN()),"")</f>
        <v/>
      </c>
      <c r="R682" t="str">
        <f>IFERROR(INDEX(装备库!$A$2:$Y$1047,MATCH(ROW()-1,装备库!$AO$2:$AO$1046,0),COLUMN()),"")</f>
        <v/>
      </c>
      <c r="S682" t="str">
        <f>IFERROR(INDEX(装备库!$A$2:$Y$1047,MATCH(ROW()-1,装备库!$AO$2:$AO$1046,0),COLUMN()),"")</f>
        <v/>
      </c>
      <c r="T682" t="str">
        <f>IFERROR(INDEX(装备库!$A$2:$Y$1047,MATCH(ROW()-1,装备库!$AO$2:$AO$1046,0),COLUMN()),"")</f>
        <v/>
      </c>
      <c r="U682" t="str">
        <f>IFERROR(INDEX(装备库!$A$2:$Y$1047,MATCH(ROW()-1,装备库!$AO$2:$AO$1046,0),COLUMN()),"")</f>
        <v/>
      </c>
      <c r="V682" t="str">
        <f>IFERROR(INDEX(装备库!$A$2:$Y$1047,MATCH(ROW()-1,装备库!$AO$2:$AO$1046,0),COLUMN()),"")</f>
        <v/>
      </c>
      <c r="W682" t="str">
        <f>IFERROR(INDEX(装备库!$A$2:$Y$1047,MATCH(ROW()-1,装备库!$AO$2:$AO$1046,0),COLUMN()),"")</f>
        <v/>
      </c>
      <c r="X682" t="str">
        <f>IFERROR(INDEX(装备库!$A$2:$Y$1047,MATCH(ROW()-1,装备库!$AO$2:$AO$1046,0),COLUMN()),"")</f>
        <v/>
      </c>
      <c r="Y682" t="str">
        <f>IFERROR(INDEX(装备库!$A$2:$Y$1047,MATCH(ROW()-1,装备库!$AO$2:$AO$1046,0),COLUMN()),"")</f>
        <v/>
      </c>
    </row>
    <row r="683" spans="1:25" x14ac:dyDescent="0.35">
      <c r="A683" t="str">
        <f>IFERROR(INDEX(装备库!$A$2:$Y$1047,MATCH(ROW()-1,装备库!$AO$2:$AO$1046,0),COLUMN()),"")</f>
        <v/>
      </c>
      <c r="B683" t="str">
        <f>IFERROR(INDEX(装备库!$A$2:$Y$1047,MATCH(ROW()-1,装备库!$AO$2:$AO$1046,0),COLUMN()),"")</f>
        <v/>
      </c>
      <c r="C683" t="str">
        <f>IFERROR(INDEX(装备库!$A$2:$Y$1047,MATCH(ROW()-1,装备库!$AO$2:$AO$1046,0),COLUMN()),"")</f>
        <v/>
      </c>
      <c r="D683" t="str">
        <f>IFERROR(INDEX(装备库!$A$2:$Y$1047,MATCH(ROW()-1,装备库!$AO$2:$AO$1046,0),COLUMN()),"")</f>
        <v/>
      </c>
      <c r="E683" t="str">
        <f>IFERROR(INDEX(装备库!$A$2:$Y$1047,MATCH(ROW()-1,装备库!$AO$2:$AO$1046,0),COLUMN()),"")</f>
        <v/>
      </c>
      <c r="F683" t="str">
        <f>IFERROR(INDEX(装备库!$A$2:$Y$1047,MATCH(ROW()-1,装备库!$AO$2:$AO$1046,0),COLUMN()),"")</f>
        <v/>
      </c>
      <c r="G683" t="str">
        <f>IFERROR(INDEX(装备库!$A$2:$Y$1047,MATCH(ROW()-1,装备库!$AO$2:$AO$1046,0),COLUMN()),"")</f>
        <v/>
      </c>
      <c r="H683" t="str">
        <f>IFERROR(INDEX(装备库!$A$2:$Y$1047,MATCH(ROW()-1,装备库!$AO$2:$AO$1046,0),COLUMN()),"")</f>
        <v/>
      </c>
      <c r="I683" t="str">
        <f>IFERROR(INDEX(装备库!$A$2:$Y$1047,MATCH(ROW()-1,装备库!$AO$2:$AO$1046,0),COLUMN()),"")</f>
        <v/>
      </c>
      <c r="J683" t="str">
        <f>IFERROR(INDEX(装备库!$A$2:$Y$1047,MATCH(ROW()-1,装备库!$AO$2:$AO$1046,0),COLUMN()),"")</f>
        <v/>
      </c>
      <c r="K683" t="str">
        <f>IFERROR(INDEX(装备库!$A$2:$Y$1047,MATCH(ROW()-1,装备库!$AO$2:$AO$1046,0),COLUMN()),"")</f>
        <v/>
      </c>
      <c r="L683" t="str">
        <f>IFERROR(INDEX(装备库!$A$2:$Y$1047,MATCH(ROW()-1,装备库!$AO$2:$AO$1046,0),COLUMN()),"")</f>
        <v/>
      </c>
      <c r="M683" t="str">
        <f>IFERROR(INDEX(装备库!$A$2:$Y$1047,MATCH(ROW()-1,装备库!$AO$2:$AO$1046,0),COLUMN()),"")</f>
        <v/>
      </c>
      <c r="N683" t="str">
        <f>IFERROR(INDEX(装备库!$A$2:$Y$1047,MATCH(ROW()-1,装备库!$AO$2:$AO$1046,0),COLUMN()),"")</f>
        <v/>
      </c>
      <c r="O683" t="str">
        <f>IFERROR(INDEX(装备库!$A$2:$Y$1047,MATCH(ROW()-1,装备库!$AO$2:$AO$1046,0),COLUMN()),"")</f>
        <v/>
      </c>
      <c r="P683" t="str">
        <f>IFERROR(INDEX(装备库!$A$2:$Y$1047,MATCH(ROW()-1,装备库!$AO$2:$AO$1046,0),COLUMN()),"")</f>
        <v/>
      </c>
      <c r="Q683" t="str">
        <f>IFERROR(INDEX(装备库!$A$2:$Y$1047,MATCH(ROW()-1,装备库!$AO$2:$AO$1046,0),COLUMN()),"")</f>
        <v/>
      </c>
      <c r="R683" t="str">
        <f>IFERROR(INDEX(装备库!$A$2:$Y$1047,MATCH(ROW()-1,装备库!$AO$2:$AO$1046,0),COLUMN()),"")</f>
        <v/>
      </c>
      <c r="S683" t="str">
        <f>IFERROR(INDEX(装备库!$A$2:$Y$1047,MATCH(ROW()-1,装备库!$AO$2:$AO$1046,0),COLUMN()),"")</f>
        <v/>
      </c>
      <c r="T683" t="str">
        <f>IFERROR(INDEX(装备库!$A$2:$Y$1047,MATCH(ROW()-1,装备库!$AO$2:$AO$1046,0),COLUMN()),"")</f>
        <v/>
      </c>
      <c r="U683" t="str">
        <f>IFERROR(INDEX(装备库!$A$2:$Y$1047,MATCH(ROW()-1,装备库!$AO$2:$AO$1046,0),COLUMN()),"")</f>
        <v/>
      </c>
      <c r="V683" t="str">
        <f>IFERROR(INDEX(装备库!$A$2:$Y$1047,MATCH(ROW()-1,装备库!$AO$2:$AO$1046,0),COLUMN()),"")</f>
        <v/>
      </c>
      <c r="W683" t="str">
        <f>IFERROR(INDEX(装备库!$A$2:$Y$1047,MATCH(ROW()-1,装备库!$AO$2:$AO$1046,0),COLUMN()),"")</f>
        <v/>
      </c>
      <c r="X683" t="str">
        <f>IFERROR(INDEX(装备库!$A$2:$Y$1047,MATCH(ROW()-1,装备库!$AO$2:$AO$1046,0),COLUMN()),"")</f>
        <v/>
      </c>
      <c r="Y683" t="str">
        <f>IFERROR(INDEX(装备库!$A$2:$Y$1047,MATCH(ROW()-1,装备库!$AO$2:$AO$1046,0),COLUMN()),"")</f>
        <v/>
      </c>
    </row>
    <row r="684" spans="1:25" x14ac:dyDescent="0.35">
      <c r="A684" t="str">
        <f>IFERROR(INDEX(装备库!$A$2:$Y$1047,MATCH(ROW()-1,装备库!$AO$2:$AO$1046,0),COLUMN()),"")</f>
        <v/>
      </c>
      <c r="B684" t="str">
        <f>IFERROR(INDEX(装备库!$A$2:$Y$1047,MATCH(ROW()-1,装备库!$AO$2:$AO$1046,0),COLUMN()),"")</f>
        <v/>
      </c>
      <c r="C684" t="str">
        <f>IFERROR(INDEX(装备库!$A$2:$Y$1047,MATCH(ROW()-1,装备库!$AO$2:$AO$1046,0),COLUMN()),"")</f>
        <v/>
      </c>
      <c r="D684" t="str">
        <f>IFERROR(INDEX(装备库!$A$2:$Y$1047,MATCH(ROW()-1,装备库!$AO$2:$AO$1046,0),COLUMN()),"")</f>
        <v/>
      </c>
      <c r="E684" t="str">
        <f>IFERROR(INDEX(装备库!$A$2:$Y$1047,MATCH(ROW()-1,装备库!$AO$2:$AO$1046,0),COLUMN()),"")</f>
        <v/>
      </c>
      <c r="F684" t="str">
        <f>IFERROR(INDEX(装备库!$A$2:$Y$1047,MATCH(ROW()-1,装备库!$AO$2:$AO$1046,0),COLUMN()),"")</f>
        <v/>
      </c>
      <c r="G684" t="str">
        <f>IFERROR(INDEX(装备库!$A$2:$Y$1047,MATCH(ROW()-1,装备库!$AO$2:$AO$1046,0),COLUMN()),"")</f>
        <v/>
      </c>
      <c r="H684" t="str">
        <f>IFERROR(INDEX(装备库!$A$2:$Y$1047,MATCH(ROW()-1,装备库!$AO$2:$AO$1046,0),COLUMN()),"")</f>
        <v/>
      </c>
      <c r="I684" t="str">
        <f>IFERROR(INDEX(装备库!$A$2:$Y$1047,MATCH(ROW()-1,装备库!$AO$2:$AO$1046,0),COLUMN()),"")</f>
        <v/>
      </c>
      <c r="J684" t="str">
        <f>IFERROR(INDEX(装备库!$A$2:$Y$1047,MATCH(ROW()-1,装备库!$AO$2:$AO$1046,0),COLUMN()),"")</f>
        <v/>
      </c>
      <c r="K684" t="str">
        <f>IFERROR(INDEX(装备库!$A$2:$Y$1047,MATCH(ROW()-1,装备库!$AO$2:$AO$1046,0),COLUMN()),"")</f>
        <v/>
      </c>
      <c r="L684" t="str">
        <f>IFERROR(INDEX(装备库!$A$2:$Y$1047,MATCH(ROW()-1,装备库!$AO$2:$AO$1046,0),COLUMN()),"")</f>
        <v/>
      </c>
      <c r="M684" t="str">
        <f>IFERROR(INDEX(装备库!$A$2:$Y$1047,MATCH(ROW()-1,装备库!$AO$2:$AO$1046,0),COLUMN()),"")</f>
        <v/>
      </c>
      <c r="N684" t="str">
        <f>IFERROR(INDEX(装备库!$A$2:$Y$1047,MATCH(ROW()-1,装备库!$AO$2:$AO$1046,0),COLUMN()),"")</f>
        <v/>
      </c>
      <c r="O684" t="str">
        <f>IFERROR(INDEX(装备库!$A$2:$Y$1047,MATCH(ROW()-1,装备库!$AO$2:$AO$1046,0),COLUMN()),"")</f>
        <v/>
      </c>
      <c r="P684" t="str">
        <f>IFERROR(INDEX(装备库!$A$2:$Y$1047,MATCH(ROW()-1,装备库!$AO$2:$AO$1046,0),COLUMN()),"")</f>
        <v/>
      </c>
      <c r="Q684" t="str">
        <f>IFERROR(INDEX(装备库!$A$2:$Y$1047,MATCH(ROW()-1,装备库!$AO$2:$AO$1046,0),COLUMN()),"")</f>
        <v/>
      </c>
      <c r="R684" t="str">
        <f>IFERROR(INDEX(装备库!$A$2:$Y$1047,MATCH(ROW()-1,装备库!$AO$2:$AO$1046,0),COLUMN()),"")</f>
        <v/>
      </c>
      <c r="S684" t="str">
        <f>IFERROR(INDEX(装备库!$A$2:$Y$1047,MATCH(ROW()-1,装备库!$AO$2:$AO$1046,0),COLUMN()),"")</f>
        <v/>
      </c>
      <c r="T684" t="str">
        <f>IFERROR(INDEX(装备库!$A$2:$Y$1047,MATCH(ROW()-1,装备库!$AO$2:$AO$1046,0),COLUMN()),"")</f>
        <v/>
      </c>
      <c r="U684" t="str">
        <f>IFERROR(INDEX(装备库!$A$2:$Y$1047,MATCH(ROW()-1,装备库!$AO$2:$AO$1046,0),COLUMN()),"")</f>
        <v/>
      </c>
      <c r="V684" t="str">
        <f>IFERROR(INDEX(装备库!$A$2:$Y$1047,MATCH(ROW()-1,装备库!$AO$2:$AO$1046,0),COLUMN()),"")</f>
        <v/>
      </c>
      <c r="W684" t="str">
        <f>IFERROR(INDEX(装备库!$A$2:$Y$1047,MATCH(ROW()-1,装备库!$AO$2:$AO$1046,0),COLUMN()),"")</f>
        <v/>
      </c>
      <c r="X684" t="str">
        <f>IFERROR(INDEX(装备库!$A$2:$Y$1047,MATCH(ROW()-1,装备库!$AO$2:$AO$1046,0),COLUMN()),"")</f>
        <v/>
      </c>
      <c r="Y684" t="str">
        <f>IFERROR(INDEX(装备库!$A$2:$Y$1047,MATCH(ROW()-1,装备库!$AO$2:$AO$1046,0),COLUMN()),"")</f>
        <v/>
      </c>
    </row>
    <row r="685" spans="1:25" x14ac:dyDescent="0.35">
      <c r="A685" t="str">
        <f>IFERROR(INDEX(装备库!$A$2:$Y$1047,MATCH(ROW()-1,装备库!$AO$2:$AO$1046,0),COLUMN()),"")</f>
        <v/>
      </c>
      <c r="B685" t="str">
        <f>IFERROR(INDEX(装备库!$A$2:$Y$1047,MATCH(ROW()-1,装备库!$AO$2:$AO$1046,0),COLUMN()),"")</f>
        <v/>
      </c>
      <c r="C685" t="str">
        <f>IFERROR(INDEX(装备库!$A$2:$Y$1047,MATCH(ROW()-1,装备库!$AO$2:$AO$1046,0),COLUMN()),"")</f>
        <v/>
      </c>
      <c r="D685" t="str">
        <f>IFERROR(INDEX(装备库!$A$2:$Y$1047,MATCH(ROW()-1,装备库!$AO$2:$AO$1046,0),COLUMN()),"")</f>
        <v/>
      </c>
      <c r="E685" t="str">
        <f>IFERROR(INDEX(装备库!$A$2:$Y$1047,MATCH(ROW()-1,装备库!$AO$2:$AO$1046,0),COLUMN()),"")</f>
        <v/>
      </c>
      <c r="F685" t="str">
        <f>IFERROR(INDEX(装备库!$A$2:$Y$1047,MATCH(ROW()-1,装备库!$AO$2:$AO$1046,0),COLUMN()),"")</f>
        <v/>
      </c>
      <c r="G685" t="str">
        <f>IFERROR(INDEX(装备库!$A$2:$Y$1047,MATCH(ROW()-1,装备库!$AO$2:$AO$1046,0),COLUMN()),"")</f>
        <v/>
      </c>
      <c r="H685" t="str">
        <f>IFERROR(INDEX(装备库!$A$2:$Y$1047,MATCH(ROW()-1,装备库!$AO$2:$AO$1046,0),COLUMN()),"")</f>
        <v/>
      </c>
      <c r="I685" t="str">
        <f>IFERROR(INDEX(装备库!$A$2:$Y$1047,MATCH(ROW()-1,装备库!$AO$2:$AO$1046,0),COLUMN()),"")</f>
        <v/>
      </c>
      <c r="J685" t="str">
        <f>IFERROR(INDEX(装备库!$A$2:$Y$1047,MATCH(ROW()-1,装备库!$AO$2:$AO$1046,0),COLUMN()),"")</f>
        <v/>
      </c>
      <c r="K685" t="str">
        <f>IFERROR(INDEX(装备库!$A$2:$Y$1047,MATCH(ROW()-1,装备库!$AO$2:$AO$1046,0),COLUMN()),"")</f>
        <v/>
      </c>
      <c r="L685" t="str">
        <f>IFERROR(INDEX(装备库!$A$2:$Y$1047,MATCH(ROW()-1,装备库!$AO$2:$AO$1046,0),COLUMN()),"")</f>
        <v/>
      </c>
      <c r="M685" t="str">
        <f>IFERROR(INDEX(装备库!$A$2:$Y$1047,MATCH(ROW()-1,装备库!$AO$2:$AO$1046,0),COLUMN()),"")</f>
        <v/>
      </c>
      <c r="N685" t="str">
        <f>IFERROR(INDEX(装备库!$A$2:$Y$1047,MATCH(ROW()-1,装备库!$AO$2:$AO$1046,0),COLUMN()),"")</f>
        <v/>
      </c>
      <c r="O685" t="str">
        <f>IFERROR(INDEX(装备库!$A$2:$Y$1047,MATCH(ROW()-1,装备库!$AO$2:$AO$1046,0),COLUMN()),"")</f>
        <v/>
      </c>
      <c r="P685" t="str">
        <f>IFERROR(INDEX(装备库!$A$2:$Y$1047,MATCH(ROW()-1,装备库!$AO$2:$AO$1046,0),COLUMN()),"")</f>
        <v/>
      </c>
      <c r="Q685" t="str">
        <f>IFERROR(INDEX(装备库!$A$2:$Y$1047,MATCH(ROW()-1,装备库!$AO$2:$AO$1046,0),COLUMN()),"")</f>
        <v/>
      </c>
      <c r="R685" t="str">
        <f>IFERROR(INDEX(装备库!$A$2:$Y$1047,MATCH(ROW()-1,装备库!$AO$2:$AO$1046,0),COLUMN()),"")</f>
        <v/>
      </c>
      <c r="S685" t="str">
        <f>IFERROR(INDEX(装备库!$A$2:$Y$1047,MATCH(ROW()-1,装备库!$AO$2:$AO$1046,0),COLUMN()),"")</f>
        <v/>
      </c>
      <c r="T685" t="str">
        <f>IFERROR(INDEX(装备库!$A$2:$Y$1047,MATCH(ROW()-1,装备库!$AO$2:$AO$1046,0),COLUMN()),"")</f>
        <v/>
      </c>
      <c r="U685" t="str">
        <f>IFERROR(INDEX(装备库!$A$2:$Y$1047,MATCH(ROW()-1,装备库!$AO$2:$AO$1046,0),COLUMN()),"")</f>
        <v/>
      </c>
      <c r="V685" t="str">
        <f>IFERROR(INDEX(装备库!$A$2:$Y$1047,MATCH(ROW()-1,装备库!$AO$2:$AO$1046,0),COLUMN()),"")</f>
        <v/>
      </c>
      <c r="W685" t="str">
        <f>IFERROR(INDEX(装备库!$A$2:$Y$1047,MATCH(ROW()-1,装备库!$AO$2:$AO$1046,0),COLUMN()),"")</f>
        <v/>
      </c>
      <c r="X685" t="str">
        <f>IFERROR(INDEX(装备库!$A$2:$Y$1047,MATCH(ROW()-1,装备库!$AO$2:$AO$1046,0),COLUMN()),"")</f>
        <v/>
      </c>
      <c r="Y685" t="str">
        <f>IFERROR(INDEX(装备库!$A$2:$Y$1047,MATCH(ROW()-1,装备库!$AO$2:$AO$1046,0),COLUMN()),"")</f>
        <v/>
      </c>
    </row>
    <row r="686" spans="1:25" x14ac:dyDescent="0.35">
      <c r="A686" t="str">
        <f>IFERROR(INDEX(装备库!$A$2:$Y$1047,MATCH(ROW()-1,装备库!$AO$2:$AO$1046,0),COLUMN()),"")</f>
        <v/>
      </c>
      <c r="B686" t="str">
        <f>IFERROR(INDEX(装备库!$A$2:$Y$1047,MATCH(ROW()-1,装备库!$AO$2:$AO$1046,0),COLUMN()),"")</f>
        <v/>
      </c>
      <c r="C686" t="str">
        <f>IFERROR(INDEX(装备库!$A$2:$Y$1047,MATCH(ROW()-1,装备库!$AO$2:$AO$1046,0),COLUMN()),"")</f>
        <v/>
      </c>
      <c r="D686" t="str">
        <f>IFERROR(INDEX(装备库!$A$2:$Y$1047,MATCH(ROW()-1,装备库!$AO$2:$AO$1046,0),COLUMN()),"")</f>
        <v/>
      </c>
      <c r="E686" t="str">
        <f>IFERROR(INDEX(装备库!$A$2:$Y$1047,MATCH(ROW()-1,装备库!$AO$2:$AO$1046,0),COLUMN()),"")</f>
        <v/>
      </c>
      <c r="F686" t="str">
        <f>IFERROR(INDEX(装备库!$A$2:$Y$1047,MATCH(ROW()-1,装备库!$AO$2:$AO$1046,0),COLUMN()),"")</f>
        <v/>
      </c>
      <c r="G686" t="str">
        <f>IFERROR(INDEX(装备库!$A$2:$Y$1047,MATCH(ROW()-1,装备库!$AO$2:$AO$1046,0),COLUMN()),"")</f>
        <v/>
      </c>
      <c r="H686" t="str">
        <f>IFERROR(INDEX(装备库!$A$2:$Y$1047,MATCH(ROW()-1,装备库!$AO$2:$AO$1046,0),COLUMN()),"")</f>
        <v/>
      </c>
      <c r="I686" t="str">
        <f>IFERROR(INDEX(装备库!$A$2:$Y$1047,MATCH(ROW()-1,装备库!$AO$2:$AO$1046,0),COLUMN()),"")</f>
        <v/>
      </c>
      <c r="J686" t="str">
        <f>IFERROR(INDEX(装备库!$A$2:$Y$1047,MATCH(ROW()-1,装备库!$AO$2:$AO$1046,0),COLUMN()),"")</f>
        <v/>
      </c>
      <c r="K686" t="str">
        <f>IFERROR(INDEX(装备库!$A$2:$Y$1047,MATCH(ROW()-1,装备库!$AO$2:$AO$1046,0),COLUMN()),"")</f>
        <v/>
      </c>
      <c r="L686" t="str">
        <f>IFERROR(INDEX(装备库!$A$2:$Y$1047,MATCH(ROW()-1,装备库!$AO$2:$AO$1046,0),COLUMN()),"")</f>
        <v/>
      </c>
      <c r="M686" t="str">
        <f>IFERROR(INDEX(装备库!$A$2:$Y$1047,MATCH(ROW()-1,装备库!$AO$2:$AO$1046,0),COLUMN()),"")</f>
        <v/>
      </c>
      <c r="N686" t="str">
        <f>IFERROR(INDEX(装备库!$A$2:$Y$1047,MATCH(ROW()-1,装备库!$AO$2:$AO$1046,0),COLUMN()),"")</f>
        <v/>
      </c>
      <c r="O686" t="str">
        <f>IFERROR(INDEX(装备库!$A$2:$Y$1047,MATCH(ROW()-1,装备库!$AO$2:$AO$1046,0),COLUMN()),"")</f>
        <v/>
      </c>
      <c r="P686" t="str">
        <f>IFERROR(INDEX(装备库!$A$2:$Y$1047,MATCH(ROW()-1,装备库!$AO$2:$AO$1046,0),COLUMN()),"")</f>
        <v/>
      </c>
      <c r="Q686" t="str">
        <f>IFERROR(INDEX(装备库!$A$2:$Y$1047,MATCH(ROW()-1,装备库!$AO$2:$AO$1046,0),COLUMN()),"")</f>
        <v/>
      </c>
      <c r="R686" t="str">
        <f>IFERROR(INDEX(装备库!$A$2:$Y$1047,MATCH(ROW()-1,装备库!$AO$2:$AO$1046,0),COLUMN()),"")</f>
        <v/>
      </c>
      <c r="S686" t="str">
        <f>IFERROR(INDEX(装备库!$A$2:$Y$1047,MATCH(ROW()-1,装备库!$AO$2:$AO$1046,0),COLUMN()),"")</f>
        <v/>
      </c>
      <c r="T686" t="str">
        <f>IFERROR(INDEX(装备库!$A$2:$Y$1047,MATCH(ROW()-1,装备库!$AO$2:$AO$1046,0),COLUMN()),"")</f>
        <v/>
      </c>
      <c r="U686" t="str">
        <f>IFERROR(INDEX(装备库!$A$2:$Y$1047,MATCH(ROW()-1,装备库!$AO$2:$AO$1046,0),COLUMN()),"")</f>
        <v/>
      </c>
      <c r="V686" t="str">
        <f>IFERROR(INDEX(装备库!$A$2:$Y$1047,MATCH(ROW()-1,装备库!$AO$2:$AO$1046,0),COLUMN()),"")</f>
        <v/>
      </c>
      <c r="W686" t="str">
        <f>IFERROR(INDEX(装备库!$A$2:$Y$1047,MATCH(ROW()-1,装备库!$AO$2:$AO$1046,0),COLUMN()),"")</f>
        <v/>
      </c>
      <c r="X686" t="str">
        <f>IFERROR(INDEX(装备库!$A$2:$Y$1047,MATCH(ROW()-1,装备库!$AO$2:$AO$1046,0),COLUMN()),"")</f>
        <v/>
      </c>
      <c r="Y686" t="str">
        <f>IFERROR(INDEX(装备库!$A$2:$Y$1047,MATCH(ROW()-1,装备库!$AO$2:$AO$1046,0),COLUMN()),"")</f>
        <v/>
      </c>
    </row>
    <row r="687" spans="1:25" x14ac:dyDescent="0.35">
      <c r="A687" t="str">
        <f>IFERROR(INDEX(装备库!$A$2:$Y$1047,MATCH(ROW()-1,装备库!$AO$2:$AO$1046,0),COLUMN()),"")</f>
        <v/>
      </c>
      <c r="B687" t="str">
        <f>IFERROR(INDEX(装备库!$A$2:$Y$1047,MATCH(ROW()-1,装备库!$AO$2:$AO$1046,0),COLUMN()),"")</f>
        <v/>
      </c>
      <c r="C687" t="str">
        <f>IFERROR(INDEX(装备库!$A$2:$Y$1047,MATCH(ROW()-1,装备库!$AO$2:$AO$1046,0),COLUMN()),"")</f>
        <v/>
      </c>
      <c r="D687" t="str">
        <f>IFERROR(INDEX(装备库!$A$2:$Y$1047,MATCH(ROW()-1,装备库!$AO$2:$AO$1046,0),COLUMN()),"")</f>
        <v/>
      </c>
      <c r="E687" t="str">
        <f>IFERROR(INDEX(装备库!$A$2:$Y$1047,MATCH(ROW()-1,装备库!$AO$2:$AO$1046,0),COLUMN()),"")</f>
        <v/>
      </c>
      <c r="F687" t="str">
        <f>IFERROR(INDEX(装备库!$A$2:$Y$1047,MATCH(ROW()-1,装备库!$AO$2:$AO$1046,0),COLUMN()),"")</f>
        <v/>
      </c>
      <c r="G687" t="str">
        <f>IFERROR(INDEX(装备库!$A$2:$Y$1047,MATCH(ROW()-1,装备库!$AO$2:$AO$1046,0),COLUMN()),"")</f>
        <v/>
      </c>
      <c r="H687" t="str">
        <f>IFERROR(INDEX(装备库!$A$2:$Y$1047,MATCH(ROW()-1,装备库!$AO$2:$AO$1046,0),COLUMN()),"")</f>
        <v/>
      </c>
      <c r="I687" t="str">
        <f>IFERROR(INDEX(装备库!$A$2:$Y$1047,MATCH(ROW()-1,装备库!$AO$2:$AO$1046,0),COLUMN()),"")</f>
        <v/>
      </c>
      <c r="J687" t="str">
        <f>IFERROR(INDEX(装备库!$A$2:$Y$1047,MATCH(ROW()-1,装备库!$AO$2:$AO$1046,0),COLUMN()),"")</f>
        <v/>
      </c>
      <c r="K687" t="str">
        <f>IFERROR(INDEX(装备库!$A$2:$Y$1047,MATCH(ROW()-1,装备库!$AO$2:$AO$1046,0),COLUMN()),"")</f>
        <v/>
      </c>
      <c r="L687" t="str">
        <f>IFERROR(INDEX(装备库!$A$2:$Y$1047,MATCH(ROW()-1,装备库!$AO$2:$AO$1046,0),COLUMN()),"")</f>
        <v/>
      </c>
      <c r="M687" t="str">
        <f>IFERROR(INDEX(装备库!$A$2:$Y$1047,MATCH(ROW()-1,装备库!$AO$2:$AO$1046,0),COLUMN()),"")</f>
        <v/>
      </c>
      <c r="N687" t="str">
        <f>IFERROR(INDEX(装备库!$A$2:$Y$1047,MATCH(ROW()-1,装备库!$AO$2:$AO$1046,0),COLUMN()),"")</f>
        <v/>
      </c>
      <c r="O687" t="str">
        <f>IFERROR(INDEX(装备库!$A$2:$Y$1047,MATCH(ROW()-1,装备库!$AO$2:$AO$1046,0),COLUMN()),"")</f>
        <v/>
      </c>
      <c r="P687" t="str">
        <f>IFERROR(INDEX(装备库!$A$2:$Y$1047,MATCH(ROW()-1,装备库!$AO$2:$AO$1046,0),COLUMN()),"")</f>
        <v/>
      </c>
      <c r="Q687" t="str">
        <f>IFERROR(INDEX(装备库!$A$2:$Y$1047,MATCH(ROW()-1,装备库!$AO$2:$AO$1046,0),COLUMN()),"")</f>
        <v/>
      </c>
      <c r="R687" t="str">
        <f>IFERROR(INDEX(装备库!$A$2:$Y$1047,MATCH(ROW()-1,装备库!$AO$2:$AO$1046,0),COLUMN()),"")</f>
        <v/>
      </c>
      <c r="S687" t="str">
        <f>IFERROR(INDEX(装备库!$A$2:$Y$1047,MATCH(ROW()-1,装备库!$AO$2:$AO$1046,0),COLUMN()),"")</f>
        <v/>
      </c>
      <c r="T687" t="str">
        <f>IFERROR(INDEX(装备库!$A$2:$Y$1047,MATCH(ROW()-1,装备库!$AO$2:$AO$1046,0),COLUMN()),"")</f>
        <v/>
      </c>
      <c r="U687" t="str">
        <f>IFERROR(INDEX(装备库!$A$2:$Y$1047,MATCH(ROW()-1,装备库!$AO$2:$AO$1046,0),COLUMN()),"")</f>
        <v/>
      </c>
      <c r="V687" t="str">
        <f>IFERROR(INDEX(装备库!$A$2:$Y$1047,MATCH(ROW()-1,装备库!$AO$2:$AO$1046,0),COLUMN()),"")</f>
        <v/>
      </c>
      <c r="W687" t="str">
        <f>IFERROR(INDEX(装备库!$A$2:$Y$1047,MATCH(ROW()-1,装备库!$AO$2:$AO$1046,0),COLUMN()),"")</f>
        <v/>
      </c>
      <c r="X687" t="str">
        <f>IFERROR(INDEX(装备库!$A$2:$Y$1047,MATCH(ROW()-1,装备库!$AO$2:$AO$1046,0),COLUMN()),"")</f>
        <v/>
      </c>
      <c r="Y687" t="str">
        <f>IFERROR(INDEX(装备库!$A$2:$Y$1047,MATCH(ROW()-1,装备库!$AO$2:$AO$1046,0),COLUMN()),"")</f>
        <v/>
      </c>
    </row>
    <row r="688" spans="1:25" x14ac:dyDescent="0.35">
      <c r="A688" t="str">
        <f>IFERROR(INDEX(装备库!$A$2:$Y$1047,MATCH(ROW()-1,装备库!$AO$2:$AO$1046,0),COLUMN()),"")</f>
        <v/>
      </c>
      <c r="B688" t="str">
        <f>IFERROR(INDEX(装备库!$A$2:$Y$1047,MATCH(ROW()-1,装备库!$AO$2:$AO$1046,0),COLUMN()),"")</f>
        <v/>
      </c>
      <c r="C688" t="str">
        <f>IFERROR(INDEX(装备库!$A$2:$Y$1047,MATCH(ROW()-1,装备库!$AO$2:$AO$1046,0),COLUMN()),"")</f>
        <v/>
      </c>
      <c r="D688" t="str">
        <f>IFERROR(INDEX(装备库!$A$2:$Y$1047,MATCH(ROW()-1,装备库!$AO$2:$AO$1046,0),COLUMN()),"")</f>
        <v/>
      </c>
      <c r="E688" t="str">
        <f>IFERROR(INDEX(装备库!$A$2:$Y$1047,MATCH(ROW()-1,装备库!$AO$2:$AO$1046,0),COLUMN()),"")</f>
        <v/>
      </c>
      <c r="F688" t="str">
        <f>IFERROR(INDEX(装备库!$A$2:$Y$1047,MATCH(ROW()-1,装备库!$AO$2:$AO$1046,0),COLUMN()),"")</f>
        <v/>
      </c>
      <c r="G688" t="str">
        <f>IFERROR(INDEX(装备库!$A$2:$Y$1047,MATCH(ROW()-1,装备库!$AO$2:$AO$1046,0),COLUMN()),"")</f>
        <v/>
      </c>
      <c r="H688" t="str">
        <f>IFERROR(INDEX(装备库!$A$2:$Y$1047,MATCH(ROW()-1,装备库!$AO$2:$AO$1046,0),COLUMN()),"")</f>
        <v/>
      </c>
      <c r="I688" t="str">
        <f>IFERROR(INDEX(装备库!$A$2:$Y$1047,MATCH(ROW()-1,装备库!$AO$2:$AO$1046,0),COLUMN()),"")</f>
        <v/>
      </c>
      <c r="J688" t="str">
        <f>IFERROR(INDEX(装备库!$A$2:$Y$1047,MATCH(ROW()-1,装备库!$AO$2:$AO$1046,0),COLUMN()),"")</f>
        <v/>
      </c>
      <c r="K688" t="str">
        <f>IFERROR(INDEX(装备库!$A$2:$Y$1047,MATCH(ROW()-1,装备库!$AO$2:$AO$1046,0),COLUMN()),"")</f>
        <v/>
      </c>
      <c r="L688" t="str">
        <f>IFERROR(INDEX(装备库!$A$2:$Y$1047,MATCH(ROW()-1,装备库!$AO$2:$AO$1046,0),COLUMN()),"")</f>
        <v/>
      </c>
      <c r="M688" t="str">
        <f>IFERROR(INDEX(装备库!$A$2:$Y$1047,MATCH(ROW()-1,装备库!$AO$2:$AO$1046,0),COLUMN()),"")</f>
        <v/>
      </c>
      <c r="N688" t="str">
        <f>IFERROR(INDEX(装备库!$A$2:$Y$1047,MATCH(ROW()-1,装备库!$AO$2:$AO$1046,0),COLUMN()),"")</f>
        <v/>
      </c>
      <c r="O688" t="str">
        <f>IFERROR(INDEX(装备库!$A$2:$Y$1047,MATCH(ROW()-1,装备库!$AO$2:$AO$1046,0),COLUMN()),"")</f>
        <v/>
      </c>
      <c r="P688" t="str">
        <f>IFERROR(INDEX(装备库!$A$2:$Y$1047,MATCH(ROW()-1,装备库!$AO$2:$AO$1046,0),COLUMN()),"")</f>
        <v/>
      </c>
      <c r="Q688" t="str">
        <f>IFERROR(INDEX(装备库!$A$2:$Y$1047,MATCH(ROW()-1,装备库!$AO$2:$AO$1046,0),COLUMN()),"")</f>
        <v/>
      </c>
      <c r="R688" t="str">
        <f>IFERROR(INDEX(装备库!$A$2:$Y$1047,MATCH(ROW()-1,装备库!$AO$2:$AO$1046,0),COLUMN()),"")</f>
        <v/>
      </c>
      <c r="S688" t="str">
        <f>IFERROR(INDEX(装备库!$A$2:$Y$1047,MATCH(ROW()-1,装备库!$AO$2:$AO$1046,0),COLUMN()),"")</f>
        <v/>
      </c>
      <c r="T688" t="str">
        <f>IFERROR(INDEX(装备库!$A$2:$Y$1047,MATCH(ROW()-1,装备库!$AO$2:$AO$1046,0),COLUMN()),"")</f>
        <v/>
      </c>
      <c r="U688" t="str">
        <f>IFERROR(INDEX(装备库!$A$2:$Y$1047,MATCH(ROW()-1,装备库!$AO$2:$AO$1046,0),COLUMN()),"")</f>
        <v/>
      </c>
      <c r="V688" t="str">
        <f>IFERROR(INDEX(装备库!$A$2:$Y$1047,MATCH(ROW()-1,装备库!$AO$2:$AO$1046,0),COLUMN()),"")</f>
        <v/>
      </c>
      <c r="W688" t="str">
        <f>IFERROR(INDEX(装备库!$A$2:$Y$1047,MATCH(ROW()-1,装备库!$AO$2:$AO$1046,0),COLUMN()),"")</f>
        <v/>
      </c>
      <c r="X688" t="str">
        <f>IFERROR(INDEX(装备库!$A$2:$Y$1047,MATCH(ROW()-1,装备库!$AO$2:$AO$1046,0),COLUMN()),"")</f>
        <v/>
      </c>
      <c r="Y688" t="str">
        <f>IFERROR(INDEX(装备库!$A$2:$Y$1047,MATCH(ROW()-1,装备库!$AO$2:$AO$1046,0),COLUMN()),"")</f>
        <v/>
      </c>
    </row>
    <row r="689" spans="1:25" x14ac:dyDescent="0.35">
      <c r="A689" t="str">
        <f>IFERROR(INDEX(装备库!$A$2:$Y$1047,MATCH(ROW()-1,装备库!$AO$2:$AO$1046,0),COLUMN()),"")</f>
        <v/>
      </c>
      <c r="B689" t="str">
        <f>IFERROR(INDEX(装备库!$A$2:$Y$1047,MATCH(ROW()-1,装备库!$AO$2:$AO$1046,0),COLUMN()),"")</f>
        <v/>
      </c>
      <c r="C689" t="str">
        <f>IFERROR(INDEX(装备库!$A$2:$Y$1047,MATCH(ROW()-1,装备库!$AO$2:$AO$1046,0),COLUMN()),"")</f>
        <v/>
      </c>
      <c r="D689" t="str">
        <f>IFERROR(INDEX(装备库!$A$2:$Y$1047,MATCH(ROW()-1,装备库!$AO$2:$AO$1046,0),COLUMN()),"")</f>
        <v/>
      </c>
      <c r="E689" t="str">
        <f>IFERROR(INDEX(装备库!$A$2:$Y$1047,MATCH(ROW()-1,装备库!$AO$2:$AO$1046,0),COLUMN()),"")</f>
        <v/>
      </c>
      <c r="F689" t="str">
        <f>IFERROR(INDEX(装备库!$A$2:$Y$1047,MATCH(ROW()-1,装备库!$AO$2:$AO$1046,0),COLUMN()),"")</f>
        <v/>
      </c>
      <c r="G689" t="str">
        <f>IFERROR(INDEX(装备库!$A$2:$Y$1047,MATCH(ROW()-1,装备库!$AO$2:$AO$1046,0),COLUMN()),"")</f>
        <v/>
      </c>
      <c r="H689" t="str">
        <f>IFERROR(INDEX(装备库!$A$2:$Y$1047,MATCH(ROW()-1,装备库!$AO$2:$AO$1046,0),COLUMN()),"")</f>
        <v/>
      </c>
      <c r="I689" t="str">
        <f>IFERROR(INDEX(装备库!$A$2:$Y$1047,MATCH(ROW()-1,装备库!$AO$2:$AO$1046,0),COLUMN()),"")</f>
        <v/>
      </c>
      <c r="J689" t="str">
        <f>IFERROR(INDEX(装备库!$A$2:$Y$1047,MATCH(ROW()-1,装备库!$AO$2:$AO$1046,0),COLUMN()),"")</f>
        <v/>
      </c>
      <c r="K689" t="str">
        <f>IFERROR(INDEX(装备库!$A$2:$Y$1047,MATCH(ROW()-1,装备库!$AO$2:$AO$1046,0),COLUMN()),"")</f>
        <v/>
      </c>
      <c r="L689" t="str">
        <f>IFERROR(INDEX(装备库!$A$2:$Y$1047,MATCH(ROW()-1,装备库!$AO$2:$AO$1046,0),COLUMN()),"")</f>
        <v/>
      </c>
      <c r="M689" t="str">
        <f>IFERROR(INDEX(装备库!$A$2:$Y$1047,MATCH(ROW()-1,装备库!$AO$2:$AO$1046,0),COLUMN()),"")</f>
        <v/>
      </c>
      <c r="N689" t="str">
        <f>IFERROR(INDEX(装备库!$A$2:$Y$1047,MATCH(ROW()-1,装备库!$AO$2:$AO$1046,0),COLUMN()),"")</f>
        <v/>
      </c>
      <c r="O689" t="str">
        <f>IFERROR(INDEX(装备库!$A$2:$Y$1047,MATCH(ROW()-1,装备库!$AO$2:$AO$1046,0),COLUMN()),"")</f>
        <v/>
      </c>
      <c r="P689" t="str">
        <f>IFERROR(INDEX(装备库!$A$2:$Y$1047,MATCH(ROW()-1,装备库!$AO$2:$AO$1046,0),COLUMN()),"")</f>
        <v/>
      </c>
      <c r="Q689" t="str">
        <f>IFERROR(INDEX(装备库!$A$2:$Y$1047,MATCH(ROW()-1,装备库!$AO$2:$AO$1046,0),COLUMN()),"")</f>
        <v/>
      </c>
      <c r="R689" t="str">
        <f>IFERROR(INDEX(装备库!$A$2:$Y$1047,MATCH(ROW()-1,装备库!$AO$2:$AO$1046,0),COLUMN()),"")</f>
        <v/>
      </c>
      <c r="S689" t="str">
        <f>IFERROR(INDEX(装备库!$A$2:$Y$1047,MATCH(ROW()-1,装备库!$AO$2:$AO$1046,0),COLUMN()),"")</f>
        <v/>
      </c>
      <c r="T689" t="str">
        <f>IFERROR(INDEX(装备库!$A$2:$Y$1047,MATCH(ROW()-1,装备库!$AO$2:$AO$1046,0),COLUMN()),"")</f>
        <v/>
      </c>
      <c r="U689" t="str">
        <f>IFERROR(INDEX(装备库!$A$2:$Y$1047,MATCH(ROW()-1,装备库!$AO$2:$AO$1046,0),COLUMN()),"")</f>
        <v/>
      </c>
      <c r="V689" t="str">
        <f>IFERROR(INDEX(装备库!$A$2:$Y$1047,MATCH(ROW()-1,装备库!$AO$2:$AO$1046,0),COLUMN()),"")</f>
        <v/>
      </c>
      <c r="W689" t="str">
        <f>IFERROR(INDEX(装备库!$A$2:$Y$1047,MATCH(ROW()-1,装备库!$AO$2:$AO$1046,0),COLUMN()),"")</f>
        <v/>
      </c>
      <c r="X689" t="str">
        <f>IFERROR(INDEX(装备库!$A$2:$Y$1047,MATCH(ROW()-1,装备库!$AO$2:$AO$1046,0),COLUMN()),"")</f>
        <v/>
      </c>
      <c r="Y689" t="str">
        <f>IFERROR(INDEX(装备库!$A$2:$Y$1047,MATCH(ROW()-1,装备库!$AO$2:$AO$1046,0),COLUMN()),"")</f>
        <v/>
      </c>
    </row>
    <row r="690" spans="1:25" x14ac:dyDescent="0.35">
      <c r="A690" t="str">
        <f>IFERROR(INDEX(装备库!$A$2:$Y$1047,MATCH(ROW()-1,装备库!$AO$2:$AO$1046,0),COLUMN()),"")</f>
        <v/>
      </c>
      <c r="B690" t="str">
        <f>IFERROR(INDEX(装备库!$A$2:$Y$1047,MATCH(ROW()-1,装备库!$AO$2:$AO$1046,0),COLUMN()),"")</f>
        <v/>
      </c>
      <c r="C690" t="str">
        <f>IFERROR(INDEX(装备库!$A$2:$Y$1047,MATCH(ROW()-1,装备库!$AO$2:$AO$1046,0),COLUMN()),"")</f>
        <v/>
      </c>
      <c r="D690" t="str">
        <f>IFERROR(INDEX(装备库!$A$2:$Y$1047,MATCH(ROW()-1,装备库!$AO$2:$AO$1046,0),COLUMN()),"")</f>
        <v/>
      </c>
      <c r="E690" t="str">
        <f>IFERROR(INDEX(装备库!$A$2:$Y$1047,MATCH(ROW()-1,装备库!$AO$2:$AO$1046,0),COLUMN()),"")</f>
        <v/>
      </c>
      <c r="F690" t="str">
        <f>IFERROR(INDEX(装备库!$A$2:$Y$1047,MATCH(ROW()-1,装备库!$AO$2:$AO$1046,0),COLUMN()),"")</f>
        <v/>
      </c>
      <c r="G690" t="str">
        <f>IFERROR(INDEX(装备库!$A$2:$Y$1047,MATCH(ROW()-1,装备库!$AO$2:$AO$1046,0),COLUMN()),"")</f>
        <v/>
      </c>
      <c r="H690" t="str">
        <f>IFERROR(INDEX(装备库!$A$2:$Y$1047,MATCH(ROW()-1,装备库!$AO$2:$AO$1046,0),COLUMN()),"")</f>
        <v/>
      </c>
      <c r="I690" t="str">
        <f>IFERROR(INDEX(装备库!$A$2:$Y$1047,MATCH(ROW()-1,装备库!$AO$2:$AO$1046,0),COLUMN()),"")</f>
        <v/>
      </c>
      <c r="J690" t="str">
        <f>IFERROR(INDEX(装备库!$A$2:$Y$1047,MATCH(ROW()-1,装备库!$AO$2:$AO$1046,0),COLUMN()),"")</f>
        <v/>
      </c>
      <c r="K690" t="str">
        <f>IFERROR(INDEX(装备库!$A$2:$Y$1047,MATCH(ROW()-1,装备库!$AO$2:$AO$1046,0),COLUMN()),"")</f>
        <v/>
      </c>
      <c r="L690" t="str">
        <f>IFERROR(INDEX(装备库!$A$2:$Y$1047,MATCH(ROW()-1,装备库!$AO$2:$AO$1046,0),COLUMN()),"")</f>
        <v/>
      </c>
      <c r="M690" t="str">
        <f>IFERROR(INDEX(装备库!$A$2:$Y$1047,MATCH(ROW()-1,装备库!$AO$2:$AO$1046,0),COLUMN()),"")</f>
        <v/>
      </c>
      <c r="N690" t="str">
        <f>IFERROR(INDEX(装备库!$A$2:$Y$1047,MATCH(ROW()-1,装备库!$AO$2:$AO$1046,0),COLUMN()),"")</f>
        <v/>
      </c>
      <c r="O690" t="str">
        <f>IFERROR(INDEX(装备库!$A$2:$Y$1047,MATCH(ROW()-1,装备库!$AO$2:$AO$1046,0),COLUMN()),"")</f>
        <v/>
      </c>
      <c r="P690" t="str">
        <f>IFERROR(INDEX(装备库!$A$2:$Y$1047,MATCH(ROW()-1,装备库!$AO$2:$AO$1046,0),COLUMN()),"")</f>
        <v/>
      </c>
      <c r="Q690" t="str">
        <f>IFERROR(INDEX(装备库!$A$2:$Y$1047,MATCH(ROW()-1,装备库!$AO$2:$AO$1046,0),COLUMN()),"")</f>
        <v/>
      </c>
      <c r="R690" t="str">
        <f>IFERROR(INDEX(装备库!$A$2:$Y$1047,MATCH(ROW()-1,装备库!$AO$2:$AO$1046,0),COLUMN()),"")</f>
        <v/>
      </c>
      <c r="S690" t="str">
        <f>IFERROR(INDEX(装备库!$A$2:$Y$1047,MATCH(ROW()-1,装备库!$AO$2:$AO$1046,0),COLUMN()),"")</f>
        <v/>
      </c>
      <c r="T690" t="str">
        <f>IFERROR(INDEX(装备库!$A$2:$Y$1047,MATCH(ROW()-1,装备库!$AO$2:$AO$1046,0),COLUMN()),"")</f>
        <v/>
      </c>
      <c r="U690" t="str">
        <f>IFERROR(INDEX(装备库!$A$2:$Y$1047,MATCH(ROW()-1,装备库!$AO$2:$AO$1046,0),COLUMN()),"")</f>
        <v/>
      </c>
      <c r="V690" t="str">
        <f>IFERROR(INDEX(装备库!$A$2:$Y$1047,MATCH(ROW()-1,装备库!$AO$2:$AO$1046,0),COLUMN()),"")</f>
        <v/>
      </c>
      <c r="W690" t="str">
        <f>IFERROR(INDEX(装备库!$A$2:$Y$1047,MATCH(ROW()-1,装备库!$AO$2:$AO$1046,0),COLUMN()),"")</f>
        <v/>
      </c>
      <c r="X690" t="str">
        <f>IFERROR(INDEX(装备库!$A$2:$Y$1047,MATCH(ROW()-1,装备库!$AO$2:$AO$1046,0),COLUMN()),"")</f>
        <v/>
      </c>
      <c r="Y690" t="str">
        <f>IFERROR(INDEX(装备库!$A$2:$Y$1047,MATCH(ROW()-1,装备库!$AO$2:$AO$1046,0),COLUMN()),"")</f>
        <v/>
      </c>
    </row>
    <row r="691" spans="1:25" x14ac:dyDescent="0.35">
      <c r="A691" t="str">
        <f>IFERROR(INDEX(装备库!$A$2:$Y$1047,MATCH(ROW()-1,装备库!$AO$2:$AO$1046,0),COLUMN()),"")</f>
        <v/>
      </c>
      <c r="B691" t="str">
        <f>IFERROR(INDEX(装备库!$A$2:$Y$1047,MATCH(ROW()-1,装备库!$AO$2:$AO$1046,0),COLUMN()),"")</f>
        <v/>
      </c>
      <c r="C691" t="str">
        <f>IFERROR(INDEX(装备库!$A$2:$Y$1047,MATCH(ROW()-1,装备库!$AO$2:$AO$1046,0),COLUMN()),"")</f>
        <v/>
      </c>
      <c r="D691" t="str">
        <f>IFERROR(INDEX(装备库!$A$2:$Y$1047,MATCH(ROW()-1,装备库!$AO$2:$AO$1046,0),COLUMN()),"")</f>
        <v/>
      </c>
      <c r="E691" t="str">
        <f>IFERROR(INDEX(装备库!$A$2:$Y$1047,MATCH(ROW()-1,装备库!$AO$2:$AO$1046,0),COLUMN()),"")</f>
        <v/>
      </c>
      <c r="F691" t="str">
        <f>IFERROR(INDEX(装备库!$A$2:$Y$1047,MATCH(ROW()-1,装备库!$AO$2:$AO$1046,0),COLUMN()),"")</f>
        <v/>
      </c>
      <c r="G691" t="str">
        <f>IFERROR(INDEX(装备库!$A$2:$Y$1047,MATCH(ROW()-1,装备库!$AO$2:$AO$1046,0),COLUMN()),"")</f>
        <v/>
      </c>
      <c r="H691" t="str">
        <f>IFERROR(INDEX(装备库!$A$2:$Y$1047,MATCH(ROW()-1,装备库!$AO$2:$AO$1046,0),COLUMN()),"")</f>
        <v/>
      </c>
      <c r="I691" t="str">
        <f>IFERROR(INDEX(装备库!$A$2:$Y$1047,MATCH(ROW()-1,装备库!$AO$2:$AO$1046,0),COLUMN()),"")</f>
        <v/>
      </c>
      <c r="J691" t="str">
        <f>IFERROR(INDEX(装备库!$A$2:$Y$1047,MATCH(ROW()-1,装备库!$AO$2:$AO$1046,0),COLUMN()),"")</f>
        <v/>
      </c>
      <c r="K691" t="str">
        <f>IFERROR(INDEX(装备库!$A$2:$Y$1047,MATCH(ROW()-1,装备库!$AO$2:$AO$1046,0),COLUMN()),"")</f>
        <v/>
      </c>
      <c r="L691" t="str">
        <f>IFERROR(INDEX(装备库!$A$2:$Y$1047,MATCH(ROW()-1,装备库!$AO$2:$AO$1046,0),COLUMN()),"")</f>
        <v/>
      </c>
      <c r="M691" t="str">
        <f>IFERROR(INDEX(装备库!$A$2:$Y$1047,MATCH(ROW()-1,装备库!$AO$2:$AO$1046,0),COLUMN()),"")</f>
        <v/>
      </c>
      <c r="N691" t="str">
        <f>IFERROR(INDEX(装备库!$A$2:$Y$1047,MATCH(ROW()-1,装备库!$AO$2:$AO$1046,0),COLUMN()),"")</f>
        <v/>
      </c>
      <c r="O691" t="str">
        <f>IFERROR(INDEX(装备库!$A$2:$Y$1047,MATCH(ROW()-1,装备库!$AO$2:$AO$1046,0),COLUMN()),"")</f>
        <v/>
      </c>
      <c r="P691" t="str">
        <f>IFERROR(INDEX(装备库!$A$2:$Y$1047,MATCH(ROW()-1,装备库!$AO$2:$AO$1046,0),COLUMN()),"")</f>
        <v/>
      </c>
      <c r="Q691" t="str">
        <f>IFERROR(INDEX(装备库!$A$2:$Y$1047,MATCH(ROW()-1,装备库!$AO$2:$AO$1046,0),COLUMN()),"")</f>
        <v/>
      </c>
      <c r="R691" t="str">
        <f>IFERROR(INDEX(装备库!$A$2:$Y$1047,MATCH(ROW()-1,装备库!$AO$2:$AO$1046,0),COLUMN()),"")</f>
        <v/>
      </c>
      <c r="S691" t="str">
        <f>IFERROR(INDEX(装备库!$A$2:$Y$1047,MATCH(ROW()-1,装备库!$AO$2:$AO$1046,0),COLUMN()),"")</f>
        <v/>
      </c>
      <c r="T691" t="str">
        <f>IFERROR(INDEX(装备库!$A$2:$Y$1047,MATCH(ROW()-1,装备库!$AO$2:$AO$1046,0),COLUMN()),"")</f>
        <v/>
      </c>
      <c r="U691" t="str">
        <f>IFERROR(INDEX(装备库!$A$2:$Y$1047,MATCH(ROW()-1,装备库!$AO$2:$AO$1046,0),COLUMN()),"")</f>
        <v/>
      </c>
      <c r="V691" t="str">
        <f>IFERROR(INDEX(装备库!$A$2:$Y$1047,MATCH(ROW()-1,装备库!$AO$2:$AO$1046,0),COLUMN()),"")</f>
        <v/>
      </c>
      <c r="W691" t="str">
        <f>IFERROR(INDEX(装备库!$A$2:$Y$1047,MATCH(ROW()-1,装备库!$AO$2:$AO$1046,0),COLUMN()),"")</f>
        <v/>
      </c>
      <c r="X691" t="str">
        <f>IFERROR(INDEX(装备库!$A$2:$Y$1047,MATCH(ROW()-1,装备库!$AO$2:$AO$1046,0),COLUMN()),"")</f>
        <v/>
      </c>
      <c r="Y691" t="str">
        <f>IFERROR(INDEX(装备库!$A$2:$Y$1047,MATCH(ROW()-1,装备库!$AO$2:$AO$1046,0),COLUMN()),"")</f>
        <v/>
      </c>
    </row>
    <row r="692" spans="1:25" x14ac:dyDescent="0.35">
      <c r="A692" t="str">
        <f>IFERROR(INDEX(装备库!$A$2:$Y$1047,MATCH(ROW()-1,装备库!$AO$2:$AO$1046,0),COLUMN()),"")</f>
        <v/>
      </c>
      <c r="B692" t="str">
        <f>IFERROR(INDEX(装备库!$A$2:$Y$1047,MATCH(ROW()-1,装备库!$AO$2:$AO$1046,0),COLUMN()),"")</f>
        <v/>
      </c>
      <c r="C692" t="str">
        <f>IFERROR(INDEX(装备库!$A$2:$Y$1047,MATCH(ROW()-1,装备库!$AO$2:$AO$1046,0),COLUMN()),"")</f>
        <v/>
      </c>
      <c r="D692" t="str">
        <f>IFERROR(INDEX(装备库!$A$2:$Y$1047,MATCH(ROW()-1,装备库!$AO$2:$AO$1046,0),COLUMN()),"")</f>
        <v/>
      </c>
      <c r="E692" t="str">
        <f>IFERROR(INDEX(装备库!$A$2:$Y$1047,MATCH(ROW()-1,装备库!$AO$2:$AO$1046,0),COLUMN()),"")</f>
        <v/>
      </c>
      <c r="F692" t="str">
        <f>IFERROR(INDEX(装备库!$A$2:$Y$1047,MATCH(ROW()-1,装备库!$AO$2:$AO$1046,0),COLUMN()),"")</f>
        <v/>
      </c>
      <c r="G692" t="str">
        <f>IFERROR(INDEX(装备库!$A$2:$Y$1047,MATCH(ROW()-1,装备库!$AO$2:$AO$1046,0),COLUMN()),"")</f>
        <v/>
      </c>
      <c r="H692" t="str">
        <f>IFERROR(INDEX(装备库!$A$2:$Y$1047,MATCH(ROW()-1,装备库!$AO$2:$AO$1046,0),COLUMN()),"")</f>
        <v/>
      </c>
      <c r="I692" t="str">
        <f>IFERROR(INDEX(装备库!$A$2:$Y$1047,MATCH(ROW()-1,装备库!$AO$2:$AO$1046,0),COLUMN()),"")</f>
        <v/>
      </c>
      <c r="J692" t="str">
        <f>IFERROR(INDEX(装备库!$A$2:$Y$1047,MATCH(ROW()-1,装备库!$AO$2:$AO$1046,0),COLUMN()),"")</f>
        <v/>
      </c>
      <c r="K692" t="str">
        <f>IFERROR(INDEX(装备库!$A$2:$Y$1047,MATCH(ROW()-1,装备库!$AO$2:$AO$1046,0),COLUMN()),"")</f>
        <v/>
      </c>
      <c r="L692" t="str">
        <f>IFERROR(INDEX(装备库!$A$2:$Y$1047,MATCH(ROW()-1,装备库!$AO$2:$AO$1046,0),COLUMN()),"")</f>
        <v/>
      </c>
      <c r="M692" t="str">
        <f>IFERROR(INDEX(装备库!$A$2:$Y$1047,MATCH(ROW()-1,装备库!$AO$2:$AO$1046,0),COLUMN()),"")</f>
        <v/>
      </c>
      <c r="N692" t="str">
        <f>IFERROR(INDEX(装备库!$A$2:$Y$1047,MATCH(ROW()-1,装备库!$AO$2:$AO$1046,0),COLUMN()),"")</f>
        <v/>
      </c>
      <c r="O692" t="str">
        <f>IFERROR(INDEX(装备库!$A$2:$Y$1047,MATCH(ROW()-1,装备库!$AO$2:$AO$1046,0),COLUMN()),"")</f>
        <v/>
      </c>
      <c r="P692" t="str">
        <f>IFERROR(INDEX(装备库!$A$2:$Y$1047,MATCH(ROW()-1,装备库!$AO$2:$AO$1046,0),COLUMN()),"")</f>
        <v/>
      </c>
      <c r="Q692" t="str">
        <f>IFERROR(INDEX(装备库!$A$2:$Y$1047,MATCH(ROW()-1,装备库!$AO$2:$AO$1046,0),COLUMN()),"")</f>
        <v/>
      </c>
      <c r="R692" t="str">
        <f>IFERROR(INDEX(装备库!$A$2:$Y$1047,MATCH(ROW()-1,装备库!$AO$2:$AO$1046,0),COLUMN()),"")</f>
        <v/>
      </c>
      <c r="S692" t="str">
        <f>IFERROR(INDEX(装备库!$A$2:$Y$1047,MATCH(ROW()-1,装备库!$AO$2:$AO$1046,0),COLUMN()),"")</f>
        <v/>
      </c>
      <c r="T692" t="str">
        <f>IFERROR(INDEX(装备库!$A$2:$Y$1047,MATCH(ROW()-1,装备库!$AO$2:$AO$1046,0),COLUMN()),"")</f>
        <v/>
      </c>
      <c r="U692" t="str">
        <f>IFERROR(INDEX(装备库!$A$2:$Y$1047,MATCH(ROW()-1,装备库!$AO$2:$AO$1046,0),COLUMN()),"")</f>
        <v/>
      </c>
      <c r="V692" t="str">
        <f>IFERROR(INDEX(装备库!$A$2:$Y$1047,MATCH(ROW()-1,装备库!$AO$2:$AO$1046,0),COLUMN()),"")</f>
        <v/>
      </c>
      <c r="W692" t="str">
        <f>IFERROR(INDEX(装备库!$A$2:$Y$1047,MATCH(ROW()-1,装备库!$AO$2:$AO$1046,0),COLUMN()),"")</f>
        <v/>
      </c>
      <c r="X692" t="str">
        <f>IFERROR(INDEX(装备库!$A$2:$Y$1047,MATCH(ROW()-1,装备库!$AO$2:$AO$1046,0),COLUMN()),"")</f>
        <v/>
      </c>
      <c r="Y692" t="str">
        <f>IFERROR(INDEX(装备库!$A$2:$Y$1047,MATCH(ROW()-1,装备库!$AO$2:$AO$1046,0),COLUMN()),"")</f>
        <v/>
      </c>
    </row>
    <row r="693" spans="1:25" x14ac:dyDescent="0.35">
      <c r="A693" t="str">
        <f>IFERROR(INDEX(装备库!$A$2:$Y$1047,MATCH(ROW()-1,装备库!$AO$2:$AO$1046,0),COLUMN()),"")</f>
        <v/>
      </c>
      <c r="B693" t="str">
        <f>IFERROR(INDEX(装备库!$A$2:$Y$1047,MATCH(ROW()-1,装备库!$AO$2:$AO$1046,0),COLUMN()),"")</f>
        <v/>
      </c>
      <c r="C693" t="str">
        <f>IFERROR(INDEX(装备库!$A$2:$Y$1047,MATCH(ROW()-1,装备库!$AO$2:$AO$1046,0),COLUMN()),"")</f>
        <v/>
      </c>
      <c r="D693" t="str">
        <f>IFERROR(INDEX(装备库!$A$2:$Y$1047,MATCH(ROW()-1,装备库!$AO$2:$AO$1046,0),COLUMN()),"")</f>
        <v/>
      </c>
      <c r="E693" t="str">
        <f>IFERROR(INDEX(装备库!$A$2:$Y$1047,MATCH(ROW()-1,装备库!$AO$2:$AO$1046,0),COLUMN()),"")</f>
        <v/>
      </c>
      <c r="F693" t="str">
        <f>IFERROR(INDEX(装备库!$A$2:$Y$1047,MATCH(ROW()-1,装备库!$AO$2:$AO$1046,0),COLUMN()),"")</f>
        <v/>
      </c>
      <c r="G693" t="str">
        <f>IFERROR(INDEX(装备库!$A$2:$Y$1047,MATCH(ROW()-1,装备库!$AO$2:$AO$1046,0),COLUMN()),"")</f>
        <v/>
      </c>
      <c r="H693" t="str">
        <f>IFERROR(INDEX(装备库!$A$2:$Y$1047,MATCH(ROW()-1,装备库!$AO$2:$AO$1046,0),COLUMN()),"")</f>
        <v/>
      </c>
      <c r="I693" t="str">
        <f>IFERROR(INDEX(装备库!$A$2:$Y$1047,MATCH(ROW()-1,装备库!$AO$2:$AO$1046,0),COLUMN()),"")</f>
        <v/>
      </c>
      <c r="J693" t="str">
        <f>IFERROR(INDEX(装备库!$A$2:$Y$1047,MATCH(ROW()-1,装备库!$AO$2:$AO$1046,0),COLUMN()),"")</f>
        <v/>
      </c>
      <c r="K693" t="str">
        <f>IFERROR(INDEX(装备库!$A$2:$Y$1047,MATCH(ROW()-1,装备库!$AO$2:$AO$1046,0),COLUMN()),"")</f>
        <v/>
      </c>
      <c r="L693" t="str">
        <f>IFERROR(INDEX(装备库!$A$2:$Y$1047,MATCH(ROW()-1,装备库!$AO$2:$AO$1046,0),COLUMN()),"")</f>
        <v/>
      </c>
      <c r="M693" t="str">
        <f>IFERROR(INDEX(装备库!$A$2:$Y$1047,MATCH(ROW()-1,装备库!$AO$2:$AO$1046,0),COLUMN()),"")</f>
        <v/>
      </c>
      <c r="N693" t="str">
        <f>IFERROR(INDEX(装备库!$A$2:$Y$1047,MATCH(ROW()-1,装备库!$AO$2:$AO$1046,0),COLUMN()),"")</f>
        <v/>
      </c>
      <c r="O693" t="str">
        <f>IFERROR(INDEX(装备库!$A$2:$Y$1047,MATCH(ROW()-1,装备库!$AO$2:$AO$1046,0),COLUMN()),"")</f>
        <v/>
      </c>
      <c r="P693" t="str">
        <f>IFERROR(INDEX(装备库!$A$2:$Y$1047,MATCH(ROW()-1,装备库!$AO$2:$AO$1046,0),COLUMN()),"")</f>
        <v/>
      </c>
      <c r="Q693" t="str">
        <f>IFERROR(INDEX(装备库!$A$2:$Y$1047,MATCH(ROW()-1,装备库!$AO$2:$AO$1046,0),COLUMN()),"")</f>
        <v/>
      </c>
      <c r="R693" t="str">
        <f>IFERROR(INDEX(装备库!$A$2:$Y$1047,MATCH(ROW()-1,装备库!$AO$2:$AO$1046,0),COLUMN()),"")</f>
        <v/>
      </c>
      <c r="S693" t="str">
        <f>IFERROR(INDEX(装备库!$A$2:$Y$1047,MATCH(ROW()-1,装备库!$AO$2:$AO$1046,0),COLUMN()),"")</f>
        <v/>
      </c>
      <c r="T693" t="str">
        <f>IFERROR(INDEX(装备库!$A$2:$Y$1047,MATCH(ROW()-1,装备库!$AO$2:$AO$1046,0),COLUMN()),"")</f>
        <v/>
      </c>
      <c r="U693" t="str">
        <f>IFERROR(INDEX(装备库!$A$2:$Y$1047,MATCH(ROW()-1,装备库!$AO$2:$AO$1046,0),COLUMN()),"")</f>
        <v/>
      </c>
      <c r="V693" t="str">
        <f>IFERROR(INDEX(装备库!$A$2:$Y$1047,MATCH(ROW()-1,装备库!$AO$2:$AO$1046,0),COLUMN()),"")</f>
        <v/>
      </c>
      <c r="W693" t="str">
        <f>IFERROR(INDEX(装备库!$A$2:$Y$1047,MATCH(ROW()-1,装备库!$AO$2:$AO$1046,0),COLUMN()),"")</f>
        <v/>
      </c>
      <c r="X693" t="str">
        <f>IFERROR(INDEX(装备库!$A$2:$Y$1047,MATCH(ROW()-1,装备库!$AO$2:$AO$1046,0),COLUMN()),"")</f>
        <v/>
      </c>
      <c r="Y693" t="str">
        <f>IFERROR(INDEX(装备库!$A$2:$Y$1047,MATCH(ROW()-1,装备库!$AO$2:$AO$1046,0),COLUMN()),"")</f>
        <v/>
      </c>
    </row>
    <row r="694" spans="1:25" x14ac:dyDescent="0.35">
      <c r="A694" t="str">
        <f>IFERROR(INDEX(装备库!$A$2:$Y$1047,MATCH(ROW()-1,装备库!$AO$2:$AO$1046,0),COLUMN()),"")</f>
        <v/>
      </c>
      <c r="B694" t="str">
        <f>IFERROR(INDEX(装备库!$A$2:$Y$1047,MATCH(ROW()-1,装备库!$AO$2:$AO$1046,0),COLUMN()),"")</f>
        <v/>
      </c>
      <c r="C694" t="str">
        <f>IFERROR(INDEX(装备库!$A$2:$Y$1047,MATCH(ROW()-1,装备库!$AO$2:$AO$1046,0),COLUMN()),"")</f>
        <v/>
      </c>
      <c r="D694" t="str">
        <f>IFERROR(INDEX(装备库!$A$2:$Y$1047,MATCH(ROW()-1,装备库!$AO$2:$AO$1046,0),COLUMN()),"")</f>
        <v/>
      </c>
      <c r="E694" t="str">
        <f>IFERROR(INDEX(装备库!$A$2:$Y$1047,MATCH(ROW()-1,装备库!$AO$2:$AO$1046,0),COLUMN()),"")</f>
        <v/>
      </c>
      <c r="F694" t="str">
        <f>IFERROR(INDEX(装备库!$A$2:$Y$1047,MATCH(ROW()-1,装备库!$AO$2:$AO$1046,0),COLUMN()),"")</f>
        <v/>
      </c>
      <c r="G694" t="str">
        <f>IFERROR(INDEX(装备库!$A$2:$Y$1047,MATCH(ROW()-1,装备库!$AO$2:$AO$1046,0),COLUMN()),"")</f>
        <v/>
      </c>
      <c r="H694" t="str">
        <f>IFERROR(INDEX(装备库!$A$2:$Y$1047,MATCH(ROW()-1,装备库!$AO$2:$AO$1046,0),COLUMN()),"")</f>
        <v/>
      </c>
      <c r="I694" t="str">
        <f>IFERROR(INDEX(装备库!$A$2:$Y$1047,MATCH(ROW()-1,装备库!$AO$2:$AO$1046,0),COLUMN()),"")</f>
        <v/>
      </c>
      <c r="J694" t="str">
        <f>IFERROR(INDEX(装备库!$A$2:$Y$1047,MATCH(ROW()-1,装备库!$AO$2:$AO$1046,0),COLUMN()),"")</f>
        <v/>
      </c>
      <c r="K694" t="str">
        <f>IFERROR(INDEX(装备库!$A$2:$Y$1047,MATCH(ROW()-1,装备库!$AO$2:$AO$1046,0),COLUMN()),"")</f>
        <v/>
      </c>
      <c r="L694" t="str">
        <f>IFERROR(INDEX(装备库!$A$2:$Y$1047,MATCH(ROW()-1,装备库!$AO$2:$AO$1046,0),COLUMN()),"")</f>
        <v/>
      </c>
      <c r="M694" t="str">
        <f>IFERROR(INDEX(装备库!$A$2:$Y$1047,MATCH(ROW()-1,装备库!$AO$2:$AO$1046,0),COLUMN()),"")</f>
        <v/>
      </c>
      <c r="N694" t="str">
        <f>IFERROR(INDEX(装备库!$A$2:$Y$1047,MATCH(ROW()-1,装备库!$AO$2:$AO$1046,0),COLUMN()),"")</f>
        <v/>
      </c>
      <c r="O694" t="str">
        <f>IFERROR(INDEX(装备库!$A$2:$Y$1047,MATCH(ROW()-1,装备库!$AO$2:$AO$1046,0),COLUMN()),"")</f>
        <v/>
      </c>
      <c r="P694" t="str">
        <f>IFERROR(INDEX(装备库!$A$2:$Y$1047,MATCH(ROW()-1,装备库!$AO$2:$AO$1046,0),COLUMN()),"")</f>
        <v/>
      </c>
      <c r="Q694" t="str">
        <f>IFERROR(INDEX(装备库!$A$2:$Y$1047,MATCH(ROW()-1,装备库!$AO$2:$AO$1046,0),COLUMN()),"")</f>
        <v/>
      </c>
      <c r="R694" t="str">
        <f>IFERROR(INDEX(装备库!$A$2:$Y$1047,MATCH(ROW()-1,装备库!$AO$2:$AO$1046,0),COLUMN()),"")</f>
        <v/>
      </c>
      <c r="S694" t="str">
        <f>IFERROR(INDEX(装备库!$A$2:$Y$1047,MATCH(ROW()-1,装备库!$AO$2:$AO$1046,0),COLUMN()),"")</f>
        <v/>
      </c>
      <c r="T694" t="str">
        <f>IFERROR(INDEX(装备库!$A$2:$Y$1047,MATCH(ROW()-1,装备库!$AO$2:$AO$1046,0),COLUMN()),"")</f>
        <v/>
      </c>
      <c r="U694" t="str">
        <f>IFERROR(INDEX(装备库!$A$2:$Y$1047,MATCH(ROW()-1,装备库!$AO$2:$AO$1046,0),COLUMN()),"")</f>
        <v/>
      </c>
      <c r="V694" t="str">
        <f>IFERROR(INDEX(装备库!$A$2:$Y$1047,MATCH(ROW()-1,装备库!$AO$2:$AO$1046,0),COLUMN()),"")</f>
        <v/>
      </c>
      <c r="W694" t="str">
        <f>IFERROR(INDEX(装备库!$A$2:$Y$1047,MATCH(ROW()-1,装备库!$AO$2:$AO$1046,0),COLUMN()),"")</f>
        <v/>
      </c>
      <c r="X694" t="str">
        <f>IFERROR(INDEX(装备库!$A$2:$Y$1047,MATCH(ROW()-1,装备库!$AO$2:$AO$1046,0),COLUMN()),"")</f>
        <v/>
      </c>
      <c r="Y694" t="str">
        <f>IFERROR(INDEX(装备库!$A$2:$Y$1047,MATCH(ROW()-1,装备库!$AO$2:$AO$1046,0),COLUMN()),"")</f>
        <v/>
      </c>
    </row>
    <row r="695" spans="1:25" x14ac:dyDescent="0.35">
      <c r="A695" t="str">
        <f>IFERROR(INDEX(装备库!$A$2:$Y$1047,MATCH(ROW()-1,装备库!$AO$2:$AO$1046,0),COLUMN()),"")</f>
        <v/>
      </c>
      <c r="B695" t="str">
        <f>IFERROR(INDEX(装备库!$A$2:$Y$1047,MATCH(ROW()-1,装备库!$AO$2:$AO$1046,0),COLUMN()),"")</f>
        <v/>
      </c>
      <c r="C695" t="str">
        <f>IFERROR(INDEX(装备库!$A$2:$Y$1047,MATCH(ROW()-1,装备库!$AO$2:$AO$1046,0),COLUMN()),"")</f>
        <v/>
      </c>
      <c r="D695" t="str">
        <f>IFERROR(INDEX(装备库!$A$2:$Y$1047,MATCH(ROW()-1,装备库!$AO$2:$AO$1046,0),COLUMN()),"")</f>
        <v/>
      </c>
      <c r="E695" t="str">
        <f>IFERROR(INDEX(装备库!$A$2:$Y$1047,MATCH(ROW()-1,装备库!$AO$2:$AO$1046,0),COLUMN()),"")</f>
        <v/>
      </c>
      <c r="F695" t="str">
        <f>IFERROR(INDEX(装备库!$A$2:$Y$1047,MATCH(ROW()-1,装备库!$AO$2:$AO$1046,0),COLUMN()),"")</f>
        <v/>
      </c>
      <c r="G695" t="str">
        <f>IFERROR(INDEX(装备库!$A$2:$Y$1047,MATCH(ROW()-1,装备库!$AO$2:$AO$1046,0),COLUMN()),"")</f>
        <v/>
      </c>
      <c r="H695" t="str">
        <f>IFERROR(INDEX(装备库!$A$2:$Y$1047,MATCH(ROW()-1,装备库!$AO$2:$AO$1046,0),COLUMN()),"")</f>
        <v/>
      </c>
      <c r="I695" t="str">
        <f>IFERROR(INDEX(装备库!$A$2:$Y$1047,MATCH(ROW()-1,装备库!$AO$2:$AO$1046,0),COLUMN()),"")</f>
        <v/>
      </c>
      <c r="J695" t="str">
        <f>IFERROR(INDEX(装备库!$A$2:$Y$1047,MATCH(ROW()-1,装备库!$AO$2:$AO$1046,0),COLUMN()),"")</f>
        <v/>
      </c>
      <c r="K695" t="str">
        <f>IFERROR(INDEX(装备库!$A$2:$Y$1047,MATCH(ROW()-1,装备库!$AO$2:$AO$1046,0),COLUMN()),"")</f>
        <v/>
      </c>
      <c r="L695" t="str">
        <f>IFERROR(INDEX(装备库!$A$2:$Y$1047,MATCH(ROW()-1,装备库!$AO$2:$AO$1046,0),COLUMN()),"")</f>
        <v/>
      </c>
      <c r="M695" t="str">
        <f>IFERROR(INDEX(装备库!$A$2:$Y$1047,MATCH(ROW()-1,装备库!$AO$2:$AO$1046,0),COLUMN()),"")</f>
        <v/>
      </c>
      <c r="N695" t="str">
        <f>IFERROR(INDEX(装备库!$A$2:$Y$1047,MATCH(ROW()-1,装备库!$AO$2:$AO$1046,0),COLUMN()),"")</f>
        <v/>
      </c>
      <c r="O695" t="str">
        <f>IFERROR(INDEX(装备库!$A$2:$Y$1047,MATCH(ROW()-1,装备库!$AO$2:$AO$1046,0),COLUMN()),"")</f>
        <v/>
      </c>
      <c r="P695" t="str">
        <f>IFERROR(INDEX(装备库!$A$2:$Y$1047,MATCH(ROW()-1,装备库!$AO$2:$AO$1046,0),COLUMN()),"")</f>
        <v/>
      </c>
      <c r="Q695" t="str">
        <f>IFERROR(INDEX(装备库!$A$2:$Y$1047,MATCH(ROW()-1,装备库!$AO$2:$AO$1046,0),COLUMN()),"")</f>
        <v/>
      </c>
      <c r="R695" t="str">
        <f>IFERROR(INDEX(装备库!$A$2:$Y$1047,MATCH(ROW()-1,装备库!$AO$2:$AO$1046,0),COLUMN()),"")</f>
        <v/>
      </c>
      <c r="S695" t="str">
        <f>IFERROR(INDEX(装备库!$A$2:$Y$1047,MATCH(ROW()-1,装备库!$AO$2:$AO$1046,0),COLUMN()),"")</f>
        <v/>
      </c>
      <c r="T695" t="str">
        <f>IFERROR(INDEX(装备库!$A$2:$Y$1047,MATCH(ROW()-1,装备库!$AO$2:$AO$1046,0),COLUMN()),"")</f>
        <v/>
      </c>
      <c r="U695" t="str">
        <f>IFERROR(INDEX(装备库!$A$2:$Y$1047,MATCH(ROW()-1,装备库!$AO$2:$AO$1046,0),COLUMN()),"")</f>
        <v/>
      </c>
      <c r="V695" t="str">
        <f>IFERROR(INDEX(装备库!$A$2:$Y$1047,MATCH(ROW()-1,装备库!$AO$2:$AO$1046,0),COLUMN()),"")</f>
        <v/>
      </c>
      <c r="W695" t="str">
        <f>IFERROR(INDEX(装备库!$A$2:$Y$1047,MATCH(ROW()-1,装备库!$AO$2:$AO$1046,0),COLUMN()),"")</f>
        <v/>
      </c>
      <c r="X695" t="str">
        <f>IFERROR(INDEX(装备库!$A$2:$Y$1047,MATCH(ROW()-1,装备库!$AO$2:$AO$1046,0),COLUMN()),"")</f>
        <v/>
      </c>
      <c r="Y695" t="str">
        <f>IFERROR(INDEX(装备库!$A$2:$Y$1047,MATCH(ROW()-1,装备库!$AO$2:$AO$1046,0),COLUMN()),"")</f>
        <v/>
      </c>
    </row>
    <row r="696" spans="1:25" x14ac:dyDescent="0.35">
      <c r="A696" t="str">
        <f>IFERROR(INDEX(装备库!$A$2:$Y$1047,MATCH(ROW()-1,装备库!$AO$2:$AO$1046,0),COLUMN()),"")</f>
        <v/>
      </c>
      <c r="B696" t="str">
        <f>IFERROR(INDEX(装备库!$A$2:$Y$1047,MATCH(ROW()-1,装备库!$AO$2:$AO$1046,0),COLUMN()),"")</f>
        <v/>
      </c>
      <c r="C696" t="str">
        <f>IFERROR(INDEX(装备库!$A$2:$Y$1047,MATCH(ROW()-1,装备库!$AO$2:$AO$1046,0),COLUMN()),"")</f>
        <v/>
      </c>
      <c r="D696" t="str">
        <f>IFERROR(INDEX(装备库!$A$2:$Y$1047,MATCH(ROW()-1,装备库!$AO$2:$AO$1046,0),COLUMN()),"")</f>
        <v/>
      </c>
      <c r="E696" t="str">
        <f>IFERROR(INDEX(装备库!$A$2:$Y$1047,MATCH(ROW()-1,装备库!$AO$2:$AO$1046,0),COLUMN()),"")</f>
        <v/>
      </c>
      <c r="F696" t="str">
        <f>IFERROR(INDEX(装备库!$A$2:$Y$1047,MATCH(ROW()-1,装备库!$AO$2:$AO$1046,0),COLUMN()),"")</f>
        <v/>
      </c>
      <c r="G696" t="str">
        <f>IFERROR(INDEX(装备库!$A$2:$Y$1047,MATCH(ROW()-1,装备库!$AO$2:$AO$1046,0),COLUMN()),"")</f>
        <v/>
      </c>
      <c r="H696" t="str">
        <f>IFERROR(INDEX(装备库!$A$2:$Y$1047,MATCH(ROW()-1,装备库!$AO$2:$AO$1046,0),COLUMN()),"")</f>
        <v/>
      </c>
      <c r="I696" t="str">
        <f>IFERROR(INDEX(装备库!$A$2:$Y$1047,MATCH(ROW()-1,装备库!$AO$2:$AO$1046,0),COLUMN()),"")</f>
        <v/>
      </c>
      <c r="J696" t="str">
        <f>IFERROR(INDEX(装备库!$A$2:$Y$1047,MATCH(ROW()-1,装备库!$AO$2:$AO$1046,0),COLUMN()),"")</f>
        <v/>
      </c>
      <c r="K696" t="str">
        <f>IFERROR(INDEX(装备库!$A$2:$Y$1047,MATCH(ROW()-1,装备库!$AO$2:$AO$1046,0),COLUMN()),"")</f>
        <v/>
      </c>
      <c r="L696" t="str">
        <f>IFERROR(INDEX(装备库!$A$2:$Y$1047,MATCH(ROW()-1,装备库!$AO$2:$AO$1046,0),COLUMN()),"")</f>
        <v/>
      </c>
      <c r="M696" t="str">
        <f>IFERROR(INDEX(装备库!$A$2:$Y$1047,MATCH(ROW()-1,装备库!$AO$2:$AO$1046,0),COLUMN()),"")</f>
        <v/>
      </c>
      <c r="N696" t="str">
        <f>IFERROR(INDEX(装备库!$A$2:$Y$1047,MATCH(ROW()-1,装备库!$AO$2:$AO$1046,0),COLUMN()),"")</f>
        <v/>
      </c>
      <c r="O696" t="str">
        <f>IFERROR(INDEX(装备库!$A$2:$Y$1047,MATCH(ROW()-1,装备库!$AO$2:$AO$1046,0),COLUMN()),"")</f>
        <v/>
      </c>
      <c r="P696" t="str">
        <f>IFERROR(INDEX(装备库!$A$2:$Y$1047,MATCH(ROW()-1,装备库!$AO$2:$AO$1046,0),COLUMN()),"")</f>
        <v/>
      </c>
      <c r="Q696" t="str">
        <f>IFERROR(INDEX(装备库!$A$2:$Y$1047,MATCH(ROW()-1,装备库!$AO$2:$AO$1046,0),COLUMN()),"")</f>
        <v/>
      </c>
      <c r="R696" t="str">
        <f>IFERROR(INDEX(装备库!$A$2:$Y$1047,MATCH(ROW()-1,装备库!$AO$2:$AO$1046,0),COLUMN()),"")</f>
        <v/>
      </c>
      <c r="S696" t="str">
        <f>IFERROR(INDEX(装备库!$A$2:$Y$1047,MATCH(ROW()-1,装备库!$AO$2:$AO$1046,0),COLUMN()),"")</f>
        <v/>
      </c>
      <c r="T696" t="str">
        <f>IFERROR(INDEX(装备库!$A$2:$Y$1047,MATCH(ROW()-1,装备库!$AO$2:$AO$1046,0),COLUMN()),"")</f>
        <v/>
      </c>
      <c r="U696" t="str">
        <f>IFERROR(INDEX(装备库!$A$2:$Y$1047,MATCH(ROW()-1,装备库!$AO$2:$AO$1046,0),COLUMN()),"")</f>
        <v/>
      </c>
      <c r="V696" t="str">
        <f>IFERROR(INDEX(装备库!$A$2:$Y$1047,MATCH(ROW()-1,装备库!$AO$2:$AO$1046,0),COLUMN()),"")</f>
        <v/>
      </c>
      <c r="W696" t="str">
        <f>IFERROR(INDEX(装备库!$A$2:$Y$1047,MATCH(ROW()-1,装备库!$AO$2:$AO$1046,0),COLUMN()),"")</f>
        <v/>
      </c>
      <c r="X696" t="str">
        <f>IFERROR(INDEX(装备库!$A$2:$Y$1047,MATCH(ROW()-1,装备库!$AO$2:$AO$1046,0),COLUMN()),"")</f>
        <v/>
      </c>
      <c r="Y696" t="str">
        <f>IFERROR(INDEX(装备库!$A$2:$Y$1047,MATCH(ROW()-1,装备库!$AO$2:$AO$1046,0),COLUMN()),"")</f>
        <v/>
      </c>
    </row>
    <row r="697" spans="1:25" x14ac:dyDescent="0.35">
      <c r="A697" t="str">
        <f>IFERROR(INDEX(装备库!$A$2:$Y$1047,MATCH(ROW()-1,装备库!$AO$2:$AO$1046,0),COLUMN()),"")</f>
        <v/>
      </c>
      <c r="B697" t="str">
        <f>IFERROR(INDEX(装备库!$A$2:$Y$1047,MATCH(ROW()-1,装备库!$AO$2:$AO$1046,0),COLUMN()),"")</f>
        <v/>
      </c>
      <c r="C697" t="str">
        <f>IFERROR(INDEX(装备库!$A$2:$Y$1047,MATCH(ROW()-1,装备库!$AO$2:$AO$1046,0),COLUMN()),"")</f>
        <v/>
      </c>
      <c r="D697" t="str">
        <f>IFERROR(INDEX(装备库!$A$2:$Y$1047,MATCH(ROW()-1,装备库!$AO$2:$AO$1046,0),COLUMN()),"")</f>
        <v/>
      </c>
      <c r="E697" t="str">
        <f>IFERROR(INDEX(装备库!$A$2:$Y$1047,MATCH(ROW()-1,装备库!$AO$2:$AO$1046,0),COLUMN()),"")</f>
        <v/>
      </c>
      <c r="F697" t="str">
        <f>IFERROR(INDEX(装备库!$A$2:$Y$1047,MATCH(ROW()-1,装备库!$AO$2:$AO$1046,0),COLUMN()),"")</f>
        <v/>
      </c>
      <c r="G697" t="str">
        <f>IFERROR(INDEX(装备库!$A$2:$Y$1047,MATCH(ROW()-1,装备库!$AO$2:$AO$1046,0),COLUMN()),"")</f>
        <v/>
      </c>
      <c r="H697" t="str">
        <f>IFERROR(INDEX(装备库!$A$2:$Y$1047,MATCH(ROW()-1,装备库!$AO$2:$AO$1046,0),COLUMN()),"")</f>
        <v/>
      </c>
      <c r="I697" t="str">
        <f>IFERROR(INDEX(装备库!$A$2:$Y$1047,MATCH(ROW()-1,装备库!$AO$2:$AO$1046,0),COLUMN()),"")</f>
        <v/>
      </c>
      <c r="J697" t="str">
        <f>IFERROR(INDEX(装备库!$A$2:$Y$1047,MATCH(ROW()-1,装备库!$AO$2:$AO$1046,0),COLUMN()),"")</f>
        <v/>
      </c>
      <c r="K697" t="str">
        <f>IFERROR(INDEX(装备库!$A$2:$Y$1047,MATCH(ROW()-1,装备库!$AO$2:$AO$1046,0),COLUMN()),"")</f>
        <v/>
      </c>
      <c r="L697" t="str">
        <f>IFERROR(INDEX(装备库!$A$2:$Y$1047,MATCH(ROW()-1,装备库!$AO$2:$AO$1046,0),COLUMN()),"")</f>
        <v/>
      </c>
      <c r="M697" t="str">
        <f>IFERROR(INDEX(装备库!$A$2:$Y$1047,MATCH(ROW()-1,装备库!$AO$2:$AO$1046,0),COLUMN()),"")</f>
        <v/>
      </c>
      <c r="N697" t="str">
        <f>IFERROR(INDEX(装备库!$A$2:$Y$1047,MATCH(ROW()-1,装备库!$AO$2:$AO$1046,0),COLUMN()),"")</f>
        <v/>
      </c>
      <c r="O697" t="str">
        <f>IFERROR(INDEX(装备库!$A$2:$Y$1047,MATCH(ROW()-1,装备库!$AO$2:$AO$1046,0),COLUMN()),"")</f>
        <v/>
      </c>
      <c r="P697" t="str">
        <f>IFERROR(INDEX(装备库!$A$2:$Y$1047,MATCH(ROW()-1,装备库!$AO$2:$AO$1046,0),COLUMN()),"")</f>
        <v/>
      </c>
      <c r="Q697" t="str">
        <f>IFERROR(INDEX(装备库!$A$2:$Y$1047,MATCH(ROW()-1,装备库!$AO$2:$AO$1046,0),COLUMN()),"")</f>
        <v/>
      </c>
      <c r="R697" t="str">
        <f>IFERROR(INDEX(装备库!$A$2:$Y$1047,MATCH(ROW()-1,装备库!$AO$2:$AO$1046,0),COLUMN()),"")</f>
        <v/>
      </c>
      <c r="S697" t="str">
        <f>IFERROR(INDEX(装备库!$A$2:$Y$1047,MATCH(ROW()-1,装备库!$AO$2:$AO$1046,0),COLUMN()),"")</f>
        <v/>
      </c>
      <c r="T697" t="str">
        <f>IFERROR(INDEX(装备库!$A$2:$Y$1047,MATCH(ROW()-1,装备库!$AO$2:$AO$1046,0),COLUMN()),"")</f>
        <v/>
      </c>
      <c r="U697" t="str">
        <f>IFERROR(INDEX(装备库!$A$2:$Y$1047,MATCH(ROW()-1,装备库!$AO$2:$AO$1046,0),COLUMN()),"")</f>
        <v/>
      </c>
      <c r="V697" t="str">
        <f>IFERROR(INDEX(装备库!$A$2:$Y$1047,MATCH(ROW()-1,装备库!$AO$2:$AO$1046,0),COLUMN()),"")</f>
        <v/>
      </c>
      <c r="W697" t="str">
        <f>IFERROR(INDEX(装备库!$A$2:$Y$1047,MATCH(ROW()-1,装备库!$AO$2:$AO$1046,0),COLUMN()),"")</f>
        <v/>
      </c>
      <c r="X697" t="str">
        <f>IFERROR(INDEX(装备库!$A$2:$Y$1047,MATCH(ROW()-1,装备库!$AO$2:$AO$1046,0),COLUMN()),"")</f>
        <v/>
      </c>
      <c r="Y697" t="str">
        <f>IFERROR(INDEX(装备库!$A$2:$Y$1047,MATCH(ROW()-1,装备库!$AO$2:$AO$1046,0),COLUMN()),"")</f>
        <v/>
      </c>
    </row>
    <row r="698" spans="1:25" x14ac:dyDescent="0.35">
      <c r="A698" t="str">
        <f>IFERROR(INDEX(装备库!$A$2:$Y$1047,MATCH(ROW()-1,装备库!$AO$2:$AO$1046,0),COLUMN()),"")</f>
        <v/>
      </c>
      <c r="B698" t="str">
        <f>IFERROR(INDEX(装备库!$A$2:$Y$1047,MATCH(ROW()-1,装备库!$AO$2:$AO$1046,0),COLUMN()),"")</f>
        <v/>
      </c>
      <c r="C698" t="str">
        <f>IFERROR(INDEX(装备库!$A$2:$Y$1047,MATCH(ROW()-1,装备库!$AO$2:$AO$1046,0),COLUMN()),"")</f>
        <v/>
      </c>
      <c r="D698" t="str">
        <f>IFERROR(INDEX(装备库!$A$2:$Y$1047,MATCH(ROW()-1,装备库!$AO$2:$AO$1046,0),COLUMN()),"")</f>
        <v/>
      </c>
      <c r="E698" t="str">
        <f>IFERROR(INDEX(装备库!$A$2:$Y$1047,MATCH(ROW()-1,装备库!$AO$2:$AO$1046,0),COLUMN()),"")</f>
        <v/>
      </c>
      <c r="F698" t="str">
        <f>IFERROR(INDEX(装备库!$A$2:$Y$1047,MATCH(ROW()-1,装备库!$AO$2:$AO$1046,0),COLUMN()),"")</f>
        <v/>
      </c>
      <c r="G698" t="str">
        <f>IFERROR(INDEX(装备库!$A$2:$Y$1047,MATCH(ROW()-1,装备库!$AO$2:$AO$1046,0),COLUMN()),"")</f>
        <v/>
      </c>
      <c r="H698" t="str">
        <f>IFERROR(INDEX(装备库!$A$2:$Y$1047,MATCH(ROW()-1,装备库!$AO$2:$AO$1046,0),COLUMN()),"")</f>
        <v/>
      </c>
      <c r="I698" t="str">
        <f>IFERROR(INDEX(装备库!$A$2:$Y$1047,MATCH(ROW()-1,装备库!$AO$2:$AO$1046,0),COLUMN()),"")</f>
        <v/>
      </c>
      <c r="J698" t="str">
        <f>IFERROR(INDEX(装备库!$A$2:$Y$1047,MATCH(ROW()-1,装备库!$AO$2:$AO$1046,0),COLUMN()),"")</f>
        <v/>
      </c>
      <c r="K698" t="str">
        <f>IFERROR(INDEX(装备库!$A$2:$Y$1047,MATCH(ROW()-1,装备库!$AO$2:$AO$1046,0),COLUMN()),"")</f>
        <v/>
      </c>
      <c r="L698" t="str">
        <f>IFERROR(INDEX(装备库!$A$2:$Y$1047,MATCH(ROW()-1,装备库!$AO$2:$AO$1046,0),COLUMN()),"")</f>
        <v/>
      </c>
      <c r="M698" t="str">
        <f>IFERROR(INDEX(装备库!$A$2:$Y$1047,MATCH(ROW()-1,装备库!$AO$2:$AO$1046,0),COLUMN()),"")</f>
        <v/>
      </c>
      <c r="N698" t="str">
        <f>IFERROR(INDEX(装备库!$A$2:$Y$1047,MATCH(ROW()-1,装备库!$AO$2:$AO$1046,0),COLUMN()),"")</f>
        <v/>
      </c>
      <c r="O698" t="str">
        <f>IFERROR(INDEX(装备库!$A$2:$Y$1047,MATCH(ROW()-1,装备库!$AO$2:$AO$1046,0),COLUMN()),"")</f>
        <v/>
      </c>
      <c r="P698" t="str">
        <f>IFERROR(INDEX(装备库!$A$2:$Y$1047,MATCH(ROW()-1,装备库!$AO$2:$AO$1046,0),COLUMN()),"")</f>
        <v/>
      </c>
      <c r="Q698" t="str">
        <f>IFERROR(INDEX(装备库!$A$2:$Y$1047,MATCH(ROW()-1,装备库!$AO$2:$AO$1046,0),COLUMN()),"")</f>
        <v/>
      </c>
      <c r="R698" t="str">
        <f>IFERROR(INDEX(装备库!$A$2:$Y$1047,MATCH(ROW()-1,装备库!$AO$2:$AO$1046,0),COLUMN()),"")</f>
        <v/>
      </c>
      <c r="S698" t="str">
        <f>IFERROR(INDEX(装备库!$A$2:$Y$1047,MATCH(ROW()-1,装备库!$AO$2:$AO$1046,0),COLUMN()),"")</f>
        <v/>
      </c>
      <c r="T698" t="str">
        <f>IFERROR(INDEX(装备库!$A$2:$Y$1047,MATCH(ROW()-1,装备库!$AO$2:$AO$1046,0),COLUMN()),"")</f>
        <v/>
      </c>
      <c r="U698" t="str">
        <f>IFERROR(INDEX(装备库!$A$2:$Y$1047,MATCH(ROW()-1,装备库!$AO$2:$AO$1046,0),COLUMN()),"")</f>
        <v/>
      </c>
      <c r="V698" t="str">
        <f>IFERROR(INDEX(装备库!$A$2:$Y$1047,MATCH(ROW()-1,装备库!$AO$2:$AO$1046,0),COLUMN()),"")</f>
        <v/>
      </c>
      <c r="W698" t="str">
        <f>IFERROR(INDEX(装备库!$A$2:$Y$1047,MATCH(ROW()-1,装备库!$AO$2:$AO$1046,0),COLUMN()),"")</f>
        <v/>
      </c>
      <c r="X698" t="str">
        <f>IFERROR(INDEX(装备库!$A$2:$Y$1047,MATCH(ROW()-1,装备库!$AO$2:$AO$1046,0),COLUMN()),"")</f>
        <v/>
      </c>
      <c r="Y698" t="str">
        <f>IFERROR(INDEX(装备库!$A$2:$Y$1047,MATCH(ROW()-1,装备库!$AO$2:$AO$1046,0),COLUMN()),"")</f>
        <v/>
      </c>
    </row>
    <row r="699" spans="1:25" x14ac:dyDescent="0.35">
      <c r="A699" t="str">
        <f>IFERROR(INDEX(装备库!$A$2:$Y$1047,MATCH(ROW()-1,装备库!$AO$2:$AO$1046,0),COLUMN()),"")</f>
        <v/>
      </c>
      <c r="B699" t="str">
        <f>IFERROR(INDEX(装备库!$A$2:$Y$1047,MATCH(ROW()-1,装备库!$AO$2:$AO$1046,0),COLUMN()),"")</f>
        <v/>
      </c>
      <c r="C699" t="str">
        <f>IFERROR(INDEX(装备库!$A$2:$Y$1047,MATCH(ROW()-1,装备库!$AO$2:$AO$1046,0),COLUMN()),"")</f>
        <v/>
      </c>
      <c r="D699" t="str">
        <f>IFERROR(INDEX(装备库!$A$2:$Y$1047,MATCH(ROW()-1,装备库!$AO$2:$AO$1046,0),COLUMN()),"")</f>
        <v/>
      </c>
      <c r="E699" t="str">
        <f>IFERROR(INDEX(装备库!$A$2:$Y$1047,MATCH(ROW()-1,装备库!$AO$2:$AO$1046,0),COLUMN()),"")</f>
        <v/>
      </c>
      <c r="F699" t="str">
        <f>IFERROR(INDEX(装备库!$A$2:$Y$1047,MATCH(ROW()-1,装备库!$AO$2:$AO$1046,0),COLUMN()),"")</f>
        <v/>
      </c>
      <c r="G699" t="str">
        <f>IFERROR(INDEX(装备库!$A$2:$Y$1047,MATCH(ROW()-1,装备库!$AO$2:$AO$1046,0),COLUMN()),"")</f>
        <v/>
      </c>
      <c r="H699" t="str">
        <f>IFERROR(INDEX(装备库!$A$2:$Y$1047,MATCH(ROW()-1,装备库!$AO$2:$AO$1046,0),COLUMN()),"")</f>
        <v/>
      </c>
      <c r="I699" t="str">
        <f>IFERROR(INDEX(装备库!$A$2:$Y$1047,MATCH(ROW()-1,装备库!$AO$2:$AO$1046,0),COLUMN()),"")</f>
        <v/>
      </c>
      <c r="J699" t="str">
        <f>IFERROR(INDEX(装备库!$A$2:$Y$1047,MATCH(ROW()-1,装备库!$AO$2:$AO$1046,0),COLUMN()),"")</f>
        <v/>
      </c>
      <c r="K699" t="str">
        <f>IFERROR(INDEX(装备库!$A$2:$Y$1047,MATCH(ROW()-1,装备库!$AO$2:$AO$1046,0),COLUMN()),"")</f>
        <v/>
      </c>
      <c r="L699" t="str">
        <f>IFERROR(INDEX(装备库!$A$2:$Y$1047,MATCH(ROW()-1,装备库!$AO$2:$AO$1046,0),COLUMN()),"")</f>
        <v/>
      </c>
      <c r="M699" t="str">
        <f>IFERROR(INDEX(装备库!$A$2:$Y$1047,MATCH(ROW()-1,装备库!$AO$2:$AO$1046,0),COLUMN()),"")</f>
        <v/>
      </c>
      <c r="N699" t="str">
        <f>IFERROR(INDEX(装备库!$A$2:$Y$1047,MATCH(ROW()-1,装备库!$AO$2:$AO$1046,0),COLUMN()),"")</f>
        <v/>
      </c>
      <c r="O699" t="str">
        <f>IFERROR(INDEX(装备库!$A$2:$Y$1047,MATCH(ROW()-1,装备库!$AO$2:$AO$1046,0),COLUMN()),"")</f>
        <v/>
      </c>
      <c r="P699" t="str">
        <f>IFERROR(INDEX(装备库!$A$2:$Y$1047,MATCH(ROW()-1,装备库!$AO$2:$AO$1046,0),COLUMN()),"")</f>
        <v/>
      </c>
      <c r="Q699" t="str">
        <f>IFERROR(INDEX(装备库!$A$2:$Y$1047,MATCH(ROW()-1,装备库!$AO$2:$AO$1046,0),COLUMN()),"")</f>
        <v/>
      </c>
      <c r="R699" t="str">
        <f>IFERROR(INDEX(装备库!$A$2:$Y$1047,MATCH(ROW()-1,装备库!$AO$2:$AO$1046,0),COLUMN()),"")</f>
        <v/>
      </c>
      <c r="S699" t="str">
        <f>IFERROR(INDEX(装备库!$A$2:$Y$1047,MATCH(ROW()-1,装备库!$AO$2:$AO$1046,0),COLUMN()),"")</f>
        <v/>
      </c>
      <c r="T699" t="str">
        <f>IFERROR(INDEX(装备库!$A$2:$Y$1047,MATCH(ROW()-1,装备库!$AO$2:$AO$1046,0),COLUMN()),"")</f>
        <v/>
      </c>
      <c r="U699" t="str">
        <f>IFERROR(INDEX(装备库!$A$2:$Y$1047,MATCH(ROW()-1,装备库!$AO$2:$AO$1046,0),COLUMN()),"")</f>
        <v/>
      </c>
      <c r="V699" t="str">
        <f>IFERROR(INDEX(装备库!$A$2:$Y$1047,MATCH(ROW()-1,装备库!$AO$2:$AO$1046,0),COLUMN()),"")</f>
        <v/>
      </c>
      <c r="W699" t="str">
        <f>IFERROR(INDEX(装备库!$A$2:$Y$1047,MATCH(ROW()-1,装备库!$AO$2:$AO$1046,0),COLUMN()),"")</f>
        <v/>
      </c>
      <c r="X699" t="str">
        <f>IFERROR(INDEX(装备库!$A$2:$Y$1047,MATCH(ROW()-1,装备库!$AO$2:$AO$1046,0),COLUMN()),"")</f>
        <v/>
      </c>
      <c r="Y699" t="str">
        <f>IFERROR(INDEX(装备库!$A$2:$Y$1047,MATCH(ROW()-1,装备库!$AO$2:$AO$1046,0),COLUMN()),"")</f>
        <v/>
      </c>
    </row>
    <row r="700" spans="1:25" x14ac:dyDescent="0.35">
      <c r="A700" t="str">
        <f>IFERROR(INDEX(装备库!$A$2:$Y$1047,MATCH(ROW()-1,装备库!$AO$2:$AO$1046,0),COLUMN()),"")</f>
        <v/>
      </c>
      <c r="B700" t="str">
        <f>IFERROR(INDEX(装备库!$A$2:$Y$1047,MATCH(ROW()-1,装备库!$AO$2:$AO$1046,0),COLUMN()),"")</f>
        <v/>
      </c>
      <c r="C700" t="str">
        <f>IFERROR(INDEX(装备库!$A$2:$Y$1047,MATCH(ROW()-1,装备库!$AO$2:$AO$1046,0),COLUMN()),"")</f>
        <v/>
      </c>
      <c r="D700" t="str">
        <f>IFERROR(INDEX(装备库!$A$2:$Y$1047,MATCH(ROW()-1,装备库!$AO$2:$AO$1046,0),COLUMN()),"")</f>
        <v/>
      </c>
      <c r="E700" t="str">
        <f>IFERROR(INDEX(装备库!$A$2:$Y$1047,MATCH(ROW()-1,装备库!$AO$2:$AO$1046,0),COLUMN()),"")</f>
        <v/>
      </c>
      <c r="F700" t="str">
        <f>IFERROR(INDEX(装备库!$A$2:$Y$1047,MATCH(ROW()-1,装备库!$AO$2:$AO$1046,0),COLUMN()),"")</f>
        <v/>
      </c>
      <c r="G700" t="str">
        <f>IFERROR(INDEX(装备库!$A$2:$Y$1047,MATCH(ROW()-1,装备库!$AO$2:$AO$1046,0),COLUMN()),"")</f>
        <v/>
      </c>
      <c r="H700" t="str">
        <f>IFERROR(INDEX(装备库!$A$2:$Y$1047,MATCH(ROW()-1,装备库!$AO$2:$AO$1046,0),COLUMN()),"")</f>
        <v/>
      </c>
      <c r="I700" t="str">
        <f>IFERROR(INDEX(装备库!$A$2:$Y$1047,MATCH(ROW()-1,装备库!$AO$2:$AO$1046,0),COLUMN()),"")</f>
        <v/>
      </c>
      <c r="J700" t="str">
        <f>IFERROR(INDEX(装备库!$A$2:$Y$1047,MATCH(ROW()-1,装备库!$AO$2:$AO$1046,0),COLUMN()),"")</f>
        <v/>
      </c>
      <c r="K700" t="str">
        <f>IFERROR(INDEX(装备库!$A$2:$Y$1047,MATCH(ROW()-1,装备库!$AO$2:$AO$1046,0),COLUMN()),"")</f>
        <v/>
      </c>
      <c r="L700" t="str">
        <f>IFERROR(INDEX(装备库!$A$2:$Y$1047,MATCH(ROW()-1,装备库!$AO$2:$AO$1046,0),COLUMN()),"")</f>
        <v/>
      </c>
      <c r="M700" t="str">
        <f>IFERROR(INDEX(装备库!$A$2:$Y$1047,MATCH(ROW()-1,装备库!$AO$2:$AO$1046,0),COLUMN()),"")</f>
        <v/>
      </c>
      <c r="N700" t="str">
        <f>IFERROR(INDEX(装备库!$A$2:$Y$1047,MATCH(ROW()-1,装备库!$AO$2:$AO$1046,0),COLUMN()),"")</f>
        <v/>
      </c>
      <c r="O700" t="str">
        <f>IFERROR(INDEX(装备库!$A$2:$Y$1047,MATCH(ROW()-1,装备库!$AO$2:$AO$1046,0),COLUMN()),"")</f>
        <v/>
      </c>
      <c r="P700" t="str">
        <f>IFERROR(INDEX(装备库!$A$2:$Y$1047,MATCH(ROW()-1,装备库!$AO$2:$AO$1046,0),COLUMN()),"")</f>
        <v/>
      </c>
      <c r="Q700" t="str">
        <f>IFERROR(INDEX(装备库!$A$2:$Y$1047,MATCH(ROW()-1,装备库!$AO$2:$AO$1046,0),COLUMN()),"")</f>
        <v/>
      </c>
      <c r="R700" t="str">
        <f>IFERROR(INDEX(装备库!$A$2:$Y$1047,MATCH(ROW()-1,装备库!$AO$2:$AO$1046,0),COLUMN()),"")</f>
        <v/>
      </c>
      <c r="S700" t="str">
        <f>IFERROR(INDEX(装备库!$A$2:$Y$1047,MATCH(ROW()-1,装备库!$AO$2:$AO$1046,0),COLUMN()),"")</f>
        <v/>
      </c>
      <c r="T700" t="str">
        <f>IFERROR(INDEX(装备库!$A$2:$Y$1047,MATCH(ROW()-1,装备库!$AO$2:$AO$1046,0),COLUMN()),"")</f>
        <v/>
      </c>
      <c r="U700" t="str">
        <f>IFERROR(INDEX(装备库!$A$2:$Y$1047,MATCH(ROW()-1,装备库!$AO$2:$AO$1046,0),COLUMN()),"")</f>
        <v/>
      </c>
      <c r="V700" t="str">
        <f>IFERROR(INDEX(装备库!$A$2:$Y$1047,MATCH(ROW()-1,装备库!$AO$2:$AO$1046,0),COLUMN()),"")</f>
        <v/>
      </c>
      <c r="W700" t="str">
        <f>IFERROR(INDEX(装备库!$A$2:$Y$1047,MATCH(ROW()-1,装备库!$AO$2:$AO$1046,0),COLUMN()),"")</f>
        <v/>
      </c>
      <c r="X700" t="str">
        <f>IFERROR(INDEX(装备库!$A$2:$Y$1047,MATCH(ROW()-1,装备库!$AO$2:$AO$1046,0),COLUMN()),"")</f>
        <v/>
      </c>
      <c r="Y700" t="str">
        <f>IFERROR(INDEX(装备库!$A$2:$Y$1047,MATCH(ROW()-1,装备库!$AO$2:$AO$1046,0),COLUMN()),"")</f>
        <v/>
      </c>
    </row>
    <row r="701" spans="1:25" x14ac:dyDescent="0.35">
      <c r="A701" t="str">
        <f>IFERROR(INDEX(装备库!$A$2:$Y$1047,MATCH(ROW()-1,装备库!$AO$2:$AO$1046,0),COLUMN()),"")</f>
        <v/>
      </c>
      <c r="B701" t="str">
        <f>IFERROR(INDEX(装备库!$A$2:$Y$1047,MATCH(ROW()-1,装备库!$AO$2:$AO$1046,0),COLUMN()),"")</f>
        <v/>
      </c>
      <c r="C701" t="str">
        <f>IFERROR(INDEX(装备库!$A$2:$Y$1047,MATCH(ROW()-1,装备库!$AO$2:$AO$1046,0),COLUMN()),"")</f>
        <v/>
      </c>
      <c r="D701" t="str">
        <f>IFERROR(INDEX(装备库!$A$2:$Y$1047,MATCH(ROW()-1,装备库!$AO$2:$AO$1046,0),COLUMN()),"")</f>
        <v/>
      </c>
      <c r="E701" t="str">
        <f>IFERROR(INDEX(装备库!$A$2:$Y$1047,MATCH(ROW()-1,装备库!$AO$2:$AO$1046,0),COLUMN()),"")</f>
        <v/>
      </c>
      <c r="F701" t="str">
        <f>IFERROR(INDEX(装备库!$A$2:$Y$1047,MATCH(ROW()-1,装备库!$AO$2:$AO$1046,0),COLUMN()),"")</f>
        <v/>
      </c>
      <c r="G701" t="str">
        <f>IFERROR(INDEX(装备库!$A$2:$Y$1047,MATCH(ROW()-1,装备库!$AO$2:$AO$1046,0),COLUMN()),"")</f>
        <v/>
      </c>
      <c r="H701" t="str">
        <f>IFERROR(INDEX(装备库!$A$2:$Y$1047,MATCH(ROW()-1,装备库!$AO$2:$AO$1046,0),COLUMN()),"")</f>
        <v/>
      </c>
      <c r="I701" t="str">
        <f>IFERROR(INDEX(装备库!$A$2:$Y$1047,MATCH(ROW()-1,装备库!$AO$2:$AO$1046,0),COLUMN()),"")</f>
        <v/>
      </c>
      <c r="J701" t="str">
        <f>IFERROR(INDEX(装备库!$A$2:$Y$1047,MATCH(ROW()-1,装备库!$AO$2:$AO$1046,0),COLUMN()),"")</f>
        <v/>
      </c>
      <c r="K701" t="str">
        <f>IFERROR(INDEX(装备库!$A$2:$Y$1047,MATCH(ROW()-1,装备库!$AO$2:$AO$1046,0),COLUMN()),"")</f>
        <v/>
      </c>
      <c r="L701" t="str">
        <f>IFERROR(INDEX(装备库!$A$2:$Y$1047,MATCH(ROW()-1,装备库!$AO$2:$AO$1046,0),COLUMN()),"")</f>
        <v/>
      </c>
      <c r="M701" t="str">
        <f>IFERROR(INDEX(装备库!$A$2:$Y$1047,MATCH(ROW()-1,装备库!$AO$2:$AO$1046,0),COLUMN()),"")</f>
        <v/>
      </c>
      <c r="N701" t="str">
        <f>IFERROR(INDEX(装备库!$A$2:$Y$1047,MATCH(ROW()-1,装备库!$AO$2:$AO$1046,0),COLUMN()),"")</f>
        <v/>
      </c>
      <c r="O701" t="str">
        <f>IFERROR(INDEX(装备库!$A$2:$Y$1047,MATCH(ROW()-1,装备库!$AO$2:$AO$1046,0),COLUMN()),"")</f>
        <v/>
      </c>
      <c r="P701" t="str">
        <f>IFERROR(INDEX(装备库!$A$2:$Y$1047,MATCH(ROW()-1,装备库!$AO$2:$AO$1046,0),COLUMN()),"")</f>
        <v/>
      </c>
      <c r="Q701" t="str">
        <f>IFERROR(INDEX(装备库!$A$2:$Y$1047,MATCH(ROW()-1,装备库!$AO$2:$AO$1046,0),COLUMN()),"")</f>
        <v/>
      </c>
      <c r="R701" t="str">
        <f>IFERROR(INDEX(装备库!$A$2:$Y$1047,MATCH(ROW()-1,装备库!$AO$2:$AO$1046,0),COLUMN()),"")</f>
        <v/>
      </c>
      <c r="S701" t="str">
        <f>IFERROR(INDEX(装备库!$A$2:$Y$1047,MATCH(ROW()-1,装备库!$AO$2:$AO$1046,0),COLUMN()),"")</f>
        <v/>
      </c>
      <c r="T701" t="str">
        <f>IFERROR(INDEX(装备库!$A$2:$Y$1047,MATCH(ROW()-1,装备库!$AO$2:$AO$1046,0),COLUMN()),"")</f>
        <v/>
      </c>
      <c r="U701" t="str">
        <f>IFERROR(INDEX(装备库!$A$2:$Y$1047,MATCH(ROW()-1,装备库!$AO$2:$AO$1046,0),COLUMN()),"")</f>
        <v/>
      </c>
      <c r="V701" t="str">
        <f>IFERROR(INDEX(装备库!$A$2:$Y$1047,MATCH(ROW()-1,装备库!$AO$2:$AO$1046,0),COLUMN()),"")</f>
        <v/>
      </c>
      <c r="W701" t="str">
        <f>IFERROR(INDEX(装备库!$A$2:$Y$1047,MATCH(ROW()-1,装备库!$AO$2:$AO$1046,0),COLUMN()),"")</f>
        <v/>
      </c>
      <c r="X701" t="str">
        <f>IFERROR(INDEX(装备库!$A$2:$Y$1047,MATCH(ROW()-1,装备库!$AO$2:$AO$1046,0),COLUMN()),"")</f>
        <v/>
      </c>
      <c r="Y701" t="str">
        <f>IFERROR(INDEX(装备库!$A$2:$Y$1047,MATCH(ROW()-1,装备库!$AO$2:$AO$1046,0),COLUMN()),"")</f>
        <v/>
      </c>
    </row>
    <row r="702" spans="1:25" x14ac:dyDescent="0.35">
      <c r="A702" t="str">
        <f>IFERROR(INDEX(装备库!$A$2:$Y$1047,MATCH(ROW()-1,装备库!$AO$2:$AO$1046,0),COLUMN()),"")</f>
        <v/>
      </c>
      <c r="B702" t="str">
        <f>IFERROR(INDEX(装备库!$A$2:$Y$1047,MATCH(ROW()-1,装备库!$AO$2:$AO$1046,0),COLUMN()),"")</f>
        <v/>
      </c>
      <c r="C702" t="str">
        <f>IFERROR(INDEX(装备库!$A$2:$Y$1047,MATCH(ROW()-1,装备库!$AO$2:$AO$1046,0),COLUMN()),"")</f>
        <v/>
      </c>
      <c r="D702" t="str">
        <f>IFERROR(INDEX(装备库!$A$2:$Y$1047,MATCH(ROW()-1,装备库!$AO$2:$AO$1046,0),COLUMN()),"")</f>
        <v/>
      </c>
      <c r="E702" t="str">
        <f>IFERROR(INDEX(装备库!$A$2:$Y$1047,MATCH(ROW()-1,装备库!$AO$2:$AO$1046,0),COLUMN()),"")</f>
        <v/>
      </c>
      <c r="F702" t="str">
        <f>IFERROR(INDEX(装备库!$A$2:$Y$1047,MATCH(ROW()-1,装备库!$AO$2:$AO$1046,0),COLUMN()),"")</f>
        <v/>
      </c>
      <c r="G702" t="str">
        <f>IFERROR(INDEX(装备库!$A$2:$Y$1047,MATCH(ROW()-1,装备库!$AO$2:$AO$1046,0),COLUMN()),"")</f>
        <v/>
      </c>
      <c r="H702" t="str">
        <f>IFERROR(INDEX(装备库!$A$2:$Y$1047,MATCH(ROW()-1,装备库!$AO$2:$AO$1046,0),COLUMN()),"")</f>
        <v/>
      </c>
      <c r="I702" t="str">
        <f>IFERROR(INDEX(装备库!$A$2:$Y$1047,MATCH(ROW()-1,装备库!$AO$2:$AO$1046,0),COLUMN()),"")</f>
        <v/>
      </c>
      <c r="J702" t="str">
        <f>IFERROR(INDEX(装备库!$A$2:$Y$1047,MATCH(ROW()-1,装备库!$AO$2:$AO$1046,0),COLUMN()),"")</f>
        <v/>
      </c>
      <c r="K702" t="str">
        <f>IFERROR(INDEX(装备库!$A$2:$Y$1047,MATCH(ROW()-1,装备库!$AO$2:$AO$1046,0),COLUMN()),"")</f>
        <v/>
      </c>
      <c r="L702" t="str">
        <f>IFERROR(INDEX(装备库!$A$2:$Y$1047,MATCH(ROW()-1,装备库!$AO$2:$AO$1046,0),COLUMN()),"")</f>
        <v/>
      </c>
      <c r="M702" t="str">
        <f>IFERROR(INDEX(装备库!$A$2:$Y$1047,MATCH(ROW()-1,装备库!$AO$2:$AO$1046,0),COLUMN()),"")</f>
        <v/>
      </c>
      <c r="N702" t="str">
        <f>IFERROR(INDEX(装备库!$A$2:$Y$1047,MATCH(ROW()-1,装备库!$AO$2:$AO$1046,0),COLUMN()),"")</f>
        <v/>
      </c>
      <c r="O702" t="str">
        <f>IFERROR(INDEX(装备库!$A$2:$Y$1047,MATCH(ROW()-1,装备库!$AO$2:$AO$1046,0),COLUMN()),"")</f>
        <v/>
      </c>
      <c r="P702" t="str">
        <f>IFERROR(INDEX(装备库!$A$2:$Y$1047,MATCH(ROW()-1,装备库!$AO$2:$AO$1046,0),COLUMN()),"")</f>
        <v/>
      </c>
      <c r="Q702" t="str">
        <f>IFERROR(INDEX(装备库!$A$2:$Y$1047,MATCH(ROW()-1,装备库!$AO$2:$AO$1046,0),COLUMN()),"")</f>
        <v/>
      </c>
      <c r="R702" t="str">
        <f>IFERROR(INDEX(装备库!$A$2:$Y$1047,MATCH(ROW()-1,装备库!$AO$2:$AO$1046,0),COLUMN()),"")</f>
        <v/>
      </c>
      <c r="S702" t="str">
        <f>IFERROR(INDEX(装备库!$A$2:$Y$1047,MATCH(ROW()-1,装备库!$AO$2:$AO$1046,0),COLUMN()),"")</f>
        <v/>
      </c>
      <c r="T702" t="str">
        <f>IFERROR(INDEX(装备库!$A$2:$Y$1047,MATCH(ROW()-1,装备库!$AO$2:$AO$1046,0),COLUMN()),"")</f>
        <v/>
      </c>
      <c r="U702" t="str">
        <f>IFERROR(INDEX(装备库!$A$2:$Y$1047,MATCH(ROW()-1,装备库!$AO$2:$AO$1046,0),COLUMN()),"")</f>
        <v/>
      </c>
      <c r="V702" t="str">
        <f>IFERROR(INDEX(装备库!$A$2:$Y$1047,MATCH(ROW()-1,装备库!$AO$2:$AO$1046,0),COLUMN()),"")</f>
        <v/>
      </c>
      <c r="W702" t="str">
        <f>IFERROR(INDEX(装备库!$A$2:$Y$1047,MATCH(ROW()-1,装备库!$AO$2:$AO$1046,0),COLUMN()),"")</f>
        <v/>
      </c>
      <c r="X702" t="str">
        <f>IFERROR(INDEX(装备库!$A$2:$Y$1047,MATCH(ROW()-1,装备库!$AO$2:$AO$1046,0),COLUMN()),"")</f>
        <v/>
      </c>
      <c r="Y702" t="str">
        <f>IFERROR(INDEX(装备库!$A$2:$Y$1047,MATCH(ROW()-1,装备库!$AO$2:$AO$1046,0),COLUMN()),"")</f>
        <v/>
      </c>
    </row>
    <row r="703" spans="1:25" x14ac:dyDescent="0.35">
      <c r="A703" t="str">
        <f>IFERROR(INDEX(装备库!$A$2:$Y$1047,MATCH(ROW()-1,装备库!$AO$2:$AO$1046,0),COLUMN()),"")</f>
        <v/>
      </c>
      <c r="B703" t="str">
        <f>IFERROR(INDEX(装备库!$A$2:$Y$1047,MATCH(ROW()-1,装备库!$AO$2:$AO$1046,0),COLUMN()),"")</f>
        <v/>
      </c>
      <c r="C703" t="str">
        <f>IFERROR(INDEX(装备库!$A$2:$Y$1047,MATCH(ROW()-1,装备库!$AO$2:$AO$1046,0),COLUMN()),"")</f>
        <v/>
      </c>
      <c r="D703" t="str">
        <f>IFERROR(INDEX(装备库!$A$2:$Y$1047,MATCH(ROW()-1,装备库!$AO$2:$AO$1046,0),COLUMN()),"")</f>
        <v/>
      </c>
      <c r="E703" t="str">
        <f>IFERROR(INDEX(装备库!$A$2:$Y$1047,MATCH(ROW()-1,装备库!$AO$2:$AO$1046,0),COLUMN()),"")</f>
        <v/>
      </c>
      <c r="F703" t="str">
        <f>IFERROR(INDEX(装备库!$A$2:$Y$1047,MATCH(ROW()-1,装备库!$AO$2:$AO$1046,0),COLUMN()),"")</f>
        <v/>
      </c>
      <c r="G703" t="str">
        <f>IFERROR(INDEX(装备库!$A$2:$Y$1047,MATCH(ROW()-1,装备库!$AO$2:$AO$1046,0),COLUMN()),"")</f>
        <v/>
      </c>
      <c r="H703" t="str">
        <f>IFERROR(INDEX(装备库!$A$2:$Y$1047,MATCH(ROW()-1,装备库!$AO$2:$AO$1046,0),COLUMN()),"")</f>
        <v/>
      </c>
      <c r="I703" t="str">
        <f>IFERROR(INDEX(装备库!$A$2:$Y$1047,MATCH(ROW()-1,装备库!$AO$2:$AO$1046,0),COLUMN()),"")</f>
        <v/>
      </c>
      <c r="J703" t="str">
        <f>IFERROR(INDEX(装备库!$A$2:$Y$1047,MATCH(ROW()-1,装备库!$AO$2:$AO$1046,0),COLUMN()),"")</f>
        <v/>
      </c>
      <c r="K703" t="str">
        <f>IFERROR(INDEX(装备库!$A$2:$Y$1047,MATCH(ROW()-1,装备库!$AO$2:$AO$1046,0),COLUMN()),"")</f>
        <v/>
      </c>
      <c r="L703" t="str">
        <f>IFERROR(INDEX(装备库!$A$2:$Y$1047,MATCH(ROW()-1,装备库!$AO$2:$AO$1046,0),COLUMN()),"")</f>
        <v/>
      </c>
      <c r="M703" t="str">
        <f>IFERROR(INDEX(装备库!$A$2:$Y$1047,MATCH(ROW()-1,装备库!$AO$2:$AO$1046,0),COLUMN()),"")</f>
        <v/>
      </c>
      <c r="N703" t="str">
        <f>IFERROR(INDEX(装备库!$A$2:$Y$1047,MATCH(ROW()-1,装备库!$AO$2:$AO$1046,0),COLUMN()),"")</f>
        <v/>
      </c>
      <c r="O703" t="str">
        <f>IFERROR(INDEX(装备库!$A$2:$Y$1047,MATCH(ROW()-1,装备库!$AO$2:$AO$1046,0),COLUMN()),"")</f>
        <v/>
      </c>
      <c r="P703" t="str">
        <f>IFERROR(INDEX(装备库!$A$2:$Y$1047,MATCH(ROW()-1,装备库!$AO$2:$AO$1046,0),COLUMN()),"")</f>
        <v/>
      </c>
      <c r="Q703" t="str">
        <f>IFERROR(INDEX(装备库!$A$2:$Y$1047,MATCH(ROW()-1,装备库!$AO$2:$AO$1046,0),COLUMN()),"")</f>
        <v/>
      </c>
      <c r="R703" t="str">
        <f>IFERROR(INDEX(装备库!$A$2:$Y$1047,MATCH(ROW()-1,装备库!$AO$2:$AO$1046,0),COLUMN()),"")</f>
        <v/>
      </c>
      <c r="S703" t="str">
        <f>IFERROR(INDEX(装备库!$A$2:$Y$1047,MATCH(ROW()-1,装备库!$AO$2:$AO$1046,0),COLUMN()),"")</f>
        <v/>
      </c>
      <c r="T703" t="str">
        <f>IFERROR(INDEX(装备库!$A$2:$Y$1047,MATCH(ROW()-1,装备库!$AO$2:$AO$1046,0),COLUMN()),"")</f>
        <v/>
      </c>
      <c r="U703" t="str">
        <f>IFERROR(INDEX(装备库!$A$2:$Y$1047,MATCH(ROW()-1,装备库!$AO$2:$AO$1046,0),COLUMN()),"")</f>
        <v/>
      </c>
      <c r="V703" t="str">
        <f>IFERROR(INDEX(装备库!$A$2:$Y$1047,MATCH(ROW()-1,装备库!$AO$2:$AO$1046,0),COLUMN()),"")</f>
        <v/>
      </c>
      <c r="W703" t="str">
        <f>IFERROR(INDEX(装备库!$A$2:$Y$1047,MATCH(ROW()-1,装备库!$AO$2:$AO$1046,0),COLUMN()),"")</f>
        <v/>
      </c>
      <c r="X703" t="str">
        <f>IFERROR(INDEX(装备库!$A$2:$Y$1047,MATCH(ROW()-1,装备库!$AO$2:$AO$1046,0),COLUMN()),"")</f>
        <v/>
      </c>
      <c r="Y703" t="str">
        <f>IFERROR(INDEX(装备库!$A$2:$Y$1047,MATCH(ROW()-1,装备库!$AO$2:$AO$1046,0),COLUMN()),"")</f>
        <v/>
      </c>
    </row>
    <row r="704" spans="1:25" x14ac:dyDescent="0.35">
      <c r="A704" t="str">
        <f>IFERROR(INDEX(装备库!$A$2:$Y$1047,MATCH(ROW()-1,装备库!$AO$2:$AO$1046,0),COLUMN()),"")</f>
        <v/>
      </c>
      <c r="B704" t="str">
        <f>IFERROR(INDEX(装备库!$A$2:$Y$1047,MATCH(ROW()-1,装备库!$AO$2:$AO$1046,0),COLUMN()),"")</f>
        <v/>
      </c>
      <c r="C704" t="str">
        <f>IFERROR(INDEX(装备库!$A$2:$Y$1047,MATCH(ROW()-1,装备库!$AO$2:$AO$1046,0),COLUMN()),"")</f>
        <v/>
      </c>
      <c r="D704" t="str">
        <f>IFERROR(INDEX(装备库!$A$2:$Y$1047,MATCH(ROW()-1,装备库!$AO$2:$AO$1046,0),COLUMN()),"")</f>
        <v/>
      </c>
      <c r="E704" t="str">
        <f>IFERROR(INDEX(装备库!$A$2:$Y$1047,MATCH(ROW()-1,装备库!$AO$2:$AO$1046,0),COLUMN()),"")</f>
        <v/>
      </c>
      <c r="F704" t="str">
        <f>IFERROR(INDEX(装备库!$A$2:$Y$1047,MATCH(ROW()-1,装备库!$AO$2:$AO$1046,0),COLUMN()),"")</f>
        <v/>
      </c>
      <c r="G704" t="str">
        <f>IFERROR(INDEX(装备库!$A$2:$Y$1047,MATCH(ROW()-1,装备库!$AO$2:$AO$1046,0),COLUMN()),"")</f>
        <v/>
      </c>
      <c r="H704" t="str">
        <f>IFERROR(INDEX(装备库!$A$2:$Y$1047,MATCH(ROW()-1,装备库!$AO$2:$AO$1046,0),COLUMN()),"")</f>
        <v/>
      </c>
      <c r="I704" t="str">
        <f>IFERROR(INDEX(装备库!$A$2:$Y$1047,MATCH(ROW()-1,装备库!$AO$2:$AO$1046,0),COLUMN()),"")</f>
        <v/>
      </c>
      <c r="J704" t="str">
        <f>IFERROR(INDEX(装备库!$A$2:$Y$1047,MATCH(ROW()-1,装备库!$AO$2:$AO$1046,0),COLUMN()),"")</f>
        <v/>
      </c>
      <c r="K704" t="str">
        <f>IFERROR(INDEX(装备库!$A$2:$Y$1047,MATCH(ROW()-1,装备库!$AO$2:$AO$1046,0),COLUMN()),"")</f>
        <v/>
      </c>
      <c r="L704" t="str">
        <f>IFERROR(INDEX(装备库!$A$2:$Y$1047,MATCH(ROW()-1,装备库!$AO$2:$AO$1046,0),COLUMN()),"")</f>
        <v/>
      </c>
      <c r="M704" t="str">
        <f>IFERROR(INDEX(装备库!$A$2:$Y$1047,MATCH(ROW()-1,装备库!$AO$2:$AO$1046,0),COLUMN()),"")</f>
        <v/>
      </c>
      <c r="N704" t="str">
        <f>IFERROR(INDEX(装备库!$A$2:$Y$1047,MATCH(ROW()-1,装备库!$AO$2:$AO$1046,0),COLUMN()),"")</f>
        <v/>
      </c>
      <c r="O704" t="str">
        <f>IFERROR(INDEX(装备库!$A$2:$Y$1047,MATCH(ROW()-1,装备库!$AO$2:$AO$1046,0),COLUMN()),"")</f>
        <v/>
      </c>
      <c r="P704" t="str">
        <f>IFERROR(INDEX(装备库!$A$2:$Y$1047,MATCH(ROW()-1,装备库!$AO$2:$AO$1046,0),COLUMN()),"")</f>
        <v/>
      </c>
      <c r="Q704" t="str">
        <f>IFERROR(INDEX(装备库!$A$2:$Y$1047,MATCH(ROW()-1,装备库!$AO$2:$AO$1046,0),COLUMN()),"")</f>
        <v/>
      </c>
      <c r="R704" t="str">
        <f>IFERROR(INDEX(装备库!$A$2:$Y$1047,MATCH(ROW()-1,装备库!$AO$2:$AO$1046,0),COLUMN()),"")</f>
        <v/>
      </c>
      <c r="S704" t="str">
        <f>IFERROR(INDEX(装备库!$A$2:$Y$1047,MATCH(ROW()-1,装备库!$AO$2:$AO$1046,0),COLUMN()),"")</f>
        <v/>
      </c>
      <c r="T704" t="str">
        <f>IFERROR(INDEX(装备库!$A$2:$Y$1047,MATCH(ROW()-1,装备库!$AO$2:$AO$1046,0),COLUMN()),"")</f>
        <v/>
      </c>
      <c r="U704" t="str">
        <f>IFERROR(INDEX(装备库!$A$2:$Y$1047,MATCH(ROW()-1,装备库!$AO$2:$AO$1046,0),COLUMN()),"")</f>
        <v/>
      </c>
      <c r="V704" t="str">
        <f>IFERROR(INDEX(装备库!$A$2:$Y$1047,MATCH(ROW()-1,装备库!$AO$2:$AO$1046,0),COLUMN()),"")</f>
        <v/>
      </c>
      <c r="W704" t="str">
        <f>IFERROR(INDEX(装备库!$A$2:$Y$1047,MATCH(ROW()-1,装备库!$AO$2:$AO$1046,0),COLUMN()),"")</f>
        <v/>
      </c>
      <c r="X704" t="str">
        <f>IFERROR(INDEX(装备库!$A$2:$Y$1047,MATCH(ROW()-1,装备库!$AO$2:$AO$1046,0),COLUMN()),"")</f>
        <v/>
      </c>
      <c r="Y704" t="str">
        <f>IFERROR(INDEX(装备库!$A$2:$Y$1047,MATCH(ROW()-1,装备库!$AO$2:$AO$1046,0),COLUMN()),"")</f>
        <v/>
      </c>
    </row>
    <row r="705" spans="1:25" x14ac:dyDescent="0.35">
      <c r="A705" t="str">
        <f>IFERROR(INDEX(装备库!$A$2:$Y$1047,MATCH(ROW()-1,装备库!$AO$2:$AO$1046,0),COLUMN()),"")</f>
        <v/>
      </c>
      <c r="B705" t="str">
        <f>IFERROR(INDEX(装备库!$A$2:$Y$1047,MATCH(ROW()-1,装备库!$AO$2:$AO$1046,0),COLUMN()),"")</f>
        <v/>
      </c>
      <c r="C705" t="str">
        <f>IFERROR(INDEX(装备库!$A$2:$Y$1047,MATCH(ROW()-1,装备库!$AO$2:$AO$1046,0),COLUMN()),"")</f>
        <v/>
      </c>
      <c r="D705" t="str">
        <f>IFERROR(INDEX(装备库!$A$2:$Y$1047,MATCH(ROW()-1,装备库!$AO$2:$AO$1046,0),COLUMN()),"")</f>
        <v/>
      </c>
      <c r="E705" t="str">
        <f>IFERROR(INDEX(装备库!$A$2:$Y$1047,MATCH(ROW()-1,装备库!$AO$2:$AO$1046,0),COLUMN()),"")</f>
        <v/>
      </c>
      <c r="F705" t="str">
        <f>IFERROR(INDEX(装备库!$A$2:$Y$1047,MATCH(ROW()-1,装备库!$AO$2:$AO$1046,0),COLUMN()),"")</f>
        <v/>
      </c>
      <c r="G705" t="str">
        <f>IFERROR(INDEX(装备库!$A$2:$Y$1047,MATCH(ROW()-1,装备库!$AO$2:$AO$1046,0),COLUMN()),"")</f>
        <v/>
      </c>
      <c r="H705" t="str">
        <f>IFERROR(INDEX(装备库!$A$2:$Y$1047,MATCH(ROW()-1,装备库!$AO$2:$AO$1046,0),COLUMN()),"")</f>
        <v/>
      </c>
      <c r="I705" t="str">
        <f>IFERROR(INDEX(装备库!$A$2:$Y$1047,MATCH(ROW()-1,装备库!$AO$2:$AO$1046,0),COLUMN()),"")</f>
        <v/>
      </c>
      <c r="J705" t="str">
        <f>IFERROR(INDEX(装备库!$A$2:$Y$1047,MATCH(ROW()-1,装备库!$AO$2:$AO$1046,0),COLUMN()),"")</f>
        <v/>
      </c>
      <c r="K705" t="str">
        <f>IFERROR(INDEX(装备库!$A$2:$Y$1047,MATCH(ROW()-1,装备库!$AO$2:$AO$1046,0),COLUMN()),"")</f>
        <v/>
      </c>
      <c r="L705" t="str">
        <f>IFERROR(INDEX(装备库!$A$2:$Y$1047,MATCH(ROW()-1,装备库!$AO$2:$AO$1046,0),COLUMN()),"")</f>
        <v/>
      </c>
      <c r="M705" t="str">
        <f>IFERROR(INDEX(装备库!$A$2:$Y$1047,MATCH(ROW()-1,装备库!$AO$2:$AO$1046,0),COLUMN()),"")</f>
        <v/>
      </c>
      <c r="N705" t="str">
        <f>IFERROR(INDEX(装备库!$A$2:$Y$1047,MATCH(ROW()-1,装备库!$AO$2:$AO$1046,0),COLUMN()),"")</f>
        <v/>
      </c>
      <c r="O705" t="str">
        <f>IFERROR(INDEX(装备库!$A$2:$Y$1047,MATCH(ROW()-1,装备库!$AO$2:$AO$1046,0),COLUMN()),"")</f>
        <v/>
      </c>
      <c r="P705" t="str">
        <f>IFERROR(INDEX(装备库!$A$2:$Y$1047,MATCH(ROW()-1,装备库!$AO$2:$AO$1046,0),COLUMN()),"")</f>
        <v/>
      </c>
      <c r="Q705" t="str">
        <f>IFERROR(INDEX(装备库!$A$2:$Y$1047,MATCH(ROW()-1,装备库!$AO$2:$AO$1046,0),COLUMN()),"")</f>
        <v/>
      </c>
      <c r="R705" t="str">
        <f>IFERROR(INDEX(装备库!$A$2:$Y$1047,MATCH(ROW()-1,装备库!$AO$2:$AO$1046,0),COLUMN()),"")</f>
        <v/>
      </c>
      <c r="S705" t="str">
        <f>IFERROR(INDEX(装备库!$A$2:$Y$1047,MATCH(ROW()-1,装备库!$AO$2:$AO$1046,0),COLUMN()),"")</f>
        <v/>
      </c>
      <c r="T705" t="str">
        <f>IFERROR(INDEX(装备库!$A$2:$Y$1047,MATCH(ROW()-1,装备库!$AO$2:$AO$1046,0),COLUMN()),"")</f>
        <v/>
      </c>
      <c r="U705" t="str">
        <f>IFERROR(INDEX(装备库!$A$2:$Y$1047,MATCH(ROW()-1,装备库!$AO$2:$AO$1046,0),COLUMN()),"")</f>
        <v/>
      </c>
      <c r="V705" t="str">
        <f>IFERROR(INDEX(装备库!$A$2:$Y$1047,MATCH(ROW()-1,装备库!$AO$2:$AO$1046,0),COLUMN()),"")</f>
        <v/>
      </c>
      <c r="W705" t="str">
        <f>IFERROR(INDEX(装备库!$A$2:$Y$1047,MATCH(ROW()-1,装备库!$AO$2:$AO$1046,0),COLUMN()),"")</f>
        <v/>
      </c>
      <c r="X705" t="str">
        <f>IFERROR(INDEX(装备库!$A$2:$Y$1047,MATCH(ROW()-1,装备库!$AO$2:$AO$1046,0),COLUMN()),"")</f>
        <v/>
      </c>
      <c r="Y705" t="str">
        <f>IFERROR(INDEX(装备库!$A$2:$Y$1047,MATCH(ROW()-1,装备库!$AO$2:$AO$1046,0),COLUMN()),"")</f>
        <v/>
      </c>
    </row>
    <row r="706" spans="1:25" x14ac:dyDescent="0.35">
      <c r="A706" t="str">
        <f>IFERROR(INDEX(装备库!$A$2:$Y$1047,MATCH(ROW()-1,装备库!$AO$2:$AO$1046,0),COLUMN()),"")</f>
        <v/>
      </c>
      <c r="B706" t="str">
        <f>IFERROR(INDEX(装备库!$A$2:$Y$1047,MATCH(ROW()-1,装备库!$AO$2:$AO$1046,0),COLUMN()),"")</f>
        <v/>
      </c>
      <c r="C706" t="str">
        <f>IFERROR(INDEX(装备库!$A$2:$Y$1047,MATCH(ROW()-1,装备库!$AO$2:$AO$1046,0),COLUMN()),"")</f>
        <v/>
      </c>
      <c r="D706" t="str">
        <f>IFERROR(INDEX(装备库!$A$2:$Y$1047,MATCH(ROW()-1,装备库!$AO$2:$AO$1046,0),COLUMN()),"")</f>
        <v/>
      </c>
      <c r="E706" t="str">
        <f>IFERROR(INDEX(装备库!$A$2:$Y$1047,MATCH(ROW()-1,装备库!$AO$2:$AO$1046,0),COLUMN()),"")</f>
        <v/>
      </c>
      <c r="F706" t="str">
        <f>IFERROR(INDEX(装备库!$A$2:$Y$1047,MATCH(ROW()-1,装备库!$AO$2:$AO$1046,0),COLUMN()),"")</f>
        <v/>
      </c>
      <c r="G706" t="str">
        <f>IFERROR(INDEX(装备库!$A$2:$Y$1047,MATCH(ROW()-1,装备库!$AO$2:$AO$1046,0),COLUMN()),"")</f>
        <v/>
      </c>
      <c r="H706" t="str">
        <f>IFERROR(INDEX(装备库!$A$2:$Y$1047,MATCH(ROW()-1,装备库!$AO$2:$AO$1046,0),COLUMN()),"")</f>
        <v/>
      </c>
      <c r="I706" t="str">
        <f>IFERROR(INDEX(装备库!$A$2:$Y$1047,MATCH(ROW()-1,装备库!$AO$2:$AO$1046,0),COLUMN()),"")</f>
        <v/>
      </c>
      <c r="J706" t="str">
        <f>IFERROR(INDEX(装备库!$A$2:$Y$1047,MATCH(ROW()-1,装备库!$AO$2:$AO$1046,0),COLUMN()),"")</f>
        <v/>
      </c>
      <c r="K706" t="str">
        <f>IFERROR(INDEX(装备库!$A$2:$Y$1047,MATCH(ROW()-1,装备库!$AO$2:$AO$1046,0),COLUMN()),"")</f>
        <v/>
      </c>
      <c r="L706" t="str">
        <f>IFERROR(INDEX(装备库!$A$2:$Y$1047,MATCH(ROW()-1,装备库!$AO$2:$AO$1046,0),COLUMN()),"")</f>
        <v/>
      </c>
      <c r="M706" t="str">
        <f>IFERROR(INDEX(装备库!$A$2:$Y$1047,MATCH(ROW()-1,装备库!$AO$2:$AO$1046,0),COLUMN()),"")</f>
        <v/>
      </c>
      <c r="N706" t="str">
        <f>IFERROR(INDEX(装备库!$A$2:$Y$1047,MATCH(ROW()-1,装备库!$AO$2:$AO$1046,0),COLUMN()),"")</f>
        <v/>
      </c>
      <c r="O706" t="str">
        <f>IFERROR(INDEX(装备库!$A$2:$Y$1047,MATCH(ROW()-1,装备库!$AO$2:$AO$1046,0),COLUMN()),"")</f>
        <v/>
      </c>
      <c r="P706" t="str">
        <f>IFERROR(INDEX(装备库!$A$2:$Y$1047,MATCH(ROW()-1,装备库!$AO$2:$AO$1046,0),COLUMN()),"")</f>
        <v/>
      </c>
      <c r="Q706" t="str">
        <f>IFERROR(INDEX(装备库!$A$2:$Y$1047,MATCH(ROW()-1,装备库!$AO$2:$AO$1046,0),COLUMN()),"")</f>
        <v/>
      </c>
      <c r="R706" t="str">
        <f>IFERROR(INDEX(装备库!$A$2:$Y$1047,MATCH(ROW()-1,装备库!$AO$2:$AO$1046,0),COLUMN()),"")</f>
        <v/>
      </c>
      <c r="S706" t="str">
        <f>IFERROR(INDEX(装备库!$A$2:$Y$1047,MATCH(ROW()-1,装备库!$AO$2:$AO$1046,0),COLUMN()),"")</f>
        <v/>
      </c>
      <c r="T706" t="str">
        <f>IFERROR(INDEX(装备库!$A$2:$Y$1047,MATCH(ROW()-1,装备库!$AO$2:$AO$1046,0),COLUMN()),"")</f>
        <v/>
      </c>
      <c r="U706" t="str">
        <f>IFERROR(INDEX(装备库!$A$2:$Y$1047,MATCH(ROW()-1,装备库!$AO$2:$AO$1046,0),COLUMN()),"")</f>
        <v/>
      </c>
      <c r="V706" t="str">
        <f>IFERROR(INDEX(装备库!$A$2:$Y$1047,MATCH(ROW()-1,装备库!$AO$2:$AO$1046,0),COLUMN()),"")</f>
        <v/>
      </c>
      <c r="W706" t="str">
        <f>IFERROR(INDEX(装备库!$A$2:$Y$1047,MATCH(ROW()-1,装备库!$AO$2:$AO$1046,0),COLUMN()),"")</f>
        <v/>
      </c>
      <c r="X706" t="str">
        <f>IFERROR(INDEX(装备库!$A$2:$Y$1047,MATCH(ROW()-1,装备库!$AO$2:$AO$1046,0),COLUMN()),"")</f>
        <v/>
      </c>
      <c r="Y706" t="str">
        <f>IFERROR(INDEX(装备库!$A$2:$Y$1047,MATCH(ROW()-1,装备库!$AO$2:$AO$1046,0),COLUMN()),"")</f>
        <v/>
      </c>
    </row>
    <row r="707" spans="1:25" x14ac:dyDescent="0.35">
      <c r="A707" t="str">
        <f>IFERROR(INDEX(装备库!$A$2:$Y$1047,MATCH(ROW()-1,装备库!$AO$2:$AO$1046,0),COLUMN()),"")</f>
        <v/>
      </c>
      <c r="B707" t="str">
        <f>IFERROR(INDEX(装备库!$A$2:$Y$1047,MATCH(ROW()-1,装备库!$AO$2:$AO$1046,0),COLUMN()),"")</f>
        <v/>
      </c>
      <c r="C707" t="str">
        <f>IFERROR(INDEX(装备库!$A$2:$Y$1047,MATCH(ROW()-1,装备库!$AO$2:$AO$1046,0),COLUMN()),"")</f>
        <v/>
      </c>
      <c r="D707" t="str">
        <f>IFERROR(INDEX(装备库!$A$2:$Y$1047,MATCH(ROW()-1,装备库!$AO$2:$AO$1046,0),COLUMN()),"")</f>
        <v/>
      </c>
      <c r="E707" t="str">
        <f>IFERROR(INDEX(装备库!$A$2:$Y$1047,MATCH(ROW()-1,装备库!$AO$2:$AO$1046,0),COLUMN()),"")</f>
        <v/>
      </c>
      <c r="F707" t="str">
        <f>IFERROR(INDEX(装备库!$A$2:$Y$1047,MATCH(ROW()-1,装备库!$AO$2:$AO$1046,0),COLUMN()),"")</f>
        <v/>
      </c>
      <c r="G707" t="str">
        <f>IFERROR(INDEX(装备库!$A$2:$Y$1047,MATCH(ROW()-1,装备库!$AO$2:$AO$1046,0),COLUMN()),"")</f>
        <v/>
      </c>
      <c r="H707" t="str">
        <f>IFERROR(INDEX(装备库!$A$2:$Y$1047,MATCH(ROW()-1,装备库!$AO$2:$AO$1046,0),COLUMN()),"")</f>
        <v/>
      </c>
      <c r="I707" t="str">
        <f>IFERROR(INDEX(装备库!$A$2:$Y$1047,MATCH(ROW()-1,装备库!$AO$2:$AO$1046,0),COLUMN()),"")</f>
        <v/>
      </c>
      <c r="J707" t="str">
        <f>IFERROR(INDEX(装备库!$A$2:$Y$1047,MATCH(ROW()-1,装备库!$AO$2:$AO$1046,0),COLUMN()),"")</f>
        <v/>
      </c>
      <c r="K707" t="str">
        <f>IFERROR(INDEX(装备库!$A$2:$Y$1047,MATCH(ROW()-1,装备库!$AO$2:$AO$1046,0),COLUMN()),"")</f>
        <v/>
      </c>
      <c r="L707" t="str">
        <f>IFERROR(INDEX(装备库!$A$2:$Y$1047,MATCH(ROW()-1,装备库!$AO$2:$AO$1046,0),COLUMN()),"")</f>
        <v/>
      </c>
      <c r="M707" t="str">
        <f>IFERROR(INDEX(装备库!$A$2:$Y$1047,MATCH(ROW()-1,装备库!$AO$2:$AO$1046,0),COLUMN()),"")</f>
        <v/>
      </c>
      <c r="N707" t="str">
        <f>IFERROR(INDEX(装备库!$A$2:$Y$1047,MATCH(ROW()-1,装备库!$AO$2:$AO$1046,0),COLUMN()),"")</f>
        <v/>
      </c>
      <c r="O707" t="str">
        <f>IFERROR(INDEX(装备库!$A$2:$Y$1047,MATCH(ROW()-1,装备库!$AO$2:$AO$1046,0),COLUMN()),"")</f>
        <v/>
      </c>
      <c r="P707" t="str">
        <f>IFERROR(INDEX(装备库!$A$2:$Y$1047,MATCH(ROW()-1,装备库!$AO$2:$AO$1046,0),COLUMN()),"")</f>
        <v/>
      </c>
      <c r="Q707" t="str">
        <f>IFERROR(INDEX(装备库!$A$2:$Y$1047,MATCH(ROW()-1,装备库!$AO$2:$AO$1046,0),COLUMN()),"")</f>
        <v/>
      </c>
      <c r="R707" t="str">
        <f>IFERROR(INDEX(装备库!$A$2:$Y$1047,MATCH(ROW()-1,装备库!$AO$2:$AO$1046,0),COLUMN()),"")</f>
        <v/>
      </c>
      <c r="S707" t="str">
        <f>IFERROR(INDEX(装备库!$A$2:$Y$1047,MATCH(ROW()-1,装备库!$AO$2:$AO$1046,0),COLUMN()),"")</f>
        <v/>
      </c>
      <c r="T707" t="str">
        <f>IFERROR(INDEX(装备库!$A$2:$Y$1047,MATCH(ROW()-1,装备库!$AO$2:$AO$1046,0),COLUMN()),"")</f>
        <v/>
      </c>
      <c r="U707" t="str">
        <f>IFERROR(INDEX(装备库!$A$2:$Y$1047,MATCH(ROW()-1,装备库!$AO$2:$AO$1046,0),COLUMN()),"")</f>
        <v/>
      </c>
      <c r="V707" t="str">
        <f>IFERROR(INDEX(装备库!$A$2:$Y$1047,MATCH(ROW()-1,装备库!$AO$2:$AO$1046,0),COLUMN()),"")</f>
        <v/>
      </c>
      <c r="W707" t="str">
        <f>IFERROR(INDEX(装备库!$A$2:$Y$1047,MATCH(ROW()-1,装备库!$AO$2:$AO$1046,0),COLUMN()),"")</f>
        <v/>
      </c>
      <c r="X707" t="str">
        <f>IFERROR(INDEX(装备库!$A$2:$Y$1047,MATCH(ROW()-1,装备库!$AO$2:$AO$1046,0),COLUMN()),"")</f>
        <v/>
      </c>
      <c r="Y707" t="str">
        <f>IFERROR(INDEX(装备库!$A$2:$Y$1047,MATCH(ROW()-1,装备库!$AO$2:$AO$1046,0),COLUMN()),"")</f>
        <v/>
      </c>
    </row>
    <row r="708" spans="1:25" x14ac:dyDescent="0.35">
      <c r="A708" t="str">
        <f>IFERROR(INDEX(装备库!$A$2:$Y$1047,MATCH(ROW()-1,装备库!$AO$2:$AO$1046,0),COLUMN()),"")</f>
        <v/>
      </c>
      <c r="B708" t="str">
        <f>IFERROR(INDEX(装备库!$A$2:$Y$1047,MATCH(ROW()-1,装备库!$AO$2:$AO$1046,0),COLUMN()),"")</f>
        <v/>
      </c>
      <c r="C708" t="str">
        <f>IFERROR(INDEX(装备库!$A$2:$Y$1047,MATCH(ROW()-1,装备库!$AO$2:$AO$1046,0),COLUMN()),"")</f>
        <v/>
      </c>
      <c r="D708" t="str">
        <f>IFERROR(INDEX(装备库!$A$2:$Y$1047,MATCH(ROW()-1,装备库!$AO$2:$AO$1046,0),COLUMN()),"")</f>
        <v/>
      </c>
      <c r="E708" t="str">
        <f>IFERROR(INDEX(装备库!$A$2:$Y$1047,MATCH(ROW()-1,装备库!$AO$2:$AO$1046,0),COLUMN()),"")</f>
        <v/>
      </c>
      <c r="F708" t="str">
        <f>IFERROR(INDEX(装备库!$A$2:$Y$1047,MATCH(ROW()-1,装备库!$AO$2:$AO$1046,0),COLUMN()),"")</f>
        <v/>
      </c>
      <c r="G708" t="str">
        <f>IFERROR(INDEX(装备库!$A$2:$Y$1047,MATCH(ROW()-1,装备库!$AO$2:$AO$1046,0),COLUMN()),"")</f>
        <v/>
      </c>
      <c r="H708" t="str">
        <f>IFERROR(INDEX(装备库!$A$2:$Y$1047,MATCH(ROW()-1,装备库!$AO$2:$AO$1046,0),COLUMN()),"")</f>
        <v/>
      </c>
      <c r="I708" t="str">
        <f>IFERROR(INDEX(装备库!$A$2:$Y$1047,MATCH(ROW()-1,装备库!$AO$2:$AO$1046,0),COLUMN()),"")</f>
        <v/>
      </c>
      <c r="J708" t="str">
        <f>IFERROR(INDEX(装备库!$A$2:$Y$1047,MATCH(ROW()-1,装备库!$AO$2:$AO$1046,0),COLUMN()),"")</f>
        <v/>
      </c>
      <c r="K708" t="str">
        <f>IFERROR(INDEX(装备库!$A$2:$Y$1047,MATCH(ROW()-1,装备库!$AO$2:$AO$1046,0),COLUMN()),"")</f>
        <v/>
      </c>
      <c r="L708" t="str">
        <f>IFERROR(INDEX(装备库!$A$2:$Y$1047,MATCH(ROW()-1,装备库!$AO$2:$AO$1046,0),COLUMN()),"")</f>
        <v/>
      </c>
      <c r="M708" t="str">
        <f>IFERROR(INDEX(装备库!$A$2:$Y$1047,MATCH(ROW()-1,装备库!$AO$2:$AO$1046,0),COLUMN()),"")</f>
        <v/>
      </c>
      <c r="N708" t="str">
        <f>IFERROR(INDEX(装备库!$A$2:$Y$1047,MATCH(ROW()-1,装备库!$AO$2:$AO$1046,0),COLUMN()),"")</f>
        <v/>
      </c>
      <c r="O708" t="str">
        <f>IFERROR(INDEX(装备库!$A$2:$Y$1047,MATCH(ROW()-1,装备库!$AO$2:$AO$1046,0),COLUMN()),"")</f>
        <v/>
      </c>
      <c r="P708" t="str">
        <f>IFERROR(INDEX(装备库!$A$2:$Y$1047,MATCH(ROW()-1,装备库!$AO$2:$AO$1046,0),COLUMN()),"")</f>
        <v/>
      </c>
      <c r="Q708" t="str">
        <f>IFERROR(INDEX(装备库!$A$2:$Y$1047,MATCH(ROW()-1,装备库!$AO$2:$AO$1046,0),COLUMN()),"")</f>
        <v/>
      </c>
      <c r="R708" t="str">
        <f>IFERROR(INDEX(装备库!$A$2:$Y$1047,MATCH(ROW()-1,装备库!$AO$2:$AO$1046,0),COLUMN()),"")</f>
        <v/>
      </c>
      <c r="S708" t="str">
        <f>IFERROR(INDEX(装备库!$A$2:$Y$1047,MATCH(ROW()-1,装备库!$AO$2:$AO$1046,0),COLUMN()),"")</f>
        <v/>
      </c>
      <c r="T708" t="str">
        <f>IFERROR(INDEX(装备库!$A$2:$Y$1047,MATCH(ROW()-1,装备库!$AO$2:$AO$1046,0),COLUMN()),"")</f>
        <v/>
      </c>
      <c r="U708" t="str">
        <f>IFERROR(INDEX(装备库!$A$2:$Y$1047,MATCH(ROW()-1,装备库!$AO$2:$AO$1046,0),COLUMN()),"")</f>
        <v/>
      </c>
      <c r="V708" t="str">
        <f>IFERROR(INDEX(装备库!$A$2:$Y$1047,MATCH(ROW()-1,装备库!$AO$2:$AO$1046,0),COLUMN()),"")</f>
        <v/>
      </c>
      <c r="W708" t="str">
        <f>IFERROR(INDEX(装备库!$A$2:$Y$1047,MATCH(ROW()-1,装备库!$AO$2:$AO$1046,0),COLUMN()),"")</f>
        <v/>
      </c>
      <c r="X708" t="str">
        <f>IFERROR(INDEX(装备库!$A$2:$Y$1047,MATCH(ROW()-1,装备库!$AO$2:$AO$1046,0),COLUMN()),"")</f>
        <v/>
      </c>
      <c r="Y708" t="str">
        <f>IFERROR(INDEX(装备库!$A$2:$Y$1047,MATCH(ROW()-1,装备库!$AO$2:$AO$1046,0),COLUMN()),"")</f>
        <v/>
      </c>
    </row>
    <row r="709" spans="1:25" x14ac:dyDescent="0.35">
      <c r="A709" t="str">
        <f>IFERROR(INDEX(装备库!$A$2:$Y$1047,MATCH(ROW()-1,装备库!$AO$2:$AO$1046,0),COLUMN()),"")</f>
        <v/>
      </c>
      <c r="B709" t="str">
        <f>IFERROR(INDEX(装备库!$A$2:$Y$1047,MATCH(ROW()-1,装备库!$AO$2:$AO$1046,0),COLUMN()),"")</f>
        <v/>
      </c>
      <c r="C709" t="str">
        <f>IFERROR(INDEX(装备库!$A$2:$Y$1047,MATCH(ROW()-1,装备库!$AO$2:$AO$1046,0),COLUMN()),"")</f>
        <v/>
      </c>
      <c r="D709" t="str">
        <f>IFERROR(INDEX(装备库!$A$2:$Y$1047,MATCH(ROW()-1,装备库!$AO$2:$AO$1046,0),COLUMN()),"")</f>
        <v/>
      </c>
      <c r="E709" t="str">
        <f>IFERROR(INDEX(装备库!$A$2:$Y$1047,MATCH(ROW()-1,装备库!$AO$2:$AO$1046,0),COLUMN()),"")</f>
        <v/>
      </c>
      <c r="F709" t="str">
        <f>IFERROR(INDEX(装备库!$A$2:$Y$1047,MATCH(ROW()-1,装备库!$AO$2:$AO$1046,0),COLUMN()),"")</f>
        <v/>
      </c>
      <c r="G709" t="str">
        <f>IFERROR(INDEX(装备库!$A$2:$Y$1047,MATCH(ROW()-1,装备库!$AO$2:$AO$1046,0),COLUMN()),"")</f>
        <v/>
      </c>
      <c r="H709" t="str">
        <f>IFERROR(INDEX(装备库!$A$2:$Y$1047,MATCH(ROW()-1,装备库!$AO$2:$AO$1046,0),COLUMN()),"")</f>
        <v/>
      </c>
      <c r="I709" t="str">
        <f>IFERROR(INDEX(装备库!$A$2:$Y$1047,MATCH(ROW()-1,装备库!$AO$2:$AO$1046,0),COLUMN()),"")</f>
        <v/>
      </c>
      <c r="J709" t="str">
        <f>IFERROR(INDEX(装备库!$A$2:$Y$1047,MATCH(ROW()-1,装备库!$AO$2:$AO$1046,0),COLUMN()),"")</f>
        <v/>
      </c>
      <c r="K709" t="str">
        <f>IFERROR(INDEX(装备库!$A$2:$Y$1047,MATCH(ROW()-1,装备库!$AO$2:$AO$1046,0),COLUMN()),"")</f>
        <v/>
      </c>
      <c r="L709" t="str">
        <f>IFERROR(INDEX(装备库!$A$2:$Y$1047,MATCH(ROW()-1,装备库!$AO$2:$AO$1046,0),COLUMN()),"")</f>
        <v/>
      </c>
      <c r="M709" t="str">
        <f>IFERROR(INDEX(装备库!$A$2:$Y$1047,MATCH(ROW()-1,装备库!$AO$2:$AO$1046,0),COLUMN()),"")</f>
        <v/>
      </c>
      <c r="N709" t="str">
        <f>IFERROR(INDEX(装备库!$A$2:$Y$1047,MATCH(ROW()-1,装备库!$AO$2:$AO$1046,0),COLUMN()),"")</f>
        <v/>
      </c>
      <c r="O709" t="str">
        <f>IFERROR(INDEX(装备库!$A$2:$Y$1047,MATCH(ROW()-1,装备库!$AO$2:$AO$1046,0),COLUMN()),"")</f>
        <v/>
      </c>
      <c r="P709" t="str">
        <f>IFERROR(INDEX(装备库!$A$2:$Y$1047,MATCH(ROW()-1,装备库!$AO$2:$AO$1046,0),COLUMN()),"")</f>
        <v/>
      </c>
      <c r="Q709" t="str">
        <f>IFERROR(INDEX(装备库!$A$2:$Y$1047,MATCH(ROW()-1,装备库!$AO$2:$AO$1046,0),COLUMN()),"")</f>
        <v/>
      </c>
      <c r="R709" t="str">
        <f>IFERROR(INDEX(装备库!$A$2:$Y$1047,MATCH(ROW()-1,装备库!$AO$2:$AO$1046,0),COLUMN()),"")</f>
        <v/>
      </c>
      <c r="S709" t="str">
        <f>IFERROR(INDEX(装备库!$A$2:$Y$1047,MATCH(ROW()-1,装备库!$AO$2:$AO$1046,0),COLUMN()),"")</f>
        <v/>
      </c>
      <c r="T709" t="str">
        <f>IFERROR(INDEX(装备库!$A$2:$Y$1047,MATCH(ROW()-1,装备库!$AO$2:$AO$1046,0),COLUMN()),"")</f>
        <v/>
      </c>
      <c r="U709" t="str">
        <f>IFERROR(INDEX(装备库!$A$2:$Y$1047,MATCH(ROW()-1,装备库!$AO$2:$AO$1046,0),COLUMN()),"")</f>
        <v/>
      </c>
      <c r="V709" t="str">
        <f>IFERROR(INDEX(装备库!$A$2:$Y$1047,MATCH(ROW()-1,装备库!$AO$2:$AO$1046,0),COLUMN()),"")</f>
        <v/>
      </c>
      <c r="W709" t="str">
        <f>IFERROR(INDEX(装备库!$A$2:$Y$1047,MATCH(ROW()-1,装备库!$AO$2:$AO$1046,0),COLUMN()),"")</f>
        <v/>
      </c>
      <c r="X709" t="str">
        <f>IFERROR(INDEX(装备库!$A$2:$Y$1047,MATCH(ROW()-1,装备库!$AO$2:$AO$1046,0),COLUMN()),"")</f>
        <v/>
      </c>
      <c r="Y709" t="str">
        <f>IFERROR(INDEX(装备库!$A$2:$Y$1047,MATCH(ROW()-1,装备库!$AO$2:$AO$1046,0),COLUMN()),"")</f>
        <v/>
      </c>
    </row>
    <row r="710" spans="1:25" x14ac:dyDescent="0.35">
      <c r="A710" t="str">
        <f>IFERROR(INDEX(装备库!$A$2:$Y$1047,MATCH(ROW()-1,装备库!$AO$2:$AO$1046,0),COLUMN()),"")</f>
        <v/>
      </c>
      <c r="B710" t="str">
        <f>IFERROR(INDEX(装备库!$A$2:$Y$1047,MATCH(ROW()-1,装备库!$AO$2:$AO$1046,0),COLUMN()),"")</f>
        <v/>
      </c>
      <c r="C710" t="str">
        <f>IFERROR(INDEX(装备库!$A$2:$Y$1047,MATCH(ROW()-1,装备库!$AO$2:$AO$1046,0),COLUMN()),"")</f>
        <v/>
      </c>
      <c r="D710" t="str">
        <f>IFERROR(INDEX(装备库!$A$2:$Y$1047,MATCH(ROW()-1,装备库!$AO$2:$AO$1046,0),COLUMN()),"")</f>
        <v/>
      </c>
      <c r="E710" t="str">
        <f>IFERROR(INDEX(装备库!$A$2:$Y$1047,MATCH(ROW()-1,装备库!$AO$2:$AO$1046,0),COLUMN()),"")</f>
        <v/>
      </c>
      <c r="F710" t="str">
        <f>IFERROR(INDEX(装备库!$A$2:$Y$1047,MATCH(ROW()-1,装备库!$AO$2:$AO$1046,0),COLUMN()),"")</f>
        <v/>
      </c>
      <c r="G710" t="str">
        <f>IFERROR(INDEX(装备库!$A$2:$Y$1047,MATCH(ROW()-1,装备库!$AO$2:$AO$1046,0),COLUMN()),"")</f>
        <v/>
      </c>
      <c r="H710" t="str">
        <f>IFERROR(INDEX(装备库!$A$2:$Y$1047,MATCH(ROW()-1,装备库!$AO$2:$AO$1046,0),COLUMN()),"")</f>
        <v/>
      </c>
      <c r="I710" t="str">
        <f>IFERROR(INDEX(装备库!$A$2:$Y$1047,MATCH(ROW()-1,装备库!$AO$2:$AO$1046,0),COLUMN()),"")</f>
        <v/>
      </c>
      <c r="J710" t="str">
        <f>IFERROR(INDEX(装备库!$A$2:$Y$1047,MATCH(ROW()-1,装备库!$AO$2:$AO$1046,0),COLUMN()),"")</f>
        <v/>
      </c>
      <c r="K710" t="str">
        <f>IFERROR(INDEX(装备库!$A$2:$Y$1047,MATCH(ROW()-1,装备库!$AO$2:$AO$1046,0),COLUMN()),"")</f>
        <v/>
      </c>
      <c r="L710" t="str">
        <f>IFERROR(INDEX(装备库!$A$2:$Y$1047,MATCH(ROW()-1,装备库!$AO$2:$AO$1046,0),COLUMN()),"")</f>
        <v/>
      </c>
      <c r="M710" t="str">
        <f>IFERROR(INDEX(装备库!$A$2:$Y$1047,MATCH(ROW()-1,装备库!$AO$2:$AO$1046,0),COLUMN()),"")</f>
        <v/>
      </c>
      <c r="N710" t="str">
        <f>IFERROR(INDEX(装备库!$A$2:$Y$1047,MATCH(ROW()-1,装备库!$AO$2:$AO$1046,0),COLUMN()),"")</f>
        <v/>
      </c>
      <c r="O710" t="str">
        <f>IFERROR(INDEX(装备库!$A$2:$Y$1047,MATCH(ROW()-1,装备库!$AO$2:$AO$1046,0),COLUMN()),"")</f>
        <v/>
      </c>
      <c r="P710" t="str">
        <f>IFERROR(INDEX(装备库!$A$2:$Y$1047,MATCH(ROW()-1,装备库!$AO$2:$AO$1046,0),COLUMN()),"")</f>
        <v/>
      </c>
      <c r="Q710" t="str">
        <f>IFERROR(INDEX(装备库!$A$2:$Y$1047,MATCH(ROW()-1,装备库!$AO$2:$AO$1046,0),COLUMN()),"")</f>
        <v/>
      </c>
      <c r="R710" t="str">
        <f>IFERROR(INDEX(装备库!$A$2:$Y$1047,MATCH(ROW()-1,装备库!$AO$2:$AO$1046,0),COLUMN()),"")</f>
        <v/>
      </c>
      <c r="S710" t="str">
        <f>IFERROR(INDEX(装备库!$A$2:$Y$1047,MATCH(ROW()-1,装备库!$AO$2:$AO$1046,0),COLUMN()),"")</f>
        <v/>
      </c>
      <c r="T710" t="str">
        <f>IFERROR(INDEX(装备库!$A$2:$Y$1047,MATCH(ROW()-1,装备库!$AO$2:$AO$1046,0),COLUMN()),"")</f>
        <v/>
      </c>
      <c r="U710" t="str">
        <f>IFERROR(INDEX(装备库!$A$2:$Y$1047,MATCH(ROW()-1,装备库!$AO$2:$AO$1046,0),COLUMN()),"")</f>
        <v/>
      </c>
      <c r="V710" t="str">
        <f>IFERROR(INDEX(装备库!$A$2:$Y$1047,MATCH(ROW()-1,装备库!$AO$2:$AO$1046,0),COLUMN()),"")</f>
        <v/>
      </c>
      <c r="W710" t="str">
        <f>IFERROR(INDEX(装备库!$A$2:$Y$1047,MATCH(ROW()-1,装备库!$AO$2:$AO$1046,0),COLUMN()),"")</f>
        <v/>
      </c>
      <c r="X710" t="str">
        <f>IFERROR(INDEX(装备库!$A$2:$Y$1047,MATCH(ROW()-1,装备库!$AO$2:$AO$1046,0),COLUMN()),"")</f>
        <v/>
      </c>
      <c r="Y710" t="str">
        <f>IFERROR(INDEX(装备库!$A$2:$Y$1047,MATCH(ROW()-1,装备库!$AO$2:$AO$1046,0),COLUMN()),"")</f>
        <v/>
      </c>
    </row>
    <row r="711" spans="1:25" x14ac:dyDescent="0.35">
      <c r="A711" t="str">
        <f>IFERROR(INDEX(装备库!$A$2:$Y$1047,MATCH(ROW()-1,装备库!$AO$2:$AO$1046,0),COLUMN()),"")</f>
        <v/>
      </c>
      <c r="B711" t="str">
        <f>IFERROR(INDEX(装备库!$A$2:$Y$1047,MATCH(ROW()-1,装备库!$AO$2:$AO$1046,0),COLUMN()),"")</f>
        <v/>
      </c>
      <c r="C711" t="str">
        <f>IFERROR(INDEX(装备库!$A$2:$Y$1047,MATCH(ROW()-1,装备库!$AO$2:$AO$1046,0),COLUMN()),"")</f>
        <v/>
      </c>
      <c r="D711" t="str">
        <f>IFERROR(INDEX(装备库!$A$2:$Y$1047,MATCH(ROW()-1,装备库!$AO$2:$AO$1046,0),COLUMN()),"")</f>
        <v/>
      </c>
      <c r="E711" t="str">
        <f>IFERROR(INDEX(装备库!$A$2:$Y$1047,MATCH(ROW()-1,装备库!$AO$2:$AO$1046,0),COLUMN()),"")</f>
        <v/>
      </c>
      <c r="F711" t="str">
        <f>IFERROR(INDEX(装备库!$A$2:$Y$1047,MATCH(ROW()-1,装备库!$AO$2:$AO$1046,0),COLUMN()),"")</f>
        <v/>
      </c>
      <c r="G711" t="str">
        <f>IFERROR(INDEX(装备库!$A$2:$Y$1047,MATCH(ROW()-1,装备库!$AO$2:$AO$1046,0),COLUMN()),"")</f>
        <v/>
      </c>
      <c r="H711" t="str">
        <f>IFERROR(INDEX(装备库!$A$2:$Y$1047,MATCH(ROW()-1,装备库!$AO$2:$AO$1046,0),COLUMN()),"")</f>
        <v/>
      </c>
      <c r="I711" t="str">
        <f>IFERROR(INDEX(装备库!$A$2:$Y$1047,MATCH(ROW()-1,装备库!$AO$2:$AO$1046,0),COLUMN()),"")</f>
        <v/>
      </c>
      <c r="J711" t="str">
        <f>IFERROR(INDEX(装备库!$A$2:$Y$1047,MATCH(ROW()-1,装备库!$AO$2:$AO$1046,0),COLUMN()),"")</f>
        <v/>
      </c>
      <c r="K711" t="str">
        <f>IFERROR(INDEX(装备库!$A$2:$Y$1047,MATCH(ROW()-1,装备库!$AO$2:$AO$1046,0),COLUMN()),"")</f>
        <v/>
      </c>
      <c r="L711" t="str">
        <f>IFERROR(INDEX(装备库!$A$2:$Y$1047,MATCH(ROW()-1,装备库!$AO$2:$AO$1046,0),COLUMN()),"")</f>
        <v/>
      </c>
      <c r="M711" t="str">
        <f>IFERROR(INDEX(装备库!$A$2:$Y$1047,MATCH(ROW()-1,装备库!$AO$2:$AO$1046,0),COLUMN()),"")</f>
        <v/>
      </c>
      <c r="N711" t="str">
        <f>IFERROR(INDEX(装备库!$A$2:$Y$1047,MATCH(ROW()-1,装备库!$AO$2:$AO$1046,0),COLUMN()),"")</f>
        <v/>
      </c>
      <c r="O711" t="str">
        <f>IFERROR(INDEX(装备库!$A$2:$Y$1047,MATCH(ROW()-1,装备库!$AO$2:$AO$1046,0),COLUMN()),"")</f>
        <v/>
      </c>
      <c r="P711" t="str">
        <f>IFERROR(INDEX(装备库!$A$2:$Y$1047,MATCH(ROW()-1,装备库!$AO$2:$AO$1046,0),COLUMN()),"")</f>
        <v/>
      </c>
      <c r="Q711" t="str">
        <f>IFERROR(INDEX(装备库!$A$2:$Y$1047,MATCH(ROW()-1,装备库!$AO$2:$AO$1046,0),COLUMN()),"")</f>
        <v/>
      </c>
      <c r="R711" t="str">
        <f>IFERROR(INDEX(装备库!$A$2:$Y$1047,MATCH(ROW()-1,装备库!$AO$2:$AO$1046,0),COLUMN()),"")</f>
        <v/>
      </c>
      <c r="S711" t="str">
        <f>IFERROR(INDEX(装备库!$A$2:$Y$1047,MATCH(ROW()-1,装备库!$AO$2:$AO$1046,0),COLUMN()),"")</f>
        <v/>
      </c>
      <c r="T711" t="str">
        <f>IFERROR(INDEX(装备库!$A$2:$Y$1047,MATCH(ROW()-1,装备库!$AO$2:$AO$1046,0),COLUMN()),"")</f>
        <v/>
      </c>
      <c r="U711" t="str">
        <f>IFERROR(INDEX(装备库!$A$2:$Y$1047,MATCH(ROW()-1,装备库!$AO$2:$AO$1046,0),COLUMN()),"")</f>
        <v/>
      </c>
      <c r="V711" t="str">
        <f>IFERROR(INDEX(装备库!$A$2:$Y$1047,MATCH(ROW()-1,装备库!$AO$2:$AO$1046,0),COLUMN()),"")</f>
        <v/>
      </c>
      <c r="W711" t="str">
        <f>IFERROR(INDEX(装备库!$A$2:$Y$1047,MATCH(ROW()-1,装备库!$AO$2:$AO$1046,0),COLUMN()),"")</f>
        <v/>
      </c>
      <c r="X711" t="str">
        <f>IFERROR(INDEX(装备库!$A$2:$Y$1047,MATCH(ROW()-1,装备库!$AO$2:$AO$1046,0),COLUMN()),"")</f>
        <v/>
      </c>
      <c r="Y711" t="str">
        <f>IFERROR(INDEX(装备库!$A$2:$Y$1047,MATCH(ROW()-1,装备库!$AO$2:$AO$1046,0),COLUMN()),"")</f>
        <v/>
      </c>
    </row>
    <row r="712" spans="1:25" x14ac:dyDescent="0.35">
      <c r="A712" t="str">
        <f>IFERROR(INDEX(装备库!$A$2:$Y$1047,MATCH(ROW()-1,装备库!$AO$2:$AO$1046,0),COLUMN()),"")</f>
        <v/>
      </c>
      <c r="B712" t="str">
        <f>IFERROR(INDEX(装备库!$A$2:$Y$1047,MATCH(ROW()-1,装备库!$AO$2:$AO$1046,0),COLUMN()),"")</f>
        <v/>
      </c>
      <c r="C712" t="str">
        <f>IFERROR(INDEX(装备库!$A$2:$Y$1047,MATCH(ROW()-1,装备库!$AO$2:$AO$1046,0),COLUMN()),"")</f>
        <v/>
      </c>
      <c r="D712" t="str">
        <f>IFERROR(INDEX(装备库!$A$2:$Y$1047,MATCH(ROW()-1,装备库!$AO$2:$AO$1046,0),COLUMN()),"")</f>
        <v/>
      </c>
      <c r="E712" t="str">
        <f>IFERROR(INDEX(装备库!$A$2:$Y$1047,MATCH(ROW()-1,装备库!$AO$2:$AO$1046,0),COLUMN()),"")</f>
        <v/>
      </c>
      <c r="F712" t="str">
        <f>IFERROR(INDEX(装备库!$A$2:$Y$1047,MATCH(ROW()-1,装备库!$AO$2:$AO$1046,0),COLUMN()),"")</f>
        <v/>
      </c>
      <c r="G712" t="str">
        <f>IFERROR(INDEX(装备库!$A$2:$Y$1047,MATCH(ROW()-1,装备库!$AO$2:$AO$1046,0),COLUMN()),"")</f>
        <v/>
      </c>
      <c r="H712" t="str">
        <f>IFERROR(INDEX(装备库!$A$2:$Y$1047,MATCH(ROW()-1,装备库!$AO$2:$AO$1046,0),COLUMN()),"")</f>
        <v/>
      </c>
      <c r="I712" t="str">
        <f>IFERROR(INDEX(装备库!$A$2:$Y$1047,MATCH(ROW()-1,装备库!$AO$2:$AO$1046,0),COLUMN()),"")</f>
        <v/>
      </c>
      <c r="J712" t="str">
        <f>IFERROR(INDEX(装备库!$A$2:$Y$1047,MATCH(ROW()-1,装备库!$AO$2:$AO$1046,0),COLUMN()),"")</f>
        <v/>
      </c>
      <c r="K712" t="str">
        <f>IFERROR(INDEX(装备库!$A$2:$Y$1047,MATCH(ROW()-1,装备库!$AO$2:$AO$1046,0),COLUMN()),"")</f>
        <v/>
      </c>
      <c r="L712" t="str">
        <f>IFERROR(INDEX(装备库!$A$2:$Y$1047,MATCH(ROW()-1,装备库!$AO$2:$AO$1046,0),COLUMN()),"")</f>
        <v/>
      </c>
      <c r="M712" t="str">
        <f>IFERROR(INDEX(装备库!$A$2:$Y$1047,MATCH(ROW()-1,装备库!$AO$2:$AO$1046,0),COLUMN()),"")</f>
        <v/>
      </c>
      <c r="N712" t="str">
        <f>IFERROR(INDEX(装备库!$A$2:$Y$1047,MATCH(ROW()-1,装备库!$AO$2:$AO$1046,0),COLUMN()),"")</f>
        <v/>
      </c>
      <c r="O712" t="str">
        <f>IFERROR(INDEX(装备库!$A$2:$Y$1047,MATCH(ROW()-1,装备库!$AO$2:$AO$1046,0),COLUMN()),"")</f>
        <v/>
      </c>
      <c r="P712" t="str">
        <f>IFERROR(INDEX(装备库!$A$2:$Y$1047,MATCH(ROW()-1,装备库!$AO$2:$AO$1046,0),COLUMN()),"")</f>
        <v/>
      </c>
      <c r="Q712" t="str">
        <f>IFERROR(INDEX(装备库!$A$2:$Y$1047,MATCH(ROW()-1,装备库!$AO$2:$AO$1046,0),COLUMN()),"")</f>
        <v/>
      </c>
      <c r="R712" t="str">
        <f>IFERROR(INDEX(装备库!$A$2:$Y$1047,MATCH(ROW()-1,装备库!$AO$2:$AO$1046,0),COLUMN()),"")</f>
        <v/>
      </c>
      <c r="S712" t="str">
        <f>IFERROR(INDEX(装备库!$A$2:$Y$1047,MATCH(ROW()-1,装备库!$AO$2:$AO$1046,0),COLUMN()),"")</f>
        <v/>
      </c>
      <c r="T712" t="str">
        <f>IFERROR(INDEX(装备库!$A$2:$Y$1047,MATCH(ROW()-1,装备库!$AO$2:$AO$1046,0),COLUMN()),"")</f>
        <v/>
      </c>
      <c r="U712" t="str">
        <f>IFERROR(INDEX(装备库!$A$2:$Y$1047,MATCH(ROW()-1,装备库!$AO$2:$AO$1046,0),COLUMN()),"")</f>
        <v/>
      </c>
      <c r="V712" t="str">
        <f>IFERROR(INDEX(装备库!$A$2:$Y$1047,MATCH(ROW()-1,装备库!$AO$2:$AO$1046,0),COLUMN()),"")</f>
        <v/>
      </c>
      <c r="W712" t="str">
        <f>IFERROR(INDEX(装备库!$A$2:$Y$1047,MATCH(ROW()-1,装备库!$AO$2:$AO$1046,0),COLUMN()),"")</f>
        <v/>
      </c>
      <c r="X712" t="str">
        <f>IFERROR(INDEX(装备库!$A$2:$Y$1047,MATCH(ROW()-1,装备库!$AO$2:$AO$1046,0),COLUMN()),"")</f>
        <v/>
      </c>
      <c r="Y712" t="str">
        <f>IFERROR(INDEX(装备库!$A$2:$Y$1047,MATCH(ROW()-1,装备库!$AO$2:$AO$1046,0),COLUMN()),"")</f>
        <v/>
      </c>
    </row>
    <row r="713" spans="1:25" x14ac:dyDescent="0.35">
      <c r="A713" t="str">
        <f>IFERROR(INDEX(装备库!$A$2:$Y$1047,MATCH(ROW()-1,装备库!$AO$2:$AO$1046,0),COLUMN()),"")</f>
        <v/>
      </c>
      <c r="B713" t="str">
        <f>IFERROR(INDEX(装备库!$A$2:$Y$1047,MATCH(ROW()-1,装备库!$AO$2:$AO$1046,0),COLUMN()),"")</f>
        <v/>
      </c>
      <c r="C713" t="str">
        <f>IFERROR(INDEX(装备库!$A$2:$Y$1047,MATCH(ROW()-1,装备库!$AO$2:$AO$1046,0),COLUMN()),"")</f>
        <v/>
      </c>
      <c r="D713" t="str">
        <f>IFERROR(INDEX(装备库!$A$2:$Y$1047,MATCH(ROW()-1,装备库!$AO$2:$AO$1046,0),COLUMN()),"")</f>
        <v/>
      </c>
      <c r="E713" t="str">
        <f>IFERROR(INDEX(装备库!$A$2:$Y$1047,MATCH(ROW()-1,装备库!$AO$2:$AO$1046,0),COLUMN()),"")</f>
        <v/>
      </c>
      <c r="F713" t="str">
        <f>IFERROR(INDEX(装备库!$A$2:$Y$1047,MATCH(ROW()-1,装备库!$AO$2:$AO$1046,0),COLUMN()),"")</f>
        <v/>
      </c>
      <c r="G713" t="str">
        <f>IFERROR(INDEX(装备库!$A$2:$Y$1047,MATCH(ROW()-1,装备库!$AO$2:$AO$1046,0),COLUMN()),"")</f>
        <v/>
      </c>
      <c r="H713" t="str">
        <f>IFERROR(INDEX(装备库!$A$2:$Y$1047,MATCH(ROW()-1,装备库!$AO$2:$AO$1046,0),COLUMN()),"")</f>
        <v/>
      </c>
      <c r="I713" t="str">
        <f>IFERROR(INDEX(装备库!$A$2:$Y$1047,MATCH(ROW()-1,装备库!$AO$2:$AO$1046,0),COLUMN()),"")</f>
        <v/>
      </c>
      <c r="J713" t="str">
        <f>IFERROR(INDEX(装备库!$A$2:$Y$1047,MATCH(ROW()-1,装备库!$AO$2:$AO$1046,0),COLUMN()),"")</f>
        <v/>
      </c>
      <c r="K713" t="str">
        <f>IFERROR(INDEX(装备库!$A$2:$Y$1047,MATCH(ROW()-1,装备库!$AO$2:$AO$1046,0),COLUMN()),"")</f>
        <v/>
      </c>
      <c r="L713" t="str">
        <f>IFERROR(INDEX(装备库!$A$2:$Y$1047,MATCH(ROW()-1,装备库!$AO$2:$AO$1046,0),COLUMN()),"")</f>
        <v/>
      </c>
      <c r="M713" t="str">
        <f>IFERROR(INDEX(装备库!$A$2:$Y$1047,MATCH(ROW()-1,装备库!$AO$2:$AO$1046,0),COLUMN()),"")</f>
        <v/>
      </c>
      <c r="N713" t="str">
        <f>IFERROR(INDEX(装备库!$A$2:$Y$1047,MATCH(ROW()-1,装备库!$AO$2:$AO$1046,0),COLUMN()),"")</f>
        <v/>
      </c>
      <c r="O713" t="str">
        <f>IFERROR(INDEX(装备库!$A$2:$Y$1047,MATCH(ROW()-1,装备库!$AO$2:$AO$1046,0),COLUMN()),"")</f>
        <v/>
      </c>
      <c r="P713" t="str">
        <f>IFERROR(INDEX(装备库!$A$2:$Y$1047,MATCH(ROW()-1,装备库!$AO$2:$AO$1046,0),COLUMN()),"")</f>
        <v/>
      </c>
      <c r="Q713" t="str">
        <f>IFERROR(INDEX(装备库!$A$2:$Y$1047,MATCH(ROW()-1,装备库!$AO$2:$AO$1046,0),COLUMN()),"")</f>
        <v/>
      </c>
      <c r="R713" t="str">
        <f>IFERROR(INDEX(装备库!$A$2:$Y$1047,MATCH(ROW()-1,装备库!$AO$2:$AO$1046,0),COLUMN()),"")</f>
        <v/>
      </c>
      <c r="S713" t="str">
        <f>IFERROR(INDEX(装备库!$A$2:$Y$1047,MATCH(ROW()-1,装备库!$AO$2:$AO$1046,0),COLUMN()),"")</f>
        <v/>
      </c>
      <c r="T713" t="str">
        <f>IFERROR(INDEX(装备库!$A$2:$Y$1047,MATCH(ROW()-1,装备库!$AO$2:$AO$1046,0),COLUMN()),"")</f>
        <v/>
      </c>
      <c r="U713" t="str">
        <f>IFERROR(INDEX(装备库!$A$2:$Y$1047,MATCH(ROW()-1,装备库!$AO$2:$AO$1046,0),COLUMN()),"")</f>
        <v/>
      </c>
      <c r="V713" t="str">
        <f>IFERROR(INDEX(装备库!$A$2:$Y$1047,MATCH(ROW()-1,装备库!$AO$2:$AO$1046,0),COLUMN()),"")</f>
        <v/>
      </c>
      <c r="W713" t="str">
        <f>IFERROR(INDEX(装备库!$A$2:$Y$1047,MATCH(ROW()-1,装备库!$AO$2:$AO$1046,0),COLUMN()),"")</f>
        <v/>
      </c>
      <c r="X713" t="str">
        <f>IFERROR(INDEX(装备库!$A$2:$Y$1047,MATCH(ROW()-1,装备库!$AO$2:$AO$1046,0),COLUMN()),"")</f>
        <v/>
      </c>
      <c r="Y713" t="str">
        <f>IFERROR(INDEX(装备库!$A$2:$Y$1047,MATCH(ROW()-1,装备库!$AO$2:$AO$1046,0),COLUMN()),"")</f>
        <v/>
      </c>
    </row>
    <row r="714" spans="1:25" x14ac:dyDescent="0.35">
      <c r="A714" t="str">
        <f>IFERROR(INDEX(装备库!$A$2:$Y$1047,MATCH(ROW()-1,装备库!$AO$2:$AO$1046,0),COLUMN()),"")</f>
        <v/>
      </c>
      <c r="B714" t="str">
        <f>IFERROR(INDEX(装备库!$A$2:$Y$1047,MATCH(ROW()-1,装备库!$AO$2:$AO$1046,0),COLUMN()),"")</f>
        <v/>
      </c>
      <c r="C714" t="str">
        <f>IFERROR(INDEX(装备库!$A$2:$Y$1047,MATCH(ROW()-1,装备库!$AO$2:$AO$1046,0),COLUMN()),"")</f>
        <v/>
      </c>
      <c r="D714" t="str">
        <f>IFERROR(INDEX(装备库!$A$2:$Y$1047,MATCH(ROW()-1,装备库!$AO$2:$AO$1046,0),COLUMN()),"")</f>
        <v/>
      </c>
      <c r="E714" t="str">
        <f>IFERROR(INDEX(装备库!$A$2:$Y$1047,MATCH(ROW()-1,装备库!$AO$2:$AO$1046,0),COLUMN()),"")</f>
        <v/>
      </c>
      <c r="F714" t="str">
        <f>IFERROR(INDEX(装备库!$A$2:$Y$1047,MATCH(ROW()-1,装备库!$AO$2:$AO$1046,0),COLUMN()),"")</f>
        <v/>
      </c>
      <c r="G714" t="str">
        <f>IFERROR(INDEX(装备库!$A$2:$Y$1047,MATCH(ROW()-1,装备库!$AO$2:$AO$1046,0),COLUMN()),"")</f>
        <v/>
      </c>
      <c r="H714" t="str">
        <f>IFERROR(INDEX(装备库!$A$2:$Y$1047,MATCH(ROW()-1,装备库!$AO$2:$AO$1046,0),COLUMN()),"")</f>
        <v/>
      </c>
      <c r="I714" t="str">
        <f>IFERROR(INDEX(装备库!$A$2:$Y$1047,MATCH(ROW()-1,装备库!$AO$2:$AO$1046,0),COLUMN()),"")</f>
        <v/>
      </c>
      <c r="J714" t="str">
        <f>IFERROR(INDEX(装备库!$A$2:$Y$1047,MATCH(ROW()-1,装备库!$AO$2:$AO$1046,0),COLUMN()),"")</f>
        <v/>
      </c>
      <c r="K714" t="str">
        <f>IFERROR(INDEX(装备库!$A$2:$Y$1047,MATCH(ROW()-1,装备库!$AO$2:$AO$1046,0),COLUMN()),"")</f>
        <v/>
      </c>
      <c r="L714" t="str">
        <f>IFERROR(INDEX(装备库!$A$2:$Y$1047,MATCH(ROW()-1,装备库!$AO$2:$AO$1046,0),COLUMN()),"")</f>
        <v/>
      </c>
      <c r="M714" t="str">
        <f>IFERROR(INDEX(装备库!$A$2:$Y$1047,MATCH(ROW()-1,装备库!$AO$2:$AO$1046,0),COLUMN()),"")</f>
        <v/>
      </c>
      <c r="N714" t="str">
        <f>IFERROR(INDEX(装备库!$A$2:$Y$1047,MATCH(ROW()-1,装备库!$AO$2:$AO$1046,0),COLUMN()),"")</f>
        <v/>
      </c>
      <c r="O714" t="str">
        <f>IFERROR(INDEX(装备库!$A$2:$Y$1047,MATCH(ROW()-1,装备库!$AO$2:$AO$1046,0),COLUMN()),"")</f>
        <v/>
      </c>
      <c r="P714" t="str">
        <f>IFERROR(INDEX(装备库!$A$2:$Y$1047,MATCH(ROW()-1,装备库!$AO$2:$AO$1046,0),COLUMN()),"")</f>
        <v/>
      </c>
      <c r="Q714" t="str">
        <f>IFERROR(INDEX(装备库!$A$2:$Y$1047,MATCH(ROW()-1,装备库!$AO$2:$AO$1046,0),COLUMN()),"")</f>
        <v/>
      </c>
      <c r="R714" t="str">
        <f>IFERROR(INDEX(装备库!$A$2:$Y$1047,MATCH(ROW()-1,装备库!$AO$2:$AO$1046,0),COLUMN()),"")</f>
        <v/>
      </c>
      <c r="S714" t="str">
        <f>IFERROR(INDEX(装备库!$A$2:$Y$1047,MATCH(ROW()-1,装备库!$AO$2:$AO$1046,0),COLUMN()),"")</f>
        <v/>
      </c>
      <c r="T714" t="str">
        <f>IFERROR(INDEX(装备库!$A$2:$Y$1047,MATCH(ROW()-1,装备库!$AO$2:$AO$1046,0),COLUMN()),"")</f>
        <v/>
      </c>
      <c r="U714" t="str">
        <f>IFERROR(INDEX(装备库!$A$2:$Y$1047,MATCH(ROW()-1,装备库!$AO$2:$AO$1046,0),COLUMN()),"")</f>
        <v/>
      </c>
      <c r="V714" t="str">
        <f>IFERROR(INDEX(装备库!$A$2:$Y$1047,MATCH(ROW()-1,装备库!$AO$2:$AO$1046,0),COLUMN()),"")</f>
        <v/>
      </c>
      <c r="W714" t="str">
        <f>IFERROR(INDEX(装备库!$A$2:$Y$1047,MATCH(ROW()-1,装备库!$AO$2:$AO$1046,0),COLUMN()),"")</f>
        <v/>
      </c>
      <c r="X714" t="str">
        <f>IFERROR(INDEX(装备库!$A$2:$Y$1047,MATCH(ROW()-1,装备库!$AO$2:$AO$1046,0),COLUMN()),"")</f>
        <v/>
      </c>
      <c r="Y714" t="str">
        <f>IFERROR(INDEX(装备库!$A$2:$Y$1047,MATCH(ROW()-1,装备库!$AO$2:$AO$1046,0),COLUMN()),"")</f>
        <v/>
      </c>
    </row>
    <row r="715" spans="1:25" x14ac:dyDescent="0.35">
      <c r="A715" t="str">
        <f>IFERROR(INDEX(装备库!$A$2:$Y$1047,MATCH(ROW()-1,装备库!$AO$2:$AO$1046,0),COLUMN()),"")</f>
        <v/>
      </c>
      <c r="B715" t="str">
        <f>IFERROR(INDEX(装备库!$A$2:$Y$1047,MATCH(ROW()-1,装备库!$AO$2:$AO$1046,0),COLUMN()),"")</f>
        <v/>
      </c>
      <c r="C715" t="str">
        <f>IFERROR(INDEX(装备库!$A$2:$Y$1047,MATCH(ROW()-1,装备库!$AO$2:$AO$1046,0),COLUMN()),"")</f>
        <v/>
      </c>
      <c r="D715" t="str">
        <f>IFERROR(INDEX(装备库!$A$2:$Y$1047,MATCH(ROW()-1,装备库!$AO$2:$AO$1046,0),COLUMN()),"")</f>
        <v/>
      </c>
      <c r="E715" t="str">
        <f>IFERROR(INDEX(装备库!$A$2:$Y$1047,MATCH(ROW()-1,装备库!$AO$2:$AO$1046,0),COLUMN()),"")</f>
        <v/>
      </c>
      <c r="F715" t="str">
        <f>IFERROR(INDEX(装备库!$A$2:$Y$1047,MATCH(ROW()-1,装备库!$AO$2:$AO$1046,0),COLUMN()),"")</f>
        <v/>
      </c>
      <c r="G715" t="str">
        <f>IFERROR(INDEX(装备库!$A$2:$Y$1047,MATCH(ROW()-1,装备库!$AO$2:$AO$1046,0),COLUMN()),"")</f>
        <v/>
      </c>
      <c r="H715" t="str">
        <f>IFERROR(INDEX(装备库!$A$2:$Y$1047,MATCH(ROW()-1,装备库!$AO$2:$AO$1046,0),COLUMN()),"")</f>
        <v/>
      </c>
      <c r="I715" t="str">
        <f>IFERROR(INDEX(装备库!$A$2:$Y$1047,MATCH(ROW()-1,装备库!$AO$2:$AO$1046,0),COLUMN()),"")</f>
        <v/>
      </c>
      <c r="J715" t="str">
        <f>IFERROR(INDEX(装备库!$A$2:$Y$1047,MATCH(ROW()-1,装备库!$AO$2:$AO$1046,0),COLUMN()),"")</f>
        <v/>
      </c>
      <c r="K715" t="str">
        <f>IFERROR(INDEX(装备库!$A$2:$Y$1047,MATCH(ROW()-1,装备库!$AO$2:$AO$1046,0),COLUMN()),"")</f>
        <v/>
      </c>
      <c r="L715" t="str">
        <f>IFERROR(INDEX(装备库!$A$2:$Y$1047,MATCH(ROW()-1,装备库!$AO$2:$AO$1046,0),COLUMN()),"")</f>
        <v/>
      </c>
      <c r="M715" t="str">
        <f>IFERROR(INDEX(装备库!$A$2:$Y$1047,MATCH(ROW()-1,装备库!$AO$2:$AO$1046,0),COLUMN()),"")</f>
        <v/>
      </c>
      <c r="N715" t="str">
        <f>IFERROR(INDEX(装备库!$A$2:$Y$1047,MATCH(ROW()-1,装备库!$AO$2:$AO$1046,0),COLUMN()),"")</f>
        <v/>
      </c>
      <c r="O715" t="str">
        <f>IFERROR(INDEX(装备库!$A$2:$Y$1047,MATCH(ROW()-1,装备库!$AO$2:$AO$1046,0),COLUMN()),"")</f>
        <v/>
      </c>
      <c r="P715" t="str">
        <f>IFERROR(INDEX(装备库!$A$2:$Y$1047,MATCH(ROW()-1,装备库!$AO$2:$AO$1046,0),COLUMN()),"")</f>
        <v/>
      </c>
      <c r="Q715" t="str">
        <f>IFERROR(INDEX(装备库!$A$2:$Y$1047,MATCH(ROW()-1,装备库!$AO$2:$AO$1046,0),COLUMN()),"")</f>
        <v/>
      </c>
      <c r="R715" t="str">
        <f>IFERROR(INDEX(装备库!$A$2:$Y$1047,MATCH(ROW()-1,装备库!$AO$2:$AO$1046,0),COLUMN()),"")</f>
        <v/>
      </c>
      <c r="S715" t="str">
        <f>IFERROR(INDEX(装备库!$A$2:$Y$1047,MATCH(ROW()-1,装备库!$AO$2:$AO$1046,0),COLUMN()),"")</f>
        <v/>
      </c>
      <c r="T715" t="str">
        <f>IFERROR(INDEX(装备库!$A$2:$Y$1047,MATCH(ROW()-1,装备库!$AO$2:$AO$1046,0),COLUMN()),"")</f>
        <v/>
      </c>
      <c r="U715" t="str">
        <f>IFERROR(INDEX(装备库!$A$2:$Y$1047,MATCH(ROW()-1,装备库!$AO$2:$AO$1046,0),COLUMN()),"")</f>
        <v/>
      </c>
      <c r="V715" t="str">
        <f>IFERROR(INDEX(装备库!$A$2:$Y$1047,MATCH(ROW()-1,装备库!$AO$2:$AO$1046,0),COLUMN()),"")</f>
        <v/>
      </c>
      <c r="W715" t="str">
        <f>IFERROR(INDEX(装备库!$A$2:$Y$1047,MATCH(ROW()-1,装备库!$AO$2:$AO$1046,0),COLUMN()),"")</f>
        <v/>
      </c>
      <c r="X715" t="str">
        <f>IFERROR(INDEX(装备库!$A$2:$Y$1047,MATCH(ROW()-1,装备库!$AO$2:$AO$1046,0),COLUMN()),"")</f>
        <v/>
      </c>
      <c r="Y715" t="str">
        <f>IFERROR(INDEX(装备库!$A$2:$Y$1047,MATCH(ROW()-1,装备库!$AO$2:$AO$1046,0),COLUMN()),"")</f>
        <v/>
      </c>
    </row>
    <row r="716" spans="1:25" x14ac:dyDescent="0.35">
      <c r="A716" t="str">
        <f>IFERROR(INDEX(装备库!$A$2:$Y$1047,MATCH(ROW()-1,装备库!$AO$2:$AO$1046,0),COLUMN()),"")</f>
        <v/>
      </c>
      <c r="B716" t="str">
        <f>IFERROR(INDEX(装备库!$A$2:$Y$1047,MATCH(ROW()-1,装备库!$AO$2:$AO$1046,0),COLUMN()),"")</f>
        <v/>
      </c>
      <c r="C716" t="str">
        <f>IFERROR(INDEX(装备库!$A$2:$Y$1047,MATCH(ROW()-1,装备库!$AO$2:$AO$1046,0),COLUMN()),"")</f>
        <v/>
      </c>
      <c r="D716" t="str">
        <f>IFERROR(INDEX(装备库!$A$2:$Y$1047,MATCH(ROW()-1,装备库!$AO$2:$AO$1046,0),COLUMN()),"")</f>
        <v/>
      </c>
      <c r="E716" t="str">
        <f>IFERROR(INDEX(装备库!$A$2:$Y$1047,MATCH(ROW()-1,装备库!$AO$2:$AO$1046,0),COLUMN()),"")</f>
        <v/>
      </c>
      <c r="F716" t="str">
        <f>IFERROR(INDEX(装备库!$A$2:$Y$1047,MATCH(ROW()-1,装备库!$AO$2:$AO$1046,0),COLUMN()),"")</f>
        <v/>
      </c>
      <c r="G716" t="str">
        <f>IFERROR(INDEX(装备库!$A$2:$Y$1047,MATCH(ROW()-1,装备库!$AO$2:$AO$1046,0),COLUMN()),"")</f>
        <v/>
      </c>
      <c r="H716" t="str">
        <f>IFERROR(INDEX(装备库!$A$2:$Y$1047,MATCH(ROW()-1,装备库!$AO$2:$AO$1046,0),COLUMN()),"")</f>
        <v/>
      </c>
      <c r="I716" t="str">
        <f>IFERROR(INDEX(装备库!$A$2:$Y$1047,MATCH(ROW()-1,装备库!$AO$2:$AO$1046,0),COLUMN()),"")</f>
        <v/>
      </c>
      <c r="J716" t="str">
        <f>IFERROR(INDEX(装备库!$A$2:$Y$1047,MATCH(ROW()-1,装备库!$AO$2:$AO$1046,0),COLUMN()),"")</f>
        <v/>
      </c>
      <c r="K716" t="str">
        <f>IFERROR(INDEX(装备库!$A$2:$Y$1047,MATCH(ROW()-1,装备库!$AO$2:$AO$1046,0),COLUMN()),"")</f>
        <v/>
      </c>
      <c r="L716" t="str">
        <f>IFERROR(INDEX(装备库!$A$2:$Y$1047,MATCH(ROW()-1,装备库!$AO$2:$AO$1046,0),COLUMN()),"")</f>
        <v/>
      </c>
      <c r="M716" t="str">
        <f>IFERROR(INDEX(装备库!$A$2:$Y$1047,MATCH(ROW()-1,装备库!$AO$2:$AO$1046,0),COLUMN()),"")</f>
        <v/>
      </c>
      <c r="N716" t="str">
        <f>IFERROR(INDEX(装备库!$A$2:$Y$1047,MATCH(ROW()-1,装备库!$AO$2:$AO$1046,0),COLUMN()),"")</f>
        <v/>
      </c>
      <c r="O716" t="str">
        <f>IFERROR(INDEX(装备库!$A$2:$Y$1047,MATCH(ROW()-1,装备库!$AO$2:$AO$1046,0),COLUMN()),"")</f>
        <v/>
      </c>
      <c r="P716" t="str">
        <f>IFERROR(INDEX(装备库!$A$2:$Y$1047,MATCH(ROW()-1,装备库!$AO$2:$AO$1046,0),COLUMN()),"")</f>
        <v/>
      </c>
      <c r="Q716" t="str">
        <f>IFERROR(INDEX(装备库!$A$2:$Y$1047,MATCH(ROW()-1,装备库!$AO$2:$AO$1046,0),COLUMN()),"")</f>
        <v/>
      </c>
      <c r="R716" t="str">
        <f>IFERROR(INDEX(装备库!$A$2:$Y$1047,MATCH(ROW()-1,装备库!$AO$2:$AO$1046,0),COLUMN()),"")</f>
        <v/>
      </c>
      <c r="S716" t="str">
        <f>IFERROR(INDEX(装备库!$A$2:$Y$1047,MATCH(ROW()-1,装备库!$AO$2:$AO$1046,0),COLUMN()),"")</f>
        <v/>
      </c>
      <c r="T716" t="str">
        <f>IFERROR(INDEX(装备库!$A$2:$Y$1047,MATCH(ROW()-1,装备库!$AO$2:$AO$1046,0),COLUMN()),"")</f>
        <v/>
      </c>
      <c r="U716" t="str">
        <f>IFERROR(INDEX(装备库!$A$2:$Y$1047,MATCH(ROW()-1,装备库!$AO$2:$AO$1046,0),COLUMN()),"")</f>
        <v/>
      </c>
      <c r="V716" t="str">
        <f>IFERROR(INDEX(装备库!$A$2:$Y$1047,MATCH(ROW()-1,装备库!$AO$2:$AO$1046,0),COLUMN()),"")</f>
        <v/>
      </c>
      <c r="W716" t="str">
        <f>IFERROR(INDEX(装备库!$A$2:$Y$1047,MATCH(ROW()-1,装备库!$AO$2:$AO$1046,0),COLUMN()),"")</f>
        <v/>
      </c>
      <c r="X716" t="str">
        <f>IFERROR(INDEX(装备库!$A$2:$Y$1047,MATCH(ROW()-1,装备库!$AO$2:$AO$1046,0),COLUMN()),"")</f>
        <v/>
      </c>
      <c r="Y716" t="str">
        <f>IFERROR(INDEX(装备库!$A$2:$Y$1047,MATCH(ROW()-1,装备库!$AO$2:$AO$1046,0),COLUMN()),"")</f>
        <v/>
      </c>
    </row>
    <row r="717" spans="1:25" x14ac:dyDescent="0.35">
      <c r="A717" t="str">
        <f>IFERROR(INDEX(装备库!$A$2:$Y$1047,MATCH(ROW()-1,装备库!$AO$2:$AO$1046,0),COLUMN()),"")</f>
        <v/>
      </c>
      <c r="B717" t="str">
        <f>IFERROR(INDEX(装备库!$A$2:$Y$1047,MATCH(ROW()-1,装备库!$AO$2:$AO$1046,0),COLUMN()),"")</f>
        <v/>
      </c>
      <c r="C717" t="str">
        <f>IFERROR(INDEX(装备库!$A$2:$Y$1047,MATCH(ROW()-1,装备库!$AO$2:$AO$1046,0),COLUMN()),"")</f>
        <v/>
      </c>
      <c r="D717" t="str">
        <f>IFERROR(INDEX(装备库!$A$2:$Y$1047,MATCH(ROW()-1,装备库!$AO$2:$AO$1046,0),COLUMN()),"")</f>
        <v/>
      </c>
      <c r="E717" t="str">
        <f>IFERROR(INDEX(装备库!$A$2:$Y$1047,MATCH(ROW()-1,装备库!$AO$2:$AO$1046,0),COLUMN()),"")</f>
        <v/>
      </c>
      <c r="F717" t="str">
        <f>IFERROR(INDEX(装备库!$A$2:$Y$1047,MATCH(ROW()-1,装备库!$AO$2:$AO$1046,0),COLUMN()),"")</f>
        <v/>
      </c>
      <c r="G717" t="str">
        <f>IFERROR(INDEX(装备库!$A$2:$Y$1047,MATCH(ROW()-1,装备库!$AO$2:$AO$1046,0),COLUMN()),"")</f>
        <v/>
      </c>
      <c r="H717" t="str">
        <f>IFERROR(INDEX(装备库!$A$2:$Y$1047,MATCH(ROW()-1,装备库!$AO$2:$AO$1046,0),COLUMN()),"")</f>
        <v/>
      </c>
      <c r="I717" t="str">
        <f>IFERROR(INDEX(装备库!$A$2:$Y$1047,MATCH(ROW()-1,装备库!$AO$2:$AO$1046,0),COLUMN()),"")</f>
        <v/>
      </c>
      <c r="J717" t="str">
        <f>IFERROR(INDEX(装备库!$A$2:$Y$1047,MATCH(ROW()-1,装备库!$AO$2:$AO$1046,0),COLUMN()),"")</f>
        <v/>
      </c>
      <c r="K717" t="str">
        <f>IFERROR(INDEX(装备库!$A$2:$Y$1047,MATCH(ROW()-1,装备库!$AO$2:$AO$1046,0),COLUMN()),"")</f>
        <v/>
      </c>
      <c r="L717" t="str">
        <f>IFERROR(INDEX(装备库!$A$2:$Y$1047,MATCH(ROW()-1,装备库!$AO$2:$AO$1046,0),COLUMN()),"")</f>
        <v/>
      </c>
      <c r="M717" t="str">
        <f>IFERROR(INDEX(装备库!$A$2:$Y$1047,MATCH(ROW()-1,装备库!$AO$2:$AO$1046,0),COLUMN()),"")</f>
        <v/>
      </c>
      <c r="N717" t="str">
        <f>IFERROR(INDEX(装备库!$A$2:$Y$1047,MATCH(ROW()-1,装备库!$AO$2:$AO$1046,0),COLUMN()),"")</f>
        <v/>
      </c>
      <c r="O717" t="str">
        <f>IFERROR(INDEX(装备库!$A$2:$Y$1047,MATCH(ROW()-1,装备库!$AO$2:$AO$1046,0),COLUMN()),"")</f>
        <v/>
      </c>
      <c r="P717" t="str">
        <f>IFERROR(INDEX(装备库!$A$2:$Y$1047,MATCH(ROW()-1,装备库!$AO$2:$AO$1046,0),COLUMN()),"")</f>
        <v/>
      </c>
      <c r="Q717" t="str">
        <f>IFERROR(INDEX(装备库!$A$2:$Y$1047,MATCH(ROW()-1,装备库!$AO$2:$AO$1046,0),COLUMN()),"")</f>
        <v/>
      </c>
      <c r="R717" t="str">
        <f>IFERROR(INDEX(装备库!$A$2:$Y$1047,MATCH(ROW()-1,装备库!$AO$2:$AO$1046,0),COLUMN()),"")</f>
        <v/>
      </c>
      <c r="S717" t="str">
        <f>IFERROR(INDEX(装备库!$A$2:$Y$1047,MATCH(ROW()-1,装备库!$AO$2:$AO$1046,0),COLUMN()),"")</f>
        <v/>
      </c>
      <c r="T717" t="str">
        <f>IFERROR(INDEX(装备库!$A$2:$Y$1047,MATCH(ROW()-1,装备库!$AO$2:$AO$1046,0),COLUMN()),"")</f>
        <v/>
      </c>
      <c r="U717" t="str">
        <f>IFERROR(INDEX(装备库!$A$2:$Y$1047,MATCH(ROW()-1,装备库!$AO$2:$AO$1046,0),COLUMN()),"")</f>
        <v/>
      </c>
      <c r="V717" t="str">
        <f>IFERROR(INDEX(装备库!$A$2:$Y$1047,MATCH(ROW()-1,装备库!$AO$2:$AO$1046,0),COLUMN()),"")</f>
        <v/>
      </c>
      <c r="W717" t="str">
        <f>IFERROR(INDEX(装备库!$A$2:$Y$1047,MATCH(ROW()-1,装备库!$AO$2:$AO$1046,0),COLUMN()),"")</f>
        <v/>
      </c>
      <c r="X717" t="str">
        <f>IFERROR(INDEX(装备库!$A$2:$Y$1047,MATCH(ROW()-1,装备库!$AO$2:$AO$1046,0),COLUMN()),"")</f>
        <v/>
      </c>
      <c r="Y717" t="str">
        <f>IFERROR(INDEX(装备库!$A$2:$Y$1047,MATCH(ROW()-1,装备库!$AO$2:$AO$1046,0),COLUMN()),"")</f>
        <v/>
      </c>
    </row>
    <row r="718" spans="1:25" x14ac:dyDescent="0.35">
      <c r="A718" t="str">
        <f>IFERROR(INDEX(装备库!$A$2:$Y$1047,MATCH(ROW()-1,装备库!$AO$2:$AO$1046,0),COLUMN()),"")</f>
        <v/>
      </c>
      <c r="B718" t="str">
        <f>IFERROR(INDEX(装备库!$A$2:$Y$1047,MATCH(ROW()-1,装备库!$AO$2:$AO$1046,0),COLUMN()),"")</f>
        <v/>
      </c>
      <c r="C718" t="str">
        <f>IFERROR(INDEX(装备库!$A$2:$Y$1047,MATCH(ROW()-1,装备库!$AO$2:$AO$1046,0),COLUMN()),"")</f>
        <v/>
      </c>
      <c r="D718" t="str">
        <f>IFERROR(INDEX(装备库!$A$2:$Y$1047,MATCH(ROW()-1,装备库!$AO$2:$AO$1046,0),COLUMN()),"")</f>
        <v/>
      </c>
      <c r="E718" t="str">
        <f>IFERROR(INDEX(装备库!$A$2:$Y$1047,MATCH(ROW()-1,装备库!$AO$2:$AO$1046,0),COLUMN()),"")</f>
        <v/>
      </c>
      <c r="F718" t="str">
        <f>IFERROR(INDEX(装备库!$A$2:$Y$1047,MATCH(ROW()-1,装备库!$AO$2:$AO$1046,0),COLUMN()),"")</f>
        <v/>
      </c>
      <c r="G718" t="str">
        <f>IFERROR(INDEX(装备库!$A$2:$Y$1047,MATCH(ROW()-1,装备库!$AO$2:$AO$1046,0),COLUMN()),"")</f>
        <v/>
      </c>
      <c r="H718" t="str">
        <f>IFERROR(INDEX(装备库!$A$2:$Y$1047,MATCH(ROW()-1,装备库!$AO$2:$AO$1046,0),COLUMN()),"")</f>
        <v/>
      </c>
      <c r="I718" t="str">
        <f>IFERROR(INDEX(装备库!$A$2:$Y$1047,MATCH(ROW()-1,装备库!$AO$2:$AO$1046,0),COLUMN()),"")</f>
        <v/>
      </c>
      <c r="J718" t="str">
        <f>IFERROR(INDEX(装备库!$A$2:$Y$1047,MATCH(ROW()-1,装备库!$AO$2:$AO$1046,0),COLUMN()),"")</f>
        <v/>
      </c>
      <c r="K718" t="str">
        <f>IFERROR(INDEX(装备库!$A$2:$Y$1047,MATCH(ROW()-1,装备库!$AO$2:$AO$1046,0),COLUMN()),"")</f>
        <v/>
      </c>
      <c r="L718" t="str">
        <f>IFERROR(INDEX(装备库!$A$2:$Y$1047,MATCH(ROW()-1,装备库!$AO$2:$AO$1046,0),COLUMN()),"")</f>
        <v/>
      </c>
      <c r="M718" t="str">
        <f>IFERROR(INDEX(装备库!$A$2:$Y$1047,MATCH(ROW()-1,装备库!$AO$2:$AO$1046,0),COLUMN()),"")</f>
        <v/>
      </c>
      <c r="N718" t="str">
        <f>IFERROR(INDEX(装备库!$A$2:$Y$1047,MATCH(ROW()-1,装备库!$AO$2:$AO$1046,0),COLUMN()),"")</f>
        <v/>
      </c>
      <c r="O718" t="str">
        <f>IFERROR(INDEX(装备库!$A$2:$Y$1047,MATCH(ROW()-1,装备库!$AO$2:$AO$1046,0),COLUMN()),"")</f>
        <v/>
      </c>
      <c r="P718" t="str">
        <f>IFERROR(INDEX(装备库!$A$2:$Y$1047,MATCH(ROW()-1,装备库!$AO$2:$AO$1046,0),COLUMN()),"")</f>
        <v/>
      </c>
      <c r="Q718" t="str">
        <f>IFERROR(INDEX(装备库!$A$2:$Y$1047,MATCH(ROW()-1,装备库!$AO$2:$AO$1046,0),COLUMN()),"")</f>
        <v/>
      </c>
      <c r="R718" t="str">
        <f>IFERROR(INDEX(装备库!$A$2:$Y$1047,MATCH(ROW()-1,装备库!$AO$2:$AO$1046,0),COLUMN()),"")</f>
        <v/>
      </c>
      <c r="S718" t="str">
        <f>IFERROR(INDEX(装备库!$A$2:$Y$1047,MATCH(ROW()-1,装备库!$AO$2:$AO$1046,0),COLUMN()),"")</f>
        <v/>
      </c>
      <c r="T718" t="str">
        <f>IFERROR(INDEX(装备库!$A$2:$Y$1047,MATCH(ROW()-1,装备库!$AO$2:$AO$1046,0),COLUMN()),"")</f>
        <v/>
      </c>
      <c r="U718" t="str">
        <f>IFERROR(INDEX(装备库!$A$2:$Y$1047,MATCH(ROW()-1,装备库!$AO$2:$AO$1046,0),COLUMN()),"")</f>
        <v/>
      </c>
      <c r="V718" t="str">
        <f>IFERROR(INDEX(装备库!$A$2:$Y$1047,MATCH(ROW()-1,装备库!$AO$2:$AO$1046,0),COLUMN()),"")</f>
        <v/>
      </c>
      <c r="W718" t="str">
        <f>IFERROR(INDEX(装备库!$A$2:$Y$1047,MATCH(ROW()-1,装备库!$AO$2:$AO$1046,0),COLUMN()),"")</f>
        <v/>
      </c>
      <c r="X718" t="str">
        <f>IFERROR(INDEX(装备库!$A$2:$Y$1047,MATCH(ROW()-1,装备库!$AO$2:$AO$1046,0),COLUMN()),"")</f>
        <v/>
      </c>
      <c r="Y718" t="str">
        <f>IFERROR(INDEX(装备库!$A$2:$Y$1047,MATCH(ROW()-1,装备库!$AO$2:$AO$1046,0),COLUMN()),"")</f>
        <v/>
      </c>
    </row>
    <row r="719" spans="1:25" x14ac:dyDescent="0.35">
      <c r="A719" t="str">
        <f>IFERROR(INDEX(装备库!$A$2:$Y$1047,MATCH(ROW()-1,装备库!$AO$2:$AO$1046,0),COLUMN()),"")</f>
        <v/>
      </c>
      <c r="B719" t="str">
        <f>IFERROR(INDEX(装备库!$A$2:$Y$1047,MATCH(ROW()-1,装备库!$AO$2:$AO$1046,0),COLUMN()),"")</f>
        <v/>
      </c>
      <c r="C719" t="str">
        <f>IFERROR(INDEX(装备库!$A$2:$Y$1047,MATCH(ROW()-1,装备库!$AO$2:$AO$1046,0),COLUMN()),"")</f>
        <v/>
      </c>
      <c r="D719" t="str">
        <f>IFERROR(INDEX(装备库!$A$2:$Y$1047,MATCH(ROW()-1,装备库!$AO$2:$AO$1046,0),COLUMN()),"")</f>
        <v/>
      </c>
      <c r="E719" t="str">
        <f>IFERROR(INDEX(装备库!$A$2:$Y$1047,MATCH(ROW()-1,装备库!$AO$2:$AO$1046,0),COLUMN()),"")</f>
        <v/>
      </c>
      <c r="F719" t="str">
        <f>IFERROR(INDEX(装备库!$A$2:$Y$1047,MATCH(ROW()-1,装备库!$AO$2:$AO$1046,0),COLUMN()),"")</f>
        <v/>
      </c>
      <c r="G719" t="str">
        <f>IFERROR(INDEX(装备库!$A$2:$Y$1047,MATCH(ROW()-1,装备库!$AO$2:$AO$1046,0),COLUMN()),"")</f>
        <v/>
      </c>
      <c r="H719" t="str">
        <f>IFERROR(INDEX(装备库!$A$2:$Y$1047,MATCH(ROW()-1,装备库!$AO$2:$AO$1046,0),COLUMN()),"")</f>
        <v/>
      </c>
      <c r="I719" t="str">
        <f>IFERROR(INDEX(装备库!$A$2:$Y$1047,MATCH(ROW()-1,装备库!$AO$2:$AO$1046,0),COLUMN()),"")</f>
        <v/>
      </c>
      <c r="J719" t="str">
        <f>IFERROR(INDEX(装备库!$A$2:$Y$1047,MATCH(ROW()-1,装备库!$AO$2:$AO$1046,0),COLUMN()),"")</f>
        <v/>
      </c>
      <c r="K719" t="str">
        <f>IFERROR(INDEX(装备库!$A$2:$Y$1047,MATCH(ROW()-1,装备库!$AO$2:$AO$1046,0),COLUMN()),"")</f>
        <v/>
      </c>
      <c r="L719" t="str">
        <f>IFERROR(INDEX(装备库!$A$2:$Y$1047,MATCH(ROW()-1,装备库!$AO$2:$AO$1046,0),COLUMN()),"")</f>
        <v/>
      </c>
      <c r="M719" t="str">
        <f>IFERROR(INDEX(装备库!$A$2:$Y$1047,MATCH(ROW()-1,装备库!$AO$2:$AO$1046,0),COLUMN()),"")</f>
        <v/>
      </c>
      <c r="N719" t="str">
        <f>IFERROR(INDEX(装备库!$A$2:$Y$1047,MATCH(ROW()-1,装备库!$AO$2:$AO$1046,0),COLUMN()),"")</f>
        <v/>
      </c>
      <c r="O719" t="str">
        <f>IFERROR(INDEX(装备库!$A$2:$Y$1047,MATCH(ROW()-1,装备库!$AO$2:$AO$1046,0),COLUMN()),"")</f>
        <v/>
      </c>
      <c r="P719" t="str">
        <f>IFERROR(INDEX(装备库!$A$2:$Y$1047,MATCH(ROW()-1,装备库!$AO$2:$AO$1046,0),COLUMN()),"")</f>
        <v/>
      </c>
      <c r="Q719" t="str">
        <f>IFERROR(INDEX(装备库!$A$2:$Y$1047,MATCH(ROW()-1,装备库!$AO$2:$AO$1046,0),COLUMN()),"")</f>
        <v/>
      </c>
      <c r="R719" t="str">
        <f>IFERROR(INDEX(装备库!$A$2:$Y$1047,MATCH(ROW()-1,装备库!$AO$2:$AO$1046,0),COLUMN()),"")</f>
        <v/>
      </c>
      <c r="S719" t="str">
        <f>IFERROR(INDEX(装备库!$A$2:$Y$1047,MATCH(ROW()-1,装备库!$AO$2:$AO$1046,0),COLUMN()),"")</f>
        <v/>
      </c>
      <c r="T719" t="str">
        <f>IFERROR(INDEX(装备库!$A$2:$Y$1047,MATCH(ROW()-1,装备库!$AO$2:$AO$1046,0),COLUMN()),"")</f>
        <v/>
      </c>
      <c r="U719" t="str">
        <f>IFERROR(INDEX(装备库!$A$2:$Y$1047,MATCH(ROW()-1,装备库!$AO$2:$AO$1046,0),COLUMN()),"")</f>
        <v/>
      </c>
      <c r="V719" t="str">
        <f>IFERROR(INDEX(装备库!$A$2:$Y$1047,MATCH(ROW()-1,装备库!$AO$2:$AO$1046,0),COLUMN()),"")</f>
        <v/>
      </c>
      <c r="W719" t="str">
        <f>IFERROR(INDEX(装备库!$A$2:$Y$1047,MATCH(ROW()-1,装备库!$AO$2:$AO$1046,0),COLUMN()),"")</f>
        <v/>
      </c>
      <c r="X719" t="str">
        <f>IFERROR(INDEX(装备库!$A$2:$Y$1047,MATCH(ROW()-1,装备库!$AO$2:$AO$1046,0),COLUMN()),"")</f>
        <v/>
      </c>
      <c r="Y719" t="str">
        <f>IFERROR(INDEX(装备库!$A$2:$Y$1047,MATCH(ROW()-1,装备库!$AO$2:$AO$1046,0),COLUMN()),"")</f>
        <v/>
      </c>
    </row>
    <row r="720" spans="1:25" x14ac:dyDescent="0.35">
      <c r="A720" t="str">
        <f>IFERROR(INDEX(装备库!$A$2:$Y$1047,MATCH(ROW()-1,装备库!$AO$2:$AO$1046,0),COLUMN()),"")</f>
        <v/>
      </c>
      <c r="B720" t="str">
        <f>IFERROR(INDEX(装备库!$A$2:$Y$1047,MATCH(ROW()-1,装备库!$AO$2:$AO$1046,0),COLUMN()),"")</f>
        <v/>
      </c>
      <c r="C720" t="str">
        <f>IFERROR(INDEX(装备库!$A$2:$Y$1047,MATCH(ROW()-1,装备库!$AO$2:$AO$1046,0),COLUMN()),"")</f>
        <v/>
      </c>
      <c r="D720" t="str">
        <f>IFERROR(INDEX(装备库!$A$2:$Y$1047,MATCH(ROW()-1,装备库!$AO$2:$AO$1046,0),COLUMN()),"")</f>
        <v/>
      </c>
      <c r="E720" t="str">
        <f>IFERROR(INDEX(装备库!$A$2:$Y$1047,MATCH(ROW()-1,装备库!$AO$2:$AO$1046,0),COLUMN()),"")</f>
        <v/>
      </c>
      <c r="F720" t="str">
        <f>IFERROR(INDEX(装备库!$A$2:$Y$1047,MATCH(ROW()-1,装备库!$AO$2:$AO$1046,0),COLUMN()),"")</f>
        <v/>
      </c>
      <c r="G720" t="str">
        <f>IFERROR(INDEX(装备库!$A$2:$Y$1047,MATCH(ROW()-1,装备库!$AO$2:$AO$1046,0),COLUMN()),"")</f>
        <v/>
      </c>
      <c r="H720" t="str">
        <f>IFERROR(INDEX(装备库!$A$2:$Y$1047,MATCH(ROW()-1,装备库!$AO$2:$AO$1046,0),COLUMN()),"")</f>
        <v/>
      </c>
      <c r="I720" t="str">
        <f>IFERROR(INDEX(装备库!$A$2:$Y$1047,MATCH(ROW()-1,装备库!$AO$2:$AO$1046,0),COLUMN()),"")</f>
        <v/>
      </c>
      <c r="J720" t="str">
        <f>IFERROR(INDEX(装备库!$A$2:$Y$1047,MATCH(ROW()-1,装备库!$AO$2:$AO$1046,0),COLUMN()),"")</f>
        <v/>
      </c>
      <c r="K720" t="str">
        <f>IFERROR(INDEX(装备库!$A$2:$Y$1047,MATCH(ROW()-1,装备库!$AO$2:$AO$1046,0),COLUMN()),"")</f>
        <v/>
      </c>
      <c r="L720" t="str">
        <f>IFERROR(INDEX(装备库!$A$2:$Y$1047,MATCH(ROW()-1,装备库!$AO$2:$AO$1046,0),COLUMN()),"")</f>
        <v/>
      </c>
      <c r="M720" t="str">
        <f>IFERROR(INDEX(装备库!$A$2:$Y$1047,MATCH(ROW()-1,装备库!$AO$2:$AO$1046,0),COLUMN()),"")</f>
        <v/>
      </c>
      <c r="N720" t="str">
        <f>IFERROR(INDEX(装备库!$A$2:$Y$1047,MATCH(ROW()-1,装备库!$AO$2:$AO$1046,0),COLUMN()),"")</f>
        <v/>
      </c>
      <c r="O720" t="str">
        <f>IFERROR(INDEX(装备库!$A$2:$Y$1047,MATCH(ROW()-1,装备库!$AO$2:$AO$1046,0),COLUMN()),"")</f>
        <v/>
      </c>
      <c r="P720" t="str">
        <f>IFERROR(INDEX(装备库!$A$2:$Y$1047,MATCH(ROW()-1,装备库!$AO$2:$AO$1046,0),COLUMN()),"")</f>
        <v/>
      </c>
      <c r="Q720" t="str">
        <f>IFERROR(INDEX(装备库!$A$2:$Y$1047,MATCH(ROW()-1,装备库!$AO$2:$AO$1046,0),COLUMN()),"")</f>
        <v/>
      </c>
      <c r="R720" t="str">
        <f>IFERROR(INDEX(装备库!$A$2:$Y$1047,MATCH(ROW()-1,装备库!$AO$2:$AO$1046,0),COLUMN()),"")</f>
        <v/>
      </c>
      <c r="S720" t="str">
        <f>IFERROR(INDEX(装备库!$A$2:$Y$1047,MATCH(ROW()-1,装备库!$AO$2:$AO$1046,0),COLUMN()),"")</f>
        <v/>
      </c>
      <c r="T720" t="str">
        <f>IFERROR(INDEX(装备库!$A$2:$Y$1047,MATCH(ROW()-1,装备库!$AO$2:$AO$1046,0),COLUMN()),"")</f>
        <v/>
      </c>
      <c r="U720" t="str">
        <f>IFERROR(INDEX(装备库!$A$2:$Y$1047,MATCH(ROW()-1,装备库!$AO$2:$AO$1046,0),COLUMN()),"")</f>
        <v/>
      </c>
      <c r="V720" t="str">
        <f>IFERROR(INDEX(装备库!$A$2:$Y$1047,MATCH(ROW()-1,装备库!$AO$2:$AO$1046,0),COLUMN()),"")</f>
        <v/>
      </c>
      <c r="W720" t="str">
        <f>IFERROR(INDEX(装备库!$A$2:$Y$1047,MATCH(ROW()-1,装备库!$AO$2:$AO$1046,0),COLUMN()),"")</f>
        <v/>
      </c>
      <c r="X720" t="str">
        <f>IFERROR(INDEX(装备库!$A$2:$Y$1047,MATCH(ROW()-1,装备库!$AO$2:$AO$1046,0),COLUMN()),"")</f>
        <v/>
      </c>
      <c r="Y720" t="str">
        <f>IFERROR(INDEX(装备库!$A$2:$Y$1047,MATCH(ROW()-1,装备库!$AO$2:$AO$1046,0),COLUMN()),"")</f>
        <v/>
      </c>
    </row>
    <row r="721" spans="1:25" x14ac:dyDescent="0.35">
      <c r="A721" t="str">
        <f>IFERROR(INDEX(装备库!$A$2:$Y$1047,MATCH(ROW()-1,装备库!$AO$2:$AO$1046,0),COLUMN()),"")</f>
        <v/>
      </c>
      <c r="B721" t="str">
        <f>IFERROR(INDEX(装备库!$A$2:$Y$1047,MATCH(ROW()-1,装备库!$AO$2:$AO$1046,0),COLUMN()),"")</f>
        <v/>
      </c>
      <c r="C721" t="str">
        <f>IFERROR(INDEX(装备库!$A$2:$Y$1047,MATCH(ROW()-1,装备库!$AO$2:$AO$1046,0),COLUMN()),"")</f>
        <v/>
      </c>
      <c r="D721" t="str">
        <f>IFERROR(INDEX(装备库!$A$2:$Y$1047,MATCH(ROW()-1,装备库!$AO$2:$AO$1046,0),COLUMN()),"")</f>
        <v/>
      </c>
      <c r="E721" t="str">
        <f>IFERROR(INDEX(装备库!$A$2:$Y$1047,MATCH(ROW()-1,装备库!$AO$2:$AO$1046,0),COLUMN()),"")</f>
        <v/>
      </c>
      <c r="F721" t="str">
        <f>IFERROR(INDEX(装备库!$A$2:$Y$1047,MATCH(ROW()-1,装备库!$AO$2:$AO$1046,0),COLUMN()),"")</f>
        <v/>
      </c>
      <c r="G721" t="str">
        <f>IFERROR(INDEX(装备库!$A$2:$Y$1047,MATCH(ROW()-1,装备库!$AO$2:$AO$1046,0),COLUMN()),"")</f>
        <v/>
      </c>
      <c r="H721" t="str">
        <f>IFERROR(INDEX(装备库!$A$2:$Y$1047,MATCH(ROW()-1,装备库!$AO$2:$AO$1046,0),COLUMN()),"")</f>
        <v/>
      </c>
      <c r="I721" t="str">
        <f>IFERROR(INDEX(装备库!$A$2:$Y$1047,MATCH(ROW()-1,装备库!$AO$2:$AO$1046,0),COLUMN()),"")</f>
        <v/>
      </c>
      <c r="J721" t="str">
        <f>IFERROR(INDEX(装备库!$A$2:$Y$1047,MATCH(ROW()-1,装备库!$AO$2:$AO$1046,0),COLUMN()),"")</f>
        <v/>
      </c>
      <c r="K721" t="str">
        <f>IFERROR(INDEX(装备库!$A$2:$Y$1047,MATCH(ROW()-1,装备库!$AO$2:$AO$1046,0),COLUMN()),"")</f>
        <v/>
      </c>
      <c r="L721" t="str">
        <f>IFERROR(INDEX(装备库!$A$2:$Y$1047,MATCH(ROW()-1,装备库!$AO$2:$AO$1046,0),COLUMN()),"")</f>
        <v/>
      </c>
      <c r="M721" t="str">
        <f>IFERROR(INDEX(装备库!$A$2:$Y$1047,MATCH(ROW()-1,装备库!$AO$2:$AO$1046,0),COLUMN()),"")</f>
        <v/>
      </c>
      <c r="N721" t="str">
        <f>IFERROR(INDEX(装备库!$A$2:$Y$1047,MATCH(ROW()-1,装备库!$AO$2:$AO$1046,0),COLUMN()),"")</f>
        <v/>
      </c>
      <c r="O721" t="str">
        <f>IFERROR(INDEX(装备库!$A$2:$Y$1047,MATCH(ROW()-1,装备库!$AO$2:$AO$1046,0),COLUMN()),"")</f>
        <v/>
      </c>
      <c r="P721" t="str">
        <f>IFERROR(INDEX(装备库!$A$2:$Y$1047,MATCH(ROW()-1,装备库!$AO$2:$AO$1046,0),COLUMN()),"")</f>
        <v/>
      </c>
      <c r="Q721" t="str">
        <f>IFERROR(INDEX(装备库!$A$2:$Y$1047,MATCH(ROW()-1,装备库!$AO$2:$AO$1046,0),COLUMN()),"")</f>
        <v/>
      </c>
      <c r="R721" t="str">
        <f>IFERROR(INDEX(装备库!$A$2:$Y$1047,MATCH(ROW()-1,装备库!$AO$2:$AO$1046,0),COLUMN()),"")</f>
        <v/>
      </c>
      <c r="S721" t="str">
        <f>IFERROR(INDEX(装备库!$A$2:$Y$1047,MATCH(ROW()-1,装备库!$AO$2:$AO$1046,0),COLUMN()),"")</f>
        <v/>
      </c>
      <c r="T721" t="str">
        <f>IFERROR(INDEX(装备库!$A$2:$Y$1047,MATCH(ROW()-1,装备库!$AO$2:$AO$1046,0),COLUMN()),"")</f>
        <v/>
      </c>
      <c r="U721" t="str">
        <f>IFERROR(INDEX(装备库!$A$2:$Y$1047,MATCH(ROW()-1,装备库!$AO$2:$AO$1046,0),COLUMN()),"")</f>
        <v/>
      </c>
      <c r="V721" t="str">
        <f>IFERROR(INDEX(装备库!$A$2:$Y$1047,MATCH(ROW()-1,装备库!$AO$2:$AO$1046,0),COLUMN()),"")</f>
        <v/>
      </c>
      <c r="W721" t="str">
        <f>IFERROR(INDEX(装备库!$A$2:$Y$1047,MATCH(ROW()-1,装备库!$AO$2:$AO$1046,0),COLUMN()),"")</f>
        <v/>
      </c>
      <c r="X721" t="str">
        <f>IFERROR(INDEX(装备库!$A$2:$Y$1047,MATCH(ROW()-1,装备库!$AO$2:$AO$1046,0),COLUMN()),"")</f>
        <v/>
      </c>
      <c r="Y721" t="str">
        <f>IFERROR(INDEX(装备库!$A$2:$Y$1047,MATCH(ROW()-1,装备库!$AO$2:$AO$1046,0),COLUMN()),"")</f>
        <v/>
      </c>
    </row>
    <row r="722" spans="1:25" x14ac:dyDescent="0.35">
      <c r="A722" t="str">
        <f>IFERROR(INDEX(装备库!$A$2:$Y$1047,MATCH(ROW()-1,装备库!$AO$2:$AO$1046,0),COLUMN()),"")</f>
        <v/>
      </c>
      <c r="B722" t="str">
        <f>IFERROR(INDEX(装备库!$A$2:$Y$1047,MATCH(ROW()-1,装备库!$AO$2:$AO$1046,0),COLUMN()),"")</f>
        <v/>
      </c>
      <c r="C722" t="str">
        <f>IFERROR(INDEX(装备库!$A$2:$Y$1047,MATCH(ROW()-1,装备库!$AO$2:$AO$1046,0),COLUMN()),"")</f>
        <v/>
      </c>
      <c r="D722" t="str">
        <f>IFERROR(INDEX(装备库!$A$2:$Y$1047,MATCH(ROW()-1,装备库!$AO$2:$AO$1046,0),COLUMN()),"")</f>
        <v/>
      </c>
      <c r="E722" t="str">
        <f>IFERROR(INDEX(装备库!$A$2:$Y$1047,MATCH(ROW()-1,装备库!$AO$2:$AO$1046,0),COLUMN()),"")</f>
        <v/>
      </c>
      <c r="F722" t="str">
        <f>IFERROR(INDEX(装备库!$A$2:$Y$1047,MATCH(ROW()-1,装备库!$AO$2:$AO$1046,0),COLUMN()),"")</f>
        <v/>
      </c>
      <c r="G722" t="str">
        <f>IFERROR(INDEX(装备库!$A$2:$Y$1047,MATCH(ROW()-1,装备库!$AO$2:$AO$1046,0),COLUMN()),"")</f>
        <v/>
      </c>
      <c r="H722" t="str">
        <f>IFERROR(INDEX(装备库!$A$2:$Y$1047,MATCH(ROW()-1,装备库!$AO$2:$AO$1046,0),COLUMN()),"")</f>
        <v/>
      </c>
      <c r="I722" t="str">
        <f>IFERROR(INDEX(装备库!$A$2:$Y$1047,MATCH(ROW()-1,装备库!$AO$2:$AO$1046,0),COLUMN()),"")</f>
        <v/>
      </c>
      <c r="J722" t="str">
        <f>IFERROR(INDEX(装备库!$A$2:$Y$1047,MATCH(ROW()-1,装备库!$AO$2:$AO$1046,0),COLUMN()),"")</f>
        <v/>
      </c>
      <c r="K722" t="str">
        <f>IFERROR(INDEX(装备库!$A$2:$Y$1047,MATCH(ROW()-1,装备库!$AO$2:$AO$1046,0),COLUMN()),"")</f>
        <v/>
      </c>
      <c r="L722" t="str">
        <f>IFERROR(INDEX(装备库!$A$2:$Y$1047,MATCH(ROW()-1,装备库!$AO$2:$AO$1046,0),COLUMN()),"")</f>
        <v/>
      </c>
      <c r="M722" t="str">
        <f>IFERROR(INDEX(装备库!$A$2:$Y$1047,MATCH(ROW()-1,装备库!$AO$2:$AO$1046,0),COLUMN()),"")</f>
        <v/>
      </c>
      <c r="N722" t="str">
        <f>IFERROR(INDEX(装备库!$A$2:$Y$1047,MATCH(ROW()-1,装备库!$AO$2:$AO$1046,0),COLUMN()),"")</f>
        <v/>
      </c>
      <c r="O722" t="str">
        <f>IFERROR(INDEX(装备库!$A$2:$Y$1047,MATCH(ROW()-1,装备库!$AO$2:$AO$1046,0),COLUMN()),"")</f>
        <v/>
      </c>
      <c r="P722" t="str">
        <f>IFERROR(INDEX(装备库!$A$2:$Y$1047,MATCH(ROW()-1,装备库!$AO$2:$AO$1046,0),COLUMN()),"")</f>
        <v/>
      </c>
      <c r="Q722" t="str">
        <f>IFERROR(INDEX(装备库!$A$2:$Y$1047,MATCH(ROW()-1,装备库!$AO$2:$AO$1046,0),COLUMN()),"")</f>
        <v/>
      </c>
      <c r="R722" t="str">
        <f>IFERROR(INDEX(装备库!$A$2:$Y$1047,MATCH(ROW()-1,装备库!$AO$2:$AO$1046,0),COLUMN()),"")</f>
        <v/>
      </c>
      <c r="S722" t="str">
        <f>IFERROR(INDEX(装备库!$A$2:$Y$1047,MATCH(ROW()-1,装备库!$AO$2:$AO$1046,0),COLUMN()),"")</f>
        <v/>
      </c>
      <c r="T722" t="str">
        <f>IFERROR(INDEX(装备库!$A$2:$Y$1047,MATCH(ROW()-1,装备库!$AO$2:$AO$1046,0),COLUMN()),"")</f>
        <v/>
      </c>
      <c r="U722" t="str">
        <f>IFERROR(INDEX(装备库!$A$2:$Y$1047,MATCH(ROW()-1,装备库!$AO$2:$AO$1046,0),COLUMN()),"")</f>
        <v/>
      </c>
      <c r="V722" t="str">
        <f>IFERROR(INDEX(装备库!$A$2:$Y$1047,MATCH(ROW()-1,装备库!$AO$2:$AO$1046,0),COLUMN()),"")</f>
        <v/>
      </c>
      <c r="W722" t="str">
        <f>IFERROR(INDEX(装备库!$A$2:$Y$1047,MATCH(ROW()-1,装备库!$AO$2:$AO$1046,0),COLUMN()),"")</f>
        <v/>
      </c>
      <c r="X722" t="str">
        <f>IFERROR(INDEX(装备库!$A$2:$Y$1047,MATCH(ROW()-1,装备库!$AO$2:$AO$1046,0),COLUMN()),"")</f>
        <v/>
      </c>
      <c r="Y722" t="str">
        <f>IFERROR(INDEX(装备库!$A$2:$Y$1047,MATCH(ROW()-1,装备库!$AO$2:$AO$1046,0),COLUMN()),"")</f>
        <v/>
      </c>
    </row>
    <row r="723" spans="1:25" x14ac:dyDescent="0.35">
      <c r="A723" t="str">
        <f>IFERROR(INDEX(装备库!$A$2:$Y$1047,MATCH(ROW()-1,装备库!$AO$2:$AO$1046,0),COLUMN()),"")</f>
        <v/>
      </c>
      <c r="B723" t="str">
        <f>IFERROR(INDEX(装备库!$A$2:$Y$1047,MATCH(ROW()-1,装备库!$AO$2:$AO$1046,0),COLUMN()),"")</f>
        <v/>
      </c>
      <c r="C723" t="str">
        <f>IFERROR(INDEX(装备库!$A$2:$Y$1047,MATCH(ROW()-1,装备库!$AO$2:$AO$1046,0),COLUMN()),"")</f>
        <v/>
      </c>
      <c r="D723" t="str">
        <f>IFERROR(INDEX(装备库!$A$2:$Y$1047,MATCH(ROW()-1,装备库!$AO$2:$AO$1046,0),COLUMN()),"")</f>
        <v/>
      </c>
      <c r="E723" t="str">
        <f>IFERROR(INDEX(装备库!$A$2:$Y$1047,MATCH(ROW()-1,装备库!$AO$2:$AO$1046,0),COLUMN()),"")</f>
        <v/>
      </c>
      <c r="F723" t="str">
        <f>IFERROR(INDEX(装备库!$A$2:$Y$1047,MATCH(ROW()-1,装备库!$AO$2:$AO$1046,0),COLUMN()),"")</f>
        <v/>
      </c>
      <c r="G723" t="str">
        <f>IFERROR(INDEX(装备库!$A$2:$Y$1047,MATCH(ROW()-1,装备库!$AO$2:$AO$1046,0),COLUMN()),"")</f>
        <v/>
      </c>
      <c r="H723" t="str">
        <f>IFERROR(INDEX(装备库!$A$2:$Y$1047,MATCH(ROW()-1,装备库!$AO$2:$AO$1046,0),COLUMN()),"")</f>
        <v/>
      </c>
      <c r="I723" t="str">
        <f>IFERROR(INDEX(装备库!$A$2:$Y$1047,MATCH(ROW()-1,装备库!$AO$2:$AO$1046,0),COLUMN()),"")</f>
        <v/>
      </c>
      <c r="J723" t="str">
        <f>IFERROR(INDEX(装备库!$A$2:$Y$1047,MATCH(ROW()-1,装备库!$AO$2:$AO$1046,0),COLUMN()),"")</f>
        <v/>
      </c>
      <c r="K723" t="str">
        <f>IFERROR(INDEX(装备库!$A$2:$Y$1047,MATCH(ROW()-1,装备库!$AO$2:$AO$1046,0),COLUMN()),"")</f>
        <v/>
      </c>
      <c r="L723" t="str">
        <f>IFERROR(INDEX(装备库!$A$2:$Y$1047,MATCH(ROW()-1,装备库!$AO$2:$AO$1046,0),COLUMN()),"")</f>
        <v/>
      </c>
      <c r="M723" t="str">
        <f>IFERROR(INDEX(装备库!$A$2:$Y$1047,MATCH(ROW()-1,装备库!$AO$2:$AO$1046,0),COLUMN()),"")</f>
        <v/>
      </c>
      <c r="N723" t="str">
        <f>IFERROR(INDEX(装备库!$A$2:$Y$1047,MATCH(ROW()-1,装备库!$AO$2:$AO$1046,0),COLUMN()),"")</f>
        <v/>
      </c>
      <c r="O723" t="str">
        <f>IFERROR(INDEX(装备库!$A$2:$Y$1047,MATCH(ROW()-1,装备库!$AO$2:$AO$1046,0),COLUMN()),"")</f>
        <v/>
      </c>
      <c r="P723" t="str">
        <f>IFERROR(INDEX(装备库!$A$2:$Y$1047,MATCH(ROW()-1,装备库!$AO$2:$AO$1046,0),COLUMN()),"")</f>
        <v/>
      </c>
      <c r="Q723" t="str">
        <f>IFERROR(INDEX(装备库!$A$2:$Y$1047,MATCH(ROW()-1,装备库!$AO$2:$AO$1046,0),COLUMN()),"")</f>
        <v/>
      </c>
      <c r="R723" t="str">
        <f>IFERROR(INDEX(装备库!$A$2:$Y$1047,MATCH(ROW()-1,装备库!$AO$2:$AO$1046,0),COLUMN()),"")</f>
        <v/>
      </c>
      <c r="S723" t="str">
        <f>IFERROR(INDEX(装备库!$A$2:$Y$1047,MATCH(ROW()-1,装备库!$AO$2:$AO$1046,0),COLUMN()),"")</f>
        <v/>
      </c>
      <c r="T723" t="str">
        <f>IFERROR(INDEX(装备库!$A$2:$Y$1047,MATCH(ROW()-1,装备库!$AO$2:$AO$1046,0),COLUMN()),"")</f>
        <v/>
      </c>
      <c r="U723" t="str">
        <f>IFERROR(INDEX(装备库!$A$2:$Y$1047,MATCH(ROW()-1,装备库!$AO$2:$AO$1046,0),COLUMN()),"")</f>
        <v/>
      </c>
      <c r="V723" t="str">
        <f>IFERROR(INDEX(装备库!$A$2:$Y$1047,MATCH(ROW()-1,装备库!$AO$2:$AO$1046,0),COLUMN()),"")</f>
        <v/>
      </c>
      <c r="W723" t="str">
        <f>IFERROR(INDEX(装备库!$A$2:$Y$1047,MATCH(ROW()-1,装备库!$AO$2:$AO$1046,0),COLUMN()),"")</f>
        <v/>
      </c>
      <c r="X723" t="str">
        <f>IFERROR(INDEX(装备库!$A$2:$Y$1047,MATCH(ROW()-1,装备库!$AO$2:$AO$1046,0),COLUMN()),"")</f>
        <v/>
      </c>
      <c r="Y723" t="str">
        <f>IFERROR(INDEX(装备库!$A$2:$Y$1047,MATCH(ROW()-1,装备库!$AO$2:$AO$1046,0),COLUMN()),"")</f>
        <v/>
      </c>
    </row>
    <row r="724" spans="1:25" x14ac:dyDescent="0.35">
      <c r="A724" t="str">
        <f>IFERROR(INDEX(装备库!$A$2:$Y$1047,MATCH(ROW()-1,装备库!$AO$2:$AO$1046,0),COLUMN()),"")</f>
        <v/>
      </c>
      <c r="B724" t="str">
        <f>IFERROR(INDEX(装备库!$A$2:$Y$1047,MATCH(ROW()-1,装备库!$AO$2:$AO$1046,0),COLUMN()),"")</f>
        <v/>
      </c>
      <c r="C724" t="str">
        <f>IFERROR(INDEX(装备库!$A$2:$Y$1047,MATCH(ROW()-1,装备库!$AO$2:$AO$1046,0),COLUMN()),"")</f>
        <v/>
      </c>
      <c r="D724" t="str">
        <f>IFERROR(INDEX(装备库!$A$2:$Y$1047,MATCH(ROW()-1,装备库!$AO$2:$AO$1046,0),COLUMN()),"")</f>
        <v/>
      </c>
      <c r="E724" t="str">
        <f>IFERROR(INDEX(装备库!$A$2:$Y$1047,MATCH(ROW()-1,装备库!$AO$2:$AO$1046,0),COLUMN()),"")</f>
        <v/>
      </c>
      <c r="F724" t="str">
        <f>IFERROR(INDEX(装备库!$A$2:$Y$1047,MATCH(ROW()-1,装备库!$AO$2:$AO$1046,0),COLUMN()),"")</f>
        <v/>
      </c>
      <c r="G724" t="str">
        <f>IFERROR(INDEX(装备库!$A$2:$Y$1047,MATCH(ROW()-1,装备库!$AO$2:$AO$1046,0),COLUMN()),"")</f>
        <v/>
      </c>
      <c r="H724" t="str">
        <f>IFERROR(INDEX(装备库!$A$2:$Y$1047,MATCH(ROW()-1,装备库!$AO$2:$AO$1046,0),COLUMN()),"")</f>
        <v/>
      </c>
      <c r="I724" t="str">
        <f>IFERROR(INDEX(装备库!$A$2:$Y$1047,MATCH(ROW()-1,装备库!$AO$2:$AO$1046,0),COLUMN()),"")</f>
        <v/>
      </c>
      <c r="J724" t="str">
        <f>IFERROR(INDEX(装备库!$A$2:$Y$1047,MATCH(ROW()-1,装备库!$AO$2:$AO$1046,0),COLUMN()),"")</f>
        <v/>
      </c>
      <c r="K724" t="str">
        <f>IFERROR(INDEX(装备库!$A$2:$Y$1047,MATCH(ROW()-1,装备库!$AO$2:$AO$1046,0),COLUMN()),"")</f>
        <v/>
      </c>
      <c r="L724" t="str">
        <f>IFERROR(INDEX(装备库!$A$2:$Y$1047,MATCH(ROW()-1,装备库!$AO$2:$AO$1046,0),COLUMN()),"")</f>
        <v/>
      </c>
      <c r="M724" t="str">
        <f>IFERROR(INDEX(装备库!$A$2:$Y$1047,MATCH(ROW()-1,装备库!$AO$2:$AO$1046,0),COLUMN()),"")</f>
        <v/>
      </c>
      <c r="N724" t="str">
        <f>IFERROR(INDEX(装备库!$A$2:$Y$1047,MATCH(ROW()-1,装备库!$AO$2:$AO$1046,0),COLUMN()),"")</f>
        <v/>
      </c>
      <c r="O724" t="str">
        <f>IFERROR(INDEX(装备库!$A$2:$Y$1047,MATCH(ROW()-1,装备库!$AO$2:$AO$1046,0),COLUMN()),"")</f>
        <v/>
      </c>
      <c r="P724" t="str">
        <f>IFERROR(INDEX(装备库!$A$2:$Y$1047,MATCH(ROW()-1,装备库!$AO$2:$AO$1046,0),COLUMN()),"")</f>
        <v/>
      </c>
      <c r="Q724" t="str">
        <f>IFERROR(INDEX(装备库!$A$2:$Y$1047,MATCH(ROW()-1,装备库!$AO$2:$AO$1046,0),COLUMN()),"")</f>
        <v/>
      </c>
      <c r="R724" t="str">
        <f>IFERROR(INDEX(装备库!$A$2:$Y$1047,MATCH(ROW()-1,装备库!$AO$2:$AO$1046,0),COLUMN()),"")</f>
        <v/>
      </c>
      <c r="S724" t="str">
        <f>IFERROR(INDEX(装备库!$A$2:$Y$1047,MATCH(ROW()-1,装备库!$AO$2:$AO$1046,0),COLUMN()),"")</f>
        <v/>
      </c>
      <c r="T724" t="str">
        <f>IFERROR(INDEX(装备库!$A$2:$Y$1047,MATCH(ROW()-1,装备库!$AO$2:$AO$1046,0),COLUMN()),"")</f>
        <v/>
      </c>
      <c r="U724" t="str">
        <f>IFERROR(INDEX(装备库!$A$2:$Y$1047,MATCH(ROW()-1,装备库!$AO$2:$AO$1046,0),COLUMN()),"")</f>
        <v/>
      </c>
      <c r="V724" t="str">
        <f>IFERROR(INDEX(装备库!$A$2:$Y$1047,MATCH(ROW()-1,装备库!$AO$2:$AO$1046,0),COLUMN()),"")</f>
        <v/>
      </c>
      <c r="W724" t="str">
        <f>IFERROR(INDEX(装备库!$A$2:$Y$1047,MATCH(ROW()-1,装备库!$AO$2:$AO$1046,0),COLUMN()),"")</f>
        <v/>
      </c>
      <c r="X724" t="str">
        <f>IFERROR(INDEX(装备库!$A$2:$Y$1047,MATCH(ROW()-1,装备库!$AO$2:$AO$1046,0),COLUMN()),"")</f>
        <v/>
      </c>
      <c r="Y724" t="str">
        <f>IFERROR(INDEX(装备库!$A$2:$Y$1047,MATCH(ROW()-1,装备库!$AO$2:$AO$1046,0),COLUMN()),"")</f>
        <v/>
      </c>
    </row>
    <row r="725" spans="1:25" x14ac:dyDescent="0.35">
      <c r="A725" t="str">
        <f>IFERROR(INDEX(装备库!$A$2:$Y$1047,MATCH(ROW()-1,装备库!$AO$2:$AO$1046,0),COLUMN()),"")</f>
        <v/>
      </c>
      <c r="B725" t="str">
        <f>IFERROR(INDEX(装备库!$A$2:$Y$1047,MATCH(ROW()-1,装备库!$AO$2:$AO$1046,0),COLUMN()),"")</f>
        <v/>
      </c>
      <c r="C725" t="str">
        <f>IFERROR(INDEX(装备库!$A$2:$Y$1047,MATCH(ROW()-1,装备库!$AO$2:$AO$1046,0),COLUMN()),"")</f>
        <v/>
      </c>
      <c r="D725" t="str">
        <f>IFERROR(INDEX(装备库!$A$2:$Y$1047,MATCH(ROW()-1,装备库!$AO$2:$AO$1046,0),COLUMN()),"")</f>
        <v/>
      </c>
      <c r="E725" t="str">
        <f>IFERROR(INDEX(装备库!$A$2:$Y$1047,MATCH(ROW()-1,装备库!$AO$2:$AO$1046,0),COLUMN()),"")</f>
        <v/>
      </c>
      <c r="F725" t="str">
        <f>IFERROR(INDEX(装备库!$A$2:$Y$1047,MATCH(ROW()-1,装备库!$AO$2:$AO$1046,0),COLUMN()),"")</f>
        <v/>
      </c>
      <c r="G725" t="str">
        <f>IFERROR(INDEX(装备库!$A$2:$Y$1047,MATCH(ROW()-1,装备库!$AO$2:$AO$1046,0),COLUMN()),"")</f>
        <v/>
      </c>
      <c r="H725" t="str">
        <f>IFERROR(INDEX(装备库!$A$2:$Y$1047,MATCH(ROW()-1,装备库!$AO$2:$AO$1046,0),COLUMN()),"")</f>
        <v/>
      </c>
      <c r="I725" t="str">
        <f>IFERROR(INDEX(装备库!$A$2:$Y$1047,MATCH(ROW()-1,装备库!$AO$2:$AO$1046,0),COLUMN()),"")</f>
        <v/>
      </c>
      <c r="J725" t="str">
        <f>IFERROR(INDEX(装备库!$A$2:$Y$1047,MATCH(ROW()-1,装备库!$AO$2:$AO$1046,0),COLUMN()),"")</f>
        <v/>
      </c>
      <c r="K725" t="str">
        <f>IFERROR(INDEX(装备库!$A$2:$Y$1047,MATCH(ROW()-1,装备库!$AO$2:$AO$1046,0),COLUMN()),"")</f>
        <v/>
      </c>
      <c r="L725" t="str">
        <f>IFERROR(INDEX(装备库!$A$2:$Y$1047,MATCH(ROW()-1,装备库!$AO$2:$AO$1046,0),COLUMN()),"")</f>
        <v/>
      </c>
      <c r="M725" t="str">
        <f>IFERROR(INDEX(装备库!$A$2:$Y$1047,MATCH(ROW()-1,装备库!$AO$2:$AO$1046,0),COLUMN()),"")</f>
        <v/>
      </c>
      <c r="N725" t="str">
        <f>IFERROR(INDEX(装备库!$A$2:$Y$1047,MATCH(ROW()-1,装备库!$AO$2:$AO$1046,0),COLUMN()),"")</f>
        <v/>
      </c>
      <c r="O725" t="str">
        <f>IFERROR(INDEX(装备库!$A$2:$Y$1047,MATCH(ROW()-1,装备库!$AO$2:$AO$1046,0),COLUMN()),"")</f>
        <v/>
      </c>
      <c r="P725" t="str">
        <f>IFERROR(INDEX(装备库!$A$2:$Y$1047,MATCH(ROW()-1,装备库!$AO$2:$AO$1046,0),COLUMN()),"")</f>
        <v/>
      </c>
      <c r="Q725" t="str">
        <f>IFERROR(INDEX(装备库!$A$2:$Y$1047,MATCH(ROW()-1,装备库!$AO$2:$AO$1046,0),COLUMN()),"")</f>
        <v/>
      </c>
      <c r="R725" t="str">
        <f>IFERROR(INDEX(装备库!$A$2:$Y$1047,MATCH(ROW()-1,装备库!$AO$2:$AO$1046,0),COLUMN()),"")</f>
        <v/>
      </c>
      <c r="S725" t="str">
        <f>IFERROR(INDEX(装备库!$A$2:$Y$1047,MATCH(ROW()-1,装备库!$AO$2:$AO$1046,0),COLUMN()),"")</f>
        <v/>
      </c>
      <c r="T725" t="str">
        <f>IFERROR(INDEX(装备库!$A$2:$Y$1047,MATCH(ROW()-1,装备库!$AO$2:$AO$1046,0),COLUMN()),"")</f>
        <v/>
      </c>
      <c r="U725" t="str">
        <f>IFERROR(INDEX(装备库!$A$2:$Y$1047,MATCH(ROW()-1,装备库!$AO$2:$AO$1046,0),COLUMN()),"")</f>
        <v/>
      </c>
      <c r="V725" t="str">
        <f>IFERROR(INDEX(装备库!$A$2:$Y$1047,MATCH(ROW()-1,装备库!$AO$2:$AO$1046,0),COLUMN()),"")</f>
        <v/>
      </c>
      <c r="W725" t="str">
        <f>IFERROR(INDEX(装备库!$A$2:$Y$1047,MATCH(ROW()-1,装备库!$AO$2:$AO$1046,0),COLUMN()),"")</f>
        <v/>
      </c>
      <c r="X725" t="str">
        <f>IFERROR(INDEX(装备库!$A$2:$Y$1047,MATCH(ROW()-1,装备库!$AO$2:$AO$1046,0),COLUMN()),"")</f>
        <v/>
      </c>
      <c r="Y725" t="str">
        <f>IFERROR(INDEX(装备库!$A$2:$Y$1047,MATCH(ROW()-1,装备库!$AO$2:$AO$1046,0),COLUMN()),"")</f>
        <v/>
      </c>
    </row>
    <row r="726" spans="1:25" x14ac:dyDescent="0.35">
      <c r="A726" t="str">
        <f>IFERROR(INDEX(装备库!$A$2:$Y$1047,MATCH(ROW()-1,装备库!$AO$2:$AO$1046,0),COLUMN()),"")</f>
        <v/>
      </c>
      <c r="B726" t="str">
        <f>IFERROR(INDEX(装备库!$A$2:$Y$1047,MATCH(ROW()-1,装备库!$AO$2:$AO$1046,0),COLUMN()),"")</f>
        <v/>
      </c>
      <c r="C726" t="str">
        <f>IFERROR(INDEX(装备库!$A$2:$Y$1047,MATCH(ROW()-1,装备库!$AO$2:$AO$1046,0),COLUMN()),"")</f>
        <v/>
      </c>
      <c r="D726" t="str">
        <f>IFERROR(INDEX(装备库!$A$2:$Y$1047,MATCH(ROW()-1,装备库!$AO$2:$AO$1046,0),COLUMN()),"")</f>
        <v/>
      </c>
      <c r="E726" t="str">
        <f>IFERROR(INDEX(装备库!$A$2:$Y$1047,MATCH(ROW()-1,装备库!$AO$2:$AO$1046,0),COLUMN()),"")</f>
        <v/>
      </c>
      <c r="F726" t="str">
        <f>IFERROR(INDEX(装备库!$A$2:$Y$1047,MATCH(ROW()-1,装备库!$AO$2:$AO$1046,0),COLUMN()),"")</f>
        <v/>
      </c>
      <c r="G726" t="str">
        <f>IFERROR(INDEX(装备库!$A$2:$Y$1047,MATCH(ROW()-1,装备库!$AO$2:$AO$1046,0),COLUMN()),"")</f>
        <v/>
      </c>
      <c r="H726" t="str">
        <f>IFERROR(INDEX(装备库!$A$2:$Y$1047,MATCH(ROW()-1,装备库!$AO$2:$AO$1046,0),COLUMN()),"")</f>
        <v/>
      </c>
      <c r="I726" t="str">
        <f>IFERROR(INDEX(装备库!$A$2:$Y$1047,MATCH(ROW()-1,装备库!$AO$2:$AO$1046,0),COLUMN()),"")</f>
        <v/>
      </c>
      <c r="J726" t="str">
        <f>IFERROR(INDEX(装备库!$A$2:$Y$1047,MATCH(ROW()-1,装备库!$AO$2:$AO$1046,0),COLUMN()),"")</f>
        <v/>
      </c>
      <c r="K726" t="str">
        <f>IFERROR(INDEX(装备库!$A$2:$Y$1047,MATCH(ROW()-1,装备库!$AO$2:$AO$1046,0),COLUMN()),"")</f>
        <v/>
      </c>
      <c r="L726" t="str">
        <f>IFERROR(INDEX(装备库!$A$2:$Y$1047,MATCH(ROW()-1,装备库!$AO$2:$AO$1046,0),COLUMN()),"")</f>
        <v/>
      </c>
      <c r="M726" t="str">
        <f>IFERROR(INDEX(装备库!$A$2:$Y$1047,MATCH(ROW()-1,装备库!$AO$2:$AO$1046,0),COLUMN()),"")</f>
        <v/>
      </c>
      <c r="N726" t="str">
        <f>IFERROR(INDEX(装备库!$A$2:$Y$1047,MATCH(ROW()-1,装备库!$AO$2:$AO$1046,0),COLUMN()),"")</f>
        <v/>
      </c>
      <c r="O726" t="str">
        <f>IFERROR(INDEX(装备库!$A$2:$Y$1047,MATCH(ROW()-1,装备库!$AO$2:$AO$1046,0),COLUMN()),"")</f>
        <v/>
      </c>
      <c r="P726" t="str">
        <f>IFERROR(INDEX(装备库!$A$2:$Y$1047,MATCH(ROW()-1,装备库!$AO$2:$AO$1046,0),COLUMN()),"")</f>
        <v/>
      </c>
      <c r="Q726" t="str">
        <f>IFERROR(INDEX(装备库!$A$2:$Y$1047,MATCH(ROW()-1,装备库!$AO$2:$AO$1046,0),COLUMN()),"")</f>
        <v/>
      </c>
      <c r="R726" t="str">
        <f>IFERROR(INDEX(装备库!$A$2:$Y$1047,MATCH(ROW()-1,装备库!$AO$2:$AO$1046,0),COLUMN()),"")</f>
        <v/>
      </c>
      <c r="S726" t="str">
        <f>IFERROR(INDEX(装备库!$A$2:$Y$1047,MATCH(ROW()-1,装备库!$AO$2:$AO$1046,0),COLUMN()),"")</f>
        <v/>
      </c>
      <c r="T726" t="str">
        <f>IFERROR(INDEX(装备库!$A$2:$Y$1047,MATCH(ROW()-1,装备库!$AO$2:$AO$1046,0),COLUMN()),"")</f>
        <v/>
      </c>
      <c r="U726" t="str">
        <f>IFERROR(INDEX(装备库!$A$2:$Y$1047,MATCH(ROW()-1,装备库!$AO$2:$AO$1046,0),COLUMN()),"")</f>
        <v/>
      </c>
      <c r="V726" t="str">
        <f>IFERROR(INDEX(装备库!$A$2:$Y$1047,MATCH(ROW()-1,装备库!$AO$2:$AO$1046,0),COLUMN()),"")</f>
        <v/>
      </c>
      <c r="W726" t="str">
        <f>IFERROR(INDEX(装备库!$A$2:$Y$1047,MATCH(ROW()-1,装备库!$AO$2:$AO$1046,0),COLUMN()),"")</f>
        <v/>
      </c>
      <c r="X726" t="str">
        <f>IFERROR(INDEX(装备库!$A$2:$Y$1047,MATCH(ROW()-1,装备库!$AO$2:$AO$1046,0),COLUMN()),"")</f>
        <v/>
      </c>
      <c r="Y726" t="str">
        <f>IFERROR(INDEX(装备库!$A$2:$Y$1047,MATCH(ROW()-1,装备库!$AO$2:$AO$1046,0),COLUMN()),"")</f>
        <v/>
      </c>
    </row>
    <row r="727" spans="1:25" x14ac:dyDescent="0.35">
      <c r="A727" t="str">
        <f>IFERROR(INDEX(装备库!$A$2:$Y$1047,MATCH(ROW()-1,装备库!$AO$2:$AO$1046,0),COLUMN()),"")</f>
        <v/>
      </c>
      <c r="B727" t="str">
        <f>IFERROR(INDEX(装备库!$A$2:$Y$1047,MATCH(ROW()-1,装备库!$AO$2:$AO$1046,0),COLUMN()),"")</f>
        <v/>
      </c>
      <c r="C727" t="str">
        <f>IFERROR(INDEX(装备库!$A$2:$Y$1047,MATCH(ROW()-1,装备库!$AO$2:$AO$1046,0),COLUMN()),"")</f>
        <v/>
      </c>
      <c r="D727" t="str">
        <f>IFERROR(INDEX(装备库!$A$2:$Y$1047,MATCH(ROW()-1,装备库!$AO$2:$AO$1046,0),COLUMN()),"")</f>
        <v/>
      </c>
      <c r="E727" t="str">
        <f>IFERROR(INDEX(装备库!$A$2:$Y$1047,MATCH(ROW()-1,装备库!$AO$2:$AO$1046,0),COLUMN()),"")</f>
        <v/>
      </c>
      <c r="F727" t="str">
        <f>IFERROR(INDEX(装备库!$A$2:$Y$1047,MATCH(ROW()-1,装备库!$AO$2:$AO$1046,0),COLUMN()),"")</f>
        <v/>
      </c>
      <c r="G727" t="str">
        <f>IFERROR(INDEX(装备库!$A$2:$Y$1047,MATCH(ROW()-1,装备库!$AO$2:$AO$1046,0),COLUMN()),"")</f>
        <v/>
      </c>
      <c r="H727" t="str">
        <f>IFERROR(INDEX(装备库!$A$2:$Y$1047,MATCH(ROW()-1,装备库!$AO$2:$AO$1046,0),COLUMN()),"")</f>
        <v/>
      </c>
      <c r="I727" t="str">
        <f>IFERROR(INDEX(装备库!$A$2:$Y$1047,MATCH(ROW()-1,装备库!$AO$2:$AO$1046,0),COLUMN()),"")</f>
        <v/>
      </c>
      <c r="J727" t="str">
        <f>IFERROR(INDEX(装备库!$A$2:$Y$1047,MATCH(ROW()-1,装备库!$AO$2:$AO$1046,0),COLUMN()),"")</f>
        <v/>
      </c>
      <c r="K727" t="str">
        <f>IFERROR(INDEX(装备库!$A$2:$Y$1047,MATCH(ROW()-1,装备库!$AO$2:$AO$1046,0),COLUMN()),"")</f>
        <v/>
      </c>
      <c r="L727" t="str">
        <f>IFERROR(INDEX(装备库!$A$2:$Y$1047,MATCH(ROW()-1,装备库!$AO$2:$AO$1046,0),COLUMN()),"")</f>
        <v/>
      </c>
      <c r="M727" t="str">
        <f>IFERROR(INDEX(装备库!$A$2:$Y$1047,MATCH(ROW()-1,装备库!$AO$2:$AO$1046,0),COLUMN()),"")</f>
        <v/>
      </c>
      <c r="N727" t="str">
        <f>IFERROR(INDEX(装备库!$A$2:$Y$1047,MATCH(ROW()-1,装备库!$AO$2:$AO$1046,0),COLUMN()),"")</f>
        <v/>
      </c>
      <c r="O727" t="str">
        <f>IFERROR(INDEX(装备库!$A$2:$Y$1047,MATCH(ROW()-1,装备库!$AO$2:$AO$1046,0),COLUMN()),"")</f>
        <v/>
      </c>
      <c r="P727" t="str">
        <f>IFERROR(INDEX(装备库!$A$2:$Y$1047,MATCH(ROW()-1,装备库!$AO$2:$AO$1046,0),COLUMN()),"")</f>
        <v/>
      </c>
      <c r="Q727" t="str">
        <f>IFERROR(INDEX(装备库!$A$2:$Y$1047,MATCH(ROW()-1,装备库!$AO$2:$AO$1046,0),COLUMN()),"")</f>
        <v/>
      </c>
      <c r="R727" t="str">
        <f>IFERROR(INDEX(装备库!$A$2:$Y$1047,MATCH(ROW()-1,装备库!$AO$2:$AO$1046,0),COLUMN()),"")</f>
        <v/>
      </c>
      <c r="S727" t="str">
        <f>IFERROR(INDEX(装备库!$A$2:$Y$1047,MATCH(ROW()-1,装备库!$AO$2:$AO$1046,0),COLUMN()),"")</f>
        <v/>
      </c>
      <c r="T727" t="str">
        <f>IFERROR(INDEX(装备库!$A$2:$Y$1047,MATCH(ROW()-1,装备库!$AO$2:$AO$1046,0),COLUMN()),"")</f>
        <v/>
      </c>
      <c r="U727" t="str">
        <f>IFERROR(INDEX(装备库!$A$2:$Y$1047,MATCH(ROW()-1,装备库!$AO$2:$AO$1046,0),COLUMN()),"")</f>
        <v/>
      </c>
      <c r="V727" t="str">
        <f>IFERROR(INDEX(装备库!$A$2:$Y$1047,MATCH(ROW()-1,装备库!$AO$2:$AO$1046,0),COLUMN()),"")</f>
        <v/>
      </c>
      <c r="W727" t="str">
        <f>IFERROR(INDEX(装备库!$A$2:$Y$1047,MATCH(ROW()-1,装备库!$AO$2:$AO$1046,0),COLUMN()),"")</f>
        <v/>
      </c>
      <c r="X727" t="str">
        <f>IFERROR(INDEX(装备库!$A$2:$Y$1047,MATCH(ROW()-1,装备库!$AO$2:$AO$1046,0),COLUMN()),"")</f>
        <v/>
      </c>
      <c r="Y727" t="str">
        <f>IFERROR(INDEX(装备库!$A$2:$Y$1047,MATCH(ROW()-1,装备库!$AO$2:$AO$1046,0),COLUMN()),"")</f>
        <v/>
      </c>
    </row>
    <row r="728" spans="1:25" x14ac:dyDescent="0.35">
      <c r="A728" t="str">
        <f>IFERROR(INDEX(装备库!$A$2:$Y$1047,MATCH(ROW()-1,装备库!$AO$2:$AO$1046,0),COLUMN()),"")</f>
        <v/>
      </c>
      <c r="B728" t="str">
        <f>IFERROR(INDEX(装备库!$A$2:$Y$1047,MATCH(ROW()-1,装备库!$AO$2:$AO$1046,0),COLUMN()),"")</f>
        <v/>
      </c>
      <c r="C728" t="str">
        <f>IFERROR(INDEX(装备库!$A$2:$Y$1047,MATCH(ROW()-1,装备库!$AO$2:$AO$1046,0),COLUMN()),"")</f>
        <v/>
      </c>
      <c r="D728" t="str">
        <f>IFERROR(INDEX(装备库!$A$2:$Y$1047,MATCH(ROW()-1,装备库!$AO$2:$AO$1046,0),COLUMN()),"")</f>
        <v/>
      </c>
      <c r="E728" t="str">
        <f>IFERROR(INDEX(装备库!$A$2:$Y$1047,MATCH(ROW()-1,装备库!$AO$2:$AO$1046,0),COLUMN()),"")</f>
        <v/>
      </c>
      <c r="F728" t="str">
        <f>IFERROR(INDEX(装备库!$A$2:$Y$1047,MATCH(ROW()-1,装备库!$AO$2:$AO$1046,0),COLUMN()),"")</f>
        <v/>
      </c>
      <c r="G728" t="str">
        <f>IFERROR(INDEX(装备库!$A$2:$Y$1047,MATCH(ROW()-1,装备库!$AO$2:$AO$1046,0),COLUMN()),"")</f>
        <v/>
      </c>
      <c r="H728" t="str">
        <f>IFERROR(INDEX(装备库!$A$2:$Y$1047,MATCH(ROW()-1,装备库!$AO$2:$AO$1046,0),COLUMN()),"")</f>
        <v/>
      </c>
      <c r="I728" t="str">
        <f>IFERROR(INDEX(装备库!$A$2:$Y$1047,MATCH(ROW()-1,装备库!$AO$2:$AO$1046,0),COLUMN()),"")</f>
        <v/>
      </c>
      <c r="J728" t="str">
        <f>IFERROR(INDEX(装备库!$A$2:$Y$1047,MATCH(ROW()-1,装备库!$AO$2:$AO$1046,0),COLUMN()),"")</f>
        <v/>
      </c>
      <c r="K728" t="str">
        <f>IFERROR(INDEX(装备库!$A$2:$Y$1047,MATCH(ROW()-1,装备库!$AO$2:$AO$1046,0),COLUMN()),"")</f>
        <v/>
      </c>
      <c r="L728" t="str">
        <f>IFERROR(INDEX(装备库!$A$2:$Y$1047,MATCH(ROW()-1,装备库!$AO$2:$AO$1046,0),COLUMN()),"")</f>
        <v/>
      </c>
      <c r="M728" t="str">
        <f>IFERROR(INDEX(装备库!$A$2:$Y$1047,MATCH(ROW()-1,装备库!$AO$2:$AO$1046,0),COLUMN()),"")</f>
        <v/>
      </c>
      <c r="N728" t="str">
        <f>IFERROR(INDEX(装备库!$A$2:$Y$1047,MATCH(ROW()-1,装备库!$AO$2:$AO$1046,0),COLUMN()),"")</f>
        <v/>
      </c>
      <c r="O728" t="str">
        <f>IFERROR(INDEX(装备库!$A$2:$Y$1047,MATCH(ROW()-1,装备库!$AO$2:$AO$1046,0),COLUMN()),"")</f>
        <v/>
      </c>
      <c r="P728" t="str">
        <f>IFERROR(INDEX(装备库!$A$2:$Y$1047,MATCH(ROW()-1,装备库!$AO$2:$AO$1046,0),COLUMN()),"")</f>
        <v/>
      </c>
      <c r="Q728" t="str">
        <f>IFERROR(INDEX(装备库!$A$2:$Y$1047,MATCH(ROW()-1,装备库!$AO$2:$AO$1046,0),COLUMN()),"")</f>
        <v/>
      </c>
      <c r="R728" t="str">
        <f>IFERROR(INDEX(装备库!$A$2:$Y$1047,MATCH(ROW()-1,装备库!$AO$2:$AO$1046,0),COLUMN()),"")</f>
        <v/>
      </c>
      <c r="S728" t="str">
        <f>IFERROR(INDEX(装备库!$A$2:$Y$1047,MATCH(ROW()-1,装备库!$AO$2:$AO$1046,0),COLUMN()),"")</f>
        <v/>
      </c>
      <c r="T728" t="str">
        <f>IFERROR(INDEX(装备库!$A$2:$Y$1047,MATCH(ROW()-1,装备库!$AO$2:$AO$1046,0),COLUMN()),"")</f>
        <v/>
      </c>
      <c r="U728" t="str">
        <f>IFERROR(INDEX(装备库!$A$2:$Y$1047,MATCH(ROW()-1,装备库!$AO$2:$AO$1046,0),COLUMN()),"")</f>
        <v/>
      </c>
      <c r="V728" t="str">
        <f>IFERROR(INDEX(装备库!$A$2:$Y$1047,MATCH(ROW()-1,装备库!$AO$2:$AO$1046,0),COLUMN()),"")</f>
        <v/>
      </c>
      <c r="W728" t="str">
        <f>IFERROR(INDEX(装备库!$A$2:$Y$1047,MATCH(ROW()-1,装备库!$AO$2:$AO$1046,0),COLUMN()),"")</f>
        <v/>
      </c>
      <c r="X728" t="str">
        <f>IFERROR(INDEX(装备库!$A$2:$Y$1047,MATCH(ROW()-1,装备库!$AO$2:$AO$1046,0),COLUMN()),"")</f>
        <v/>
      </c>
      <c r="Y728" t="str">
        <f>IFERROR(INDEX(装备库!$A$2:$Y$1047,MATCH(ROW()-1,装备库!$AO$2:$AO$1046,0),COLUMN()),"")</f>
        <v/>
      </c>
    </row>
    <row r="729" spans="1:25" x14ac:dyDescent="0.35">
      <c r="A729" t="str">
        <f>IFERROR(INDEX(装备库!$A$2:$Y$1047,MATCH(ROW()-1,装备库!$AO$2:$AO$1046,0),COLUMN()),"")</f>
        <v/>
      </c>
      <c r="B729" t="str">
        <f>IFERROR(INDEX(装备库!$A$2:$Y$1047,MATCH(ROW()-1,装备库!$AO$2:$AO$1046,0),COLUMN()),"")</f>
        <v/>
      </c>
      <c r="C729" t="str">
        <f>IFERROR(INDEX(装备库!$A$2:$Y$1047,MATCH(ROW()-1,装备库!$AO$2:$AO$1046,0),COLUMN()),"")</f>
        <v/>
      </c>
      <c r="D729" t="str">
        <f>IFERROR(INDEX(装备库!$A$2:$Y$1047,MATCH(ROW()-1,装备库!$AO$2:$AO$1046,0),COLUMN()),"")</f>
        <v/>
      </c>
      <c r="E729" t="str">
        <f>IFERROR(INDEX(装备库!$A$2:$Y$1047,MATCH(ROW()-1,装备库!$AO$2:$AO$1046,0),COLUMN()),"")</f>
        <v/>
      </c>
      <c r="F729" t="str">
        <f>IFERROR(INDEX(装备库!$A$2:$Y$1047,MATCH(ROW()-1,装备库!$AO$2:$AO$1046,0),COLUMN()),"")</f>
        <v/>
      </c>
      <c r="G729" t="str">
        <f>IFERROR(INDEX(装备库!$A$2:$Y$1047,MATCH(ROW()-1,装备库!$AO$2:$AO$1046,0),COLUMN()),"")</f>
        <v/>
      </c>
      <c r="H729" t="str">
        <f>IFERROR(INDEX(装备库!$A$2:$Y$1047,MATCH(ROW()-1,装备库!$AO$2:$AO$1046,0),COLUMN()),"")</f>
        <v/>
      </c>
      <c r="I729" t="str">
        <f>IFERROR(INDEX(装备库!$A$2:$Y$1047,MATCH(ROW()-1,装备库!$AO$2:$AO$1046,0),COLUMN()),"")</f>
        <v/>
      </c>
      <c r="J729" t="str">
        <f>IFERROR(INDEX(装备库!$A$2:$Y$1047,MATCH(ROW()-1,装备库!$AO$2:$AO$1046,0),COLUMN()),"")</f>
        <v/>
      </c>
      <c r="K729" t="str">
        <f>IFERROR(INDEX(装备库!$A$2:$Y$1047,MATCH(ROW()-1,装备库!$AO$2:$AO$1046,0),COLUMN()),"")</f>
        <v/>
      </c>
      <c r="L729" t="str">
        <f>IFERROR(INDEX(装备库!$A$2:$Y$1047,MATCH(ROW()-1,装备库!$AO$2:$AO$1046,0),COLUMN()),"")</f>
        <v/>
      </c>
      <c r="M729" t="str">
        <f>IFERROR(INDEX(装备库!$A$2:$Y$1047,MATCH(ROW()-1,装备库!$AO$2:$AO$1046,0),COLUMN()),"")</f>
        <v/>
      </c>
      <c r="N729" t="str">
        <f>IFERROR(INDEX(装备库!$A$2:$Y$1047,MATCH(ROW()-1,装备库!$AO$2:$AO$1046,0),COLUMN()),"")</f>
        <v/>
      </c>
      <c r="O729" t="str">
        <f>IFERROR(INDEX(装备库!$A$2:$Y$1047,MATCH(ROW()-1,装备库!$AO$2:$AO$1046,0),COLUMN()),"")</f>
        <v/>
      </c>
      <c r="P729" t="str">
        <f>IFERROR(INDEX(装备库!$A$2:$Y$1047,MATCH(ROW()-1,装备库!$AO$2:$AO$1046,0),COLUMN()),"")</f>
        <v/>
      </c>
      <c r="Q729" t="str">
        <f>IFERROR(INDEX(装备库!$A$2:$Y$1047,MATCH(ROW()-1,装备库!$AO$2:$AO$1046,0),COLUMN()),"")</f>
        <v/>
      </c>
      <c r="R729" t="str">
        <f>IFERROR(INDEX(装备库!$A$2:$Y$1047,MATCH(ROW()-1,装备库!$AO$2:$AO$1046,0),COLUMN()),"")</f>
        <v/>
      </c>
      <c r="S729" t="str">
        <f>IFERROR(INDEX(装备库!$A$2:$Y$1047,MATCH(ROW()-1,装备库!$AO$2:$AO$1046,0),COLUMN()),"")</f>
        <v/>
      </c>
      <c r="T729" t="str">
        <f>IFERROR(INDEX(装备库!$A$2:$Y$1047,MATCH(ROW()-1,装备库!$AO$2:$AO$1046,0),COLUMN()),"")</f>
        <v/>
      </c>
      <c r="U729" t="str">
        <f>IFERROR(INDEX(装备库!$A$2:$Y$1047,MATCH(ROW()-1,装备库!$AO$2:$AO$1046,0),COLUMN()),"")</f>
        <v/>
      </c>
      <c r="V729" t="str">
        <f>IFERROR(INDEX(装备库!$A$2:$Y$1047,MATCH(ROW()-1,装备库!$AO$2:$AO$1046,0),COLUMN()),"")</f>
        <v/>
      </c>
      <c r="W729" t="str">
        <f>IFERROR(INDEX(装备库!$A$2:$Y$1047,MATCH(ROW()-1,装备库!$AO$2:$AO$1046,0),COLUMN()),"")</f>
        <v/>
      </c>
      <c r="X729" t="str">
        <f>IFERROR(INDEX(装备库!$A$2:$Y$1047,MATCH(ROW()-1,装备库!$AO$2:$AO$1046,0),COLUMN()),"")</f>
        <v/>
      </c>
      <c r="Y729" t="str">
        <f>IFERROR(INDEX(装备库!$A$2:$Y$1047,MATCH(ROW()-1,装备库!$AO$2:$AO$1046,0),COLUMN()),"")</f>
        <v/>
      </c>
    </row>
    <row r="730" spans="1:25" x14ac:dyDescent="0.35">
      <c r="A730" t="str">
        <f>IFERROR(INDEX(装备库!$A$2:$Y$1047,MATCH(ROW()-1,装备库!$AO$2:$AO$1046,0),COLUMN()),"")</f>
        <v/>
      </c>
      <c r="B730" t="str">
        <f>IFERROR(INDEX(装备库!$A$2:$Y$1047,MATCH(ROW()-1,装备库!$AO$2:$AO$1046,0),COLUMN()),"")</f>
        <v/>
      </c>
      <c r="C730" t="str">
        <f>IFERROR(INDEX(装备库!$A$2:$Y$1047,MATCH(ROW()-1,装备库!$AO$2:$AO$1046,0),COLUMN()),"")</f>
        <v/>
      </c>
      <c r="D730" t="str">
        <f>IFERROR(INDEX(装备库!$A$2:$Y$1047,MATCH(ROW()-1,装备库!$AO$2:$AO$1046,0),COLUMN()),"")</f>
        <v/>
      </c>
      <c r="E730" t="str">
        <f>IFERROR(INDEX(装备库!$A$2:$Y$1047,MATCH(ROW()-1,装备库!$AO$2:$AO$1046,0),COLUMN()),"")</f>
        <v/>
      </c>
      <c r="F730" t="str">
        <f>IFERROR(INDEX(装备库!$A$2:$Y$1047,MATCH(ROW()-1,装备库!$AO$2:$AO$1046,0),COLUMN()),"")</f>
        <v/>
      </c>
      <c r="G730" t="str">
        <f>IFERROR(INDEX(装备库!$A$2:$Y$1047,MATCH(ROW()-1,装备库!$AO$2:$AO$1046,0),COLUMN()),"")</f>
        <v/>
      </c>
      <c r="H730" t="str">
        <f>IFERROR(INDEX(装备库!$A$2:$Y$1047,MATCH(ROW()-1,装备库!$AO$2:$AO$1046,0),COLUMN()),"")</f>
        <v/>
      </c>
      <c r="I730" t="str">
        <f>IFERROR(INDEX(装备库!$A$2:$Y$1047,MATCH(ROW()-1,装备库!$AO$2:$AO$1046,0),COLUMN()),"")</f>
        <v/>
      </c>
      <c r="J730" t="str">
        <f>IFERROR(INDEX(装备库!$A$2:$Y$1047,MATCH(ROW()-1,装备库!$AO$2:$AO$1046,0),COLUMN()),"")</f>
        <v/>
      </c>
      <c r="K730" t="str">
        <f>IFERROR(INDEX(装备库!$A$2:$Y$1047,MATCH(ROW()-1,装备库!$AO$2:$AO$1046,0),COLUMN()),"")</f>
        <v/>
      </c>
      <c r="L730" t="str">
        <f>IFERROR(INDEX(装备库!$A$2:$Y$1047,MATCH(ROW()-1,装备库!$AO$2:$AO$1046,0),COLUMN()),"")</f>
        <v/>
      </c>
      <c r="M730" t="str">
        <f>IFERROR(INDEX(装备库!$A$2:$Y$1047,MATCH(ROW()-1,装备库!$AO$2:$AO$1046,0),COLUMN()),"")</f>
        <v/>
      </c>
      <c r="N730" t="str">
        <f>IFERROR(INDEX(装备库!$A$2:$Y$1047,MATCH(ROW()-1,装备库!$AO$2:$AO$1046,0),COLUMN()),"")</f>
        <v/>
      </c>
      <c r="O730" t="str">
        <f>IFERROR(INDEX(装备库!$A$2:$Y$1047,MATCH(ROW()-1,装备库!$AO$2:$AO$1046,0),COLUMN()),"")</f>
        <v/>
      </c>
      <c r="P730" t="str">
        <f>IFERROR(INDEX(装备库!$A$2:$Y$1047,MATCH(ROW()-1,装备库!$AO$2:$AO$1046,0),COLUMN()),"")</f>
        <v/>
      </c>
      <c r="Q730" t="str">
        <f>IFERROR(INDEX(装备库!$A$2:$Y$1047,MATCH(ROW()-1,装备库!$AO$2:$AO$1046,0),COLUMN()),"")</f>
        <v/>
      </c>
      <c r="R730" t="str">
        <f>IFERROR(INDEX(装备库!$A$2:$Y$1047,MATCH(ROW()-1,装备库!$AO$2:$AO$1046,0),COLUMN()),"")</f>
        <v/>
      </c>
      <c r="S730" t="str">
        <f>IFERROR(INDEX(装备库!$A$2:$Y$1047,MATCH(ROW()-1,装备库!$AO$2:$AO$1046,0),COLUMN()),"")</f>
        <v/>
      </c>
      <c r="T730" t="str">
        <f>IFERROR(INDEX(装备库!$A$2:$Y$1047,MATCH(ROW()-1,装备库!$AO$2:$AO$1046,0),COLUMN()),"")</f>
        <v/>
      </c>
      <c r="U730" t="str">
        <f>IFERROR(INDEX(装备库!$A$2:$Y$1047,MATCH(ROW()-1,装备库!$AO$2:$AO$1046,0),COLUMN()),"")</f>
        <v/>
      </c>
      <c r="V730" t="str">
        <f>IFERROR(INDEX(装备库!$A$2:$Y$1047,MATCH(ROW()-1,装备库!$AO$2:$AO$1046,0),COLUMN()),"")</f>
        <v/>
      </c>
      <c r="W730" t="str">
        <f>IFERROR(INDEX(装备库!$A$2:$Y$1047,MATCH(ROW()-1,装备库!$AO$2:$AO$1046,0),COLUMN()),"")</f>
        <v/>
      </c>
      <c r="X730" t="str">
        <f>IFERROR(INDEX(装备库!$A$2:$Y$1047,MATCH(ROW()-1,装备库!$AO$2:$AO$1046,0),COLUMN()),"")</f>
        <v/>
      </c>
      <c r="Y730" t="str">
        <f>IFERROR(INDEX(装备库!$A$2:$Y$1047,MATCH(ROW()-1,装备库!$AO$2:$AO$1046,0),COLUMN()),"")</f>
        <v/>
      </c>
    </row>
    <row r="731" spans="1:25" x14ac:dyDescent="0.35">
      <c r="A731" t="str">
        <f>IFERROR(INDEX(装备库!$A$2:$Y$1047,MATCH(ROW()-1,装备库!$AO$2:$AO$1046,0),COLUMN()),"")</f>
        <v/>
      </c>
      <c r="B731" t="str">
        <f>IFERROR(INDEX(装备库!$A$2:$Y$1047,MATCH(ROW()-1,装备库!$AO$2:$AO$1046,0),COLUMN()),"")</f>
        <v/>
      </c>
      <c r="C731" t="str">
        <f>IFERROR(INDEX(装备库!$A$2:$Y$1047,MATCH(ROW()-1,装备库!$AO$2:$AO$1046,0),COLUMN()),"")</f>
        <v/>
      </c>
      <c r="D731" t="str">
        <f>IFERROR(INDEX(装备库!$A$2:$Y$1047,MATCH(ROW()-1,装备库!$AO$2:$AO$1046,0),COLUMN()),"")</f>
        <v/>
      </c>
      <c r="E731" t="str">
        <f>IFERROR(INDEX(装备库!$A$2:$Y$1047,MATCH(ROW()-1,装备库!$AO$2:$AO$1046,0),COLUMN()),"")</f>
        <v/>
      </c>
      <c r="F731" t="str">
        <f>IFERROR(INDEX(装备库!$A$2:$Y$1047,MATCH(ROW()-1,装备库!$AO$2:$AO$1046,0),COLUMN()),"")</f>
        <v/>
      </c>
      <c r="G731" t="str">
        <f>IFERROR(INDEX(装备库!$A$2:$Y$1047,MATCH(ROW()-1,装备库!$AO$2:$AO$1046,0),COLUMN()),"")</f>
        <v/>
      </c>
      <c r="H731" t="str">
        <f>IFERROR(INDEX(装备库!$A$2:$Y$1047,MATCH(ROW()-1,装备库!$AO$2:$AO$1046,0),COLUMN()),"")</f>
        <v/>
      </c>
      <c r="I731" t="str">
        <f>IFERROR(INDEX(装备库!$A$2:$Y$1047,MATCH(ROW()-1,装备库!$AO$2:$AO$1046,0),COLUMN()),"")</f>
        <v/>
      </c>
      <c r="J731" t="str">
        <f>IFERROR(INDEX(装备库!$A$2:$Y$1047,MATCH(ROW()-1,装备库!$AO$2:$AO$1046,0),COLUMN()),"")</f>
        <v/>
      </c>
      <c r="K731" t="str">
        <f>IFERROR(INDEX(装备库!$A$2:$Y$1047,MATCH(ROW()-1,装备库!$AO$2:$AO$1046,0),COLUMN()),"")</f>
        <v/>
      </c>
      <c r="L731" t="str">
        <f>IFERROR(INDEX(装备库!$A$2:$Y$1047,MATCH(ROW()-1,装备库!$AO$2:$AO$1046,0),COLUMN()),"")</f>
        <v/>
      </c>
      <c r="M731" t="str">
        <f>IFERROR(INDEX(装备库!$A$2:$Y$1047,MATCH(ROW()-1,装备库!$AO$2:$AO$1046,0),COLUMN()),"")</f>
        <v/>
      </c>
      <c r="N731" t="str">
        <f>IFERROR(INDEX(装备库!$A$2:$Y$1047,MATCH(ROW()-1,装备库!$AO$2:$AO$1046,0),COLUMN()),"")</f>
        <v/>
      </c>
      <c r="O731" t="str">
        <f>IFERROR(INDEX(装备库!$A$2:$Y$1047,MATCH(ROW()-1,装备库!$AO$2:$AO$1046,0),COLUMN()),"")</f>
        <v/>
      </c>
      <c r="P731" t="str">
        <f>IFERROR(INDEX(装备库!$A$2:$Y$1047,MATCH(ROW()-1,装备库!$AO$2:$AO$1046,0),COLUMN()),"")</f>
        <v/>
      </c>
      <c r="Q731" t="str">
        <f>IFERROR(INDEX(装备库!$A$2:$Y$1047,MATCH(ROW()-1,装备库!$AO$2:$AO$1046,0),COLUMN()),"")</f>
        <v/>
      </c>
      <c r="R731" t="str">
        <f>IFERROR(INDEX(装备库!$A$2:$Y$1047,MATCH(ROW()-1,装备库!$AO$2:$AO$1046,0),COLUMN()),"")</f>
        <v/>
      </c>
      <c r="S731" t="str">
        <f>IFERROR(INDEX(装备库!$A$2:$Y$1047,MATCH(ROW()-1,装备库!$AO$2:$AO$1046,0),COLUMN()),"")</f>
        <v/>
      </c>
      <c r="T731" t="str">
        <f>IFERROR(INDEX(装备库!$A$2:$Y$1047,MATCH(ROW()-1,装备库!$AO$2:$AO$1046,0),COLUMN()),"")</f>
        <v/>
      </c>
      <c r="U731" t="str">
        <f>IFERROR(INDEX(装备库!$A$2:$Y$1047,MATCH(ROW()-1,装备库!$AO$2:$AO$1046,0),COLUMN()),"")</f>
        <v/>
      </c>
      <c r="V731" t="str">
        <f>IFERROR(INDEX(装备库!$A$2:$Y$1047,MATCH(ROW()-1,装备库!$AO$2:$AO$1046,0),COLUMN()),"")</f>
        <v/>
      </c>
      <c r="W731" t="str">
        <f>IFERROR(INDEX(装备库!$A$2:$Y$1047,MATCH(ROW()-1,装备库!$AO$2:$AO$1046,0),COLUMN()),"")</f>
        <v/>
      </c>
      <c r="X731" t="str">
        <f>IFERROR(INDEX(装备库!$A$2:$Y$1047,MATCH(ROW()-1,装备库!$AO$2:$AO$1046,0),COLUMN()),"")</f>
        <v/>
      </c>
      <c r="Y731" t="str">
        <f>IFERROR(INDEX(装备库!$A$2:$Y$1047,MATCH(ROW()-1,装备库!$AO$2:$AO$1046,0),COLUMN()),"")</f>
        <v/>
      </c>
    </row>
    <row r="732" spans="1:25" x14ac:dyDescent="0.35">
      <c r="A732" t="str">
        <f>IFERROR(INDEX(装备库!$A$2:$Y$1047,MATCH(ROW()-1,装备库!$AO$2:$AO$1046,0),COLUMN()),"")</f>
        <v/>
      </c>
      <c r="B732" t="str">
        <f>IFERROR(INDEX(装备库!$A$2:$Y$1047,MATCH(ROW()-1,装备库!$AO$2:$AO$1046,0),COLUMN()),"")</f>
        <v/>
      </c>
      <c r="C732" t="str">
        <f>IFERROR(INDEX(装备库!$A$2:$Y$1047,MATCH(ROW()-1,装备库!$AO$2:$AO$1046,0),COLUMN()),"")</f>
        <v/>
      </c>
      <c r="D732" t="str">
        <f>IFERROR(INDEX(装备库!$A$2:$Y$1047,MATCH(ROW()-1,装备库!$AO$2:$AO$1046,0),COLUMN()),"")</f>
        <v/>
      </c>
      <c r="E732" t="str">
        <f>IFERROR(INDEX(装备库!$A$2:$Y$1047,MATCH(ROW()-1,装备库!$AO$2:$AO$1046,0),COLUMN()),"")</f>
        <v/>
      </c>
      <c r="F732" t="str">
        <f>IFERROR(INDEX(装备库!$A$2:$Y$1047,MATCH(ROW()-1,装备库!$AO$2:$AO$1046,0),COLUMN()),"")</f>
        <v/>
      </c>
      <c r="G732" t="str">
        <f>IFERROR(INDEX(装备库!$A$2:$Y$1047,MATCH(ROW()-1,装备库!$AO$2:$AO$1046,0),COLUMN()),"")</f>
        <v/>
      </c>
      <c r="H732" t="str">
        <f>IFERROR(INDEX(装备库!$A$2:$Y$1047,MATCH(ROW()-1,装备库!$AO$2:$AO$1046,0),COLUMN()),"")</f>
        <v/>
      </c>
      <c r="I732" t="str">
        <f>IFERROR(INDEX(装备库!$A$2:$Y$1047,MATCH(ROW()-1,装备库!$AO$2:$AO$1046,0),COLUMN()),"")</f>
        <v/>
      </c>
      <c r="J732" t="str">
        <f>IFERROR(INDEX(装备库!$A$2:$Y$1047,MATCH(ROW()-1,装备库!$AO$2:$AO$1046,0),COLUMN()),"")</f>
        <v/>
      </c>
      <c r="K732" t="str">
        <f>IFERROR(INDEX(装备库!$A$2:$Y$1047,MATCH(ROW()-1,装备库!$AO$2:$AO$1046,0),COLUMN()),"")</f>
        <v/>
      </c>
      <c r="L732" t="str">
        <f>IFERROR(INDEX(装备库!$A$2:$Y$1047,MATCH(ROW()-1,装备库!$AO$2:$AO$1046,0),COLUMN()),"")</f>
        <v/>
      </c>
      <c r="M732" t="str">
        <f>IFERROR(INDEX(装备库!$A$2:$Y$1047,MATCH(ROW()-1,装备库!$AO$2:$AO$1046,0),COLUMN()),"")</f>
        <v/>
      </c>
      <c r="N732" t="str">
        <f>IFERROR(INDEX(装备库!$A$2:$Y$1047,MATCH(ROW()-1,装备库!$AO$2:$AO$1046,0),COLUMN()),"")</f>
        <v/>
      </c>
      <c r="O732" t="str">
        <f>IFERROR(INDEX(装备库!$A$2:$Y$1047,MATCH(ROW()-1,装备库!$AO$2:$AO$1046,0),COLUMN()),"")</f>
        <v/>
      </c>
      <c r="P732" t="str">
        <f>IFERROR(INDEX(装备库!$A$2:$Y$1047,MATCH(ROW()-1,装备库!$AO$2:$AO$1046,0),COLUMN()),"")</f>
        <v/>
      </c>
      <c r="Q732" t="str">
        <f>IFERROR(INDEX(装备库!$A$2:$Y$1047,MATCH(ROW()-1,装备库!$AO$2:$AO$1046,0),COLUMN()),"")</f>
        <v/>
      </c>
      <c r="R732" t="str">
        <f>IFERROR(INDEX(装备库!$A$2:$Y$1047,MATCH(ROW()-1,装备库!$AO$2:$AO$1046,0),COLUMN()),"")</f>
        <v/>
      </c>
      <c r="S732" t="str">
        <f>IFERROR(INDEX(装备库!$A$2:$Y$1047,MATCH(ROW()-1,装备库!$AO$2:$AO$1046,0),COLUMN()),"")</f>
        <v/>
      </c>
      <c r="T732" t="str">
        <f>IFERROR(INDEX(装备库!$A$2:$Y$1047,MATCH(ROW()-1,装备库!$AO$2:$AO$1046,0),COLUMN()),"")</f>
        <v/>
      </c>
      <c r="U732" t="str">
        <f>IFERROR(INDEX(装备库!$A$2:$Y$1047,MATCH(ROW()-1,装备库!$AO$2:$AO$1046,0),COLUMN()),"")</f>
        <v/>
      </c>
      <c r="V732" t="str">
        <f>IFERROR(INDEX(装备库!$A$2:$Y$1047,MATCH(ROW()-1,装备库!$AO$2:$AO$1046,0),COLUMN()),"")</f>
        <v/>
      </c>
      <c r="W732" t="str">
        <f>IFERROR(INDEX(装备库!$A$2:$Y$1047,MATCH(ROW()-1,装备库!$AO$2:$AO$1046,0),COLUMN()),"")</f>
        <v/>
      </c>
      <c r="X732" t="str">
        <f>IFERROR(INDEX(装备库!$A$2:$Y$1047,MATCH(ROW()-1,装备库!$AO$2:$AO$1046,0),COLUMN()),"")</f>
        <v/>
      </c>
      <c r="Y732" t="str">
        <f>IFERROR(INDEX(装备库!$A$2:$Y$1047,MATCH(ROW()-1,装备库!$AO$2:$AO$1046,0),COLUMN()),"")</f>
        <v/>
      </c>
    </row>
    <row r="733" spans="1:25" x14ac:dyDescent="0.35">
      <c r="A733" t="str">
        <f>IFERROR(INDEX(装备库!$A$2:$Y$1047,MATCH(ROW()-1,装备库!$AO$2:$AO$1046,0),COLUMN()),"")</f>
        <v/>
      </c>
      <c r="B733" t="str">
        <f>IFERROR(INDEX(装备库!$A$2:$Y$1047,MATCH(ROW()-1,装备库!$AO$2:$AO$1046,0),COLUMN()),"")</f>
        <v/>
      </c>
      <c r="C733" t="str">
        <f>IFERROR(INDEX(装备库!$A$2:$Y$1047,MATCH(ROW()-1,装备库!$AO$2:$AO$1046,0),COLUMN()),"")</f>
        <v/>
      </c>
      <c r="D733" t="str">
        <f>IFERROR(INDEX(装备库!$A$2:$Y$1047,MATCH(ROW()-1,装备库!$AO$2:$AO$1046,0),COLUMN()),"")</f>
        <v/>
      </c>
      <c r="E733" t="str">
        <f>IFERROR(INDEX(装备库!$A$2:$Y$1047,MATCH(ROW()-1,装备库!$AO$2:$AO$1046,0),COLUMN()),"")</f>
        <v/>
      </c>
      <c r="F733" t="str">
        <f>IFERROR(INDEX(装备库!$A$2:$Y$1047,MATCH(ROW()-1,装备库!$AO$2:$AO$1046,0),COLUMN()),"")</f>
        <v/>
      </c>
      <c r="G733" t="str">
        <f>IFERROR(INDEX(装备库!$A$2:$Y$1047,MATCH(ROW()-1,装备库!$AO$2:$AO$1046,0),COLUMN()),"")</f>
        <v/>
      </c>
      <c r="H733" t="str">
        <f>IFERROR(INDEX(装备库!$A$2:$Y$1047,MATCH(ROW()-1,装备库!$AO$2:$AO$1046,0),COLUMN()),"")</f>
        <v/>
      </c>
      <c r="I733" t="str">
        <f>IFERROR(INDEX(装备库!$A$2:$Y$1047,MATCH(ROW()-1,装备库!$AO$2:$AO$1046,0),COLUMN()),"")</f>
        <v/>
      </c>
      <c r="J733" t="str">
        <f>IFERROR(INDEX(装备库!$A$2:$Y$1047,MATCH(ROW()-1,装备库!$AO$2:$AO$1046,0),COLUMN()),"")</f>
        <v/>
      </c>
      <c r="K733" t="str">
        <f>IFERROR(INDEX(装备库!$A$2:$Y$1047,MATCH(ROW()-1,装备库!$AO$2:$AO$1046,0),COLUMN()),"")</f>
        <v/>
      </c>
      <c r="L733" t="str">
        <f>IFERROR(INDEX(装备库!$A$2:$Y$1047,MATCH(ROW()-1,装备库!$AO$2:$AO$1046,0),COLUMN()),"")</f>
        <v/>
      </c>
      <c r="M733" t="str">
        <f>IFERROR(INDEX(装备库!$A$2:$Y$1047,MATCH(ROW()-1,装备库!$AO$2:$AO$1046,0),COLUMN()),"")</f>
        <v/>
      </c>
      <c r="N733" t="str">
        <f>IFERROR(INDEX(装备库!$A$2:$Y$1047,MATCH(ROW()-1,装备库!$AO$2:$AO$1046,0),COLUMN()),"")</f>
        <v/>
      </c>
      <c r="O733" t="str">
        <f>IFERROR(INDEX(装备库!$A$2:$Y$1047,MATCH(ROW()-1,装备库!$AO$2:$AO$1046,0),COLUMN()),"")</f>
        <v/>
      </c>
      <c r="P733" t="str">
        <f>IFERROR(INDEX(装备库!$A$2:$Y$1047,MATCH(ROW()-1,装备库!$AO$2:$AO$1046,0),COLUMN()),"")</f>
        <v/>
      </c>
      <c r="Q733" t="str">
        <f>IFERROR(INDEX(装备库!$A$2:$Y$1047,MATCH(ROW()-1,装备库!$AO$2:$AO$1046,0),COLUMN()),"")</f>
        <v/>
      </c>
      <c r="R733" t="str">
        <f>IFERROR(INDEX(装备库!$A$2:$Y$1047,MATCH(ROW()-1,装备库!$AO$2:$AO$1046,0),COLUMN()),"")</f>
        <v/>
      </c>
      <c r="S733" t="str">
        <f>IFERROR(INDEX(装备库!$A$2:$Y$1047,MATCH(ROW()-1,装备库!$AO$2:$AO$1046,0),COLUMN()),"")</f>
        <v/>
      </c>
      <c r="T733" t="str">
        <f>IFERROR(INDEX(装备库!$A$2:$Y$1047,MATCH(ROW()-1,装备库!$AO$2:$AO$1046,0),COLUMN()),"")</f>
        <v/>
      </c>
      <c r="U733" t="str">
        <f>IFERROR(INDEX(装备库!$A$2:$Y$1047,MATCH(ROW()-1,装备库!$AO$2:$AO$1046,0),COLUMN()),"")</f>
        <v/>
      </c>
      <c r="V733" t="str">
        <f>IFERROR(INDEX(装备库!$A$2:$Y$1047,MATCH(ROW()-1,装备库!$AO$2:$AO$1046,0),COLUMN()),"")</f>
        <v/>
      </c>
      <c r="W733" t="str">
        <f>IFERROR(INDEX(装备库!$A$2:$Y$1047,MATCH(ROW()-1,装备库!$AO$2:$AO$1046,0),COLUMN()),"")</f>
        <v/>
      </c>
      <c r="X733" t="str">
        <f>IFERROR(INDEX(装备库!$A$2:$Y$1047,MATCH(ROW()-1,装备库!$AO$2:$AO$1046,0),COLUMN()),"")</f>
        <v/>
      </c>
      <c r="Y733" t="str">
        <f>IFERROR(INDEX(装备库!$A$2:$Y$1047,MATCH(ROW()-1,装备库!$AO$2:$AO$1046,0),COLUMN()),"")</f>
        <v/>
      </c>
    </row>
    <row r="734" spans="1:25" x14ac:dyDescent="0.35">
      <c r="A734" t="str">
        <f>IFERROR(INDEX(装备库!$A$2:$Y$1047,MATCH(ROW()-1,装备库!$AO$2:$AO$1046,0),COLUMN()),"")</f>
        <v/>
      </c>
      <c r="B734" t="str">
        <f>IFERROR(INDEX(装备库!$A$2:$Y$1047,MATCH(ROW()-1,装备库!$AO$2:$AO$1046,0),COLUMN()),"")</f>
        <v/>
      </c>
      <c r="C734" t="str">
        <f>IFERROR(INDEX(装备库!$A$2:$Y$1047,MATCH(ROW()-1,装备库!$AO$2:$AO$1046,0),COLUMN()),"")</f>
        <v/>
      </c>
      <c r="D734" t="str">
        <f>IFERROR(INDEX(装备库!$A$2:$Y$1047,MATCH(ROW()-1,装备库!$AO$2:$AO$1046,0),COLUMN()),"")</f>
        <v/>
      </c>
      <c r="E734" t="str">
        <f>IFERROR(INDEX(装备库!$A$2:$Y$1047,MATCH(ROW()-1,装备库!$AO$2:$AO$1046,0),COLUMN()),"")</f>
        <v/>
      </c>
      <c r="F734" t="str">
        <f>IFERROR(INDEX(装备库!$A$2:$Y$1047,MATCH(ROW()-1,装备库!$AO$2:$AO$1046,0),COLUMN()),"")</f>
        <v/>
      </c>
      <c r="G734" t="str">
        <f>IFERROR(INDEX(装备库!$A$2:$Y$1047,MATCH(ROW()-1,装备库!$AO$2:$AO$1046,0),COLUMN()),"")</f>
        <v/>
      </c>
      <c r="H734" t="str">
        <f>IFERROR(INDEX(装备库!$A$2:$Y$1047,MATCH(ROW()-1,装备库!$AO$2:$AO$1046,0),COLUMN()),"")</f>
        <v/>
      </c>
      <c r="I734" t="str">
        <f>IFERROR(INDEX(装备库!$A$2:$Y$1047,MATCH(ROW()-1,装备库!$AO$2:$AO$1046,0),COLUMN()),"")</f>
        <v/>
      </c>
      <c r="J734" t="str">
        <f>IFERROR(INDEX(装备库!$A$2:$Y$1047,MATCH(ROW()-1,装备库!$AO$2:$AO$1046,0),COLUMN()),"")</f>
        <v/>
      </c>
      <c r="K734" t="str">
        <f>IFERROR(INDEX(装备库!$A$2:$Y$1047,MATCH(ROW()-1,装备库!$AO$2:$AO$1046,0),COLUMN()),"")</f>
        <v/>
      </c>
      <c r="L734" t="str">
        <f>IFERROR(INDEX(装备库!$A$2:$Y$1047,MATCH(ROW()-1,装备库!$AO$2:$AO$1046,0),COLUMN()),"")</f>
        <v/>
      </c>
      <c r="M734" t="str">
        <f>IFERROR(INDEX(装备库!$A$2:$Y$1047,MATCH(ROW()-1,装备库!$AO$2:$AO$1046,0),COLUMN()),"")</f>
        <v/>
      </c>
      <c r="N734" t="str">
        <f>IFERROR(INDEX(装备库!$A$2:$Y$1047,MATCH(ROW()-1,装备库!$AO$2:$AO$1046,0),COLUMN()),"")</f>
        <v/>
      </c>
      <c r="O734" t="str">
        <f>IFERROR(INDEX(装备库!$A$2:$Y$1047,MATCH(ROW()-1,装备库!$AO$2:$AO$1046,0),COLUMN()),"")</f>
        <v/>
      </c>
      <c r="P734" t="str">
        <f>IFERROR(INDEX(装备库!$A$2:$Y$1047,MATCH(ROW()-1,装备库!$AO$2:$AO$1046,0),COLUMN()),"")</f>
        <v/>
      </c>
      <c r="Q734" t="str">
        <f>IFERROR(INDEX(装备库!$A$2:$Y$1047,MATCH(ROW()-1,装备库!$AO$2:$AO$1046,0),COLUMN()),"")</f>
        <v/>
      </c>
      <c r="R734" t="str">
        <f>IFERROR(INDEX(装备库!$A$2:$Y$1047,MATCH(ROW()-1,装备库!$AO$2:$AO$1046,0),COLUMN()),"")</f>
        <v/>
      </c>
      <c r="S734" t="str">
        <f>IFERROR(INDEX(装备库!$A$2:$Y$1047,MATCH(ROW()-1,装备库!$AO$2:$AO$1046,0),COLUMN()),"")</f>
        <v/>
      </c>
      <c r="T734" t="str">
        <f>IFERROR(INDEX(装备库!$A$2:$Y$1047,MATCH(ROW()-1,装备库!$AO$2:$AO$1046,0),COLUMN()),"")</f>
        <v/>
      </c>
      <c r="U734" t="str">
        <f>IFERROR(INDEX(装备库!$A$2:$Y$1047,MATCH(ROW()-1,装备库!$AO$2:$AO$1046,0),COLUMN()),"")</f>
        <v/>
      </c>
      <c r="V734" t="str">
        <f>IFERROR(INDEX(装备库!$A$2:$Y$1047,MATCH(ROW()-1,装备库!$AO$2:$AO$1046,0),COLUMN()),"")</f>
        <v/>
      </c>
      <c r="W734" t="str">
        <f>IFERROR(INDEX(装备库!$A$2:$Y$1047,MATCH(ROW()-1,装备库!$AO$2:$AO$1046,0),COLUMN()),"")</f>
        <v/>
      </c>
      <c r="X734" t="str">
        <f>IFERROR(INDEX(装备库!$A$2:$Y$1047,MATCH(ROW()-1,装备库!$AO$2:$AO$1046,0),COLUMN()),"")</f>
        <v/>
      </c>
      <c r="Y734" t="str">
        <f>IFERROR(INDEX(装备库!$A$2:$Y$1047,MATCH(ROW()-1,装备库!$AO$2:$AO$1046,0),COLUMN()),"")</f>
        <v/>
      </c>
    </row>
    <row r="735" spans="1:25" x14ac:dyDescent="0.35">
      <c r="A735" t="str">
        <f>IFERROR(INDEX(装备库!$A$2:$Y$1047,MATCH(ROW()-1,装备库!$AO$2:$AO$1046,0),COLUMN()),"")</f>
        <v/>
      </c>
      <c r="B735" t="str">
        <f>IFERROR(INDEX(装备库!$A$2:$Y$1047,MATCH(ROW()-1,装备库!$AO$2:$AO$1046,0),COLUMN()),"")</f>
        <v/>
      </c>
      <c r="C735" t="str">
        <f>IFERROR(INDEX(装备库!$A$2:$Y$1047,MATCH(ROW()-1,装备库!$AO$2:$AO$1046,0),COLUMN()),"")</f>
        <v/>
      </c>
      <c r="D735" t="str">
        <f>IFERROR(INDEX(装备库!$A$2:$Y$1047,MATCH(ROW()-1,装备库!$AO$2:$AO$1046,0),COLUMN()),"")</f>
        <v/>
      </c>
      <c r="E735" t="str">
        <f>IFERROR(INDEX(装备库!$A$2:$Y$1047,MATCH(ROW()-1,装备库!$AO$2:$AO$1046,0),COLUMN()),"")</f>
        <v/>
      </c>
      <c r="F735" t="str">
        <f>IFERROR(INDEX(装备库!$A$2:$Y$1047,MATCH(ROW()-1,装备库!$AO$2:$AO$1046,0),COLUMN()),"")</f>
        <v/>
      </c>
      <c r="G735" t="str">
        <f>IFERROR(INDEX(装备库!$A$2:$Y$1047,MATCH(ROW()-1,装备库!$AO$2:$AO$1046,0),COLUMN()),"")</f>
        <v/>
      </c>
      <c r="H735" t="str">
        <f>IFERROR(INDEX(装备库!$A$2:$Y$1047,MATCH(ROW()-1,装备库!$AO$2:$AO$1046,0),COLUMN()),"")</f>
        <v/>
      </c>
      <c r="I735" t="str">
        <f>IFERROR(INDEX(装备库!$A$2:$Y$1047,MATCH(ROW()-1,装备库!$AO$2:$AO$1046,0),COLUMN()),"")</f>
        <v/>
      </c>
      <c r="J735" t="str">
        <f>IFERROR(INDEX(装备库!$A$2:$Y$1047,MATCH(ROW()-1,装备库!$AO$2:$AO$1046,0),COLUMN()),"")</f>
        <v/>
      </c>
      <c r="K735" t="str">
        <f>IFERROR(INDEX(装备库!$A$2:$Y$1047,MATCH(ROW()-1,装备库!$AO$2:$AO$1046,0),COLUMN()),"")</f>
        <v/>
      </c>
      <c r="L735" t="str">
        <f>IFERROR(INDEX(装备库!$A$2:$Y$1047,MATCH(ROW()-1,装备库!$AO$2:$AO$1046,0),COLUMN()),"")</f>
        <v/>
      </c>
      <c r="M735" t="str">
        <f>IFERROR(INDEX(装备库!$A$2:$Y$1047,MATCH(ROW()-1,装备库!$AO$2:$AO$1046,0),COLUMN()),"")</f>
        <v/>
      </c>
      <c r="N735" t="str">
        <f>IFERROR(INDEX(装备库!$A$2:$Y$1047,MATCH(ROW()-1,装备库!$AO$2:$AO$1046,0),COLUMN()),"")</f>
        <v/>
      </c>
      <c r="O735" t="str">
        <f>IFERROR(INDEX(装备库!$A$2:$Y$1047,MATCH(ROW()-1,装备库!$AO$2:$AO$1046,0),COLUMN()),"")</f>
        <v/>
      </c>
      <c r="P735" t="str">
        <f>IFERROR(INDEX(装备库!$A$2:$Y$1047,MATCH(ROW()-1,装备库!$AO$2:$AO$1046,0),COLUMN()),"")</f>
        <v/>
      </c>
      <c r="Q735" t="str">
        <f>IFERROR(INDEX(装备库!$A$2:$Y$1047,MATCH(ROW()-1,装备库!$AO$2:$AO$1046,0),COLUMN()),"")</f>
        <v/>
      </c>
      <c r="R735" t="str">
        <f>IFERROR(INDEX(装备库!$A$2:$Y$1047,MATCH(ROW()-1,装备库!$AO$2:$AO$1046,0),COLUMN()),"")</f>
        <v/>
      </c>
      <c r="S735" t="str">
        <f>IFERROR(INDEX(装备库!$A$2:$Y$1047,MATCH(ROW()-1,装备库!$AO$2:$AO$1046,0),COLUMN()),"")</f>
        <v/>
      </c>
      <c r="T735" t="str">
        <f>IFERROR(INDEX(装备库!$A$2:$Y$1047,MATCH(ROW()-1,装备库!$AO$2:$AO$1046,0),COLUMN()),"")</f>
        <v/>
      </c>
      <c r="U735" t="str">
        <f>IFERROR(INDEX(装备库!$A$2:$Y$1047,MATCH(ROW()-1,装备库!$AO$2:$AO$1046,0),COLUMN()),"")</f>
        <v/>
      </c>
      <c r="V735" t="str">
        <f>IFERROR(INDEX(装备库!$A$2:$Y$1047,MATCH(ROW()-1,装备库!$AO$2:$AO$1046,0),COLUMN()),"")</f>
        <v/>
      </c>
      <c r="W735" t="str">
        <f>IFERROR(INDEX(装备库!$A$2:$Y$1047,MATCH(ROW()-1,装备库!$AO$2:$AO$1046,0),COLUMN()),"")</f>
        <v/>
      </c>
      <c r="X735" t="str">
        <f>IFERROR(INDEX(装备库!$A$2:$Y$1047,MATCH(ROW()-1,装备库!$AO$2:$AO$1046,0),COLUMN()),"")</f>
        <v/>
      </c>
      <c r="Y735" t="str">
        <f>IFERROR(INDEX(装备库!$A$2:$Y$1047,MATCH(ROW()-1,装备库!$AO$2:$AO$1046,0),COLUMN()),"")</f>
        <v/>
      </c>
    </row>
    <row r="736" spans="1:25" x14ac:dyDescent="0.35">
      <c r="A736" t="str">
        <f>IFERROR(INDEX(装备库!$A$2:$Y$1047,MATCH(ROW()-1,装备库!$AO$2:$AO$1046,0),COLUMN()),"")</f>
        <v/>
      </c>
      <c r="B736" t="str">
        <f>IFERROR(INDEX(装备库!$A$2:$Y$1047,MATCH(ROW()-1,装备库!$AO$2:$AO$1046,0),COLUMN()),"")</f>
        <v/>
      </c>
      <c r="C736" t="str">
        <f>IFERROR(INDEX(装备库!$A$2:$Y$1047,MATCH(ROW()-1,装备库!$AO$2:$AO$1046,0),COLUMN()),"")</f>
        <v/>
      </c>
      <c r="D736" t="str">
        <f>IFERROR(INDEX(装备库!$A$2:$Y$1047,MATCH(ROW()-1,装备库!$AO$2:$AO$1046,0),COLUMN()),"")</f>
        <v/>
      </c>
      <c r="E736" t="str">
        <f>IFERROR(INDEX(装备库!$A$2:$Y$1047,MATCH(ROW()-1,装备库!$AO$2:$AO$1046,0),COLUMN()),"")</f>
        <v/>
      </c>
      <c r="F736" t="str">
        <f>IFERROR(INDEX(装备库!$A$2:$Y$1047,MATCH(ROW()-1,装备库!$AO$2:$AO$1046,0),COLUMN()),"")</f>
        <v/>
      </c>
      <c r="G736" t="str">
        <f>IFERROR(INDEX(装备库!$A$2:$Y$1047,MATCH(ROW()-1,装备库!$AO$2:$AO$1046,0),COLUMN()),"")</f>
        <v/>
      </c>
      <c r="H736" t="str">
        <f>IFERROR(INDEX(装备库!$A$2:$Y$1047,MATCH(ROW()-1,装备库!$AO$2:$AO$1046,0),COLUMN()),"")</f>
        <v/>
      </c>
      <c r="I736" t="str">
        <f>IFERROR(INDEX(装备库!$A$2:$Y$1047,MATCH(ROW()-1,装备库!$AO$2:$AO$1046,0),COLUMN()),"")</f>
        <v/>
      </c>
      <c r="J736" t="str">
        <f>IFERROR(INDEX(装备库!$A$2:$Y$1047,MATCH(ROW()-1,装备库!$AO$2:$AO$1046,0),COLUMN()),"")</f>
        <v/>
      </c>
      <c r="K736" t="str">
        <f>IFERROR(INDEX(装备库!$A$2:$Y$1047,MATCH(ROW()-1,装备库!$AO$2:$AO$1046,0),COLUMN()),"")</f>
        <v/>
      </c>
      <c r="L736" t="str">
        <f>IFERROR(INDEX(装备库!$A$2:$Y$1047,MATCH(ROW()-1,装备库!$AO$2:$AO$1046,0),COLUMN()),"")</f>
        <v/>
      </c>
      <c r="M736" t="str">
        <f>IFERROR(INDEX(装备库!$A$2:$Y$1047,MATCH(ROW()-1,装备库!$AO$2:$AO$1046,0),COLUMN()),"")</f>
        <v/>
      </c>
      <c r="N736" t="str">
        <f>IFERROR(INDEX(装备库!$A$2:$Y$1047,MATCH(ROW()-1,装备库!$AO$2:$AO$1046,0),COLUMN()),"")</f>
        <v/>
      </c>
      <c r="O736" t="str">
        <f>IFERROR(INDEX(装备库!$A$2:$Y$1047,MATCH(ROW()-1,装备库!$AO$2:$AO$1046,0),COLUMN()),"")</f>
        <v/>
      </c>
      <c r="P736" t="str">
        <f>IFERROR(INDEX(装备库!$A$2:$Y$1047,MATCH(ROW()-1,装备库!$AO$2:$AO$1046,0),COLUMN()),"")</f>
        <v/>
      </c>
      <c r="Q736" t="str">
        <f>IFERROR(INDEX(装备库!$A$2:$Y$1047,MATCH(ROW()-1,装备库!$AO$2:$AO$1046,0),COLUMN()),"")</f>
        <v/>
      </c>
      <c r="R736" t="str">
        <f>IFERROR(INDEX(装备库!$A$2:$Y$1047,MATCH(ROW()-1,装备库!$AO$2:$AO$1046,0),COLUMN()),"")</f>
        <v/>
      </c>
      <c r="S736" t="str">
        <f>IFERROR(INDEX(装备库!$A$2:$Y$1047,MATCH(ROW()-1,装备库!$AO$2:$AO$1046,0),COLUMN()),"")</f>
        <v/>
      </c>
      <c r="T736" t="str">
        <f>IFERROR(INDEX(装备库!$A$2:$Y$1047,MATCH(ROW()-1,装备库!$AO$2:$AO$1046,0),COLUMN()),"")</f>
        <v/>
      </c>
      <c r="U736" t="str">
        <f>IFERROR(INDEX(装备库!$A$2:$Y$1047,MATCH(ROW()-1,装备库!$AO$2:$AO$1046,0),COLUMN()),"")</f>
        <v/>
      </c>
      <c r="V736" t="str">
        <f>IFERROR(INDEX(装备库!$A$2:$Y$1047,MATCH(ROW()-1,装备库!$AO$2:$AO$1046,0),COLUMN()),"")</f>
        <v/>
      </c>
      <c r="W736" t="str">
        <f>IFERROR(INDEX(装备库!$A$2:$Y$1047,MATCH(ROW()-1,装备库!$AO$2:$AO$1046,0),COLUMN()),"")</f>
        <v/>
      </c>
      <c r="X736" t="str">
        <f>IFERROR(INDEX(装备库!$A$2:$Y$1047,MATCH(ROW()-1,装备库!$AO$2:$AO$1046,0),COLUMN()),"")</f>
        <v/>
      </c>
      <c r="Y736" t="str">
        <f>IFERROR(INDEX(装备库!$A$2:$Y$1047,MATCH(ROW()-1,装备库!$AO$2:$AO$1046,0),COLUMN()),"")</f>
        <v/>
      </c>
    </row>
    <row r="737" spans="1:25" x14ac:dyDescent="0.35">
      <c r="A737" t="str">
        <f>IFERROR(INDEX(装备库!$A$2:$Y$1047,MATCH(ROW()-1,装备库!$AO$2:$AO$1046,0),COLUMN()),"")</f>
        <v/>
      </c>
      <c r="B737" t="str">
        <f>IFERROR(INDEX(装备库!$A$2:$Y$1047,MATCH(ROW()-1,装备库!$AO$2:$AO$1046,0),COLUMN()),"")</f>
        <v/>
      </c>
      <c r="C737" t="str">
        <f>IFERROR(INDEX(装备库!$A$2:$Y$1047,MATCH(ROW()-1,装备库!$AO$2:$AO$1046,0),COLUMN()),"")</f>
        <v/>
      </c>
      <c r="D737" t="str">
        <f>IFERROR(INDEX(装备库!$A$2:$Y$1047,MATCH(ROW()-1,装备库!$AO$2:$AO$1046,0),COLUMN()),"")</f>
        <v/>
      </c>
      <c r="E737" t="str">
        <f>IFERROR(INDEX(装备库!$A$2:$Y$1047,MATCH(ROW()-1,装备库!$AO$2:$AO$1046,0),COLUMN()),"")</f>
        <v/>
      </c>
      <c r="F737" t="str">
        <f>IFERROR(INDEX(装备库!$A$2:$Y$1047,MATCH(ROW()-1,装备库!$AO$2:$AO$1046,0),COLUMN()),"")</f>
        <v/>
      </c>
      <c r="G737" t="str">
        <f>IFERROR(INDEX(装备库!$A$2:$Y$1047,MATCH(ROW()-1,装备库!$AO$2:$AO$1046,0),COLUMN()),"")</f>
        <v/>
      </c>
      <c r="H737" t="str">
        <f>IFERROR(INDEX(装备库!$A$2:$Y$1047,MATCH(ROW()-1,装备库!$AO$2:$AO$1046,0),COLUMN()),"")</f>
        <v/>
      </c>
      <c r="I737" t="str">
        <f>IFERROR(INDEX(装备库!$A$2:$Y$1047,MATCH(ROW()-1,装备库!$AO$2:$AO$1046,0),COLUMN()),"")</f>
        <v/>
      </c>
      <c r="J737" t="str">
        <f>IFERROR(INDEX(装备库!$A$2:$Y$1047,MATCH(ROW()-1,装备库!$AO$2:$AO$1046,0),COLUMN()),"")</f>
        <v/>
      </c>
      <c r="K737" t="str">
        <f>IFERROR(INDEX(装备库!$A$2:$Y$1047,MATCH(ROW()-1,装备库!$AO$2:$AO$1046,0),COLUMN()),"")</f>
        <v/>
      </c>
      <c r="L737" t="str">
        <f>IFERROR(INDEX(装备库!$A$2:$Y$1047,MATCH(ROW()-1,装备库!$AO$2:$AO$1046,0),COLUMN()),"")</f>
        <v/>
      </c>
      <c r="M737" t="str">
        <f>IFERROR(INDEX(装备库!$A$2:$Y$1047,MATCH(ROW()-1,装备库!$AO$2:$AO$1046,0),COLUMN()),"")</f>
        <v/>
      </c>
      <c r="N737" t="str">
        <f>IFERROR(INDEX(装备库!$A$2:$Y$1047,MATCH(ROW()-1,装备库!$AO$2:$AO$1046,0),COLUMN()),"")</f>
        <v/>
      </c>
      <c r="O737" t="str">
        <f>IFERROR(INDEX(装备库!$A$2:$Y$1047,MATCH(ROW()-1,装备库!$AO$2:$AO$1046,0),COLUMN()),"")</f>
        <v/>
      </c>
      <c r="P737" t="str">
        <f>IFERROR(INDEX(装备库!$A$2:$Y$1047,MATCH(ROW()-1,装备库!$AO$2:$AO$1046,0),COLUMN()),"")</f>
        <v/>
      </c>
      <c r="Q737" t="str">
        <f>IFERROR(INDEX(装备库!$A$2:$Y$1047,MATCH(ROW()-1,装备库!$AO$2:$AO$1046,0),COLUMN()),"")</f>
        <v/>
      </c>
      <c r="R737" t="str">
        <f>IFERROR(INDEX(装备库!$A$2:$Y$1047,MATCH(ROW()-1,装备库!$AO$2:$AO$1046,0),COLUMN()),"")</f>
        <v/>
      </c>
      <c r="S737" t="str">
        <f>IFERROR(INDEX(装备库!$A$2:$Y$1047,MATCH(ROW()-1,装备库!$AO$2:$AO$1046,0),COLUMN()),"")</f>
        <v/>
      </c>
      <c r="T737" t="str">
        <f>IFERROR(INDEX(装备库!$A$2:$Y$1047,MATCH(ROW()-1,装备库!$AO$2:$AO$1046,0),COLUMN()),"")</f>
        <v/>
      </c>
      <c r="U737" t="str">
        <f>IFERROR(INDEX(装备库!$A$2:$Y$1047,MATCH(ROW()-1,装备库!$AO$2:$AO$1046,0),COLUMN()),"")</f>
        <v/>
      </c>
      <c r="V737" t="str">
        <f>IFERROR(INDEX(装备库!$A$2:$Y$1047,MATCH(ROW()-1,装备库!$AO$2:$AO$1046,0),COLUMN()),"")</f>
        <v/>
      </c>
      <c r="W737" t="str">
        <f>IFERROR(INDEX(装备库!$A$2:$Y$1047,MATCH(ROW()-1,装备库!$AO$2:$AO$1046,0),COLUMN()),"")</f>
        <v/>
      </c>
      <c r="X737" t="str">
        <f>IFERROR(INDEX(装备库!$A$2:$Y$1047,MATCH(ROW()-1,装备库!$AO$2:$AO$1046,0),COLUMN()),"")</f>
        <v/>
      </c>
      <c r="Y737" t="str">
        <f>IFERROR(INDEX(装备库!$A$2:$Y$1047,MATCH(ROW()-1,装备库!$AO$2:$AO$1046,0),COLUMN()),"")</f>
        <v/>
      </c>
    </row>
    <row r="738" spans="1:25" x14ac:dyDescent="0.35">
      <c r="A738" t="str">
        <f>IFERROR(INDEX(装备库!$A$2:$Y$1047,MATCH(ROW()-1,装备库!$AO$2:$AO$1046,0),COLUMN()),"")</f>
        <v/>
      </c>
      <c r="B738" t="str">
        <f>IFERROR(INDEX(装备库!$A$2:$Y$1047,MATCH(ROW()-1,装备库!$AO$2:$AO$1046,0),COLUMN()),"")</f>
        <v/>
      </c>
      <c r="C738" t="str">
        <f>IFERROR(INDEX(装备库!$A$2:$Y$1047,MATCH(ROW()-1,装备库!$AO$2:$AO$1046,0),COLUMN()),"")</f>
        <v/>
      </c>
      <c r="D738" t="str">
        <f>IFERROR(INDEX(装备库!$A$2:$Y$1047,MATCH(ROW()-1,装备库!$AO$2:$AO$1046,0),COLUMN()),"")</f>
        <v/>
      </c>
      <c r="E738" t="str">
        <f>IFERROR(INDEX(装备库!$A$2:$Y$1047,MATCH(ROW()-1,装备库!$AO$2:$AO$1046,0),COLUMN()),"")</f>
        <v/>
      </c>
      <c r="F738" t="str">
        <f>IFERROR(INDEX(装备库!$A$2:$Y$1047,MATCH(ROW()-1,装备库!$AO$2:$AO$1046,0),COLUMN()),"")</f>
        <v/>
      </c>
      <c r="G738" t="str">
        <f>IFERROR(INDEX(装备库!$A$2:$Y$1047,MATCH(ROW()-1,装备库!$AO$2:$AO$1046,0),COLUMN()),"")</f>
        <v/>
      </c>
      <c r="H738" t="str">
        <f>IFERROR(INDEX(装备库!$A$2:$Y$1047,MATCH(ROW()-1,装备库!$AO$2:$AO$1046,0),COLUMN()),"")</f>
        <v/>
      </c>
      <c r="I738" t="str">
        <f>IFERROR(INDEX(装备库!$A$2:$Y$1047,MATCH(ROW()-1,装备库!$AO$2:$AO$1046,0),COLUMN()),"")</f>
        <v/>
      </c>
      <c r="J738" t="str">
        <f>IFERROR(INDEX(装备库!$A$2:$Y$1047,MATCH(ROW()-1,装备库!$AO$2:$AO$1046,0),COLUMN()),"")</f>
        <v/>
      </c>
      <c r="K738" t="str">
        <f>IFERROR(INDEX(装备库!$A$2:$Y$1047,MATCH(ROW()-1,装备库!$AO$2:$AO$1046,0),COLUMN()),"")</f>
        <v/>
      </c>
      <c r="L738" t="str">
        <f>IFERROR(INDEX(装备库!$A$2:$Y$1047,MATCH(ROW()-1,装备库!$AO$2:$AO$1046,0),COLUMN()),"")</f>
        <v/>
      </c>
      <c r="M738" t="str">
        <f>IFERROR(INDEX(装备库!$A$2:$Y$1047,MATCH(ROW()-1,装备库!$AO$2:$AO$1046,0),COLUMN()),"")</f>
        <v/>
      </c>
      <c r="N738" t="str">
        <f>IFERROR(INDEX(装备库!$A$2:$Y$1047,MATCH(ROW()-1,装备库!$AO$2:$AO$1046,0),COLUMN()),"")</f>
        <v/>
      </c>
      <c r="O738" t="str">
        <f>IFERROR(INDEX(装备库!$A$2:$Y$1047,MATCH(ROW()-1,装备库!$AO$2:$AO$1046,0),COLUMN()),"")</f>
        <v/>
      </c>
      <c r="P738" t="str">
        <f>IFERROR(INDEX(装备库!$A$2:$Y$1047,MATCH(ROW()-1,装备库!$AO$2:$AO$1046,0),COLUMN()),"")</f>
        <v/>
      </c>
      <c r="Q738" t="str">
        <f>IFERROR(INDEX(装备库!$A$2:$Y$1047,MATCH(ROW()-1,装备库!$AO$2:$AO$1046,0),COLUMN()),"")</f>
        <v/>
      </c>
      <c r="R738" t="str">
        <f>IFERROR(INDEX(装备库!$A$2:$Y$1047,MATCH(ROW()-1,装备库!$AO$2:$AO$1046,0),COLUMN()),"")</f>
        <v/>
      </c>
      <c r="S738" t="str">
        <f>IFERROR(INDEX(装备库!$A$2:$Y$1047,MATCH(ROW()-1,装备库!$AO$2:$AO$1046,0),COLUMN()),"")</f>
        <v/>
      </c>
      <c r="T738" t="str">
        <f>IFERROR(INDEX(装备库!$A$2:$Y$1047,MATCH(ROW()-1,装备库!$AO$2:$AO$1046,0),COLUMN()),"")</f>
        <v/>
      </c>
      <c r="U738" t="str">
        <f>IFERROR(INDEX(装备库!$A$2:$Y$1047,MATCH(ROW()-1,装备库!$AO$2:$AO$1046,0),COLUMN()),"")</f>
        <v/>
      </c>
      <c r="V738" t="str">
        <f>IFERROR(INDEX(装备库!$A$2:$Y$1047,MATCH(ROW()-1,装备库!$AO$2:$AO$1046,0),COLUMN()),"")</f>
        <v/>
      </c>
      <c r="W738" t="str">
        <f>IFERROR(INDEX(装备库!$A$2:$Y$1047,MATCH(ROW()-1,装备库!$AO$2:$AO$1046,0),COLUMN()),"")</f>
        <v/>
      </c>
      <c r="X738" t="str">
        <f>IFERROR(INDEX(装备库!$A$2:$Y$1047,MATCH(ROW()-1,装备库!$AO$2:$AO$1046,0),COLUMN()),"")</f>
        <v/>
      </c>
      <c r="Y738" t="str">
        <f>IFERROR(INDEX(装备库!$A$2:$Y$1047,MATCH(ROW()-1,装备库!$AO$2:$AO$1046,0),COLUMN()),"")</f>
        <v/>
      </c>
    </row>
    <row r="739" spans="1:25" x14ac:dyDescent="0.35">
      <c r="A739" t="str">
        <f>IFERROR(INDEX(装备库!$A$2:$Y$1047,MATCH(ROW()-1,装备库!$AO$2:$AO$1046,0),COLUMN()),"")</f>
        <v/>
      </c>
      <c r="B739" t="str">
        <f>IFERROR(INDEX(装备库!$A$2:$Y$1047,MATCH(ROW()-1,装备库!$AO$2:$AO$1046,0),COLUMN()),"")</f>
        <v/>
      </c>
      <c r="C739" t="str">
        <f>IFERROR(INDEX(装备库!$A$2:$Y$1047,MATCH(ROW()-1,装备库!$AO$2:$AO$1046,0),COLUMN()),"")</f>
        <v/>
      </c>
      <c r="D739" t="str">
        <f>IFERROR(INDEX(装备库!$A$2:$Y$1047,MATCH(ROW()-1,装备库!$AO$2:$AO$1046,0),COLUMN()),"")</f>
        <v/>
      </c>
      <c r="E739" t="str">
        <f>IFERROR(INDEX(装备库!$A$2:$Y$1047,MATCH(ROW()-1,装备库!$AO$2:$AO$1046,0),COLUMN()),"")</f>
        <v/>
      </c>
      <c r="F739" t="str">
        <f>IFERROR(INDEX(装备库!$A$2:$Y$1047,MATCH(ROW()-1,装备库!$AO$2:$AO$1046,0),COLUMN()),"")</f>
        <v/>
      </c>
      <c r="G739" t="str">
        <f>IFERROR(INDEX(装备库!$A$2:$Y$1047,MATCH(ROW()-1,装备库!$AO$2:$AO$1046,0),COLUMN()),"")</f>
        <v/>
      </c>
      <c r="H739" t="str">
        <f>IFERROR(INDEX(装备库!$A$2:$Y$1047,MATCH(ROW()-1,装备库!$AO$2:$AO$1046,0),COLUMN()),"")</f>
        <v/>
      </c>
      <c r="I739" t="str">
        <f>IFERROR(INDEX(装备库!$A$2:$Y$1047,MATCH(ROW()-1,装备库!$AO$2:$AO$1046,0),COLUMN()),"")</f>
        <v/>
      </c>
      <c r="J739" t="str">
        <f>IFERROR(INDEX(装备库!$A$2:$Y$1047,MATCH(ROW()-1,装备库!$AO$2:$AO$1046,0),COLUMN()),"")</f>
        <v/>
      </c>
      <c r="K739" t="str">
        <f>IFERROR(INDEX(装备库!$A$2:$Y$1047,MATCH(ROW()-1,装备库!$AO$2:$AO$1046,0),COLUMN()),"")</f>
        <v/>
      </c>
      <c r="L739" t="str">
        <f>IFERROR(INDEX(装备库!$A$2:$Y$1047,MATCH(ROW()-1,装备库!$AO$2:$AO$1046,0),COLUMN()),"")</f>
        <v/>
      </c>
      <c r="M739" t="str">
        <f>IFERROR(INDEX(装备库!$A$2:$Y$1047,MATCH(ROW()-1,装备库!$AO$2:$AO$1046,0),COLUMN()),"")</f>
        <v/>
      </c>
      <c r="N739" t="str">
        <f>IFERROR(INDEX(装备库!$A$2:$Y$1047,MATCH(ROW()-1,装备库!$AO$2:$AO$1046,0),COLUMN()),"")</f>
        <v/>
      </c>
      <c r="O739" t="str">
        <f>IFERROR(INDEX(装备库!$A$2:$Y$1047,MATCH(ROW()-1,装备库!$AO$2:$AO$1046,0),COLUMN()),"")</f>
        <v/>
      </c>
      <c r="P739" t="str">
        <f>IFERROR(INDEX(装备库!$A$2:$Y$1047,MATCH(ROW()-1,装备库!$AO$2:$AO$1046,0),COLUMN()),"")</f>
        <v/>
      </c>
      <c r="Q739" t="str">
        <f>IFERROR(INDEX(装备库!$A$2:$Y$1047,MATCH(ROW()-1,装备库!$AO$2:$AO$1046,0),COLUMN()),"")</f>
        <v/>
      </c>
      <c r="R739" t="str">
        <f>IFERROR(INDEX(装备库!$A$2:$Y$1047,MATCH(ROW()-1,装备库!$AO$2:$AO$1046,0),COLUMN()),"")</f>
        <v/>
      </c>
      <c r="S739" t="str">
        <f>IFERROR(INDEX(装备库!$A$2:$Y$1047,MATCH(ROW()-1,装备库!$AO$2:$AO$1046,0),COLUMN()),"")</f>
        <v/>
      </c>
      <c r="T739" t="str">
        <f>IFERROR(INDEX(装备库!$A$2:$Y$1047,MATCH(ROW()-1,装备库!$AO$2:$AO$1046,0),COLUMN()),"")</f>
        <v/>
      </c>
      <c r="U739" t="str">
        <f>IFERROR(INDEX(装备库!$A$2:$Y$1047,MATCH(ROW()-1,装备库!$AO$2:$AO$1046,0),COLUMN()),"")</f>
        <v/>
      </c>
      <c r="V739" t="str">
        <f>IFERROR(INDEX(装备库!$A$2:$Y$1047,MATCH(ROW()-1,装备库!$AO$2:$AO$1046,0),COLUMN()),"")</f>
        <v/>
      </c>
      <c r="W739" t="str">
        <f>IFERROR(INDEX(装备库!$A$2:$Y$1047,MATCH(ROW()-1,装备库!$AO$2:$AO$1046,0),COLUMN()),"")</f>
        <v/>
      </c>
      <c r="X739" t="str">
        <f>IFERROR(INDEX(装备库!$A$2:$Y$1047,MATCH(ROW()-1,装备库!$AO$2:$AO$1046,0),COLUMN()),"")</f>
        <v/>
      </c>
      <c r="Y739" t="str">
        <f>IFERROR(INDEX(装备库!$A$2:$Y$1047,MATCH(ROW()-1,装备库!$AO$2:$AO$1046,0),COLUMN()),"")</f>
        <v/>
      </c>
    </row>
    <row r="740" spans="1:25" x14ac:dyDescent="0.35">
      <c r="A740" t="str">
        <f>IFERROR(INDEX(装备库!$A$2:$Y$1047,MATCH(ROW()-1,装备库!$AO$2:$AO$1046,0),COLUMN()),"")</f>
        <v/>
      </c>
      <c r="B740" t="str">
        <f>IFERROR(INDEX(装备库!$A$2:$Y$1047,MATCH(ROW()-1,装备库!$AO$2:$AO$1046,0),COLUMN()),"")</f>
        <v/>
      </c>
      <c r="C740" t="str">
        <f>IFERROR(INDEX(装备库!$A$2:$Y$1047,MATCH(ROW()-1,装备库!$AO$2:$AO$1046,0),COLUMN()),"")</f>
        <v/>
      </c>
      <c r="D740" t="str">
        <f>IFERROR(INDEX(装备库!$A$2:$Y$1047,MATCH(ROW()-1,装备库!$AO$2:$AO$1046,0),COLUMN()),"")</f>
        <v/>
      </c>
      <c r="E740" t="str">
        <f>IFERROR(INDEX(装备库!$A$2:$Y$1047,MATCH(ROW()-1,装备库!$AO$2:$AO$1046,0),COLUMN()),"")</f>
        <v/>
      </c>
      <c r="F740" t="str">
        <f>IFERROR(INDEX(装备库!$A$2:$Y$1047,MATCH(ROW()-1,装备库!$AO$2:$AO$1046,0),COLUMN()),"")</f>
        <v/>
      </c>
      <c r="G740" t="str">
        <f>IFERROR(INDEX(装备库!$A$2:$Y$1047,MATCH(ROW()-1,装备库!$AO$2:$AO$1046,0),COLUMN()),"")</f>
        <v/>
      </c>
      <c r="H740" t="str">
        <f>IFERROR(INDEX(装备库!$A$2:$Y$1047,MATCH(ROW()-1,装备库!$AO$2:$AO$1046,0),COLUMN()),"")</f>
        <v/>
      </c>
      <c r="I740" t="str">
        <f>IFERROR(INDEX(装备库!$A$2:$Y$1047,MATCH(ROW()-1,装备库!$AO$2:$AO$1046,0),COLUMN()),"")</f>
        <v/>
      </c>
      <c r="J740" t="str">
        <f>IFERROR(INDEX(装备库!$A$2:$Y$1047,MATCH(ROW()-1,装备库!$AO$2:$AO$1046,0),COLUMN()),"")</f>
        <v/>
      </c>
      <c r="K740" t="str">
        <f>IFERROR(INDEX(装备库!$A$2:$Y$1047,MATCH(ROW()-1,装备库!$AO$2:$AO$1046,0),COLUMN()),"")</f>
        <v/>
      </c>
      <c r="L740" t="str">
        <f>IFERROR(INDEX(装备库!$A$2:$Y$1047,MATCH(ROW()-1,装备库!$AO$2:$AO$1046,0),COLUMN()),"")</f>
        <v/>
      </c>
      <c r="M740" t="str">
        <f>IFERROR(INDEX(装备库!$A$2:$Y$1047,MATCH(ROW()-1,装备库!$AO$2:$AO$1046,0),COLUMN()),"")</f>
        <v/>
      </c>
      <c r="N740" t="str">
        <f>IFERROR(INDEX(装备库!$A$2:$Y$1047,MATCH(ROW()-1,装备库!$AO$2:$AO$1046,0),COLUMN()),"")</f>
        <v/>
      </c>
      <c r="O740" t="str">
        <f>IFERROR(INDEX(装备库!$A$2:$Y$1047,MATCH(ROW()-1,装备库!$AO$2:$AO$1046,0),COLUMN()),"")</f>
        <v/>
      </c>
      <c r="P740" t="str">
        <f>IFERROR(INDEX(装备库!$A$2:$Y$1047,MATCH(ROW()-1,装备库!$AO$2:$AO$1046,0),COLUMN()),"")</f>
        <v/>
      </c>
      <c r="Q740" t="str">
        <f>IFERROR(INDEX(装备库!$A$2:$Y$1047,MATCH(ROW()-1,装备库!$AO$2:$AO$1046,0),COLUMN()),"")</f>
        <v/>
      </c>
      <c r="R740" t="str">
        <f>IFERROR(INDEX(装备库!$A$2:$Y$1047,MATCH(ROW()-1,装备库!$AO$2:$AO$1046,0),COLUMN()),"")</f>
        <v/>
      </c>
      <c r="S740" t="str">
        <f>IFERROR(INDEX(装备库!$A$2:$Y$1047,MATCH(ROW()-1,装备库!$AO$2:$AO$1046,0),COLUMN()),"")</f>
        <v/>
      </c>
      <c r="T740" t="str">
        <f>IFERROR(INDEX(装备库!$A$2:$Y$1047,MATCH(ROW()-1,装备库!$AO$2:$AO$1046,0),COLUMN()),"")</f>
        <v/>
      </c>
      <c r="U740" t="str">
        <f>IFERROR(INDEX(装备库!$A$2:$Y$1047,MATCH(ROW()-1,装备库!$AO$2:$AO$1046,0),COLUMN()),"")</f>
        <v/>
      </c>
      <c r="V740" t="str">
        <f>IFERROR(INDEX(装备库!$A$2:$Y$1047,MATCH(ROW()-1,装备库!$AO$2:$AO$1046,0),COLUMN()),"")</f>
        <v/>
      </c>
      <c r="W740" t="str">
        <f>IFERROR(INDEX(装备库!$A$2:$Y$1047,MATCH(ROW()-1,装备库!$AO$2:$AO$1046,0),COLUMN()),"")</f>
        <v/>
      </c>
      <c r="X740" t="str">
        <f>IFERROR(INDEX(装备库!$A$2:$Y$1047,MATCH(ROW()-1,装备库!$AO$2:$AO$1046,0),COLUMN()),"")</f>
        <v/>
      </c>
      <c r="Y740" t="str">
        <f>IFERROR(INDEX(装备库!$A$2:$Y$1047,MATCH(ROW()-1,装备库!$AO$2:$AO$1046,0),COLUMN()),"")</f>
        <v/>
      </c>
    </row>
    <row r="741" spans="1:25" x14ac:dyDescent="0.35">
      <c r="A741" t="str">
        <f>IFERROR(INDEX(装备库!$A$2:$Y$1047,MATCH(ROW()-1,装备库!$AO$2:$AO$1046,0),COLUMN()),"")</f>
        <v/>
      </c>
      <c r="B741" t="str">
        <f>IFERROR(INDEX(装备库!$A$2:$Y$1047,MATCH(ROW()-1,装备库!$AO$2:$AO$1046,0),COLUMN()),"")</f>
        <v/>
      </c>
      <c r="C741" t="str">
        <f>IFERROR(INDEX(装备库!$A$2:$Y$1047,MATCH(ROW()-1,装备库!$AO$2:$AO$1046,0),COLUMN()),"")</f>
        <v/>
      </c>
      <c r="D741" t="str">
        <f>IFERROR(INDEX(装备库!$A$2:$Y$1047,MATCH(ROW()-1,装备库!$AO$2:$AO$1046,0),COLUMN()),"")</f>
        <v/>
      </c>
      <c r="E741" t="str">
        <f>IFERROR(INDEX(装备库!$A$2:$Y$1047,MATCH(ROW()-1,装备库!$AO$2:$AO$1046,0),COLUMN()),"")</f>
        <v/>
      </c>
      <c r="F741" t="str">
        <f>IFERROR(INDEX(装备库!$A$2:$Y$1047,MATCH(ROW()-1,装备库!$AO$2:$AO$1046,0),COLUMN()),"")</f>
        <v/>
      </c>
      <c r="G741" t="str">
        <f>IFERROR(INDEX(装备库!$A$2:$Y$1047,MATCH(ROW()-1,装备库!$AO$2:$AO$1046,0),COLUMN()),"")</f>
        <v/>
      </c>
      <c r="H741" t="str">
        <f>IFERROR(INDEX(装备库!$A$2:$Y$1047,MATCH(ROW()-1,装备库!$AO$2:$AO$1046,0),COLUMN()),"")</f>
        <v/>
      </c>
      <c r="I741" t="str">
        <f>IFERROR(INDEX(装备库!$A$2:$Y$1047,MATCH(ROW()-1,装备库!$AO$2:$AO$1046,0),COLUMN()),"")</f>
        <v/>
      </c>
      <c r="J741" t="str">
        <f>IFERROR(INDEX(装备库!$A$2:$Y$1047,MATCH(ROW()-1,装备库!$AO$2:$AO$1046,0),COLUMN()),"")</f>
        <v/>
      </c>
      <c r="K741" t="str">
        <f>IFERROR(INDEX(装备库!$A$2:$Y$1047,MATCH(ROW()-1,装备库!$AO$2:$AO$1046,0),COLUMN()),"")</f>
        <v/>
      </c>
      <c r="L741" t="str">
        <f>IFERROR(INDEX(装备库!$A$2:$Y$1047,MATCH(ROW()-1,装备库!$AO$2:$AO$1046,0),COLUMN()),"")</f>
        <v/>
      </c>
      <c r="M741" t="str">
        <f>IFERROR(INDEX(装备库!$A$2:$Y$1047,MATCH(ROW()-1,装备库!$AO$2:$AO$1046,0),COLUMN()),"")</f>
        <v/>
      </c>
      <c r="N741" t="str">
        <f>IFERROR(INDEX(装备库!$A$2:$Y$1047,MATCH(ROW()-1,装备库!$AO$2:$AO$1046,0),COLUMN()),"")</f>
        <v/>
      </c>
      <c r="O741" t="str">
        <f>IFERROR(INDEX(装备库!$A$2:$Y$1047,MATCH(ROW()-1,装备库!$AO$2:$AO$1046,0),COLUMN()),"")</f>
        <v/>
      </c>
      <c r="P741" t="str">
        <f>IFERROR(INDEX(装备库!$A$2:$Y$1047,MATCH(ROW()-1,装备库!$AO$2:$AO$1046,0),COLUMN()),"")</f>
        <v/>
      </c>
      <c r="Q741" t="str">
        <f>IFERROR(INDEX(装备库!$A$2:$Y$1047,MATCH(ROW()-1,装备库!$AO$2:$AO$1046,0),COLUMN()),"")</f>
        <v/>
      </c>
      <c r="R741" t="str">
        <f>IFERROR(INDEX(装备库!$A$2:$Y$1047,MATCH(ROW()-1,装备库!$AO$2:$AO$1046,0),COLUMN()),"")</f>
        <v/>
      </c>
      <c r="S741" t="str">
        <f>IFERROR(INDEX(装备库!$A$2:$Y$1047,MATCH(ROW()-1,装备库!$AO$2:$AO$1046,0),COLUMN()),"")</f>
        <v/>
      </c>
      <c r="T741" t="str">
        <f>IFERROR(INDEX(装备库!$A$2:$Y$1047,MATCH(ROW()-1,装备库!$AO$2:$AO$1046,0),COLUMN()),"")</f>
        <v/>
      </c>
      <c r="U741" t="str">
        <f>IFERROR(INDEX(装备库!$A$2:$Y$1047,MATCH(ROW()-1,装备库!$AO$2:$AO$1046,0),COLUMN()),"")</f>
        <v/>
      </c>
      <c r="V741" t="str">
        <f>IFERROR(INDEX(装备库!$A$2:$Y$1047,MATCH(ROW()-1,装备库!$AO$2:$AO$1046,0),COLUMN()),"")</f>
        <v/>
      </c>
      <c r="W741" t="str">
        <f>IFERROR(INDEX(装备库!$A$2:$Y$1047,MATCH(ROW()-1,装备库!$AO$2:$AO$1046,0),COLUMN()),"")</f>
        <v/>
      </c>
      <c r="X741" t="str">
        <f>IFERROR(INDEX(装备库!$A$2:$Y$1047,MATCH(ROW()-1,装备库!$AO$2:$AO$1046,0),COLUMN()),"")</f>
        <v/>
      </c>
      <c r="Y741" t="str">
        <f>IFERROR(INDEX(装备库!$A$2:$Y$1047,MATCH(ROW()-1,装备库!$AO$2:$AO$1046,0),COLUMN()),"")</f>
        <v/>
      </c>
    </row>
    <row r="742" spans="1:25" x14ac:dyDescent="0.35">
      <c r="A742" t="str">
        <f>IFERROR(INDEX(装备库!$A$2:$Y$1047,MATCH(ROW()-1,装备库!$AO$2:$AO$1046,0),COLUMN()),"")</f>
        <v/>
      </c>
      <c r="B742" t="str">
        <f>IFERROR(INDEX(装备库!$A$2:$Y$1047,MATCH(ROW()-1,装备库!$AO$2:$AO$1046,0),COLUMN()),"")</f>
        <v/>
      </c>
      <c r="C742" t="str">
        <f>IFERROR(INDEX(装备库!$A$2:$Y$1047,MATCH(ROW()-1,装备库!$AO$2:$AO$1046,0),COLUMN()),"")</f>
        <v/>
      </c>
      <c r="D742" t="str">
        <f>IFERROR(INDEX(装备库!$A$2:$Y$1047,MATCH(ROW()-1,装备库!$AO$2:$AO$1046,0),COLUMN()),"")</f>
        <v/>
      </c>
      <c r="E742" t="str">
        <f>IFERROR(INDEX(装备库!$A$2:$Y$1047,MATCH(ROW()-1,装备库!$AO$2:$AO$1046,0),COLUMN()),"")</f>
        <v/>
      </c>
      <c r="F742" t="str">
        <f>IFERROR(INDEX(装备库!$A$2:$Y$1047,MATCH(ROW()-1,装备库!$AO$2:$AO$1046,0),COLUMN()),"")</f>
        <v/>
      </c>
      <c r="G742" t="str">
        <f>IFERROR(INDEX(装备库!$A$2:$Y$1047,MATCH(ROW()-1,装备库!$AO$2:$AO$1046,0),COLUMN()),"")</f>
        <v/>
      </c>
      <c r="H742" t="str">
        <f>IFERROR(INDEX(装备库!$A$2:$Y$1047,MATCH(ROW()-1,装备库!$AO$2:$AO$1046,0),COLUMN()),"")</f>
        <v/>
      </c>
      <c r="I742" t="str">
        <f>IFERROR(INDEX(装备库!$A$2:$Y$1047,MATCH(ROW()-1,装备库!$AO$2:$AO$1046,0),COLUMN()),"")</f>
        <v/>
      </c>
      <c r="J742" t="str">
        <f>IFERROR(INDEX(装备库!$A$2:$Y$1047,MATCH(ROW()-1,装备库!$AO$2:$AO$1046,0),COLUMN()),"")</f>
        <v/>
      </c>
      <c r="K742" t="str">
        <f>IFERROR(INDEX(装备库!$A$2:$Y$1047,MATCH(ROW()-1,装备库!$AO$2:$AO$1046,0),COLUMN()),"")</f>
        <v/>
      </c>
      <c r="L742" t="str">
        <f>IFERROR(INDEX(装备库!$A$2:$Y$1047,MATCH(ROW()-1,装备库!$AO$2:$AO$1046,0),COLUMN()),"")</f>
        <v/>
      </c>
      <c r="M742" t="str">
        <f>IFERROR(INDEX(装备库!$A$2:$Y$1047,MATCH(ROW()-1,装备库!$AO$2:$AO$1046,0),COLUMN()),"")</f>
        <v/>
      </c>
      <c r="N742" t="str">
        <f>IFERROR(INDEX(装备库!$A$2:$Y$1047,MATCH(ROW()-1,装备库!$AO$2:$AO$1046,0),COLUMN()),"")</f>
        <v/>
      </c>
      <c r="O742" t="str">
        <f>IFERROR(INDEX(装备库!$A$2:$Y$1047,MATCH(ROW()-1,装备库!$AO$2:$AO$1046,0),COLUMN()),"")</f>
        <v/>
      </c>
      <c r="P742" t="str">
        <f>IFERROR(INDEX(装备库!$A$2:$Y$1047,MATCH(ROW()-1,装备库!$AO$2:$AO$1046,0),COLUMN()),"")</f>
        <v/>
      </c>
      <c r="Q742" t="str">
        <f>IFERROR(INDEX(装备库!$A$2:$Y$1047,MATCH(ROW()-1,装备库!$AO$2:$AO$1046,0),COLUMN()),"")</f>
        <v/>
      </c>
      <c r="R742" t="str">
        <f>IFERROR(INDEX(装备库!$A$2:$Y$1047,MATCH(ROW()-1,装备库!$AO$2:$AO$1046,0),COLUMN()),"")</f>
        <v/>
      </c>
      <c r="S742" t="str">
        <f>IFERROR(INDEX(装备库!$A$2:$Y$1047,MATCH(ROW()-1,装备库!$AO$2:$AO$1046,0),COLUMN()),"")</f>
        <v/>
      </c>
      <c r="T742" t="str">
        <f>IFERROR(INDEX(装备库!$A$2:$Y$1047,MATCH(ROW()-1,装备库!$AO$2:$AO$1046,0),COLUMN()),"")</f>
        <v/>
      </c>
      <c r="U742" t="str">
        <f>IFERROR(INDEX(装备库!$A$2:$Y$1047,MATCH(ROW()-1,装备库!$AO$2:$AO$1046,0),COLUMN()),"")</f>
        <v/>
      </c>
      <c r="V742" t="str">
        <f>IFERROR(INDEX(装备库!$A$2:$Y$1047,MATCH(ROW()-1,装备库!$AO$2:$AO$1046,0),COLUMN()),"")</f>
        <v/>
      </c>
      <c r="W742" t="str">
        <f>IFERROR(INDEX(装备库!$A$2:$Y$1047,MATCH(ROW()-1,装备库!$AO$2:$AO$1046,0),COLUMN()),"")</f>
        <v/>
      </c>
      <c r="X742" t="str">
        <f>IFERROR(INDEX(装备库!$A$2:$Y$1047,MATCH(ROW()-1,装备库!$AO$2:$AO$1046,0),COLUMN()),"")</f>
        <v/>
      </c>
      <c r="Y742" t="str">
        <f>IFERROR(INDEX(装备库!$A$2:$Y$1047,MATCH(ROW()-1,装备库!$AO$2:$AO$1046,0),COLUMN()),"")</f>
        <v/>
      </c>
    </row>
    <row r="743" spans="1:25" x14ac:dyDescent="0.35">
      <c r="A743" t="str">
        <f>IFERROR(INDEX(装备库!$A$2:$Y$1047,MATCH(ROW()-1,装备库!$AO$2:$AO$1046,0),COLUMN()),"")</f>
        <v/>
      </c>
      <c r="B743" t="str">
        <f>IFERROR(INDEX(装备库!$A$2:$Y$1047,MATCH(ROW()-1,装备库!$AO$2:$AO$1046,0),COLUMN()),"")</f>
        <v/>
      </c>
      <c r="C743" t="str">
        <f>IFERROR(INDEX(装备库!$A$2:$Y$1047,MATCH(ROW()-1,装备库!$AO$2:$AO$1046,0),COLUMN()),"")</f>
        <v/>
      </c>
      <c r="D743" t="str">
        <f>IFERROR(INDEX(装备库!$A$2:$Y$1047,MATCH(ROW()-1,装备库!$AO$2:$AO$1046,0),COLUMN()),"")</f>
        <v/>
      </c>
      <c r="E743" t="str">
        <f>IFERROR(INDEX(装备库!$A$2:$Y$1047,MATCH(ROW()-1,装备库!$AO$2:$AO$1046,0),COLUMN()),"")</f>
        <v/>
      </c>
      <c r="F743" t="str">
        <f>IFERROR(INDEX(装备库!$A$2:$Y$1047,MATCH(ROW()-1,装备库!$AO$2:$AO$1046,0),COLUMN()),"")</f>
        <v/>
      </c>
      <c r="G743" t="str">
        <f>IFERROR(INDEX(装备库!$A$2:$Y$1047,MATCH(ROW()-1,装备库!$AO$2:$AO$1046,0),COLUMN()),"")</f>
        <v/>
      </c>
      <c r="H743" t="str">
        <f>IFERROR(INDEX(装备库!$A$2:$Y$1047,MATCH(ROW()-1,装备库!$AO$2:$AO$1046,0),COLUMN()),"")</f>
        <v/>
      </c>
      <c r="I743" t="str">
        <f>IFERROR(INDEX(装备库!$A$2:$Y$1047,MATCH(ROW()-1,装备库!$AO$2:$AO$1046,0),COLUMN()),"")</f>
        <v/>
      </c>
      <c r="J743" t="str">
        <f>IFERROR(INDEX(装备库!$A$2:$Y$1047,MATCH(ROW()-1,装备库!$AO$2:$AO$1046,0),COLUMN()),"")</f>
        <v/>
      </c>
      <c r="K743" t="str">
        <f>IFERROR(INDEX(装备库!$A$2:$Y$1047,MATCH(ROW()-1,装备库!$AO$2:$AO$1046,0),COLUMN()),"")</f>
        <v/>
      </c>
      <c r="L743" t="str">
        <f>IFERROR(INDEX(装备库!$A$2:$Y$1047,MATCH(ROW()-1,装备库!$AO$2:$AO$1046,0),COLUMN()),"")</f>
        <v/>
      </c>
      <c r="M743" t="str">
        <f>IFERROR(INDEX(装备库!$A$2:$Y$1047,MATCH(ROW()-1,装备库!$AO$2:$AO$1046,0),COLUMN()),"")</f>
        <v/>
      </c>
      <c r="N743" t="str">
        <f>IFERROR(INDEX(装备库!$A$2:$Y$1047,MATCH(ROW()-1,装备库!$AO$2:$AO$1046,0),COLUMN()),"")</f>
        <v/>
      </c>
      <c r="O743" t="str">
        <f>IFERROR(INDEX(装备库!$A$2:$Y$1047,MATCH(ROW()-1,装备库!$AO$2:$AO$1046,0),COLUMN()),"")</f>
        <v/>
      </c>
      <c r="P743" t="str">
        <f>IFERROR(INDEX(装备库!$A$2:$Y$1047,MATCH(ROW()-1,装备库!$AO$2:$AO$1046,0),COLUMN()),"")</f>
        <v/>
      </c>
      <c r="Q743" t="str">
        <f>IFERROR(INDEX(装备库!$A$2:$Y$1047,MATCH(ROW()-1,装备库!$AO$2:$AO$1046,0),COLUMN()),"")</f>
        <v/>
      </c>
      <c r="R743" t="str">
        <f>IFERROR(INDEX(装备库!$A$2:$Y$1047,MATCH(ROW()-1,装备库!$AO$2:$AO$1046,0),COLUMN()),"")</f>
        <v/>
      </c>
      <c r="S743" t="str">
        <f>IFERROR(INDEX(装备库!$A$2:$Y$1047,MATCH(ROW()-1,装备库!$AO$2:$AO$1046,0),COLUMN()),"")</f>
        <v/>
      </c>
      <c r="T743" t="str">
        <f>IFERROR(INDEX(装备库!$A$2:$Y$1047,MATCH(ROW()-1,装备库!$AO$2:$AO$1046,0),COLUMN()),"")</f>
        <v/>
      </c>
      <c r="U743" t="str">
        <f>IFERROR(INDEX(装备库!$A$2:$Y$1047,MATCH(ROW()-1,装备库!$AO$2:$AO$1046,0),COLUMN()),"")</f>
        <v/>
      </c>
      <c r="V743" t="str">
        <f>IFERROR(INDEX(装备库!$A$2:$Y$1047,MATCH(ROW()-1,装备库!$AO$2:$AO$1046,0),COLUMN()),"")</f>
        <v/>
      </c>
      <c r="W743" t="str">
        <f>IFERROR(INDEX(装备库!$A$2:$Y$1047,MATCH(ROW()-1,装备库!$AO$2:$AO$1046,0),COLUMN()),"")</f>
        <v/>
      </c>
      <c r="X743" t="str">
        <f>IFERROR(INDEX(装备库!$A$2:$Y$1047,MATCH(ROW()-1,装备库!$AO$2:$AO$1046,0),COLUMN()),"")</f>
        <v/>
      </c>
      <c r="Y743" t="str">
        <f>IFERROR(INDEX(装备库!$A$2:$Y$1047,MATCH(ROW()-1,装备库!$AO$2:$AO$1046,0),COLUMN()),"")</f>
        <v/>
      </c>
    </row>
    <row r="744" spans="1:25" x14ac:dyDescent="0.35">
      <c r="A744" t="str">
        <f>IFERROR(INDEX(装备库!$A$2:$Y$1047,MATCH(ROW()-1,装备库!$AO$2:$AO$1046,0),COLUMN()),"")</f>
        <v/>
      </c>
      <c r="B744" t="str">
        <f>IFERROR(INDEX(装备库!$A$2:$Y$1047,MATCH(ROW()-1,装备库!$AO$2:$AO$1046,0),COLUMN()),"")</f>
        <v/>
      </c>
      <c r="C744" t="str">
        <f>IFERROR(INDEX(装备库!$A$2:$Y$1047,MATCH(ROW()-1,装备库!$AO$2:$AO$1046,0),COLUMN()),"")</f>
        <v/>
      </c>
      <c r="D744" t="str">
        <f>IFERROR(INDEX(装备库!$A$2:$Y$1047,MATCH(ROW()-1,装备库!$AO$2:$AO$1046,0),COLUMN()),"")</f>
        <v/>
      </c>
      <c r="E744" t="str">
        <f>IFERROR(INDEX(装备库!$A$2:$Y$1047,MATCH(ROW()-1,装备库!$AO$2:$AO$1046,0),COLUMN()),"")</f>
        <v/>
      </c>
      <c r="F744" t="str">
        <f>IFERROR(INDEX(装备库!$A$2:$Y$1047,MATCH(ROW()-1,装备库!$AO$2:$AO$1046,0),COLUMN()),"")</f>
        <v/>
      </c>
      <c r="G744" t="str">
        <f>IFERROR(INDEX(装备库!$A$2:$Y$1047,MATCH(ROW()-1,装备库!$AO$2:$AO$1046,0),COLUMN()),"")</f>
        <v/>
      </c>
      <c r="H744" t="str">
        <f>IFERROR(INDEX(装备库!$A$2:$Y$1047,MATCH(ROW()-1,装备库!$AO$2:$AO$1046,0),COLUMN()),"")</f>
        <v/>
      </c>
      <c r="I744" t="str">
        <f>IFERROR(INDEX(装备库!$A$2:$Y$1047,MATCH(ROW()-1,装备库!$AO$2:$AO$1046,0),COLUMN()),"")</f>
        <v/>
      </c>
      <c r="J744" t="str">
        <f>IFERROR(INDEX(装备库!$A$2:$Y$1047,MATCH(ROW()-1,装备库!$AO$2:$AO$1046,0),COLUMN()),"")</f>
        <v/>
      </c>
      <c r="K744" t="str">
        <f>IFERROR(INDEX(装备库!$A$2:$Y$1047,MATCH(ROW()-1,装备库!$AO$2:$AO$1046,0),COLUMN()),"")</f>
        <v/>
      </c>
      <c r="L744" t="str">
        <f>IFERROR(INDEX(装备库!$A$2:$Y$1047,MATCH(ROW()-1,装备库!$AO$2:$AO$1046,0),COLUMN()),"")</f>
        <v/>
      </c>
      <c r="M744" t="str">
        <f>IFERROR(INDEX(装备库!$A$2:$Y$1047,MATCH(ROW()-1,装备库!$AO$2:$AO$1046,0),COLUMN()),"")</f>
        <v/>
      </c>
      <c r="N744" t="str">
        <f>IFERROR(INDEX(装备库!$A$2:$Y$1047,MATCH(ROW()-1,装备库!$AO$2:$AO$1046,0),COLUMN()),"")</f>
        <v/>
      </c>
      <c r="O744" t="str">
        <f>IFERROR(INDEX(装备库!$A$2:$Y$1047,MATCH(ROW()-1,装备库!$AO$2:$AO$1046,0),COLUMN()),"")</f>
        <v/>
      </c>
      <c r="P744" t="str">
        <f>IFERROR(INDEX(装备库!$A$2:$Y$1047,MATCH(ROW()-1,装备库!$AO$2:$AO$1046,0),COLUMN()),"")</f>
        <v/>
      </c>
      <c r="Q744" t="str">
        <f>IFERROR(INDEX(装备库!$A$2:$Y$1047,MATCH(ROW()-1,装备库!$AO$2:$AO$1046,0),COLUMN()),"")</f>
        <v/>
      </c>
      <c r="R744" t="str">
        <f>IFERROR(INDEX(装备库!$A$2:$Y$1047,MATCH(ROW()-1,装备库!$AO$2:$AO$1046,0),COLUMN()),"")</f>
        <v/>
      </c>
      <c r="S744" t="str">
        <f>IFERROR(INDEX(装备库!$A$2:$Y$1047,MATCH(ROW()-1,装备库!$AO$2:$AO$1046,0),COLUMN()),"")</f>
        <v/>
      </c>
      <c r="T744" t="str">
        <f>IFERROR(INDEX(装备库!$A$2:$Y$1047,MATCH(ROW()-1,装备库!$AO$2:$AO$1046,0),COLUMN()),"")</f>
        <v/>
      </c>
      <c r="U744" t="str">
        <f>IFERROR(INDEX(装备库!$A$2:$Y$1047,MATCH(ROW()-1,装备库!$AO$2:$AO$1046,0),COLUMN()),"")</f>
        <v/>
      </c>
      <c r="V744" t="str">
        <f>IFERROR(INDEX(装备库!$A$2:$Y$1047,MATCH(ROW()-1,装备库!$AO$2:$AO$1046,0),COLUMN()),"")</f>
        <v/>
      </c>
      <c r="W744" t="str">
        <f>IFERROR(INDEX(装备库!$A$2:$Y$1047,MATCH(ROW()-1,装备库!$AO$2:$AO$1046,0),COLUMN()),"")</f>
        <v/>
      </c>
      <c r="X744" t="str">
        <f>IFERROR(INDEX(装备库!$A$2:$Y$1047,MATCH(ROW()-1,装备库!$AO$2:$AO$1046,0),COLUMN()),"")</f>
        <v/>
      </c>
      <c r="Y744" t="str">
        <f>IFERROR(INDEX(装备库!$A$2:$Y$1047,MATCH(ROW()-1,装备库!$AO$2:$AO$1046,0),COLUMN()),"")</f>
        <v/>
      </c>
    </row>
    <row r="745" spans="1:25" x14ac:dyDescent="0.35">
      <c r="A745" t="str">
        <f>IFERROR(INDEX(装备库!$A$2:$Y$1047,MATCH(ROW()-1,装备库!$AO$2:$AO$1046,0),COLUMN()),"")</f>
        <v/>
      </c>
      <c r="B745" t="str">
        <f>IFERROR(INDEX(装备库!$A$2:$Y$1047,MATCH(ROW()-1,装备库!$AO$2:$AO$1046,0),COLUMN()),"")</f>
        <v/>
      </c>
      <c r="C745" t="str">
        <f>IFERROR(INDEX(装备库!$A$2:$Y$1047,MATCH(ROW()-1,装备库!$AO$2:$AO$1046,0),COLUMN()),"")</f>
        <v/>
      </c>
      <c r="D745" t="str">
        <f>IFERROR(INDEX(装备库!$A$2:$Y$1047,MATCH(ROW()-1,装备库!$AO$2:$AO$1046,0),COLUMN()),"")</f>
        <v/>
      </c>
      <c r="E745" t="str">
        <f>IFERROR(INDEX(装备库!$A$2:$Y$1047,MATCH(ROW()-1,装备库!$AO$2:$AO$1046,0),COLUMN()),"")</f>
        <v/>
      </c>
      <c r="F745" t="str">
        <f>IFERROR(INDEX(装备库!$A$2:$Y$1047,MATCH(ROW()-1,装备库!$AO$2:$AO$1046,0),COLUMN()),"")</f>
        <v/>
      </c>
      <c r="G745" t="str">
        <f>IFERROR(INDEX(装备库!$A$2:$Y$1047,MATCH(ROW()-1,装备库!$AO$2:$AO$1046,0),COLUMN()),"")</f>
        <v/>
      </c>
      <c r="H745" t="str">
        <f>IFERROR(INDEX(装备库!$A$2:$Y$1047,MATCH(ROW()-1,装备库!$AO$2:$AO$1046,0),COLUMN()),"")</f>
        <v/>
      </c>
      <c r="I745" t="str">
        <f>IFERROR(INDEX(装备库!$A$2:$Y$1047,MATCH(ROW()-1,装备库!$AO$2:$AO$1046,0),COLUMN()),"")</f>
        <v/>
      </c>
      <c r="J745" t="str">
        <f>IFERROR(INDEX(装备库!$A$2:$Y$1047,MATCH(ROW()-1,装备库!$AO$2:$AO$1046,0),COLUMN()),"")</f>
        <v/>
      </c>
      <c r="K745" t="str">
        <f>IFERROR(INDEX(装备库!$A$2:$Y$1047,MATCH(ROW()-1,装备库!$AO$2:$AO$1046,0),COLUMN()),"")</f>
        <v/>
      </c>
      <c r="L745" t="str">
        <f>IFERROR(INDEX(装备库!$A$2:$Y$1047,MATCH(ROW()-1,装备库!$AO$2:$AO$1046,0),COLUMN()),"")</f>
        <v/>
      </c>
      <c r="M745" t="str">
        <f>IFERROR(INDEX(装备库!$A$2:$Y$1047,MATCH(ROW()-1,装备库!$AO$2:$AO$1046,0),COLUMN()),"")</f>
        <v/>
      </c>
      <c r="N745" t="str">
        <f>IFERROR(INDEX(装备库!$A$2:$Y$1047,MATCH(ROW()-1,装备库!$AO$2:$AO$1046,0),COLUMN()),"")</f>
        <v/>
      </c>
      <c r="O745" t="str">
        <f>IFERROR(INDEX(装备库!$A$2:$Y$1047,MATCH(ROW()-1,装备库!$AO$2:$AO$1046,0),COLUMN()),"")</f>
        <v/>
      </c>
      <c r="P745" t="str">
        <f>IFERROR(INDEX(装备库!$A$2:$Y$1047,MATCH(ROW()-1,装备库!$AO$2:$AO$1046,0),COLUMN()),"")</f>
        <v/>
      </c>
      <c r="Q745" t="str">
        <f>IFERROR(INDEX(装备库!$A$2:$Y$1047,MATCH(ROW()-1,装备库!$AO$2:$AO$1046,0),COLUMN()),"")</f>
        <v/>
      </c>
      <c r="R745" t="str">
        <f>IFERROR(INDEX(装备库!$A$2:$Y$1047,MATCH(ROW()-1,装备库!$AO$2:$AO$1046,0),COLUMN()),"")</f>
        <v/>
      </c>
      <c r="S745" t="str">
        <f>IFERROR(INDEX(装备库!$A$2:$Y$1047,MATCH(ROW()-1,装备库!$AO$2:$AO$1046,0),COLUMN()),"")</f>
        <v/>
      </c>
      <c r="T745" t="str">
        <f>IFERROR(INDEX(装备库!$A$2:$Y$1047,MATCH(ROW()-1,装备库!$AO$2:$AO$1046,0),COLUMN()),"")</f>
        <v/>
      </c>
      <c r="U745" t="str">
        <f>IFERROR(INDEX(装备库!$A$2:$Y$1047,MATCH(ROW()-1,装备库!$AO$2:$AO$1046,0),COLUMN()),"")</f>
        <v/>
      </c>
      <c r="V745" t="str">
        <f>IFERROR(INDEX(装备库!$A$2:$Y$1047,MATCH(ROW()-1,装备库!$AO$2:$AO$1046,0),COLUMN()),"")</f>
        <v/>
      </c>
      <c r="W745" t="str">
        <f>IFERROR(INDEX(装备库!$A$2:$Y$1047,MATCH(ROW()-1,装备库!$AO$2:$AO$1046,0),COLUMN()),"")</f>
        <v/>
      </c>
      <c r="X745" t="str">
        <f>IFERROR(INDEX(装备库!$A$2:$Y$1047,MATCH(ROW()-1,装备库!$AO$2:$AO$1046,0),COLUMN()),"")</f>
        <v/>
      </c>
      <c r="Y745" t="str">
        <f>IFERROR(INDEX(装备库!$A$2:$Y$1047,MATCH(ROW()-1,装备库!$AO$2:$AO$1046,0),COLUMN()),"")</f>
        <v/>
      </c>
    </row>
    <row r="746" spans="1:25" x14ac:dyDescent="0.35">
      <c r="A746" t="str">
        <f>IFERROR(INDEX(装备库!$A$2:$Y$1047,MATCH(ROW()-1,装备库!$AO$2:$AO$1046,0),COLUMN()),"")</f>
        <v/>
      </c>
      <c r="B746" t="str">
        <f>IFERROR(INDEX(装备库!$A$2:$Y$1047,MATCH(ROW()-1,装备库!$AO$2:$AO$1046,0),COLUMN()),"")</f>
        <v/>
      </c>
      <c r="C746" t="str">
        <f>IFERROR(INDEX(装备库!$A$2:$Y$1047,MATCH(ROW()-1,装备库!$AO$2:$AO$1046,0),COLUMN()),"")</f>
        <v/>
      </c>
      <c r="D746" t="str">
        <f>IFERROR(INDEX(装备库!$A$2:$Y$1047,MATCH(ROW()-1,装备库!$AO$2:$AO$1046,0),COLUMN()),"")</f>
        <v/>
      </c>
      <c r="E746" t="str">
        <f>IFERROR(INDEX(装备库!$A$2:$Y$1047,MATCH(ROW()-1,装备库!$AO$2:$AO$1046,0),COLUMN()),"")</f>
        <v/>
      </c>
      <c r="F746" t="str">
        <f>IFERROR(INDEX(装备库!$A$2:$Y$1047,MATCH(ROW()-1,装备库!$AO$2:$AO$1046,0),COLUMN()),"")</f>
        <v/>
      </c>
      <c r="G746" t="str">
        <f>IFERROR(INDEX(装备库!$A$2:$Y$1047,MATCH(ROW()-1,装备库!$AO$2:$AO$1046,0),COLUMN()),"")</f>
        <v/>
      </c>
      <c r="H746" t="str">
        <f>IFERROR(INDEX(装备库!$A$2:$Y$1047,MATCH(ROW()-1,装备库!$AO$2:$AO$1046,0),COLUMN()),"")</f>
        <v/>
      </c>
      <c r="I746" t="str">
        <f>IFERROR(INDEX(装备库!$A$2:$Y$1047,MATCH(ROW()-1,装备库!$AO$2:$AO$1046,0),COLUMN()),"")</f>
        <v/>
      </c>
      <c r="J746" t="str">
        <f>IFERROR(INDEX(装备库!$A$2:$Y$1047,MATCH(ROW()-1,装备库!$AO$2:$AO$1046,0),COLUMN()),"")</f>
        <v/>
      </c>
      <c r="K746" t="str">
        <f>IFERROR(INDEX(装备库!$A$2:$Y$1047,MATCH(ROW()-1,装备库!$AO$2:$AO$1046,0),COLUMN()),"")</f>
        <v/>
      </c>
      <c r="L746" t="str">
        <f>IFERROR(INDEX(装备库!$A$2:$Y$1047,MATCH(ROW()-1,装备库!$AO$2:$AO$1046,0),COLUMN()),"")</f>
        <v/>
      </c>
      <c r="M746" t="str">
        <f>IFERROR(INDEX(装备库!$A$2:$Y$1047,MATCH(ROW()-1,装备库!$AO$2:$AO$1046,0),COLUMN()),"")</f>
        <v/>
      </c>
      <c r="N746" t="str">
        <f>IFERROR(INDEX(装备库!$A$2:$Y$1047,MATCH(ROW()-1,装备库!$AO$2:$AO$1046,0),COLUMN()),"")</f>
        <v/>
      </c>
      <c r="O746" t="str">
        <f>IFERROR(INDEX(装备库!$A$2:$Y$1047,MATCH(ROW()-1,装备库!$AO$2:$AO$1046,0),COLUMN()),"")</f>
        <v/>
      </c>
      <c r="P746" t="str">
        <f>IFERROR(INDEX(装备库!$A$2:$Y$1047,MATCH(ROW()-1,装备库!$AO$2:$AO$1046,0),COLUMN()),"")</f>
        <v/>
      </c>
      <c r="Q746" t="str">
        <f>IFERROR(INDEX(装备库!$A$2:$Y$1047,MATCH(ROW()-1,装备库!$AO$2:$AO$1046,0),COLUMN()),"")</f>
        <v/>
      </c>
      <c r="R746" t="str">
        <f>IFERROR(INDEX(装备库!$A$2:$Y$1047,MATCH(ROW()-1,装备库!$AO$2:$AO$1046,0),COLUMN()),"")</f>
        <v/>
      </c>
      <c r="S746" t="str">
        <f>IFERROR(INDEX(装备库!$A$2:$Y$1047,MATCH(ROW()-1,装备库!$AO$2:$AO$1046,0),COLUMN()),"")</f>
        <v/>
      </c>
      <c r="T746" t="str">
        <f>IFERROR(INDEX(装备库!$A$2:$Y$1047,MATCH(ROW()-1,装备库!$AO$2:$AO$1046,0),COLUMN()),"")</f>
        <v/>
      </c>
      <c r="U746" t="str">
        <f>IFERROR(INDEX(装备库!$A$2:$Y$1047,MATCH(ROW()-1,装备库!$AO$2:$AO$1046,0),COLUMN()),"")</f>
        <v/>
      </c>
      <c r="V746" t="str">
        <f>IFERROR(INDEX(装备库!$A$2:$Y$1047,MATCH(ROW()-1,装备库!$AO$2:$AO$1046,0),COLUMN()),"")</f>
        <v/>
      </c>
      <c r="W746" t="str">
        <f>IFERROR(INDEX(装备库!$A$2:$Y$1047,MATCH(ROW()-1,装备库!$AO$2:$AO$1046,0),COLUMN()),"")</f>
        <v/>
      </c>
      <c r="X746" t="str">
        <f>IFERROR(INDEX(装备库!$A$2:$Y$1047,MATCH(ROW()-1,装备库!$AO$2:$AO$1046,0),COLUMN()),"")</f>
        <v/>
      </c>
      <c r="Y746" t="str">
        <f>IFERROR(INDEX(装备库!$A$2:$Y$1047,MATCH(ROW()-1,装备库!$AO$2:$AO$1046,0),COLUMN()),"")</f>
        <v/>
      </c>
    </row>
    <row r="747" spans="1:25" x14ac:dyDescent="0.35">
      <c r="A747" t="str">
        <f>IFERROR(INDEX(装备库!$A$2:$Y$1047,MATCH(ROW()-1,装备库!$AO$2:$AO$1046,0),COLUMN()),"")</f>
        <v/>
      </c>
      <c r="B747" t="str">
        <f>IFERROR(INDEX(装备库!$A$2:$Y$1047,MATCH(ROW()-1,装备库!$AO$2:$AO$1046,0),COLUMN()),"")</f>
        <v/>
      </c>
      <c r="C747" t="str">
        <f>IFERROR(INDEX(装备库!$A$2:$Y$1047,MATCH(ROW()-1,装备库!$AO$2:$AO$1046,0),COLUMN()),"")</f>
        <v/>
      </c>
      <c r="D747" t="str">
        <f>IFERROR(INDEX(装备库!$A$2:$Y$1047,MATCH(ROW()-1,装备库!$AO$2:$AO$1046,0),COLUMN()),"")</f>
        <v/>
      </c>
      <c r="E747" t="str">
        <f>IFERROR(INDEX(装备库!$A$2:$Y$1047,MATCH(ROW()-1,装备库!$AO$2:$AO$1046,0),COLUMN()),"")</f>
        <v/>
      </c>
      <c r="F747" t="str">
        <f>IFERROR(INDEX(装备库!$A$2:$Y$1047,MATCH(ROW()-1,装备库!$AO$2:$AO$1046,0),COLUMN()),"")</f>
        <v/>
      </c>
      <c r="G747" t="str">
        <f>IFERROR(INDEX(装备库!$A$2:$Y$1047,MATCH(ROW()-1,装备库!$AO$2:$AO$1046,0),COLUMN()),"")</f>
        <v/>
      </c>
      <c r="H747" t="str">
        <f>IFERROR(INDEX(装备库!$A$2:$Y$1047,MATCH(ROW()-1,装备库!$AO$2:$AO$1046,0),COLUMN()),"")</f>
        <v/>
      </c>
      <c r="I747" t="str">
        <f>IFERROR(INDEX(装备库!$A$2:$Y$1047,MATCH(ROW()-1,装备库!$AO$2:$AO$1046,0),COLUMN()),"")</f>
        <v/>
      </c>
      <c r="J747" t="str">
        <f>IFERROR(INDEX(装备库!$A$2:$Y$1047,MATCH(ROW()-1,装备库!$AO$2:$AO$1046,0),COLUMN()),"")</f>
        <v/>
      </c>
      <c r="K747" t="str">
        <f>IFERROR(INDEX(装备库!$A$2:$Y$1047,MATCH(ROW()-1,装备库!$AO$2:$AO$1046,0),COLUMN()),"")</f>
        <v/>
      </c>
      <c r="L747" t="str">
        <f>IFERROR(INDEX(装备库!$A$2:$Y$1047,MATCH(ROW()-1,装备库!$AO$2:$AO$1046,0),COLUMN()),"")</f>
        <v/>
      </c>
      <c r="M747" t="str">
        <f>IFERROR(INDEX(装备库!$A$2:$Y$1047,MATCH(ROW()-1,装备库!$AO$2:$AO$1046,0),COLUMN()),"")</f>
        <v/>
      </c>
      <c r="N747" t="str">
        <f>IFERROR(INDEX(装备库!$A$2:$Y$1047,MATCH(ROW()-1,装备库!$AO$2:$AO$1046,0),COLUMN()),"")</f>
        <v/>
      </c>
      <c r="O747" t="str">
        <f>IFERROR(INDEX(装备库!$A$2:$Y$1047,MATCH(ROW()-1,装备库!$AO$2:$AO$1046,0),COLUMN()),"")</f>
        <v/>
      </c>
      <c r="P747" t="str">
        <f>IFERROR(INDEX(装备库!$A$2:$Y$1047,MATCH(ROW()-1,装备库!$AO$2:$AO$1046,0),COLUMN()),"")</f>
        <v/>
      </c>
      <c r="Q747" t="str">
        <f>IFERROR(INDEX(装备库!$A$2:$Y$1047,MATCH(ROW()-1,装备库!$AO$2:$AO$1046,0),COLUMN()),"")</f>
        <v/>
      </c>
      <c r="R747" t="str">
        <f>IFERROR(INDEX(装备库!$A$2:$Y$1047,MATCH(ROW()-1,装备库!$AO$2:$AO$1046,0),COLUMN()),"")</f>
        <v/>
      </c>
      <c r="S747" t="str">
        <f>IFERROR(INDEX(装备库!$A$2:$Y$1047,MATCH(ROW()-1,装备库!$AO$2:$AO$1046,0),COLUMN()),"")</f>
        <v/>
      </c>
      <c r="T747" t="str">
        <f>IFERROR(INDEX(装备库!$A$2:$Y$1047,MATCH(ROW()-1,装备库!$AO$2:$AO$1046,0),COLUMN()),"")</f>
        <v/>
      </c>
      <c r="U747" t="str">
        <f>IFERROR(INDEX(装备库!$A$2:$Y$1047,MATCH(ROW()-1,装备库!$AO$2:$AO$1046,0),COLUMN()),"")</f>
        <v/>
      </c>
      <c r="V747" t="str">
        <f>IFERROR(INDEX(装备库!$A$2:$Y$1047,MATCH(ROW()-1,装备库!$AO$2:$AO$1046,0),COLUMN()),"")</f>
        <v/>
      </c>
      <c r="W747" t="str">
        <f>IFERROR(INDEX(装备库!$A$2:$Y$1047,MATCH(ROW()-1,装备库!$AO$2:$AO$1046,0),COLUMN()),"")</f>
        <v/>
      </c>
      <c r="X747" t="str">
        <f>IFERROR(INDEX(装备库!$A$2:$Y$1047,MATCH(ROW()-1,装备库!$AO$2:$AO$1046,0),COLUMN()),"")</f>
        <v/>
      </c>
      <c r="Y747" t="str">
        <f>IFERROR(INDEX(装备库!$A$2:$Y$1047,MATCH(ROW()-1,装备库!$AO$2:$AO$1046,0),COLUMN()),"")</f>
        <v/>
      </c>
    </row>
    <row r="748" spans="1:25" x14ac:dyDescent="0.35">
      <c r="A748" t="str">
        <f>IFERROR(INDEX(装备库!$A$2:$Y$1047,MATCH(ROW()-1,装备库!$AO$2:$AO$1046,0),COLUMN()),"")</f>
        <v/>
      </c>
      <c r="B748" t="str">
        <f>IFERROR(INDEX(装备库!$A$2:$Y$1047,MATCH(ROW()-1,装备库!$AO$2:$AO$1046,0),COLUMN()),"")</f>
        <v/>
      </c>
      <c r="C748" t="str">
        <f>IFERROR(INDEX(装备库!$A$2:$Y$1047,MATCH(ROW()-1,装备库!$AO$2:$AO$1046,0),COLUMN()),"")</f>
        <v/>
      </c>
      <c r="D748" t="str">
        <f>IFERROR(INDEX(装备库!$A$2:$Y$1047,MATCH(ROW()-1,装备库!$AO$2:$AO$1046,0),COLUMN()),"")</f>
        <v/>
      </c>
      <c r="E748" t="str">
        <f>IFERROR(INDEX(装备库!$A$2:$Y$1047,MATCH(ROW()-1,装备库!$AO$2:$AO$1046,0),COLUMN()),"")</f>
        <v/>
      </c>
      <c r="F748" t="str">
        <f>IFERROR(INDEX(装备库!$A$2:$Y$1047,MATCH(ROW()-1,装备库!$AO$2:$AO$1046,0),COLUMN()),"")</f>
        <v/>
      </c>
      <c r="G748" t="str">
        <f>IFERROR(INDEX(装备库!$A$2:$Y$1047,MATCH(ROW()-1,装备库!$AO$2:$AO$1046,0),COLUMN()),"")</f>
        <v/>
      </c>
      <c r="H748" t="str">
        <f>IFERROR(INDEX(装备库!$A$2:$Y$1047,MATCH(ROW()-1,装备库!$AO$2:$AO$1046,0),COLUMN()),"")</f>
        <v/>
      </c>
      <c r="I748" t="str">
        <f>IFERROR(INDEX(装备库!$A$2:$Y$1047,MATCH(ROW()-1,装备库!$AO$2:$AO$1046,0),COLUMN()),"")</f>
        <v/>
      </c>
      <c r="J748" t="str">
        <f>IFERROR(INDEX(装备库!$A$2:$Y$1047,MATCH(ROW()-1,装备库!$AO$2:$AO$1046,0),COLUMN()),"")</f>
        <v/>
      </c>
      <c r="K748" t="str">
        <f>IFERROR(INDEX(装备库!$A$2:$Y$1047,MATCH(ROW()-1,装备库!$AO$2:$AO$1046,0),COLUMN()),"")</f>
        <v/>
      </c>
      <c r="L748" t="str">
        <f>IFERROR(INDEX(装备库!$A$2:$Y$1047,MATCH(ROW()-1,装备库!$AO$2:$AO$1046,0),COLUMN()),"")</f>
        <v/>
      </c>
      <c r="M748" t="str">
        <f>IFERROR(INDEX(装备库!$A$2:$Y$1047,MATCH(ROW()-1,装备库!$AO$2:$AO$1046,0),COLUMN()),"")</f>
        <v/>
      </c>
      <c r="N748" t="str">
        <f>IFERROR(INDEX(装备库!$A$2:$Y$1047,MATCH(ROW()-1,装备库!$AO$2:$AO$1046,0),COLUMN()),"")</f>
        <v/>
      </c>
      <c r="O748" t="str">
        <f>IFERROR(INDEX(装备库!$A$2:$Y$1047,MATCH(ROW()-1,装备库!$AO$2:$AO$1046,0),COLUMN()),"")</f>
        <v/>
      </c>
      <c r="P748" t="str">
        <f>IFERROR(INDEX(装备库!$A$2:$Y$1047,MATCH(ROW()-1,装备库!$AO$2:$AO$1046,0),COLUMN()),"")</f>
        <v/>
      </c>
      <c r="Q748" t="str">
        <f>IFERROR(INDEX(装备库!$A$2:$Y$1047,MATCH(ROW()-1,装备库!$AO$2:$AO$1046,0),COLUMN()),"")</f>
        <v/>
      </c>
      <c r="R748" t="str">
        <f>IFERROR(INDEX(装备库!$A$2:$Y$1047,MATCH(ROW()-1,装备库!$AO$2:$AO$1046,0),COLUMN()),"")</f>
        <v/>
      </c>
      <c r="S748" t="str">
        <f>IFERROR(INDEX(装备库!$A$2:$Y$1047,MATCH(ROW()-1,装备库!$AO$2:$AO$1046,0),COLUMN()),"")</f>
        <v/>
      </c>
      <c r="T748" t="str">
        <f>IFERROR(INDEX(装备库!$A$2:$Y$1047,MATCH(ROW()-1,装备库!$AO$2:$AO$1046,0),COLUMN()),"")</f>
        <v/>
      </c>
      <c r="U748" t="str">
        <f>IFERROR(INDEX(装备库!$A$2:$Y$1047,MATCH(ROW()-1,装备库!$AO$2:$AO$1046,0),COLUMN()),"")</f>
        <v/>
      </c>
      <c r="V748" t="str">
        <f>IFERROR(INDEX(装备库!$A$2:$Y$1047,MATCH(ROW()-1,装备库!$AO$2:$AO$1046,0),COLUMN()),"")</f>
        <v/>
      </c>
      <c r="W748" t="str">
        <f>IFERROR(INDEX(装备库!$A$2:$Y$1047,MATCH(ROW()-1,装备库!$AO$2:$AO$1046,0),COLUMN()),"")</f>
        <v/>
      </c>
      <c r="X748" t="str">
        <f>IFERROR(INDEX(装备库!$A$2:$Y$1047,MATCH(ROW()-1,装备库!$AO$2:$AO$1046,0),COLUMN()),"")</f>
        <v/>
      </c>
      <c r="Y748" t="str">
        <f>IFERROR(INDEX(装备库!$A$2:$Y$1047,MATCH(ROW()-1,装备库!$AO$2:$AO$1046,0),COLUMN()),"")</f>
        <v/>
      </c>
    </row>
    <row r="749" spans="1:25" x14ac:dyDescent="0.35">
      <c r="A749" t="str">
        <f>IFERROR(INDEX(装备库!$A$2:$Y$1047,MATCH(ROW()-1,装备库!$AO$2:$AO$1046,0),COLUMN()),"")</f>
        <v/>
      </c>
      <c r="B749" t="str">
        <f>IFERROR(INDEX(装备库!$A$2:$Y$1047,MATCH(ROW()-1,装备库!$AO$2:$AO$1046,0),COLUMN()),"")</f>
        <v/>
      </c>
      <c r="C749" t="str">
        <f>IFERROR(INDEX(装备库!$A$2:$Y$1047,MATCH(ROW()-1,装备库!$AO$2:$AO$1046,0),COLUMN()),"")</f>
        <v/>
      </c>
      <c r="D749" t="str">
        <f>IFERROR(INDEX(装备库!$A$2:$Y$1047,MATCH(ROW()-1,装备库!$AO$2:$AO$1046,0),COLUMN()),"")</f>
        <v/>
      </c>
      <c r="E749" t="str">
        <f>IFERROR(INDEX(装备库!$A$2:$Y$1047,MATCH(ROW()-1,装备库!$AO$2:$AO$1046,0),COLUMN()),"")</f>
        <v/>
      </c>
      <c r="F749" t="str">
        <f>IFERROR(INDEX(装备库!$A$2:$Y$1047,MATCH(ROW()-1,装备库!$AO$2:$AO$1046,0),COLUMN()),"")</f>
        <v/>
      </c>
      <c r="G749" t="str">
        <f>IFERROR(INDEX(装备库!$A$2:$Y$1047,MATCH(ROW()-1,装备库!$AO$2:$AO$1046,0),COLUMN()),"")</f>
        <v/>
      </c>
      <c r="H749" t="str">
        <f>IFERROR(INDEX(装备库!$A$2:$Y$1047,MATCH(ROW()-1,装备库!$AO$2:$AO$1046,0),COLUMN()),"")</f>
        <v/>
      </c>
      <c r="I749" t="str">
        <f>IFERROR(INDEX(装备库!$A$2:$Y$1047,MATCH(ROW()-1,装备库!$AO$2:$AO$1046,0),COLUMN()),"")</f>
        <v/>
      </c>
      <c r="J749" t="str">
        <f>IFERROR(INDEX(装备库!$A$2:$Y$1047,MATCH(ROW()-1,装备库!$AO$2:$AO$1046,0),COLUMN()),"")</f>
        <v/>
      </c>
      <c r="K749" t="str">
        <f>IFERROR(INDEX(装备库!$A$2:$Y$1047,MATCH(ROW()-1,装备库!$AO$2:$AO$1046,0),COLUMN()),"")</f>
        <v/>
      </c>
      <c r="L749" t="str">
        <f>IFERROR(INDEX(装备库!$A$2:$Y$1047,MATCH(ROW()-1,装备库!$AO$2:$AO$1046,0),COLUMN()),"")</f>
        <v/>
      </c>
      <c r="M749" t="str">
        <f>IFERROR(INDEX(装备库!$A$2:$Y$1047,MATCH(ROW()-1,装备库!$AO$2:$AO$1046,0),COLUMN()),"")</f>
        <v/>
      </c>
      <c r="N749" t="str">
        <f>IFERROR(INDEX(装备库!$A$2:$Y$1047,MATCH(ROW()-1,装备库!$AO$2:$AO$1046,0),COLUMN()),"")</f>
        <v/>
      </c>
      <c r="O749" t="str">
        <f>IFERROR(INDEX(装备库!$A$2:$Y$1047,MATCH(ROW()-1,装备库!$AO$2:$AO$1046,0),COLUMN()),"")</f>
        <v/>
      </c>
      <c r="P749" t="str">
        <f>IFERROR(INDEX(装备库!$A$2:$Y$1047,MATCH(ROW()-1,装备库!$AO$2:$AO$1046,0),COLUMN()),"")</f>
        <v/>
      </c>
      <c r="Q749" t="str">
        <f>IFERROR(INDEX(装备库!$A$2:$Y$1047,MATCH(ROW()-1,装备库!$AO$2:$AO$1046,0),COLUMN()),"")</f>
        <v/>
      </c>
      <c r="R749" t="str">
        <f>IFERROR(INDEX(装备库!$A$2:$Y$1047,MATCH(ROW()-1,装备库!$AO$2:$AO$1046,0),COLUMN()),"")</f>
        <v/>
      </c>
      <c r="S749" t="str">
        <f>IFERROR(INDEX(装备库!$A$2:$Y$1047,MATCH(ROW()-1,装备库!$AO$2:$AO$1046,0),COLUMN()),"")</f>
        <v/>
      </c>
      <c r="T749" t="str">
        <f>IFERROR(INDEX(装备库!$A$2:$Y$1047,MATCH(ROW()-1,装备库!$AO$2:$AO$1046,0),COLUMN()),"")</f>
        <v/>
      </c>
      <c r="U749" t="str">
        <f>IFERROR(INDEX(装备库!$A$2:$Y$1047,MATCH(ROW()-1,装备库!$AO$2:$AO$1046,0),COLUMN()),"")</f>
        <v/>
      </c>
      <c r="V749" t="str">
        <f>IFERROR(INDEX(装备库!$A$2:$Y$1047,MATCH(ROW()-1,装备库!$AO$2:$AO$1046,0),COLUMN()),"")</f>
        <v/>
      </c>
      <c r="W749" t="str">
        <f>IFERROR(INDEX(装备库!$A$2:$Y$1047,MATCH(ROW()-1,装备库!$AO$2:$AO$1046,0),COLUMN()),"")</f>
        <v/>
      </c>
      <c r="X749" t="str">
        <f>IFERROR(INDEX(装备库!$A$2:$Y$1047,MATCH(ROW()-1,装备库!$AO$2:$AO$1046,0),COLUMN()),"")</f>
        <v/>
      </c>
      <c r="Y749" t="str">
        <f>IFERROR(INDEX(装备库!$A$2:$Y$1047,MATCH(ROW()-1,装备库!$AO$2:$AO$1046,0),COLUMN()),"")</f>
        <v/>
      </c>
    </row>
    <row r="750" spans="1:25" x14ac:dyDescent="0.35">
      <c r="A750" t="str">
        <f>IFERROR(INDEX(装备库!$A$2:$Y$1047,MATCH(ROW()-1,装备库!$AO$2:$AO$1046,0),COLUMN()),"")</f>
        <v/>
      </c>
      <c r="B750" t="str">
        <f>IFERROR(INDEX(装备库!$A$2:$Y$1047,MATCH(ROW()-1,装备库!$AO$2:$AO$1046,0),COLUMN()),"")</f>
        <v/>
      </c>
      <c r="C750" t="str">
        <f>IFERROR(INDEX(装备库!$A$2:$Y$1047,MATCH(ROW()-1,装备库!$AO$2:$AO$1046,0),COLUMN()),"")</f>
        <v/>
      </c>
      <c r="D750" t="str">
        <f>IFERROR(INDEX(装备库!$A$2:$Y$1047,MATCH(ROW()-1,装备库!$AO$2:$AO$1046,0),COLUMN()),"")</f>
        <v/>
      </c>
      <c r="E750" t="str">
        <f>IFERROR(INDEX(装备库!$A$2:$Y$1047,MATCH(ROW()-1,装备库!$AO$2:$AO$1046,0),COLUMN()),"")</f>
        <v/>
      </c>
      <c r="F750" t="str">
        <f>IFERROR(INDEX(装备库!$A$2:$Y$1047,MATCH(ROW()-1,装备库!$AO$2:$AO$1046,0),COLUMN()),"")</f>
        <v/>
      </c>
      <c r="G750" t="str">
        <f>IFERROR(INDEX(装备库!$A$2:$Y$1047,MATCH(ROW()-1,装备库!$AO$2:$AO$1046,0),COLUMN()),"")</f>
        <v/>
      </c>
      <c r="H750" t="str">
        <f>IFERROR(INDEX(装备库!$A$2:$Y$1047,MATCH(ROW()-1,装备库!$AO$2:$AO$1046,0),COLUMN()),"")</f>
        <v/>
      </c>
      <c r="I750" t="str">
        <f>IFERROR(INDEX(装备库!$A$2:$Y$1047,MATCH(ROW()-1,装备库!$AO$2:$AO$1046,0),COLUMN()),"")</f>
        <v/>
      </c>
      <c r="J750" t="str">
        <f>IFERROR(INDEX(装备库!$A$2:$Y$1047,MATCH(ROW()-1,装备库!$AO$2:$AO$1046,0),COLUMN()),"")</f>
        <v/>
      </c>
      <c r="K750" t="str">
        <f>IFERROR(INDEX(装备库!$A$2:$Y$1047,MATCH(ROW()-1,装备库!$AO$2:$AO$1046,0),COLUMN()),"")</f>
        <v/>
      </c>
      <c r="L750" t="str">
        <f>IFERROR(INDEX(装备库!$A$2:$Y$1047,MATCH(ROW()-1,装备库!$AO$2:$AO$1046,0),COLUMN()),"")</f>
        <v/>
      </c>
      <c r="M750" t="str">
        <f>IFERROR(INDEX(装备库!$A$2:$Y$1047,MATCH(ROW()-1,装备库!$AO$2:$AO$1046,0),COLUMN()),"")</f>
        <v/>
      </c>
      <c r="N750" t="str">
        <f>IFERROR(INDEX(装备库!$A$2:$Y$1047,MATCH(ROW()-1,装备库!$AO$2:$AO$1046,0),COLUMN()),"")</f>
        <v/>
      </c>
      <c r="O750" t="str">
        <f>IFERROR(INDEX(装备库!$A$2:$Y$1047,MATCH(ROW()-1,装备库!$AO$2:$AO$1046,0),COLUMN()),"")</f>
        <v/>
      </c>
      <c r="P750" t="str">
        <f>IFERROR(INDEX(装备库!$A$2:$Y$1047,MATCH(ROW()-1,装备库!$AO$2:$AO$1046,0),COLUMN()),"")</f>
        <v/>
      </c>
      <c r="Q750" t="str">
        <f>IFERROR(INDEX(装备库!$A$2:$Y$1047,MATCH(ROW()-1,装备库!$AO$2:$AO$1046,0),COLUMN()),"")</f>
        <v/>
      </c>
      <c r="R750" t="str">
        <f>IFERROR(INDEX(装备库!$A$2:$Y$1047,MATCH(ROW()-1,装备库!$AO$2:$AO$1046,0),COLUMN()),"")</f>
        <v/>
      </c>
      <c r="S750" t="str">
        <f>IFERROR(INDEX(装备库!$A$2:$Y$1047,MATCH(ROW()-1,装备库!$AO$2:$AO$1046,0),COLUMN()),"")</f>
        <v/>
      </c>
      <c r="T750" t="str">
        <f>IFERROR(INDEX(装备库!$A$2:$Y$1047,MATCH(ROW()-1,装备库!$AO$2:$AO$1046,0),COLUMN()),"")</f>
        <v/>
      </c>
      <c r="U750" t="str">
        <f>IFERROR(INDEX(装备库!$A$2:$Y$1047,MATCH(ROW()-1,装备库!$AO$2:$AO$1046,0),COLUMN()),"")</f>
        <v/>
      </c>
      <c r="V750" t="str">
        <f>IFERROR(INDEX(装备库!$A$2:$Y$1047,MATCH(ROW()-1,装备库!$AO$2:$AO$1046,0),COLUMN()),"")</f>
        <v/>
      </c>
      <c r="W750" t="str">
        <f>IFERROR(INDEX(装备库!$A$2:$Y$1047,MATCH(ROW()-1,装备库!$AO$2:$AO$1046,0),COLUMN()),"")</f>
        <v/>
      </c>
      <c r="X750" t="str">
        <f>IFERROR(INDEX(装备库!$A$2:$Y$1047,MATCH(ROW()-1,装备库!$AO$2:$AO$1046,0),COLUMN()),"")</f>
        <v/>
      </c>
      <c r="Y750" t="str">
        <f>IFERROR(INDEX(装备库!$A$2:$Y$1047,MATCH(ROW()-1,装备库!$AO$2:$AO$1046,0),COLUMN()),"")</f>
        <v/>
      </c>
    </row>
    <row r="751" spans="1:25" x14ac:dyDescent="0.35">
      <c r="A751" t="str">
        <f>IFERROR(INDEX(装备库!$A$2:$Y$1047,MATCH(ROW()-1,装备库!$AO$2:$AO$1046,0),COLUMN()),"")</f>
        <v/>
      </c>
      <c r="B751" t="str">
        <f>IFERROR(INDEX(装备库!$A$2:$Y$1047,MATCH(ROW()-1,装备库!$AO$2:$AO$1046,0),COLUMN()),"")</f>
        <v/>
      </c>
      <c r="C751" t="str">
        <f>IFERROR(INDEX(装备库!$A$2:$Y$1047,MATCH(ROW()-1,装备库!$AO$2:$AO$1046,0),COLUMN()),"")</f>
        <v/>
      </c>
      <c r="D751" t="str">
        <f>IFERROR(INDEX(装备库!$A$2:$Y$1047,MATCH(ROW()-1,装备库!$AO$2:$AO$1046,0),COLUMN()),"")</f>
        <v/>
      </c>
      <c r="E751" t="str">
        <f>IFERROR(INDEX(装备库!$A$2:$Y$1047,MATCH(ROW()-1,装备库!$AO$2:$AO$1046,0),COLUMN()),"")</f>
        <v/>
      </c>
      <c r="F751" t="str">
        <f>IFERROR(INDEX(装备库!$A$2:$Y$1047,MATCH(ROW()-1,装备库!$AO$2:$AO$1046,0),COLUMN()),"")</f>
        <v/>
      </c>
      <c r="G751" t="str">
        <f>IFERROR(INDEX(装备库!$A$2:$Y$1047,MATCH(ROW()-1,装备库!$AO$2:$AO$1046,0),COLUMN()),"")</f>
        <v/>
      </c>
      <c r="H751" t="str">
        <f>IFERROR(INDEX(装备库!$A$2:$Y$1047,MATCH(ROW()-1,装备库!$AO$2:$AO$1046,0),COLUMN()),"")</f>
        <v/>
      </c>
      <c r="I751" t="str">
        <f>IFERROR(INDEX(装备库!$A$2:$Y$1047,MATCH(ROW()-1,装备库!$AO$2:$AO$1046,0),COLUMN()),"")</f>
        <v/>
      </c>
      <c r="J751" t="str">
        <f>IFERROR(INDEX(装备库!$A$2:$Y$1047,MATCH(ROW()-1,装备库!$AO$2:$AO$1046,0),COLUMN()),"")</f>
        <v/>
      </c>
      <c r="K751" t="str">
        <f>IFERROR(INDEX(装备库!$A$2:$Y$1047,MATCH(ROW()-1,装备库!$AO$2:$AO$1046,0),COLUMN()),"")</f>
        <v/>
      </c>
      <c r="L751" t="str">
        <f>IFERROR(INDEX(装备库!$A$2:$Y$1047,MATCH(ROW()-1,装备库!$AO$2:$AO$1046,0),COLUMN()),"")</f>
        <v/>
      </c>
      <c r="M751" t="str">
        <f>IFERROR(INDEX(装备库!$A$2:$Y$1047,MATCH(ROW()-1,装备库!$AO$2:$AO$1046,0),COLUMN()),"")</f>
        <v/>
      </c>
      <c r="N751" t="str">
        <f>IFERROR(INDEX(装备库!$A$2:$Y$1047,MATCH(ROW()-1,装备库!$AO$2:$AO$1046,0),COLUMN()),"")</f>
        <v/>
      </c>
      <c r="O751" t="str">
        <f>IFERROR(INDEX(装备库!$A$2:$Y$1047,MATCH(ROW()-1,装备库!$AO$2:$AO$1046,0),COLUMN()),"")</f>
        <v/>
      </c>
      <c r="P751" t="str">
        <f>IFERROR(INDEX(装备库!$A$2:$Y$1047,MATCH(ROW()-1,装备库!$AO$2:$AO$1046,0),COLUMN()),"")</f>
        <v/>
      </c>
      <c r="Q751" t="str">
        <f>IFERROR(INDEX(装备库!$A$2:$Y$1047,MATCH(ROW()-1,装备库!$AO$2:$AO$1046,0),COLUMN()),"")</f>
        <v/>
      </c>
      <c r="R751" t="str">
        <f>IFERROR(INDEX(装备库!$A$2:$Y$1047,MATCH(ROW()-1,装备库!$AO$2:$AO$1046,0),COLUMN()),"")</f>
        <v/>
      </c>
      <c r="S751" t="str">
        <f>IFERROR(INDEX(装备库!$A$2:$Y$1047,MATCH(ROW()-1,装备库!$AO$2:$AO$1046,0),COLUMN()),"")</f>
        <v/>
      </c>
      <c r="T751" t="str">
        <f>IFERROR(INDEX(装备库!$A$2:$Y$1047,MATCH(ROW()-1,装备库!$AO$2:$AO$1046,0),COLUMN()),"")</f>
        <v/>
      </c>
      <c r="U751" t="str">
        <f>IFERROR(INDEX(装备库!$A$2:$Y$1047,MATCH(ROW()-1,装备库!$AO$2:$AO$1046,0),COLUMN()),"")</f>
        <v/>
      </c>
      <c r="V751" t="str">
        <f>IFERROR(INDEX(装备库!$A$2:$Y$1047,MATCH(ROW()-1,装备库!$AO$2:$AO$1046,0),COLUMN()),"")</f>
        <v/>
      </c>
      <c r="W751" t="str">
        <f>IFERROR(INDEX(装备库!$A$2:$Y$1047,MATCH(ROW()-1,装备库!$AO$2:$AO$1046,0),COLUMN()),"")</f>
        <v/>
      </c>
      <c r="X751" t="str">
        <f>IFERROR(INDEX(装备库!$A$2:$Y$1047,MATCH(ROW()-1,装备库!$AO$2:$AO$1046,0),COLUMN()),"")</f>
        <v/>
      </c>
      <c r="Y751" t="str">
        <f>IFERROR(INDEX(装备库!$A$2:$Y$1047,MATCH(ROW()-1,装备库!$AO$2:$AO$1046,0),COLUMN()),"")</f>
        <v/>
      </c>
    </row>
    <row r="752" spans="1:25" x14ac:dyDescent="0.35">
      <c r="A752" t="str">
        <f>IFERROR(INDEX(装备库!$A$2:$Y$1047,MATCH(ROW()-1,装备库!$AO$2:$AO$1046,0),COLUMN()),"")</f>
        <v/>
      </c>
      <c r="B752" t="str">
        <f>IFERROR(INDEX(装备库!$A$2:$Y$1047,MATCH(ROW()-1,装备库!$AO$2:$AO$1046,0),COLUMN()),"")</f>
        <v/>
      </c>
      <c r="C752" t="str">
        <f>IFERROR(INDEX(装备库!$A$2:$Y$1047,MATCH(ROW()-1,装备库!$AO$2:$AO$1046,0),COLUMN()),"")</f>
        <v/>
      </c>
      <c r="D752" t="str">
        <f>IFERROR(INDEX(装备库!$A$2:$Y$1047,MATCH(ROW()-1,装备库!$AO$2:$AO$1046,0),COLUMN()),"")</f>
        <v/>
      </c>
      <c r="E752" t="str">
        <f>IFERROR(INDEX(装备库!$A$2:$Y$1047,MATCH(ROW()-1,装备库!$AO$2:$AO$1046,0),COLUMN()),"")</f>
        <v/>
      </c>
      <c r="F752" t="str">
        <f>IFERROR(INDEX(装备库!$A$2:$Y$1047,MATCH(ROW()-1,装备库!$AO$2:$AO$1046,0),COLUMN()),"")</f>
        <v/>
      </c>
      <c r="G752" t="str">
        <f>IFERROR(INDEX(装备库!$A$2:$Y$1047,MATCH(ROW()-1,装备库!$AO$2:$AO$1046,0),COLUMN()),"")</f>
        <v/>
      </c>
      <c r="H752" t="str">
        <f>IFERROR(INDEX(装备库!$A$2:$Y$1047,MATCH(ROW()-1,装备库!$AO$2:$AO$1046,0),COLUMN()),"")</f>
        <v/>
      </c>
      <c r="I752" t="str">
        <f>IFERROR(INDEX(装备库!$A$2:$Y$1047,MATCH(ROW()-1,装备库!$AO$2:$AO$1046,0),COLUMN()),"")</f>
        <v/>
      </c>
      <c r="J752" t="str">
        <f>IFERROR(INDEX(装备库!$A$2:$Y$1047,MATCH(ROW()-1,装备库!$AO$2:$AO$1046,0),COLUMN()),"")</f>
        <v/>
      </c>
      <c r="K752" t="str">
        <f>IFERROR(INDEX(装备库!$A$2:$Y$1047,MATCH(ROW()-1,装备库!$AO$2:$AO$1046,0),COLUMN()),"")</f>
        <v/>
      </c>
      <c r="L752" t="str">
        <f>IFERROR(INDEX(装备库!$A$2:$Y$1047,MATCH(ROW()-1,装备库!$AO$2:$AO$1046,0),COLUMN()),"")</f>
        <v/>
      </c>
      <c r="M752" t="str">
        <f>IFERROR(INDEX(装备库!$A$2:$Y$1047,MATCH(ROW()-1,装备库!$AO$2:$AO$1046,0),COLUMN()),"")</f>
        <v/>
      </c>
      <c r="N752" t="str">
        <f>IFERROR(INDEX(装备库!$A$2:$Y$1047,MATCH(ROW()-1,装备库!$AO$2:$AO$1046,0),COLUMN()),"")</f>
        <v/>
      </c>
      <c r="O752" t="str">
        <f>IFERROR(INDEX(装备库!$A$2:$Y$1047,MATCH(ROW()-1,装备库!$AO$2:$AO$1046,0),COLUMN()),"")</f>
        <v/>
      </c>
      <c r="P752" t="str">
        <f>IFERROR(INDEX(装备库!$A$2:$Y$1047,MATCH(ROW()-1,装备库!$AO$2:$AO$1046,0),COLUMN()),"")</f>
        <v/>
      </c>
      <c r="Q752" t="str">
        <f>IFERROR(INDEX(装备库!$A$2:$Y$1047,MATCH(ROW()-1,装备库!$AO$2:$AO$1046,0),COLUMN()),"")</f>
        <v/>
      </c>
      <c r="R752" t="str">
        <f>IFERROR(INDEX(装备库!$A$2:$Y$1047,MATCH(ROW()-1,装备库!$AO$2:$AO$1046,0),COLUMN()),"")</f>
        <v/>
      </c>
      <c r="S752" t="str">
        <f>IFERROR(INDEX(装备库!$A$2:$Y$1047,MATCH(ROW()-1,装备库!$AO$2:$AO$1046,0),COLUMN()),"")</f>
        <v/>
      </c>
      <c r="T752" t="str">
        <f>IFERROR(INDEX(装备库!$A$2:$Y$1047,MATCH(ROW()-1,装备库!$AO$2:$AO$1046,0),COLUMN()),"")</f>
        <v/>
      </c>
      <c r="U752" t="str">
        <f>IFERROR(INDEX(装备库!$A$2:$Y$1047,MATCH(ROW()-1,装备库!$AO$2:$AO$1046,0),COLUMN()),"")</f>
        <v/>
      </c>
      <c r="V752" t="str">
        <f>IFERROR(INDEX(装备库!$A$2:$Y$1047,MATCH(ROW()-1,装备库!$AO$2:$AO$1046,0),COLUMN()),"")</f>
        <v/>
      </c>
      <c r="W752" t="str">
        <f>IFERROR(INDEX(装备库!$A$2:$Y$1047,MATCH(ROW()-1,装备库!$AO$2:$AO$1046,0),COLUMN()),"")</f>
        <v/>
      </c>
      <c r="X752" t="str">
        <f>IFERROR(INDEX(装备库!$A$2:$Y$1047,MATCH(ROW()-1,装备库!$AO$2:$AO$1046,0),COLUMN()),"")</f>
        <v/>
      </c>
      <c r="Y752" t="str">
        <f>IFERROR(INDEX(装备库!$A$2:$Y$1047,MATCH(ROW()-1,装备库!$AO$2:$AO$1046,0),COLUMN()),"")</f>
        <v/>
      </c>
    </row>
    <row r="753" spans="1:25" x14ac:dyDescent="0.35">
      <c r="A753" t="str">
        <f>IFERROR(INDEX(装备库!$A$2:$Y$1047,MATCH(ROW()-1,装备库!$AO$2:$AO$1046,0),COLUMN()),"")</f>
        <v/>
      </c>
      <c r="B753" t="str">
        <f>IFERROR(INDEX(装备库!$A$2:$Y$1047,MATCH(ROW()-1,装备库!$AO$2:$AO$1046,0),COLUMN()),"")</f>
        <v/>
      </c>
      <c r="C753" t="str">
        <f>IFERROR(INDEX(装备库!$A$2:$Y$1047,MATCH(ROW()-1,装备库!$AO$2:$AO$1046,0),COLUMN()),"")</f>
        <v/>
      </c>
      <c r="D753" t="str">
        <f>IFERROR(INDEX(装备库!$A$2:$Y$1047,MATCH(ROW()-1,装备库!$AO$2:$AO$1046,0),COLUMN()),"")</f>
        <v/>
      </c>
      <c r="E753" t="str">
        <f>IFERROR(INDEX(装备库!$A$2:$Y$1047,MATCH(ROW()-1,装备库!$AO$2:$AO$1046,0),COLUMN()),"")</f>
        <v/>
      </c>
      <c r="F753" t="str">
        <f>IFERROR(INDEX(装备库!$A$2:$Y$1047,MATCH(ROW()-1,装备库!$AO$2:$AO$1046,0),COLUMN()),"")</f>
        <v/>
      </c>
      <c r="G753" t="str">
        <f>IFERROR(INDEX(装备库!$A$2:$Y$1047,MATCH(ROW()-1,装备库!$AO$2:$AO$1046,0),COLUMN()),"")</f>
        <v/>
      </c>
      <c r="H753" t="str">
        <f>IFERROR(INDEX(装备库!$A$2:$Y$1047,MATCH(ROW()-1,装备库!$AO$2:$AO$1046,0),COLUMN()),"")</f>
        <v/>
      </c>
      <c r="I753" t="str">
        <f>IFERROR(INDEX(装备库!$A$2:$Y$1047,MATCH(ROW()-1,装备库!$AO$2:$AO$1046,0),COLUMN()),"")</f>
        <v/>
      </c>
      <c r="J753" t="str">
        <f>IFERROR(INDEX(装备库!$A$2:$Y$1047,MATCH(ROW()-1,装备库!$AO$2:$AO$1046,0),COLUMN()),"")</f>
        <v/>
      </c>
      <c r="K753" t="str">
        <f>IFERROR(INDEX(装备库!$A$2:$Y$1047,MATCH(ROW()-1,装备库!$AO$2:$AO$1046,0),COLUMN()),"")</f>
        <v/>
      </c>
      <c r="L753" t="str">
        <f>IFERROR(INDEX(装备库!$A$2:$Y$1047,MATCH(ROW()-1,装备库!$AO$2:$AO$1046,0),COLUMN()),"")</f>
        <v/>
      </c>
      <c r="M753" t="str">
        <f>IFERROR(INDEX(装备库!$A$2:$Y$1047,MATCH(ROW()-1,装备库!$AO$2:$AO$1046,0),COLUMN()),"")</f>
        <v/>
      </c>
      <c r="N753" t="str">
        <f>IFERROR(INDEX(装备库!$A$2:$Y$1047,MATCH(ROW()-1,装备库!$AO$2:$AO$1046,0),COLUMN()),"")</f>
        <v/>
      </c>
      <c r="O753" t="str">
        <f>IFERROR(INDEX(装备库!$A$2:$Y$1047,MATCH(ROW()-1,装备库!$AO$2:$AO$1046,0),COLUMN()),"")</f>
        <v/>
      </c>
      <c r="P753" t="str">
        <f>IFERROR(INDEX(装备库!$A$2:$Y$1047,MATCH(ROW()-1,装备库!$AO$2:$AO$1046,0),COLUMN()),"")</f>
        <v/>
      </c>
      <c r="Q753" t="str">
        <f>IFERROR(INDEX(装备库!$A$2:$Y$1047,MATCH(ROW()-1,装备库!$AO$2:$AO$1046,0),COLUMN()),"")</f>
        <v/>
      </c>
      <c r="R753" t="str">
        <f>IFERROR(INDEX(装备库!$A$2:$Y$1047,MATCH(ROW()-1,装备库!$AO$2:$AO$1046,0),COLUMN()),"")</f>
        <v/>
      </c>
      <c r="S753" t="str">
        <f>IFERROR(INDEX(装备库!$A$2:$Y$1047,MATCH(ROW()-1,装备库!$AO$2:$AO$1046,0),COLUMN()),"")</f>
        <v/>
      </c>
      <c r="T753" t="str">
        <f>IFERROR(INDEX(装备库!$A$2:$Y$1047,MATCH(ROW()-1,装备库!$AO$2:$AO$1046,0),COLUMN()),"")</f>
        <v/>
      </c>
      <c r="U753" t="str">
        <f>IFERROR(INDEX(装备库!$A$2:$Y$1047,MATCH(ROW()-1,装备库!$AO$2:$AO$1046,0),COLUMN()),"")</f>
        <v/>
      </c>
      <c r="V753" t="str">
        <f>IFERROR(INDEX(装备库!$A$2:$Y$1047,MATCH(ROW()-1,装备库!$AO$2:$AO$1046,0),COLUMN()),"")</f>
        <v/>
      </c>
      <c r="W753" t="str">
        <f>IFERROR(INDEX(装备库!$A$2:$Y$1047,MATCH(ROW()-1,装备库!$AO$2:$AO$1046,0),COLUMN()),"")</f>
        <v/>
      </c>
      <c r="X753" t="str">
        <f>IFERROR(INDEX(装备库!$A$2:$Y$1047,MATCH(ROW()-1,装备库!$AO$2:$AO$1046,0),COLUMN()),"")</f>
        <v/>
      </c>
      <c r="Y753" t="str">
        <f>IFERROR(INDEX(装备库!$A$2:$Y$1047,MATCH(ROW()-1,装备库!$AO$2:$AO$1046,0),COLUMN()),"")</f>
        <v/>
      </c>
    </row>
    <row r="754" spans="1:25" x14ac:dyDescent="0.35">
      <c r="A754" t="str">
        <f>IFERROR(INDEX(装备库!$A$2:$Y$1047,MATCH(ROW()-1,装备库!$AO$2:$AO$1046,0),COLUMN()),"")</f>
        <v/>
      </c>
      <c r="B754" t="str">
        <f>IFERROR(INDEX(装备库!$A$2:$Y$1047,MATCH(ROW()-1,装备库!$AO$2:$AO$1046,0),COLUMN()),"")</f>
        <v/>
      </c>
      <c r="C754" t="str">
        <f>IFERROR(INDEX(装备库!$A$2:$Y$1047,MATCH(ROW()-1,装备库!$AO$2:$AO$1046,0),COLUMN()),"")</f>
        <v/>
      </c>
      <c r="D754" t="str">
        <f>IFERROR(INDEX(装备库!$A$2:$Y$1047,MATCH(ROW()-1,装备库!$AO$2:$AO$1046,0),COLUMN()),"")</f>
        <v/>
      </c>
      <c r="E754" t="str">
        <f>IFERROR(INDEX(装备库!$A$2:$Y$1047,MATCH(ROW()-1,装备库!$AO$2:$AO$1046,0),COLUMN()),"")</f>
        <v/>
      </c>
      <c r="F754" t="str">
        <f>IFERROR(INDEX(装备库!$A$2:$Y$1047,MATCH(ROW()-1,装备库!$AO$2:$AO$1046,0),COLUMN()),"")</f>
        <v/>
      </c>
      <c r="G754" t="str">
        <f>IFERROR(INDEX(装备库!$A$2:$Y$1047,MATCH(ROW()-1,装备库!$AO$2:$AO$1046,0),COLUMN()),"")</f>
        <v/>
      </c>
      <c r="H754" t="str">
        <f>IFERROR(INDEX(装备库!$A$2:$Y$1047,MATCH(ROW()-1,装备库!$AO$2:$AO$1046,0),COLUMN()),"")</f>
        <v/>
      </c>
      <c r="I754" t="str">
        <f>IFERROR(INDEX(装备库!$A$2:$Y$1047,MATCH(ROW()-1,装备库!$AO$2:$AO$1046,0),COLUMN()),"")</f>
        <v/>
      </c>
      <c r="J754" t="str">
        <f>IFERROR(INDEX(装备库!$A$2:$Y$1047,MATCH(ROW()-1,装备库!$AO$2:$AO$1046,0),COLUMN()),"")</f>
        <v/>
      </c>
      <c r="K754" t="str">
        <f>IFERROR(INDEX(装备库!$A$2:$Y$1047,MATCH(ROW()-1,装备库!$AO$2:$AO$1046,0),COLUMN()),"")</f>
        <v/>
      </c>
      <c r="L754" t="str">
        <f>IFERROR(INDEX(装备库!$A$2:$Y$1047,MATCH(ROW()-1,装备库!$AO$2:$AO$1046,0),COLUMN()),"")</f>
        <v/>
      </c>
      <c r="M754" t="str">
        <f>IFERROR(INDEX(装备库!$A$2:$Y$1047,MATCH(ROW()-1,装备库!$AO$2:$AO$1046,0),COLUMN()),"")</f>
        <v/>
      </c>
      <c r="N754" t="str">
        <f>IFERROR(INDEX(装备库!$A$2:$Y$1047,MATCH(ROW()-1,装备库!$AO$2:$AO$1046,0),COLUMN()),"")</f>
        <v/>
      </c>
      <c r="O754" t="str">
        <f>IFERROR(INDEX(装备库!$A$2:$Y$1047,MATCH(ROW()-1,装备库!$AO$2:$AO$1046,0),COLUMN()),"")</f>
        <v/>
      </c>
      <c r="P754" t="str">
        <f>IFERROR(INDEX(装备库!$A$2:$Y$1047,MATCH(ROW()-1,装备库!$AO$2:$AO$1046,0),COLUMN()),"")</f>
        <v/>
      </c>
      <c r="Q754" t="str">
        <f>IFERROR(INDEX(装备库!$A$2:$Y$1047,MATCH(ROW()-1,装备库!$AO$2:$AO$1046,0),COLUMN()),"")</f>
        <v/>
      </c>
      <c r="R754" t="str">
        <f>IFERROR(INDEX(装备库!$A$2:$Y$1047,MATCH(ROW()-1,装备库!$AO$2:$AO$1046,0),COLUMN()),"")</f>
        <v/>
      </c>
      <c r="S754" t="str">
        <f>IFERROR(INDEX(装备库!$A$2:$Y$1047,MATCH(ROW()-1,装备库!$AO$2:$AO$1046,0),COLUMN()),"")</f>
        <v/>
      </c>
      <c r="T754" t="str">
        <f>IFERROR(INDEX(装备库!$A$2:$Y$1047,MATCH(ROW()-1,装备库!$AO$2:$AO$1046,0),COLUMN()),"")</f>
        <v/>
      </c>
      <c r="U754" t="str">
        <f>IFERROR(INDEX(装备库!$A$2:$Y$1047,MATCH(ROW()-1,装备库!$AO$2:$AO$1046,0),COLUMN()),"")</f>
        <v/>
      </c>
      <c r="V754" t="str">
        <f>IFERROR(INDEX(装备库!$A$2:$Y$1047,MATCH(ROW()-1,装备库!$AO$2:$AO$1046,0),COLUMN()),"")</f>
        <v/>
      </c>
      <c r="W754" t="str">
        <f>IFERROR(INDEX(装备库!$A$2:$Y$1047,MATCH(ROW()-1,装备库!$AO$2:$AO$1046,0),COLUMN()),"")</f>
        <v/>
      </c>
      <c r="X754" t="str">
        <f>IFERROR(INDEX(装备库!$A$2:$Y$1047,MATCH(ROW()-1,装备库!$AO$2:$AO$1046,0),COLUMN()),"")</f>
        <v/>
      </c>
      <c r="Y754" t="str">
        <f>IFERROR(INDEX(装备库!$A$2:$Y$1047,MATCH(ROW()-1,装备库!$AO$2:$AO$1046,0),COLUMN()),"")</f>
        <v/>
      </c>
    </row>
    <row r="755" spans="1:25" x14ac:dyDescent="0.35">
      <c r="A755" t="str">
        <f>IFERROR(INDEX(装备库!$A$2:$Y$1047,MATCH(ROW()-1,装备库!$AO$2:$AO$1046,0),COLUMN()),"")</f>
        <v/>
      </c>
      <c r="B755" t="str">
        <f>IFERROR(INDEX(装备库!$A$2:$Y$1047,MATCH(ROW()-1,装备库!$AO$2:$AO$1046,0),COLUMN()),"")</f>
        <v/>
      </c>
      <c r="C755" t="str">
        <f>IFERROR(INDEX(装备库!$A$2:$Y$1047,MATCH(ROW()-1,装备库!$AO$2:$AO$1046,0),COLUMN()),"")</f>
        <v/>
      </c>
      <c r="D755" t="str">
        <f>IFERROR(INDEX(装备库!$A$2:$Y$1047,MATCH(ROW()-1,装备库!$AO$2:$AO$1046,0),COLUMN()),"")</f>
        <v/>
      </c>
      <c r="E755" t="str">
        <f>IFERROR(INDEX(装备库!$A$2:$Y$1047,MATCH(ROW()-1,装备库!$AO$2:$AO$1046,0),COLUMN()),"")</f>
        <v/>
      </c>
      <c r="F755" t="str">
        <f>IFERROR(INDEX(装备库!$A$2:$Y$1047,MATCH(ROW()-1,装备库!$AO$2:$AO$1046,0),COLUMN()),"")</f>
        <v/>
      </c>
      <c r="G755" t="str">
        <f>IFERROR(INDEX(装备库!$A$2:$Y$1047,MATCH(ROW()-1,装备库!$AO$2:$AO$1046,0),COLUMN()),"")</f>
        <v/>
      </c>
      <c r="H755" t="str">
        <f>IFERROR(INDEX(装备库!$A$2:$Y$1047,MATCH(ROW()-1,装备库!$AO$2:$AO$1046,0),COLUMN()),"")</f>
        <v/>
      </c>
      <c r="I755" t="str">
        <f>IFERROR(INDEX(装备库!$A$2:$Y$1047,MATCH(ROW()-1,装备库!$AO$2:$AO$1046,0),COLUMN()),"")</f>
        <v/>
      </c>
      <c r="J755" t="str">
        <f>IFERROR(INDEX(装备库!$A$2:$Y$1047,MATCH(ROW()-1,装备库!$AO$2:$AO$1046,0),COLUMN()),"")</f>
        <v/>
      </c>
      <c r="K755" t="str">
        <f>IFERROR(INDEX(装备库!$A$2:$Y$1047,MATCH(ROW()-1,装备库!$AO$2:$AO$1046,0),COLUMN()),"")</f>
        <v/>
      </c>
      <c r="L755" t="str">
        <f>IFERROR(INDEX(装备库!$A$2:$Y$1047,MATCH(ROW()-1,装备库!$AO$2:$AO$1046,0),COLUMN()),"")</f>
        <v/>
      </c>
      <c r="M755" t="str">
        <f>IFERROR(INDEX(装备库!$A$2:$Y$1047,MATCH(ROW()-1,装备库!$AO$2:$AO$1046,0),COLUMN()),"")</f>
        <v/>
      </c>
      <c r="N755" t="str">
        <f>IFERROR(INDEX(装备库!$A$2:$Y$1047,MATCH(ROW()-1,装备库!$AO$2:$AO$1046,0),COLUMN()),"")</f>
        <v/>
      </c>
      <c r="O755" t="str">
        <f>IFERROR(INDEX(装备库!$A$2:$Y$1047,MATCH(ROW()-1,装备库!$AO$2:$AO$1046,0),COLUMN()),"")</f>
        <v/>
      </c>
      <c r="P755" t="str">
        <f>IFERROR(INDEX(装备库!$A$2:$Y$1047,MATCH(ROW()-1,装备库!$AO$2:$AO$1046,0),COLUMN()),"")</f>
        <v/>
      </c>
      <c r="Q755" t="str">
        <f>IFERROR(INDEX(装备库!$A$2:$Y$1047,MATCH(ROW()-1,装备库!$AO$2:$AO$1046,0),COLUMN()),"")</f>
        <v/>
      </c>
      <c r="R755" t="str">
        <f>IFERROR(INDEX(装备库!$A$2:$Y$1047,MATCH(ROW()-1,装备库!$AO$2:$AO$1046,0),COLUMN()),"")</f>
        <v/>
      </c>
      <c r="S755" t="str">
        <f>IFERROR(INDEX(装备库!$A$2:$Y$1047,MATCH(ROW()-1,装备库!$AO$2:$AO$1046,0),COLUMN()),"")</f>
        <v/>
      </c>
      <c r="T755" t="str">
        <f>IFERROR(INDEX(装备库!$A$2:$Y$1047,MATCH(ROW()-1,装备库!$AO$2:$AO$1046,0),COLUMN()),"")</f>
        <v/>
      </c>
      <c r="U755" t="str">
        <f>IFERROR(INDEX(装备库!$A$2:$Y$1047,MATCH(ROW()-1,装备库!$AO$2:$AO$1046,0),COLUMN()),"")</f>
        <v/>
      </c>
      <c r="V755" t="str">
        <f>IFERROR(INDEX(装备库!$A$2:$Y$1047,MATCH(ROW()-1,装备库!$AO$2:$AO$1046,0),COLUMN()),"")</f>
        <v/>
      </c>
      <c r="W755" t="str">
        <f>IFERROR(INDEX(装备库!$A$2:$Y$1047,MATCH(ROW()-1,装备库!$AO$2:$AO$1046,0),COLUMN()),"")</f>
        <v/>
      </c>
      <c r="X755" t="str">
        <f>IFERROR(INDEX(装备库!$A$2:$Y$1047,MATCH(ROW()-1,装备库!$AO$2:$AO$1046,0),COLUMN()),"")</f>
        <v/>
      </c>
      <c r="Y755" t="str">
        <f>IFERROR(INDEX(装备库!$A$2:$Y$1047,MATCH(ROW()-1,装备库!$AO$2:$AO$1046,0),COLUMN()),"")</f>
        <v/>
      </c>
    </row>
    <row r="756" spans="1:25" x14ac:dyDescent="0.35">
      <c r="A756" t="str">
        <f>IFERROR(INDEX(装备库!$A$2:$Y$1047,MATCH(ROW()-1,装备库!$AO$2:$AO$1046,0),COLUMN()),"")</f>
        <v/>
      </c>
      <c r="B756" t="str">
        <f>IFERROR(INDEX(装备库!$A$2:$Y$1047,MATCH(ROW()-1,装备库!$AO$2:$AO$1046,0),COLUMN()),"")</f>
        <v/>
      </c>
      <c r="C756" t="str">
        <f>IFERROR(INDEX(装备库!$A$2:$Y$1047,MATCH(ROW()-1,装备库!$AO$2:$AO$1046,0),COLUMN()),"")</f>
        <v/>
      </c>
      <c r="D756" t="str">
        <f>IFERROR(INDEX(装备库!$A$2:$Y$1047,MATCH(ROW()-1,装备库!$AO$2:$AO$1046,0),COLUMN()),"")</f>
        <v/>
      </c>
      <c r="E756" t="str">
        <f>IFERROR(INDEX(装备库!$A$2:$Y$1047,MATCH(ROW()-1,装备库!$AO$2:$AO$1046,0),COLUMN()),"")</f>
        <v/>
      </c>
      <c r="F756" t="str">
        <f>IFERROR(INDEX(装备库!$A$2:$Y$1047,MATCH(ROW()-1,装备库!$AO$2:$AO$1046,0),COLUMN()),"")</f>
        <v/>
      </c>
      <c r="G756" t="str">
        <f>IFERROR(INDEX(装备库!$A$2:$Y$1047,MATCH(ROW()-1,装备库!$AO$2:$AO$1046,0),COLUMN()),"")</f>
        <v/>
      </c>
      <c r="H756" t="str">
        <f>IFERROR(INDEX(装备库!$A$2:$Y$1047,MATCH(ROW()-1,装备库!$AO$2:$AO$1046,0),COLUMN()),"")</f>
        <v/>
      </c>
      <c r="I756" t="str">
        <f>IFERROR(INDEX(装备库!$A$2:$Y$1047,MATCH(ROW()-1,装备库!$AO$2:$AO$1046,0),COLUMN()),"")</f>
        <v/>
      </c>
      <c r="J756" t="str">
        <f>IFERROR(INDEX(装备库!$A$2:$Y$1047,MATCH(ROW()-1,装备库!$AO$2:$AO$1046,0),COLUMN()),"")</f>
        <v/>
      </c>
      <c r="K756" t="str">
        <f>IFERROR(INDEX(装备库!$A$2:$Y$1047,MATCH(ROW()-1,装备库!$AO$2:$AO$1046,0),COLUMN()),"")</f>
        <v/>
      </c>
      <c r="L756" t="str">
        <f>IFERROR(INDEX(装备库!$A$2:$Y$1047,MATCH(ROW()-1,装备库!$AO$2:$AO$1046,0),COLUMN()),"")</f>
        <v/>
      </c>
      <c r="M756" t="str">
        <f>IFERROR(INDEX(装备库!$A$2:$Y$1047,MATCH(ROW()-1,装备库!$AO$2:$AO$1046,0),COLUMN()),"")</f>
        <v/>
      </c>
      <c r="N756" t="str">
        <f>IFERROR(INDEX(装备库!$A$2:$Y$1047,MATCH(ROW()-1,装备库!$AO$2:$AO$1046,0),COLUMN()),"")</f>
        <v/>
      </c>
      <c r="O756" t="str">
        <f>IFERROR(INDEX(装备库!$A$2:$Y$1047,MATCH(ROW()-1,装备库!$AO$2:$AO$1046,0),COLUMN()),"")</f>
        <v/>
      </c>
      <c r="P756" t="str">
        <f>IFERROR(INDEX(装备库!$A$2:$Y$1047,MATCH(ROW()-1,装备库!$AO$2:$AO$1046,0),COLUMN()),"")</f>
        <v/>
      </c>
      <c r="Q756" t="str">
        <f>IFERROR(INDEX(装备库!$A$2:$Y$1047,MATCH(ROW()-1,装备库!$AO$2:$AO$1046,0),COLUMN()),"")</f>
        <v/>
      </c>
      <c r="R756" t="str">
        <f>IFERROR(INDEX(装备库!$A$2:$Y$1047,MATCH(ROW()-1,装备库!$AO$2:$AO$1046,0),COLUMN()),"")</f>
        <v/>
      </c>
      <c r="S756" t="str">
        <f>IFERROR(INDEX(装备库!$A$2:$Y$1047,MATCH(ROW()-1,装备库!$AO$2:$AO$1046,0),COLUMN()),"")</f>
        <v/>
      </c>
      <c r="T756" t="str">
        <f>IFERROR(INDEX(装备库!$A$2:$Y$1047,MATCH(ROW()-1,装备库!$AO$2:$AO$1046,0),COLUMN()),"")</f>
        <v/>
      </c>
      <c r="U756" t="str">
        <f>IFERROR(INDEX(装备库!$A$2:$Y$1047,MATCH(ROW()-1,装备库!$AO$2:$AO$1046,0),COLUMN()),"")</f>
        <v/>
      </c>
      <c r="V756" t="str">
        <f>IFERROR(INDEX(装备库!$A$2:$Y$1047,MATCH(ROW()-1,装备库!$AO$2:$AO$1046,0),COLUMN()),"")</f>
        <v/>
      </c>
      <c r="W756" t="str">
        <f>IFERROR(INDEX(装备库!$A$2:$Y$1047,MATCH(ROW()-1,装备库!$AO$2:$AO$1046,0),COLUMN()),"")</f>
        <v/>
      </c>
      <c r="X756" t="str">
        <f>IFERROR(INDEX(装备库!$A$2:$Y$1047,MATCH(ROW()-1,装备库!$AO$2:$AO$1046,0),COLUMN()),"")</f>
        <v/>
      </c>
      <c r="Y756" t="str">
        <f>IFERROR(INDEX(装备库!$A$2:$Y$1047,MATCH(ROW()-1,装备库!$AO$2:$AO$1046,0),COLUMN()),"")</f>
        <v/>
      </c>
    </row>
    <row r="757" spans="1:25" x14ac:dyDescent="0.35">
      <c r="A757" t="str">
        <f>IFERROR(INDEX(装备库!$A$2:$Y$1047,MATCH(ROW()-1,装备库!$AO$2:$AO$1046,0),COLUMN()),"")</f>
        <v/>
      </c>
      <c r="B757" t="str">
        <f>IFERROR(INDEX(装备库!$A$2:$Y$1047,MATCH(ROW()-1,装备库!$AO$2:$AO$1046,0),COLUMN()),"")</f>
        <v/>
      </c>
      <c r="C757" t="str">
        <f>IFERROR(INDEX(装备库!$A$2:$Y$1047,MATCH(ROW()-1,装备库!$AO$2:$AO$1046,0),COLUMN()),"")</f>
        <v/>
      </c>
      <c r="D757" t="str">
        <f>IFERROR(INDEX(装备库!$A$2:$Y$1047,MATCH(ROW()-1,装备库!$AO$2:$AO$1046,0),COLUMN()),"")</f>
        <v/>
      </c>
      <c r="E757" t="str">
        <f>IFERROR(INDEX(装备库!$A$2:$Y$1047,MATCH(ROW()-1,装备库!$AO$2:$AO$1046,0),COLUMN()),"")</f>
        <v/>
      </c>
      <c r="F757" t="str">
        <f>IFERROR(INDEX(装备库!$A$2:$Y$1047,MATCH(ROW()-1,装备库!$AO$2:$AO$1046,0),COLUMN()),"")</f>
        <v/>
      </c>
      <c r="G757" t="str">
        <f>IFERROR(INDEX(装备库!$A$2:$Y$1047,MATCH(ROW()-1,装备库!$AO$2:$AO$1046,0),COLUMN()),"")</f>
        <v/>
      </c>
      <c r="H757" t="str">
        <f>IFERROR(INDEX(装备库!$A$2:$Y$1047,MATCH(ROW()-1,装备库!$AO$2:$AO$1046,0),COLUMN()),"")</f>
        <v/>
      </c>
      <c r="I757" t="str">
        <f>IFERROR(INDEX(装备库!$A$2:$Y$1047,MATCH(ROW()-1,装备库!$AO$2:$AO$1046,0),COLUMN()),"")</f>
        <v/>
      </c>
      <c r="J757" t="str">
        <f>IFERROR(INDEX(装备库!$A$2:$Y$1047,MATCH(ROW()-1,装备库!$AO$2:$AO$1046,0),COLUMN()),"")</f>
        <v/>
      </c>
      <c r="K757" t="str">
        <f>IFERROR(INDEX(装备库!$A$2:$Y$1047,MATCH(ROW()-1,装备库!$AO$2:$AO$1046,0),COLUMN()),"")</f>
        <v/>
      </c>
      <c r="L757" t="str">
        <f>IFERROR(INDEX(装备库!$A$2:$Y$1047,MATCH(ROW()-1,装备库!$AO$2:$AO$1046,0),COLUMN()),"")</f>
        <v/>
      </c>
      <c r="M757" t="str">
        <f>IFERROR(INDEX(装备库!$A$2:$Y$1047,MATCH(ROW()-1,装备库!$AO$2:$AO$1046,0),COLUMN()),"")</f>
        <v/>
      </c>
      <c r="N757" t="str">
        <f>IFERROR(INDEX(装备库!$A$2:$Y$1047,MATCH(ROW()-1,装备库!$AO$2:$AO$1046,0),COLUMN()),"")</f>
        <v/>
      </c>
      <c r="O757" t="str">
        <f>IFERROR(INDEX(装备库!$A$2:$Y$1047,MATCH(ROW()-1,装备库!$AO$2:$AO$1046,0),COLUMN()),"")</f>
        <v/>
      </c>
      <c r="P757" t="str">
        <f>IFERROR(INDEX(装备库!$A$2:$Y$1047,MATCH(ROW()-1,装备库!$AO$2:$AO$1046,0),COLUMN()),"")</f>
        <v/>
      </c>
      <c r="Q757" t="str">
        <f>IFERROR(INDEX(装备库!$A$2:$Y$1047,MATCH(ROW()-1,装备库!$AO$2:$AO$1046,0),COLUMN()),"")</f>
        <v/>
      </c>
      <c r="R757" t="str">
        <f>IFERROR(INDEX(装备库!$A$2:$Y$1047,MATCH(ROW()-1,装备库!$AO$2:$AO$1046,0),COLUMN()),"")</f>
        <v/>
      </c>
      <c r="S757" t="str">
        <f>IFERROR(INDEX(装备库!$A$2:$Y$1047,MATCH(ROW()-1,装备库!$AO$2:$AO$1046,0),COLUMN()),"")</f>
        <v/>
      </c>
      <c r="T757" t="str">
        <f>IFERROR(INDEX(装备库!$A$2:$Y$1047,MATCH(ROW()-1,装备库!$AO$2:$AO$1046,0),COLUMN()),"")</f>
        <v/>
      </c>
      <c r="U757" t="str">
        <f>IFERROR(INDEX(装备库!$A$2:$Y$1047,MATCH(ROW()-1,装备库!$AO$2:$AO$1046,0),COLUMN()),"")</f>
        <v/>
      </c>
      <c r="V757" t="str">
        <f>IFERROR(INDEX(装备库!$A$2:$Y$1047,MATCH(ROW()-1,装备库!$AO$2:$AO$1046,0),COLUMN()),"")</f>
        <v/>
      </c>
      <c r="W757" t="str">
        <f>IFERROR(INDEX(装备库!$A$2:$Y$1047,MATCH(ROW()-1,装备库!$AO$2:$AO$1046,0),COLUMN()),"")</f>
        <v/>
      </c>
      <c r="X757" t="str">
        <f>IFERROR(INDEX(装备库!$A$2:$Y$1047,MATCH(ROW()-1,装备库!$AO$2:$AO$1046,0),COLUMN()),"")</f>
        <v/>
      </c>
      <c r="Y757" t="str">
        <f>IFERROR(INDEX(装备库!$A$2:$Y$1047,MATCH(ROW()-1,装备库!$AO$2:$AO$1046,0),COLUMN()),"")</f>
        <v/>
      </c>
    </row>
    <row r="758" spans="1:25" x14ac:dyDescent="0.35">
      <c r="A758" t="str">
        <f>IFERROR(INDEX(装备库!$A$2:$Y$1047,MATCH(ROW()-1,装备库!$AO$2:$AO$1046,0),COLUMN()),"")</f>
        <v/>
      </c>
      <c r="B758" t="str">
        <f>IFERROR(INDEX(装备库!$A$2:$Y$1047,MATCH(ROW()-1,装备库!$AO$2:$AO$1046,0),COLUMN()),"")</f>
        <v/>
      </c>
      <c r="C758" t="str">
        <f>IFERROR(INDEX(装备库!$A$2:$Y$1047,MATCH(ROW()-1,装备库!$AO$2:$AO$1046,0),COLUMN()),"")</f>
        <v/>
      </c>
      <c r="D758" t="str">
        <f>IFERROR(INDEX(装备库!$A$2:$Y$1047,MATCH(ROW()-1,装备库!$AO$2:$AO$1046,0),COLUMN()),"")</f>
        <v/>
      </c>
      <c r="E758" t="str">
        <f>IFERROR(INDEX(装备库!$A$2:$Y$1047,MATCH(ROW()-1,装备库!$AO$2:$AO$1046,0),COLUMN()),"")</f>
        <v/>
      </c>
      <c r="F758" t="str">
        <f>IFERROR(INDEX(装备库!$A$2:$Y$1047,MATCH(ROW()-1,装备库!$AO$2:$AO$1046,0),COLUMN()),"")</f>
        <v/>
      </c>
      <c r="G758" t="str">
        <f>IFERROR(INDEX(装备库!$A$2:$Y$1047,MATCH(ROW()-1,装备库!$AO$2:$AO$1046,0),COLUMN()),"")</f>
        <v/>
      </c>
      <c r="H758" t="str">
        <f>IFERROR(INDEX(装备库!$A$2:$Y$1047,MATCH(ROW()-1,装备库!$AO$2:$AO$1046,0),COLUMN()),"")</f>
        <v/>
      </c>
      <c r="I758" t="str">
        <f>IFERROR(INDEX(装备库!$A$2:$Y$1047,MATCH(ROW()-1,装备库!$AO$2:$AO$1046,0),COLUMN()),"")</f>
        <v/>
      </c>
      <c r="J758" t="str">
        <f>IFERROR(INDEX(装备库!$A$2:$Y$1047,MATCH(ROW()-1,装备库!$AO$2:$AO$1046,0),COLUMN()),"")</f>
        <v/>
      </c>
      <c r="K758" t="str">
        <f>IFERROR(INDEX(装备库!$A$2:$Y$1047,MATCH(ROW()-1,装备库!$AO$2:$AO$1046,0),COLUMN()),"")</f>
        <v/>
      </c>
      <c r="L758" t="str">
        <f>IFERROR(INDEX(装备库!$A$2:$Y$1047,MATCH(ROW()-1,装备库!$AO$2:$AO$1046,0),COLUMN()),"")</f>
        <v/>
      </c>
      <c r="M758" t="str">
        <f>IFERROR(INDEX(装备库!$A$2:$Y$1047,MATCH(ROW()-1,装备库!$AO$2:$AO$1046,0),COLUMN()),"")</f>
        <v/>
      </c>
      <c r="N758" t="str">
        <f>IFERROR(INDEX(装备库!$A$2:$Y$1047,MATCH(ROW()-1,装备库!$AO$2:$AO$1046,0),COLUMN()),"")</f>
        <v/>
      </c>
      <c r="O758" t="str">
        <f>IFERROR(INDEX(装备库!$A$2:$Y$1047,MATCH(ROW()-1,装备库!$AO$2:$AO$1046,0),COLUMN()),"")</f>
        <v/>
      </c>
      <c r="P758" t="str">
        <f>IFERROR(INDEX(装备库!$A$2:$Y$1047,MATCH(ROW()-1,装备库!$AO$2:$AO$1046,0),COLUMN()),"")</f>
        <v/>
      </c>
      <c r="Q758" t="str">
        <f>IFERROR(INDEX(装备库!$A$2:$Y$1047,MATCH(ROW()-1,装备库!$AO$2:$AO$1046,0),COLUMN()),"")</f>
        <v/>
      </c>
      <c r="R758" t="str">
        <f>IFERROR(INDEX(装备库!$A$2:$Y$1047,MATCH(ROW()-1,装备库!$AO$2:$AO$1046,0),COLUMN()),"")</f>
        <v/>
      </c>
      <c r="S758" t="str">
        <f>IFERROR(INDEX(装备库!$A$2:$Y$1047,MATCH(ROW()-1,装备库!$AO$2:$AO$1046,0),COLUMN()),"")</f>
        <v/>
      </c>
      <c r="T758" t="str">
        <f>IFERROR(INDEX(装备库!$A$2:$Y$1047,MATCH(ROW()-1,装备库!$AO$2:$AO$1046,0),COLUMN()),"")</f>
        <v/>
      </c>
      <c r="U758" t="str">
        <f>IFERROR(INDEX(装备库!$A$2:$Y$1047,MATCH(ROW()-1,装备库!$AO$2:$AO$1046,0),COLUMN()),"")</f>
        <v/>
      </c>
      <c r="V758" t="str">
        <f>IFERROR(INDEX(装备库!$A$2:$Y$1047,MATCH(ROW()-1,装备库!$AO$2:$AO$1046,0),COLUMN()),"")</f>
        <v/>
      </c>
      <c r="W758" t="str">
        <f>IFERROR(INDEX(装备库!$A$2:$Y$1047,MATCH(ROW()-1,装备库!$AO$2:$AO$1046,0),COLUMN()),"")</f>
        <v/>
      </c>
      <c r="X758" t="str">
        <f>IFERROR(INDEX(装备库!$A$2:$Y$1047,MATCH(ROW()-1,装备库!$AO$2:$AO$1046,0),COLUMN()),"")</f>
        <v/>
      </c>
      <c r="Y758" t="str">
        <f>IFERROR(INDEX(装备库!$A$2:$Y$1047,MATCH(ROW()-1,装备库!$AO$2:$AO$1046,0),COLUMN()),"")</f>
        <v/>
      </c>
    </row>
    <row r="759" spans="1:25" x14ac:dyDescent="0.35">
      <c r="A759" t="str">
        <f>IFERROR(INDEX(装备库!$A$2:$Y$1047,MATCH(ROW()-1,装备库!$AO$2:$AO$1046,0),COLUMN()),"")</f>
        <v/>
      </c>
      <c r="B759" t="str">
        <f>IFERROR(INDEX(装备库!$A$2:$Y$1047,MATCH(ROW()-1,装备库!$AO$2:$AO$1046,0),COLUMN()),"")</f>
        <v/>
      </c>
      <c r="C759" t="str">
        <f>IFERROR(INDEX(装备库!$A$2:$Y$1047,MATCH(ROW()-1,装备库!$AO$2:$AO$1046,0),COLUMN()),"")</f>
        <v/>
      </c>
      <c r="D759" t="str">
        <f>IFERROR(INDEX(装备库!$A$2:$Y$1047,MATCH(ROW()-1,装备库!$AO$2:$AO$1046,0),COLUMN()),"")</f>
        <v/>
      </c>
      <c r="E759" t="str">
        <f>IFERROR(INDEX(装备库!$A$2:$Y$1047,MATCH(ROW()-1,装备库!$AO$2:$AO$1046,0),COLUMN()),"")</f>
        <v/>
      </c>
      <c r="F759" t="str">
        <f>IFERROR(INDEX(装备库!$A$2:$Y$1047,MATCH(ROW()-1,装备库!$AO$2:$AO$1046,0),COLUMN()),"")</f>
        <v/>
      </c>
      <c r="G759" t="str">
        <f>IFERROR(INDEX(装备库!$A$2:$Y$1047,MATCH(ROW()-1,装备库!$AO$2:$AO$1046,0),COLUMN()),"")</f>
        <v/>
      </c>
      <c r="H759" t="str">
        <f>IFERROR(INDEX(装备库!$A$2:$Y$1047,MATCH(ROW()-1,装备库!$AO$2:$AO$1046,0),COLUMN()),"")</f>
        <v/>
      </c>
      <c r="I759" t="str">
        <f>IFERROR(INDEX(装备库!$A$2:$Y$1047,MATCH(ROW()-1,装备库!$AO$2:$AO$1046,0),COLUMN()),"")</f>
        <v/>
      </c>
      <c r="J759" t="str">
        <f>IFERROR(INDEX(装备库!$A$2:$Y$1047,MATCH(ROW()-1,装备库!$AO$2:$AO$1046,0),COLUMN()),"")</f>
        <v/>
      </c>
      <c r="K759" t="str">
        <f>IFERROR(INDEX(装备库!$A$2:$Y$1047,MATCH(ROW()-1,装备库!$AO$2:$AO$1046,0),COLUMN()),"")</f>
        <v/>
      </c>
      <c r="L759" t="str">
        <f>IFERROR(INDEX(装备库!$A$2:$Y$1047,MATCH(ROW()-1,装备库!$AO$2:$AO$1046,0),COLUMN()),"")</f>
        <v/>
      </c>
      <c r="M759" t="str">
        <f>IFERROR(INDEX(装备库!$A$2:$Y$1047,MATCH(ROW()-1,装备库!$AO$2:$AO$1046,0),COLUMN()),"")</f>
        <v/>
      </c>
      <c r="N759" t="str">
        <f>IFERROR(INDEX(装备库!$A$2:$Y$1047,MATCH(ROW()-1,装备库!$AO$2:$AO$1046,0),COLUMN()),"")</f>
        <v/>
      </c>
      <c r="O759" t="str">
        <f>IFERROR(INDEX(装备库!$A$2:$Y$1047,MATCH(ROW()-1,装备库!$AO$2:$AO$1046,0),COLUMN()),"")</f>
        <v/>
      </c>
      <c r="P759" t="str">
        <f>IFERROR(INDEX(装备库!$A$2:$Y$1047,MATCH(ROW()-1,装备库!$AO$2:$AO$1046,0),COLUMN()),"")</f>
        <v/>
      </c>
      <c r="Q759" t="str">
        <f>IFERROR(INDEX(装备库!$A$2:$Y$1047,MATCH(ROW()-1,装备库!$AO$2:$AO$1046,0),COLUMN()),"")</f>
        <v/>
      </c>
      <c r="R759" t="str">
        <f>IFERROR(INDEX(装备库!$A$2:$Y$1047,MATCH(ROW()-1,装备库!$AO$2:$AO$1046,0),COLUMN()),"")</f>
        <v/>
      </c>
      <c r="S759" t="str">
        <f>IFERROR(INDEX(装备库!$A$2:$Y$1047,MATCH(ROW()-1,装备库!$AO$2:$AO$1046,0),COLUMN()),"")</f>
        <v/>
      </c>
      <c r="T759" t="str">
        <f>IFERROR(INDEX(装备库!$A$2:$Y$1047,MATCH(ROW()-1,装备库!$AO$2:$AO$1046,0),COLUMN()),"")</f>
        <v/>
      </c>
      <c r="U759" t="str">
        <f>IFERROR(INDEX(装备库!$A$2:$Y$1047,MATCH(ROW()-1,装备库!$AO$2:$AO$1046,0),COLUMN()),"")</f>
        <v/>
      </c>
      <c r="V759" t="str">
        <f>IFERROR(INDEX(装备库!$A$2:$Y$1047,MATCH(ROW()-1,装备库!$AO$2:$AO$1046,0),COLUMN()),"")</f>
        <v/>
      </c>
      <c r="W759" t="str">
        <f>IFERROR(INDEX(装备库!$A$2:$Y$1047,MATCH(ROW()-1,装备库!$AO$2:$AO$1046,0),COLUMN()),"")</f>
        <v/>
      </c>
      <c r="X759" t="str">
        <f>IFERROR(INDEX(装备库!$A$2:$Y$1047,MATCH(ROW()-1,装备库!$AO$2:$AO$1046,0),COLUMN()),"")</f>
        <v/>
      </c>
      <c r="Y759" t="str">
        <f>IFERROR(INDEX(装备库!$A$2:$Y$1047,MATCH(ROW()-1,装备库!$AO$2:$AO$1046,0),COLUMN()),"")</f>
        <v/>
      </c>
    </row>
    <row r="760" spans="1:25" x14ac:dyDescent="0.35">
      <c r="A760" t="str">
        <f>IFERROR(INDEX(装备库!$A$2:$Y$1047,MATCH(ROW()-1,装备库!$AO$2:$AO$1046,0),COLUMN()),"")</f>
        <v/>
      </c>
      <c r="B760" t="str">
        <f>IFERROR(INDEX(装备库!$A$2:$Y$1047,MATCH(ROW()-1,装备库!$AO$2:$AO$1046,0),COLUMN()),"")</f>
        <v/>
      </c>
      <c r="C760" t="str">
        <f>IFERROR(INDEX(装备库!$A$2:$Y$1047,MATCH(ROW()-1,装备库!$AO$2:$AO$1046,0),COLUMN()),"")</f>
        <v/>
      </c>
      <c r="D760" t="str">
        <f>IFERROR(INDEX(装备库!$A$2:$Y$1047,MATCH(ROW()-1,装备库!$AO$2:$AO$1046,0),COLUMN()),"")</f>
        <v/>
      </c>
      <c r="E760" t="str">
        <f>IFERROR(INDEX(装备库!$A$2:$Y$1047,MATCH(ROW()-1,装备库!$AO$2:$AO$1046,0),COLUMN()),"")</f>
        <v/>
      </c>
      <c r="F760" t="str">
        <f>IFERROR(INDEX(装备库!$A$2:$Y$1047,MATCH(ROW()-1,装备库!$AO$2:$AO$1046,0),COLUMN()),"")</f>
        <v/>
      </c>
      <c r="G760" t="str">
        <f>IFERROR(INDEX(装备库!$A$2:$Y$1047,MATCH(ROW()-1,装备库!$AO$2:$AO$1046,0),COLUMN()),"")</f>
        <v/>
      </c>
      <c r="H760" t="str">
        <f>IFERROR(INDEX(装备库!$A$2:$Y$1047,MATCH(ROW()-1,装备库!$AO$2:$AO$1046,0),COLUMN()),"")</f>
        <v/>
      </c>
      <c r="I760" t="str">
        <f>IFERROR(INDEX(装备库!$A$2:$Y$1047,MATCH(ROW()-1,装备库!$AO$2:$AO$1046,0),COLUMN()),"")</f>
        <v/>
      </c>
      <c r="J760" t="str">
        <f>IFERROR(INDEX(装备库!$A$2:$Y$1047,MATCH(ROW()-1,装备库!$AO$2:$AO$1046,0),COLUMN()),"")</f>
        <v/>
      </c>
      <c r="K760" t="str">
        <f>IFERROR(INDEX(装备库!$A$2:$Y$1047,MATCH(ROW()-1,装备库!$AO$2:$AO$1046,0),COLUMN()),"")</f>
        <v/>
      </c>
      <c r="L760" t="str">
        <f>IFERROR(INDEX(装备库!$A$2:$Y$1047,MATCH(ROW()-1,装备库!$AO$2:$AO$1046,0),COLUMN()),"")</f>
        <v/>
      </c>
      <c r="M760" t="str">
        <f>IFERROR(INDEX(装备库!$A$2:$Y$1047,MATCH(ROW()-1,装备库!$AO$2:$AO$1046,0),COLUMN()),"")</f>
        <v/>
      </c>
      <c r="N760" t="str">
        <f>IFERROR(INDEX(装备库!$A$2:$Y$1047,MATCH(ROW()-1,装备库!$AO$2:$AO$1046,0),COLUMN()),"")</f>
        <v/>
      </c>
      <c r="O760" t="str">
        <f>IFERROR(INDEX(装备库!$A$2:$Y$1047,MATCH(ROW()-1,装备库!$AO$2:$AO$1046,0),COLUMN()),"")</f>
        <v/>
      </c>
      <c r="P760" t="str">
        <f>IFERROR(INDEX(装备库!$A$2:$Y$1047,MATCH(ROW()-1,装备库!$AO$2:$AO$1046,0),COLUMN()),"")</f>
        <v/>
      </c>
      <c r="Q760" t="str">
        <f>IFERROR(INDEX(装备库!$A$2:$Y$1047,MATCH(ROW()-1,装备库!$AO$2:$AO$1046,0),COLUMN()),"")</f>
        <v/>
      </c>
      <c r="R760" t="str">
        <f>IFERROR(INDEX(装备库!$A$2:$Y$1047,MATCH(ROW()-1,装备库!$AO$2:$AO$1046,0),COLUMN()),"")</f>
        <v/>
      </c>
      <c r="S760" t="str">
        <f>IFERROR(INDEX(装备库!$A$2:$Y$1047,MATCH(ROW()-1,装备库!$AO$2:$AO$1046,0),COLUMN()),"")</f>
        <v/>
      </c>
      <c r="T760" t="str">
        <f>IFERROR(INDEX(装备库!$A$2:$Y$1047,MATCH(ROW()-1,装备库!$AO$2:$AO$1046,0),COLUMN()),"")</f>
        <v/>
      </c>
      <c r="U760" t="str">
        <f>IFERROR(INDEX(装备库!$A$2:$Y$1047,MATCH(ROW()-1,装备库!$AO$2:$AO$1046,0),COLUMN()),"")</f>
        <v/>
      </c>
      <c r="V760" t="str">
        <f>IFERROR(INDEX(装备库!$A$2:$Y$1047,MATCH(ROW()-1,装备库!$AO$2:$AO$1046,0),COLUMN()),"")</f>
        <v/>
      </c>
      <c r="W760" t="str">
        <f>IFERROR(INDEX(装备库!$A$2:$Y$1047,MATCH(ROW()-1,装备库!$AO$2:$AO$1046,0),COLUMN()),"")</f>
        <v/>
      </c>
      <c r="X760" t="str">
        <f>IFERROR(INDEX(装备库!$A$2:$Y$1047,MATCH(ROW()-1,装备库!$AO$2:$AO$1046,0),COLUMN()),"")</f>
        <v/>
      </c>
      <c r="Y760" t="str">
        <f>IFERROR(INDEX(装备库!$A$2:$Y$1047,MATCH(ROW()-1,装备库!$AO$2:$AO$1046,0),COLUMN()),"")</f>
        <v/>
      </c>
    </row>
    <row r="761" spans="1:25" x14ac:dyDescent="0.35">
      <c r="A761" t="str">
        <f>IFERROR(INDEX(装备库!$A$2:$Y$1047,MATCH(ROW()-1,装备库!$AO$2:$AO$1046,0),COLUMN()),"")</f>
        <v/>
      </c>
      <c r="B761" t="str">
        <f>IFERROR(INDEX(装备库!$A$2:$Y$1047,MATCH(ROW()-1,装备库!$AO$2:$AO$1046,0),COLUMN()),"")</f>
        <v/>
      </c>
      <c r="C761" t="str">
        <f>IFERROR(INDEX(装备库!$A$2:$Y$1047,MATCH(ROW()-1,装备库!$AO$2:$AO$1046,0),COLUMN()),"")</f>
        <v/>
      </c>
      <c r="D761" t="str">
        <f>IFERROR(INDEX(装备库!$A$2:$Y$1047,MATCH(ROW()-1,装备库!$AO$2:$AO$1046,0),COLUMN()),"")</f>
        <v/>
      </c>
      <c r="E761" t="str">
        <f>IFERROR(INDEX(装备库!$A$2:$Y$1047,MATCH(ROW()-1,装备库!$AO$2:$AO$1046,0),COLUMN()),"")</f>
        <v/>
      </c>
      <c r="F761" t="str">
        <f>IFERROR(INDEX(装备库!$A$2:$Y$1047,MATCH(ROW()-1,装备库!$AO$2:$AO$1046,0),COLUMN()),"")</f>
        <v/>
      </c>
      <c r="G761" t="str">
        <f>IFERROR(INDEX(装备库!$A$2:$Y$1047,MATCH(ROW()-1,装备库!$AO$2:$AO$1046,0),COLUMN()),"")</f>
        <v/>
      </c>
      <c r="H761" t="str">
        <f>IFERROR(INDEX(装备库!$A$2:$Y$1047,MATCH(ROW()-1,装备库!$AO$2:$AO$1046,0),COLUMN()),"")</f>
        <v/>
      </c>
      <c r="I761" t="str">
        <f>IFERROR(INDEX(装备库!$A$2:$Y$1047,MATCH(ROW()-1,装备库!$AO$2:$AO$1046,0),COLUMN()),"")</f>
        <v/>
      </c>
      <c r="J761" t="str">
        <f>IFERROR(INDEX(装备库!$A$2:$Y$1047,MATCH(ROW()-1,装备库!$AO$2:$AO$1046,0),COLUMN()),"")</f>
        <v/>
      </c>
      <c r="K761" t="str">
        <f>IFERROR(INDEX(装备库!$A$2:$Y$1047,MATCH(ROW()-1,装备库!$AO$2:$AO$1046,0),COLUMN()),"")</f>
        <v/>
      </c>
      <c r="L761" t="str">
        <f>IFERROR(INDEX(装备库!$A$2:$Y$1047,MATCH(ROW()-1,装备库!$AO$2:$AO$1046,0),COLUMN()),"")</f>
        <v/>
      </c>
      <c r="M761" t="str">
        <f>IFERROR(INDEX(装备库!$A$2:$Y$1047,MATCH(ROW()-1,装备库!$AO$2:$AO$1046,0),COLUMN()),"")</f>
        <v/>
      </c>
      <c r="N761" t="str">
        <f>IFERROR(INDEX(装备库!$A$2:$Y$1047,MATCH(ROW()-1,装备库!$AO$2:$AO$1046,0),COLUMN()),"")</f>
        <v/>
      </c>
      <c r="O761" t="str">
        <f>IFERROR(INDEX(装备库!$A$2:$Y$1047,MATCH(ROW()-1,装备库!$AO$2:$AO$1046,0),COLUMN()),"")</f>
        <v/>
      </c>
      <c r="P761" t="str">
        <f>IFERROR(INDEX(装备库!$A$2:$Y$1047,MATCH(ROW()-1,装备库!$AO$2:$AO$1046,0),COLUMN()),"")</f>
        <v/>
      </c>
      <c r="Q761" t="str">
        <f>IFERROR(INDEX(装备库!$A$2:$Y$1047,MATCH(ROW()-1,装备库!$AO$2:$AO$1046,0),COLUMN()),"")</f>
        <v/>
      </c>
      <c r="R761" t="str">
        <f>IFERROR(INDEX(装备库!$A$2:$Y$1047,MATCH(ROW()-1,装备库!$AO$2:$AO$1046,0),COLUMN()),"")</f>
        <v/>
      </c>
      <c r="S761" t="str">
        <f>IFERROR(INDEX(装备库!$A$2:$Y$1047,MATCH(ROW()-1,装备库!$AO$2:$AO$1046,0),COLUMN()),"")</f>
        <v/>
      </c>
      <c r="T761" t="str">
        <f>IFERROR(INDEX(装备库!$A$2:$Y$1047,MATCH(ROW()-1,装备库!$AO$2:$AO$1046,0),COLUMN()),"")</f>
        <v/>
      </c>
      <c r="U761" t="str">
        <f>IFERROR(INDEX(装备库!$A$2:$Y$1047,MATCH(ROW()-1,装备库!$AO$2:$AO$1046,0),COLUMN()),"")</f>
        <v/>
      </c>
      <c r="V761" t="str">
        <f>IFERROR(INDEX(装备库!$A$2:$Y$1047,MATCH(ROW()-1,装备库!$AO$2:$AO$1046,0),COLUMN()),"")</f>
        <v/>
      </c>
      <c r="W761" t="str">
        <f>IFERROR(INDEX(装备库!$A$2:$Y$1047,MATCH(ROW()-1,装备库!$AO$2:$AO$1046,0),COLUMN()),"")</f>
        <v/>
      </c>
      <c r="X761" t="str">
        <f>IFERROR(INDEX(装备库!$A$2:$Y$1047,MATCH(ROW()-1,装备库!$AO$2:$AO$1046,0),COLUMN()),"")</f>
        <v/>
      </c>
      <c r="Y761" t="str">
        <f>IFERROR(INDEX(装备库!$A$2:$Y$1047,MATCH(ROW()-1,装备库!$AO$2:$AO$1046,0),COLUMN()),"")</f>
        <v/>
      </c>
    </row>
    <row r="762" spans="1:25" x14ac:dyDescent="0.35">
      <c r="A762" t="str">
        <f>IFERROR(INDEX(装备库!$A$2:$Y$1047,MATCH(ROW()-1,装备库!$AO$2:$AO$1046,0),COLUMN()),"")</f>
        <v/>
      </c>
      <c r="B762" t="str">
        <f>IFERROR(INDEX(装备库!$A$2:$Y$1047,MATCH(ROW()-1,装备库!$AO$2:$AO$1046,0),COLUMN()),"")</f>
        <v/>
      </c>
      <c r="C762" t="str">
        <f>IFERROR(INDEX(装备库!$A$2:$Y$1047,MATCH(ROW()-1,装备库!$AO$2:$AO$1046,0),COLUMN()),"")</f>
        <v/>
      </c>
      <c r="D762" t="str">
        <f>IFERROR(INDEX(装备库!$A$2:$Y$1047,MATCH(ROW()-1,装备库!$AO$2:$AO$1046,0),COLUMN()),"")</f>
        <v/>
      </c>
      <c r="E762" t="str">
        <f>IFERROR(INDEX(装备库!$A$2:$Y$1047,MATCH(ROW()-1,装备库!$AO$2:$AO$1046,0),COLUMN()),"")</f>
        <v/>
      </c>
      <c r="F762" t="str">
        <f>IFERROR(INDEX(装备库!$A$2:$Y$1047,MATCH(ROW()-1,装备库!$AO$2:$AO$1046,0),COLUMN()),"")</f>
        <v/>
      </c>
      <c r="G762" t="str">
        <f>IFERROR(INDEX(装备库!$A$2:$Y$1047,MATCH(ROW()-1,装备库!$AO$2:$AO$1046,0),COLUMN()),"")</f>
        <v/>
      </c>
      <c r="H762" t="str">
        <f>IFERROR(INDEX(装备库!$A$2:$Y$1047,MATCH(ROW()-1,装备库!$AO$2:$AO$1046,0),COLUMN()),"")</f>
        <v/>
      </c>
      <c r="I762" t="str">
        <f>IFERROR(INDEX(装备库!$A$2:$Y$1047,MATCH(ROW()-1,装备库!$AO$2:$AO$1046,0),COLUMN()),"")</f>
        <v/>
      </c>
      <c r="J762" t="str">
        <f>IFERROR(INDEX(装备库!$A$2:$Y$1047,MATCH(ROW()-1,装备库!$AO$2:$AO$1046,0),COLUMN()),"")</f>
        <v/>
      </c>
      <c r="K762" t="str">
        <f>IFERROR(INDEX(装备库!$A$2:$Y$1047,MATCH(ROW()-1,装备库!$AO$2:$AO$1046,0),COLUMN()),"")</f>
        <v/>
      </c>
      <c r="L762" t="str">
        <f>IFERROR(INDEX(装备库!$A$2:$Y$1047,MATCH(ROW()-1,装备库!$AO$2:$AO$1046,0),COLUMN()),"")</f>
        <v/>
      </c>
      <c r="M762" t="str">
        <f>IFERROR(INDEX(装备库!$A$2:$Y$1047,MATCH(ROW()-1,装备库!$AO$2:$AO$1046,0),COLUMN()),"")</f>
        <v/>
      </c>
      <c r="N762" t="str">
        <f>IFERROR(INDEX(装备库!$A$2:$Y$1047,MATCH(ROW()-1,装备库!$AO$2:$AO$1046,0),COLUMN()),"")</f>
        <v/>
      </c>
      <c r="O762" t="str">
        <f>IFERROR(INDEX(装备库!$A$2:$Y$1047,MATCH(ROW()-1,装备库!$AO$2:$AO$1046,0),COLUMN()),"")</f>
        <v/>
      </c>
      <c r="P762" t="str">
        <f>IFERROR(INDEX(装备库!$A$2:$Y$1047,MATCH(ROW()-1,装备库!$AO$2:$AO$1046,0),COLUMN()),"")</f>
        <v/>
      </c>
      <c r="Q762" t="str">
        <f>IFERROR(INDEX(装备库!$A$2:$Y$1047,MATCH(ROW()-1,装备库!$AO$2:$AO$1046,0),COLUMN()),"")</f>
        <v/>
      </c>
      <c r="R762" t="str">
        <f>IFERROR(INDEX(装备库!$A$2:$Y$1047,MATCH(ROW()-1,装备库!$AO$2:$AO$1046,0),COLUMN()),"")</f>
        <v/>
      </c>
      <c r="S762" t="str">
        <f>IFERROR(INDEX(装备库!$A$2:$Y$1047,MATCH(ROW()-1,装备库!$AO$2:$AO$1046,0),COLUMN()),"")</f>
        <v/>
      </c>
      <c r="T762" t="str">
        <f>IFERROR(INDEX(装备库!$A$2:$Y$1047,MATCH(ROW()-1,装备库!$AO$2:$AO$1046,0),COLUMN()),"")</f>
        <v/>
      </c>
      <c r="U762" t="str">
        <f>IFERROR(INDEX(装备库!$A$2:$Y$1047,MATCH(ROW()-1,装备库!$AO$2:$AO$1046,0),COLUMN()),"")</f>
        <v/>
      </c>
      <c r="V762" t="str">
        <f>IFERROR(INDEX(装备库!$A$2:$Y$1047,MATCH(ROW()-1,装备库!$AO$2:$AO$1046,0),COLUMN()),"")</f>
        <v/>
      </c>
      <c r="W762" t="str">
        <f>IFERROR(INDEX(装备库!$A$2:$Y$1047,MATCH(ROW()-1,装备库!$AO$2:$AO$1046,0),COLUMN()),"")</f>
        <v/>
      </c>
      <c r="X762" t="str">
        <f>IFERROR(INDEX(装备库!$A$2:$Y$1047,MATCH(ROW()-1,装备库!$AO$2:$AO$1046,0),COLUMN()),"")</f>
        <v/>
      </c>
      <c r="Y762" t="str">
        <f>IFERROR(INDEX(装备库!$A$2:$Y$1047,MATCH(ROW()-1,装备库!$AO$2:$AO$1046,0),COLUMN()),"")</f>
        <v/>
      </c>
    </row>
    <row r="763" spans="1:25" x14ac:dyDescent="0.35">
      <c r="A763" t="str">
        <f>IFERROR(INDEX(装备库!$A$2:$Y$1047,MATCH(ROW()-1,装备库!$AO$2:$AO$1046,0),COLUMN()),"")</f>
        <v/>
      </c>
      <c r="B763" t="str">
        <f>IFERROR(INDEX(装备库!$A$2:$Y$1047,MATCH(ROW()-1,装备库!$AO$2:$AO$1046,0),COLUMN()),"")</f>
        <v/>
      </c>
      <c r="C763" t="str">
        <f>IFERROR(INDEX(装备库!$A$2:$Y$1047,MATCH(ROW()-1,装备库!$AO$2:$AO$1046,0),COLUMN()),"")</f>
        <v/>
      </c>
      <c r="D763" t="str">
        <f>IFERROR(INDEX(装备库!$A$2:$Y$1047,MATCH(ROW()-1,装备库!$AO$2:$AO$1046,0),COLUMN()),"")</f>
        <v/>
      </c>
      <c r="E763" t="str">
        <f>IFERROR(INDEX(装备库!$A$2:$Y$1047,MATCH(ROW()-1,装备库!$AO$2:$AO$1046,0),COLUMN()),"")</f>
        <v/>
      </c>
      <c r="F763" t="str">
        <f>IFERROR(INDEX(装备库!$A$2:$Y$1047,MATCH(ROW()-1,装备库!$AO$2:$AO$1046,0),COLUMN()),"")</f>
        <v/>
      </c>
      <c r="G763" t="str">
        <f>IFERROR(INDEX(装备库!$A$2:$Y$1047,MATCH(ROW()-1,装备库!$AO$2:$AO$1046,0),COLUMN()),"")</f>
        <v/>
      </c>
      <c r="H763" t="str">
        <f>IFERROR(INDEX(装备库!$A$2:$Y$1047,MATCH(ROW()-1,装备库!$AO$2:$AO$1046,0),COLUMN()),"")</f>
        <v/>
      </c>
      <c r="I763" t="str">
        <f>IFERROR(INDEX(装备库!$A$2:$Y$1047,MATCH(ROW()-1,装备库!$AO$2:$AO$1046,0),COLUMN()),"")</f>
        <v/>
      </c>
      <c r="J763" t="str">
        <f>IFERROR(INDEX(装备库!$A$2:$Y$1047,MATCH(ROW()-1,装备库!$AO$2:$AO$1046,0),COLUMN()),"")</f>
        <v/>
      </c>
      <c r="K763" t="str">
        <f>IFERROR(INDEX(装备库!$A$2:$Y$1047,MATCH(ROW()-1,装备库!$AO$2:$AO$1046,0),COLUMN()),"")</f>
        <v/>
      </c>
      <c r="L763" t="str">
        <f>IFERROR(INDEX(装备库!$A$2:$Y$1047,MATCH(ROW()-1,装备库!$AO$2:$AO$1046,0),COLUMN()),"")</f>
        <v/>
      </c>
      <c r="M763" t="str">
        <f>IFERROR(INDEX(装备库!$A$2:$Y$1047,MATCH(ROW()-1,装备库!$AO$2:$AO$1046,0),COLUMN()),"")</f>
        <v/>
      </c>
      <c r="N763" t="str">
        <f>IFERROR(INDEX(装备库!$A$2:$Y$1047,MATCH(ROW()-1,装备库!$AO$2:$AO$1046,0),COLUMN()),"")</f>
        <v/>
      </c>
      <c r="O763" t="str">
        <f>IFERROR(INDEX(装备库!$A$2:$Y$1047,MATCH(ROW()-1,装备库!$AO$2:$AO$1046,0),COLUMN()),"")</f>
        <v/>
      </c>
      <c r="P763" t="str">
        <f>IFERROR(INDEX(装备库!$A$2:$Y$1047,MATCH(ROW()-1,装备库!$AO$2:$AO$1046,0),COLUMN()),"")</f>
        <v/>
      </c>
      <c r="Q763" t="str">
        <f>IFERROR(INDEX(装备库!$A$2:$Y$1047,MATCH(ROW()-1,装备库!$AO$2:$AO$1046,0),COLUMN()),"")</f>
        <v/>
      </c>
      <c r="R763" t="str">
        <f>IFERROR(INDEX(装备库!$A$2:$Y$1047,MATCH(ROW()-1,装备库!$AO$2:$AO$1046,0),COLUMN()),"")</f>
        <v/>
      </c>
      <c r="S763" t="str">
        <f>IFERROR(INDEX(装备库!$A$2:$Y$1047,MATCH(ROW()-1,装备库!$AO$2:$AO$1046,0),COLUMN()),"")</f>
        <v/>
      </c>
      <c r="T763" t="str">
        <f>IFERROR(INDEX(装备库!$A$2:$Y$1047,MATCH(ROW()-1,装备库!$AO$2:$AO$1046,0),COLUMN()),"")</f>
        <v/>
      </c>
      <c r="U763" t="str">
        <f>IFERROR(INDEX(装备库!$A$2:$Y$1047,MATCH(ROW()-1,装备库!$AO$2:$AO$1046,0),COLUMN()),"")</f>
        <v/>
      </c>
      <c r="V763" t="str">
        <f>IFERROR(INDEX(装备库!$A$2:$Y$1047,MATCH(ROW()-1,装备库!$AO$2:$AO$1046,0),COLUMN()),"")</f>
        <v/>
      </c>
      <c r="W763" t="str">
        <f>IFERROR(INDEX(装备库!$A$2:$Y$1047,MATCH(ROW()-1,装备库!$AO$2:$AO$1046,0),COLUMN()),"")</f>
        <v/>
      </c>
      <c r="X763" t="str">
        <f>IFERROR(INDEX(装备库!$A$2:$Y$1047,MATCH(ROW()-1,装备库!$AO$2:$AO$1046,0),COLUMN()),"")</f>
        <v/>
      </c>
      <c r="Y763" t="str">
        <f>IFERROR(INDEX(装备库!$A$2:$Y$1047,MATCH(ROW()-1,装备库!$AO$2:$AO$1046,0),COLUMN()),"")</f>
        <v/>
      </c>
    </row>
    <row r="764" spans="1:25" x14ac:dyDescent="0.35">
      <c r="A764" t="str">
        <f>IFERROR(INDEX(装备库!$A$2:$Y$1047,MATCH(ROW()-1,装备库!$AO$2:$AO$1046,0),COLUMN()),"")</f>
        <v/>
      </c>
      <c r="B764" t="str">
        <f>IFERROR(INDEX(装备库!$A$2:$Y$1047,MATCH(ROW()-1,装备库!$AO$2:$AO$1046,0),COLUMN()),"")</f>
        <v/>
      </c>
      <c r="C764" t="str">
        <f>IFERROR(INDEX(装备库!$A$2:$Y$1047,MATCH(ROW()-1,装备库!$AO$2:$AO$1046,0),COLUMN()),"")</f>
        <v/>
      </c>
      <c r="D764" t="str">
        <f>IFERROR(INDEX(装备库!$A$2:$Y$1047,MATCH(ROW()-1,装备库!$AO$2:$AO$1046,0),COLUMN()),"")</f>
        <v/>
      </c>
      <c r="E764" t="str">
        <f>IFERROR(INDEX(装备库!$A$2:$Y$1047,MATCH(ROW()-1,装备库!$AO$2:$AO$1046,0),COLUMN()),"")</f>
        <v/>
      </c>
      <c r="F764" t="str">
        <f>IFERROR(INDEX(装备库!$A$2:$Y$1047,MATCH(ROW()-1,装备库!$AO$2:$AO$1046,0),COLUMN()),"")</f>
        <v/>
      </c>
      <c r="G764" t="str">
        <f>IFERROR(INDEX(装备库!$A$2:$Y$1047,MATCH(ROW()-1,装备库!$AO$2:$AO$1046,0),COLUMN()),"")</f>
        <v/>
      </c>
      <c r="H764" t="str">
        <f>IFERROR(INDEX(装备库!$A$2:$Y$1047,MATCH(ROW()-1,装备库!$AO$2:$AO$1046,0),COLUMN()),"")</f>
        <v/>
      </c>
      <c r="I764" t="str">
        <f>IFERROR(INDEX(装备库!$A$2:$Y$1047,MATCH(ROW()-1,装备库!$AO$2:$AO$1046,0),COLUMN()),"")</f>
        <v/>
      </c>
      <c r="J764" t="str">
        <f>IFERROR(INDEX(装备库!$A$2:$Y$1047,MATCH(ROW()-1,装备库!$AO$2:$AO$1046,0),COLUMN()),"")</f>
        <v/>
      </c>
      <c r="K764" t="str">
        <f>IFERROR(INDEX(装备库!$A$2:$Y$1047,MATCH(ROW()-1,装备库!$AO$2:$AO$1046,0),COLUMN()),"")</f>
        <v/>
      </c>
      <c r="L764" t="str">
        <f>IFERROR(INDEX(装备库!$A$2:$Y$1047,MATCH(ROW()-1,装备库!$AO$2:$AO$1046,0),COLUMN()),"")</f>
        <v/>
      </c>
      <c r="M764" t="str">
        <f>IFERROR(INDEX(装备库!$A$2:$Y$1047,MATCH(ROW()-1,装备库!$AO$2:$AO$1046,0),COLUMN()),"")</f>
        <v/>
      </c>
      <c r="N764" t="str">
        <f>IFERROR(INDEX(装备库!$A$2:$Y$1047,MATCH(ROW()-1,装备库!$AO$2:$AO$1046,0),COLUMN()),"")</f>
        <v/>
      </c>
      <c r="O764" t="str">
        <f>IFERROR(INDEX(装备库!$A$2:$Y$1047,MATCH(ROW()-1,装备库!$AO$2:$AO$1046,0),COLUMN()),"")</f>
        <v/>
      </c>
      <c r="P764" t="str">
        <f>IFERROR(INDEX(装备库!$A$2:$Y$1047,MATCH(ROW()-1,装备库!$AO$2:$AO$1046,0),COLUMN()),"")</f>
        <v/>
      </c>
      <c r="Q764" t="str">
        <f>IFERROR(INDEX(装备库!$A$2:$Y$1047,MATCH(ROW()-1,装备库!$AO$2:$AO$1046,0),COLUMN()),"")</f>
        <v/>
      </c>
      <c r="R764" t="str">
        <f>IFERROR(INDEX(装备库!$A$2:$Y$1047,MATCH(ROW()-1,装备库!$AO$2:$AO$1046,0),COLUMN()),"")</f>
        <v/>
      </c>
      <c r="S764" t="str">
        <f>IFERROR(INDEX(装备库!$A$2:$Y$1047,MATCH(ROW()-1,装备库!$AO$2:$AO$1046,0),COLUMN()),"")</f>
        <v/>
      </c>
      <c r="T764" t="str">
        <f>IFERROR(INDEX(装备库!$A$2:$Y$1047,MATCH(ROW()-1,装备库!$AO$2:$AO$1046,0),COLUMN()),"")</f>
        <v/>
      </c>
      <c r="U764" t="str">
        <f>IFERROR(INDEX(装备库!$A$2:$Y$1047,MATCH(ROW()-1,装备库!$AO$2:$AO$1046,0),COLUMN()),"")</f>
        <v/>
      </c>
      <c r="V764" t="str">
        <f>IFERROR(INDEX(装备库!$A$2:$Y$1047,MATCH(ROW()-1,装备库!$AO$2:$AO$1046,0),COLUMN()),"")</f>
        <v/>
      </c>
      <c r="W764" t="str">
        <f>IFERROR(INDEX(装备库!$A$2:$Y$1047,MATCH(ROW()-1,装备库!$AO$2:$AO$1046,0),COLUMN()),"")</f>
        <v/>
      </c>
      <c r="X764" t="str">
        <f>IFERROR(INDEX(装备库!$A$2:$Y$1047,MATCH(ROW()-1,装备库!$AO$2:$AO$1046,0),COLUMN()),"")</f>
        <v/>
      </c>
      <c r="Y764" t="str">
        <f>IFERROR(INDEX(装备库!$A$2:$Y$1047,MATCH(ROW()-1,装备库!$AO$2:$AO$1046,0),COLUMN()),"")</f>
        <v/>
      </c>
    </row>
    <row r="765" spans="1:25" x14ac:dyDescent="0.35">
      <c r="A765" t="str">
        <f>IFERROR(INDEX(装备库!$A$2:$Y$1047,MATCH(ROW()-1,装备库!$AO$2:$AO$1046,0),COLUMN()),"")</f>
        <v/>
      </c>
      <c r="B765" t="str">
        <f>IFERROR(INDEX(装备库!$A$2:$Y$1047,MATCH(ROW()-1,装备库!$AO$2:$AO$1046,0),COLUMN()),"")</f>
        <v/>
      </c>
      <c r="C765" t="str">
        <f>IFERROR(INDEX(装备库!$A$2:$Y$1047,MATCH(ROW()-1,装备库!$AO$2:$AO$1046,0),COLUMN()),"")</f>
        <v/>
      </c>
      <c r="D765" t="str">
        <f>IFERROR(INDEX(装备库!$A$2:$Y$1047,MATCH(ROW()-1,装备库!$AO$2:$AO$1046,0),COLUMN()),"")</f>
        <v/>
      </c>
      <c r="E765" t="str">
        <f>IFERROR(INDEX(装备库!$A$2:$Y$1047,MATCH(ROW()-1,装备库!$AO$2:$AO$1046,0),COLUMN()),"")</f>
        <v/>
      </c>
      <c r="F765" t="str">
        <f>IFERROR(INDEX(装备库!$A$2:$Y$1047,MATCH(ROW()-1,装备库!$AO$2:$AO$1046,0),COLUMN()),"")</f>
        <v/>
      </c>
      <c r="G765" t="str">
        <f>IFERROR(INDEX(装备库!$A$2:$Y$1047,MATCH(ROW()-1,装备库!$AO$2:$AO$1046,0),COLUMN()),"")</f>
        <v/>
      </c>
      <c r="H765" t="str">
        <f>IFERROR(INDEX(装备库!$A$2:$Y$1047,MATCH(ROW()-1,装备库!$AO$2:$AO$1046,0),COLUMN()),"")</f>
        <v/>
      </c>
      <c r="I765" t="str">
        <f>IFERROR(INDEX(装备库!$A$2:$Y$1047,MATCH(ROW()-1,装备库!$AO$2:$AO$1046,0),COLUMN()),"")</f>
        <v/>
      </c>
      <c r="J765" t="str">
        <f>IFERROR(INDEX(装备库!$A$2:$Y$1047,MATCH(ROW()-1,装备库!$AO$2:$AO$1046,0),COLUMN()),"")</f>
        <v/>
      </c>
      <c r="K765" t="str">
        <f>IFERROR(INDEX(装备库!$A$2:$Y$1047,MATCH(ROW()-1,装备库!$AO$2:$AO$1046,0),COLUMN()),"")</f>
        <v/>
      </c>
      <c r="L765" t="str">
        <f>IFERROR(INDEX(装备库!$A$2:$Y$1047,MATCH(ROW()-1,装备库!$AO$2:$AO$1046,0),COLUMN()),"")</f>
        <v/>
      </c>
      <c r="M765" t="str">
        <f>IFERROR(INDEX(装备库!$A$2:$Y$1047,MATCH(ROW()-1,装备库!$AO$2:$AO$1046,0),COLUMN()),"")</f>
        <v/>
      </c>
      <c r="N765" t="str">
        <f>IFERROR(INDEX(装备库!$A$2:$Y$1047,MATCH(ROW()-1,装备库!$AO$2:$AO$1046,0),COLUMN()),"")</f>
        <v/>
      </c>
      <c r="O765" t="str">
        <f>IFERROR(INDEX(装备库!$A$2:$Y$1047,MATCH(ROW()-1,装备库!$AO$2:$AO$1046,0),COLUMN()),"")</f>
        <v/>
      </c>
      <c r="P765" t="str">
        <f>IFERROR(INDEX(装备库!$A$2:$Y$1047,MATCH(ROW()-1,装备库!$AO$2:$AO$1046,0),COLUMN()),"")</f>
        <v/>
      </c>
      <c r="Q765" t="str">
        <f>IFERROR(INDEX(装备库!$A$2:$Y$1047,MATCH(ROW()-1,装备库!$AO$2:$AO$1046,0),COLUMN()),"")</f>
        <v/>
      </c>
      <c r="R765" t="str">
        <f>IFERROR(INDEX(装备库!$A$2:$Y$1047,MATCH(ROW()-1,装备库!$AO$2:$AO$1046,0),COLUMN()),"")</f>
        <v/>
      </c>
      <c r="S765" t="str">
        <f>IFERROR(INDEX(装备库!$A$2:$Y$1047,MATCH(ROW()-1,装备库!$AO$2:$AO$1046,0),COLUMN()),"")</f>
        <v/>
      </c>
      <c r="T765" t="str">
        <f>IFERROR(INDEX(装备库!$A$2:$Y$1047,MATCH(ROW()-1,装备库!$AO$2:$AO$1046,0),COLUMN()),"")</f>
        <v/>
      </c>
      <c r="U765" t="str">
        <f>IFERROR(INDEX(装备库!$A$2:$Y$1047,MATCH(ROW()-1,装备库!$AO$2:$AO$1046,0),COLUMN()),"")</f>
        <v/>
      </c>
      <c r="V765" t="str">
        <f>IFERROR(INDEX(装备库!$A$2:$Y$1047,MATCH(ROW()-1,装备库!$AO$2:$AO$1046,0),COLUMN()),"")</f>
        <v/>
      </c>
      <c r="W765" t="str">
        <f>IFERROR(INDEX(装备库!$A$2:$Y$1047,MATCH(ROW()-1,装备库!$AO$2:$AO$1046,0),COLUMN()),"")</f>
        <v/>
      </c>
      <c r="X765" t="str">
        <f>IFERROR(INDEX(装备库!$A$2:$Y$1047,MATCH(ROW()-1,装备库!$AO$2:$AO$1046,0),COLUMN()),"")</f>
        <v/>
      </c>
      <c r="Y765" t="str">
        <f>IFERROR(INDEX(装备库!$A$2:$Y$1047,MATCH(ROW()-1,装备库!$AO$2:$AO$1046,0),COLUMN()),"")</f>
        <v/>
      </c>
    </row>
    <row r="766" spans="1:25" x14ac:dyDescent="0.35">
      <c r="A766" t="str">
        <f>IFERROR(INDEX(装备库!$A$2:$Y$1047,MATCH(ROW()-1,装备库!$AO$2:$AO$1046,0),COLUMN()),"")</f>
        <v/>
      </c>
      <c r="B766" t="str">
        <f>IFERROR(INDEX(装备库!$A$2:$Y$1047,MATCH(ROW()-1,装备库!$AO$2:$AO$1046,0),COLUMN()),"")</f>
        <v/>
      </c>
      <c r="C766" t="str">
        <f>IFERROR(INDEX(装备库!$A$2:$Y$1047,MATCH(ROW()-1,装备库!$AO$2:$AO$1046,0),COLUMN()),"")</f>
        <v/>
      </c>
      <c r="D766" t="str">
        <f>IFERROR(INDEX(装备库!$A$2:$Y$1047,MATCH(ROW()-1,装备库!$AO$2:$AO$1046,0),COLUMN()),"")</f>
        <v/>
      </c>
      <c r="E766" t="str">
        <f>IFERROR(INDEX(装备库!$A$2:$Y$1047,MATCH(ROW()-1,装备库!$AO$2:$AO$1046,0),COLUMN()),"")</f>
        <v/>
      </c>
      <c r="F766" t="str">
        <f>IFERROR(INDEX(装备库!$A$2:$Y$1047,MATCH(ROW()-1,装备库!$AO$2:$AO$1046,0),COLUMN()),"")</f>
        <v/>
      </c>
      <c r="G766" t="str">
        <f>IFERROR(INDEX(装备库!$A$2:$Y$1047,MATCH(ROW()-1,装备库!$AO$2:$AO$1046,0),COLUMN()),"")</f>
        <v/>
      </c>
      <c r="H766" t="str">
        <f>IFERROR(INDEX(装备库!$A$2:$Y$1047,MATCH(ROW()-1,装备库!$AO$2:$AO$1046,0),COLUMN()),"")</f>
        <v/>
      </c>
      <c r="I766" t="str">
        <f>IFERROR(INDEX(装备库!$A$2:$Y$1047,MATCH(ROW()-1,装备库!$AO$2:$AO$1046,0),COLUMN()),"")</f>
        <v/>
      </c>
      <c r="J766" t="str">
        <f>IFERROR(INDEX(装备库!$A$2:$Y$1047,MATCH(ROW()-1,装备库!$AO$2:$AO$1046,0),COLUMN()),"")</f>
        <v/>
      </c>
      <c r="K766" t="str">
        <f>IFERROR(INDEX(装备库!$A$2:$Y$1047,MATCH(ROW()-1,装备库!$AO$2:$AO$1046,0),COLUMN()),"")</f>
        <v/>
      </c>
      <c r="L766" t="str">
        <f>IFERROR(INDEX(装备库!$A$2:$Y$1047,MATCH(ROW()-1,装备库!$AO$2:$AO$1046,0),COLUMN()),"")</f>
        <v/>
      </c>
      <c r="M766" t="str">
        <f>IFERROR(INDEX(装备库!$A$2:$Y$1047,MATCH(ROW()-1,装备库!$AO$2:$AO$1046,0),COLUMN()),"")</f>
        <v/>
      </c>
      <c r="N766" t="str">
        <f>IFERROR(INDEX(装备库!$A$2:$Y$1047,MATCH(ROW()-1,装备库!$AO$2:$AO$1046,0),COLUMN()),"")</f>
        <v/>
      </c>
      <c r="O766" t="str">
        <f>IFERROR(INDEX(装备库!$A$2:$Y$1047,MATCH(ROW()-1,装备库!$AO$2:$AO$1046,0),COLUMN()),"")</f>
        <v/>
      </c>
      <c r="P766" t="str">
        <f>IFERROR(INDEX(装备库!$A$2:$Y$1047,MATCH(ROW()-1,装备库!$AO$2:$AO$1046,0),COLUMN()),"")</f>
        <v/>
      </c>
      <c r="Q766" t="str">
        <f>IFERROR(INDEX(装备库!$A$2:$Y$1047,MATCH(ROW()-1,装备库!$AO$2:$AO$1046,0),COLUMN()),"")</f>
        <v/>
      </c>
      <c r="R766" t="str">
        <f>IFERROR(INDEX(装备库!$A$2:$Y$1047,MATCH(ROW()-1,装备库!$AO$2:$AO$1046,0),COLUMN()),"")</f>
        <v/>
      </c>
      <c r="S766" t="str">
        <f>IFERROR(INDEX(装备库!$A$2:$Y$1047,MATCH(ROW()-1,装备库!$AO$2:$AO$1046,0),COLUMN()),"")</f>
        <v/>
      </c>
      <c r="T766" t="str">
        <f>IFERROR(INDEX(装备库!$A$2:$Y$1047,MATCH(ROW()-1,装备库!$AO$2:$AO$1046,0),COLUMN()),"")</f>
        <v/>
      </c>
      <c r="U766" t="str">
        <f>IFERROR(INDEX(装备库!$A$2:$Y$1047,MATCH(ROW()-1,装备库!$AO$2:$AO$1046,0),COLUMN()),"")</f>
        <v/>
      </c>
      <c r="V766" t="str">
        <f>IFERROR(INDEX(装备库!$A$2:$Y$1047,MATCH(ROW()-1,装备库!$AO$2:$AO$1046,0),COLUMN()),"")</f>
        <v/>
      </c>
      <c r="W766" t="str">
        <f>IFERROR(INDEX(装备库!$A$2:$Y$1047,MATCH(ROW()-1,装备库!$AO$2:$AO$1046,0),COLUMN()),"")</f>
        <v/>
      </c>
      <c r="X766" t="str">
        <f>IFERROR(INDEX(装备库!$A$2:$Y$1047,MATCH(ROW()-1,装备库!$AO$2:$AO$1046,0),COLUMN()),"")</f>
        <v/>
      </c>
      <c r="Y766" t="str">
        <f>IFERROR(INDEX(装备库!$A$2:$Y$1047,MATCH(ROW()-1,装备库!$AO$2:$AO$1046,0),COLUMN()),"")</f>
        <v/>
      </c>
    </row>
    <row r="767" spans="1:25" x14ac:dyDescent="0.35">
      <c r="A767" t="str">
        <f>IFERROR(INDEX(装备库!$A$2:$Y$1047,MATCH(ROW()-1,装备库!$AO$2:$AO$1046,0),COLUMN()),"")</f>
        <v/>
      </c>
      <c r="B767" t="str">
        <f>IFERROR(INDEX(装备库!$A$2:$Y$1047,MATCH(ROW()-1,装备库!$AO$2:$AO$1046,0),COLUMN()),"")</f>
        <v/>
      </c>
      <c r="C767" t="str">
        <f>IFERROR(INDEX(装备库!$A$2:$Y$1047,MATCH(ROW()-1,装备库!$AO$2:$AO$1046,0),COLUMN()),"")</f>
        <v/>
      </c>
      <c r="D767" t="str">
        <f>IFERROR(INDEX(装备库!$A$2:$Y$1047,MATCH(ROW()-1,装备库!$AO$2:$AO$1046,0),COLUMN()),"")</f>
        <v/>
      </c>
      <c r="E767" t="str">
        <f>IFERROR(INDEX(装备库!$A$2:$Y$1047,MATCH(ROW()-1,装备库!$AO$2:$AO$1046,0),COLUMN()),"")</f>
        <v/>
      </c>
      <c r="F767" t="str">
        <f>IFERROR(INDEX(装备库!$A$2:$Y$1047,MATCH(ROW()-1,装备库!$AO$2:$AO$1046,0),COLUMN()),"")</f>
        <v/>
      </c>
      <c r="G767" t="str">
        <f>IFERROR(INDEX(装备库!$A$2:$Y$1047,MATCH(ROW()-1,装备库!$AO$2:$AO$1046,0),COLUMN()),"")</f>
        <v/>
      </c>
      <c r="H767" t="str">
        <f>IFERROR(INDEX(装备库!$A$2:$Y$1047,MATCH(ROW()-1,装备库!$AO$2:$AO$1046,0),COLUMN()),"")</f>
        <v/>
      </c>
      <c r="I767" t="str">
        <f>IFERROR(INDEX(装备库!$A$2:$Y$1047,MATCH(ROW()-1,装备库!$AO$2:$AO$1046,0),COLUMN()),"")</f>
        <v/>
      </c>
      <c r="J767" t="str">
        <f>IFERROR(INDEX(装备库!$A$2:$Y$1047,MATCH(ROW()-1,装备库!$AO$2:$AO$1046,0),COLUMN()),"")</f>
        <v/>
      </c>
      <c r="K767" t="str">
        <f>IFERROR(INDEX(装备库!$A$2:$Y$1047,MATCH(ROW()-1,装备库!$AO$2:$AO$1046,0),COLUMN()),"")</f>
        <v/>
      </c>
      <c r="L767" t="str">
        <f>IFERROR(INDEX(装备库!$A$2:$Y$1047,MATCH(ROW()-1,装备库!$AO$2:$AO$1046,0),COLUMN()),"")</f>
        <v/>
      </c>
      <c r="M767" t="str">
        <f>IFERROR(INDEX(装备库!$A$2:$Y$1047,MATCH(ROW()-1,装备库!$AO$2:$AO$1046,0),COLUMN()),"")</f>
        <v/>
      </c>
      <c r="N767" t="str">
        <f>IFERROR(INDEX(装备库!$A$2:$Y$1047,MATCH(ROW()-1,装备库!$AO$2:$AO$1046,0),COLUMN()),"")</f>
        <v/>
      </c>
      <c r="O767" t="str">
        <f>IFERROR(INDEX(装备库!$A$2:$Y$1047,MATCH(ROW()-1,装备库!$AO$2:$AO$1046,0),COLUMN()),"")</f>
        <v/>
      </c>
      <c r="P767" t="str">
        <f>IFERROR(INDEX(装备库!$A$2:$Y$1047,MATCH(ROW()-1,装备库!$AO$2:$AO$1046,0),COLUMN()),"")</f>
        <v/>
      </c>
      <c r="Q767" t="str">
        <f>IFERROR(INDEX(装备库!$A$2:$Y$1047,MATCH(ROW()-1,装备库!$AO$2:$AO$1046,0),COLUMN()),"")</f>
        <v/>
      </c>
      <c r="R767" t="str">
        <f>IFERROR(INDEX(装备库!$A$2:$Y$1047,MATCH(ROW()-1,装备库!$AO$2:$AO$1046,0),COLUMN()),"")</f>
        <v/>
      </c>
      <c r="S767" t="str">
        <f>IFERROR(INDEX(装备库!$A$2:$Y$1047,MATCH(ROW()-1,装备库!$AO$2:$AO$1046,0),COLUMN()),"")</f>
        <v/>
      </c>
      <c r="T767" t="str">
        <f>IFERROR(INDEX(装备库!$A$2:$Y$1047,MATCH(ROW()-1,装备库!$AO$2:$AO$1046,0),COLUMN()),"")</f>
        <v/>
      </c>
      <c r="U767" t="str">
        <f>IFERROR(INDEX(装备库!$A$2:$Y$1047,MATCH(ROW()-1,装备库!$AO$2:$AO$1046,0),COLUMN()),"")</f>
        <v/>
      </c>
      <c r="V767" t="str">
        <f>IFERROR(INDEX(装备库!$A$2:$Y$1047,MATCH(ROW()-1,装备库!$AO$2:$AO$1046,0),COLUMN()),"")</f>
        <v/>
      </c>
      <c r="W767" t="str">
        <f>IFERROR(INDEX(装备库!$A$2:$Y$1047,MATCH(ROW()-1,装备库!$AO$2:$AO$1046,0),COLUMN()),"")</f>
        <v/>
      </c>
      <c r="X767" t="str">
        <f>IFERROR(INDEX(装备库!$A$2:$Y$1047,MATCH(ROW()-1,装备库!$AO$2:$AO$1046,0),COLUMN()),"")</f>
        <v/>
      </c>
      <c r="Y767" t="str">
        <f>IFERROR(INDEX(装备库!$A$2:$Y$1047,MATCH(ROW()-1,装备库!$AO$2:$AO$1046,0),COLUMN()),"")</f>
        <v/>
      </c>
    </row>
    <row r="768" spans="1:25" x14ac:dyDescent="0.35">
      <c r="A768" t="str">
        <f>IFERROR(INDEX(装备库!$A$2:$Y$1047,MATCH(ROW()-1,装备库!$AO$2:$AO$1046,0),COLUMN()),"")</f>
        <v/>
      </c>
      <c r="B768" t="str">
        <f>IFERROR(INDEX(装备库!$A$2:$Y$1047,MATCH(ROW()-1,装备库!$AO$2:$AO$1046,0),COLUMN()),"")</f>
        <v/>
      </c>
      <c r="C768" t="str">
        <f>IFERROR(INDEX(装备库!$A$2:$Y$1047,MATCH(ROW()-1,装备库!$AO$2:$AO$1046,0),COLUMN()),"")</f>
        <v/>
      </c>
      <c r="D768" t="str">
        <f>IFERROR(INDEX(装备库!$A$2:$Y$1047,MATCH(ROW()-1,装备库!$AO$2:$AO$1046,0),COLUMN()),"")</f>
        <v/>
      </c>
      <c r="E768" t="str">
        <f>IFERROR(INDEX(装备库!$A$2:$Y$1047,MATCH(ROW()-1,装备库!$AO$2:$AO$1046,0),COLUMN()),"")</f>
        <v/>
      </c>
      <c r="F768" t="str">
        <f>IFERROR(INDEX(装备库!$A$2:$Y$1047,MATCH(ROW()-1,装备库!$AO$2:$AO$1046,0),COLUMN()),"")</f>
        <v/>
      </c>
      <c r="G768" t="str">
        <f>IFERROR(INDEX(装备库!$A$2:$Y$1047,MATCH(ROW()-1,装备库!$AO$2:$AO$1046,0),COLUMN()),"")</f>
        <v/>
      </c>
      <c r="H768" t="str">
        <f>IFERROR(INDEX(装备库!$A$2:$Y$1047,MATCH(ROW()-1,装备库!$AO$2:$AO$1046,0),COLUMN()),"")</f>
        <v/>
      </c>
      <c r="I768" t="str">
        <f>IFERROR(INDEX(装备库!$A$2:$Y$1047,MATCH(ROW()-1,装备库!$AO$2:$AO$1046,0),COLUMN()),"")</f>
        <v/>
      </c>
      <c r="J768" t="str">
        <f>IFERROR(INDEX(装备库!$A$2:$Y$1047,MATCH(ROW()-1,装备库!$AO$2:$AO$1046,0),COLUMN()),"")</f>
        <v/>
      </c>
      <c r="K768" t="str">
        <f>IFERROR(INDEX(装备库!$A$2:$Y$1047,MATCH(ROW()-1,装备库!$AO$2:$AO$1046,0),COLUMN()),"")</f>
        <v/>
      </c>
      <c r="L768" t="str">
        <f>IFERROR(INDEX(装备库!$A$2:$Y$1047,MATCH(ROW()-1,装备库!$AO$2:$AO$1046,0),COLUMN()),"")</f>
        <v/>
      </c>
      <c r="M768" t="str">
        <f>IFERROR(INDEX(装备库!$A$2:$Y$1047,MATCH(ROW()-1,装备库!$AO$2:$AO$1046,0),COLUMN()),"")</f>
        <v/>
      </c>
      <c r="N768" t="str">
        <f>IFERROR(INDEX(装备库!$A$2:$Y$1047,MATCH(ROW()-1,装备库!$AO$2:$AO$1046,0),COLUMN()),"")</f>
        <v/>
      </c>
      <c r="O768" t="str">
        <f>IFERROR(INDEX(装备库!$A$2:$Y$1047,MATCH(ROW()-1,装备库!$AO$2:$AO$1046,0),COLUMN()),"")</f>
        <v/>
      </c>
      <c r="P768" t="str">
        <f>IFERROR(INDEX(装备库!$A$2:$Y$1047,MATCH(ROW()-1,装备库!$AO$2:$AO$1046,0),COLUMN()),"")</f>
        <v/>
      </c>
      <c r="Q768" t="str">
        <f>IFERROR(INDEX(装备库!$A$2:$Y$1047,MATCH(ROW()-1,装备库!$AO$2:$AO$1046,0),COLUMN()),"")</f>
        <v/>
      </c>
      <c r="R768" t="str">
        <f>IFERROR(INDEX(装备库!$A$2:$Y$1047,MATCH(ROW()-1,装备库!$AO$2:$AO$1046,0),COLUMN()),"")</f>
        <v/>
      </c>
      <c r="S768" t="str">
        <f>IFERROR(INDEX(装备库!$A$2:$Y$1047,MATCH(ROW()-1,装备库!$AO$2:$AO$1046,0),COLUMN()),"")</f>
        <v/>
      </c>
      <c r="T768" t="str">
        <f>IFERROR(INDEX(装备库!$A$2:$Y$1047,MATCH(ROW()-1,装备库!$AO$2:$AO$1046,0),COLUMN()),"")</f>
        <v/>
      </c>
      <c r="U768" t="str">
        <f>IFERROR(INDEX(装备库!$A$2:$Y$1047,MATCH(ROW()-1,装备库!$AO$2:$AO$1046,0),COLUMN()),"")</f>
        <v/>
      </c>
      <c r="V768" t="str">
        <f>IFERROR(INDEX(装备库!$A$2:$Y$1047,MATCH(ROW()-1,装备库!$AO$2:$AO$1046,0),COLUMN()),"")</f>
        <v/>
      </c>
      <c r="W768" t="str">
        <f>IFERROR(INDEX(装备库!$A$2:$Y$1047,MATCH(ROW()-1,装备库!$AO$2:$AO$1046,0),COLUMN()),"")</f>
        <v/>
      </c>
      <c r="X768" t="str">
        <f>IFERROR(INDEX(装备库!$A$2:$Y$1047,MATCH(ROW()-1,装备库!$AO$2:$AO$1046,0),COLUMN()),"")</f>
        <v/>
      </c>
      <c r="Y768" t="str">
        <f>IFERROR(INDEX(装备库!$A$2:$Y$1047,MATCH(ROW()-1,装备库!$AO$2:$AO$1046,0),COLUMN()),"")</f>
        <v/>
      </c>
    </row>
    <row r="769" spans="1:25" x14ac:dyDescent="0.35">
      <c r="A769" t="str">
        <f>IFERROR(INDEX(装备库!$A$2:$Y$1047,MATCH(ROW()-1,装备库!$AO$2:$AO$1046,0),COLUMN()),"")</f>
        <v/>
      </c>
      <c r="B769" t="str">
        <f>IFERROR(INDEX(装备库!$A$2:$Y$1047,MATCH(ROW()-1,装备库!$AO$2:$AO$1046,0),COLUMN()),"")</f>
        <v/>
      </c>
      <c r="C769" t="str">
        <f>IFERROR(INDEX(装备库!$A$2:$Y$1047,MATCH(ROW()-1,装备库!$AO$2:$AO$1046,0),COLUMN()),"")</f>
        <v/>
      </c>
      <c r="D769" t="str">
        <f>IFERROR(INDEX(装备库!$A$2:$Y$1047,MATCH(ROW()-1,装备库!$AO$2:$AO$1046,0),COLUMN()),"")</f>
        <v/>
      </c>
      <c r="E769" t="str">
        <f>IFERROR(INDEX(装备库!$A$2:$Y$1047,MATCH(ROW()-1,装备库!$AO$2:$AO$1046,0),COLUMN()),"")</f>
        <v/>
      </c>
      <c r="F769" t="str">
        <f>IFERROR(INDEX(装备库!$A$2:$Y$1047,MATCH(ROW()-1,装备库!$AO$2:$AO$1046,0),COLUMN()),"")</f>
        <v/>
      </c>
      <c r="G769" t="str">
        <f>IFERROR(INDEX(装备库!$A$2:$Y$1047,MATCH(ROW()-1,装备库!$AO$2:$AO$1046,0),COLUMN()),"")</f>
        <v/>
      </c>
      <c r="H769" t="str">
        <f>IFERROR(INDEX(装备库!$A$2:$Y$1047,MATCH(ROW()-1,装备库!$AO$2:$AO$1046,0),COLUMN()),"")</f>
        <v/>
      </c>
      <c r="I769" t="str">
        <f>IFERROR(INDEX(装备库!$A$2:$Y$1047,MATCH(ROW()-1,装备库!$AO$2:$AO$1046,0),COLUMN()),"")</f>
        <v/>
      </c>
      <c r="J769" t="str">
        <f>IFERROR(INDEX(装备库!$A$2:$Y$1047,MATCH(ROW()-1,装备库!$AO$2:$AO$1046,0),COLUMN()),"")</f>
        <v/>
      </c>
      <c r="K769" t="str">
        <f>IFERROR(INDEX(装备库!$A$2:$Y$1047,MATCH(ROW()-1,装备库!$AO$2:$AO$1046,0),COLUMN()),"")</f>
        <v/>
      </c>
      <c r="L769" t="str">
        <f>IFERROR(INDEX(装备库!$A$2:$Y$1047,MATCH(ROW()-1,装备库!$AO$2:$AO$1046,0),COLUMN()),"")</f>
        <v/>
      </c>
      <c r="M769" t="str">
        <f>IFERROR(INDEX(装备库!$A$2:$Y$1047,MATCH(ROW()-1,装备库!$AO$2:$AO$1046,0),COLUMN()),"")</f>
        <v/>
      </c>
      <c r="N769" t="str">
        <f>IFERROR(INDEX(装备库!$A$2:$Y$1047,MATCH(ROW()-1,装备库!$AO$2:$AO$1046,0),COLUMN()),"")</f>
        <v/>
      </c>
      <c r="O769" t="str">
        <f>IFERROR(INDEX(装备库!$A$2:$Y$1047,MATCH(ROW()-1,装备库!$AO$2:$AO$1046,0),COLUMN()),"")</f>
        <v/>
      </c>
      <c r="P769" t="str">
        <f>IFERROR(INDEX(装备库!$A$2:$Y$1047,MATCH(ROW()-1,装备库!$AO$2:$AO$1046,0),COLUMN()),"")</f>
        <v/>
      </c>
      <c r="Q769" t="str">
        <f>IFERROR(INDEX(装备库!$A$2:$Y$1047,MATCH(ROW()-1,装备库!$AO$2:$AO$1046,0),COLUMN()),"")</f>
        <v/>
      </c>
      <c r="R769" t="str">
        <f>IFERROR(INDEX(装备库!$A$2:$Y$1047,MATCH(ROW()-1,装备库!$AO$2:$AO$1046,0),COLUMN()),"")</f>
        <v/>
      </c>
      <c r="S769" t="str">
        <f>IFERROR(INDEX(装备库!$A$2:$Y$1047,MATCH(ROW()-1,装备库!$AO$2:$AO$1046,0),COLUMN()),"")</f>
        <v/>
      </c>
      <c r="T769" t="str">
        <f>IFERROR(INDEX(装备库!$A$2:$Y$1047,MATCH(ROW()-1,装备库!$AO$2:$AO$1046,0),COLUMN()),"")</f>
        <v/>
      </c>
      <c r="U769" t="str">
        <f>IFERROR(INDEX(装备库!$A$2:$Y$1047,MATCH(ROW()-1,装备库!$AO$2:$AO$1046,0),COLUMN()),"")</f>
        <v/>
      </c>
      <c r="V769" t="str">
        <f>IFERROR(INDEX(装备库!$A$2:$Y$1047,MATCH(ROW()-1,装备库!$AO$2:$AO$1046,0),COLUMN()),"")</f>
        <v/>
      </c>
      <c r="W769" t="str">
        <f>IFERROR(INDEX(装备库!$A$2:$Y$1047,MATCH(ROW()-1,装备库!$AO$2:$AO$1046,0),COLUMN()),"")</f>
        <v/>
      </c>
      <c r="X769" t="str">
        <f>IFERROR(INDEX(装备库!$A$2:$Y$1047,MATCH(ROW()-1,装备库!$AO$2:$AO$1046,0),COLUMN()),"")</f>
        <v/>
      </c>
      <c r="Y769" t="str">
        <f>IFERROR(INDEX(装备库!$A$2:$Y$1047,MATCH(ROW()-1,装备库!$AO$2:$AO$1046,0),COLUMN()),"")</f>
        <v/>
      </c>
    </row>
    <row r="770" spans="1:25" x14ac:dyDescent="0.35">
      <c r="A770" t="str">
        <f>IFERROR(INDEX(装备库!$A$2:$Y$1047,MATCH(ROW()-1,装备库!$AO$2:$AO$1046,0),COLUMN()),"")</f>
        <v/>
      </c>
      <c r="B770" t="str">
        <f>IFERROR(INDEX(装备库!$A$2:$Y$1047,MATCH(ROW()-1,装备库!$AO$2:$AO$1046,0),COLUMN()),"")</f>
        <v/>
      </c>
      <c r="C770" t="str">
        <f>IFERROR(INDEX(装备库!$A$2:$Y$1047,MATCH(ROW()-1,装备库!$AO$2:$AO$1046,0),COLUMN()),"")</f>
        <v/>
      </c>
      <c r="D770" t="str">
        <f>IFERROR(INDEX(装备库!$A$2:$Y$1047,MATCH(ROW()-1,装备库!$AO$2:$AO$1046,0),COLUMN()),"")</f>
        <v/>
      </c>
      <c r="E770" t="str">
        <f>IFERROR(INDEX(装备库!$A$2:$Y$1047,MATCH(ROW()-1,装备库!$AO$2:$AO$1046,0),COLUMN()),"")</f>
        <v/>
      </c>
      <c r="F770" t="str">
        <f>IFERROR(INDEX(装备库!$A$2:$Y$1047,MATCH(ROW()-1,装备库!$AO$2:$AO$1046,0),COLUMN()),"")</f>
        <v/>
      </c>
      <c r="G770" t="str">
        <f>IFERROR(INDEX(装备库!$A$2:$Y$1047,MATCH(ROW()-1,装备库!$AO$2:$AO$1046,0),COLUMN()),"")</f>
        <v/>
      </c>
      <c r="H770" t="str">
        <f>IFERROR(INDEX(装备库!$A$2:$Y$1047,MATCH(ROW()-1,装备库!$AO$2:$AO$1046,0),COLUMN()),"")</f>
        <v/>
      </c>
      <c r="I770" t="str">
        <f>IFERROR(INDEX(装备库!$A$2:$Y$1047,MATCH(ROW()-1,装备库!$AO$2:$AO$1046,0),COLUMN()),"")</f>
        <v/>
      </c>
      <c r="J770" t="str">
        <f>IFERROR(INDEX(装备库!$A$2:$Y$1047,MATCH(ROW()-1,装备库!$AO$2:$AO$1046,0),COLUMN()),"")</f>
        <v/>
      </c>
      <c r="K770" t="str">
        <f>IFERROR(INDEX(装备库!$A$2:$Y$1047,MATCH(ROW()-1,装备库!$AO$2:$AO$1046,0),COLUMN()),"")</f>
        <v/>
      </c>
      <c r="L770" t="str">
        <f>IFERROR(INDEX(装备库!$A$2:$Y$1047,MATCH(ROW()-1,装备库!$AO$2:$AO$1046,0),COLUMN()),"")</f>
        <v/>
      </c>
      <c r="M770" t="str">
        <f>IFERROR(INDEX(装备库!$A$2:$Y$1047,MATCH(ROW()-1,装备库!$AO$2:$AO$1046,0),COLUMN()),"")</f>
        <v/>
      </c>
      <c r="N770" t="str">
        <f>IFERROR(INDEX(装备库!$A$2:$Y$1047,MATCH(ROW()-1,装备库!$AO$2:$AO$1046,0),COLUMN()),"")</f>
        <v/>
      </c>
      <c r="O770" t="str">
        <f>IFERROR(INDEX(装备库!$A$2:$Y$1047,MATCH(ROW()-1,装备库!$AO$2:$AO$1046,0),COLUMN()),"")</f>
        <v/>
      </c>
      <c r="P770" t="str">
        <f>IFERROR(INDEX(装备库!$A$2:$Y$1047,MATCH(ROW()-1,装备库!$AO$2:$AO$1046,0),COLUMN()),"")</f>
        <v/>
      </c>
      <c r="Q770" t="str">
        <f>IFERROR(INDEX(装备库!$A$2:$Y$1047,MATCH(ROW()-1,装备库!$AO$2:$AO$1046,0),COLUMN()),"")</f>
        <v/>
      </c>
      <c r="R770" t="str">
        <f>IFERROR(INDEX(装备库!$A$2:$Y$1047,MATCH(ROW()-1,装备库!$AO$2:$AO$1046,0),COLUMN()),"")</f>
        <v/>
      </c>
      <c r="S770" t="str">
        <f>IFERROR(INDEX(装备库!$A$2:$Y$1047,MATCH(ROW()-1,装备库!$AO$2:$AO$1046,0),COLUMN()),"")</f>
        <v/>
      </c>
      <c r="T770" t="str">
        <f>IFERROR(INDEX(装备库!$A$2:$Y$1047,MATCH(ROW()-1,装备库!$AO$2:$AO$1046,0),COLUMN()),"")</f>
        <v/>
      </c>
      <c r="U770" t="str">
        <f>IFERROR(INDEX(装备库!$A$2:$Y$1047,MATCH(ROW()-1,装备库!$AO$2:$AO$1046,0),COLUMN()),"")</f>
        <v/>
      </c>
      <c r="V770" t="str">
        <f>IFERROR(INDEX(装备库!$A$2:$Y$1047,MATCH(ROW()-1,装备库!$AO$2:$AO$1046,0),COLUMN()),"")</f>
        <v/>
      </c>
      <c r="W770" t="str">
        <f>IFERROR(INDEX(装备库!$A$2:$Y$1047,MATCH(ROW()-1,装备库!$AO$2:$AO$1046,0),COLUMN()),"")</f>
        <v/>
      </c>
      <c r="X770" t="str">
        <f>IFERROR(INDEX(装备库!$A$2:$Y$1047,MATCH(ROW()-1,装备库!$AO$2:$AO$1046,0),COLUMN()),"")</f>
        <v/>
      </c>
      <c r="Y770" t="str">
        <f>IFERROR(INDEX(装备库!$A$2:$Y$1047,MATCH(ROW()-1,装备库!$AO$2:$AO$1046,0),COLUMN()),"")</f>
        <v/>
      </c>
    </row>
    <row r="771" spans="1:25" x14ac:dyDescent="0.35">
      <c r="A771" t="str">
        <f>IFERROR(INDEX(装备库!$A$2:$Y$1047,MATCH(ROW()-1,装备库!$AO$2:$AO$1046,0),COLUMN()),"")</f>
        <v/>
      </c>
      <c r="B771" t="str">
        <f>IFERROR(INDEX(装备库!$A$2:$Y$1047,MATCH(ROW()-1,装备库!$AO$2:$AO$1046,0),COLUMN()),"")</f>
        <v/>
      </c>
      <c r="C771" t="str">
        <f>IFERROR(INDEX(装备库!$A$2:$Y$1047,MATCH(ROW()-1,装备库!$AO$2:$AO$1046,0),COLUMN()),"")</f>
        <v/>
      </c>
      <c r="D771" t="str">
        <f>IFERROR(INDEX(装备库!$A$2:$Y$1047,MATCH(ROW()-1,装备库!$AO$2:$AO$1046,0),COLUMN()),"")</f>
        <v/>
      </c>
      <c r="E771" t="str">
        <f>IFERROR(INDEX(装备库!$A$2:$Y$1047,MATCH(ROW()-1,装备库!$AO$2:$AO$1046,0),COLUMN()),"")</f>
        <v/>
      </c>
      <c r="F771" t="str">
        <f>IFERROR(INDEX(装备库!$A$2:$Y$1047,MATCH(ROW()-1,装备库!$AO$2:$AO$1046,0),COLUMN()),"")</f>
        <v/>
      </c>
      <c r="G771" t="str">
        <f>IFERROR(INDEX(装备库!$A$2:$Y$1047,MATCH(ROW()-1,装备库!$AO$2:$AO$1046,0),COLUMN()),"")</f>
        <v/>
      </c>
      <c r="H771" t="str">
        <f>IFERROR(INDEX(装备库!$A$2:$Y$1047,MATCH(ROW()-1,装备库!$AO$2:$AO$1046,0),COLUMN()),"")</f>
        <v/>
      </c>
      <c r="I771" t="str">
        <f>IFERROR(INDEX(装备库!$A$2:$Y$1047,MATCH(ROW()-1,装备库!$AO$2:$AO$1046,0),COLUMN()),"")</f>
        <v/>
      </c>
      <c r="J771" t="str">
        <f>IFERROR(INDEX(装备库!$A$2:$Y$1047,MATCH(ROW()-1,装备库!$AO$2:$AO$1046,0),COLUMN()),"")</f>
        <v/>
      </c>
      <c r="K771" t="str">
        <f>IFERROR(INDEX(装备库!$A$2:$Y$1047,MATCH(ROW()-1,装备库!$AO$2:$AO$1046,0),COLUMN()),"")</f>
        <v/>
      </c>
      <c r="L771" t="str">
        <f>IFERROR(INDEX(装备库!$A$2:$Y$1047,MATCH(ROW()-1,装备库!$AO$2:$AO$1046,0),COLUMN()),"")</f>
        <v/>
      </c>
      <c r="M771" t="str">
        <f>IFERROR(INDEX(装备库!$A$2:$Y$1047,MATCH(ROW()-1,装备库!$AO$2:$AO$1046,0),COLUMN()),"")</f>
        <v/>
      </c>
      <c r="N771" t="str">
        <f>IFERROR(INDEX(装备库!$A$2:$Y$1047,MATCH(ROW()-1,装备库!$AO$2:$AO$1046,0),COLUMN()),"")</f>
        <v/>
      </c>
      <c r="O771" t="str">
        <f>IFERROR(INDEX(装备库!$A$2:$Y$1047,MATCH(ROW()-1,装备库!$AO$2:$AO$1046,0),COLUMN()),"")</f>
        <v/>
      </c>
      <c r="P771" t="str">
        <f>IFERROR(INDEX(装备库!$A$2:$Y$1047,MATCH(ROW()-1,装备库!$AO$2:$AO$1046,0),COLUMN()),"")</f>
        <v/>
      </c>
      <c r="Q771" t="str">
        <f>IFERROR(INDEX(装备库!$A$2:$Y$1047,MATCH(ROW()-1,装备库!$AO$2:$AO$1046,0),COLUMN()),"")</f>
        <v/>
      </c>
      <c r="R771" t="str">
        <f>IFERROR(INDEX(装备库!$A$2:$Y$1047,MATCH(ROW()-1,装备库!$AO$2:$AO$1046,0),COLUMN()),"")</f>
        <v/>
      </c>
      <c r="S771" t="str">
        <f>IFERROR(INDEX(装备库!$A$2:$Y$1047,MATCH(ROW()-1,装备库!$AO$2:$AO$1046,0),COLUMN()),"")</f>
        <v/>
      </c>
      <c r="T771" t="str">
        <f>IFERROR(INDEX(装备库!$A$2:$Y$1047,MATCH(ROW()-1,装备库!$AO$2:$AO$1046,0),COLUMN()),"")</f>
        <v/>
      </c>
      <c r="U771" t="str">
        <f>IFERROR(INDEX(装备库!$A$2:$Y$1047,MATCH(ROW()-1,装备库!$AO$2:$AO$1046,0),COLUMN()),"")</f>
        <v/>
      </c>
      <c r="V771" t="str">
        <f>IFERROR(INDEX(装备库!$A$2:$Y$1047,MATCH(ROW()-1,装备库!$AO$2:$AO$1046,0),COLUMN()),"")</f>
        <v/>
      </c>
      <c r="W771" t="str">
        <f>IFERROR(INDEX(装备库!$A$2:$Y$1047,MATCH(ROW()-1,装备库!$AO$2:$AO$1046,0),COLUMN()),"")</f>
        <v/>
      </c>
      <c r="X771" t="str">
        <f>IFERROR(INDEX(装备库!$A$2:$Y$1047,MATCH(ROW()-1,装备库!$AO$2:$AO$1046,0),COLUMN()),"")</f>
        <v/>
      </c>
      <c r="Y771" t="str">
        <f>IFERROR(INDEX(装备库!$A$2:$Y$1047,MATCH(ROW()-1,装备库!$AO$2:$AO$1046,0),COLUMN()),"")</f>
        <v/>
      </c>
    </row>
    <row r="772" spans="1:25" x14ac:dyDescent="0.35">
      <c r="A772" t="str">
        <f>IFERROR(INDEX(装备库!$A$2:$Y$1047,MATCH(ROW()-1,装备库!$AO$2:$AO$1046,0),COLUMN()),"")</f>
        <v/>
      </c>
      <c r="B772" t="str">
        <f>IFERROR(INDEX(装备库!$A$2:$Y$1047,MATCH(ROW()-1,装备库!$AO$2:$AO$1046,0),COLUMN()),"")</f>
        <v/>
      </c>
      <c r="C772" t="str">
        <f>IFERROR(INDEX(装备库!$A$2:$Y$1047,MATCH(ROW()-1,装备库!$AO$2:$AO$1046,0),COLUMN()),"")</f>
        <v/>
      </c>
      <c r="D772" t="str">
        <f>IFERROR(INDEX(装备库!$A$2:$Y$1047,MATCH(ROW()-1,装备库!$AO$2:$AO$1046,0),COLUMN()),"")</f>
        <v/>
      </c>
      <c r="E772" t="str">
        <f>IFERROR(INDEX(装备库!$A$2:$Y$1047,MATCH(ROW()-1,装备库!$AO$2:$AO$1046,0),COLUMN()),"")</f>
        <v/>
      </c>
      <c r="F772" t="str">
        <f>IFERROR(INDEX(装备库!$A$2:$Y$1047,MATCH(ROW()-1,装备库!$AO$2:$AO$1046,0),COLUMN()),"")</f>
        <v/>
      </c>
      <c r="G772" t="str">
        <f>IFERROR(INDEX(装备库!$A$2:$Y$1047,MATCH(ROW()-1,装备库!$AO$2:$AO$1046,0),COLUMN()),"")</f>
        <v/>
      </c>
      <c r="H772" t="str">
        <f>IFERROR(INDEX(装备库!$A$2:$Y$1047,MATCH(ROW()-1,装备库!$AO$2:$AO$1046,0),COLUMN()),"")</f>
        <v/>
      </c>
      <c r="I772" t="str">
        <f>IFERROR(INDEX(装备库!$A$2:$Y$1047,MATCH(ROW()-1,装备库!$AO$2:$AO$1046,0),COLUMN()),"")</f>
        <v/>
      </c>
      <c r="J772" t="str">
        <f>IFERROR(INDEX(装备库!$A$2:$Y$1047,MATCH(ROW()-1,装备库!$AO$2:$AO$1046,0),COLUMN()),"")</f>
        <v/>
      </c>
      <c r="K772" t="str">
        <f>IFERROR(INDEX(装备库!$A$2:$Y$1047,MATCH(ROW()-1,装备库!$AO$2:$AO$1046,0),COLUMN()),"")</f>
        <v/>
      </c>
      <c r="L772" t="str">
        <f>IFERROR(INDEX(装备库!$A$2:$Y$1047,MATCH(ROW()-1,装备库!$AO$2:$AO$1046,0),COLUMN()),"")</f>
        <v/>
      </c>
      <c r="M772" t="str">
        <f>IFERROR(INDEX(装备库!$A$2:$Y$1047,MATCH(ROW()-1,装备库!$AO$2:$AO$1046,0),COLUMN()),"")</f>
        <v/>
      </c>
      <c r="N772" t="str">
        <f>IFERROR(INDEX(装备库!$A$2:$Y$1047,MATCH(ROW()-1,装备库!$AO$2:$AO$1046,0),COLUMN()),"")</f>
        <v/>
      </c>
      <c r="O772" t="str">
        <f>IFERROR(INDEX(装备库!$A$2:$Y$1047,MATCH(ROW()-1,装备库!$AO$2:$AO$1046,0),COLUMN()),"")</f>
        <v/>
      </c>
      <c r="P772" t="str">
        <f>IFERROR(INDEX(装备库!$A$2:$Y$1047,MATCH(ROW()-1,装备库!$AO$2:$AO$1046,0),COLUMN()),"")</f>
        <v/>
      </c>
      <c r="Q772" t="str">
        <f>IFERROR(INDEX(装备库!$A$2:$Y$1047,MATCH(ROW()-1,装备库!$AO$2:$AO$1046,0),COLUMN()),"")</f>
        <v/>
      </c>
      <c r="R772" t="str">
        <f>IFERROR(INDEX(装备库!$A$2:$Y$1047,MATCH(ROW()-1,装备库!$AO$2:$AO$1046,0),COLUMN()),"")</f>
        <v/>
      </c>
      <c r="S772" t="str">
        <f>IFERROR(INDEX(装备库!$A$2:$Y$1047,MATCH(ROW()-1,装备库!$AO$2:$AO$1046,0),COLUMN()),"")</f>
        <v/>
      </c>
      <c r="T772" t="str">
        <f>IFERROR(INDEX(装备库!$A$2:$Y$1047,MATCH(ROW()-1,装备库!$AO$2:$AO$1046,0),COLUMN()),"")</f>
        <v/>
      </c>
      <c r="U772" t="str">
        <f>IFERROR(INDEX(装备库!$A$2:$Y$1047,MATCH(ROW()-1,装备库!$AO$2:$AO$1046,0),COLUMN()),"")</f>
        <v/>
      </c>
      <c r="V772" t="str">
        <f>IFERROR(INDEX(装备库!$A$2:$Y$1047,MATCH(ROW()-1,装备库!$AO$2:$AO$1046,0),COLUMN()),"")</f>
        <v/>
      </c>
      <c r="W772" t="str">
        <f>IFERROR(INDEX(装备库!$A$2:$Y$1047,MATCH(ROW()-1,装备库!$AO$2:$AO$1046,0),COLUMN()),"")</f>
        <v/>
      </c>
      <c r="X772" t="str">
        <f>IFERROR(INDEX(装备库!$A$2:$Y$1047,MATCH(ROW()-1,装备库!$AO$2:$AO$1046,0),COLUMN()),"")</f>
        <v/>
      </c>
      <c r="Y772" t="str">
        <f>IFERROR(INDEX(装备库!$A$2:$Y$1047,MATCH(ROW()-1,装备库!$AO$2:$AO$1046,0),COLUMN()),"")</f>
        <v/>
      </c>
    </row>
    <row r="773" spans="1:25" x14ac:dyDescent="0.35">
      <c r="A773" t="str">
        <f>IFERROR(INDEX(装备库!$A$2:$Y$1047,MATCH(ROW()-1,装备库!$AO$2:$AO$1046,0),COLUMN()),"")</f>
        <v/>
      </c>
      <c r="B773" t="str">
        <f>IFERROR(INDEX(装备库!$A$2:$Y$1047,MATCH(ROW()-1,装备库!$AO$2:$AO$1046,0),COLUMN()),"")</f>
        <v/>
      </c>
      <c r="C773" t="str">
        <f>IFERROR(INDEX(装备库!$A$2:$Y$1047,MATCH(ROW()-1,装备库!$AO$2:$AO$1046,0),COLUMN()),"")</f>
        <v/>
      </c>
      <c r="D773" t="str">
        <f>IFERROR(INDEX(装备库!$A$2:$Y$1047,MATCH(ROW()-1,装备库!$AO$2:$AO$1046,0),COLUMN()),"")</f>
        <v/>
      </c>
      <c r="E773" t="str">
        <f>IFERROR(INDEX(装备库!$A$2:$Y$1047,MATCH(ROW()-1,装备库!$AO$2:$AO$1046,0),COLUMN()),"")</f>
        <v/>
      </c>
      <c r="F773" t="str">
        <f>IFERROR(INDEX(装备库!$A$2:$Y$1047,MATCH(ROW()-1,装备库!$AO$2:$AO$1046,0),COLUMN()),"")</f>
        <v/>
      </c>
      <c r="G773" t="str">
        <f>IFERROR(INDEX(装备库!$A$2:$Y$1047,MATCH(ROW()-1,装备库!$AO$2:$AO$1046,0),COLUMN()),"")</f>
        <v/>
      </c>
      <c r="H773" t="str">
        <f>IFERROR(INDEX(装备库!$A$2:$Y$1047,MATCH(ROW()-1,装备库!$AO$2:$AO$1046,0),COLUMN()),"")</f>
        <v/>
      </c>
      <c r="I773" t="str">
        <f>IFERROR(INDEX(装备库!$A$2:$Y$1047,MATCH(ROW()-1,装备库!$AO$2:$AO$1046,0),COLUMN()),"")</f>
        <v/>
      </c>
      <c r="J773" t="str">
        <f>IFERROR(INDEX(装备库!$A$2:$Y$1047,MATCH(ROW()-1,装备库!$AO$2:$AO$1046,0),COLUMN()),"")</f>
        <v/>
      </c>
      <c r="K773" t="str">
        <f>IFERROR(INDEX(装备库!$A$2:$Y$1047,MATCH(ROW()-1,装备库!$AO$2:$AO$1046,0),COLUMN()),"")</f>
        <v/>
      </c>
      <c r="L773" t="str">
        <f>IFERROR(INDEX(装备库!$A$2:$Y$1047,MATCH(ROW()-1,装备库!$AO$2:$AO$1046,0),COLUMN()),"")</f>
        <v/>
      </c>
      <c r="M773" t="str">
        <f>IFERROR(INDEX(装备库!$A$2:$Y$1047,MATCH(ROW()-1,装备库!$AO$2:$AO$1046,0),COLUMN()),"")</f>
        <v/>
      </c>
      <c r="N773" t="str">
        <f>IFERROR(INDEX(装备库!$A$2:$Y$1047,MATCH(ROW()-1,装备库!$AO$2:$AO$1046,0),COLUMN()),"")</f>
        <v/>
      </c>
      <c r="O773" t="str">
        <f>IFERROR(INDEX(装备库!$A$2:$Y$1047,MATCH(ROW()-1,装备库!$AO$2:$AO$1046,0),COLUMN()),"")</f>
        <v/>
      </c>
      <c r="P773" t="str">
        <f>IFERROR(INDEX(装备库!$A$2:$Y$1047,MATCH(ROW()-1,装备库!$AO$2:$AO$1046,0),COLUMN()),"")</f>
        <v/>
      </c>
      <c r="Q773" t="str">
        <f>IFERROR(INDEX(装备库!$A$2:$Y$1047,MATCH(ROW()-1,装备库!$AO$2:$AO$1046,0),COLUMN()),"")</f>
        <v/>
      </c>
      <c r="R773" t="str">
        <f>IFERROR(INDEX(装备库!$A$2:$Y$1047,MATCH(ROW()-1,装备库!$AO$2:$AO$1046,0),COLUMN()),"")</f>
        <v/>
      </c>
      <c r="S773" t="str">
        <f>IFERROR(INDEX(装备库!$A$2:$Y$1047,MATCH(ROW()-1,装备库!$AO$2:$AO$1046,0),COLUMN()),"")</f>
        <v/>
      </c>
      <c r="T773" t="str">
        <f>IFERROR(INDEX(装备库!$A$2:$Y$1047,MATCH(ROW()-1,装备库!$AO$2:$AO$1046,0),COLUMN()),"")</f>
        <v/>
      </c>
      <c r="U773" t="str">
        <f>IFERROR(INDEX(装备库!$A$2:$Y$1047,MATCH(ROW()-1,装备库!$AO$2:$AO$1046,0),COLUMN()),"")</f>
        <v/>
      </c>
      <c r="V773" t="str">
        <f>IFERROR(INDEX(装备库!$A$2:$Y$1047,MATCH(ROW()-1,装备库!$AO$2:$AO$1046,0),COLUMN()),"")</f>
        <v/>
      </c>
      <c r="W773" t="str">
        <f>IFERROR(INDEX(装备库!$A$2:$Y$1047,MATCH(ROW()-1,装备库!$AO$2:$AO$1046,0),COLUMN()),"")</f>
        <v/>
      </c>
      <c r="X773" t="str">
        <f>IFERROR(INDEX(装备库!$A$2:$Y$1047,MATCH(ROW()-1,装备库!$AO$2:$AO$1046,0),COLUMN()),"")</f>
        <v/>
      </c>
      <c r="Y773" t="str">
        <f>IFERROR(INDEX(装备库!$A$2:$Y$1047,MATCH(ROW()-1,装备库!$AO$2:$AO$1046,0),COLUMN()),"")</f>
        <v/>
      </c>
    </row>
    <row r="774" spans="1:25" x14ac:dyDescent="0.35">
      <c r="A774" t="str">
        <f>IFERROR(INDEX(装备库!$A$2:$Y$1047,MATCH(ROW()-1,装备库!$AO$2:$AO$1046,0),COLUMN()),"")</f>
        <v/>
      </c>
      <c r="B774" t="str">
        <f>IFERROR(INDEX(装备库!$A$2:$Y$1047,MATCH(ROW()-1,装备库!$AO$2:$AO$1046,0),COLUMN()),"")</f>
        <v/>
      </c>
      <c r="C774" t="str">
        <f>IFERROR(INDEX(装备库!$A$2:$Y$1047,MATCH(ROW()-1,装备库!$AO$2:$AO$1046,0),COLUMN()),"")</f>
        <v/>
      </c>
      <c r="D774" t="str">
        <f>IFERROR(INDEX(装备库!$A$2:$Y$1047,MATCH(ROW()-1,装备库!$AO$2:$AO$1046,0),COLUMN()),"")</f>
        <v/>
      </c>
      <c r="E774" t="str">
        <f>IFERROR(INDEX(装备库!$A$2:$Y$1047,MATCH(ROW()-1,装备库!$AO$2:$AO$1046,0),COLUMN()),"")</f>
        <v/>
      </c>
      <c r="F774" t="str">
        <f>IFERROR(INDEX(装备库!$A$2:$Y$1047,MATCH(ROW()-1,装备库!$AO$2:$AO$1046,0),COLUMN()),"")</f>
        <v/>
      </c>
      <c r="G774" t="str">
        <f>IFERROR(INDEX(装备库!$A$2:$Y$1047,MATCH(ROW()-1,装备库!$AO$2:$AO$1046,0),COLUMN()),"")</f>
        <v/>
      </c>
      <c r="H774" t="str">
        <f>IFERROR(INDEX(装备库!$A$2:$Y$1047,MATCH(ROW()-1,装备库!$AO$2:$AO$1046,0),COLUMN()),"")</f>
        <v/>
      </c>
      <c r="I774" t="str">
        <f>IFERROR(INDEX(装备库!$A$2:$Y$1047,MATCH(ROW()-1,装备库!$AO$2:$AO$1046,0),COLUMN()),"")</f>
        <v/>
      </c>
      <c r="J774" t="str">
        <f>IFERROR(INDEX(装备库!$A$2:$Y$1047,MATCH(ROW()-1,装备库!$AO$2:$AO$1046,0),COLUMN()),"")</f>
        <v/>
      </c>
      <c r="K774" t="str">
        <f>IFERROR(INDEX(装备库!$A$2:$Y$1047,MATCH(ROW()-1,装备库!$AO$2:$AO$1046,0),COLUMN()),"")</f>
        <v/>
      </c>
      <c r="L774" t="str">
        <f>IFERROR(INDEX(装备库!$A$2:$Y$1047,MATCH(ROW()-1,装备库!$AO$2:$AO$1046,0),COLUMN()),"")</f>
        <v/>
      </c>
      <c r="M774" t="str">
        <f>IFERROR(INDEX(装备库!$A$2:$Y$1047,MATCH(ROW()-1,装备库!$AO$2:$AO$1046,0),COLUMN()),"")</f>
        <v/>
      </c>
      <c r="N774" t="str">
        <f>IFERROR(INDEX(装备库!$A$2:$Y$1047,MATCH(ROW()-1,装备库!$AO$2:$AO$1046,0),COLUMN()),"")</f>
        <v/>
      </c>
      <c r="O774" t="str">
        <f>IFERROR(INDEX(装备库!$A$2:$Y$1047,MATCH(ROW()-1,装备库!$AO$2:$AO$1046,0),COLUMN()),"")</f>
        <v/>
      </c>
      <c r="P774" t="str">
        <f>IFERROR(INDEX(装备库!$A$2:$Y$1047,MATCH(ROW()-1,装备库!$AO$2:$AO$1046,0),COLUMN()),"")</f>
        <v/>
      </c>
      <c r="Q774" t="str">
        <f>IFERROR(INDEX(装备库!$A$2:$Y$1047,MATCH(ROW()-1,装备库!$AO$2:$AO$1046,0),COLUMN()),"")</f>
        <v/>
      </c>
      <c r="R774" t="str">
        <f>IFERROR(INDEX(装备库!$A$2:$Y$1047,MATCH(ROW()-1,装备库!$AO$2:$AO$1046,0),COLUMN()),"")</f>
        <v/>
      </c>
      <c r="S774" t="str">
        <f>IFERROR(INDEX(装备库!$A$2:$Y$1047,MATCH(ROW()-1,装备库!$AO$2:$AO$1046,0),COLUMN()),"")</f>
        <v/>
      </c>
      <c r="T774" t="str">
        <f>IFERROR(INDEX(装备库!$A$2:$Y$1047,MATCH(ROW()-1,装备库!$AO$2:$AO$1046,0),COLUMN()),"")</f>
        <v/>
      </c>
      <c r="U774" t="str">
        <f>IFERROR(INDEX(装备库!$A$2:$Y$1047,MATCH(ROW()-1,装备库!$AO$2:$AO$1046,0),COLUMN()),"")</f>
        <v/>
      </c>
      <c r="V774" t="str">
        <f>IFERROR(INDEX(装备库!$A$2:$Y$1047,MATCH(ROW()-1,装备库!$AO$2:$AO$1046,0),COLUMN()),"")</f>
        <v/>
      </c>
      <c r="W774" t="str">
        <f>IFERROR(INDEX(装备库!$A$2:$Y$1047,MATCH(ROW()-1,装备库!$AO$2:$AO$1046,0),COLUMN()),"")</f>
        <v/>
      </c>
      <c r="X774" t="str">
        <f>IFERROR(INDEX(装备库!$A$2:$Y$1047,MATCH(ROW()-1,装备库!$AO$2:$AO$1046,0),COLUMN()),"")</f>
        <v/>
      </c>
      <c r="Y774" t="str">
        <f>IFERROR(INDEX(装备库!$A$2:$Y$1047,MATCH(ROW()-1,装备库!$AO$2:$AO$1046,0),COLUMN()),"")</f>
        <v/>
      </c>
    </row>
    <row r="775" spans="1:25" x14ac:dyDescent="0.35">
      <c r="A775" t="str">
        <f>IFERROR(INDEX(装备库!$A$2:$Y$1047,MATCH(ROW()-1,装备库!$AO$2:$AO$1046,0),COLUMN()),"")</f>
        <v/>
      </c>
      <c r="B775" t="str">
        <f>IFERROR(INDEX(装备库!$A$2:$Y$1047,MATCH(ROW()-1,装备库!$AO$2:$AO$1046,0),COLUMN()),"")</f>
        <v/>
      </c>
      <c r="C775" t="str">
        <f>IFERROR(INDEX(装备库!$A$2:$Y$1047,MATCH(ROW()-1,装备库!$AO$2:$AO$1046,0),COLUMN()),"")</f>
        <v/>
      </c>
      <c r="D775" t="str">
        <f>IFERROR(INDEX(装备库!$A$2:$Y$1047,MATCH(ROW()-1,装备库!$AO$2:$AO$1046,0),COLUMN()),"")</f>
        <v/>
      </c>
      <c r="E775" t="str">
        <f>IFERROR(INDEX(装备库!$A$2:$Y$1047,MATCH(ROW()-1,装备库!$AO$2:$AO$1046,0),COLUMN()),"")</f>
        <v/>
      </c>
      <c r="F775" t="str">
        <f>IFERROR(INDEX(装备库!$A$2:$Y$1047,MATCH(ROW()-1,装备库!$AO$2:$AO$1046,0),COLUMN()),"")</f>
        <v/>
      </c>
      <c r="G775" t="str">
        <f>IFERROR(INDEX(装备库!$A$2:$Y$1047,MATCH(ROW()-1,装备库!$AO$2:$AO$1046,0),COLUMN()),"")</f>
        <v/>
      </c>
      <c r="H775" t="str">
        <f>IFERROR(INDEX(装备库!$A$2:$Y$1047,MATCH(ROW()-1,装备库!$AO$2:$AO$1046,0),COLUMN()),"")</f>
        <v/>
      </c>
      <c r="I775" t="str">
        <f>IFERROR(INDEX(装备库!$A$2:$Y$1047,MATCH(ROW()-1,装备库!$AO$2:$AO$1046,0),COLUMN()),"")</f>
        <v/>
      </c>
      <c r="J775" t="str">
        <f>IFERROR(INDEX(装备库!$A$2:$Y$1047,MATCH(ROW()-1,装备库!$AO$2:$AO$1046,0),COLUMN()),"")</f>
        <v/>
      </c>
      <c r="K775" t="str">
        <f>IFERROR(INDEX(装备库!$A$2:$Y$1047,MATCH(ROW()-1,装备库!$AO$2:$AO$1046,0),COLUMN()),"")</f>
        <v/>
      </c>
      <c r="L775" t="str">
        <f>IFERROR(INDEX(装备库!$A$2:$Y$1047,MATCH(ROW()-1,装备库!$AO$2:$AO$1046,0),COLUMN()),"")</f>
        <v/>
      </c>
      <c r="M775" t="str">
        <f>IFERROR(INDEX(装备库!$A$2:$Y$1047,MATCH(ROW()-1,装备库!$AO$2:$AO$1046,0),COLUMN()),"")</f>
        <v/>
      </c>
      <c r="N775" t="str">
        <f>IFERROR(INDEX(装备库!$A$2:$Y$1047,MATCH(ROW()-1,装备库!$AO$2:$AO$1046,0),COLUMN()),"")</f>
        <v/>
      </c>
      <c r="O775" t="str">
        <f>IFERROR(INDEX(装备库!$A$2:$Y$1047,MATCH(ROW()-1,装备库!$AO$2:$AO$1046,0),COLUMN()),"")</f>
        <v/>
      </c>
      <c r="P775" t="str">
        <f>IFERROR(INDEX(装备库!$A$2:$Y$1047,MATCH(ROW()-1,装备库!$AO$2:$AO$1046,0),COLUMN()),"")</f>
        <v/>
      </c>
      <c r="Q775" t="str">
        <f>IFERROR(INDEX(装备库!$A$2:$Y$1047,MATCH(ROW()-1,装备库!$AO$2:$AO$1046,0),COLUMN()),"")</f>
        <v/>
      </c>
      <c r="R775" t="str">
        <f>IFERROR(INDEX(装备库!$A$2:$Y$1047,MATCH(ROW()-1,装备库!$AO$2:$AO$1046,0),COLUMN()),"")</f>
        <v/>
      </c>
      <c r="S775" t="str">
        <f>IFERROR(INDEX(装备库!$A$2:$Y$1047,MATCH(ROW()-1,装备库!$AO$2:$AO$1046,0),COLUMN()),"")</f>
        <v/>
      </c>
      <c r="T775" t="str">
        <f>IFERROR(INDEX(装备库!$A$2:$Y$1047,MATCH(ROW()-1,装备库!$AO$2:$AO$1046,0),COLUMN()),"")</f>
        <v/>
      </c>
      <c r="U775" t="str">
        <f>IFERROR(INDEX(装备库!$A$2:$Y$1047,MATCH(ROW()-1,装备库!$AO$2:$AO$1046,0),COLUMN()),"")</f>
        <v/>
      </c>
      <c r="V775" t="str">
        <f>IFERROR(INDEX(装备库!$A$2:$Y$1047,MATCH(ROW()-1,装备库!$AO$2:$AO$1046,0),COLUMN()),"")</f>
        <v/>
      </c>
      <c r="W775" t="str">
        <f>IFERROR(INDEX(装备库!$A$2:$Y$1047,MATCH(ROW()-1,装备库!$AO$2:$AO$1046,0),COLUMN()),"")</f>
        <v/>
      </c>
      <c r="X775" t="str">
        <f>IFERROR(INDEX(装备库!$A$2:$Y$1047,MATCH(ROW()-1,装备库!$AO$2:$AO$1046,0),COLUMN()),"")</f>
        <v/>
      </c>
      <c r="Y775" t="str">
        <f>IFERROR(INDEX(装备库!$A$2:$Y$1047,MATCH(ROW()-1,装备库!$AO$2:$AO$1046,0),COLUMN()),"")</f>
        <v/>
      </c>
    </row>
    <row r="776" spans="1:25" x14ac:dyDescent="0.35">
      <c r="A776" t="str">
        <f>IFERROR(INDEX(装备库!$A$2:$Y$1047,MATCH(ROW()-1,装备库!$AO$2:$AO$1046,0),COLUMN()),"")</f>
        <v/>
      </c>
      <c r="B776" t="str">
        <f>IFERROR(INDEX(装备库!$A$2:$Y$1047,MATCH(ROW()-1,装备库!$AO$2:$AO$1046,0),COLUMN()),"")</f>
        <v/>
      </c>
      <c r="C776" t="str">
        <f>IFERROR(INDEX(装备库!$A$2:$Y$1047,MATCH(ROW()-1,装备库!$AO$2:$AO$1046,0),COLUMN()),"")</f>
        <v/>
      </c>
      <c r="D776" t="str">
        <f>IFERROR(INDEX(装备库!$A$2:$Y$1047,MATCH(ROW()-1,装备库!$AO$2:$AO$1046,0),COLUMN()),"")</f>
        <v/>
      </c>
      <c r="E776" t="str">
        <f>IFERROR(INDEX(装备库!$A$2:$Y$1047,MATCH(ROW()-1,装备库!$AO$2:$AO$1046,0),COLUMN()),"")</f>
        <v/>
      </c>
      <c r="F776" t="str">
        <f>IFERROR(INDEX(装备库!$A$2:$Y$1047,MATCH(ROW()-1,装备库!$AO$2:$AO$1046,0),COLUMN()),"")</f>
        <v/>
      </c>
      <c r="G776" t="str">
        <f>IFERROR(INDEX(装备库!$A$2:$Y$1047,MATCH(ROW()-1,装备库!$AO$2:$AO$1046,0),COLUMN()),"")</f>
        <v/>
      </c>
      <c r="H776" t="str">
        <f>IFERROR(INDEX(装备库!$A$2:$Y$1047,MATCH(ROW()-1,装备库!$AO$2:$AO$1046,0),COLUMN()),"")</f>
        <v/>
      </c>
      <c r="I776" t="str">
        <f>IFERROR(INDEX(装备库!$A$2:$Y$1047,MATCH(ROW()-1,装备库!$AO$2:$AO$1046,0),COLUMN()),"")</f>
        <v/>
      </c>
      <c r="J776" t="str">
        <f>IFERROR(INDEX(装备库!$A$2:$Y$1047,MATCH(ROW()-1,装备库!$AO$2:$AO$1046,0),COLUMN()),"")</f>
        <v/>
      </c>
      <c r="K776" t="str">
        <f>IFERROR(INDEX(装备库!$A$2:$Y$1047,MATCH(ROW()-1,装备库!$AO$2:$AO$1046,0),COLUMN()),"")</f>
        <v/>
      </c>
      <c r="L776" t="str">
        <f>IFERROR(INDEX(装备库!$A$2:$Y$1047,MATCH(ROW()-1,装备库!$AO$2:$AO$1046,0),COLUMN()),"")</f>
        <v/>
      </c>
      <c r="M776" t="str">
        <f>IFERROR(INDEX(装备库!$A$2:$Y$1047,MATCH(ROW()-1,装备库!$AO$2:$AO$1046,0),COLUMN()),"")</f>
        <v/>
      </c>
      <c r="N776" t="str">
        <f>IFERROR(INDEX(装备库!$A$2:$Y$1047,MATCH(ROW()-1,装备库!$AO$2:$AO$1046,0),COLUMN()),"")</f>
        <v/>
      </c>
      <c r="O776" t="str">
        <f>IFERROR(INDEX(装备库!$A$2:$Y$1047,MATCH(ROW()-1,装备库!$AO$2:$AO$1046,0),COLUMN()),"")</f>
        <v/>
      </c>
      <c r="P776" t="str">
        <f>IFERROR(INDEX(装备库!$A$2:$Y$1047,MATCH(ROW()-1,装备库!$AO$2:$AO$1046,0),COLUMN()),"")</f>
        <v/>
      </c>
      <c r="Q776" t="str">
        <f>IFERROR(INDEX(装备库!$A$2:$Y$1047,MATCH(ROW()-1,装备库!$AO$2:$AO$1046,0),COLUMN()),"")</f>
        <v/>
      </c>
      <c r="R776" t="str">
        <f>IFERROR(INDEX(装备库!$A$2:$Y$1047,MATCH(ROW()-1,装备库!$AO$2:$AO$1046,0),COLUMN()),"")</f>
        <v/>
      </c>
      <c r="S776" t="str">
        <f>IFERROR(INDEX(装备库!$A$2:$Y$1047,MATCH(ROW()-1,装备库!$AO$2:$AO$1046,0),COLUMN()),"")</f>
        <v/>
      </c>
      <c r="T776" t="str">
        <f>IFERROR(INDEX(装备库!$A$2:$Y$1047,MATCH(ROW()-1,装备库!$AO$2:$AO$1046,0),COLUMN()),"")</f>
        <v/>
      </c>
      <c r="U776" t="str">
        <f>IFERROR(INDEX(装备库!$A$2:$Y$1047,MATCH(ROW()-1,装备库!$AO$2:$AO$1046,0),COLUMN()),"")</f>
        <v/>
      </c>
      <c r="V776" t="str">
        <f>IFERROR(INDEX(装备库!$A$2:$Y$1047,MATCH(ROW()-1,装备库!$AO$2:$AO$1046,0),COLUMN()),"")</f>
        <v/>
      </c>
      <c r="W776" t="str">
        <f>IFERROR(INDEX(装备库!$A$2:$Y$1047,MATCH(ROW()-1,装备库!$AO$2:$AO$1046,0),COLUMN()),"")</f>
        <v/>
      </c>
      <c r="X776" t="str">
        <f>IFERROR(INDEX(装备库!$A$2:$Y$1047,MATCH(ROW()-1,装备库!$AO$2:$AO$1046,0),COLUMN()),"")</f>
        <v/>
      </c>
      <c r="Y776" t="str">
        <f>IFERROR(INDEX(装备库!$A$2:$Y$1047,MATCH(ROW()-1,装备库!$AO$2:$AO$1046,0),COLUMN()),"")</f>
        <v/>
      </c>
    </row>
    <row r="777" spans="1:25" x14ac:dyDescent="0.35">
      <c r="A777" t="str">
        <f>IFERROR(INDEX(装备库!$A$2:$Y$1047,MATCH(ROW()-1,装备库!$AO$2:$AO$1046,0),COLUMN()),"")</f>
        <v/>
      </c>
      <c r="B777" t="str">
        <f>IFERROR(INDEX(装备库!$A$2:$Y$1047,MATCH(ROW()-1,装备库!$AO$2:$AO$1046,0),COLUMN()),"")</f>
        <v/>
      </c>
      <c r="C777" t="str">
        <f>IFERROR(INDEX(装备库!$A$2:$Y$1047,MATCH(ROW()-1,装备库!$AO$2:$AO$1046,0),COLUMN()),"")</f>
        <v/>
      </c>
      <c r="D777" t="str">
        <f>IFERROR(INDEX(装备库!$A$2:$Y$1047,MATCH(ROW()-1,装备库!$AO$2:$AO$1046,0),COLUMN()),"")</f>
        <v/>
      </c>
      <c r="E777" t="str">
        <f>IFERROR(INDEX(装备库!$A$2:$Y$1047,MATCH(ROW()-1,装备库!$AO$2:$AO$1046,0),COLUMN()),"")</f>
        <v/>
      </c>
      <c r="F777" t="str">
        <f>IFERROR(INDEX(装备库!$A$2:$Y$1047,MATCH(ROW()-1,装备库!$AO$2:$AO$1046,0),COLUMN()),"")</f>
        <v/>
      </c>
      <c r="G777" t="str">
        <f>IFERROR(INDEX(装备库!$A$2:$Y$1047,MATCH(ROW()-1,装备库!$AO$2:$AO$1046,0),COLUMN()),"")</f>
        <v/>
      </c>
      <c r="H777" t="str">
        <f>IFERROR(INDEX(装备库!$A$2:$Y$1047,MATCH(ROW()-1,装备库!$AO$2:$AO$1046,0),COLUMN()),"")</f>
        <v/>
      </c>
      <c r="I777" t="str">
        <f>IFERROR(INDEX(装备库!$A$2:$Y$1047,MATCH(ROW()-1,装备库!$AO$2:$AO$1046,0),COLUMN()),"")</f>
        <v/>
      </c>
      <c r="J777" t="str">
        <f>IFERROR(INDEX(装备库!$A$2:$Y$1047,MATCH(ROW()-1,装备库!$AO$2:$AO$1046,0),COLUMN()),"")</f>
        <v/>
      </c>
      <c r="K777" t="str">
        <f>IFERROR(INDEX(装备库!$A$2:$Y$1047,MATCH(ROW()-1,装备库!$AO$2:$AO$1046,0),COLUMN()),"")</f>
        <v/>
      </c>
      <c r="L777" t="str">
        <f>IFERROR(INDEX(装备库!$A$2:$Y$1047,MATCH(ROW()-1,装备库!$AO$2:$AO$1046,0),COLUMN()),"")</f>
        <v/>
      </c>
      <c r="M777" t="str">
        <f>IFERROR(INDEX(装备库!$A$2:$Y$1047,MATCH(ROW()-1,装备库!$AO$2:$AO$1046,0),COLUMN()),"")</f>
        <v/>
      </c>
      <c r="N777" t="str">
        <f>IFERROR(INDEX(装备库!$A$2:$Y$1047,MATCH(ROW()-1,装备库!$AO$2:$AO$1046,0),COLUMN()),"")</f>
        <v/>
      </c>
      <c r="O777" t="str">
        <f>IFERROR(INDEX(装备库!$A$2:$Y$1047,MATCH(ROW()-1,装备库!$AO$2:$AO$1046,0),COLUMN()),"")</f>
        <v/>
      </c>
      <c r="P777" t="str">
        <f>IFERROR(INDEX(装备库!$A$2:$Y$1047,MATCH(ROW()-1,装备库!$AO$2:$AO$1046,0),COLUMN()),"")</f>
        <v/>
      </c>
      <c r="Q777" t="str">
        <f>IFERROR(INDEX(装备库!$A$2:$Y$1047,MATCH(ROW()-1,装备库!$AO$2:$AO$1046,0),COLUMN()),"")</f>
        <v/>
      </c>
      <c r="R777" t="str">
        <f>IFERROR(INDEX(装备库!$A$2:$Y$1047,MATCH(ROW()-1,装备库!$AO$2:$AO$1046,0),COLUMN()),"")</f>
        <v/>
      </c>
      <c r="S777" t="str">
        <f>IFERROR(INDEX(装备库!$A$2:$Y$1047,MATCH(ROW()-1,装备库!$AO$2:$AO$1046,0),COLUMN()),"")</f>
        <v/>
      </c>
      <c r="T777" t="str">
        <f>IFERROR(INDEX(装备库!$A$2:$Y$1047,MATCH(ROW()-1,装备库!$AO$2:$AO$1046,0),COLUMN()),"")</f>
        <v/>
      </c>
      <c r="U777" t="str">
        <f>IFERROR(INDEX(装备库!$A$2:$Y$1047,MATCH(ROW()-1,装备库!$AO$2:$AO$1046,0),COLUMN()),"")</f>
        <v/>
      </c>
      <c r="V777" t="str">
        <f>IFERROR(INDEX(装备库!$A$2:$Y$1047,MATCH(ROW()-1,装备库!$AO$2:$AO$1046,0),COLUMN()),"")</f>
        <v/>
      </c>
      <c r="W777" t="str">
        <f>IFERROR(INDEX(装备库!$A$2:$Y$1047,MATCH(ROW()-1,装备库!$AO$2:$AO$1046,0),COLUMN()),"")</f>
        <v/>
      </c>
      <c r="X777" t="str">
        <f>IFERROR(INDEX(装备库!$A$2:$Y$1047,MATCH(ROW()-1,装备库!$AO$2:$AO$1046,0),COLUMN()),"")</f>
        <v/>
      </c>
      <c r="Y777" t="str">
        <f>IFERROR(INDEX(装备库!$A$2:$Y$1047,MATCH(ROW()-1,装备库!$AO$2:$AO$1046,0),COLUMN()),"")</f>
        <v/>
      </c>
    </row>
    <row r="778" spans="1:25" x14ac:dyDescent="0.35">
      <c r="A778" t="str">
        <f>IFERROR(INDEX(装备库!$A$2:$Y$1047,MATCH(ROW()-1,装备库!$AO$2:$AO$1046,0),COLUMN()),"")</f>
        <v/>
      </c>
      <c r="B778" t="str">
        <f>IFERROR(INDEX(装备库!$A$2:$Y$1047,MATCH(ROW()-1,装备库!$AO$2:$AO$1046,0),COLUMN()),"")</f>
        <v/>
      </c>
      <c r="C778" t="str">
        <f>IFERROR(INDEX(装备库!$A$2:$Y$1047,MATCH(ROW()-1,装备库!$AO$2:$AO$1046,0),COLUMN()),"")</f>
        <v/>
      </c>
      <c r="D778" t="str">
        <f>IFERROR(INDEX(装备库!$A$2:$Y$1047,MATCH(ROW()-1,装备库!$AO$2:$AO$1046,0),COLUMN()),"")</f>
        <v/>
      </c>
      <c r="E778" t="str">
        <f>IFERROR(INDEX(装备库!$A$2:$Y$1047,MATCH(ROW()-1,装备库!$AO$2:$AO$1046,0),COLUMN()),"")</f>
        <v/>
      </c>
      <c r="F778" t="str">
        <f>IFERROR(INDEX(装备库!$A$2:$Y$1047,MATCH(ROW()-1,装备库!$AO$2:$AO$1046,0),COLUMN()),"")</f>
        <v/>
      </c>
      <c r="G778" t="str">
        <f>IFERROR(INDEX(装备库!$A$2:$Y$1047,MATCH(ROW()-1,装备库!$AO$2:$AO$1046,0),COLUMN()),"")</f>
        <v/>
      </c>
      <c r="H778" t="str">
        <f>IFERROR(INDEX(装备库!$A$2:$Y$1047,MATCH(ROW()-1,装备库!$AO$2:$AO$1046,0),COLUMN()),"")</f>
        <v/>
      </c>
      <c r="I778" t="str">
        <f>IFERROR(INDEX(装备库!$A$2:$Y$1047,MATCH(ROW()-1,装备库!$AO$2:$AO$1046,0),COLUMN()),"")</f>
        <v/>
      </c>
      <c r="J778" t="str">
        <f>IFERROR(INDEX(装备库!$A$2:$Y$1047,MATCH(ROW()-1,装备库!$AO$2:$AO$1046,0),COLUMN()),"")</f>
        <v/>
      </c>
      <c r="K778" t="str">
        <f>IFERROR(INDEX(装备库!$A$2:$Y$1047,MATCH(ROW()-1,装备库!$AO$2:$AO$1046,0),COLUMN()),"")</f>
        <v/>
      </c>
      <c r="L778" t="str">
        <f>IFERROR(INDEX(装备库!$A$2:$Y$1047,MATCH(ROW()-1,装备库!$AO$2:$AO$1046,0),COLUMN()),"")</f>
        <v/>
      </c>
      <c r="M778" t="str">
        <f>IFERROR(INDEX(装备库!$A$2:$Y$1047,MATCH(ROW()-1,装备库!$AO$2:$AO$1046,0),COLUMN()),"")</f>
        <v/>
      </c>
      <c r="N778" t="str">
        <f>IFERROR(INDEX(装备库!$A$2:$Y$1047,MATCH(ROW()-1,装备库!$AO$2:$AO$1046,0),COLUMN()),"")</f>
        <v/>
      </c>
      <c r="O778" t="str">
        <f>IFERROR(INDEX(装备库!$A$2:$Y$1047,MATCH(ROW()-1,装备库!$AO$2:$AO$1046,0),COLUMN()),"")</f>
        <v/>
      </c>
      <c r="P778" t="str">
        <f>IFERROR(INDEX(装备库!$A$2:$Y$1047,MATCH(ROW()-1,装备库!$AO$2:$AO$1046,0),COLUMN()),"")</f>
        <v/>
      </c>
      <c r="Q778" t="str">
        <f>IFERROR(INDEX(装备库!$A$2:$Y$1047,MATCH(ROW()-1,装备库!$AO$2:$AO$1046,0),COLUMN()),"")</f>
        <v/>
      </c>
      <c r="R778" t="str">
        <f>IFERROR(INDEX(装备库!$A$2:$Y$1047,MATCH(ROW()-1,装备库!$AO$2:$AO$1046,0),COLUMN()),"")</f>
        <v/>
      </c>
      <c r="S778" t="str">
        <f>IFERROR(INDEX(装备库!$A$2:$Y$1047,MATCH(ROW()-1,装备库!$AO$2:$AO$1046,0),COLUMN()),"")</f>
        <v/>
      </c>
      <c r="T778" t="str">
        <f>IFERROR(INDEX(装备库!$A$2:$Y$1047,MATCH(ROW()-1,装备库!$AO$2:$AO$1046,0),COLUMN()),"")</f>
        <v/>
      </c>
      <c r="U778" t="str">
        <f>IFERROR(INDEX(装备库!$A$2:$Y$1047,MATCH(ROW()-1,装备库!$AO$2:$AO$1046,0),COLUMN()),"")</f>
        <v/>
      </c>
      <c r="V778" t="str">
        <f>IFERROR(INDEX(装备库!$A$2:$Y$1047,MATCH(ROW()-1,装备库!$AO$2:$AO$1046,0),COLUMN()),"")</f>
        <v/>
      </c>
      <c r="W778" t="str">
        <f>IFERROR(INDEX(装备库!$A$2:$Y$1047,MATCH(ROW()-1,装备库!$AO$2:$AO$1046,0),COLUMN()),"")</f>
        <v/>
      </c>
      <c r="X778" t="str">
        <f>IFERROR(INDEX(装备库!$A$2:$Y$1047,MATCH(ROW()-1,装备库!$AO$2:$AO$1046,0),COLUMN()),"")</f>
        <v/>
      </c>
      <c r="Y778" t="str">
        <f>IFERROR(INDEX(装备库!$A$2:$Y$1047,MATCH(ROW()-1,装备库!$AO$2:$AO$1046,0),COLUMN()),"")</f>
        <v/>
      </c>
    </row>
    <row r="779" spans="1:25" x14ac:dyDescent="0.35">
      <c r="A779" t="str">
        <f>IFERROR(INDEX(装备库!$A$2:$Y$1047,MATCH(ROW()-1,装备库!$AO$2:$AO$1046,0),COLUMN()),"")</f>
        <v/>
      </c>
      <c r="B779" t="str">
        <f>IFERROR(INDEX(装备库!$A$2:$Y$1047,MATCH(ROW()-1,装备库!$AO$2:$AO$1046,0),COLUMN()),"")</f>
        <v/>
      </c>
      <c r="C779" t="str">
        <f>IFERROR(INDEX(装备库!$A$2:$Y$1047,MATCH(ROW()-1,装备库!$AO$2:$AO$1046,0),COLUMN()),"")</f>
        <v/>
      </c>
      <c r="D779" t="str">
        <f>IFERROR(INDEX(装备库!$A$2:$Y$1047,MATCH(ROW()-1,装备库!$AO$2:$AO$1046,0),COLUMN()),"")</f>
        <v/>
      </c>
      <c r="E779" t="str">
        <f>IFERROR(INDEX(装备库!$A$2:$Y$1047,MATCH(ROW()-1,装备库!$AO$2:$AO$1046,0),COLUMN()),"")</f>
        <v/>
      </c>
      <c r="F779" t="str">
        <f>IFERROR(INDEX(装备库!$A$2:$Y$1047,MATCH(ROW()-1,装备库!$AO$2:$AO$1046,0),COLUMN()),"")</f>
        <v/>
      </c>
      <c r="G779" t="str">
        <f>IFERROR(INDEX(装备库!$A$2:$Y$1047,MATCH(ROW()-1,装备库!$AO$2:$AO$1046,0),COLUMN()),"")</f>
        <v/>
      </c>
      <c r="H779" t="str">
        <f>IFERROR(INDEX(装备库!$A$2:$Y$1047,MATCH(ROW()-1,装备库!$AO$2:$AO$1046,0),COLUMN()),"")</f>
        <v/>
      </c>
      <c r="I779" t="str">
        <f>IFERROR(INDEX(装备库!$A$2:$Y$1047,MATCH(ROW()-1,装备库!$AO$2:$AO$1046,0),COLUMN()),"")</f>
        <v/>
      </c>
      <c r="J779" t="str">
        <f>IFERROR(INDEX(装备库!$A$2:$Y$1047,MATCH(ROW()-1,装备库!$AO$2:$AO$1046,0),COLUMN()),"")</f>
        <v/>
      </c>
      <c r="K779" t="str">
        <f>IFERROR(INDEX(装备库!$A$2:$Y$1047,MATCH(ROW()-1,装备库!$AO$2:$AO$1046,0),COLUMN()),"")</f>
        <v/>
      </c>
      <c r="L779" t="str">
        <f>IFERROR(INDEX(装备库!$A$2:$Y$1047,MATCH(ROW()-1,装备库!$AO$2:$AO$1046,0),COLUMN()),"")</f>
        <v/>
      </c>
      <c r="M779" t="str">
        <f>IFERROR(INDEX(装备库!$A$2:$Y$1047,MATCH(ROW()-1,装备库!$AO$2:$AO$1046,0),COLUMN()),"")</f>
        <v/>
      </c>
      <c r="N779" t="str">
        <f>IFERROR(INDEX(装备库!$A$2:$Y$1047,MATCH(ROW()-1,装备库!$AO$2:$AO$1046,0),COLUMN()),"")</f>
        <v/>
      </c>
      <c r="O779" t="str">
        <f>IFERROR(INDEX(装备库!$A$2:$Y$1047,MATCH(ROW()-1,装备库!$AO$2:$AO$1046,0),COLUMN()),"")</f>
        <v/>
      </c>
      <c r="P779" t="str">
        <f>IFERROR(INDEX(装备库!$A$2:$Y$1047,MATCH(ROW()-1,装备库!$AO$2:$AO$1046,0),COLUMN()),"")</f>
        <v/>
      </c>
      <c r="Q779" t="str">
        <f>IFERROR(INDEX(装备库!$A$2:$Y$1047,MATCH(ROW()-1,装备库!$AO$2:$AO$1046,0),COLUMN()),"")</f>
        <v/>
      </c>
      <c r="R779" t="str">
        <f>IFERROR(INDEX(装备库!$A$2:$Y$1047,MATCH(ROW()-1,装备库!$AO$2:$AO$1046,0),COLUMN()),"")</f>
        <v/>
      </c>
      <c r="S779" t="str">
        <f>IFERROR(INDEX(装备库!$A$2:$Y$1047,MATCH(ROW()-1,装备库!$AO$2:$AO$1046,0),COLUMN()),"")</f>
        <v/>
      </c>
      <c r="T779" t="str">
        <f>IFERROR(INDEX(装备库!$A$2:$Y$1047,MATCH(ROW()-1,装备库!$AO$2:$AO$1046,0),COLUMN()),"")</f>
        <v/>
      </c>
      <c r="U779" t="str">
        <f>IFERROR(INDEX(装备库!$A$2:$Y$1047,MATCH(ROW()-1,装备库!$AO$2:$AO$1046,0),COLUMN()),"")</f>
        <v/>
      </c>
      <c r="V779" t="str">
        <f>IFERROR(INDEX(装备库!$A$2:$Y$1047,MATCH(ROW()-1,装备库!$AO$2:$AO$1046,0),COLUMN()),"")</f>
        <v/>
      </c>
      <c r="W779" t="str">
        <f>IFERROR(INDEX(装备库!$A$2:$Y$1047,MATCH(ROW()-1,装备库!$AO$2:$AO$1046,0),COLUMN()),"")</f>
        <v/>
      </c>
      <c r="X779" t="str">
        <f>IFERROR(INDEX(装备库!$A$2:$Y$1047,MATCH(ROW()-1,装备库!$AO$2:$AO$1046,0),COLUMN()),"")</f>
        <v/>
      </c>
      <c r="Y779" t="str">
        <f>IFERROR(INDEX(装备库!$A$2:$Y$1047,MATCH(ROW()-1,装备库!$AO$2:$AO$1046,0),COLUMN()),"")</f>
        <v/>
      </c>
    </row>
    <row r="780" spans="1:25" x14ac:dyDescent="0.35">
      <c r="A780" t="str">
        <f>IFERROR(INDEX(装备库!$A$2:$Y$1047,MATCH(ROW()-1,装备库!$AO$2:$AO$1046,0),COLUMN()),"")</f>
        <v/>
      </c>
      <c r="B780" t="str">
        <f>IFERROR(INDEX(装备库!$A$2:$Y$1047,MATCH(ROW()-1,装备库!$AO$2:$AO$1046,0),COLUMN()),"")</f>
        <v/>
      </c>
      <c r="C780" t="str">
        <f>IFERROR(INDEX(装备库!$A$2:$Y$1047,MATCH(ROW()-1,装备库!$AO$2:$AO$1046,0),COLUMN()),"")</f>
        <v/>
      </c>
      <c r="D780" t="str">
        <f>IFERROR(INDEX(装备库!$A$2:$Y$1047,MATCH(ROW()-1,装备库!$AO$2:$AO$1046,0),COLUMN()),"")</f>
        <v/>
      </c>
      <c r="E780" t="str">
        <f>IFERROR(INDEX(装备库!$A$2:$Y$1047,MATCH(ROW()-1,装备库!$AO$2:$AO$1046,0),COLUMN()),"")</f>
        <v/>
      </c>
      <c r="F780" t="str">
        <f>IFERROR(INDEX(装备库!$A$2:$Y$1047,MATCH(ROW()-1,装备库!$AO$2:$AO$1046,0),COLUMN()),"")</f>
        <v/>
      </c>
      <c r="G780" t="str">
        <f>IFERROR(INDEX(装备库!$A$2:$Y$1047,MATCH(ROW()-1,装备库!$AO$2:$AO$1046,0),COLUMN()),"")</f>
        <v/>
      </c>
      <c r="H780" t="str">
        <f>IFERROR(INDEX(装备库!$A$2:$Y$1047,MATCH(ROW()-1,装备库!$AO$2:$AO$1046,0),COLUMN()),"")</f>
        <v/>
      </c>
      <c r="I780" t="str">
        <f>IFERROR(INDEX(装备库!$A$2:$Y$1047,MATCH(ROW()-1,装备库!$AO$2:$AO$1046,0),COLUMN()),"")</f>
        <v/>
      </c>
      <c r="J780" t="str">
        <f>IFERROR(INDEX(装备库!$A$2:$Y$1047,MATCH(ROW()-1,装备库!$AO$2:$AO$1046,0),COLUMN()),"")</f>
        <v/>
      </c>
      <c r="K780" t="str">
        <f>IFERROR(INDEX(装备库!$A$2:$Y$1047,MATCH(ROW()-1,装备库!$AO$2:$AO$1046,0),COLUMN()),"")</f>
        <v/>
      </c>
      <c r="L780" t="str">
        <f>IFERROR(INDEX(装备库!$A$2:$Y$1047,MATCH(ROW()-1,装备库!$AO$2:$AO$1046,0),COLUMN()),"")</f>
        <v/>
      </c>
      <c r="M780" t="str">
        <f>IFERROR(INDEX(装备库!$A$2:$Y$1047,MATCH(ROW()-1,装备库!$AO$2:$AO$1046,0),COLUMN()),"")</f>
        <v/>
      </c>
      <c r="N780" t="str">
        <f>IFERROR(INDEX(装备库!$A$2:$Y$1047,MATCH(ROW()-1,装备库!$AO$2:$AO$1046,0),COLUMN()),"")</f>
        <v/>
      </c>
      <c r="O780" t="str">
        <f>IFERROR(INDEX(装备库!$A$2:$Y$1047,MATCH(ROW()-1,装备库!$AO$2:$AO$1046,0),COLUMN()),"")</f>
        <v/>
      </c>
      <c r="P780" t="str">
        <f>IFERROR(INDEX(装备库!$A$2:$Y$1047,MATCH(ROW()-1,装备库!$AO$2:$AO$1046,0),COLUMN()),"")</f>
        <v/>
      </c>
      <c r="Q780" t="str">
        <f>IFERROR(INDEX(装备库!$A$2:$Y$1047,MATCH(ROW()-1,装备库!$AO$2:$AO$1046,0),COLUMN()),"")</f>
        <v/>
      </c>
      <c r="R780" t="str">
        <f>IFERROR(INDEX(装备库!$A$2:$Y$1047,MATCH(ROW()-1,装备库!$AO$2:$AO$1046,0),COLUMN()),"")</f>
        <v/>
      </c>
      <c r="S780" t="str">
        <f>IFERROR(INDEX(装备库!$A$2:$Y$1047,MATCH(ROW()-1,装备库!$AO$2:$AO$1046,0),COLUMN()),"")</f>
        <v/>
      </c>
      <c r="T780" t="str">
        <f>IFERROR(INDEX(装备库!$A$2:$Y$1047,MATCH(ROW()-1,装备库!$AO$2:$AO$1046,0),COLUMN()),"")</f>
        <v/>
      </c>
      <c r="U780" t="str">
        <f>IFERROR(INDEX(装备库!$A$2:$Y$1047,MATCH(ROW()-1,装备库!$AO$2:$AO$1046,0),COLUMN()),"")</f>
        <v/>
      </c>
      <c r="V780" t="str">
        <f>IFERROR(INDEX(装备库!$A$2:$Y$1047,MATCH(ROW()-1,装备库!$AO$2:$AO$1046,0),COLUMN()),"")</f>
        <v/>
      </c>
      <c r="W780" t="str">
        <f>IFERROR(INDEX(装备库!$A$2:$Y$1047,MATCH(ROW()-1,装备库!$AO$2:$AO$1046,0),COLUMN()),"")</f>
        <v/>
      </c>
      <c r="X780" t="str">
        <f>IFERROR(INDEX(装备库!$A$2:$Y$1047,MATCH(ROW()-1,装备库!$AO$2:$AO$1046,0),COLUMN()),"")</f>
        <v/>
      </c>
      <c r="Y780" t="str">
        <f>IFERROR(INDEX(装备库!$A$2:$Y$1047,MATCH(ROW()-1,装备库!$AO$2:$AO$1046,0),COLUMN()),"")</f>
        <v/>
      </c>
    </row>
    <row r="781" spans="1:25" x14ac:dyDescent="0.35">
      <c r="A781" t="str">
        <f>IFERROR(INDEX(装备库!$A$2:$Y$1047,MATCH(ROW()-1,装备库!$AO$2:$AO$1046,0),COLUMN()),"")</f>
        <v/>
      </c>
      <c r="B781" t="str">
        <f>IFERROR(INDEX(装备库!$A$2:$Y$1047,MATCH(ROW()-1,装备库!$AO$2:$AO$1046,0),COLUMN()),"")</f>
        <v/>
      </c>
      <c r="C781" t="str">
        <f>IFERROR(INDEX(装备库!$A$2:$Y$1047,MATCH(ROW()-1,装备库!$AO$2:$AO$1046,0),COLUMN()),"")</f>
        <v/>
      </c>
      <c r="D781" t="str">
        <f>IFERROR(INDEX(装备库!$A$2:$Y$1047,MATCH(ROW()-1,装备库!$AO$2:$AO$1046,0),COLUMN()),"")</f>
        <v/>
      </c>
      <c r="E781" t="str">
        <f>IFERROR(INDEX(装备库!$A$2:$Y$1047,MATCH(ROW()-1,装备库!$AO$2:$AO$1046,0),COLUMN()),"")</f>
        <v/>
      </c>
      <c r="F781" t="str">
        <f>IFERROR(INDEX(装备库!$A$2:$Y$1047,MATCH(ROW()-1,装备库!$AO$2:$AO$1046,0),COLUMN()),"")</f>
        <v/>
      </c>
      <c r="G781" t="str">
        <f>IFERROR(INDEX(装备库!$A$2:$Y$1047,MATCH(ROW()-1,装备库!$AO$2:$AO$1046,0),COLUMN()),"")</f>
        <v/>
      </c>
      <c r="H781" t="str">
        <f>IFERROR(INDEX(装备库!$A$2:$Y$1047,MATCH(ROW()-1,装备库!$AO$2:$AO$1046,0),COLUMN()),"")</f>
        <v/>
      </c>
      <c r="I781" t="str">
        <f>IFERROR(INDEX(装备库!$A$2:$Y$1047,MATCH(ROW()-1,装备库!$AO$2:$AO$1046,0),COLUMN()),"")</f>
        <v/>
      </c>
      <c r="J781" t="str">
        <f>IFERROR(INDEX(装备库!$A$2:$Y$1047,MATCH(ROW()-1,装备库!$AO$2:$AO$1046,0),COLUMN()),"")</f>
        <v/>
      </c>
      <c r="K781" t="str">
        <f>IFERROR(INDEX(装备库!$A$2:$Y$1047,MATCH(ROW()-1,装备库!$AO$2:$AO$1046,0),COLUMN()),"")</f>
        <v/>
      </c>
      <c r="L781" t="str">
        <f>IFERROR(INDEX(装备库!$A$2:$Y$1047,MATCH(ROW()-1,装备库!$AO$2:$AO$1046,0),COLUMN()),"")</f>
        <v/>
      </c>
      <c r="M781" t="str">
        <f>IFERROR(INDEX(装备库!$A$2:$Y$1047,MATCH(ROW()-1,装备库!$AO$2:$AO$1046,0),COLUMN()),"")</f>
        <v/>
      </c>
      <c r="N781" t="str">
        <f>IFERROR(INDEX(装备库!$A$2:$Y$1047,MATCH(ROW()-1,装备库!$AO$2:$AO$1046,0),COLUMN()),"")</f>
        <v/>
      </c>
      <c r="O781" t="str">
        <f>IFERROR(INDEX(装备库!$A$2:$Y$1047,MATCH(ROW()-1,装备库!$AO$2:$AO$1046,0),COLUMN()),"")</f>
        <v/>
      </c>
      <c r="P781" t="str">
        <f>IFERROR(INDEX(装备库!$A$2:$Y$1047,MATCH(ROW()-1,装备库!$AO$2:$AO$1046,0),COLUMN()),"")</f>
        <v/>
      </c>
      <c r="Q781" t="str">
        <f>IFERROR(INDEX(装备库!$A$2:$Y$1047,MATCH(ROW()-1,装备库!$AO$2:$AO$1046,0),COLUMN()),"")</f>
        <v/>
      </c>
      <c r="R781" t="str">
        <f>IFERROR(INDEX(装备库!$A$2:$Y$1047,MATCH(ROW()-1,装备库!$AO$2:$AO$1046,0),COLUMN()),"")</f>
        <v/>
      </c>
      <c r="S781" t="str">
        <f>IFERROR(INDEX(装备库!$A$2:$Y$1047,MATCH(ROW()-1,装备库!$AO$2:$AO$1046,0),COLUMN()),"")</f>
        <v/>
      </c>
      <c r="T781" t="str">
        <f>IFERROR(INDEX(装备库!$A$2:$Y$1047,MATCH(ROW()-1,装备库!$AO$2:$AO$1046,0),COLUMN()),"")</f>
        <v/>
      </c>
      <c r="U781" t="str">
        <f>IFERROR(INDEX(装备库!$A$2:$Y$1047,MATCH(ROW()-1,装备库!$AO$2:$AO$1046,0),COLUMN()),"")</f>
        <v/>
      </c>
      <c r="V781" t="str">
        <f>IFERROR(INDEX(装备库!$A$2:$Y$1047,MATCH(ROW()-1,装备库!$AO$2:$AO$1046,0),COLUMN()),"")</f>
        <v/>
      </c>
      <c r="W781" t="str">
        <f>IFERROR(INDEX(装备库!$A$2:$Y$1047,MATCH(ROW()-1,装备库!$AO$2:$AO$1046,0),COLUMN()),"")</f>
        <v/>
      </c>
      <c r="X781" t="str">
        <f>IFERROR(INDEX(装备库!$A$2:$Y$1047,MATCH(ROW()-1,装备库!$AO$2:$AO$1046,0),COLUMN()),"")</f>
        <v/>
      </c>
      <c r="Y781" t="str">
        <f>IFERROR(INDEX(装备库!$A$2:$Y$1047,MATCH(ROW()-1,装备库!$AO$2:$AO$1046,0),COLUMN()),"")</f>
        <v/>
      </c>
    </row>
    <row r="782" spans="1:25" x14ac:dyDescent="0.35">
      <c r="A782" t="str">
        <f>IFERROR(INDEX(装备库!$A$2:$Y$1047,MATCH(ROW()-1,装备库!$AO$2:$AO$1046,0),COLUMN()),"")</f>
        <v/>
      </c>
      <c r="B782" t="str">
        <f>IFERROR(INDEX(装备库!$A$2:$Y$1047,MATCH(ROW()-1,装备库!$AO$2:$AO$1046,0),COLUMN()),"")</f>
        <v/>
      </c>
      <c r="C782" t="str">
        <f>IFERROR(INDEX(装备库!$A$2:$Y$1047,MATCH(ROW()-1,装备库!$AO$2:$AO$1046,0),COLUMN()),"")</f>
        <v/>
      </c>
      <c r="D782" t="str">
        <f>IFERROR(INDEX(装备库!$A$2:$Y$1047,MATCH(ROW()-1,装备库!$AO$2:$AO$1046,0),COLUMN()),"")</f>
        <v/>
      </c>
      <c r="E782" t="str">
        <f>IFERROR(INDEX(装备库!$A$2:$Y$1047,MATCH(ROW()-1,装备库!$AO$2:$AO$1046,0),COLUMN()),"")</f>
        <v/>
      </c>
      <c r="F782" t="str">
        <f>IFERROR(INDEX(装备库!$A$2:$Y$1047,MATCH(ROW()-1,装备库!$AO$2:$AO$1046,0),COLUMN()),"")</f>
        <v/>
      </c>
      <c r="G782" t="str">
        <f>IFERROR(INDEX(装备库!$A$2:$Y$1047,MATCH(ROW()-1,装备库!$AO$2:$AO$1046,0),COLUMN()),"")</f>
        <v/>
      </c>
      <c r="H782" t="str">
        <f>IFERROR(INDEX(装备库!$A$2:$Y$1047,MATCH(ROW()-1,装备库!$AO$2:$AO$1046,0),COLUMN()),"")</f>
        <v/>
      </c>
      <c r="I782" t="str">
        <f>IFERROR(INDEX(装备库!$A$2:$Y$1047,MATCH(ROW()-1,装备库!$AO$2:$AO$1046,0),COLUMN()),"")</f>
        <v/>
      </c>
      <c r="J782" t="str">
        <f>IFERROR(INDEX(装备库!$A$2:$Y$1047,MATCH(ROW()-1,装备库!$AO$2:$AO$1046,0),COLUMN()),"")</f>
        <v/>
      </c>
      <c r="K782" t="str">
        <f>IFERROR(INDEX(装备库!$A$2:$Y$1047,MATCH(ROW()-1,装备库!$AO$2:$AO$1046,0),COLUMN()),"")</f>
        <v/>
      </c>
      <c r="L782" t="str">
        <f>IFERROR(INDEX(装备库!$A$2:$Y$1047,MATCH(ROW()-1,装备库!$AO$2:$AO$1046,0),COLUMN()),"")</f>
        <v/>
      </c>
      <c r="M782" t="str">
        <f>IFERROR(INDEX(装备库!$A$2:$Y$1047,MATCH(ROW()-1,装备库!$AO$2:$AO$1046,0),COLUMN()),"")</f>
        <v/>
      </c>
      <c r="N782" t="str">
        <f>IFERROR(INDEX(装备库!$A$2:$Y$1047,MATCH(ROW()-1,装备库!$AO$2:$AO$1046,0),COLUMN()),"")</f>
        <v/>
      </c>
      <c r="O782" t="str">
        <f>IFERROR(INDEX(装备库!$A$2:$Y$1047,MATCH(ROW()-1,装备库!$AO$2:$AO$1046,0),COLUMN()),"")</f>
        <v/>
      </c>
      <c r="P782" t="str">
        <f>IFERROR(INDEX(装备库!$A$2:$Y$1047,MATCH(ROW()-1,装备库!$AO$2:$AO$1046,0),COLUMN()),"")</f>
        <v/>
      </c>
      <c r="Q782" t="str">
        <f>IFERROR(INDEX(装备库!$A$2:$Y$1047,MATCH(ROW()-1,装备库!$AO$2:$AO$1046,0),COLUMN()),"")</f>
        <v/>
      </c>
      <c r="R782" t="str">
        <f>IFERROR(INDEX(装备库!$A$2:$Y$1047,MATCH(ROW()-1,装备库!$AO$2:$AO$1046,0),COLUMN()),"")</f>
        <v/>
      </c>
      <c r="S782" t="str">
        <f>IFERROR(INDEX(装备库!$A$2:$Y$1047,MATCH(ROW()-1,装备库!$AO$2:$AO$1046,0),COLUMN()),"")</f>
        <v/>
      </c>
      <c r="T782" t="str">
        <f>IFERROR(INDEX(装备库!$A$2:$Y$1047,MATCH(ROW()-1,装备库!$AO$2:$AO$1046,0),COLUMN()),"")</f>
        <v/>
      </c>
      <c r="U782" t="str">
        <f>IFERROR(INDEX(装备库!$A$2:$Y$1047,MATCH(ROW()-1,装备库!$AO$2:$AO$1046,0),COLUMN()),"")</f>
        <v/>
      </c>
      <c r="V782" t="str">
        <f>IFERROR(INDEX(装备库!$A$2:$Y$1047,MATCH(ROW()-1,装备库!$AO$2:$AO$1046,0),COLUMN()),"")</f>
        <v/>
      </c>
      <c r="W782" t="str">
        <f>IFERROR(INDEX(装备库!$A$2:$Y$1047,MATCH(ROW()-1,装备库!$AO$2:$AO$1046,0),COLUMN()),"")</f>
        <v/>
      </c>
      <c r="X782" t="str">
        <f>IFERROR(INDEX(装备库!$A$2:$Y$1047,MATCH(ROW()-1,装备库!$AO$2:$AO$1046,0),COLUMN()),"")</f>
        <v/>
      </c>
      <c r="Y782" t="str">
        <f>IFERROR(INDEX(装备库!$A$2:$Y$1047,MATCH(ROW()-1,装备库!$AO$2:$AO$1046,0),COLUMN()),"")</f>
        <v/>
      </c>
    </row>
    <row r="783" spans="1:25" x14ac:dyDescent="0.35">
      <c r="A783" t="str">
        <f>IFERROR(INDEX(装备库!$A$2:$Y$1047,MATCH(ROW()-1,装备库!$AO$2:$AO$1046,0),COLUMN()),"")</f>
        <v/>
      </c>
      <c r="B783" t="str">
        <f>IFERROR(INDEX(装备库!$A$2:$Y$1047,MATCH(ROW()-1,装备库!$AO$2:$AO$1046,0),COLUMN()),"")</f>
        <v/>
      </c>
      <c r="C783" t="str">
        <f>IFERROR(INDEX(装备库!$A$2:$Y$1047,MATCH(ROW()-1,装备库!$AO$2:$AO$1046,0),COLUMN()),"")</f>
        <v/>
      </c>
      <c r="D783" t="str">
        <f>IFERROR(INDEX(装备库!$A$2:$Y$1047,MATCH(ROW()-1,装备库!$AO$2:$AO$1046,0),COLUMN()),"")</f>
        <v/>
      </c>
      <c r="E783" t="str">
        <f>IFERROR(INDEX(装备库!$A$2:$Y$1047,MATCH(ROW()-1,装备库!$AO$2:$AO$1046,0),COLUMN()),"")</f>
        <v/>
      </c>
      <c r="F783" t="str">
        <f>IFERROR(INDEX(装备库!$A$2:$Y$1047,MATCH(ROW()-1,装备库!$AO$2:$AO$1046,0),COLUMN()),"")</f>
        <v/>
      </c>
      <c r="G783" t="str">
        <f>IFERROR(INDEX(装备库!$A$2:$Y$1047,MATCH(ROW()-1,装备库!$AO$2:$AO$1046,0),COLUMN()),"")</f>
        <v/>
      </c>
      <c r="H783" t="str">
        <f>IFERROR(INDEX(装备库!$A$2:$Y$1047,MATCH(ROW()-1,装备库!$AO$2:$AO$1046,0),COLUMN()),"")</f>
        <v/>
      </c>
      <c r="I783" t="str">
        <f>IFERROR(INDEX(装备库!$A$2:$Y$1047,MATCH(ROW()-1,装备库!$AO$2:$AO$1046,0),COLUMN()),"")</f>
        <v/>
      </c>
      <c r="J783" t="str">
        <f>IFERROR(INDEX(装备库!$A$2:$Y$1047,MATCH(ROW()-1,装备库!$AO$2:$AO$1046,0),COLUMN()),"")</f>
        <v/>
      </c>
      <c r="K783" t="str">
        <f>IFERROR(INDEX(装备库!$A$2:$Y$1047,MATCH(ROW()-1,装备库!$AO$2:$AO$1046,0),COLUMN()),"")</f>
        <v/>
      </c>
      <c r="L783" t="str">
        <f>IFERROR(INDEX(装备库!$A$2:$Y$1047,MATCH(ROW()-1,装备库!$AO$2:$AO$1046,0),COLUMN()),"")</f>
        <v/>
      </c>
      <c r="M783" t="str">
        <f>IFERROR(INDEX(装备库!$A$2:$Y$1047,MATCH(ROW()-1,装备库!$AO$2:$AO$1046,0),COLUMN()),"")</f>
        <v/>
      </c>
      <c r="N783" t="str">
        <f>IFERROR(INDEX(装备库!$A$2:$Y$1047,MATCH(ROW()-1,装备库!$AO$2:$AO$1046,0),COLUMN()),"")</f>
        <v/>
      </c>
      <c r="O783" t="str">
        <f>IFERROR(INDEX(装备库!$A$2:$Y$1047,MATCH(ROW()-1,装备库!$AO$2:$AO$1046,0),COLUMN()),"")</f>
        <v/>
      </c>
      <c r="P783" t="str">
        <f>IFERROR(INDEX(装备库!$A$2:$Y$1047,MATCH(ROW()-1,装备库!$AO$2:$AO$1046,0),COLUMN()),"")</f>
        <v/>
      </c>
      <c r="Q783" t="str">
        <f>IFERROR(INDEX(装备库!$A$2:$Y$1047,MATCH(ROW()-1,装备库!$AO$2:$AO$1046,0),COLUMN()),"")</f>
        <v/>
      </c>
      <c r="R783" t="str">
        <f>IFERROR(INDEX(装备库!$A$2:$Y$1047,MATCH(ROW()-1,装备库!$AO$2:$AO$1046,0),COLUMN()),"")</f>
        <v/>
      </c>
      <c r="S783" t="str">
        <f>IFERROR(INDEX(装备库!$A$2:$Y$1047,MATCH(ROW()-1,装备库!$AO$2:$AO$1046,0),COLUMN()),"")</f>
        <v/>
      </c>
      <c r="T783" t="str">
        <f>IFERROR(INDEX(装备库!$A$2:$Y$1047,MATCH(ROW()-1,装备库!$AO$2:$AO$1046,0),COLUMN()),"")</f>
        <v/>
      </c>
      <c r="U783" t="str">
        <f>IFERROR(INDEX(装备库!$A$2:$Y$1047,MATCH(ROW()-1,装备库!$AO$2:$AO$1046,0),COLUMN()),"")</f>
        <v/>
      </c>
      <c r="V783" t="str">
        <f>IFERROR(INDEX(装备库!$A$2:$Y$1047,MATCH(ROW()-1,装备库!$AO$2:$AO$1046,0),COLUMN()),"")</f>
        <v/>
      </c>
      <c r="W783" t="str">
        <f>IFERROR(INDEX(装备库!$A$2:$Y$1047,MATCH(ROW()-1,装备库!$AO$2:$AO$1046,0),COLUMN()),"")</f>
        <v/>
      </c>
      <c r="X783" t="str">
        <f>IFERROR(INDEX(装备库!$A$2:$Y$1047,MATCH(ROW()-1,装备库!$AO$2:$AO$1046,0),COLUMN()),"")</f>
        <v/>
      </c>
      <c r="Y783" t="str">
        <f>IFERROR(INDEX(装备库!$A$2:$Y$1047,MATCH(ROW()-1,装备库!$AO$2:$AO$1046,0),COLUMN()),"")</f>
        <v/>
      </c>
    </row>
    <row r="784" spans="1:25" x14ac:dyDescent="0.35">
      <c r="A784" t="str">
        <f>IFERROR(INDEX(装备库!$A$2:$Y$1047,MATCH(ROW()-1,装备库!$AO$2:$AO$1046,0),COLUMN()),"")</f>
        <v/>
      </c>
      <c r="B784" t="str">
        <f>IFERROR(INDEX(装备库!$A$2:$Y$1047,MATCH(ROW()-1,装备库!$AO$2:$AO$1046,0),COLUMN()),"")</f>
        <v/>
      </c>
      <c r="C784" t="str">
        <f>IFERROR(INDEX(装备库!$A$2:$Y$1047,MATCH(ROW()-1,装备库!$AO$2:$AO$1046,0),COLUMN()),"")</f>
        <v/>
      </c>
      <c r="D784" t="str">
        <f>IFERROR(INDEX(装备库!$A$2:$Y$1047,MATCH(ROW()-1,装备库!$AO$2:$AO$1046,0),COLUMN()),"")</f>
        <v/>
      </c>
      <c r="E784" t="str">
        <f>IFERROR(INDEX(装备库!$A$2:$Y$1047,MATCH(ROW()-1,装备库!$AO$2:$AO$1046,0),COLUMN()),"")</f>
        <v/>
      </c>
      <c r="F784" t="str">
        <f>IFERROR(INDEX(装备库!$A$2:$Y$1047,MATCH(ROW()-1,装备库!$AO$2:$AO$1046,0),COLUMN()),"")</f>
        <v/>
      </c>
      <c r="G784" t="str">
        <f>IFERROR(INDEX(装备库!$A$2:$Y$1047,MATCH(ROW()-1,装备库!$AO$2:$AO$1046,0),COLUMN()),"")</f>
        <v/>
      </c>
      <c r="H784" t="str">
        <f>IFERROR(INDEX(装备库!$A$2:$Y$1047,MATCH(ROW()-1,装备库!$AO$2:$AO$1046,0),COLUMN()),"")</f>
        <v/>
      </c>
      <c r="I784" t="str">
        <f>IFERROR(INDEX(装备库!$A$2:$Y$1047,MATCH(ROW()-1,装备库!$AO$2:$AO$1046,0),COLUMN()),"")</f>
        <v/>
      </c>
      <c r="J784" t="str">
        <f>IFERROR(INDEX(装备库!$A$2:$Y$1047,MATCH(ROW()-1,装备库!$AO$2:$AO$1046,0),COLUMN()),"")</f>
        <v/>
      </c>
      <c r="K784" t="str">
        <f>IFERROR(INDEX(装备库!$A$2:$Y$1047,MATCH(ROW()-1,装备库!$AO$2:$AO$1046,0),COLUMN()),"")</f>
        <v/>
      </c>
      <c r="L784" t="str">
        <f>IFERROR(INDEX(装备库!$A$2:$Y$1047,MATCH(ROW()-1,装备库!$AO$2:$AO$1046,0),COLUMN()),"")</f>
        <v/>
      </c>
      <c r="M784" t="str">
        <f>IFERROR(INDEX(装备库!$A$2:$Y$1047,MATCH(ROW()-1,装备库!$AO$2:$AO$1046,0),COLUMN()),"")</f>
        <v/>
      </c>
      <c r="N784" t="str">
        <f>IFERROR(INDEX(装备库!$A$2:$Y$1047,MATCH(ROW()-1,装备库!$AO$2:$AO$1046,0),COLUMN()),"")</f>
        <v/>
      </c>
      <c r="O784" t="str">
        <f>IFERROR(INDEX(装备库!$A$2:$Y$1047,MATCH(ROW()-1,装备库!$AO$2:$AO$1046,0),COLUMN()),"")</f>
        <v/>
      </c>
      <c r="P784" t="str">
        <f>IFERROR(INDEX(装备库!$A$2:$Y$1047,MATCH(ROW()-1,装备库!$AO$2:$AO$1046,0),COLUMN()),"")</f>
        <v/>
      </c>
      <c r="Q784" t="str">
        <f>IFERROR(INDEX(装备库!$A$2:$Y$1047,MATCH(ROW()-1,装备库!$AO$2:$AO$1046,0),COLUMN()),"")</f>
        <v/>
      </c>
      <c r="R784" t="str">
        <f>IFERROR(INDEX(装备库!$A$2:$Y$1047,MATCH(ROW()-1,装备库!$AO$2:$AO$1046,0),COLUMN()),"")</f>
        <v/>
      </c>
      <c r="S784" t="str">
        <f>IFERROR(INDEX(装备库!$A$2:$Y$1047,MATCH(ROW()-1,装备库!$AO$2:$AO$1046,0),COLUMN()),"")</f>
        <v/>
      </c>
      <c r="T784" t="str">
        <f>IFERROR(INDEX(装备库!$A$2:$Y$1047,MATCH(ROW()-1,装备库!$AO$2:$AO$1046,0),COLUMN()),"")</f>
        <v/>
      </c>
      <c r="U784" t="str">
        <f>IFERROR(INDEX(装备库!$A$2:$Y$1047,MATCH(ROW()-1,装备库!$AO$2:$AO$1046,0),COLUMN()),"")</f>
        <v/>
      </c>
      <c r="V784" t="str">
        <f>IFERROR(INDEX(装备库!$A$2:$Y$1047,MATCH(ROW()-1,装备库!$AO$2:$AO$1046,0),COLUMN()),"")</f>
        <v/>
      </c>
      <c r="W784" t="str">
        <f>IFERROR(INDEX(装备库!$A$2:$Y$1047,MATCH(ROW()-1,装备库!$AO$2:$AO$1046,0),COLUMN()),"")</f>
        <v/>
      </c>
      <c r="X784" t="str">
        <f>IFERROR(INDEX(装备库!$A$2:$Y$1047,MATCH(ROW()-1,装备库!$AO$2:$AO$1046,0),COLUMN()),"")</f>
        <v/>
      </c>
      <c r="Y784" t="str">
        <f>IFERROR(INDEX(装备库!$A$2:$Y$1047,MATCH(ROW()-1,装备库!$AO$2:$AO$1046,0),COLUMN()),"")</f>
        <v/>
      </c>
    </row>
    <row r="785" spans="1:25" x14ac:dyDescent="0.35">
      <c r="A785" t="str">
        <f>IFERROR(INDEX(装备库!$A$2:$Y$1047,MATCH(ROW()-1,装备库!$AO$2:$AO$1046,0),COLUMN()),"")</f>
        <v/>
      </c>
      <c r="B785" t="str">
        <f>IFERROR(INDEX(装备库!$A$2:$Y$1047,MATCH(ROW()-1,装备库!$AO$2:$AO$1046,0),COLUMN()),"")</f>
        <v/>
      </c>
      <c r="C785" t="str">
        <f>IFERROR(INDEX(装备库!$A$2:$Y$1047,MATCH(ROW()-1,装备库!$AO$2:$AO$1046,0),COLUMN()),"")</f>
        <v/>
      </c>
      <c r="D785" t="str">
        <f>IFERROR(INDEX(装备库!$A$2:$Y$1047,MATCH(ROW()-1,装备库!$AO$2:$AO$1046,0),COLUMN()),"")</f>
        <v/>
      </c>
      <c r="E785" t="str">
        <f>IFERROR(INDEX(装备库!$A$2:$Y$1047,MATCH(ROW()-1,装备库!$AO$2:$AO$1046,0),COLUMN()),"")</f>
        <v/>
      </c>
      <c r="F785" t="str">
        <f>IFERROR(INDEX(装备库!$A$2:$Y$1047,MATCH(ROW()-1,装备库!$AO$2:$AO$1046,0),COLUMN()),"")</f>
        <v/>
      </c>
      <c r="G785" t="str">
        <f>IFERROR(INDEX(装备库!$A$2:$Y$1047,MATCH(ROW()-1,装备库!$AO$2:$AO$1046,0),COLUMN()),"")</f>
        <v/>
      </c>
      <c r="H785" t="str">
        <f>IFERROR(INDEX(装备库!$A$2:$Y$1047,MATCH(ROW()-1,装备库!$AO$2:$AO$1046,0),COLUMN()),"")</f>
        <v/>
      </c>
      <c r="I785" t="str">
        <f>IFERROR(INDEX(装备库!$A$2:$Y$1047,MATCH(ROW()-1,装备库!$AO$2:$AO$1046,0),COLUMN()),"")</f>
        <v/>
      </c>
      <c r="J785" t="str">
        <f>IFERROR(INDEX(装备库!$A$2:$Y$1047,MATCH(ROW()-1,装备库!$AO$2:$AO$1046,0),COLUMN()),"")</f>
        <v/>
      </c>
      <c r="K785" t="str">
        <f>IFERROR(INDEX(装备库!$A$2:$Y$1047,MATCH(ROW()-1,装备库!$AO$2:$AO$1046,0),COLUMN()),"")</f>
        <v/>
      </c>
      <c r="L785" t="str">
        <f>IFERROR(INDEX(装备库!$A$2:$Y$1047,MATCH(ROW()-1,装备库!$AO$2:$AO$1046,0),COLUMN()),"")</f>
        <v/>
      </c>
      <c r="M785" t="str">
        <f>IFERROR(INDEX(装备库!$A$2:$Y$1047,MATCH(ROW()-1,装备库!$AO$2:$AO$1046,0),COLUMN()),"")</f>
        <v/>
      </c>
      <c r="N785" t="str">
        <f>IFERROR(INDEX(装备库!$A$2:$Y$1047,MATCH(ROW()-1,装备库!$AO$2:$AO$1046,0),COLUMN()),"")</f>
        <v/>
      </c>
      <c r="O785" t="str">
        <f>IFERROR(INDEX(装备库!$A$2:$Y$1047,MATCH(ROW()-1,装备库!$AO$2:$AO$1046,0),COLUMN()),"")</f>
        <v/>
      </c>
      <c r="P785" t="str">
        <f>IFERROR(INDEX(装备库!$A$2:$Y$1047,MATCH(ROW()-1,装备库!$AO$2:$AO$1046,0),COLUMN()),"")</f>
        <v/>
      </c>
      <c r="Q785" t="str">
        <f>IFERROR(INDEX(装备库!$A$2:$Y$1047,MATCH(ROW()-1,装备库!$AO$2:$AO$1046,0),COLUMN()),"")</f>
        <v/>
      </c>
      <c r="R785" t="str">
        <f>IFERROR(INDEX(装备库!$A$2:$Y$1047,MATCH(ROW()-1,装备库!$AO$2:$AO$1046,0),COLUMN()),"")</f>
        <v/>
      </c>
      <c r="S785" t="str">
        <f>IFERROR(INDEX(装备库!$A$2:$Y$1047,MATCH(ROW()-1,装备库!$AO$2:$AO$1046,0),COLUMN()),"")</f>
        <v/>
      </c>
      <c r="T785" t="str">
        <f>IFERROR(INDEX(装备库!$A$2:$Y$1047,MATCH(ROW()-1,装备库!$AO$2:$AO$1046,0),COLUMN()),"")</f>
        <v/>
      </c>
      <c r="U785" t="str">
        <f>IFERROR(INDEX(装备库!$A$2:$Y$1047,MATCH(ROW()-1,装备库!$AO$2:$AO$1046,0),COLUMN()),"")</f>
        <v/>
      </c>
      <c r="V785" t="str">
        <f>IFERROR(INDEX(装备库!$A$2:$Y$1047,MATCH(ROW()-1,装备库!$AO$2:$AO$1046,0),COLUMN()),"")</f>
        <v/>
      </c>
      <c r="W785" t="str">
        <f>IFERROR(INDEX(装备库!$A$2:$Y$1047,MATCH(ROW()-1,装备库!$AO$2:$AO$1046,0),COLUMN()),"")</f>
        <v/>
      </c>
      <c r="X785" t="str">
        <f>IFERROR(INDEX(装备库!$A$2:$Y$1047,MATCH(ROW()-1,装备库!$AO$2:$AO$1046,0),COLUMN()),"")</f>
        <v/>
      </c>
      <c r="Y785" t="str">
        <f>IFERROR(INDEX(装备库!$A$2:$Y$1047,MATCH(ROW()-1,装备库!$AO$2:$AO$1046,0),COLUMN()),"")</f>
        <v/>
      </c>
    </row>
    <row r="786" spans="1:25" x14ac:dyDescent="0.35">
      <c r="A786" t="str">
        <f>IFERROR(INDEX(装备库!$A$2:$Y$1047,MATCH(ROW()-1,装备库!$AO$2:$AO$1046,0),COLUMN()),"")</f>
        <v/>
      </c>
      <c r="B786" t="str">
        <f>IFERROR(INDEX(装备库!$A$2:$Y$1047,MATCH(ROW()-1,装备库!$AO$2:$AO$1046,0),COLUMN()),"")</f>
        <v/>
      </c>
      <c r="C786" t="str">
        <f>IFERROR(INDEX(装备库!$A$2:$Y$1047,MATCH(ROW()-1,装备库!$AO$2:$AO$1046,0),COLUMN()),"")</f>
        <v/>
      </c>
      <c r="D786" t="str">
        <f>IFERROR(INDEX(装备库!$A$2:$Y$1047,MATCH(ROW()-1,装备库!$AO$2:$AO$1046,0),COLUMN()),"")</f>
        <v/>
      </c>
      <c r="E786" t="str">
        <f>IFERROR(INDEX(装备库!$A$2:$Y$1047,MATCH(ROW()-1,装备库!$AO$2:$AO$1046,0),COLUMN()),"")</f>
        <v/>
      </c>
      <c r="F786" t="str">
        <f>IFERROR(INDEX(装备库!$A$2:$Y$1047,MATCH(ROW()-1,装备库!$AO$2:$AO$1046,0),COLUMN()),"")</f>
        <v/>
      </c>
      <c r="G786" t="str">
        <f>IFERROR(INDEX(装备库!$A$2:$Y$1047,MATCH(ROW()-1,装备库!$AO$2:$AO$1046,0),COLUMN()),"")</f>
        <v/>
      </c>
      <c r="H786" t="str">
        <f>IFERROR(INDEX(装备库!$A$2:$Y$1047,MATCH(ROW()-1,装备库!$AO$2:$AO$1046,0),COLUMN()),"")</f>
        <v/>
      </c>
      <c r="I786" t="str">
        <f>IFERROR(INDEX(装备库!$A$2:$Y$1047,MATCH(ROW()-1,装备库!$AO$2:$AO$1046,0),COLUMN()),"")</f>
        <v/>
      </c>
      <c r="J786" t="str">
        <f>IFERROR(INDEX(装备库!$A$2:$Y$1047,MATCH(ROW()-1,装备库!$AO$2:$AO$1046,0),COLUMN()),"")</f>
        <v/>
      </c>
      <c r="K786" t="str">
        <f>IFERROR(INDEX(装备库!$A$2:$Y$1047,MATCH(ROW()-1,装备库!$AO$2:$AO$1046,0),COLUMN()),"")</f>
        <v/>
      </c>
      <c r="L786" t="str">
        <f>IFERROR(INDEX(装备库!$A$2:$Y$1047,MATCH(ROW()-1,装备库!$AO$2:$AO$1046,0),COLUMN()),"")</f>
        <v/>
      </c>
      <c r="M786" t="str">
        <f>IFERROR(INDEX(装备库!$A$2:$Y$1047,MATCH(ROW()-1,装备库!$AO$2:$AO$1046,0),COLUMN()),"")</f>
        <v/>
      </c>
      <c r="N786" t="str">
        <f>IFERROR(INDEX(装备库!$A$2:$Y$1047,MATCH(ROW()-1,装备库!$AO$2:$AO$1046,0),COLUMN()),"")</f>
        <v/>
      </c>
      <c r="O786" t="str">
        <f>IFERROR(INDEX(装备库!$A$2:$Y$1047,MATCH(ROW()-1,装备库!$AO$2:$AO$1046,0),COLUMN()),"")</f>
        <v/>
      </c>
      <c r="P786" t="str">
        <f>IFERROR(INDEX(装备库!$A$2:$Y$1047,MATCH(ROW()-1,装备库!$AO$2:$AO$1046,0),COLUMN()),"")</f>
        <v/>
      </c>
      <c r="Q786" t="str">
        <f>IFERROR(INDEX(装备库!$A$2:$Y$1047,MATCH(ROW()-1,装备库!$AO$2:$AO$1046,0),COLUMN()),"")</f>
        <v/>
      </c>
      <c r="R786" t="str">
        <f>IFERROR(INDEX(装备库!$A$2:$Y$1047,MATCH(ROW()-1,装备库!$AO$2:$AO$1046,0),COLUMN()),"")</f>
        <v/>
      </c>
      <c r="S786" t="str">
        <f>IFERROR(INDEX(装备库!$A$2:$Y$1047,MATCH(ROW()-1,装备库!$AO$2:$AO$1046,0),COLUMN()),"")</f>
        <v/>
      </c>
      <c r="T786" t="str">
        <f>IFERROR(INDEX(装备库!$A$2:$Y$1047,MATCH(ROW()-1,装备库!$AO$2:$AO$1046,0),COLUMN()),"")</f>
        <v/>
      </c>
      <c r="U786" t="str">
        <f>IFERROR(INDEX(装备库!$A$2:$Y$1047,MATCH(ROW()-1,装备库!$AO$2:$AO$1046,0),COLUMN()),"")</f>
        <v/>
      </c>
      <c r="V786" t="str">
        <f>IFERROR(INDEX(装备库!$A$2:$Y$1047,MATCH(ROW()-1,装备库!$AO$2:$AO$1046,0),COLUMN()),"")</f>
        <v/>
      </c>
      <c r="W786" t="str">
        <f>IFERROR(INDEX(装备库!$A$2:$Y$1047,MATCH(ROW()-1,装备库!$AO$2:$AO$1046,0),COLUMN()),"")</f>
        <v/>
      </c>
      <c r="X786" t="str">
        <f>IFERROR(INDEX(装备库!$A$2:$Y$1047,MATCH(ROW()-1,装备库!$AO$2:$AO$1046,0),COLUMN()),"")</f>
        <v/>
      </c>
      <c r="Y786" t="str">
        <f>IFERROR(INDEX(装备库!$A$2:$Y$1047,MATCH(ROW()-1,装备库!$AO$2:$AO$1046,0),COLUMN()),"")</f>
        <v/>
      </c>
    </row>
    <row r="787" spans="1:25" x14ac:dyDescent="0.35">
      <c r="A787" t="str">
        <f>IFERROR(INDEX(装备库!$A$2:$Y$1047,MATCH(ROW()-1,装备库!$AO$2:$AO$1046,0),COLUMN()),"")</f>
        <v/>
      </c>
      <c r="B787" t="str">
        <f>IFERROR(INDEX(装备库!$A$2:$Y$1047,MATCH(ROW()-1,装备库!$AO$2:$AO$1046,0),COLUMN()),"")</f>
        <v/>
      </c>
      <c r="C787" t="str">
        <f>IFERROR(INDEX(装备库!$A$2:$Y$1047,MATCH(ROW()-1,装备库!$AO$2:$AO$1046,0),COLUMN()),"")</f>
        <v/>
      </c>
      <c r="D787" t="str">
        <f>IFERROR(INDEX(装备库!$A$2:$Y$1047,MATCH(ROW()-1,装备库!$AO$2:$AO$1046,0),COLUMN()),"")</f>
        <v/>
      </c>
      <c r="E787" t="str">
        <f>IFERROR(INDEX(装备库!$A$2:$Y$1047,MATCH(ROW()-1,装备库!$AO$2:$AO$1046,0),COLUMN()),"")</f>
        <v/>
      </c>
      <c r="F787" t="str">
        <f>IFERROR(INDEX(装备库!$A$2:$Y$1047,MATCH(ROW()-1,装备库!$AO$2:$AO$1046,0),COLUMN()),"")</f>
        <v/>
      </c>
      <c r="G787" t="str">
        <f>IFERROR(INDEX(装备库!$A$2:$Y$1047,MATCH(ROW()-1,装备库!$AO$2:$AO$1046,0),COLUMN()),"")</f>
        <v/>
      </c>
      <c r="H787" t="str">
        <f>IFERROR(INDEX(装备库!$A$2:$Y$1047,MATCH(ROW()-1,装备库!$AO$2:$AO$1046,0),COLUMN()),"")</f>
        <v/>
      </c>
      <c r="I787" t="str">
        <f>IFERROR(INDEX(装备库!$A$2:$Y$1047,MATCH(ROW()-1,装备库!$AO$2:$AO$1046,0),COLUMN()),"")</f>
        <v/>
      </c>
      <c r="J787" t="str">
        <f>IFERROR(INDEX(装备库!$A$2:$Y$1047,MATCH(ROW()-1,装备库!$AO$2:$AO$1046,0),COLUMN()),"")</f>
        <v/>
      </c>
      <c r="K787" t="str">
        <f>IFERROR(INDEX(装备库!$A$2:$Y$1047,MATCH(ROW()-1,装备库!$AO$2:$AO$1046,0),COLUMN()),"")</f>
        <v/>
      </c>
      <c r="L787" t="str">
        <f>IFERROR(INDEX(装备库!$A$2:$Y$1047,MATCH(ROW()-1,装备库!$AO$2:$AO$1046,0),COLUMN()),"")</f>
        <v/>
      </c>
      <c r="M787" t="str">
        <f>IFERROR(INDEX(装备库!$A$2:$Y$1047,MATCH(ROW()-1,装备库!$AO$2:$AO$1046,0),COLUMN()),"")</f>
        <v/>
      </c>
      <c r="N787" t="str">
        <f>IFERROR(INDEX(装备库!$A$2:$Y$1047,MATCH(ROW()-1,装备库!$AO$2:$AO$1046,0),COLUMN()),"")</f>
        <v/>
      </c>
      <c r="O787" t="str">
        <f>IFERROR(INDEX(装备库!$A$2:$Y$1047,MATCH(ROW()-1,装备库!$AO$2:$AO$1046,0),COLUMN()),"")</f>
        <v/>
      </c>
      <c r="P787" t="str">
        <f>IFERROR(INDEX(装备库!$A$2:$Y$1047,MATCH(ROW()-1,装备库!$AO$2:$AO$1046,0),COLUMN()),"")</f>
        <v/>
      </c>
      <c r="Q787" t="str">
        <f>IFERROR(INDEX(装备库!$A$2:$Y$1047,MATCH(ROW()-1,装备库!$AO$2:$AO$1046,0),COLUMN()),"")</f>
        <v/>
      </c>
      <c r="R787" t="str">
        <f>IFERROR(INDEX(装备库!$A$2:$Y$1047,MATCH(ROW()-1,装备库!$AO$2:$AO$1046,0),COLUMN()),"")</f>
        <v/>
      </c>
      <c r="S787" t="str">
        <f>IFERROR(INDEX(装备库!$A$2:$Y$1047,MATCH(ROW()-1,装备库!$AO$2:$AO$1046,0),COLUMN()),"")</f>
        <v/>
      </c>
      <c r="T787" t="str">
        <f>IFERROR(INDEX(装备库!$A$2:$Y$1047,MATCH(ROW()-1,装备库!$AO$2:$AO$1046,0),COLUMN()),"")</f>
        <v/>
      </c>
      <c r="U787" t="str">
        <f>IFERROR(INDEX(装备库!$A$2:$Y$1047,MATCH(ROW()-1,装备库!$AO$2:$AO$1046,0),COLUMN()),"")</f>
        <v/>
      </c>
      <c r="V787" t="str">
        <f>IFERROR(INDEX(装备库!$A$2:$Y$1047,MATCH(ROW()-1,装备库!$AO$2:$AO$1046,0),COLUMN()),"")</f>
        <v/>
      </c>
      <c r="W787" t="str">
        <f>IFERROR(INDEX(装备库!$A$2:$Y$1047,MATCH(ROW()-1,装备库!$AO$2:$AO$1046,0),COLUMN()),"")</f>
        <v/>
      </c>
      <c r="X787" t="str">
        <f>IFERROR(INDEX(装备库!$A$2:$Y$1047,MATCH(ROW()-1,装备库!$AO$2:$AO$1046,0),COLUMN()),"")</f>
        <v/>
      </c>
      <c r="Y787" t="str">
        <f>IFERROR(INDEX(装备库!$A$2:$Y$1047,MATCH(ROW()-1,装备库!$AO$2:$AO$1046,0),COLUMN()),"")</f>
        <v/>
      </c>
    </row>
    <row r="788" spans="1:25" x14ac:dyDescent="0.35">
      <c r="A788" t="str">
        <f>IFERROR(INDEX(装备库!$A$2:$Y$1047,MATCH(ROW()-1,装备库!$AO$2:$AO$1046,0),COLUMN()),"")</f>
        <v/>
      </c>
      <c r="B788" t="str">
        <f>IFERROR(INDEX(装备库!$A$2:$Y$1047,MATCH(ROW()-1,装备库!$AO$2:$AO$1046,0),COLUMN()),"")</f>
        <v/>
      </c>
      <c r="C788" t="str">
        <f>IFERROR(INDEX(装备库!$A$2:$Y$1047,MATCH(ROW()-1,装备库!$AO$2:$AO$1046,0),COLUMN()),"")</f>
        <v/>
      </c>
      <c r="D788" t="str">
        <f>IFERROR(INDEX(装备库!$A$2:$Y$1047,MATCH(ROW()-1,装备库!$AO$2:$AO$1046,0),COLUMN()),"")</f>
        <v/>
      </c>
      <c r="E788" t="str">
        <f>IFERROR(INDEX(装备库!$A$2:$Y$1047,MATCH(ROW()-1,装备库!$AO$2:$AO$1046,0),COLUMN()),"")</f>
        <v/>
      </c>
      <c r="F788" t="str">
        <f>IFERROR(INDEX(装备库!$A$2:$Y$1047,MATCH(ROW()-1,装备库!$AO$2:$AO$1046,0),COLUMN()),"")</f>
        <v/>
      </c>
      <c r="G788" t="str">
        <f>IFERROR(INDEX(装备库!$A$2:$Y$1047,MATCH(ROW()-1,装备库!$AO$2:$AO$1046,0),COLUMN()),"")</f>
        <v/>
      </c>
      <c r="H788" t="str">
        <f>IFERROR(INDEX(装备库!$A$2:$Y$1047,MATCH(ROW()-1,装备库!$AO$2:$AO$1046,0),COLUMN()),"")</f>
        <v/>
      </c>
      <c r="I788" t="str">
        <f>IFERROR(INDEX(装备库!$A$2:$Y$1047,MATCH(ROW()-1,装备库!$AO$2:$AO$1046,0),COLUMN()),"")</f>
        <v/>
      </c>
      <c r="J788" t="str">
        <f>IFERROR(INDEX(装备库!$A$2:$Y$1047,MATCH(ROW()-1,装备库!$AO$2:$AO$1046,0),COLUMN()),"")</f>
        <v/>
      </c>
      <c r="K788" t="str">
        <f>IFERROR(INDEX(装备库!$A$2:$Y$1047,MATCH(ROW()-1,装备库!$AO$2:$AO$1046,0),COLUMN()),"")</f>
        <v/>
      </c>
      <c r="L788" t="str">
        <f>IFERROR(INDEX(装备库!$A$2:$Y$1047,MATCH(ROW()-1,装备库!$AO$2:$AO$1046,0),COLUMN()),"")</f>
        <v/>
      </c>
      <c r="M788" t="str">
        <f>IFERROR(INDEX(装备库!$A$2:$Y$1047,MATCH(ROW()-1,装备库!$AO$2:$AO$1046,0),COLUMN()),"")</f>
        <v/>
      </c>
      <c r="N788" t="str">
        <f>IFERROR(INDEX(装备库!$A$2:$Y$1047,MATCH(ROW()-1,装备库!$AO$2:$AO$1046,0),COLUMN()),"")</f>
        <v/>
      </c>
      <c r="O788" t="str">
        <f>IFERROR(INDEX(装备库!$A$2:$Y$1047,MATCH(ROW()-1,装备库!$AO$2:$AO$1046,0),COLUMN()),"")</f>
        <v/>
      </c>
      <c r="P788" t="str">
        <f>IFERROR(INDEX(装备库!$A$2:$Y$1047,MATCH(ROW()-1,装备库!$AO$2:$AO$1046,0),COLUMN()),"")</f>
        <v/>
      </c>
      <c r="Q788" t="str">
        <f>IFERROR(INDEX(装备库!$A$2:$Y$1047,MATCH(ROW()-1,装备库!$AO$2:$AO$1046,0),COLUMN()),"")</f>
        <v/>
      </c>
      <c r="R788" t="str">
        <f>IFERROR(INDEX(装备库!$A$2:$Y$1047,MATCH(ROW()-1,装备库!$AO$2:$AO$1046,0),COLUMN()),"")</f>
        <v/>
      </c>
      <c r="S788" t="str">
        <f>IFERROR(INDEX(装备库!$A$2:$Y$1047,MATCH(ROW()-1,装备库!$AO$2:$AO$1046,0),COLUMN()),"")</f>
        <v/>
      </c>
      <c r="T788" t="str">
        <f>IFERROR(INDEX(装备库!$A$2:$Y$1047,MATCH(ROW()-1,装备库!$AO$2:$AO$1046,0),COLUMN()),"")</f>
        <v/>
      </c>
      <c r="U788" t="str">
        <f>IFERROR(INDEX(装备库!$A$2:$Y$1047,MATCH(ROW()-1,装备库!$AO$2:$AO$1046,0),COLUMN()),"")</f>
        <v/>
      </c>
      <c r="V788" t="str">
        <f>IFERROR(INDEX(装备库!$A$2:$Y$1047,MATCH(ROW()-1,装备库!$AO$2:$AO$1046,0),COLUMN()),"")</f>
        <v/>
      </c>
      <c r="W788" t="str">
        <f>IFERROR(INDEX(装备库!$A$2:$Y$1047,MATCH(ROW()-1,装备库!$AO$2:$AO$1046,0),COLUMN()),"")</f>
        <v/>
      </c>
      <c r="X788" t="str">
        <f>IFERROR(INDEX(装备库!$A$2:$Y$1047,MATCH(ROW()-1,装备库!$AO$2:$AO$1046,0),COLUMN()),"")</f>
        <v/>
      </c>
      <c r="Y788" t="str">
        <f>IFERROR(INDEX(装备库!$A$2:$Y$1047,MATCH(ROW()-1,装备库!$AO$2:$AO$1046,0),COLUMN()),"")</f>
        <v/>
      </c>
    </row>
    <row r="789" spans="1:25" x14ac:dyDescent="0.35">
      <c r="A789" t="str">
        <f>IFERROR(INDEX(装备库!$A$2:$Y$1047,MATCH(ROW()-1,装备库!$AO$2:$AO$1046,0),COLUMN()),"")</f>
        <v/>
      </c>
      <c r="B789" t="str">
        <f>IFERROR(INDEX(装备库!$A$2:$Y$1047,MATCH(ROW()-1,装备库!$AO$2:$AO$1046,0),COLUMN()),"")</f>
        <v/>
      </c>
      <c r="C789" t="str">
        <f>IFERROR(INDEX(装备库!$A$2:$Y$1047,MATCH(ROW()-1,装备库!$AO$2:$AO$1046,0),COLUMN()),"")</f>
        <v/>
      </c>
      <c r="D789" t="str">
        <f>IFERROR(INDEX(装备库!$A$2:$Y$1047,MATCH(ROW()-1,装备库!$AO$2:$AO$1046,0),COLUMN()),"")</f>
        <v/>
      </c>
      <c r="E789" t="str">
        <f>IFERROR(INDEX(装备库!$A$2:$Y$1047,MATCH(ROW()-1,装备库!$AO$2:$AO$1046,0),COLUMN()),"")</f>
        <v/>
      </c>
      <c r="F789" t="str">
        <f>IFERROR(INDEX(装备库!$A$2:$Y$1047,MATCH(ROW()-1,装备库!$AO$2:$AO$1046,0),COLUMN()),"")</f>
        <v/>
      </c>
      <c r="G789" t="str">
        <f>IFERROR(INDEX(装备库!$A$2:$Y$1047,MATCH(ROW()-1,装备库!$AO$2:$AO$1046,0),COLUMN()),"")</f>
        <v/>
      </c>
      <c r="H789" t="str">
        <f>IFERROR(INDEX(装备库!$A$2:$Y$1047,MATCH(ROW()-1,装备库!$AO$2:$AO$1046,0),COLUMN()),"")</f>
        <v/>
      </c>
      <c r="I789" t="str">
        <f>IFERROR(INDEX(装备库!$A$2:$Y$1047,MATCH(ROW()-1,装备库!$AO$2:$AO$1046,0),COLUMN()),"")</f>
        <v/>
      </c>
      <c r="J789" t="str">
        <f>IFERROR(INDEX(装备库!$A$2:$Y$1047,MATCH(ROW()-1,装备库!$AO$2:$AO$1046,0),COLUMN()),"")</f>
        <v/>
      </c>
      <c r="K789" t="str">
        <f>IFERROR(INDEX(装备库!$A$2:$Y$1047,MATCH(ROW()-1,装备库!$AO$2:$AO$1046,0),COLUMN()),"")</f>
        <v/>
      </c>
      <c r="L789" t="str">
        <f>IFERROR(INDEX(装备库!$A$2:$Y$1047,MATCH(ROW()-1,装备库!$AO$2:$AO$1046,0),COLUMN()),"")</f>
        <v/>
      </c>
      <c r="M789" t="str">
        <f>IFERROR(INDEX(装备库!$A$2:$Y$1047,MATCH(ROW()-1,装备库!$AO$2:$AO$1046,0),COLUMN()),"")</f>
        <v/>
      </c>
      <c r="N789" t="str">
        <f>IFERROR(INDEX(装备库!$A$2:$Y$1047,MATCH(ROW()-1,装备库!$AO$2:$AO$1046,0),COLUMN()),"")</f>
        <v/>
      </c>
      <c r="O789" t="str">
        <f>IFERROR(INDEX(装备库!$A$2:$Y$1047,MATCH(ROW()-1,装备库!$AO$2:$AO$1046,0),COLUMN()),"")</f>
        <v/>
      </c>
      <c r="P789" t="str">
        <f>IFERROR(INDEX(装备库!$A$2:$Y$1047,MATCH(ROW()-1,装备库!$AO$2:$AO$1046,0),COLUMN()),"")</f>
        <v/>
      </c>
      <c r="Q789" t="str">
        <f>IFERROR(INDEX(装备库!$A$2:$Y$1047,MATCH(ROW()-1,装备库!$AO$2:$AO$1046,0),COLUMN()),"")</f>
        <v/>
      </c>
      <c r="R789" t="str">
        <f>IFERROR(INDEX(装备库!$A$2:$Y$1047,MATCH(ROW()-1,装备库!$AO$2:$AO$1046,0),COLUMN()),"")</f>
        <v/>
      </c>
      <c r="S789" t="str">
        <f>IFERROR(INDEX(装备库!$A$2:$Y$1047,MATCH(ROW()-1,装备库!$AO$2:$AO$1046,0),COLUMN()),"")</f>
        <v/>
      </c>
      <c r="T789" t="str">
        <f>IFERROR(INDEX(装备库!$A$2:$Y$1047,MATCH(ROW()-1,装备库!$AO$2:$AO$1046,0),COLUMN()),"")</f>
        <v/>
      </c>
      <c r="U789" t="str">
        <f>IFERROR(INDEX(装备库!$A$2:$Y$1047,MATCH(ROW()-1,装备库!$AO$2:$AO$1046,0),COLUMN()),"")</f>
        <v/>
      </c>
      <c r="V789" t="str">
        <f>IFERROR(INDEX(装备库!$A$2:$Y$1047,MATCH(ROW()-1,装备库!$AO$2:$AO$1046,0),COLUMN()),"")</f>
        <v/>
      </c>
      <c r="W789" t="str">
        <f>IFERROR(INDEX(装备库!$A$2:$Y$1047,MATCH(ROW()-1,装备库!$AO$2:$AO$1046,0),COLUMN()),"")</f>
        <v/>
      </c>
      <c r="X789" t="str">
        <f>IFERROR(INDEX(装备库!$A$2:$Y$1047,MATCH(ROW()-1,装备库!$AO$2:$AO$1046,0),COLUMN()),"")</f>
        <v/>
      </c>
      <c r="Y789" t="str">
        <f>IFERROR(INDEX(装备库!$A$2:$Y$1047,MATCH(ROW()-1,装备库!$AO$2:$AO$1046,0),COLUMN()),"")</f>
        <v/>
      </c>
    </row>
    <row r="790" spans="1:25" x14ac:dyDescent="0.35">
      <c r="A790" t="str">
        <f>IFERROR(INDEX(装备库!$A$2:$Y$1047,MATCH(ROW()-1,装备库!$AO$2:$AO$1046,0),COLUMN()),"")</f>
        <v/>
      </c>
      <c r="B790" t="str">
        <f>IFERROR(INDEX(装备库!$A$2:$Y$1047,MATCH(ROW()-1,装备库!$AO$2:$AO$1046,0),COLUMN()),"")</f>
        <v/>
      </c>
      <c r="C790" t="str">
        <f>IFERROR(INDEX(装备库!$A$2:$Y$1047,MATCH(ROW()-1,装备库!$AO$2:$AO$1046,0),COLUMN()),"")</f>
        <v/>
      </c>
      <c r="D790" t="str">
        <f>IFERROR(INDEX(装备库!$A$2:$Y$1047,MATCH(ROW()-1,装备库!$AO$2:$AO$1046,0),COLUMN()),"")</f>
        <v/>
      </c>
      <c r="E790" t="str">
        <f>IFERROR(INDEX(装备库!$A$2:$Y$1047,MATCH(ROW()-1,装备库!$AO$2:$AO$1046,0),COLUMN()),"")</f>
        <v/>
      </c>
      <c r="F790" t="str">
        <f>IFERROR(INDEX(装备库!$A$2:$Y$1047,MATCH(ROW()-1,装备库!$AO$2:$AO$1046,0),COLUMN()),"")</f>
        <v/>
      </c>
      <c r="G790" t="str">
        <f>IFERROR(INDEX(装备库!$A$2:$Y$1047,MATCH(ROW()-1,装备库!$AO$2:$AO$1046,0),COLUMN()),"")</f>
        <v/>
      </c>
      <c r="H790" t="str">
        <f>IFERROR(INDEX(装备库!$A$2:$Y$1047,MATCH(ROW()-1,装备库!$AO$2:$AO$1046,0),COLUMN()),"")</f>
        <v/>
      </c>
      <c r="I790" t="str">
        <f>IFERROR(INDEX(装备库!$A$2:$Y$1047,MATCH(ROW()-1,装备库!$AO$2:$AO$1046,0),COLUMN()),"")</f>
        <v/>
      </c>
      <c r="J790" t="str">
        <f>IFERROR(INDEX(装备库!$A$2:$Y$1047,MATCH(ROW()-1,装备库!$AO$2:$AO$1046,0),COLUMN()),"")</f>
        <v/>
      </c>
      <c r="K790" t="str">
        <f>IFERROR(INDEX(装备库!$A$2:$Y$1047,MATCH(ROW()-1,装备库!$AO$2:$AO$1046,0),COLUMN()),"")</f>
        <v/>
      </c>
      <c r="L790" t="str">
        <f>IFERROR(INDEX(装备库!$A$2:$Y$1047,MATCH(ROW()-1,装备库!$AO$2:$AO$1046,0),COLUMN()),"")</f>
        <v/>
      </c>
      <c r="M790" t="str">
        <f>IFERROR(INDEX(装备库!$A$2:$Y$1047,MATCH(ROW()-1,装备库!$AO$2:$AO$1046,0),COLUMN()),"")</f>
        <v/>
      </c>
      <c r="N790" t="str">
        <f>IFERROR(INDEX(装备库!$A$2:$Y$1047,MATCH(ROW()-1,装备库!$AO$2:$AO$1046,0),COLUMN()),"")</f>
        <v/>
      </c>
      <c r="O790" t="str">
        <f>IFERROR(INDEX(装备库!$A$2:$Y$1047,MATCH(ROW()-1,装备库!$AO$2:$AO$1046,0),COLUMN()),"")</f>
        <v/>
      </c>
      <c r="P790" t="str">
        <f>IFERROR(INDEX(装备库!$A$2:$Y$1047,MATCH(ROW()-1,装备库!$AO$2:$AO$1046,0),COLUMN()),"")</f>
        <v/>
      </c>
      <c r="Q790" t="str">
        <f>IFERROR(INDEX(装备库!$A$2:$Y$1047,MATCH(ROW()-1,装备库!$AO$2:$AO$1046,0),COLUMN()),"")</f>
        <v/>
      </c>
      <c r="R790" t="str">
        <f>IFERROR(INDEX(装备库!$A$2:$Y$1047,MATCH(ROW()-1,装备库!$AO$2:$AO$1046,0),COLUMN()),"")</f>
        <v/>
      </c>
      <c r="S790" t="str">
        <f>IFERROR(INDEX(装备库!$A$2:$Y$1047,MATCH(ROW()-1,装备库!$AO$2:$AO$1046,0),COLUMN()),"")</f>
        <v/>
      </c>
      <c r="T790" t="str">
        <f>IFERROR(INDEX(装备库!$A$2:$Y$1047,MATCH(ROW()-1,装备库!$AO$2:$AO$1046,0),COLUMN()),"")</f>
        <v/>
      </c>
      <c r="U790" t="str">
        <f>IFERROR(INDEX(装备库!$A$2:$Y$1047,MATCH(ROW()-1,装备库!$AO$2:$AO$1046,0),COLUMN()),"")</f>
        <v/>
      </c>
      <c r="V790" t="str">
        <f>IFERROR(INDEX(装备库!$A$2:$Y$1047,MATCH(ROW()-1,装备库!$AO$2:$AO$1046,0),COLUMN()),"")</f>
        <v/>
      </c>
      <c r="W790" t="str">
        <f>IFERROR(INDEX(装备库!$A$2:$Y$1047,MATCH(ROW()-1,装备库!$AO$2:$AO$1046,0),COLUMN()),"")</f>
        <v/>
      </c>
      <c r="X790" t="str">
        <f>IFERROR(INDEX(装备库!$A$2:$Y$1047,MATCH(ROW()-1,装备库!$AO$2:$AO$1046,0),COLUMN()),"")</f>
        <v/>
      </c>
      <c r="Y790" t="str">
        <f>IFERROR(INDEX(装备库!$A$2:$Y$1047,MATCH(ROW()-1,装备库!$AO$2:$AO$1046,0),COLUMN()),"")</f>
        <v/>
      </c>
    </row>
    <row r="791" spans="1:25" x14ac:dyDescent="0.35">
      <c r="A791" t="str">
        <f>IFERROR(INDEX(装备库!$A$2:$Y$1047,MATCH(ROW()-1,装备库!$AO$2:$AO$1046,0),COLUMN()),"")</f>
        <v/>
      </c>
      <c r="B791" t="str">
        <f>IFERROR(INDEX(装备库!$A$2:$Y$1047,MATCH(ROW()-1,装备库!$AO$2:$AO$1046,0),COLUMN()),"")</f>
        <v/>
      </c>
      <c r="C791" t="str">
        <f>IFERROR(INDEX(装备库!$A$2:$Y$1047,MATCH(ROW()-1,装备库!$AO$2:$AO$1046,0),COLUMN()),"")</f>
        <v/>
      </c>
      <c r="D791" t="str">
        <f>IFERROR(INDEX(装备库!$A$2:$Y$1047,MATCH(ROW()-1,装备库!$AO$2:$AO$1046,0),COLUMN()),"")</f>
        <v/>
      </c>
      <c r="E791" t="str">
        <f>IFERROR(INDEX(装备库!$A$2:$Y$1047,MATCH(ROW()-1,装备库!$AO$2:$AO$1046,0),COLUMN()),"")</f>
        <v/>
      </c>
      <c r="F791" t="str">
        <f>IFERROR(INDEX(装备库!$A$2:$Y$1047,MATCH(ROW()-1,装备库!$AO$2:$AO$1046,0),COLUMN()),"")</f>
        <v/>
      </c>
      <c r="G791" t="str">
        <f>IFERROR(INDEX(装备库!$A$2:$Y$1047,MATCH(ROW()-1,装备库!$AO$2:$AO$1046,0),COLUMN()),"")</f>
        <v/>
      </c>
      <c r="H791" t="str">
        <f>IFERROR(INDEX(装备库!$A$2:$Y$1047,MATCH(ROW()-1,装备库!$AO$2:$AO$1046,0),COLUMN()),"")</f>
        <v/>
      </c>
      <c r="I791" t="str">
        <f>IFERROR(INDEX(装备库!$A$2:$Y$1047,MATCH(ROW()-1,装备库!$AO$2:$AO$1046,0),COLUMN()),"")</f>
        <v/>
      </c>
      <c r="J791" t="str">
        <f>IFERROR(INDEX(装备库!$A$2:$Y$1047,MATCH(ROW()-1,装备库!$AO$2:$AO$1046,0),COLUMN()),"")</f>
        <v/>
      </c>
      <c r="K791" t="str">
        <f>IFERROR(INDEX(装备库!$A$2:$Y$1047,MATCH(ROW()-1,装备库!$AO$2:$AO$1046,0),COLUMN()),"")</f>
        <v/>
      </c>
      <c r="L791" t="str">
        <f>IFERROR(INDEX(装备库!$A$2:$Y$1047,MATCH(ROW()-1,装备库!$AO$2:$AO$1046,0),COLUMN()),"")</f>
        <v/>
      </c>
      <c r="M791" t="str">
        <f>IFERROR(INDEX(装备库!$A$2:$Y$1047,MATCH(ROW()-1,装备库!$AO$2:$AO$1046,0),COLUMN()),"")</f>
        <v/>
      </c>
      <c r="N791" t="str">
        <f>IFERROR(INDEX(装备库!$A$2:$Y$1047,MATCH(ROW()-1,装备库!$AO$2:$AO$1046,0),COLUMN()),"")</f>
        <v/>
      </c>
      <c r="O791" t="str">
        <f>IFERROR(INDEX(装备库!$A$2:$Y$1047,MATCH(ROW()-1,装备库!$AO$2:$AO$1046,0),COLUMN()),"")</f>
        <v/>
      </c>
      <c r="P791" t="str">
        <f>IFERROR(INDEX(装备库!$A$2:$Y$1047,MATCH(ROW()-1,装备库!$AO$2:$AO$1046,0),COLUMN()),"")</f>
        <v/>
      </c>
      <c r="Q791" t="str">
        <f>IFERROR(INDEX(装备库!$A$2:$Y$1047,MATCH(ROW()-1,装备库!$AO$2:$AO$1046,0),COLUMN()),"")</f>
        <v/>
      </c>
      <c r="R791" t="str">
        <f>IFERROR(INDEX(装备库!$A$2:$Y$1047,MATCH(ROW()-1,装备库!$AO$2:$AO$1046,0),COLUMN()),"")</f>
        <v/>
      </c>
      <c r="S791" t="str">
        <f>IFERROR(INDEX(装备库!$A$2:$Y$1047,MATCH(ROW()-1,装备库!$AO$2:$AO$1046,0),COLUMN()),"")</f>
        <v/>
      </c>
      <c r="T791" t="str">
        <f>IFERROR(INDEX(装备库!$A$2:$Y$1047,MATCH(ROW()-1,装备库!$AO$2:$AO$1046,0),COLUMN()),"")</f>
        <v/>
      </c>
      <c r="U791" t="str">
        <f>IFERROR(INDEX(装备库!$A$2:$Y$1047,MATCH(ROW()-1,装备库!$AO$2:$AO$1046,0),COLUMN()),"")</f>
        <v/>
      </c>
      <c r="V791" t="str">
        <f>IFERROR(INDEX(装备库!$A$2:$Y$1047,MATCH(ROW()-1,装备库!$AO$2:$AO$1046,0),COLUMN()),"")</f>
        <v/>
      </c>
      <c r="W791" t="str">
        <f>IFERROR(INDEX(装备库!$A$2:$Y$1047,MATCH(ROW()-1,装备库!$AO$2:$AO$1046,0),COLUMN()),"")</f>
        <v/>
      </c>
      <c r="X791" t="str">
        <f>IFERROR(INDEX(装备库!$A$2:$Y$1047,MATCH(ROW()-1,装备库!$AO$2:$AO$1046,0),COLUMN()),"")</f>
        <v/>
      </c>
      <c r="Y791" t="str">
        <f>IFERROR(INDEX(装备库!$A$2:$Y$1047,MATCH(ROW()-1,装备库!$AO$2:$AO$1046,0),COLUMN()),"")</f>
        <v/>
      </c>
    </row>
    <row r="792" spans="1:25" x14ac:dyDescent="0.35">
      <c r="A792" t="str">
        <f>IFERROR(INDEX(装备库!$A$2:$Y$1047,MATCH(ROW()-1,装备库!$AO$2:$AO$1046,0),COLUMN()),"")</f>
        <v/>
      </c>
      <c r="B792" t="str">
        <f>IFERROR(INDEX(装备库!$A$2:$Y$1047,MATCH(ROW()-1,装备库!$AO$2:$AO$1046,0),COLUMN()),"")</f>
        <v/>
      </c>
      <c r="C792" t="str">
        <f>IFERROR(INDEX(装备库!$A$2:$Y$1047,MATCH(ROW()-1,装备库!$AO$2:$AO$1046,0),COLUMN()),"")</f>
        <v/>
      </c>
      <c r="D792" t="str">
        <f>IFERROR(INDEX(装备库!$A$2:$Y$1047,MATCH(ROW()-1,装备库!$AO$2:$AO$1046,0),COLUMN()),"")</f>
        <v/>
      </c>
      <c r="E792" t="str">
        <f>IFERROR(INDEX(装备库!$A$2:$Y$1047,MATCH(ROW()-1,装备库!$AO$2:$AO$1046,0),COLUMN()),"")</f>
        <v/>
      </c>
      <c r="F792" t="str">
        <f>IFERROR(INDEX(装备库!$A$2:$Y$1047,MATCH(ROW()-1,装备库!$AO$2:$AO$1046,0),COLUMN()),"")</f>
        <v/>
      </c>
      <c r="G792" t="str">
        <f>IFERROR(INDEX(装备库!$A$2:$Y$1047,MATCH(ROW()-1,装备库!$AO$2:$AO$1046,0),COLUMN()),"")</f>
        <v/>
      </c>
      <c r="H792" t="str">
        <f>IFERROR(INDEX(装备库!$A$2:$Y$1047,MATCH(ROW()-1,装备库!$AO$2:$AO$1046,0),COLUMN()),"")</f>
        <v/>
      </c>
      <c r="I792" t="str">
        <f>IFERROR(INDEX(装备库!$A$2:$Y$1047,MATCH(ROW()-1,装备库!$AO$2:$AO$1046,0),COLUMN()),"")</f>
        <v/>
      </c>
      <c r="J792" t="str">
        <f>IFERROR(INDEX(装备库!$A$2:$Y$1047,MATCH(ROW()-1,装备库!$AO$2:$AO$1046,0),COLUMN()),"")</f>
        <v/>
      </c>
      <c r="K792" t="str">
        <f>IFERROR(INDEX(装备库!$A$2:$Y$1047,MATCH(ROW()-1,装备库!$AO$2:$AO$1046,0),COLUMN()),"")</f>
        <v/>
      </c>
      <c r="L792" t="str">
        <f>IFERROR(INDEX(装备库!$A$2:$Y$1047,MATCH(ROW()-1,装备库!$AO$2:$AO$1046,0),COLUMN()),"")</f>
        <v/>
      </c>
      <c r="M792" t="str">
        <f>IFERROR(INDEX(装备库!$A$2:$Y$1047,MATCH(ROW()-1,装备库!$AO$2:$AO$1046,0),COLUMN()),"")</f>
        <v/>
      </c>
      <c r="N792" t="str">
        <f>IFERROR(INDEX(装备库!$A$2:$Y$1047,MATCH(ROW()-1,装备库!$AO$2:$AO$1046,0),COLUMN()),"")</f>
        <v/>
      </c>
      <c r="O792" t="str">
        <f>IFERROR(INDEX(装备库!$A$2:$Y$1047,MATCH(ROW()-1,装备库!$AO$2:$AO$1046,0),COLUMN()),"")</f>
        <v/>
      </c>
      <c r="P792" t="str">
        <f>IFERROR(INDEX(装备库!$A$2:$Y$1047,MATCH(ROW()-1,装备库!$AO$2:$AO$1046,0),COLUMN()),"")</f>
        <v/>
      </c>
      <c r="Q792" t="str">
        <f>IFERROR(INDEX(装备库!$A$2:$Y$1047,MATCH(ROW()-1,装备库!$AO$2:$AO$1046,0),COLUMN()),"")</f>
        <v/>
      </c>
      <c r="R792" t="str">
        <f>IFERROR(INDEX(装备库!$A$2:$Y$1047,MATCH(ROW()-1,装备库!$AO$2:$AO$1046,0),COLUMN()),"")</f>
        <v/>
      </c>
      <c r="S792" t="str">
        <f>IFERROR(INDEX(装备库!$A$2:$Y$1047,MATCH(ROW()-1,装备库!$AO$2:$AO$1046,0),COLUMN()),"")</f>
        <v/>
      </c>
      <c r="T792" t="str">
        <f>IFERROR(INDEX(装备库!$A$2:$Y$1047,MATCH(ROW()-1,装备库!$AO$2:$AO$1046,0),COLUMN()),"")</f>
        <v/>
      </c>
      <c r="U792" t="str">
        <f>IFERROR(INDEX(装备库!$A$2:$Y$1047,MATCH(ROW()-1,装备库!$AO$2:$AO$1046,0),COLUMN()),"")</f>
        <v/>
      </c>
      <c r="V792" t="str">
        <f>IFERROR(INDEX(装备库!$A$2:$Y$1047,MATCH(ROW()-1,装备库!$AO$2:$AO$1046,0),COLUMN()),"")</f>
        <v/>
      </c>
      <c r="W792" t="str">
        <f>IFERROR(INDEX(装备库!$A$2:$Y$1047,MATCH(ROW()-1,装备库!$AO$2:$AO$1046,0),COLUMN()),"")</f>
        <v/>
      </c>
      <c r="X792" t="str">
        <f>IFERROR(INDEX(装备库!$A$2:$Y$1047,MATCH(ROW()-1,装备库!$AO$2:$AO$1046,0),COLUMN()),"")</f>
        <v/>
      </c>
      <c r="Y792" t="str">
        <f>IFERROR(INDEX(装备库!$A$2:$Y$1047,MATCH(ROW()-1,装备库!$AO$2:$AO$1046,0),COLUMN()),"")</f>
        <v/>
      </c>
    </row>
    <row r="793" spans="1:25" x14ac:dyDescent="0.35">
      <c r="A793" t="str">
        <f>IFERROR(INDEX(装备库!$A$2:$Y$1047,MATCH(ROW()-1,装备库!$AO$2:$AO$1046,0),COLUMN()),"")</f>
        <v/>
      </c>
      <c r="B793" t="str">
        <f>IFERROR(INDEX(装备库!$A$2:$Y$1047,MATCH(ROW()-1,装备库!$AO$2:$AO$1046,0),COLUMN()),"")</f>
        <v/>
      </c>
      <c r="C793" t="str">
        <f>IFERROR(INDEX(装备库!$A$2:$Y$1047,MATCH(ROW()-1,装备库!$AO$2:$AO$1046,0),COLUMN()),"")</f>
        <v/>
      </c>
      <c r="D793" t="str">
        <f>IFERROR(INDEX(装备库!$A$2:$Y$1047,MATCH(ROW()-1,装备库!$AO$2:$AO$1046,0),COLUMN()),"")</f>
        <v/>
      </c>
      <c r="E793" t="str">
        <f>IFERROR(INDEX(装备库!$A$2:$Y$1047,MATCH(ROW()-1,装备库!$AO$2:$AO$1046,0),COLUMN()),"")</f>
        <v/>
      </c>
      <c r="F793" t="str">
        <f>IFERROR(INDEX(装备库!$A$2:$Y$1047,MATCH(ROW()-1,装备库!$AO$2:$AO$1046,0),COLUMN()),"")</f>
        <v/>
      </c>
      <c r="G793" t="str">
        <f>IFERROR(INDEX(装备库!$A$2:$Y$1047,MATCH(ROW()-1,装备库!$AO$2:$AO$1046,0),COLUMN()),"")</f>
        <v/>
      </c>
      <c r="H793" t="str">
        <f>IFERROR(INDEX(装备库!$A$2:$Y$1047,MATCH(ROW()-1,装备库!$AO$2:$AO$1046,0),COLUMN()),"")</f>
        <v/>
      </c>
      <c r="I793" t="str">
        <f>IFERROR(INDEX(装备库!$A$2:$Y$1047,MATCH(ROW()-1,装备库!$AO$2:$AO$1046,0),COLUMN()),"")</f>
        <v/>
      </c>
      <c r="J793" t="str">
        <f>IFERROR(INDEX(装备库!$A$2:$Y$1047,MATCH(ROW()-1,装备库!$AO$2:$AO$1046,0),COLUMN()),"")</f>
        <v/>
      </c>
      <c r="K793" t="str">
        <f>IFERROR(INDEX(装备库!$A$2:$Y$1047,MATCH(ROW()-1,装备库!$AO$2:$AO$1046,0),COLUMN()),"")</f>
        <v/>
      </c>
      <c r="L793" t="str">
        <f>IFERROR(INDEX(装备库!$A$2:$Y$1047,MATCH(ROW()-1,装备库!$AO$2:$AO$1046,0),COLUMN()),"")</f>
        <v/>
      </c>
      <c r="M793" t="str">
        <f>IFERROR(INDEX(装备库!$A$2:$Y$1047,MATCH(ROW()-1,装备库!$AO$2:$AO$1046,0),COLUMN()),"")</f>
        <v/>
      </c>
      <c r="N793" t="str">
        <f>IFERROR(INDEX(装备库!$A$2:$Y$1047,MATCH(ROW()-1,装备库!$AO$2:$AO$1046,0),COLUMN()),"")</f>
        <v/>
      </c>
      <c r="O793" t="str">
        <f>IFERROR(INDEX(装备库!$A$2:$Y$1047,MATCH(ROW()-1,装备库!$AO$2:$AO$1046,0),COLUMN()),"")</f>
        <v/>
      </c>
      <c r="P793" t="str">
        <f>IFERROR(INDEX(装备库!$A$2:$Y$1047,MATCH(ROW()-1,装备库!$AO$2:$AO$1046,0),COLUMN()),"")</f>
        <v/>
      </c>
      <c r="Q793" t="str">
        <f>IFERROR(INDEX(装备库!$A$2:$Y$1047,MATCH(ROW()-1,装备库!$AO$2:$AO$1046,0),COLUMN()),"")</f>
        <v/>
      </c>
      <c r="R793" t="str">
        <f>IFERROR(INDEX(装备库!$A$2:$Y$1047,MATCH(ROW()-1,装备库!$AO$2:$AO$1046,0),COLUMN()),"")</f>
        <v/>
      </c>
      <c r="S793" t="str">
        <f>IFERROR(INDEX(装备库!$A$2:$Y$1047,MATCH(ROW()-1,装备库!$AO$2:$AO$1046,0),COLUMN()),"")</f>
        <v/>
      </c>
      <c r="T793" t="str">
        <f>IFERROR(INDEX(装备库!$A$2:$Y$1047,MATCH(ROW()-1,装备库!$AO$2:$AO$1046,0),COLUMN()),"")</f>
        <v/>
      </c>
      <c r="U793" t="str">
        <f>IFERROR(INDEX(装备库!$A$2:$Y$1047,MATCH(ROW()-1,装备库!$AO$2:$AO$1046,0),COLUMN()),"")</f>
        <v/>
      </c>
      <c r="V793" t="str">
        <f>IFERROR(INDEX(装备库!$A$2:$Y$1047,MATCH(ROW()-1,装备库!$AO$2:$AO$1046,0),COLUMN()),"")</f>
        <v/>
      </c>
      <c r="W793" t="str">
        <f>IFERROR(INDEX(装备库!$A$2:$Y$1047,MATCH(ROW()-1,装备库!$AO$2:$AO$1046,0),COLUMN()),"")</f>
        <v/>
      </c>
      <c r="X793" t="str">
        <f>IFERROR(INDEX(装备库!$A$2:$Y$1047,MATCH(ROW()-1,装备库!$AO$2:$AO$1046,0),COLUMN()),"")</f>
        <v/>
      </c>
      <c r="Y793" t="str">
        <f>IFERROR(INDEX(装备库!$A$2:$Y$1047,MATCH(ROW()-1,装备库!$AO$2:$AO$1046,0),COLUMN()),"")</f>
        <v/>
      </c>
    </row>
    <row r="794" spans="1:25" x14ac:dyDescent="0.35">
      <c r="A794" t="str">
        <f>IFERROR(INDEX(装备库!$A$2:$Y$1047,MATCH(ROW()-1,装备库!$AO$2:$AO$1046,0),COLUMN()),"")</f>
        <v/>
      </c>
      <c r="B794" t="str">
        <f>IFERROR(INDEX(装备库!$A$2:$Y$1047,MATCH(ROW()-1,装备库!$AO$2:$AO$1046,0),COLUMN()),"")</f>
        <v/>
      </c>
      <c r="C794" t="str">
        <f>IFERROR(INDEX(装备库!$A$2:$Y$1047,MATCH(ROW()-1,装备库!$AO$2:$AO$1046,0),COLUMN()),"")</f>
        <v/>
      </c>
      <c r="D794" t="str">
        <f>IFERROR(INDEX(装备库!$A$2:$Y$1047,MATCH(ROW()-1,装备库!$AO$2:$AO$1046,0),COLUMN()),"")</f>
        <v/>
      </c>
      <c r="E794" t="str">
        <f>IFERROR(INDEX(装备库!$A$2:$Y$1047,MATCH(ROW()-1,装备库!$AO$2:$AO$1046,0),COLUMN()),"")</f>
        <v/>
      </c>
      <c r="F794" t="str">
        <f>IFERROR(INDEX(装备库!$A$2:$Y$1047,MATCH(ROW()-1,装备库!$AO$2:$AO$1046,0),COLUMN()),"")</f>
        <v/>
      </c>
      <c r="G794" t="str">
        <f>IFERROR(INDEX(装备库!$A$2:$Y$1047,MATCH(ROW()-1,装备库!$AO$2:$AO$1046,0),COLUMN()),"")</f>
        <v/>
      </c>
      <c r="H794" t="str">
        <f>IFERROR(INDEX(装备库!$A$2:$Y$1047,MATCH(ROW()-1,装备库!$AO$2:$AO$1046,0),COLUMN()),"")</f>
        <v/>
      </c>
      <c r="I794" t="str">
        <f>IFERROR(INDEX(装备库!$A$2:$Y$1047,MATCH(ROW()-1,装备库!$AO$2:$AO$1046,0),COLUMN()),"")</f>
        <v/>
      </c>
      <c r="J794" t="str">
        <f>IFERROR(INDEX(装备库!$A$2:$Y$1047,MATCH(ROW()-1,装备库!$AO$2:$AO$1046,0),COLUMN()),"")</f>
        <v/>
      </c>
      <c r="K794" t="str">
        <f>IFERROR(INDEX(装备库!$A$2:$Y$1047,MATCH(ROW()-1,装备库!$AO$2:$AO$1046,0),COLUMN()),"")</f>
        <v/>
      </c>
      <c r="L794" t="str">
        <f>IFERROR(INDEX(装备库!$A$2:$Y$1047,MATCH(ROW()-1,装备库!$AO$2:$AO$1046,0),COLUMN()),"")</f>
        <v/>
      </c>
      <c r="M794" t="str">
        <f>IFERROR(INDEX(装备库!$A$2:$Y$1047,MATCH(ROW()-1,装备库!$AO$2:$AO$1046,0),COLUMN()),"")</f>
        <v/>
      </c>
      <c r="N794" t="str">
        <f>IFERROR(INDEX(装备库!$A$2:$Y$1047,MATCH(ROW()-1,装备库!$AO$2:$AO$1046,0),COLUMN()),"")</f>
        <v/>
      </c>
      <c r="O794" t="str">
        <f>IFERROR(INDEX(装备库!$A$2:$Y$1047,MATCH(ROW()-1,装备库!$AO$2:$AO$1046,0),COLUMN()),"")</f>
        <v/>
      </c>
      <c r="P794" t="str">
        <f>IFERROR(INDEX(装备库!$A$2:$Y$1047,MATCH(ROW()-1,装备库!$AO$2:$AO$1046,0),COLUMN()),"")</f>
        <v/>
      </c>
      <c r="Q794" t="str">
        <f>IFERROR(INDEX(装备库!$A$2:$Y$1047,MATCH(ROW()-1,装备库!$AO$2:$AO$1046,0),COLUMN()),"")</f>
        <v/>
      </c>
      <c r="R794" t="str">
        <f>IFERROR(INDEX(装备库!$A$2:$Y$1047,MATCH(ROW()-1,装备库!$AO$2:$AO$1046,0),COLUMN()),"")</f>
        <v/>
      </c>
      <c r="S794" t="str">
        <f>IFERROR(INDEX(装备库!$A$2:$Y$1047,MATCH(ROW()-1,装备库!$AO$2:$AO$1046,0),COLUMN()),"")</f>
        <v/>
      </c>
      <c r="T794" t="str">
        <f>IFERROR(INDEX(装备库!$A$2:$Y$1047,MATCH(ROW()-1,装备库!$AO$2:$AO$1046,0),COLUMN()),"")</f>
        <v/>
      </c>
      <c r="U794" t="str">
        <f>IFERROR(INDEX(装备库!$A$2:$Y$1047,MATCH(ROW()-1,装备库!$AO$2:$AO$1046,0),COLUMN()),"")</f>
        <v/>
      </c>
      <c r="V794" t="str">
        <f>IFERROR(INDEX(装备库!$A$2:$Y$1047,MATCH(ROW()-1,装备库!$AO$2:$AO$1046,0),COLUMN()),"")</f>
        <v/>
      </c>
      <c r="W794" t="str">
        <f>IFERROR(INDEX(装备库!$A$2:$Y$1047,MATCH(ROW()-1,装备库!$AO$2:$AO$1046,0),COLUMN()),"")</f>
        <v/>
      </c>
      <c r="X794" t="str">
        <f>IFERROR(INDEX(装备库!$A$2:$Y$1047,MATCH(ROW()-1,装备库!$AO$2:$AO$1046,0),COLUMN()),"")</f>
        <v/>
      </c>
      <c r="Y794" t="str">
        <f>IFERROR(INDEX(装备库!$A$2:$Y$1047,MATCH(ROW()-1,装备库!$AO$2:$AO$1046,0),COLUMN()),"")</f>
        <v/>
      </c>
    </row>
    <row r="795" spans="1:25" x14ac:dyDescent="0.35">
      <c r="A795" t="str">
        <f>IFERROR(INDEX(装备库!$A$2:$Y$1047,MATCH(ROW()-1,装备库!$AO$2:$AO$1046,0),COLUMN()),"")</f>
        <v/>
      </c>
      <c r="B795" t="str">
        <f>IFERROR(INDEX(装备库!$A$2:$Y$1047,MATCH(ROW()-1,装备库!$AO$2:$AO$1046,0),COLUMN()),"")</f>
        <v/>
      </c>
      <c r="C795" t="str">
        <f>IFERROR(INDEX(装备库!$A$2:$Y$1047,MATCH(ROW()-1,装备库!$AO$2:$AO$1046,0),COLUMN()),"")</f>
        <v/>
      </c>
      <c r="D795" t="str">
        <f>IFERROR(INDEX(装备库!$A$2:$Y$1047,MATCH(ROW()-1,装备库!$AO$2:$AO$1046,0),COLUMN()),"")</f>
        <v/>
      </c>
      <c r="E795" t="str">
        <f>IFERROR(INDEX(装备库!$A$2:$Y$1047,MATCH(ROW()-1,装备库!$AO$2:$AO$1046,0),COLUMN()),"")</f>
        <v/>
      </c>
      <c r="F795" t="str">
        <f>IFERROR(INDEX(装备库!$A$2:$Y$1047,MATCH(ROW()-1,装备库!$AO$2:$AO$1046,0),COLUMN()),"")</f>
        <v/>
      </c>
      <c r="G795" t="str">
        <f>IFERROR(INDEX(装备库!$A$2:$Y$1047,MATCH(ROW()-1,装备库!$AO$2:$AO$1046,0),COLUMN()),"")</f>
        <v/>
      </c>
      <c r="H795" t="str">
        <f>IFERROR(INDEX(装备库!$A$2:$Y$1047,MATCH(ROW()-1,装备库!$AO$2:$AO$1046,0),COLUMN()),"")</f>
        <v/>
      </c>
      <c r="I795" t="str">
        <f>IFERROR(INDEX(装备库!$A$2:$Y$1047,MATCH(ROW()-1,装备库!$AO$2:$AO$1046,0),COLUMN()),"")</f>
        <v/>
      </c>
      <c r="J795" t="str">
        <f>IFERROR(INDEX(装备库!$A$2:$Y$1047,MATCH(ROW()-1,装备库!$AO$2:$AO$1046,0),COLUMN()),"")</f>
        <v/>
      </c>
      <c r="K795" t="str">
        <f>IFERROR(INDEX(装备库!$A$2:$Y$1047,MATCH(ROW()-1,装备库!$AO$2:$AO$1046,0),COLUMN()),"")</f>
        <v/>
      </c>
      <c r="L795" t="str">
        <f>IFERROR(INDEX(装备库!$A$2:$Y$1047,MATCH(ROW()-1,装备库!$AO$2:$AO$1046,0),COLUMN()),"")</f>
        <v/>
      </c>
      <c r="M795" t="str">
        <f>IFERROR(INDEX(装备库!$A$2:$Y$1047,MATCH(ROW()-1,装备库!$AO$2:$AO$1046,0),COLUMN()),"")</f>
        <v/>
      </c>
      <c r="N795" t="str">
        <f>IFERROR(INDEX(装备库!$A$2:$Y$1047,MATCH(ROW()-1,装备库!$AO$2:$AO$1046,0),COLUMN()),"")</f>
        <v/>
      </c>
      <c r="O795" t="str">
        <f>IFERROR(INDEX(装备库!$A$2:$Y$1047,MATCH(ROW()-1,装备库!$AO$2:$AO$1046,0),COLUMN()),"")</f>
        <v/>
      </c>
      <c r="P795" t="str">
        <f>IFERROR(INDEX(装备库!$A$2:$Y$1047,MATCH(ROW()-1,装备库!$AO$2:$AO$1046,0),COLUMN()),"")</f>
        <v/>
      </c>
      <c r="Q795" t="str">
        <f>IFERROR(INDEX(装备库!$A$2:$Y$1047,MATCH(ROW()-1,装备库!$AO$2:$AO$1046,0),COLUMN()),"")</f>
        <v/>
      </c>
      <c r="R795" t="str">
        <f>IFERROR(INDEX(装备库!$A$2:$Y$1047,MATCH(ROW()-1,装备库!$AO$2:$AO$1046,0),COLUMN()),"")</f>
        <v/>
      </c>
      <c r="S795" t="str">
        <f>IFERROR(INDEX(装备库!$A$2:$Y$1047,MATCH(ROW()-1,装备库!$AO$2:$AO$1046,0),COLUMN()),"")</f>
        <v/>
      </c>
      <c r="T795" t="str">
        <f>IFERROR(INDEX(装备库!$A$2:$Y$1047,MATCH(ROW()-1,装备库!$AO$2:$AO$1046,0),COLUMN()),"")</f>
        <v/>
      </c>
      <c r="U795" t="str">
        <f>IFERROR(INDEX(装备库!$A$2:$Y$1047,MATCH(ROW()-1,装备库!$AO$2:$AO$1046,0),COLUMN()),"")</f>
        <v/>
      </c>
      <c r="V795" t="str">
        <f>IFERROR(INDEX(装备库!$A$2:$Y$1047,MATCH(ROW()-1,装备库!$AO$2:$AO$1046,0),COLUMN()),"")</f>
        <v/>
      </c>
      <c r="W795" t="str">
        <f>IFERROR(INDEX(装备库!$A$2:$Y$1047,MATCH(ROW()-1,装备库!$AO$2:$AO$1046,0),COLUMN()),"")</f>
        <v/>
      </c>
      <c r="X795" t="str">
        <f>IFERROR(INDEX(装备库!$A$2:$Y$1047,MATCH(ROW()-1,装备库!$AO$2:$AO$1046,0),COLUMN()),"")</f>
        <v/>
      </c>
      <c r="Y795" t="str">
        <f>IFERROR(INDEX(装备库!$A$2:$Y$1047,MATCH(ROW()-1,装备库!$AO$2:$AO$1046,0),COLUMN()),"")</f>
        <v/>
      </c>
    </row>
    <row r="796" spans="1:25" x14ac:dyDescent="0.35">
      <c r="A796" t="str">
        <f>IFERROR(INDEX(装备库!$A$2:$Y$1047,MATCH(ROW()-1,装备库!$AO$2:$AO$1046,0),COLUMN()),"")</f>
        <v/>
      </c>
      <c r="B796" t="str">
        <f>IFERROR(INDEX(装备库!$A$2:$Y$1047,MATCH(ROW()-1,装备库!$AO$2:$AO$1046,0),COLUMN()),"")</f>
        <v/>
      </c>
      <c r="C796" t="str">
        <f>IFERROR(INDEX(装备库!$A$2:$Y$1047,MATCH(ROW()-1,装备库!$AO$2:$AO$1046,0),COLUMN()),"")</f>
        <v/>
      </c>
      <c r="D796" t="str">
        <f>IFERROR(INDEX(装备库!$A$2:$Y$1047,MATCH(ROW()-1,装备库!$AO$2:$AO$1046,0),COLUMN()),"")</f>
        <v/>
      </c>
      <c r="E796" t="str">
        <f>IFERROR(INDEX(装备库!$A$2:$Y$1047,MATCH(ROW()-1,装备库!$AO$2:$AO$1046,0),COLUMN()),"")</f>
        <v/>
      </c>
      <c r="F796" t="str">
        <f>IFERROR(INDEX(装备库!$A$2:$Y$1047,MATCH(ROW()-1,装备库!$AO$2:$AO$1046,0),COLUMN()),"")</f>
        <v/>
      </c>
      <c r="G796" t="str">
        <f>IFERROR(INDEX(装备库!$A$2:$Y$1047,MATCH(ROW()-1,装备库!$AO$2:$AO$1046,0),COLUMN()),"")</f>
        <v/>
      </c>
      <c r="H796" t="str">
        <f>IFERROR(INDEX(装备库!$A$2:$Y$1047,MATCH(ROW()-1,装备库!$AO$2:$AO$1046,0),COLUMN()),"")</f>
        <v/>
      </c>
      <c r="I796" t="str">
        <f>IFERROR(INDEX(装备库!$A$2:$Y$1047,MATCH(ROW()-1,装备库!$AO$2:$AO$1046,0),COLUMN()),"")</f>
        <v/>
      </c>
      <c r="J796" t="str">
        <f>IFERROR(INDEX(装备库!$A$2:$Y$1047,MATCH(ROW()-1,装备库!$AO$2:$AO$1046,0),COLUMN()),"")</f>
        <v/>
      </c>
      <c r="K796" t="str">
        <f>IFERROR(INDEX(装备库!$A$2:$Y$1047,MATCH(ROW()-1,装备库!$AO$2:$AO$1046,0),COLUMN()),"")</f>
        <v/>
      </c>
      <c r="L796" t="str">
        <f>IFERROR(INDEX(装备库!$A$2:$Y$1047,MATCH(ROW()-1,装备库!$AO$2:$AO$1046,0),COLUMN()),"")</f>
        <v/>
      </c>
      <c r="M796" t="str">
        <f>IFERROR(INDEX(装备库!$A$2:$Y$1047,MATCH(ROW()-1,装备库!$AO$2:$AO$1046,0),COLUMN()),"")</f>
        <v/>
      </c>
      <c r="N796" t="str">
        <f>IFERROR(INDEX(装备库!$A$2:$Y$1047,MATCH(ROW()-1,装备库!$AO$2:$AO$1046,0),COLUMN()),"")</f>
        <v/>
      </c>
      <c r="O796" t="str">
        <f>IFERROR(INDEX(装备库!$A$2:$Y$1047,MATCH(ROW()-1,装备库!$AO$2:$AO$1046,0),COLUMN()),"")</f>
        <v/>
      </c>
      <c r="P796" t="str">
        <f>IFERROR(INDEX(装备库!$A$2:$Y$1047,MATCH(ROW()-1,装备库!$AO$2:$AO$1046,0),COLUMN()),"")</f>
        <v/>
      </c>
      <c r="Q796" t="str">
        <f>IFERROR(INDEX(装备库!$A$2:$Y$1047,MATCH(ROW()-1,装备库!$AO$2:$AO$1046,0),COLUMN()),"")</f>
        <v/>
      </c>
      <c r="R796" t="str">
        <f>IFERROR(INDEX(装备库!$A$2:$Y$1047,MATCH(ROW()-1,装备库!$AO$2:$AO$1046,0),COLUMN()),"")</f>
        <v/>
      </c>
      <c r="S796" t="str">
        <f>IFERROR(INDEX(装备库!$A$2:$Y$1047,MATCH(ROW()-1,装备库!$AO$2:$AO$1046,0),COLUMN()),"")</f>
        <v/>
      </c>
      <c r="T796" t="str">
        <f>IFERROR(INDEX(装备库!$A$2:$Y$1047,MATCH(ROW()-1,装备库!$AO$2:$AO$1046,0),COLUMN()),"")</f>
        <v/>
      </c>
      <c r="U796" t="str">
        <f>IFERROR(INDEX(装备库!$A$2:$Y$1047,MATCH(ROW()-1,装备库!$AO$2:$AO$1046,0),COLUMN()),"")</f>
        <v/>
      </c>
      <c r="V796" t="str">
        <f>IFERROR(INDEX(装备库!$A$2:$Y$1047,MATCH(ROW()-1,装备库!$AO$2:$AO$1046,0),COLUMN()),"")</f>
        <v/>
      </c>
      <c r="W796" t="str">
        <f>IFERROR(INDEX(装备库!$A$2:$Y$1047,MATCH(ROW()-1,装备库!$AO$2:$AO$1046,0),COLUMN()),"")</f>
        <v/>
      </c>
      <c r="X796" t="str">
        <f>IFERROR(INDEX(装备库!$A$2:$Y$1047,MATCH(ROW()-1,装备库!$AO$2:$AO$1046,0),COLUMN()),"")</f>
        <v/>
      </c>
      <c r="Y796" t="str">
        <f>IFERROR(INDEX(装备库!$A$2:$Y$1047,MATCH(ROW()-1,装备库!$AO$2:$AO$1046,0),COLUMN()),"")</f>
        <v/>
      </c>
    </row>
    <row r="797" spans="1:25" x14ac:dyDescent="0.35">
      <c r="A797" t="str">
        <f>IFERROR(INDEX(装备库!$A$2:$Y$1047,MATCH(ROW()-1,装备库!$AO$2:$AO$1046,0),COLUMN()),"")</f>
        <v/>
      </c>
      <c r="B797" t="str">
        <f>IFERROR(INDEX(装备库!$A$2:$Y$1047,MATCH(ROW()-1,装备库!$AO$2:$AO$1046,0),COLUMN()),"")</f>
        <v/>
      </c>
      <c r="C797" t="str">
        <f>IFERROR(INDEX(装备库!$A$2:$Y$1047,MATCH(ROW()-1,装备库!$AO$2:$AO$1046,0),COLUMN()),"")</f>
        <v/>
      </c>
      <c r="D797" t="str">
        <f>IFERROR(INDEX(装备库!$A$2:$Y$1047,MATCH(ROW()-1,装备库!$AO$2:$AO$1046,0),COLUMN()),"")</f>
        <v/>
      </c>
      <c r="E797" t="str">
        <f>IFERROR(INDEX(装备库!$A$2:$Y$1047,MATCH(ROW()-1,装备库!$AO$2:$AO$1046,0),COLUMN()),"")</f>
        <v/>
      </c>
      <c r="F797" t="str">
        <f>IFERROR(INDEX(装备库!$A$2:$Y$1047,MATCH(ROW()-1,装备库!$AO$2:$AO$1046,0),COLUMN()),"")</f>
        <v/>
      </c>
      <c r="G797" t="str">
        <f>IFERROR(INDEX(装备库!$A$2:$Y$1047,MATCH(ROW()-1,装备库!$AO$2:$AO$1046,0),COLUMN()),"")</f>
        <v/>
      </c>
      <c r="H797" t="str">
        <f>IFERROR(INDEX(装备库!$A$2:$Y$1047,MATCH(ROW()-1,装备库!$AO$2:$AO$1046,0),COLUMN()),"")</f>
        <v/>
      </c>
      <c r="I797" t="str">
        <f>IFERROR(INDEX(装备库!$A$2:$Y$1047,MATCH(ROW()-1,装备库!$AO$2:$AO$1046,0),COLUMN()),"")</f>
        <v/>
      </c>
      <c r="J797" t="str">
        <f>IFERROR(INDEX(装备库!$A$2:$Y$1047,MATCH(ROW()-1,装备库!$AO$2:$AO$1046,0),COLUMN()),"")</f>
        <v/>
      </c>
      <c r="K797" t="str">
        <f>IFERROR(INDEX(装备库!$A$2:$Y$1047,MATCH(ROW()-1,装备库!$AO$2:$AO$1046,0),COLUMN()),"")</f>
        <v/>
      </c>
      <c r="L797" t="str">
        <f>IFERROR(INDEX(装备库!$A$2:$Y$1047,MATCH(ROW()-1,装备库!$AO$2:$AO$1046,0),COLUMN()),"")</f>
        <v/>
      </c>
      <c r="M797" t="str">
        <f>IFERROR(INDEX(装备库!$A$2:$Y$1047,MATCH(ROW()-1,装备库!$AO$2:$AO$1046,0),COLUMN()),"")</f>
        <v/>
      </c>
      <c r="N797" t="str">
        <f>IFERROR(INDEX(装备库!$A$2:$Y$1047,MATCH(ROW()-1,装备库!$AO$2:$AO$1046,0),COLUMN()),"")</f>
        <v/>
      </c>
      <c r="O797" t="str">
        <f>IFERROR(INDEX(装备库!$A$2:$Y$1047,MATCH(ROW()-1,装备库!$AO$2:$AO$1046,0),COLUMN()),"")</f>
        <v/>
      </c>
      <c r="P797" t="str">
        <f>IFERROR(INDEX(装备库!$A$2:$Y$1047,MATCH(ROW()-1,装备库!$AO$2:$AO$1046,0),COLUMN()),"")</f>
        <v/>
      </c>
      <c r="Q797" t="str">
        <f>IFERROR(INDEX(装备库!$A$2:$Y$1047,MATCH(ROW()-1,装备库!$AO$2:$AO$1046,0),COLUMN()),"")</f>
        <v/>
      </c>
      <c r="R797" t="str">
        <f>IFERROR(INDEX(装备库!$A$2:$Y$1047,MATCH(ROW()-1,装备库!$AO$2:$AO$1046,0),COLUMN()),"")</f>
        <v/>
      </c>
      <c r="S797" t="str">
        <f>IFERROR(INDEX(装备库!$A$2:$Y$1047,MATCH(ROW()-1,装备库!$AO$2:$AO$1046,0),COLUMN()),"")</f>
        <v/>
      </c>
      <c r="T797" t="str">
        <f>IFERROR(INDEX(装备库!$A$2:$Y$1047,MATCH(ROW()-1,装备库!$AO$2:$AO$1046,0),COLUMN()),"")</f>
        <v/>
      </c>
      <c r="U797" t="str">
        <f>IFERROR(INDEX(装备库!$A$2:$Y$1047,MATCH(ROW()-1,装备库!$AO$2:$AO$1046,0),COLUMN()),"")</f>
        <v/>
      </c>
      <c r="V797" t="str">
        <f>IFERROR(INDEX(装备库!$A$2:$Y$1047,MATCH(ROW()-1,装备库!$AO$2:$AO$1046,0),COLUMN()),"")</f>
        <v/>
      </c>
      <c r="W797" t="str">
        <f>IFERROR(INDEX(装备库!$A$2:$Y$1047,MATCH(ROW()-1,装备库!$AO$2:$AO$1046,0),COLUMN()),"")</f>
        <v/>
      </c>
      <c r="X797" t="str">
        <f>IFERROR(INDEX(装备库!$A$2:$Y$1047,MATCH(ROW()-1,装备库!$AO$2:$AO$1046,0),COLUMN()),"")</f>
        <v/>
      </c>
      <c r="Y797" t="str">
        <f>IFERROR(INDEX(装备库!$A$2:$Y$1047,MATCH(ROW()-1,装备库!$AO$2:$AO$1046,0),COLUMN()),"")</f>
        <v/>
      </c>
    </row>
    <row r="798" spans="1:25" x14ac:dyDescent="0.35">
      <c r="A798" t="str">
        <f>IFERROR(INDEX(装备库!$A$2:$Y$1047,MATCH(ROW()-1,装备库!$AO$2:$AO$1046,0),COLUMN()),"")</f>
        <v/>
      </c>
      <c r="B798" t="str">
        <f>IFERROR(INDEX(装备库!$A$2:$Y$1047,MATCH(ROW()-1,装备库!$AO$2:$AO$1046,0),COLUMN()),"")</f>
        <v/>
      </c>
      <c r="C798" t="str">
        <f>IFERROR(INDEX(装备库!$A$2:$Y$1047,MATCH(ROW()-1,装备库!$AO$2:$AO$1046,0),COLUMN()),"")</f>
        <v/>
      </c>
      <c r="D798" t="str">
        <f>IFERROR(INDEX(装备库!$A$2:$Y$1047,MATCH(ROW()-1,装备库!$AO$2:$AO$1046,0),COLUMN()),"")</f>
        <v/>
      </c>
      <c r="E798" t="str">
        <f>IFERROR(INDEX(装备库!$A$2:$Y$1047,MATCH(ROW()-1,装备库!$AO$2:$AO$1046,0),COLUMN()),"")</f>
        <v/>
      </c>
      <c r="F798" t="str">
        <f>IFERROR(INDEX(装备库!$A$2:$Y$1047,MATCH(ROW()-1,装备库!$AO$2:$AO$1046,0),COLUMN()),"")</f>
        <v/>
      </c>
      <c r="G798" t="str">
        <f>IFERROR(INDEX(装备库!$A$2:$Y$1047,MATCH(ROW()-1,装备库!$AO$2:$AO$1046,0),COLUMN()),"")</f>
        <v/>
      </c>
      <c r="H798" t="str">
        <f>IFERROR(INDEX(装备库!$A$2:$Y$1047,MATCH(ROW()-1,装备库!$AO$2:$AO$1046,0),COLUMN()),"")</f>
        <v/>
      </c>
      <c r="I798" t="str">
        <f>IFERROR(INDEX(装备库!$A$2:$Y$1047,MATCH(ROW()-1,装备库!$AO$2:$AO$1046,0),COLUMN()),"")</f>
        <v/>
      </c>
      <c r="J798" t="str">
        <f>IFERROR(INDEX(装备库!$A$2:$Y$1047,MATCH(ROW()-1,装备库!$AO$2:$AO$1046,0),COLUMN()),"")</f>
        <v/>
      </c>
      <c r="K798" t="str">
        <f>IFERROR(INDEX(装备库!$A$2:$Y$1047,MATCH(ROW()-1,装备库!$AO$2:$AO$1046,0),COLUMN()),"")</f>
        <v/>
      </c>
      <c r="L798" t="str">
        <f>IFERROR(INDEX(装备库!$A$2:$Y$1047,MATCH(ROW()-1,装备库!$AO$2:$AO$1046,0),COLUMN()),"")</f>
        <v/>
      </c>
      <c r="M798" t="str">
        <f>IFERROR(INDEX(装备库!$A$2:$Y$1047,MATCH(ROW()-1,装备库!$AO$2:$AO$1046,0),COLUMN()),"")</f>
        <v/>
      </c>
      <c r="N798" t="str">
        <f>IFERROR(INDEX(装备库!$A$2:$Y$1047,MATCH(ROW()-1,装备库!$AO$2:$AO$1046,0),COLUMN()),"")</f>
        <v/>
      </c>
      <c r="O798" t="str">
        <f>IFERROR(INDEX(装备库!$A$2:$Y$1047,MATCH(ROW()-1,装备库!$AO$2:$AO$1046,0),COLUMN()),"")</f>
        <v/>
      </c>
      <c r="P798" t="str">
        <f>IFERROR(INDEX(装备库!$A$2:$Y$1047,MATCH(ROW()-1,装备库!$AO$2:$AO$1046,0),COLUMN()),"")</f>
        <v/>
      </c>
      <c r="Q798" t="str">
        <f>IFERROR(INDEX(装备库!$A$2:$Y$1047,MATCH(ROW()-1,装备库!$AO$2:$AO$1046,0),COLUMN()),"")</f>
        <v/>
      </c>
      <c r="R798" t="str">
        <f>IFERROR(INDEX(装备库!$A$2:$Y$1047,MATCH(ROW()-1,装备库!$AO$2:$AO$1046,0),COLUMN()),"")</f>
        <v/>
      </c>
      <c r="S798" t="str">
        <f>IFERROR(INDEX(装备库!$A$2:$Y$1047,MATCH(ROW()-1,装备库!$AO$2:$AO$1046,0),COLUMN()),"")</f>
        <v/>
      </c>
      <c r="T798" t="str">
        <f>IFERROR(INDEX(装备库!$A$2:$Y$1047,MATCH(ROW()-1,装备库!$AO$2:$AO$1046,0),COLUMN()),"")</f>
        <v/>
      </c>
      <c r="U798" t="str">
        <f>IFERROR(INDEX(装备库!$A$2:$Y$1047,MATCH(ROW()-1,装备库!$AO$2:$AO$1046,0),COLUMN()),"")</f>
        <v/>
      </c>
      <c r="V798" t="str">
        <f>IFERROR(INDEX(装备库!$A$2:$Y$1047,MATCH(ROW()-1,装备库!$AO$2:$AO$1046,0),COLUMN()),"")</f>
        <v/>
      </c>
      <c r="W798" t="str">
        <f>IFERROR(INDEX(装备库!$A$2:$Y$1047,MATCH(ROW()-1,装备库!$AO$2:$AO$1046,0),COLUMN()),"")</f>
        <v/>
      </c>
      <c r="X798" t="str">
        <f>IFERROR(INDEX(装备库!$A$2:$Y$1047,MATCH(ROW()-1,装备库!$AO$2:$AO$1046,0),COLUMN()),"")</f>
        <v/>
      </c>
      <c r="Y798" t="str">
        <f>IFERROR(INDEX(装备库!$A$2:$Y$1047,MATCH(ROW()-1,装备库!$AO$2:$AO$1046,0),COLUMN()),"")</f>
        <v/>
      </c>
    </row>
    <row r="799" spans="1:25" x14ac:dyDescent="0.35">
      <c r="A799" t="str">
        <f>IFERROR(INDEX(装备库!$A$2:$Y$1047,MATCH(ROW()-1,装备库!$AO$2:$AO$1046,0),COLUMN()),"")</f>
        <v/>
      </c>
      <c r="B799" t="str">
        <f>IFERROR(INDEX(装备库!$A$2:$Y$1047,MATCH(ROW()-1,装备库!$AO$2:$AO$1046,0),COLUMN()),"")</f>
        <v/>
      </c>
      <c r="C799" t="str">
        <f>IFERROR(INDEX(装备库!$A$2:$Y$1047,MATCH(ROW()-1,装备库!$AO$2:$AO$1046,0),COLUMN()),"")</f>
        <v/>
      </c>
      <c r="D799" t="str">
        <f>IFERROR(INDEX(装备库!$A$2:$Y$1047,MATCH(ROW()-1,装备库!$AO$2:$AO$1046,0),COLUMN()),"")</f>
        <v/>
      </c>
      <c r="E799" t="str">
        <f>IFERROR(INDEX(装备库!$A$2:$Y$1047,MATCH(ROW()-1,装备库!$AO$2:$AO$1046,0),COLUMN()),"")</f>
        <v/>
      </c>
      <c r="F799" t="str">
        <f>IFERROR(INDEX(装备库!$A$2:$Y$1047,MATCH(ROW()-1,装备库!$AO$2:$AO$1046,0),COLUMN()),"")</f>
        <v/>
      </c>
      <c r="G799" t="str">
        <f>IFERROR(INDEX(装备库!$A$2:$Y$1047,MATCH(ROW()-1,装备库!$AO$2:$AO$1046,0),COLUMN()),"")</f>
        <v/>
      </c>
      <c r="H799" t="str">
        <f>IFERROR(INDEX(装备库!$A$2:$Y$1047,MATCH(ROW()-1,装备库!$AO$2:$AO$1046,0),COLUMN()),"")</f>
        <v/>
      </c>
      <c r="I799" t="str">
        <f>IFERROR(INDEX(装备库!$A$2:$Y$1047,MATCH(ROW()-1,装备库!$AO$2:$AO$1046,0),COLUMN()),"")</f>
        <v/>
      </c>
      <c r="J799" t="str">
        <f>IFERROR(INDEX(装备库!$A$2:$Y$1047,MATCH(ROW()-1,装备库!$AO$2:$AO$1046,0),COLUMN()),"")</f>
        <v/>
      </c>
      <c r="K799" t="str">
        <f>IFERROR(INDEX(装备库!$A$2:$Y$1047,MATCH(ROW()-1,装备库!$AO$2:$AO$1046,0),COLUMN()),"")</f>
        <v/>
      </c>
      <c r="L799" t="str">
        <f>IFERROR(INDEX(装备库!$A$2:$Y$1047,MATCH(ROW()-1,装备库!$AO$2:$AO$1046,0),COLUMN()),"")</f>
        <v/>
      </c>
      <c r="M799" t="str">
        <f>IFERROR(INDEX(装备库!$A$2:$Y$1047,MATCH(ROW()-1,装备库!$AO$2:$AO$1046,0),COLUMN()),"")</f>
        <v/>
      </c>
      <c r="N799" t="str">
        <f>IFERROR(INDEX(装备库!$A$2:$Y$1047,MATCH(ROW()-1,装备库!$AO$2:$AO$1046,0),COLUMN()),"")</f>
        <v/>
      </c>
      <c r="O799" t="str">
        <f>IFERROR(INDEX(装备库!$A$2:$Y$1047,MATCH(ROW()-1,装备库!$AO$2:$AO$1046,0),COLUMN()),"")</f>
        <v/>
      </c>
      <c r="P799" t="str">
        <f>IFERROR(INDEX(装备库!$A$2:$Y$1047,MATCH(ROW()-1,装备库!$AO$2:$AO$1046,0),COLUMN()),"")</f>
        <v/>
      </c>
      <c r="Q799" t="str">
        <f>IFERROR(INDEX(装备库!$A$2:$Y$1047,MATCH(ROW()-1,装备库!$AO$2:$AO$1046,0),COLUMN()),"")</f>
        <v/>
      </c>
      <c r="R799" t="str">
        <f>IFERROR(INDEX(装备库!$A$2:$Y$1047,MATCH(ROW()-1,装备库!$AO$2:$AO$1046,0),COLUMN()),"")</f>
        <v/>
      </c>
      <c r="S799" t="str">
        <f>IFERROR(INDEX(装备库!$A$2:$Y$1047,MATCH(ROW()-1,装备库!$AO$2:$AO$1046,0),COLUMN()),"")</f>
        <v/>
      </c>
      <c r="T799" t="str">
        <f>IFERROR(INDEX(装备库!$A$2:$Y$1047,MATCH(ROW()-1,装备库!$AO$2:$AO$1046,0),COLUMN()),"")</f>
        <v/>
      </c>
      <c r="U799" t="str">
        <f>IFERROR(INDEX(装备库!$A$2:$Y$1047,MATCH(ROW()-1,装备库!$AO$2:$AO$1046,0),COLUMN()),"")</f>
        <v/>
      </c>
      <c r="V799" t="str">
        <f>IFERROR(INDEX(装备库!$A$2:$Y$1047,MATCH(ROW()-1,装备库!$AO$2:$AO$1046,0),COLUMN()),"")</f>
        <v/>
      </c>
      <c r="W799" t="str">
        <f>IFERROR(INDEX(装备库!$A$2:$Y$1047,MATCH(ROW()-1,装备库!$AO$2:$AO$1046,0),COLUMN()),"")</f>
        <v/>
      </c>
      <c r="X799" t="str">
        <f>IFERROR(INDEX(装备库!$A$2:$Y$1047,MATCH(ROW()-1,装备库!$AO$2:$AO$1046,0),COLUMN()),"")</f>
        <v/>
      </c>
      <c r="Y799" t="str">
        <f>IFERROR(INDEX(装备库!$A$2:$Y$1047,MATCH(ROW()-1,装备库!$AO$2:$AO$1046,0),COLUMN()),"")</f>
        <v/>
      </c>
    </row>
    <row r="800" spans="1:25" x14ac:dyDescent="0.35">
      <c r="A800" t="str">
        <f>IFERROR(INDEX(装备库!$A$2:$Y$1047,MATCH(ROW()-1,装备库!$AO$2:$AO$1046,0),COLUMN()),"")</f>
        <v/>
      </c>
      <c r="B800" t="str">
        <f>IFERROR(INDEX(装备库!$A$2:$Y$1047,MATCH(ROW()-1,装备库!$AO$2:$AO$1046,0),COLUMN()),"")</f>
        <v/>
      </c>
      <c r="C800" t="str">
        <f>IFERROR(INDEX(装备库!$A$2:$Y$1047,MATCH(ROW()-1,装备库!$AO$2:$AO$1046,0),COLUMN()),"")</f>
        <v/>
      </c>
      <c r="D800" t="str">
        <f>IFERROR(INDEX(装备库!$A$2:$Y$1047,MATCH(ROW()-1,装备库!$AO$2:$AO$1046,0),COLUMN()),"")</f>
        <v/>
      </c>
      <c r="E800" t="str">
        <f>IFERROR(INDEX(装备库!$A$2:$Y$1047,MATCH(ROW()-1,装备库!$AO$2:$AO$1046,0),COLUMN()),"")</f>
        <v/>
      </c>
      <c r="F800" t="str">
        <f>IFERROR(INDEX(装备库!$A$2:$Y$1047,MATCH(ROW()-1,装备库!$AO$2:$AO$1046,0),COLUMN()),"")</f>
        <v/>
      </c>
      <c r="G800" t="str">
        <f>IFERROR(INDEX(装备库!$A$2:$Y$1047,MATCH(ROW()-1,装备库!$AO$2:$AO$1046,0),COLUMN()),"")</f>
        <v/>
      </c>
      <c r="H800" t="str">
        <f>IFERROR(INDEX(装备库!$A$2:$Y$1047,MATCH(ROW()-1,装备库!$AO$2:$AO$1046,0),COLUMN()),"")</f>
        <v/>
      </c>
      <c r="I800" t="str">
        <f>IFERROR(INDEX(装备库!$A$2:$Y$1047,MATCH(ROW()-1,装备库!$AO$2:$AO$1046,0),COLUMN()),"")</f>
        <v/>
      </c>
      <c r="J800" t="str">
        <f>IFERROR(INDEX(装备库!$A$2:$Y$1047,MATCH(ROW()-1,装备库!$AO$2:$AO$1046,0),COLUMN()),"")</f>
        <v/>
      </c>
      <c r="K800" t="str">
        <f>IFERROR(INDEX(装备库!$A$2:$Y$1047,MATCH(ROW()-1,装备库!$AO$2:$AO$1046,0),COLUMN()),"")</f>
        <v/>
      </c>
      <c r="L800" t="str">
        <f>IFERROR(INDEX(装备库!$A$2:$Y$1047,MATCH(ROW()-1,装备库!$AO$2:$AO$1046,0),COLUMN()),"")</f>
        <v/>
      </c>
      <c r="M800" t="str">
        <f>IFERROR(INDEX(装备库!$A$2:$Y$1047,MATCH(ROW()-1,装备库!$AO$2:$AO$1046,0),COLUMN()),"")</f>
        <v/>
      </c>
      <c r="N800" t="str">
        <f>IFERROR(INDEX(装备库!$A$2:$Y$1047,MATCH(ROW()-1,装备库!$AO$2:$AO$1046,0),COLUMN()),"")</f>
        <v/>
      </c>
      <c r="O800" t="str">
        <f>IFERROR(INDEX(装备库!$A$2:$Y$1047,MATCH(ROW()-1,装备库!$AO$2:$AO$1046,0),COLUMN()),"")</f>
        <v/>
      </c>
      <c r="P800" t="str">
        <f>IFERROR(INDEX(装备库!$A$2:$Y$1047,MATCH(ROW()-1,装备库!$AO$2:$AO$1046,0),COLUMN()),"")</f>
        <v/>
      </c>
      <c r="Q800" t="str">
        <f>IFERROR(INDEX(装备库!$A$2:$Y$1047,MATCH(ROW()-1,装备库!$AO$2:$AO$1046,0),COLUMN()),"")</f>
        <v/>
      </c>
      <c r="R800" t="str">
        <f>IFERROR(INDEX(装备库!$A$2:$Y$1047,MATCH(ROW()-1,装备库!$AO$2:$AO$1046,0),COLUMN()),"")</f>
        <v/>
      </c>
      <c r="S800" t="str">
        <f>IFERROR(INDEX(装备库!$A$2:$Y$1047,MATCH(ROW()-1,装备库!$AO$2:$AO$1046,0),COLUMN()),"")</f>
        <v/>
      </c>
      <c r="T800" t="str">
        <f>IFERROR(INDEX(装备库!$A$2:$Y$1047,MATCH(ROW()-1,装备库!$AO$2:$AO$1046,0),COLUMN()),"")</f>
        <v/>
      </c>
      <c r="U800" t="str">
        <f>IFERROR(INDEX(装备库!$A$2:$Y$1047,MATCH(ROW()-1,装备库!$AO$2:$AO$1046,0),COLUMN()),"")</f>
        <v/>
      </c>
      <c r="V800" t="str">
        <f>IFERROR(INDEX(装备库!$A$2:$Y$1047,MATCH(ROW()-1,装备库!$AO$2:$AO$1046,0),COLUMN()),"")</f>
        <v/>
      </c>
      <c r="W800" t="str">
        <f>IFERROR(INDEX(装备库!$A$2:$Y$1047,MATCH(ROW()-1,装备库!$AO$2:$AO$1046,0),COLUMN()),"")</f>
        <v/>
      </c>
      <c r="X800" t="str">
        <f>IFERROR(INDEX(装备库!$A$2:$Y$1047,MATCH(ROW()-1,装备库!$AO$2:$AO$1046,0),COLUMN()),"")</f>
        <v/>
      </c>
      <c r="Y800" t="str">
        <f>IFERROR(INDEX(装备库!$A$2:$Y$1047,MATCH(ROW()-1,装备库!$AO$2:$AO$1046,0),COLUMN()),"")</f>
        <v/>
      </c>
    </row>
    <row r="801" spans="1:25" x14ac:dyDescent="0.35">
      <c r="A801" t="str">
        <f>IFERROR(INDEX(装备库!$A$2:$Y$1047,MATCH(ROW()-1,装备库!$AO$2:$AO$1046,0),COLUMN()),"")</f>
        <v/>
      </c>
      <c r="B801" t="str">
        <f>IFERROR(INDEX(装备库!$A$2:$Y$1047,MATCH(ROW()-1,装备库!$AO$2:$AO$1046,0),COLUMN()),"")</f>
        <v/>
      </c>
      <c r="C801" t="str">
        <f>IFERROR(INDEX(装备库!$A$2:$Y$1047,MATCH(ROW()-1,装备库!$AO$2:$AO$1046,0),COLUMN()),"")</f>
        <v/>
      </c>
      <c r="D801" t="str">
        <f>IFERROR(INDEX(装备库!$A$2:$Y$1047,MATCH(ROW()-1,装备库!$AO$2:$AO$1046,0),COLUMN()),"")</f>
        <v/>
      </c>
      <c r="E801" t="str">
        <f>IFERROR(INDEX(装备库!$A$2:$Y$1047,MATCH(ROW()-1,装备库!$AO$2:$AO$1046,0),COLUMN()),"")</f>
        <v/>
      </c>
      <c r="F801" t="str">
        <f>IFERROR(INDEX(装备库!$A$2:$Y$1047,MATCH(ROW()-1,装备库!$AO$2:$AO$1046,0),COLUMN()),"")</f>
        <v/>
      </c>
      <c r="G801" t="str">
        <f>IFERROR(INDEX(装备库!$A$2:$Y$1047,MATCH(ROW()-1,装备库!$AO$2:$AO$1046,0),COLUMN()),"")</f>
        <v/>
      </c>
      <c r="H801" t="str">
        <f>IFERROR(INDEX(装备库!$A$2:$Y$1047,MATCH(ROW()-1,装备库!$AO$2:$AO$1046,0),COLUMN()),"")</f>
        <v/>
      </c>
      <c r="I801" t="str">
        <f>IFERROR(INDEX(装备库!$A$2:$Y$1047,MATCH(ROW()-1,装备库!$AO$2:$AO$1046,0),COLUMN()),"")</f>
        <v/>
      </c>
      <c r="J801" t="str">
        <f>IFERROR(INDEX(装备库!$A$2:$Y$1047,MATCH(ROW()-1,装备库!$AO$2:$AO$1046,0),COLUMN()),"")</f>
        <v/>
      </c>
      <c r="K801" t="str">
        <f>IFERROR(INDEX(装备库!$A$2:$Y$1047,MATCH(ROW()-1,装备库!$AO$2:$AO$1046,0),COLUMN()),"")</f>
        <v/>
      </c>
      <c r="L801" t="str">
        <f>IFERROR(INDEX(装备库!$A$2:$Y$1047,MATCH(ROW()-1,装备库!$AO$2:$AO$1046,0),COLUMN()),"")</f>
        <v/>
      </c>
      <c r="M801" t="str">
        <f>IFERROR(INDEX(装备库!$A$2:$Y$1047,MATCH(ROW()-1,装备库!$AO$2:$AO$1046,0),COLUMN()),"")</f>
        <v/>
      </c>
      <c r="N801" t="str">
        <f>IFERROR(INDEX(装备库!$A$2:$Y$1047,MATCH(ROW()-1,装备库!$AO$2:$AO$1046,0),COLUMN()),"")</f>
        <v/>
      </c>
      <c r="O801" t="str">
        <f>IFERROR(INDEX(装备库!$A$2:$Y$1047,MATCH(ROW()-1,装备库!$AO$2:$AO$1046,0),COLUMN()),"")</f>
        <v/>
      </c>
      <c r="P801" t="str">
        <f>IFERROR(INDEX(装备库!$A$2:$Y$1047,MATCH(ROW()-1,装备库!$AO$2:$AO$1046,0),COLUMN()),"")</f>
        <v/>
      </c>
      <c r="Q801" t="str">
        <f>IFERROR(INDEX(装备库!$A$2:$Y$1047,MATCH(ROW()-1,装备库!$AO$2:$AO$1046,0),COLUMN()),"")</f>
        <v/>
      </c>
      <c r="R801" t="str">
        <f>IFERROR(INDEX(装备库!$A$2:$Y$1047,MATCH(ROW()-1,装备库!$AO$2:$AO$1046,0),COLUMN()),"")</f>
        <v/>
      </c>
      <c r="S801" t="str">
        <f>IFERROR(INDEX(装备库!$A$2:$Y$1047,MATCH(ROW()-1,装备库!$AO$2:$AO$1046,0),COLUMN()),"")</f>
        <v/>
      </c>
      <c r="T801" t="str">
        <f>IFERROR(INDEX(装备库!$A$2:$Y$1047,MATCH(ROW()-1,装备库!$AO$2:$AO$1046,0),COLUMN()),"")</f>
        <v/>
      </c>
      <c r="U801" t="str">
        <f>IFERROR(INDEX(装备库!$A$2:$Y$1047,MATCH(ROW()-1,装备库!$AO$2:$AO$1046,0),COLUMN()),"")</f>
        <v/>
      </c>
      <c r="V801" t="str">
        <f>IFERROR(INDEX(装备库!$A$2:$Y$1047,MATCH(ROW()-1,装备库!$AO$2:$AO$1046,0),COLUMN()),"")</f>
        <v/>
      </c>
      <c r="W801" t="str">
        <f>IFERROR(INDEX(装备库!$A$2:$Y$1047,MATCH(ROW()-1,装备库!$AO$2:$AO$1046,0),COLUMN()),"")</f>
        <v/>
      </c>
      <c r="X801" t="str">
        <f>IFERROR(INDEX(装备库!$A$2:$Y$1047,MATCH(ROW()-1,装备库!$AO$2:$AO$1046,0),COLUMN()),"")</f>
        <v/>
      </c>
      <c r="Y801" t="str">
        <f>IFERROR(INDEX(装备库!$A$2:$Y$1047,MATCH(ROW()-1,装备库!$AO$2:$AO$1046,0),COLUMN()),"")</f>
        <v/>
      </c>
    </row>
    <row r="802" spans="1:25" x14ac:dyDescent="0.35">
      <c r="A802" t="str">
        <f>IFERROR(INDEX(装备库!$A$2:$Y$1047,MATCH(ROW()-1,装备库!$AO$2:$AO$1046,0),COLUMN()),"")</f>
        <v/>
      </c>
      <c r="B802" t="str">
        <f>IFERROR(INDEX(装备库!$A$2:$Y$1047,MATCH(ROW()-1,装备库!$AO$2:$AO$1046,0),COLUMN()),"")</f>
        <v/>
      </c>
      <c r="C802" t="str">
        <f>IFERROR(INDEX(装备库!$A$2:$Y$1047,MATCH(ROW()-1,装备库!$AO$2:$AO$1046,0),COLUMN()),"")</f>
        <v/>
      </c>
      <c r="D802" t="str">
        <f>IFERROR(INDEX(装备库!$A$2:$Y$1047,MATCH(ROW()-1,装备库!$AO$2:$AO$1046,0),COLUMN()),"")</f>
        <v/>
      </c>
      <c r="E802" t="str">
        <f>IFERROR(INDEX(装备库!$A$2:$Y$1047,MATCH(ROW()-1,装备库!$AO$2:$AO$1046,0),COLUMN()),"")</f>
        <v/>
      </c>
      <c r="F802" t="str">
        <f>IFERROR(INDEX(装备库!$A$2:$Y$1047,MATCH(ROW()-1,装备库!$AO$2:$AO$1046,0),COLUMN()),"")</f>
        <v/>
      </c>
      <c r="G802" t="str">
        <f>IFERROR(INDEX(装备库!$A$2:$Y$1047,MATCH(ROW()-1,装备库!$AO$2:$AO$1046,0),COLUMN()),"")</f>
        <v/>
      </c>
      <c r="H802" t="str">
        <f>IFERROR(INDEX(装备库!$A$2:$Y$1047,MATCH(ROW()-1,装备库!$AO$2:$AO$1046,0),COLUMN()),"")</f>
        <v/>
      </c>
      <c r="I802" t="str">
        <f>IFERROR(INDEX(装备库!$A$2:$Y$1047,MATCH(ROW()-1,装备库!$AO$2:$AO$1046,0),COLUMN()),"")</f>
        <v/>
      </c>
      <c r="J802" t="str">
        <f>IFERROR(INDEX(装备库!$A$2:$Y$1047,MATCH(ROW()-1,装备库!$AO$2:$AO$1046,0),COLUMN()),"")</f>
        <v/>
      </c>
      <c r="K802" t="str">
        <f>IFERROR(INDEX(装备库!$A$2:$Y$1047,MATCH(ROW()-1,装备库!$AO$2:$AO$1046,0),COLUMN()),"")</f>
        <v/>
      </c>
      <c r="L802" t="str">
        <f>IFERROR(INDEX(装备库!$A$2:$Y$1047,MATCH(ROW()-1,装备库!$AO$2:$AO$1046,0),COLUMN()),"")</f>
        <v/>
      </c>
      <c r="M802" t="str">
        <f>IFERROR(INDEX(装备库!$A$2:$Y$1047,MATCH(ROW()-1,装备库!$AO$2:$AO$1046,0),COLUMN()),"")</f>
        <v/>
      </c>
      <c r="N802" t="str">
        <f>IFERROR(INDEX(装备库!$A$2:$Y$1047,MATCH(ROW()-1,装备库!$AO$2:$AO$1046,0),COLUMN()),"")</f>
        <v/>
      </c>
      <c r="O802" t="str">
        <f>IFERROR(INDEX(装备库!$A$2:$Y$1047,MATCH(ROW()-1,装备库!$AO$2:$AO$1046,0),COLUMN()),"")</f>
        <v/>
      </c>
      <c r="P802" t="str">
        <f>IFERROR(INDEX(装备库!$A$2:$Y$1047,MATCH(ROW()-1,装备库!$AO$2:$AO$1046,0),COLUMN()),"")</f>
        <v/>
      </c>
      <c r="Q802" t="str">
        <f>IFERROR(INDEX(装备库!$A$2:$Y$1047,MATCH(ROW()-1,装备库!$AO$2:$AO$1046,0),COLUMN()),"")</f>
        <v/>
      </c>
      <c r="R802" t="str">
        <f>IFERROR(INDEX(装备库!$A$2:$Y$1047,MATCH(ROW()-1,装备库!$AO$2:$AO$1046,0),COLUMN()),"")</f>
        <v/>
      </c>
      <c r="S802" t="str">
        <f>IFERROR(INDEX(装备库!$A$2:$Y$1047,MATCH(ROW()-1,装备库!$AO$2:$AO$1046,0),COLUMN()),"")</f>
        <v/>
      </c>
      <c r="T802" t="str">
        <f>IFERROR(INDEX(装备库!$A$2:$Y$1047,MATCH(ROW()-1,装备库!$AO$2:$AO$1046,0),COLUMN()),"")</f>
        <v/>
      </c>
      <c r="U802" t="str">
        <f>IFERROR(INDEX(装备库!$A$2:$Y$1047,MATCH(ROW()-1,装备库!$AO$2:$AO$1046,0),COLUMN()),"")</f>
        <v/>
      </c>
      <c r="V802" t="str">
        <f>IFERROR(INDEX(装备库!$A$2:$Y$1047,MATCH(ROW()-1,装备库!$AO$2:$AO$1046,0),COLUMN()),"")</f>
        <v/>
      </c>
      <c r="W802" t="str">
        <f>IFERROR(INDEX(装备库!$A$2:$Y$1047,MATCH(ROW()-1,装备库!$AO$2:$AO$1046,0),COLUMN()),"")</f>
        <v/>
      </c>
      <c r="X802" t="str">
        <f>IFERROR(INDEX(装备库!$A$2:$Y$1047,MATCH(ROW()-1,装备库!$AO$2:$AO$1046,0),COLUMN()),"")</f>
        <v/>
      </c>
      <c r="Y802" t="str">
        <f>IFERROR(INDEX(装备库!$A$2:$Y$1047,MATCH(ROW()-1,装备库!$AO$2:$AO$1046,0),COLUMN()),"")</f>
        <v/>
      </c>
    </row>
    <row r="803" spans="1:25" x14ac:dyDescent="0.35">
      <c r="A803" t="str">
        <f>IFERROR(INDEX(装备库!$A$2:$Y$1047,MATCH(ROW()-1,装备库!$AO$2:$AO$1046,0),COLUMN()),"")</f>
        <v/>
      </c>
      <c r="B803" t="str">
        <f>IFERROR(INDEX(装备库!$A$2:$Y$1047,MATCH(ROW()-1,装备库!$AO$2:$AO$1046,0),COLUMN()),"")</f>
        <v/>
      </c>
      <c r="C803" t="str">
        <f>IFERROR(INDEX(装备库!$A$2:$Y$1047,MATCH(ROW()-1,装备库!$AO$2:$AO$1046,0),COLUMN()),"")</f>
        <v/>
      </c>
      <c r="D803" t="str">
        <f>IFERROR(INDEX(装备库!$A$2:$Y$1047,MATCH(ROW()-1,装备库!$AO$2:$AO$1046,0),COLUMN()),"")</f>
        <v/>
      </c>
      <c r="E803" t="str">
        <f>IFERROR(INDEX(装备库!$A$2:$Y$1047,MATCH(ROW()-1,装备库!$AO$2:$AO$1046,0),COLUMN()),"")</f>
        <v/>
      </c>
      <c r="F803" t="str">
        <f>IFERROR(INDEX(装备库!$A$2:$Y$1047,MATCH(ROW()-1,装备库!$AO$2:$AO$1046,0),COLUMN()),"")</f>
        <v/>
      </c>
      <c r="G803" t="str">
        <f>IFERROR(INDEX(装备库!$A$2:$Y$1047,MATCH(ROW()-1,装备库!$AO$2:$AO$1046,0),COLUMN()),"")</f>
        <v/>
      </c>
      <c r="H803" t="str">
        <f>IFERROR(INDEX(装备库!$A$2:$Y$1047,MATCH(ROW()-1,装备库!$AO$2:$AO$1046,0),COLUMN()),"")</f>
        <v/>
      </c>
      <c r="I803" t="str">
        <f>IFERROR(INDEX(装备库!$A$2:$Y$1047,MATCH(ROW()-1,装备库!$AO$2:$AO$1046,0),COLUMN()),"")</f>
        <v/>
      </c>
      <c r="J803" t="str">
        <f>IFERROR(INDEX(装备库!$A$2:$Y$1047,MATCH(ROW()-1,装备库!$AO$2:$AO$1046,0),COLUMN()),"")</f>
        <v/>
      </c>
      <c r="K803" t="str">
        <f>IFERROR(INDEX(装备库!$A$2:$Y$1047,MATCH(ROW()-1,装备库!$AO$2:$AO$1046,0),COLUMN()),"")</f>
        <v/>
      </c>
      <c r="L803" t="str">
        <f>IFERROR(INDEX(装备库!$A$2:$Y$1047,MATCH(ROW()-1,装备库!$AO$2:$AO$1046,0),COLUMN()),"")</f>
        <v/>
      </c>
      <c r="M803" t="str">
        <f>IFERROR(INDEX(装备库!$A$2:$Y$1047,MATCH(ROW()-1,装备库!$AO$2:$AO$1046,0),COLUMN()),"")</f>
        <v/>
      </c>
      <c r="N803" t="str">
        <f>IFERROR(INDEX(装备库!$A$2:$Y$1047,MATCH(ROW()-1,装备库!$AO$2:$AO$1046,0),COLUMN()),"")</f>
        <v/>
      </c>
      <c r="O803" t="str">
        <f>IFERROR(INDEX(装备库!$A$2:$Y$1047,MATCH(ROW()-1,装备库!$AO$2:$AO$1046,0),COLUMN()),"")</f>
        <v/>
      </c>
      <c r="P803" t="str">
        <f>IFERROR(INDEX(装备库!$A$2:$Y$1047,MATCH(ROW()-1,装备库!$AO$2:$AO$1046,0),COLUMN()),"")</f>
        <v/>
      </c>
      <c r="Q803" t="str">
        <f>IFERROR(INDEX(装备库!$A$2:$Y$1047,MATCH(ROW()-1,装备库!$AO$2:$AO$1046,0),COLUMN()),"")</f>
        <v/>
      </c>
      <c r="R803" t="str">
        <f>IFERROR(INDEX(装备库!$A$2:$Y$1047,MATCH(ROW()-1,装备库!$AO$2:$AO$1046,0),COLUMN()),"")</f>
        <v/>
      </c>
      <c r="S803" t="str">
        <f>IFERROR(INDEX(装备库!$A$2:$Y$1047,MATCH(ROW()-1,装备库!$AO$2:$AO$1046,0),COLUMN()),"")</f>
        <v/>
      </c>
      <c r="T803" t="str">
        <f>IFERROR(INDEX(装备库!$A$2:$Y$1047,MATCH(ROW()-1,装备库!$AO$2:$AO$1046,0),COLUMN()),"")</f>
        <v/>
      </c>
      <c r="U803" t="str">
        <f>IFERROR(INDEX(装备库!$A$2:$Y$1047,MATCH(ROW()-1,装备库!$AO$2:$AO$1046,0),COLUMN()),"")</f>
        <v/>
      </c>
      <c r="V803" t="str">
        <f>IFERROR(INDEX(装备库!$A$2:$Y$1047,MATCH(ROW()-1,装备库!$AO$2:$AO$1046,0),COLUMN()),"")</f>
        <v/>
      </c>
      <c r="W803" t="str">
        <f>IFERROR(INDEX(装备库!$A$2:$Y$1047,MATCH(ROW()-1,装备库!$AO$2:$AO$1046,0),COLUMN()),"")</f>
        <v/>
      </c>
      <c r="X803" t="str">
        <f>IFERROR(INDEX(装备库!$A$2:$Y$1047,MATCH(ROW()-1,装备库!$AO$2:$AO$1046,0),COLUMN()),"")</f>
        <v/>
      </c>
      <c r="Y803" t="str">
        <f>IFERROR(INDEX(装备库!$A$2:$Y$1047,MATCH(ROW()-1,装备库!$AO$2:$AO$1046,0),COLUMN()),"")</f>
        <v/>
      </c>
    </row>
    <row r="804" spans="1:25" x14ac:dyDescent="0.35">
      <c r="A804" t="str">
        <f>IFERROR(INDEX(装备库!$A$2:$Y$1047,MATCH(ROW()-1,装备库!$AO$2:$AO$1046,0),COLUMN()),"")</f>
        <v/>
      </c>
      <c r="B804" t="str">
        <f>IFERROR(INDEX(装备库!$A$2:$Y$1047,MATCH(ROW()-1,装备库!$AO$2:$AO$1046,0),COLUMN()),"")</f>
        <v/>
      </c>
      <c r="C804" t="str">
        <f>IFERROR(INDEX(装备库!$A$2:$Y$1047,MATCH(ROW()-1,装备库!$AO$2:$AO$1046,0),COLUMN()),"")</f>
        <v/>
      </c>
      <c r="D804" t="str">
        <f>IFERROR(INDEX(装备库!$A$2:$Y$1047,MATCH(ROW()-1,装备库!$AO$2:$AO$1046,0),COLUMN()),"")</f>
        <v/>
      </c>
      <c r="E804" t="str">
        <f>IFERROR(INDEX(装备库!$A$2:$Y$1047,MATCH(ROW()-1,装备库!$AO$2:$AO$1046,0),COLUMN()),"")</f>
        <v/>
      </c>
      <c r="F804" t="str">
        <f>IFERROR(INDEX(装备库!$A$2:$Y$1047,MATCH(ROW()-1,装备库!$AO$2:$AO$1046,0),COLUMN()),"")</f>
        <v/>
      </c>
      <c r="G804" t="str">
        <f>IFERROR(INDEX(装备库!$A$2:$Y$1047,MATCH(ROW()-1,装备库!$AO$2:$AO$1046,0),COLUMN()),"")</f>
        <v/>
      </c>
      <c r="H804" t="str">
        <f>IFERROR(INDEX(装备库!$A$2:$Y$1047,MATCH(ROW()-1,装备库!$AO$2:$AO$1046,0),COLUMN()),"")</f>
        <v/>
      </c>
      <c r="I804" t="str">
        <f>IFERROR(INDEX(装备库!$A$2:$Y$1047,MATCH(ROW()-1,装备库!$AO$2:$AO$1046,0),COLUMN()),"")</f>
        <v/>
      </c>
      <c r="J804" t="str">
        <f>IFERROR(INDEX(装备库!$A$2:$Y$1047,MATCH(ROW()-1,装备库!$AO$2:$AO$1046,0),COLUMN()),"")</f>
        <v/>
      </c>
      <c r="K804" t="str">
        <f>IFERROR(INDEX(装备库!$A$2:$Y$1047,MATCH(ROW()-1,装备库!$AO$2:$AO$1046,0),COLUMN()),"")</f>
        <v/>
      </c>
      <c r="L804" t="str">
        <f>IFERROR(INDEX(装备库!$A$2:$Y$1047,MATCH(ROW()-1,装备库!$AO$2:$AO$1046,0),COLUMN()),"")</f>
        <v/>
      </c>
      <c r="M804" t="str">
        <f>IFERROR(INDEX(装备库!$A$2:$Y$1047,MATCH(ROW()-1,装备库!$AO$2:$AO$1046,0),COLUMN()),"")</f>
        <v/>
      </c>
      <c r="N804" t="str">
        <f>IFERROR(INDEX(装备库!$A$2:$Y$1047,MATCH(ROW()-1,装备库!$AO$2:$AO$1046,0),COLUMN()),"")</f>
        <v/>
      </c>
      <c r="O804" t="str">
        <f>IFERROR(INDEX(装备库!$A$2:$Y$1047,MATCH(ROW()-1,装备库!$AO$2:$AO$1046,0),COLUMN()),"")</f>
        <v/>
      </c>
      <c r="P804" t="str">
        <f>IFERROR(INDEX(装备库!$A$2:$Y$1047,MATCH(ROW()-1,装备库!$AO$2:$AO$1046,0),COLUMN()),"")</f>
        <v/>
      </c>
      <c r="Q804" t="str">
        <f>IFERROR(INDEX(装备库!$A$2:$Y$1047,MATCH(ROW()-1,装备库!$AO$2:$AO$1046,0),COLUMN()),"")</f>
        <v/>
      </c>
      <c r="R804" t="str">
        <f>IFERROR(INDEX(装备库!$A$2:$Y$1047,MATCH(ROW()-1,装备库!$AO$2:$AO$1046,0),COLUMN()),"")</f>
        <v/>
      </c>
      <c r="S804" t="str">
        <f>IFERROR(INDEX(装备库!$A$2:$Y$1047,MATCH(ROW()-1,装备库!$AO$2:$AO$1046,0),COLUMN()),"")</f>
        <v/>
      </c>
      <c r="T804" t="str">
        <f>IFERROR(INDEX(装备库!$A$2:$Y$1047,MATCH(ROW()-1,装备库!$AO$2:$AO$1046,0),COLUMN()),"")</f>
        <v/>
      </c>
      <c r="U804" t="str">
        <f>IFERROR(INDEX(装备库!$A$2:$Y$1047,MATCH(ROW()-1,装备库!$AO$2:$AO$1046,0),COLUMN()),"")</f>
        <v/>
      </c>
      <c r="V804" t="str">
        <f>IFERROR(INDEX(装备库!$A$2:$Y$1047,MATCH(ROW()-1,装备库!$AO$2:$AO$1046,0),COLUMN()),"")</f>
        <v/>
      </c>
      <c r="W804" t="str">
        <f>IFERROR(INDEX(装备库!$A$2:$Y$1047,MATCH(ROW()-1,装备库!$AO$2:$AO$1046,0),COLUMN()),"")</f>
        <v/>
      </c>
      <c r="X804" t="str">
        <f>IFERROR(INDEX(装备库!$A$2:$Y$1047,MATCH(ROW()-1,装备库!$AO$2:$AO$1046,0),COLUMN()),"")</f>
        <v/>
      </c>
      <c r="Y804" t="str">
        <f>IFERROR(INDEX(装备库!$A$2:$Y$1047,MATCH(ROW()-1,装备库!$AO$2:$AO$1046,0),COLUMN()),"")</f>
        <v/>
      </c>
    </row>
    <row r="805" spans="1:25" x14ac:dyDescent="0.35">
      <c r="A805" t="str">
        <f>IFERROR(INDEX(装备库!$A$2:$Y$1047,MATCH(ROW()-1,装备库!$AO$2:$AO$1046,0),COLUMN()),"")</f>
        <v/>
      </c>
      <c r="B805" t="str">
        <f>IFERROR(INDEX(装备库!$A$2:$Y$1047,MATCH(ROW()-1,装备库!$AO$2:$AO$1046,0),COLUMN()),"")</f>
        <v/>
      </c>
      <c r="C805" t="str">
        <f>IFERROR(INDEX(装备库!$A$2:$Y$1047,MATCH(ROW()-1,装备库!$AO$2:$AO$1046,0),COLUMN()),"")</f>
        <v/>
      </c>
      <c r="D805" t="str">
        <f>IFERROR(INDEX(装备库!$A$2:$Y$1047,MATCH(ROW()-1,装备库!$AO$2:$AO$1046,0),COLUMN()),"")</f>
        <v/>
      </c>
      <c r="E805" t="str">
        <f>IFERROR(INDEX(装备库!$A$2:$Y$1047,MATCH(ROW()-1,装备库!$AO$2:$AO$1046,0),COLUMN()),"")</f>
        <v/>
      </c>
      <c r="F805" t="str">
        <f>IFERROR(INDEX(装备库!$A$2:$Y$1047,MATCH(ROW()-1,装备库!$AO$2:$AO$1046,0),COLUMN()),"")</f>
        <v/>
      </c>
      <c r="G805" t="str">
        <f>IFERROR(INDEX(装备库!$A$2:$Y$1047,MATCH(ROW()-1,装备库!$AO$2:$AO$1046,0),COLUMN()),"")</f>
        <v/>
      </c>
      <c r="H805" t="str">
        <f>IFERROR(INDEX(装备库!$A$2:$Y$1047,MATCH(ROW()-1,装备库!$AO$2:$AO$1046,0),COLUMN()),"")</f>
        <v/>
      </c>
      <c r="I805" t="str">
        <f>IFERROR(INDEX(装备库!$A$2:$Y$1047,MATCH(ROW()-1,装备库!$AO$2:$AO$1046,0),COLUMN()),"")</f>
        <v/>
      </c>
      <c r="J805" t="str">
        <f>IFERROR(INDEX(装备库!$A$2:$Y$1047,MATCH(ROW()-1,装备库!$AO$2:$AO$1046,0),COLUMN()),"")</f>
        <v/>
      </c>
      <c r="K805" t="str">
        <f>IFERROR(INDEX(装备库!$A$2:$Y$1047,MATCH(ROW()-1,装备库!$AO$2:$AO$1046,0),COLUMN()),"")</f>
        <v/>
      </c>
      <c r="L805" t="str">
        <f>IFERROR(INDEX(装备库!$A$2:$Y$1047,MATCH(ROW()-1,装备库!$AO$2:$AO$1046,0),COLUMN()),"")</f>
        <v/>
      </c>
      <c r="M805" t="str">
        <f>IFERROR(INDEX(装备库!$A$2:$Y$1047,MATCH(ROW()-1,装备库!$AO$2:$AO$1046,0),COLUMN()),"")</f>
        <v/>
      </c>
      <c r="N805" t="str">
        <f>IFERROR(INDEX(装备库!$A$2:$Y$1047,MATCH(ROW()-1,装备库!$AO$2:$AO$1046,0),COLUMN()),"")</f>
        <v/>
      </c>
      <c r="O805" t="str">
        <f>IFERROR(INDEX(装备库!$A$2:$Y$1047,MATCH(ROW()-1,装备库!$AO$2:$AO$1046,0),COLUMN()),"")</f>
        <v/>
      </c>
      <c r="P805" t="str">
        <f>IFERROR(INDEX(装备库!$A$2:$Y$1047,MATCH(ROW()-1,装备库!$AO$2:$AO$1046,0),COLUMN()),"")</f>
        <v/>
      </c>
      <c r="Q805" t="str">
        <f>IFERROR(INDEX(装备库!$A$2:$Y$1047,MATCH(ROW()-1,装备库!$AO$2:$AO$1046,0),COLUMN()),"")</f>
        <v/>
      </c>
      <c r="R805" t="str">
        <f>IFERROR(INDEX(装备库!$A$2:$Y$1047,MATCH(ROW()-1,装备库!$AO$2:$AO$1046,0),COLUMN()),"")</f>
        <v/>
      </c>
      <c r="S805" t="str">
        <f>IFERROR(INDEX(装备库!$A$2:$Y$1047,MATCH(ROW()-1,装备库!$AO$2:$AO$1046,0),COLUMN()),"")</f>
        <v/>
      </c>
      <c r="T805" t="str">
        <f>IFERROR(INDEX(装备库!$A$2:$Y$1047,MATCH(ROW()-1,装备库!$AO$2:$AO$1046,0),COLUMN()),"")</f>
        <v/>
      </c>
      <c r="U805" t="str">
        <f>IFERROR(INDEX(装备库!$A$2:$Y$1047,MATCH(ROW()-1,装备库!$AO$2:$AO$1046,0),COLUMN()),"")</f>
        <v/>
      </c>
      <c r="V805" t="str">
        <f>IFERROR(INDEX(装备库!$A$2:$Y$1047,MATCH(ROW()-1,装备库!$AO$2:$AO$1046,0),COLUMN()),"")</f>
        <v/>
      </c>
      <c r="W805" t="str">
        <f>IFERROR(INDEX(装备库!$A$2:$Y$1047,MATCH(ROW()-1,装备库!$AO$2:$AO$1046,0),COLUMN()),"")</f>
        <v/>
      </c>
      <c r="X805" t="str">
        <f>IFERROR(INDEX(装备库!$A$2:$Y$1047,MATCH(ROW()-1,装备库!$AO$2:$AO$1046,0),COLUMN()),"")</f>
        <v/>
      </c>
      <c r="Y805" t="str">
        <f>IFERROR(INDEX(装备库!$A$2:$Y$1047,MATCH(ROW()-1,装备库!$AO$2:$AO$1046,0),COLUMN()),"")</f>
        <v/>
      </c>
    </row>
    <row r="806" spans="1:25" x14ac:dyDescent="0.35">
      <c r="A806" t="str">
        <f>IFERROR(INDEX(装备库!$A$2:$Y$1047,MATCH(ROW()-1,装备库!$AO$2:$AO$1046,0),COLUMN()),"")</f>
        <v/>
      </c>
      <c r="B806" t="str">
        <f>IFERROR(INDEX(装备库!$A$2:$Y$1047,MATCH(ROW()-1,装备库!$AO$2:$AO$1046,0),COLUMN()),"")</f>
        <v/>
      </c>
      <c r="C806" t="str">
        <f>IFERROR(INDEX(装备库!$A$2:$Y$1047,MATCH(ROW()-1,装备库!$AO$2:$AO$1046,0),COLUMN()),"")</f>
        <v/>
      </c>
      <c r="D806" t="str">
        <f>IFERROR(INDEX(装备库!$A$2:$Y$1047,MATCH(ROW()-1,装备库!$AO$2:$AO$1046,0),COLUMN()),"")</f>
        <v/>
      </c>
      <c r="E806" t="str">
        <f>IFERROR(INDEX(装备库!$A$2:$Y$1047,MATCH(ROW()-1,装备库!$AO$2:$AO$1046,0),COLUMN()),"")</f>
        <v/>
      </c>
      <c r="F806" t="str">
        <f>IFERROR(INDEX(装备库!$A$2:$Y$1047,MATCH(ROW()-1,装备库!$AO$2:$AO$1046,0),COLUMN()),"")</f>
        <v/>
      </c>
      <c r="G806" t="str">
        <f>IFERROR(INDEX(装备库!$A$2:$Y$1047,MATCH(ROW()-1,装备库!$AO$2:$AO$1046,0),COLUMN()),"")</f>
        <v/>
      </c>
      <c r="H806" t="str">
        <f>IFERROR(INDEX(装备库!$A$2:$Y$1047,MATCH(ROW()-1,装备库!$AO$2:$AO$1046,0),COLUMN()),"")</f>
        <v/>
      </c>
      <c r="I806" t="str">
        <f>IFERROR(INDEX(装备库!$A$2:$Y$1047,MATCH(ROW()-1,装备库!$AO$2:$AO$1046,0),COLUMN()),"")</f>
        <v/>
      </c>
      <c r="J806" t="str">
        <f>IFERROR(INDEX(装备库!$A$2:$Y$1047,MATCH(ROW()-1,装备库!$AO$2:$AO$1046,0),COLUMN()),"")</f>
        <v/>
      </c>
      <c r="K806" t="str">
        <f>IFERROR(INDEX(装备库!$A$2:$Y$1047,MATCH(ROW()-1,装备库!$AO$2:$AO$1046,0),COLUMN()),"")</f>
        <v/>
      </c>
      <c r="L806" t="str">
        <f>IFERROR(INDEX(装备库!$A$2:$Y$1047,MATCH(ROW()-1,装备库!$AO$2:$AO$1046,0),COLUMN()),"")</f>
        <v/>
      </c>
      <c r="M806" t="str">
        <f>IFERROR(INDEX(装备库!$A$2:$Y$1047,MATCH(ROW()-1,装备库!$AO$2:$AO$1046,0),COLUMN()),"")</f>
        <v/>
      </c>
      <c r="N806" t="str">
        <f>IFERROR(INDEX(装备库!$A$2:$Y$1047,MATCH(ROW()-1,装备库!$AO$2:$AO$1046,0),COLUMN()),"")</f>
        <v/>
      </c>
      <c r="O806" t="str">
        <f>IFERROR(INDEX(装备库!$A$2:$Y$1047,MATCH(ROW()-1,装备库!$AO$2:$AO$1046,0),COLUMN()),"")</f>
        <v/>
      </c>
      <c r="P806" t="str">
        <f>IFERROR(INDEX(装备库!$A$2:$Y$1047,MATCH(ROW()-1,装备库!$AO$2:$AO$1046,0),COLUMN()),"")</f>
        <v/>
      </c>
      <c r="Q806" t="str">
        <f>IFERROR(INDEX(装备库!$A$2:$Y$1047,MATCH(ROW()-1,装备库!$AO$2:$AO$1046,0),COLUMN()),"")</f>
        <v/>
      </c>
      <c r="R806" t="str">
        <f>IFERROR(INDEX(装备库!$A$2:$Y$1047,MATCH(ROW()-1,装备库!$AO$2:$AO$1046,0),COLUMN()),"")</f>
        <v/>
      </c>
      <c r="S806" t="str">
        <f>IFERROR(INDEX(装备库!$A$2:$Y$1047,MATCH(ROW()-1,装备库!$AO$2:$AO$1046,0),COLUMN()),"")</f>
        <v/>
      </c>
      <c r="T806" t="str">
        <f>IFERROR(INDEX(装备库!$A$2:$Y$1047,MATCH(ROW()-1,装备库!$AO$2:$AO$1046,0),COLUMN()),"")</f>
        <v/>
      </c>
      <c r="U806" t="str">
        <f>IFERROR(INDEX(装备库!$A$2:$Y$1047,MATCH(ROW()-1,装备库!$AO$2:$AO$1046,0),COLUMN()),"")</f>
        <v/>
      </c>
      <c r="V806" t="str">
        <f>IFERROR(INDEX(装备库!$A$2:$Y$1047,MATCH(ROW()-1,装备库!$AO$2:$AO$1046,0),COLUMN()),"")</f>
        <v/>
      </c>
      <c r="W806" t="str">
        <f>IFERROR(INDEX(装备库!$A$2:$Y$1047,MATCH(ROW()-1,装备库!$AO$2:$AO$1046,0),COLUMN()),"")</f>
        <v/>
      </c>
      <c r="X806" t="str">
        <f>IFERROR(INDEX(装备库!$A$2:$Y$1047,MATCH(ROW()-1,装备库!$AO$2:$AO$1046,0),COLUMN()),"")</f>
        <v/>
      </c>
      <c r="Y806" t="str">
        <f>IFERROR(INDEX(装备库!$A$2:$Y$1047,MATCH(ROW()-1,装备库!$AO$2:$AO$1046,0),COLUMN()),"")</f>
        <v/>
      </c>
    </row>
    <row r="807" spans="1:25" x14ac:dyDescent="0.35">
      <c r="A807" t="str">
        <f>IFERROR(INDEX(装备库!$A$2:$Y$1047,MATCH(ROW()-1,装备库!$AO$2:$AO$1046,0),COLUMN()),"")</f>
        <v/>
      </c>
      <c r="B807" t="str">
        <f>IFERROR(INDEX(装备库!$A$2:$Y$1047,MATCH(ROW()-1,装备库!$AO$2:$AO$1046,0),COLUMN()),"")</f>
        <v/>
      </c>
      <c r="C807" t="str">
        <f>IFERROR(INDEX(装备库!$A$2:$Y$1047,MATCH(ROW()-1,装备库!$AO$2:$AO$1046,0),COLUMN()),"")</f>
        <v/>
      </c>
      <c r="D807" t="str">
        <f>IFERROR(INDEX(装备库!$A$2:$Y$1047,MATCH(ROW()-1,装备库!$AO$2:$AO$1046,0),COLUMN()),"")</f>
        <v/>
      </c>
      <c r="E807" t="str">
        <f>IFERROR(INDEX(装备库!$A$2:$Y$1047,MATCH(ROW()-1,装备库!$AO$2:$AO$1046,0),COLUMN()),"")</f>
        <v/>
      </c>
      <c r="F807" t="str">
        <f>IFERROR(INDEX(装备库!$A$2:$Y$1047,MATCH(ROW()-1,装备库!$AO$2:$AO$1046,0),COLUMN()),"")</f>
        <v/>
      </c>
      <c r="G807" t="str">
        <f>IFERROR(INDEX(装备库!$A$2:$Y$1047,MATCH(ROW()-1,装备库!$AO$2:$AO$1046,0),COLUMN()),"")</f>
        <v/>
      </c>
      <c r="H807" t="str">
        <f>IFERROR(INDEX(装备库!$A$2:$Y$1047,MATCH(ROW()-1,装备库!$AO$2:$AO$1046,0),COLUMN()),"")</f>
        <v/>
      </c>
      <c r="I807" t="str">
        <f>IFERROR(INDEX(装备库!$A$2:$Y$1047,MATCH(ROW()-1,装备库!$AO$2:$AO$1046,0),COLUMN()),"")</f>
        <v/>
      </c>
      <c r="J807" t="str">
        <f>IFERROR(INDEX(装备库!$A$2:$Y$1047,MATCH(ROW()-1,装备库!$AO$2:$AO$1046,0),COLUMN()),"")</f>
        <v/>
      </c>
      <c r="K807" t="str">
        <f>IFERROR(INDEX(装备库!$A$2:$Y$1047,MATCH(ROW()-1,装备库!$AO$2:$AO$1046,0),COLUMN()),"")</f>
        <v/>
      </c>
      <c r="L807" t="str">
        <f>IFERROR(INDEX(装备库!$A$2:$Y$1047,MATCH(ROW()-1,装备库!$AO$2:$AO$1046,0),COLUMN()),"")</f>
        <v/>
      </c>
      <c r="M807" t="str">
        <f>IFERROR(INDEX(装备库!$A$2:$Y$1047,MATCH(ROW()-1,装备库!$AO$2:$AO$1046,0),COLUMN()),"")</f>
        <v/>
      </c>
      <c r="N807" t="str">
        <f>IFERROR(INDEX(装备库!$A$2:$Y$1047,MATCH(ROW()-1,装备库!$AO$2:$AO$1046,0),COLUMN()),"")</f>
        <v/>
      </c>
      <c r="O807" t="str">
        <f>IFERROR(INDEX(装备库!$A$2:$Y$1047,MATCH(ROW()-1,装备库!$AO$2:$AO$1046,0),COLUMN()),"")</f>
        <v/>
      </c>
      <c r="P807" t="str">
        <f>IFERROR(INDEX(装备库!$A$2:$Y$1047,MATCH(ROW()-1,装备库!$AO$2:$AO$1046,0),COLUMN()),"")</f>
        <v/>
      </c>
      <c r="Q807" t="str">
        <f>IFERROR(INDEX(装备库!$A$2:$Y$1047,MATCH(ROW()-1,装备库!$AO$2:$AO$1046,0),COLUMN()),"")</f>
        <v/>
      </c>
      <c r="R807" t="str">
        <f>IFERROR(INDEX(装备库!$A$2:$Y$1047,MATCH(ROW()-1,装备库!$AO$2:$AO$1046,0),COLUMN()),"")</f>
        <v/>
      </c>
      <c r="S807" t="str">
        <f>IFERROR(INDEX(装备库!$A$2:$Y$1047,MATCH(ROW()-1,装备库!$AO$2:$AO$1046,0),COLUMN()),"")</f>
        <v/>
      </c>
      <c r="T807" t="str">
        <f>IFERROR(INDEX(装备库!$A$2:$Y$1047,MATCH(ROW()-1,装备库!$AO$2:$AO$1046,0),COLUMN()),"")</f>
        <v/>
      </c>
      <c r="U807" t="str">
        <f>IFERROR(INDEX(装备库!$A$2:$Y$1047,MATCH(ROW()-1,装备库!$AO$2:$AO$1046,0),COLUMN()),"")</f>
        <v/>
      </c>
      <c r="V807" t="str">
        <f>IFERROR(INDEX(装备库!$A$2:$Y$1047,MATCH(ROW()-1,装备库!$AO$2:$AO$1046,0),COLUMN()),"")</f>
        <v/>
      </c>
      <c r="W807" t="str">
        <f>IFERROR(INDEX(装备库!$A$2:$Y$1047,MATCH(ROW()-1,装备库!$AO$2:$AO$1046,0),COLUMN()),"")</f>
        <v/>
      </c>
      <c r="X807" t="str">
        <f>IFERROR(INDEX(装备库!$A$2:$Y$1047,MATCH(ROW()-1,装备库!$AO$2:$AO$1046,0),COLUMN()),"")</f>
        <v/>
      </c>
      <c r="Y807" t="str">
        <f>IFERROR(INDEX(装备库!$A$2:$Y$1047,MATCH(ROW()-1,装备库!$AO$2:$AO$1046,0),COLUMN()),"")</f>
        <v/>
      </c>
    </row>
    <row r="808" spans="1:25" x14ac:dyDescent="0.35">
      <c r="A808" t="str">
        <f>IFERROR(INDEX(装备库!$A$2:$Y$1047,MATCH(ROW()-1,装备库!$AO$2:$AO$1046,0),COLUMN()),"")</f>
        <v/>
      </c>
      <c r="B808" t="str">
        <f>IFERROR(INDEX(装备库!$A$2:$Y$1047,MATCH(ROW()-1,装备库!$AO$2:$AO$1046,0),COLUMN()),"")</f>
        <v/>
      </c>
      <c r="C808" t="str">
        <f>IFERROR(INDEX(装备库!$A$2:$Y$1047,MATCH(ROW()-1,装备库!$AO$2:$AO$1046,0),COLUMN()),"")</f>
        <v/>
      </c>
      <c r="D808" t="str">
        <f>IFERROR(INDEX(装备库!$A$2:$Y$1047,MATCH(ROW()-1,装备库!$AO$2:$AO$1046,0),COLUMN()),"")</f>
        <v/>
      </c>
      <c r="E808" t="str">
        <f>IFERROR(INDEX(装备库!$A$2:$Y$1047,MATCH(ROW()-1,装备库!$AO$2:$AO$1046,0),COLUMN()),"")</f>
        <v/>
      </c>
      <c r="F808" t="str">
        <f>IFERROR(INDEX(装备库!$A$2:$Y$1047,MATCH(ROW()-1,装备库!$AO$2:$AO$1046,0),COLUMN()),"")</f>
        <v/>
      </c>
      <c r="G808" t="str">
        <f>IFERROR(INDEX(装备库!$A$2:$Y$1047,MATCH(ROW()-1,装备库!$AO$2:$AO$1046,0),COLUMN()),"")</f>
        <v/>
      </c>
      <c r="H808" t="str">
        <f>IFERROR(INDEX(装备库!$A$2:$Y$1047,MATCH(ROW()-1,装备库!$AO$2:$AO$1046,0),COLUMN()),"")</f>
        <v/>
      </c>
      <c r="I808" t="str">
        <f>IFERROR(INDEX(装备库!$A$2:$Y$1047,MATCH(ROW()-1,装备库!$AO$2:$AO$1046,0),COLUMN()),"")</f>
        <v/>
      </c>
      <c r="J808" t="str">
        <f>IFERROR(INDEX(装备库!$A$2:$Y$1047,MATCH(ROW()-1,装备库!$AO$2:$AO$1046,0),COLUMN()),"")</f>
        <v/>
      </c>
      <c r="K808" t="str">
        <f>IFERROR(INDEX(装备库!$A$2:$Y$1047,MATCH(ROW()-1,装备库!$AO$2:$AO$1046,0),COLUMN()),"")</f>
        <v/>
      </c>
      <c r="L808" t="str">
        <f>IFERROR(INDEX(装备库!$A$2:$Y$1047,MATCH(ROW()-1,装备库!$AO$2:$AO$1046,0),COLUMN()),"")</f>
        <v/>
      </c>
      <c r="M808" t="str">
        <f>IFERROR(INDEX(装备库!$A$2:$Y$1047,MATCH(ROW()-1,装备库!$AO$2:$AO$1046,0),COLUMN()),"")</f>
        <v/>
      </c>
      <c r="N808" t="str">
        <f>IFERROR(INDEX(装备库!$A$2:$Y$1047,MATCH(ROW()-1,装备库!$AO$2:$AO$1046,0),COLUMN()),"")</f>
        <v/>
      </c>
      <c r="O808" t="str">
        <f>IFERROR(INDEX(装备库!$A$2:$Y$1047,MATCH(ROW()-1,装备库!$AO$2:$AO$1046,0),COLUMN()),"")</f>
        <v/>
      </c>
      <c r="P808" t="str">
        <f>IFERROR(INDEX(装备库!$A$2:$Y$1047,MATCH(ROW()-1,装备库!$AO$2:$AO$1046,0),COLUMN()),"")</f>
        <v/>
      </c>
      <c r="Q808" t="str">
        <f>IFERROR(INDEX(装备库!$A$2:$Y$1047,MATCH(ROW()-1,装备库!$AO$2:$AO$1046,0),COLUMN()),"")</f>
        <v/>
      </c>
      <c r="R808" t="str">
        <f>IFERROR(INDEX(装备库!$A$2:$Y$1047,MATCH(ROW()-1,装备库!$AO$2:$AO$1046,0),COLUMN()),"")</f>
        <v/>
      </c>
      <c r="S808" t="str">
        <f>IFERROR(INDEX(装备库!$A$2:$Y$1047,MATCH(ROW()-1,装备库!$AO$2:$AO$1046,0),COLUMN()),"")</f>
        <v/>
      </c>
      <c r="T808" t="str">
        <f>IFERROR(INDEX(装备库!$A$2:$Y$1047,MATCH(ROW()-1,装备库!$AO$2:$AO$1046,0),COLUMN()),"")</f>
        <v/>
      </c>
      <c r="U808" t="str">
        <f>IFERROR(INDEX(装备库!$A$2:$Y$1047,MATCH(ROW()-1,装备库!$AO$2:$AO$1046,0),COLUMN()),"")</f>
        <v/>
      </c>
      <c r="V808" t="str">
        <f>IFERROR(INDEX(装备库!$A$2:$Y$1047,MATCH(ROW()-1,装备库!$AO$2:$AO$1046,0),COLUMN()),"")</f>
        <v/>
      </c>
      <c r="W808" t="str">
        <f>IFERROR(INDEX(装备库!$A$2:$Y$1047,MATCH(ROW()-1,装备库!$AO$2:$AO$1046,0),COLUMN()),"")</f>
        <v/>
      </c>
      <c r="X808" t="str">
        <f>IFERROR(INDEX(装备库!$A$2:$Y$1047,MATCH(ROW()-1,装备库!$AO$2:$AO$1046,0),COLUMN()),"")</f>
        <v/>
      </c>
      <c r="Y808" t="str">
        <f>IFERROR(INDEX(装备库!$A$2:$Y$1047,MATCH(ROW()-1,装备库!$AO$2:$AO$1046,0),COLUMN()),"")</f>
        <v/>
      </c>
    </row>
    <row r="809" spans="1:25" x14ac:dyDescent="0.35">
      <c r="A809" t="str">
        <f>IFERROR(INDEX(装备库!$A$2:$Y$1047,MATCH(ROW()-1,装备库!$AO$2:$AO$1046,0),COLUMN()),"")</f>
        <v/>
      </c>
      <c r="B809" t="str">
        <f>IFERROR(INDEX(装备库!$A$2:$Y$1047,MATCH(ROW()-1,装备库!$AO$2:$AO$1046,0),COLUMN()),"")</f>
        <v/>
      </c>
      <c r="C809" t="str">
        <f>IFERROR(INDEX(装备库!$A$2:$Y$1047,MATCH(ROW()-1,装备库!$AO$2:$AO$1046,0),COLUMN()),"")</f>
        <v/>
      </c>
      <c r="D809" t="str">
        <f>IFERROR(INDEX(装备库!$A$2:$Y$1047,MATCH(ROW()-1,装备库!$AO$2:$AO$1046,0),COLUMN()),"")</f>
        <v/>
      </c>
      <c r="E809" t="str">
        <f>IFERROR(INDEX(装备库!$A$2:$Y$1047,MATCH(ROW()-1,装备库!$AO$2:$AO$1046,0),COLUMN()),"")</f>
        <v/>
      </c>
      <c r="F809" t="str">
        <f>IFERROR(INDEX(装备库!$A$2:$Y$1047,MATCH(ROW()-1,装备库!$AO$2:$AO$1046,0),COLUMN()),"")</f>
        <v/>
      </c>
      <c r="G809" t="str">
        <f>IFERROR(INDEX(装备库!$A$2:$Y$1047,MATCH(ROW()-1,装备库!$AO$2:$AO$1046,0),COLUMN()),"")</f>
        <v/>
      </c>
      <c r="H809" t="str">
        <f>IFERROR(INDEX(装备库!$A$2:$Y$1047,MATCH(ROW()-1,装备库!$AO$2:$AO$1046,0),COLUMN()),"")</f>
        <v/>
      </c>
      <c r="I809" t="str">
        <f>IFERROR(INDEX(装备库!$A$2:$Y$1047,MATCH(ROW()-1,装备库!$AO$2:$AO$1046,0),COLUMN()),"")</f>
        <v/>
      </c>
      <c r="J809" t="str">
        <f>IFERROR(INDEX(装备库!$A$2:$Y$1047,MATCH(ROW()-1,装备库!$AO$2:$AO$1046,0),COLUMN()),"")</f>
        <v/>
      </c>
      <c r="K809" t="str">
        <f>IFERROR(INDEX(装备库!$A$2:$Y$1047,MATCH(ROW()-1,装备库!$AO$2:$AO$1046,0),COLUMN()),"")</f>
        <v/>
      </c>
      <c r="L809" t="str">
        <f>IFERROR(INDEX(装备库!$A$2:$Y$1047,MATCH(ROW()-1,装备库!$AO$2:$AO$1046,0),COLUMN()),"")</f>
        <v/>
      </c>
      <c r="M809" t="str">
        <f>IFERROR(INDEX(装备库!$A$2:$Y$1047,MATCH(ROW()-1,装备库!$AO$2:$AO$1046,0),COLUMN()),"")</f>
        <v/>
      </c>
      <c r="N809" t="str">
        <f>IFERROR(INDEX(装备库!$A$2:$Y$1047,MATCH(ROW()-1,装备库!$AO$2:$AO$1046,0),COLUMN()),"")</f>
        <v/>
      </c>
      <c r="O809" t="str">
        <f>IFERROR(INDEX(装备库!$A$2:$Y$1047,MATCH(ROW()-1,装备库!$AO$2:$AO$1046,0),COLUMN()),"")</f>
        <v/>
      </c>
      <c r="P809" t="str">
        <f>IFERROR(INDEX(装备库!$A$2:$Y$1047,MATCH(ROW()-1,装备库!$AO$2:$AO$1046,0),COLUMN()),"")</f>
        <v/>
      </c>
      <c r="Q809" t="str">
        <f>IFERROR(INDEX(装备库!$A$2:$Y$1047,MATCH(ROW()-1,装备库!$AO$2:$AO$1046,0),COLUMN()),"")</f>
        <v/>
      </c>
      <c r="R809" t="str">
        <f>IFERROR(INDEX(装备库!$A$2:$Y$1047,MATCH(ROW()-1,装备库!$AO$2:$AO$1046,0),COLUMN()),"")</f>
        <v/>
      </c>
      <c r="S809" t="str">
        <f>IFERROR(INDEX(装备库!$A$2:$Y$1047,MATCH(ROW()-1,装备库!$AO$2:$AO$1046,0),COLUMN()),"")</f>
        <v/>
      </c>
      <c r="T809" t="str">
        <f>IFERROR(INDEX(装备库!$A$2:$Y$1047,MATCH(ROW()-1,装备库!$AO$2:$AO$1046,0),COLUMN()),"")</f>
        <v/>
      </c>
      <c r="U809" t="str">
        <f>IFERROR(INDEX(装备库!$A$2:$Y$1047,MATCH(ROW()-1,装备库!$AO$2:$AO$1046,0),COLUMN()),"")</f>
        <v/>
      </c>
      <c r="V809" t="str">
        <f>IFERROR(INDEX(装备库!$A$2:$Y$1047,MATCH(ROW()-1,装备库!$AO$2:$AO$1046,0),COLUMN()),"")</f>
        <v/>
      </c>
      <c r="W809" t="str">
        <f>IFERROR(INDEX(装备库!$A$2:$Y$1047,MATCH(ROW()-1,装备库!$AO$2:$AO$1046,0),COLUMN()),"")</f>
        <v/>
      </c>
      <c r="X809" t="str">
        <f>IFERROR(INDEX(装备库!$A$2:$Y$1047,MATCH(ROW()-1,装备库!$AO$2:$AO$1046,0),COLUMN()),"")</f>
        <v/>
      </c>
      <c r="Y809" t="str">
        <f>IFERROR(INDEX(装备库!$A$2:$Y$1047,MATCH(ROW()-1,装备库!$AO$2:$AO$1046,0),COLUMN()),"")</f>
        <v/>
      </c>
    </row>
    <row r="810" spans="1:25" x14ac:dyDescent="0.35">
      <c r="A810" t="str">
        <f>IFERROR(INDEX(装备库!$A$2:$Y$1047,MATCH(ROW()-1,装备库!$AO$2:$AO$1046,0),COLUMN()),"")</f>
        <v/>
      </c>
      <c r="B810" t="str">
        <f>IFERROR(INDEX(装备库!$A$2:$Y$1047,MATCH(ROW()-1,装备库!$AO$2:$AO$1046,0),COLUMN()),"")</f>
        <v/>
      </c>
      <c r="C810" t="str">
        <f>IFERROR(INDEX(装备库!$A$2:$Y$1047,MATCH(ROW()-1,装备库!$AO$2:$AO$1046,0),COLUMN()),"")</f>
        <v/>
      </c>
      <c r="D810" t="str">
        <f>IFERROR(INDEX(装备库!$A$2:$Y$1047,MATCH(ROW()-1,装备库!$AO$2:$AO$1046,0),COLUMN()),"")</f>
        <v/>
      </c>
      <c r="E810" t="str">
        <f>IFERROR(INDEX(装备库!$A$2:$Y$1047,MATCH(ROW()-1,装备库!$AO$2:$AO$1046,0),COLUMN()),"")</f>
        <v/>
      </c>
      <c r="F810" t="str">
        <f>IFERROR(INDEX(装备库!$A$2:$Y$1047,MATCH(ROW()-1,装备库!$AO$2:$AO$1046,0),COLUMN()),"")</f>
        <v/>
      </c>
      <c r="G810" t="str">
        <f>IFERROR(INDEX(装备库!$A$2:$Y$1047,MATCH(ROW()-1,装备库!$AO$2:$AO$1046,0),COLUMN()),"")</f>
        <v/>
      </c>
      <c r="H810" t="str">
        <f>IFERROR(INDEX(装备库!$A$2:$Y$1047,MATCH(ROW()-1,装备库!$AO$2:$AO$1046,0),COLUMN()),"")</f>
        <v/>
      </c>
      <c r="I810" t="str">
        <f>IFERROR(INDEX(装备库!$A$2:$Y$1047,MATCH(ROW()-1,装备库!$AO$2:$AO$1046,0),COLUMN()),"")</f>
        <v/>
      </c>
      <c r="J810" t="str">
        <f>IFERROR(INDEX(装备库!$A$2:$Y$1047,MATCH(ROW()-1,装备库!$AO$2:$AO$1046,0),COLUMN()),"")</f>
        <v/>
      </c>
      <c r="K810" t="str">
        <f>IFERROR(INDEX(装备库!$A$2:$Y$1047,MATCH(ROW()-1,装备库!$AO$2:$AO$1046,0),COLUMN()),"")</f>
        <v/>
      </c>
      <c r="L810" t="str">
        <f>IFERROR(INDEX(装备库!$A$2:$Y$1047,MATCH(ROW()-1,装备库!$AO$2:$AO$1046,0),COLUMN()),"")</f>
        <v/>
      </c>
      <c r="M810" t="str">
        <f>IFERROR(INDEX(装备库!$A$2:$Y$1047,MATCH(ROW()-1,装备库!$AO$2:$AO$1046,0),COLUMN()),"")</f>
        <v/>
      </c>
      <c r="N810" t="str">
        <f>IFERROR(INDEX(装备库!$A$2:$Y$1047,MATCH(ROW()-1,装备库!$AO$2:$AO$1046,0),COLUMN()),"")</f>
        <v/>
      </c>
      <c r="O810" t="str">
        <f>IFERROR(INDEX(装备库!$A$2:$Y$1047,MATCH(ROW()-1,装备库!$AO$2:$AO$1046,0),COLUMN()),"")</f>
        <v/>
      </c>
      <c r="P810" t="str">
        <f>IFERROR(INDEX(装备库!$A$2:$Y$1047,MATCH(ROW()-1,装备库!$AO$2:$AO$1046,0),COLUMN()),"")</f>
        <v/>
      </c>
      <c r="Q810" t="str">
        <f>IFERROR(INDEX(装备库!$A$2:$Y$1047,MATCH(ROW()-1,装备库!$AO$2:$AO$1046,0),COLUMN()),"")</f>
        <v/>
      </c>
      <c r="R810" t="str">
        <f>IFERROR(INDEX(装备库!$A$2:$Y$1047,MATCH(ROW()-1,装备库!$AO$2:$AO$1046,0),COLUMN()),"")</f>
        <v/>
      </c>
      <c r="S810" t="str">
        <f>IFERROR(INDEX(装备库!$A$2:$Y$1047,MATCH(ROW()-1,装备库!$AO$2:$AO$1046,0),COLUMN()),"")</f>
        <v/>
      </c>
      <c r="T810" t="str">
        <f>IFERROR(INDEX(装备库!$A$2:$Y$1047,MATCH(ROW()-1,装备库!$AO$2:$AO$1046,0),COLUMN()),"")</f>
        <v/>
      </c>
      <c r="U810" t="str">
        <f>IFERROR(INDEX(装备库!$A$2:$Y$1047,MATCH(ROW()-1,装备库!$AO$2:$AO$1046,0),COLUMN()),"")</f>
        <v/>
      </c>
      <c r="V810" t="str">
        <f>IFERROR(INDEX(装备库!$A$2:$Y$1047,MATCH(ROW()-1,装备库!$AO$2:$AO$1046,0),COLUMN()),"")</f>
        <v/>
      </c>
      <c r="W810" t="str">
        <f>IFERROR(INDEX(装备库!$A$2:$Y$1047,MATCH(ROW()-1,装备库!$AO$2:$AO$1046,0),COLUMN()),"")</f>
        <v/>
      </c>
      <c r="X810" t="str">
        <f>IFERROR(INDEX(装备库!$A$2:$Y$1047,MATCH(ROW()-1,装备库!$AO$2:$AO$1046,0),COLUMN()),"")</f>
        <v/>
      </c>
      <c r="Y810" t="str">
        <f>IFERROR(INDEX(装备库!$A$2:$Y$1047,MATCH(ROW()-1,装备库!$AO$2:$AO$1046,0),COLUMN()),"")</f>
        <v/>
      </c>
    </row>
    <row r="811" spans="1:25" x14ac:dyDescent="0.35">
      <c r="A811" t="str">
        <f>IFERROR(INDEX(装备库!$A$2:$Y$1047,MATCH(ROW()-1,装备库!$AO$2:$AO$1046,0),COLUMN()),"")</f>
        <v/>
      </c>
      <c r="B811" t="str">
        <f>IFERROR(INDEX(装备库!$A$2:$Y$1047,MATCH(ROW()-1,装备库!$AO$2:$AO$1046,0),COLUMN()),"")</f>
        <v/>
      </c>
      <c r="C811" t="str">
        <f>IFERROR(INDEX(装备库!$A$2:$Y$1047,MATCH(ROW()-1,装备库!$AO$2:$AO$1046,0),COLUMN()),"")</f>
        <v/>
      </c>
      <c r="D811" t="str">
        <f>IFERROR(INDEX(装备库!$A$2:$Y$1047,MATCH(ROW()-1,装备库!$AO$2:$AO$1046,0),COLUMN()),"")</f>
        <v/>
      </c>
      <c r="E811" t="str">
        <f>IFERROR(INDEX(装备库!$A$2:$Y$1047,MATCH(ROW()-1,装备库!$AO$2:$AO$1046,0),COLUMN()),"")</f>
        <v/>
      </c>
      <c r="F811" t="str">
        <f>IFERROR(INDEX(装备库!$A$2:$Y$1047,MATCH(ROW()-1,装备库!$AO$2:$AO$1046,0),COLUMN()),"")</f>
        <v/>
      </c>
      <c r="G811" t="str">
        <f>IFERROR(INDEX(装备库!$A$2:$Y$1047,MATCH(ROW()-1,装备库!$AO$2:$AO$1046,0),COLUMN()),"")</f>
        <v/>
      </c>
      <c r="H811" t="str">
        <f>IFERROR(INDEX(装备库!$A$2:$Y$1047,MATCH(ROW()-1,装备库!$AO$2:$AO$1046,0),COLUMN()),"")</f>
        <v/>
      </c>
      <c r="I811" t="str">
        <f>IFERROR(INDEX(装备库!$A$2:$Y$1047,MATCH(ROW()-1,装备库!$AO$2:$AO$1046,0),COLUMN()),"")</f>
        <v/>
      </c>
      <c r="J811" t="str">
        <f>IFERROR(INDEX(装备库!$A$2:$Y$1047,MATCH(ROW()-1,装备库!$AO$2:$AO$1046,0),COLUMN()),"")</f>
        <v/>
      </c>
      <c r="K811" t="str">
        <f>IFERROR(INDEX(装备库!$A$2:$Y$1047,MATCH(ROW()-1,装备库!$AO$2:$AO$1046,0),COLUMN()),"")</f>
        <v/>
      </c>
      <c r="L811" t="str">
        <f>IFERROR(INDEX(装备库!$A$2:$Y$1047,MATCH(ROW()-1,装备库!$AO$2:$AO$1046,0),COLUMN()),"")</f>
        <v/>
      </c>
      <c r="M811" t="str">
        <f>IFERROR(INDEX(装备库!$A$2:$Y$1047,MATCH(ROW()-1,装备库!$AO$2:$AO$1046,0),COLUMN()),"")</f>
        <v/>
      </c>
      <c r="N811" t="str">
        <f>IFERROR(INDEX(装备库!$A$2:$Y$1047,MATCH(ROW()-1,装备库!$AO$2:$AO$1046,0),COLUMN()),"")</f>
        <v/>
      </c>
      <c r="O811" t="str">
        <f>IFERROR(INDEX(装备库!$A$2:$Y$1047,MATCH(ROW()-1,装备库!$AO$2:$AO$1046,0),COLUMN()),"")</f>
        <v/>
      </c>
      <c r="P811" t="str">
        <f>IFERROR(INDEX(装备库!$A$2:$Y$1047,MATCH(ROW()-1,装备库!$AO$2:$AO$1046,0),COLUMN()),"")</f>
        <v/>
      </c>
      <c r="Q811" t="str">
        <f>IFERROR(INDEX(装备库!$A$2:$Y$1047,MATCH(ROW()-1,装备库!$AO$2:$AO$1046,0),COLUMN()),"")</f>
        <v/>
      </c>
      <c r="R811" t="str">
        <f>IFERROR(INDEX(装备库!$A$2:$Y$1047,MATCH(ROW()-1,装备库!$AO$2:$AO$1046,0),COLUMN()),"")</f>
        <v/>
      </c>
      <c r="S811" t="str">
        <f>IFERROR(INDEX(装备库!$A$2:$Y$1047,MATCH(ROW()-1,装备库!$AO$2:$AO$1046,0),COLUMN()),"")</f>
        <v/>
      </c>
      <c r="T811" t="str">
        <f>IFERROR(INDEX(装备库!$A$2:$Y$1047,MATCH(ROW()-1,装备库!$AO$2:$AO$1046,0),COLUMN()),"")</f>
        <v/>
      </c>
      <c r="U811" t="str">
        <f>IFERROR(INDEX(装备库!$A$2:$Y$1047,MATCH(ROW()-1,装备库!$AO$2:$AO$1046,0),COLUMN()),"")</f>
        <v/>
      </c>
      <c r="V811" t="str">
        <f>IFERROR(INDEX(装备库!$A$2:$Y$1047,MATCH(ROW()-1,装备库!$AO$2:$AO$1046,0),COLUMN()),"")</f>
        <v/>
      </c>
      <c r="W811" t="str">
        <f>IFERROR(INDEX(装备库!$A$2:$Y$1047,MATCH(ROW()-1,装备库!$AO$2:$AO$1046,0),COLUMN()),"")</f>
        <v/>
      </c>
      <c r="X811" t="str">
        <f>IFERROR(INDEX(装备库!$A$2:$Y$1047,MATCH(ROW()-1,装备库!$AO$2:$AO$1046,0),COLUMN()),"")</f>
        <v/>
      </c>
      <c r="Y811" t="str">
        <f>IFERROR(INDEX(装备库!$A$2:$Y$1047,MATCH(ROW()-1,装备库!$AO$2:$AO$1046,0),COLUMN()),"")</f>
        <v/>
      </c>
    </row>
    <row r="812" spans="1:25" x14ac:dyDescent="0.35">
      <c r="A812" t="str">
        <f>IFERROR(INDEX(装备库!$A$2:$Y$1047,MATCH(ROW()-1,装备库!$AO$2:$AO$1046,0),COLUMN()),"")</f>
        <v/>
      </c>
      <c r="B812" t="str">
        <f>IFERROR(INDEX(装备库!$A$2:$Y$1047,MATCH(ROW()-1,装备库!$AO$2:$AO$1046,0),COLUMN()),"")</f>
        <v/>
      </c>
      <c r="C812" t="str">
        <f>IFERROR(INDEX(装备库!$A$2:$Y$1047,MATCH(ROW()-1,装备库!$AO$2:$AO$1046,0),COLUMN()),"")</f>
        <v/>
      </c>
      <c r="D812" t="str">
        <f>IFERROR(INDEX(装备库!$A$2:$Y$1047,MATCH(ROW()-1,装备库!$AO$2:$AO$1046,0),COLUMN()),"")</f>
        <v/>
      </c>
      <c r="E812" t="str">
        <f>IFERROR(INDEX(装备库!$A$2:$Y$1047,MATCH(ROW()-1,装备库!$AO$2:$AO$1046,0),COLUMN()),"")</f>
        <v/>
      </c>
      <c r="F812" t="str">
        <f>IFERROR(INDEX(装备库!$A$2:$Y$1047,MATCH(ROW()-1,装备库!$AO$2:$AO$1046,0),COLUMN()),"")</f>
        <v/>
      </c>
      <c r="G812" t="str">
        <f>IFERROR(INDEX(装备库!$A$2:$Y$1047,MATCH(ROW()-1,装备库!$AO$2:$AO$1046,0),COLUMN()),"")</f>
        <v/>
      </c>
      <c r="H812" t="str">
        <f>IFERROR(INDEX(装备库!$A$2:$Y$1047,MATCH(ROW()-1,装备库!$AO$2:$AO$1046,0),COLUMN()),"")</f>
        <v/>
      </c>
      <c r="I812" t="str">
        <f>IFERROR(INDEX(装备库!$A$2:$Y$1047,MATCH(ROW()-1,装备库!$AO$2:$AO$1046,0),COLUMN()),"")</f>
        <v/>
      </c>
      <c r="J812" t="str">
        <f>IFERROR(INDEX(装备库!$A$2:$Y$1047,MATCH(ROW()-1,装备库!$AO$2:$AO$1046,0),COLUMN()),"")</f>
        <v/>
      </c>
      <c r="K812" t="str">
        <f>IFERROR(INDEX(装备库!$A$2:$Y$1047,MATCH(ROW()-1,装备库!$AO$2:$AO$1046,0),COLUMN()),"")</f>
        <v/>
      </c>
      <c r="L812" t="str">
        <f>IFERROR(INDEX(装备库!$A$2:$Y$1047,MATCH(ROW()-1,装备库!$AO$2:$AO$1046,0),COLUMN()),"")</f>
        <v/>
      </c>
      <c r="M812" t="str">
        <f>IFERROR(INDEX(装备库!$A$2:$Y$1047,MATCH(ROW()-1,装备库!$AO$2:$AO$1046,0),COLUMN()),"")</f>
        <v/>
      </c>
      <c r="N812" t="str">
        <f>IFERROR(INDEX(装备库!$A$2:$Y$1047,MATCH(ROW()-1,装备库!$AO$2:$AO$1046,0),COLUMN()),"")</f>
        <v/>
      </c>
      <c r="O812" t="str">
        <f>IFERROR(INDEX(装备库!$A$2:$Y$1047,MATCH(ROW()-1,装备库!$AO$2:$AO$1046,0),COLUMN()),"")</f>
        <v/>
      </c>
      <c r="P812" t="str">
        <f>IFERROR(INDEX(装备库!$A$2:$Y$1047,MATCH(ROW()-1,装备库!$AO$2:$AO$1046,0),COLUMN()),"")</f>
        <v/>
      </c>
      <c r="Q812" t="str">
        <f>IFERROR(INDEX(装备库!$A$2:$Y$1047,MATCH(ROW()-1,装备库!$AO$2:$AO$1046,0),COLUMN()),"")</f>
        <v/>
      </c>
      <c r="R812" t="str">
        <f>IFERROR(INDEX(装备库!$A$2:$Y$1047,MATCH(ROW()-1,装备库!$AO$2:$AO$1046,0),COLUMN()),"")</f>
        <v/>
      </c>
      <c r="S812" t="str">
        <f>IFERROR(INDEX(装备库!$A$2:$Y$1047,MATCH(ROW()-1,装备库!$AO$2:$AO$1046,0),COLUMN()),"")</f>
        <v/>
      </c>
      <c r="T812" t="str">
        <f>IFERROR(INDEX(装备库!$A$2:$Y$1047,MATCH(ROW()-1,装备库!$AO$2:$AO$1046,0),COLUMN()),"")</f>
        <v/>
      </c>
      <c r="U812" t="str">
        <f>IFERROR(INDEX(装备库!$A$2:$Y$1047,MATCH(ROW()-1,装备库!$AO$2:$AO$1046,0),COLUMN()),"")</f>
        <v/>
      </c>
      <c r="V812" t="str">
        <f>IFERROR(INDEX(装备库!$A$2:$Y$1047,MATCH(ROW()-1,装备库!$AO$2:$AO$1046,0),COLUMN()),"")</f>
        <v/>
      </c>
      <c r="W812" t="str">
        <f>IFERROR(INDEX(装备库!$A$2:$Y$1047,MATCH(ROW()-1,装备库!$AO$2:$AO$1046,0),COLUMN()),"")</f>
        <v/>
      </c>
      <c r="X812" t="str">
        <f>IFERROR(INDEX(装备库!$A$2:$Y$1047,MATCH(ROW()-1,装备库!$AO$2:$AO$1046,0),COLUMN()),"")</f>
        <v/>
      </c>
      <c r="Y812" t="str">
        <f>IFERROR(INDEX(装备库!$A$2:$Y$1047,MATCH(ROW()-1,装备库!$AO$2:$AO$1046,0),COLUMN()),"")</f>
        <v/>
      </c>
    </row>
    <row r="813" spans="1:25" x14ac:dyDescent="0.35">
      <c r="A813" t="str">
        <f>IFERROR(INDEX(装备库!$A$2:$Y$1047,MATCH(ROW()-1,装备库!$AO$2:$AO$1046,0),COLUMN()),"")</f>
        <v/>
      </c>
      <c r="B813" t="str">
        <f>IFERROR(INDEX(装备库!$A$2:$Y$1047,MATCH(ROW()-1,装备库!$AO$2:$AO$1046,0),COLUMN()),"")</f>
        <v/>
      </c>
      <c r="C813" t="str">
        <f>IFERROR(INDEX(装备库!$A$2:$Y$1047,MATCH(ROW()-1,装备库!$AO$2:$AO$1046,0),COLUMN()),"")</f>
        <v/>
      </c>
      <c r="D813" t="str">
        <f>IFERROR(INDEX(装备库!$A$2:$Y$1047,MATCH(ROW()-1,装备库!$AO$2:$AO$1046,0),COLUMN()),"")</f>
        <v/>
      </c>
      <c r="E813" t="str">
        <f>IFERROR(INDEX(装备库!$A$2:$Y$1047,MATCH(ROW()-1,装备库!$AO$2:$AO$1046,0),COLUMN()),"")</f>
        <v/>
      </c>
      <c r="F813" t="str">
        <f>IFERROR(INDEX(装备库!$A$2:$Y$1047,MATCH(ROW()-1,装备库!$AO$2:$AO$1046,0),COLUMN()),"")</f>
        <v/>
      </c>
      <c r="G813" t="str">
        <f>IFERROR(INDEX(装备库!$A$2:$Y$1047,MATCH(ROW()-1,装备库!$AO$2:$AO$1046,0),COLUMN()),"")</f>
        <v/>
      </c>
      <c r="H813" t="str">
        <f>IFERROR(INDEX(装备库!$A$2:$Y$1047,MATCH(ROW()-1,装备库!$AO$2:$AO$1046,0),COLUMN()),"")</f>
        <v/>
      </c>
      <c r="I813" t="str">
        <f>IFERROR(INDEX(装备库!$A$2:$Y$1047,MATCH(ROW()-1,装备库!$AO$2:$AO$1046,0),COLUMN()),"")</f>
        <v/>
      </c>
      <c r="J813" t="str">
        <f>IFERROR(INDEX(装备库!$A$2:$Y$1047,MATCH(ROW()-1,装备库!$AO$2:$AO$1046,0),COLUMN()),"")</f>
        <v/>
      </c>
      <c r="K813" t="str">
        <f>IFERROR(INDEX(装备库!$A$2:$Y$1047,MATCH(ROW()-1,装备库!$AO$2:$AO$1046,0),COLUMN()),"")</f>
        <v/>
      </c>
      <c r="L813" t="str">
        <f>IFERROR(INDEX(装备库!$A$2:$Y$1047,MATCH(ROW()-1,装备库!$AO$2:$AO$1046,0),COLUMN()),"")</f>
        <v/>
      </c>
      <c r="M813" t="str">
        <f>IFERROR(INDEX(装备库!$A$2:$Y$1047,MATCH(ROW()-1,装备库!$AO$2:$AO$1046,0),COLUMN()),"")</f>
        <v/>
      </c>
      <c r="N813" t="str">
        <f>IFERROR(INDEX(装备库!$A$2:$Y$1047,MATCH(ROW()-1,装备库!$AO$2:$AO$1046,0),COLUMN()),"")</f>
        <v/>
      </c>
      <c r="O813" t="str">
        <f>IFERROR(INDEX(装备库!$A$2:$Y$1047,MATCH(ROW()-1,装备库!$AO$2:$AO$1046,0),COLUMN()),"")</f>
        <v/>
      </c>
      <c r="P813" t="str">
        <f>IFERROR(INDEX(装备库!$A$2:$Y$1047,MATCH(ROW()-1,装备库!$AO$2:$AO$1046,0),COLUMN()),"")</f>
        <v/>
      </c>
      <c r="Q813" t="str">
        <f>IFERROR(INDEX(装备库!$A$2:$Y$1047,MATCH(ROW()-1,装备库!$AO$2:$AO$1046,0),COLUMN()),"")</f>
        <v/>
      </c>
      <c r="R813" t="str">
        <f>IFERROR(INDEX(装备库!$A$2:$Y$1047,MATCH(ROW()-1,装备库!$AO$2:$AO$1046,0),COLUMN()),"")</f>
        <v/>
      </c>
      <c r="S813" t="str">
        <f>IFERROR(INDEX(装备库!$A$2:$Y$1047,MATCH(ROW()-1,装备库!$AO$2:$AO$1046,0),COLUMN()),"")</f>
        <v/>
      </c>
      <c r="T813" t="str">
        <f>IFERROR(INDEX(装备库!$A$2:$Y$1047,MATCH(ROW()-1,装备库!$AO$2:$AO$1046,0),COLUMN()),"")</f>
        <v/>
      </c>
      <c r="U813" t="str">
        <f>IFERROR(INDEX(装备库!$A$2:$Y$1047,MATCH(ROW()-1,装备库!$AO$2:$AO$1046,0),COLUMN()),"")</f>
        <v/>
      </c>
      <c r="V813" t="str">
        <f>IFERROR(INDEX(装备库!$A$2:$Y$1047,MATCH(ROW()-1,装备库!$AO$2:$AO$1046,0),COLUMN()),"")</f>
        <v/>
      </c>
      <c r="W813" t="str">
        <f>IFERROR(INDEX(装备库!$A$2:$Y$1047,MATCH(ROW()-1,装备库!$AO$2:$AO$1046,0),COLUMN()),"")</f>
        <v/>
      </c>
      <c r="X813" t="str">
        <f>IFERROR(INDEX(装备库!$A$2:$Y$1047,MATCH(ROW()-1,装备库!$AO$2:$AO$1046,0),COLUMN()),"")</f>
        <v/>
      </c>
      <c r="Y813" t="str">
        <f>IFERROR(INDEX(装备库!$A$2:$Y$1047,MATCH(ROW()-1,装备库!$AO$2:$AO$1046,0),COLUMN()),"")</f>
        <v/>
      </c>
    </row>
    <row r="814" spans="1:25" x14ac:dyDescent="0.35">
      <c r="A814" t="str">
        <f>IFERROR(INDEX(装备库!$A$2:$Y$1047,MATCH(ROW()-1,装备库!$AO$2:$AO$1046,0),COLUMN()),"")</f>
        <v/>
      </c>
      <c r="B814" t="str">
        <f>IFERROR(INDEX(装备库!$A$2:$Y$1047,MATCH(ROW()-1,装备库!$AO$2:$AO$1046,0),COLUMN()),"")</f>
        <v/>
      </c>
      <c r="C814" t="str">
        <f>IFERROR(INDEX(装备库!$A$2:$Y$1047,MATCH(ROW()-1,装备库!$AO$2:$AO$1046,0),COLUMN()),"")</f>
        <v/>
      </c>
      <c r="D814" t="str">
        <f>IFERROR(INDEX(装备库!$A$2:$Y$1047,MATCH(ROW()-1,装备库!$AO$2:$AO$1046,0),COLUMN()),"")</f>
        <v/>
      </c>
      <c r="E814" t="str">
        <f>IFERROR(INDEX(装备库!$A$2:$Y$1047,MATCH(ROW()-1,装备库!$AO$2:$AO$1046,0),COLUMN()),"")</f>
        <v/>
      </c>
      <c r="F814" t="str">
        <f>IFERROR(INDEX(装备库!$A$2:$Y$1047,MATCH(ROW()-1,装备库!$AO$2:$AO$1046,0),COLUMN()),"")</f>
        <v/>
      </c>
      <c r="G814" t="str">
        <f>IFERROR(INDEX(装备库!$A$2:$Y$1047,MATCH(ROW()-1,装备库!$AO$2:$AO$1046,0),COLUMN()),"")</f>
        <v/>
      </c>
      <c r="H814" t="str">
        <f>IFERROR(INDEX(装备库!$A$2:$Y$1047,MATCH(ROW()-1,装备库!$AO$2:$AO$1046,0),COLUMN()),"")</f>
        <v/>
      </c>
      <c r="I814" t="str">
        <f>IFERROR(INDEX(装备库!$A$2:$Y$1047,MATCH(ROW()-1,装备库!$AO$2:$AO$1046,0),COLUMN()),"")</f>
        <v/>
      </c>
      <c r="J814" t="str">
        <f>IFERROR(INDEX(装备库!$A$2:$Y$1047,MATCH(ROW()-1,装备库!$AO$2:$AO$1046,0),COLUMN()),"")</f>
        <v/>
      </c>
      <c r="K814" t="str">
        <f>IFERROR(INDEX(装备库!$A$2:$Y$1047,MATCH(ROW()-1,装备库!$AO$2:$AO$1046,0),COLUMN()),"")</f>
        <v/>
      </c>
      <c r="L814" t="str">
        <f>IFERROR(INDEX(装备库!$A$2:$Y$1047,MATCH(ROW()-1,装备库!$AO$2:$AO$1046,0),COLUMN()),"")</f>
        <v/>
      </c>
      <c r="M814" t="str">
        <f>IFERROR(INDEX(装备库!$A$2:$Y$1047,MATCH(ROW()-1,装备库!$AO$2:$AO$1046,0),COLUMN()),"")</f>
        <v/>
      </c>
      <c r="N814" t="str">
        <f>IFERROR(INDEX(装备库!$A$2:$Y$1047,MATCH(ROW()-1,装备库!$AO$2:$AO$1046,0),COLUMN()),"")</f>
        <v/>
      </c>
      <c r="O814" t="str">
        <f>IFERROR(INDEX(装备库!$A$2:$Y$1047,MATCH(ROW()-1,装备库!$AO$2:$AO$1046,0),COLUMN()),"")</f>
        <v/>
      </c>
      <c r="P814" t="str">
        <f>IFERROR(INDEX(装备库!$A$2:$Y$1047,MATCH(ROW()-1,装备库!$AO$2:$AO$1046,0),COLUMN()),"")</f>
        <v/>
      </c>
      <c r="Q814" t="str">
        <f>IFERROR(INDEX(装备库!$A$2:$Y$1047,MATCH(ROW()-1,装备库!$AO$2:$AO$1046,0),COLUMN()),"")</f>
        <v/>
      </c>
      <c r="R814" t="str">
        <f>IFERROR(INDEX(装备库!$A$2:$Y$1047,MATCH(ROW()-1,装备库!$AO$2:$AO$1046,0),COLUMN()),"")</f>
        <v/>
      </c>
      <c r="S814" t="str">
        <f>IFERROR(INDEX(装备库!$A$2:$Y$1047,MATCH(ROW()-1,装备库!$AO$2:$AO$1046,0),COLUMN()),"")</f>
        <v/>
      </c>
      <c r="T814" t="str">
        <f>IFERROR(INDEX(装备库!$A$2:$Y$1047,MATCH(ROW()-1,装备库!$AO$2:$AO$1046,0),COLUMN()),"")</f>
        <v/>
      </c>
      <c r="U814" t="str">
        <f>IFERROR(INDEX(装备库!$A$2:$Y$1047,MATCH(ROW()-1,装备库!$AO$2:$AO$1046,0),COLUMN()),"")</f>
        <v/>
      </c>
      <c r="V814" t="str">
        <f>IFERROR(INDEX(装备库!$A$2:$Y$1047,MATCH(ROW()-1,装备库!$AO$2:$AO$1046,0),COLUMN()),"")</f>
        <v/>
      </c>
      <c r="W814" t="str">
        <f>IFERROR(INDEX(装备库!$A$2:$Y$1047,MATCH(ROW()-1,装备库!$AO$2:$AO$1046,0),COLUMN()),"")</f>
        <v/>
      </c>
      <c r="X814" t="str">
        <f>IFERROR(INDEX(装备库!$A$2:$Y$1047,MATCH(ROW()-1,装备库!$AO$2:$AO$1046,0),COLUMN()),"")</f>
        <v/>
      </c>
      <c r="Y814" t="str">
        <f>IFERROR(INDEX(装备库!$A$2:$Y$1047,MATCH(ROW()-1,装备库!$AO$2:$AO$1046,0),COLUMN()),"")</f>
        <v/>
      </c>
    </row>
    <row r="815" spans="1:25" x14ac:dyDescent="0.35">
      <c r="A815" t="str">
        <f>IFERROR(INDEX(装备库!$A$2:$Y$1047,MATCH(ROW()-1,装备库!$AO$2:$AO$1046,0),COLUMN()),"")</f>
        <v/>
      </c>
      <c r="B815" t="str">
        <f>IFERROR(INDEX(装备库!$A$2:$Y$1047,MATCH(ROW()-1,装备库!$AO$2:$AO$1046,0),COLUMN()),"")</f>
        <v/>
      </c>
      <c r="C815" t="str">
        <f>IFERROR(INDEX(装备库!$A$2:$Y$1047,MATCH(ROW()-1,装备库!$AO$2:$AO$1046,0),COLUMN()),"")</f>
        <v/>
      </c>
      <c r="D815" t="str">
        <f>IFERROR(INDEX(装备库!$A$2:$Y$1047,MATCH(ROW()-1,装备库!$AO$2:$AO$1046,0),COLUMN()),"")</f>
        <v/>
      </c>
      <c r="E815" t="str">
        <f>IFERROR(INDEX(装备库!$A$2:$Y$1047,MATCH(ROW()-1,装备库!$AO$2:$AO$1046,0),COLUMN()),"")</f>
        <v/>
      </c>
      <c r="F815" t="str">
        <f>IFERROR(INDEX(装备库!$A$2:$Y$1047,MATCH(ROW()-1,装备库!$AO$2:$AO$1046,0),COLUMN()),"")</f>
        <v/>
      </c>
      <c r="G815" t="str">
        <f>IFERROR(INDEX(装备库!$A$2:$Y$1047,MATCH(ROW()-1,装备库!$AO$2:$AO$1046,0),COLUMN()),"")</f>
        <v/>
      </c>
      <c r="H815" t="str">
        <f>IFERROR(INDEX(装备库!$A$2:$Y$1047,MATCH(ROW()-1,装备库!$AO$2:$AO$1046,0),COLUMN()),"")</f>
        <v/>
      </c>
      <c r="I815" t="str">
        <f>IFERROR(INDEX(装备库!$A$2:$Y$1047,MATCH(ROW()-1,装备库!$AO$2:$AO$1046,0),COLUMN()),"")</f>
        <v/>
      </c>
      <c r="J815" t="str">
        <f>IFERROR(INDEX(装备库!$A$2:$Y$1047,MATCH(ROW()-1,装备库!$AO$2:$AO$1046,0),COLUMN()),"")</f>
        <v/>
      </c>
      <c r="K815" t="str">
        <f>IFERROR(INDEX(装备库!$A$2:$Y$1047,MATCH(ROW()-1,装备库!$AO$2:$AO$1046,0),COLUMN()),"")</f>
        <v/>
      </c>
      <c r="L815" t="str">
        <f>IFERROR(INDEX(装备库!$A$2:$Y$1047,MATCH(ROW()-1,装备库!$AO$2:$AO$1046,0),COLUMN()),"")</f>
        <v/>
      </c>
      <c r="M815" t="str">
        <f>IFERROR(INDEX(装备库!$A$2:$Y$1047,MATCH(ROW()-1,装备库!$AO$2:$AO$1046,0),COLUMN()),"")</f>
        <v/>
      </c>
      <c r="N815" t="str">
        <f>IFERROR(INDEX(装备库!$A$2:$Y$1047,MATCH(ROW()-1,装备库!$AO$2:$AO$1046,0),COLUMN()),"")</f>
        <v/>
      </c>
      <c r="O815" t="str">
        <f>IFERROR(INDEX(装备库!$A$2:$Y$1047,MATCH(ROW()-1,装备库!$AO$2:$AO$1046,0),COLUMN()),"")</f>
        <v/>
      </c>
      <c r="P815" t="str">
        <f>IFERROR(INDEX(装备库!$A$2:$Y$1047,MATCH(ROW()-1,装备库!$AO$2:$AO$1046,0),COLUMN()),"")</f>
        <v/>
      </c>
      <c r="Q815" t="str">
        <f>IFERROR(INDEX(装备库!$A$2:$Y$1047,MATCH(ROW()-1,装备库!$AO$2:$AO$1046,0),COLUMN()),"")</f>
        <v/>
      </c>
      <c r="R815" t="str">
        <f>IFERROR(INDEX(装备库!$A$2:$Y$1047,MATCH(ROW()-1,装备库!$AO$2:$AO$1046,0),COLUMN()),"")</f>
        <v/>
      </c>
      <c r="S815" t="str">
        <f>IFERROR(INDEX(装备库!$A$2:$Y$1047,MATCH(ROW()-1,装备库!$AO$2:$AO$1046,0),COLUMN()),"")</f>
        <v/>
      </c>
      <c r="T815" t="str">
        <f>IFERROR(INDEX(装备库!$A$2:$Y$1047,MATCH(ROW()-1,装备库!$AO$2:$AO$1046,0),COLUMN()),"")</f>
        <v/>
      </c>
      <c r="U815" t="str">
        <f>IFERROR(INDEX(装备库!$A$2:$Y$1047,MATCH(ROW()-1,装备库!$AO$2:$AO$1046,0),COLUMN()),"")</f>
        <v/>
      </c>
      <c r="V815" t="str">
        <f>IFERROR(INDEX(装备库!$A$2:$Y$1047,MATCH(ROW()-1,装备库!$AO$2:$AO$1046,0),COLUMN()),"")</f>
        <v/>
      </c>
      <c r="W815" t="str">
        <f>IFERROR(INDEX(装备库!$A$2:$Y$1047,MATCH(ROW()-1,装备库!$AO$2:$AO$1046,0),COLUMN()),"")</f>
        <v/>
      </c>
      <c r="X815" t="str">
        <f>IFERROR(INDEX(装备库!$A$2:$Y$1047,MATCH(ROW()-1,装备库!$AO$2:$AO$1046,0),COLUMN()),"")</f>
        <v/>
      </c>
      <c r="Y815" t="str">
        <f>IFERROR(INDEX(装备库!$A$2:$Y$1047,MATCH(ROW()-1,装备库!$AO$2:$AO$1046,0),COLUMN()),"")</f>
        <v/>
      </c>
    </row>
    <row r="816" spans="1:25" x14ac:dyDescent="0.35">
      <c r="A816" t="str">
        <f>IFERROR(INDEX(装备库!$A$2:$Y$1047,MATCH(ROW()-1,装备库!$AO$2:$AO$1046,0),COLUMN()),"")</f>
        <v/>
      </c>
      <c r="B816" t="str">
        <f>IFERROR(INDEX(装备库!$A$2:$Y$1047,MATCH(ROW()-1,装备库!$AO$2:$AO$1046,0),COLUMN()),"")</f>
        <v/>
      </c>
      <c r="C816" t="str">
        <f>IFERROR(INDEX(装备库!$A$2:$Y$1047,MATCH(ROW()-1,装备库!$AO$2:$AO$1046,0),COLUMN()),"")</f>
        <v/>
      </c>
      <c r="D816" t="str">
        <f>IFERROR(INDEX(装备库!$A$2:$Y$1047,MATCH(ROW()-1,装备库!$AO$2:$AO$1046,0),COLUMN()),"")</f>
        <v/>
      </c>
      <c r="E816" t="str">
        <f>IFERROR(INDEX(装备库!$A$2:$Y$1047,MATCH(ROW()-1,装备库!$AO$2:$AO$1046,0),COLUMN()),"")</f>
        <v/>
      </c>
      <c r="F816" t="str">
        <f>IFERROR(INDEX(装备库!$A$2:$Y$1047,MATCH(ROW()-1,装备库!$AO$2:$AO$1046,0),COLUMN()),"")</f>
        <v/>
      </c>
      <c r="G816" t="str">
        <f>IFERROR(INDEX(装备库!$A$2:$Y$1047,MATCH(ROW()-1,装备库!$AO$2:$AO$1046,0),COLUMN()),"")</f>
        <v/>
      </c>
      <c r="H816" t="str">
        <f>IFERROR(INDEX(装备库!$A$2:$Y$1047,MATCH(ROW()-1,装备库!$AO$2:$AO$1046,0),COLUMN()),"")</f>
        <v/>
      </c>
      <c r="I816" t="str">
        <f>IFERROR(INDEX(装备库!$A$2:$Y$1047,MATCH(ROW()-1,装备库!$AO$2:$AO$1046,0),COLUMN()),"")</f>
        <v/>
      </c>
      <c r="J816" t="str">
        <f>IFERROR(INDEX(装备库!$A$2:$Y$1047,MATCH(ROW()-1,装备库!$AO$2:$AO$1046,0),COLUMN()),"")</f>
        <v/>
      </c>
      <c r="K816" t="str">
        <f>IFERROR(INDEX(装备库!$A$2:$Y$1047,MATCH(ROW()-1,装备库!$AO$2:$AO$1046,0),COLUMN()),"")</f>
        <v/>
      </c>
      <c r="L816" t="str">
        <f>IFERROR(INDEX(装备库!$A$2:$Y$1047,MATCH(ROW()-1,装备库!$AO$2:$AO$1046,0),COLUMN()),"")</f>
        <v/>
      </c>
      <c r="M816" t="str">
        <f>IFERROR(INDEX(装备库!$A$2:$Y$1047,MATCH(ROW()-1,装备库!$AO$2:$AO$1046,0),COLUMN()),"")</f>
        <v/>
      </c>
      <c r="N816" t="str">
        <f>IFERROR(INDEX(装备库!$A$2:$Y$1047,MATCH(ROW()-1,装备库!$AO$2:$AO$1046,0),COLUMN()),"")</f>
        <v/>
      </c>
      <c r="O816" t="str">
        <f>IFERROR(INDEX(装备库!$A$2:$Y$1047,MATCH(ROW()-1,装备库!$AO$2:$AO$1046,0),COLUMN()),"")</f>
        <v/>
      </c>
      <c r="P816" t="str">
        <f>IFERROR(INDEX(装备库!$A$2:$Y$1047,MATCH(ROW()-1,装备库!$AO$2:$AO$1046,0),COLUMN()),"")</f>
        <v/>
      </c>
      <c r="Q816" t="str">
        <f>IFERROR(INDEX(装备库!$A$2:$Y$1047,MATCH(ROW()-1,装备库!$AO$2:$AO$1046,0),COLUMN()),"")</f>
        <v/>
      </c>
      <c r="R816" t="str">
        <f>IFERROR(INDEX(装备库!$A$2:$Y$1047,MATCH(ROW()-1,装备库!$AO$2:$AO$1046,0),COLUMN()),"")</f>
        <v/>
      </c>
      <c r="S816" t="str">
        <f>IFERROR(INDEX(装备库!$A$2:$Y$1047,MATCH(ROW()-1,装备库!$AO$2:$AO$1046,0),COLUMN()),"")</f>
        <v/>
      </c>
      <c r="T816" t="str">
        <f>IFERROR(INDEX(装备库!$A$2:$Y$1047,MATCH(ROW()-1,装备库!$AO$2:$AO$1046,0),COLUMN()),"")</f>
        <v/>
      </c>
      <c r="U816" t="str">
        <f>IFERROR(INDEX(装备库!$A$2:$Y$1047,MATCH(ROW()-1,装备库!$AO$2:$AO$1046,0),COLUMN()),"")</f>
        <v/>
      </c>
      <c r="V816" t="str">
        <f>IFERROR(INDEX(装备库!$A$2:$Y$1047,MATCH(ROW()-1,装备库!$AO$2:$AO$1046,0),COLUMN()),"")</f>
        <v/>
      </c>
      <c r="W816" t="str">
        <f>IFERROR(INDEX(装备库!$A$2:$Y$1047,MATCH(ROW()-1,装备库!$AO$2:$AO$1046,0),COLUMN()),"")</f>
        <v/>
      </c>
      <c r="X816" t="str">
        <f>IFERROR(INDEX(装备库!$A$2:$Y$1047,MATCH(ROW()-1,装备库!$AO$2:$AO$1046,0),COLUMN()),"")</f>
        <v/>
      </c>
      <c r="Y816" t="str">
        <f>IFERROR(INDEX(装备库!$A$2:$Y$1047,MATCH(ROW()-1,装备库!$AO$2:$AO$1046,0),COLUMN()),"")</f>
        <v/>
      </c>
    </row>
    <row r="817" spans="1:25" x14ac:dyDescent="0.35">
      <c r="A817" t="str">
        <f>IFERROR(INDEX(装备库!$A$2:$Y$1047,MATCH(ROW()-1,装备库!$AO$2:$AO$1046,0),COLUMN()),"")</f>
        <v/>
      </c>
      <c r="B817" t="str">
        <f>IFERROR(INDEX(装备库!$A$2:$Y$1047,MATCH(ROW()-1,装备库!$AO$2:$AO$1046,0),COLUMN()),"")</f>
        <v/>
      </c>
      <c r="C817" t="str">
        <f>IFERROR(INDEX(装备库!$A$2:$Y$1047,MATCH(ROW()-1,装备库!$AO$2:$AO$1046,0),COLUMN()),"")</f>
        <v/>
      </c>
      <c r="D817" t="str">
        <f>IFERROR(INDEX(装备库!$A$2:$Y$1047,MATCH(ROW()-1,装备库!$AO$2:$AO$1046,0),COLUMN()),"")</f>
        <v/>
      </c>
      <c r="E817" t="str">
        <f>IFERROR(INDEX(装备库!$A$2:$Y$1047,MATCH(ROW()-1,装备库!$AO$2:$AO$1046,0),COLUMN()),"")</f>
        <v/>
      </c>
      <c r="F817" t="str">
        <f>IFERROR(INDEX(装备库!$A$2:$Y$1047,MATCH(ROW()-1,装备库!$AO$2:$AO$1046,0),COLUMN()),"")</f>
        <v/>
      </c>
      <c r="G817" t="str">
        <f>IFERROR(INDEX(装备库!$A$2:$Y$1047,MATCH(ROW()-1,装备库!$AO$2:$AO$1046,0),COLUMN()),"")</f>
        <v/>
      </c>
      <c r="H817" t="str">
        <f>IFERROR(INDEX(装备库!$A$2:$Y$1047,MATCH(ROW()-1,装备库!$AO$2:$AO$1046,0),COLUMN()),"")</f>
        <v/>
      </c>
      <c r="I817" t="str">
        <f>IFERROR(INDEX(装备库!$A$2:$Y$1047,MATCH(ROW()-1,装备库!$AO$2:$AO$1046,0),COLUMN()),"")</f>
        <v/>
      </c>
      <c r="J817" t="str">
        <f>IFERROR(INDEX(装备库!$A$2:$Y$1047,MATCH(ROW()-1,装备库!$AO$2:$AO$1046,0),COLUMN()),"")</f>
        <v/>
      </c>
      <c r="K817" t="str">
        <f>IFERROR(INDEX(装备库!$A$2:$Y$1047,MATCH(ROW()-1,装备库!$AO$2:$AO$1046,0),COLUMN()),"")</f>
        <v/>
      </c>
      <c r="L817" t="str">
        <f>IFERROR(INDEX(装备库!$A$2:$Y$1047,MATCH(ROW()-1,装备库!$AO$2:$AO$1046,0),COLUMN()),"")</f>
        <v/>
      </c>
      <c r="M817" t="str">
        <f>IFERROR(INDEX(装备库!$A$2:$Y$1047,MATCH(ROW()-1,装备库!$AO$2:$AO$1046,0),COLUMN()),"")</f>
        <v/>
      </c>
      <c r="N817" t="str">
        <f>IFERROR(INDEX(装备库!$A$2:$Y$1047,MATCH(ROW()-1,装备库!$AO$2:$AO$1046,0),COLUMN()),"")</f>
        <v/>
      </c>
      <c r="O817" t="str">
        <f>IFERROR(INDEX(装备库!$A$2:$Y$1047,MATCH(ROW()-1,装备库!$AO$2:$AO$1046,0),COLUMN()),"")</f>
        <v/>
      </c>
      <c r="P817" t="str">
        <f>IFERROR(INDEX(装备库!$A$2:$Y$1047,MATCH(ROW()-1,装备库!$AO$2:$AO$1046,0),COLUMN()),"")</f>
        <v/>
      </c>
      <c r="Q817" t="str">
        <f>IFERROR(INDEX(装备库!$A$2:$Y$1047,MATCH(ROW()-1,装备库!$AO$2:$AO$1046,0),COLUMN()),"")</f>
        <v/>
      </c>
      <c r="R817" t="str">
        <f>IFERROR(INDEX(装备库!$A$2:$Y$1047,MATCH(ROW()-1,装备库!$AO$2:$AO$1046,0),COLUMN()),"")</f>
        <v/>
      </c>
      <c r="S817" t="str">
        <f>IFERROR(INDEX(装备库!$A$2:$Y$1047,MATCH(ROW()-1,装备库!$AO$2:$AO$1046,0),COLUMN()),"")</f>
        <v/>
      </c>
      <c r="T817" t="str">
        <f>IFERROR(INDEX(装备库!$A$2:$Y$1047,MATCH(ROW()-1,装备库!$AO$2:$AO$1046,0),COLUMN()),"")</f>
        <v/>
      </c>
      <c r="U817" t="str">
        <f>IFERROR(INDEX(装备库!$A$2:$Y$1047,MATCH(ROW()-1,装备库!$AO$2:$AO$1046,0),COLUMN()),"")</f>
        <v/>
      </c>
      <c r="V817" t="str">
        <f>IFERROR(INDEX(装备库!$A$2:$Y$1047,MATCH(ROW()-1,装备库!$AO$2:$AO$1046,0),COLUMN()),"")</f>
        <v/>
      </c>
      <c r="W817" t="str">
        <f>IFERROR(INDEX(装备库!$A$2:$Y$1047,MATCH(ROW()-1,装备库!$AO$2:$AO$1046,0),COLUMN()),"")</f>
        <v/>
      </c>
      <c r="X817" t="str">
        <f>IFERROR(INDEX(装备库!$A$2:$Y$1047,MATCH(ROW()-1,装备库!$AO$2:$AO$1046,0),COLUMN()),"")</f>
        <v/>
      </c>
      <c r="Y817" t="str">
        <f>IFERROR(INDEX(装备库!$A$2:$Y$1047,MATCH(ROW()-1,装备库!$AO$2:$AO$1046,0),COLUMN()),"")</f>
        <v/>
      </c>
    </row>
    <row r="818" spans="1:25" x14ac:dyDescent="0.35">
      <c r="A818" t="str">
        <f>IFERROR(INDEX(装备库!$A$2:$Y$1047,MATCH(ROW()-1,装备库!$AO$2:$AO$1046,0),COLUMN()),"")</f>
        <v/>
      </c>
      <c r="B818" t="str">
        <f>IFERROR(INDEX(装备库!$A$2:$Y$1047,MATCH(ROW()-1,装备库!$AO$2:$AO$1046,0),COLUMN()),"")</f>
        <v/>
      </c>
      <c r="C818" t="str">
        <f>IFERROR(INDEX(装备库!$A$2:$Y$1047,MATCH(ROW()-1,装备库!$AO$2:$AO$1046,0),COLUMN()),"")</f>
        <v/>
      </c>
      <c r="D818" t="str">
        <f>IFERROR(INDEX(装备库!$A$2:$Y$1047,MATCH(ROW()-1,装备库!$AO$2:$AO$1046,0),COLUMN()),"")</f>
        <v/>
      </c>
      <c r="E818" t="str">
        <f>IFERROR(INDEX(装备库!$A$2:$Y$1047,MATCH(ROW()-1,装备库!$AO$2:$AO$1046,0),COLUMN()),"")</f>
        <v/>
      </c>
      <c r="F818" t="str">
        <f>IFERROR(INDEX(装备库!$A$2:$Y$1047,MATCH(ROW()-1,装备库!$AO$2:$AO$1046,0),COLUMN()),"")</f>
        <v/>
      </c>
      <c r="G818" t="str">
        <f>IFERROR(INDEX(装备库!$A$2:$Y$1047,MATCH(ROW()-1,装备库!$AO$2:$AO$1046,0),COLUMN()),"")</f>
        <v/>
      </c>
      <c r="H818" t="str">
        <f>IFERROR(INDEX(装备库!$A$2:$Y$1047,MATCH(ROW()-1,装备库!$AO$2:$AO$1046,0),COLUMN()),"")</f>
        <v/>
      </c>
      <c r="I818" t="str">
        <f>IFERROR(INDEX(装备库!$A$2:$Y$1047,MATCH(ROW()-1,装备库!$AO$2:$AO$1046,0),COLUMN()),"")</f>
        <v/>
      </c>
      <c r="J818" t="str">
        <f>IFERROR(INDEX(装备库!$A$2:$Y$1047,MATCH(ROW()-1,装备库!$AO$2:$AO$1046,0),COLUMN()),"")</f>
        <v/>
      </c>
      <c r="K818" t="str">
        <f>IFERROR(INDEX(装备库!$A$2:$Y$1047,MATCH(ROW()-1,装备库!$AO$2:$AO$1046,0),COLUMN()),"")</f>
        <v/>
      </c>
      <c r="L818" t="str">
        <f>IFERROR(INDEX(装备库!$A$2:$Y$1047,MATCH(ROW()-1,装备库!$AO$2:$AO$1046,0),COLUMN()),"")</f>
        <v/>
      </c>
      <c r="M818" t="str">
        <f>IFERROR(INDEX(装备库!$A$2:$Y$1047,MATCH(ROW()-1,装备库!$AO$2:$AO$1046,0),COLUMN()),"")</f>
        <v/>
      </c>
      <c r="N818" t="str">
        <f>IFERROR(INDEX(装备库!$A$2:$Y$1047,MATCH(ROW()-1,装备库!$AO$2:$AO$1046,0),COLUMN()),"")</f>
        <v/>
      </c>
      <c r="O818" t="str">
        <f>IFERROR(INDEX(装备库!$A$2:$Y$1047,MATCH(ROW()-1,装备库!$AO$2:$AO$1046,0),COLUMN()),"")</f>
        <v/>
      </c>
      <c r="P818" t="str">
        <f>IFERROR(INDEX(装备库!$A$2:$Y$1047,MATCH(ROW()-1,装备库!$AO$2:$AO$1046,0),COLUMN()),"")</f>
        <v/>
      </c>
      <c r="Q818" t="str">
        <f>IFERROR(INDEX(装备库!$A$2:$Y$1047,MATCH(ROW()-1,装备库!$AO$2:$AO$1046,0),COLUMN()),"")</f>
        <v/>
      </c>
      <c r="R818" t="str">
        <f>IFERROR(INDEX(装备库!$A$2:$Y$1047,MATCH(ROW()-1,装备库!$AO$2:$AO$1046,0),COLUMN()),"")</f>
        <v/>
      </c>
      <c r="S818" t="str">
        <f>IFERROR(INDEX(装备库!$A$2:$Y$1047,MATCH(ROW()-1,装备库!$AO$2:$AO$1046,0),COLUMN()),"")</f>
        <v/>
      </c>
      <c r="T818" t="str">
        <f>IFERROR(INDEX(装备库!$A$2:$Y$1047,MATCH(ROW()-1,装备库!$AO$2:$AO$1046,0),COLUMN()),"")</f>
        <v/>
      </c>
      <c r="U818" t="str">
        <f>IFERROR(INDEX(装备库!$A$2:$Y$1047,MATCH(ROW()-1,装备库!$AO$2:$AO$1046,0),COLUMN()),"")</f>
        <v/>
      </c>
      <c r="V818" t="str">
        <f>IFERROR(INDEX(装备库!$A$2:$Y$1047,MATCH(ROW()-1,装备库!$AO$2:$AO$1046,0),COLUMN()),"")</f>
        <v/>
      </c>
      <c r="W818" t="str">
        <f>IFERROR(INDEX(装备库!$A$2:$Y$1047,MATCH(ROW()-1,装备库!$AO$2:$AO$1046,0),COLUMN()),"")</f>
        <v/>
      </c>
      <c r="X818" t="str">
        <f>IFERROR(INDEX(装备库!$A$2:$Y$1047,MATCH(ROW()-1,装备库!$AO$2:$AO$1046,0),COLUMN()),"")</f>
        <v/>
      </c>
      <c r="Y818" t="str">
        <f>IFERROR(INDEX(装备库!$A$2:$Y$1047,MATCH(ROW()-1,装备库!$AO$2:$AO$1046,0),COLUMN()),"")</f>
        <v/>
      </c>
    </row>
    <row r="819" spans="1:25" x14ac:dyDescent="0.35">
      <c r="A819" t="str">
        <f>IFERROR(INDEX(装备库!$A$2:$Y$1047,MATCH(ROW()-1,装备库!$AO$2:$AO$1046,0),COLUMN()),"")</f>
        <v/>
      </c>
      <c r="B819" t="str">
        <f>IFERROR(INDEX(装备库!$A$2:$Y$1047,MATCH(ROW()-1,装备库!$AO$2:$AO$1046,0),COLUMN()),"")</f>
        <v/>
      </c>
      <c r="C819" t="str">
        <f>IFERROR(INDEX(装备库!$A$2:$Y$1047,MATCH(ROW()-1,装备库!$AO$2:$AO$1046,0),COLUMN()),"")</f>
        <v/>
      </c>
      <c r="D819" t="str">
        <f>IFERROR(INDEX(装备库!$A$2:$Y$1047,MATCH(ROW()-1,装备库!$AO$2:$AO$1046,0),COLUMN()),"")</f>
        <v/>
      </c>
      <c r="E819" t="str">
        <f>IFERROR(INDEX(装备库!$A$2:$Y$1047,MATCH(ROW()-1,装备库!$AO$2:$AO$1046,0),COLUMN()),"")</f>
        <v/>
      </c>
      <c r="F819" t="str">
        <f>IFERROR(INDEX(装备库!$A$2:$Y$1047,MATCH(ROW()-1,装备库!$AO$2:$AO$1046,0),COLUMN()),"")</f>
        <v/>
      </c>
      <c r="G819" t="str">
        <f>IFERROR(INDEX(装备库!$A$2:$Y$1047,MATCH(ROW()-1,装备库!$AO$2:$AO$1046,0),COLUMN()),"")</f>
        <v/>
      </c>
      <c r="H819" t="str">
        <f>IFERROR(INDEX(装备库!$A$2:$Y$1047,MATCH(ROW()-1,装备库!$AO$2:$AO$1046,0),COLUMN()),"")</f>
        <v/>
      </c>
      <c r="I819" t="str">
        <f>IFERROR(INDEX(装备库!$A$2:$Y$1047,MATCH(ROW()-1,装备库!$AO$2:$AO$1046,0),COLUMN()),"")</f>
        <v/>
      </c>
      <c r="J819" t="str">
        <f>IFERROR(INDEX(装备库!$A$2:$Y$1047,MATCH(ROW()-1,装备库!$AO$2:$AO$1046,0),COLUMN()),"")</f>
        <v/>
      </c>
      <c r="K819" t="str">
        <f>IFERROR(INDEX(装备库!$A$2:$Y$1047,MATCH(ROW()-1,装备库!$AO$2:$AO$1046,0),COLUMN()),"")</f>
        <v/>
      </c>
      <c r="L819" t="str">
        <f>IFERROR(INDEX(装备库!$A$2:$Y$1047,MATCH(ROW()-1,装备库!$AO$2:$AO$1046,0),COLUMN()),"")</f>
        <v/>
      </c>
      <c r="M819" t="str">
        <f>IFERROR(INDEX(装备库!$A$2:$Y$1047,MATCH(ROW()-1,装备库!$AO$2:$AO$1046,0),COLUMN()),"")</f>
        <v/>
      </c>
      <c r="N819" t="str">
        <f>IFERROR(INDEX(装备库!$A$2:$Y$1047,MATCH(ROW()-1,装备库!$AO$2:$AO$1046,0),COLUMN()),"")</f>
        <v/>
      </c>
      <c r="O819" t="str">
        <f>IFERROR(INDEX(装备库!$A$2:$Y$1047,MATCH(ROW()-1,装备库!$AO$2:$AO$1046,0),COLUMN()),"")</f>
        <v/>
      </c>
      <c r="P819" t="str">
        <f>IFERROR(INDEX(装备库!$A$2:$Y$1047,MATCH(ROW()-1,装备库!$AO$2:$AO$1046,0),COLUMN()),"")</f>
        <v/>
      </c>
      <c r="Q819" t="str">
        <f>IFERROR(INDEX(装备库!$A$2:$Y$1047,MATCH(ROW()-1,装备库!$AO$2:$AO$1046,0),COLUMN()),"")</f>
        <v/>
      </c>
      <c r="R819" t="str">
        <f>IFERROR(INDEX(装备库!$A$2:$Y$1047,MATCH(ROW()-1,装备库!$AO$2:$AO$1046,0),COLUMN()),"")</f>
        <v/>
      </c>
      <c r="S819" t="str">
        <f>IFERROR(INDEX(装备库!$A$2:$Y$1047,MATCH(ROW()-1,装备库!$AO$2:$AO$1046,0),COLUMN()),"")</f>
        <v/>
      </c>
      <c r="T819" t="str">
        <f>IFERROR(INDEX(装备库!$A$2:$Y$1047,MATCH(ROW()-1,装备库!$AO$2:$AO$1046,0),COLUMN()),"")</f>
        <v/>
      </c>
      <c r="U819" t="str">
        <f>IFERROR(INDEX(装备库!$A$2:$Y$1047,MATCH(ROW()-1,装备库!$AO$2:$AO$1046,0),COLUMN()),"")</f>
        <v/>
      </c>
      <c r="V819" t="str">
        <f>IFERROR(INDEX(装备库!$A$2:$Y$1047,MATCH(ROW()-1,装备库!$AO$2:$AO$1046,0),COLUMN()),"")</f>
        <v/>
      </c>
      <c r="W819" t="str">
        <f>IFERROR(INDEX(装备库!$A$2:$Y$1047,MATCH(ROW()-1,装备库!$AO$2:$AO$1046,0),COLUMN()),"")</f>
        <v/>
      </c>
      <c r="X819" t="str">
        <f>IFERROR(INDEX(装备库!$A$2:$Y$1047,MATCH(ROW()-1,装备库!$AO$2:$AO$1046,0),COLUMN()),"")</f>
        <v/>
      </c>
      <c r="Y819" t="str">
        <f>IFERROR(INDEX(装备库!$A$2:$Y$1047,MATCH(ROW()-1,装备库!$AO$2:$AO$1046,0),COLUMN()),"")</f>
        <v/>
      </c>
    </row>
    <row r="820" spans="1:25" x14ac:dyDescent="0.35">
      <c r="A820" t="str">
        <f>IFERROR(INDEX(装备库!$A$2:$Y$1047,MATCH(ROW()-1,装备库!$AO$2:$AO$1046,0),COLUMN()),"")</f>
        <v/>
      </c>
      <c r="B820" t="str">
        <f>IFERROR(INDEX(装备库!$A$2:$Y$1047,MATCH(ROW()-1,装备库!$AO$2:$AO$1046,0),COLUMN()),"")</f>
        <v/>
      </c>
      <c r="C820" t="str">
        <f>IFERROR(INDEX(装备库!$A$2:$Y$1047,MATCH(ROW()-1,装备库!$AO$2:$AO$1046,0),COLUMN()),"")</f>
        <v/>
      </c>
      <c r="D820" t="str">
        <f>IFERROR(INDEX(装备库!$A$2:$Y$1047,MATCH(ROW()-1,装备库!$AO$2:$AO$1046,0),COLUMN()),"")</f>
        <v/>
      </c>
      <c r="E820" t="str">
        <f>IFERROR(INDEX(装备库!$A$2:$Y$1047,MATCH(ROW()-1,装备库!$AO$2:$AO$1046,0),COLUMN()),"")</f>
        <v/>
      </c>
      <c r="F820" t="str">
        <f>IFERROR(INDEX(装备库!$A$2:$Y$1047,MATCH(ROW()-1,装备库!$AO$2:$AO$1046,0),COLUMN()),"")</f>
        <v/>
      </c>
      <c r="G820" t="str">
        <f>IFERROR(INDEX(装备库!$A$2:$Y$1047,MATCH(ROW()-1,装备库!$AO$2:$AO$1046,0),COLUMN()),"")</f>
        <v/>
      </c>
      <c r="H820" t="str">
        <f>IFERROR(INDEX(装备库!$A$2:$Y$1047,MATCH(ROW()-1,装备库!$AO$2:$AO$1046,0),COLUMN()),"")</f>
        <v/>
      </c>
      <c r="I820" t="str">
        <f>IFERROR(INDEX(装备库!$A$2:$Y$1047,MATCH(ROW()-1,装备库!$AO$2:$AO$1046,0),COLUMN()),"")</f>
        <v/>
      </c>
      <c r="J820" t="str">
        <f>IFERROR(INDEX(装备库!$A$2:$Y$1047,MATCH(ROW()-1,装备库!$AO$2:$AO$1046,0),COLUMN()),"")</f>
        <v/>
      </c>
      <c r="K820" t="str">
        <f>IFERROR(INDEX(装备库!$A$2:$Y$1047,MATCH(ROW()-1,装备库!$AO$2:$AO$1046,0),COLUMN()),"")</f>
        <v/>
      </c>
      <c r="L820" t="str">
        <f>IFERROR(INDEX(装备库!$A$2:$Y$1047,MATCH(ROW()-1,装备库!$AO$2:$AO$1046,0),COLUMN()),"")</f>
        <v/>
      </c>
      <c r="M820" t="str">
        <f>IFERROR(INDEX(装备库!$A$2:$Y$1047,MATCH(ROW()-1,装备库!$AO$2:$AO$1046,0),COLUMN()),"")</f>
        <v/>
      </c>
      <c r="N820" t="str">
        <f>IFERROR(INDEX(装备库!$A$2:$Y$1047,MATCH(ROW()-1,装备库!$AO$2:$AO$1046,0),COLUMN()),"")</f>
        <v/>
      </c>
      <c r="O820" t="str">
        <f>IFERROR(INDEX(装备库!$A$2:$Y$1047,MATCH(ROW()-1,装备库!$AO$2:$AO$1046,0),COLUMN()),"")</f>
        <v/>
      </c>
      <c r="P820" t="str">
        <f>IFERROR(INDEX(装备库!$A$2:$Y$1047,MATCH(ROW()-1,装备库!$AO$2:$AO$1046,0),COLUMN()),"")</f>
        <v/>
      </c>
      <c r="Q820" t="str">
        <f>IFERROR(INDEX(装备库!$A$2:$Y$1047,MATCH(ROW()-1,装备库!$AO$2:$AO$1046,0),COLUMN()),"")</f>
        <v/>
      </c>
      <c r="R820" t="str">
        <f>IFERROR(INDEX(装备库!$A$2:$Y$1047,MATCH(ROW()-1,装备库!$AO$2:$AO$1046,0),COLUMN()),"")</f>
        <v/>
      </c>
      <c r="S820" t="str">
        <f>IFERROR(INDEX(装备库!$A$2:$Y$1047,MATCH(ROW()-1,装备库!$AO$2:$AO$1046,0),COLUMN()),"")</f>
        <v/>
      </c>
      <c r="T820" t="str">
        <f>IFERROR(INDEX(装备库!$A$2:$Y$1047,MATCH(ROW()-1,装备库!$AO$2:$AO$1046,0),COLUMN()),"")</f>
        <v/>
      </c>
      <c r="U820" t="str">
        <f>IFERROR(INDEX(装备库!$A$2:$Y$1047,MATCH(ROW()-1,装备库!$AO$2:$AO$1046,0),COLUMN()),"")</f>
        <v/>
      </c>
      <c r="V820" t="str">
        <f>IFERROR(INDEX(装备库!$A$2:$Y$1047,MATCH(ROW()-1,装备库!$AO$2:$AO$1046,0),COLUMN()),"")</f>
        <v/>
      </c>
      <c r="W820" t="str">
        <f>IFERROR(INDEX(装备库!$A$2:$Y$1047,MATCH(ROW()-1,装备库!$AO$2:$AO$1046,0),COLUMN()),"")</f>
        <v/>
      </c>
      <c r="X820" t="str">
        <f>IFERROR(INDEX(装备库!$A$2:$Y$1047,MATCH(ROW()-1,装备库!$AO$2:$AO$1046,0),COLUMN()),"")</f>
        <v/>
      </c>
      <c r="Y820" t="str">
        <f>IFERROR(INDEX(装备库!$A$2:$Y$1047,MATCH(ROW()-1,装备库!$AO$2:$AO$1046,0),COLUMN()),"")</f>
        <v/>
      </c>
    </row>
    <row r="821" spans="1:25" x14ac:dyDescent="0.35">
      <c r="A821" t="str">
        <f>IFERROR(INDEX(装备库!$A$2:$Y$1047,MATCH(ROW()-1,装备库!$AO$2:$AO$1046,0),COLUMN()),"")</f>
        <v/>
      </c>
      <c r="B821" t="str">
        <f>IFERROR(INDEX(装备库!$A$2:$Y$1047,MATCH(ROW()-1,装备库!$AO$2:$AO$1046,0),COLUMN()),"")</f>
        <v/>
      </c>
      <c r="C821" t="str">
        <f>IFERROR(INDEX(装备库!$A$2:$Y$1047,MATCH(ROW()-1,装备库!$AO$2:$AO$1046,0),COLUMN()),"")</f>
        <v/>
      </c>
      <c r="D821" t="str">
        <f>IFERROR(INDEX(装备库!$A$2:$Y$1047,MATCH(ROW()-1,装备库!$AO$2:$AO$1046,0),COLUMN()),"")</f>
        <v/>
      </c>
      <c r="E821" t="str">
        <f>IFERROR(INDEX(装备库!$A$2:$Y$1047,MATCH(ROW()-1,装备库!$AO$2:$AO$1046,0),COLUMN()),"")</f>
        <v/>
      </c>
      <c r="F821" t="str">
        <f>IFERROR(INDEX(装备库!$A$2:$Y$1047,MATCH(ROW()-1,装备库!$AO$2:$AO$1046,0),COLUMN()),"")</f>
        <v/>
      </c>
      <c r="G821" t="str">
        <f>IFERROR(INDEX(装备库!$A$2:$Y$1047,MATCH(ROW()-1,装备库!$AO$2:$AO$1046,0),COLUMN()),"")</f>
        <v/>
      </c>
      <c r="H821" t="str">
        <f>IFERROR(INDEX(装备库!$A$2:$Y$1047,MATCH(ROW()-1,装备库!$AO$2:$AO$1046,0),COLUMN()),"")</f>
        <v/>
      </c>
      <c r="I821" t="str">
        <f>IFERROR(INDEX(装备库!$A$2:$Y$1047,MATCH(ROW()-1,装备库!$AO$2:$AO$1046,0),COLUMN()),"")</f>
        <v/>
      </c>
      <c r="J821" t="str">
        <f>IFERROR(INDEX(装备库!$A$2:$Y$1047,MATCH(ROW()-1,装备库!$AO$2:$AO$1046,0),COLUMN()),"")</f>
        <v/>
      </c>
      <c r="K821" t="str">
        <f>IFERROR(INDEX(装备库!$A$2:$Y$1047,MATCH(ROW()-1,装备库!$AO$2:$AO$1046,0),COLUMN()),"")</f>
        <v/>
      </c>
      <c r="L821" t="str">
        <f>IFERROR(INDEX(装备库!$A$2:$Y$1047,MATCH(ROW()-1,装备库!$AO$2:$AO$1046,0),COLUMN()),"")</f>
        <v/>
      </c>
      <c r="M821" t="str">
        <f>IFERROR(INDEX(装备库!$A$2:$Y$1047,MATCH(ROW()-1,装备库!$AO$2:$AO$1046,0),COLUMN()),"")</f>
        <v/>
      </c>
      <c r="N821" t="str">
        <f>IFERROR(INDEX(装备库!$A$2:$Y$1047,MATCH(ROW()-1,装备库!$AO$2:$AO$1046,0),COLUMN()),"")</f>
        <v/>
      </c>
      <c r="O821" t="str">
        <f>IFERROR(INDEX(装备库!$A$2:$Y$1047,MATCH(ROW()-1,装备库!$AO$2:$AO$1046,0),COLUMN()),"")</f>
        <v/>
      </c>
      <c r="P821" t="str">
        <f>IFERROR(INDEX(装备库!$A$2:$Y$1047,MATCH(ROW()-1,装备库!$AO$2:$AO$1046,0),COLUMN()),"")</f>
        <v/>
      </c>
      <c r="Q821" t="str">
        <f>IFERROR(INDEX(装备库!$A$2:$Y$1047,MATCH(ROW()-1,装备库!$AO$2:$AO$1046,0),COLUMN()),"")</f>
        <v/>
      </c>
      <c r="R821" t="str">
        <f>IFERROR(INDEX(装备库!$A$2:$Y$1047,MATCH(ROW()-1,装备库!$AO$2:$AO$1046,0),COLUMN()),"")</f>
        <v/>
      </c>
      <c r="S821" t="str">
        <f>IFERROR(INDEX(装备库!$A$2:$Y$1047,MATCH(ROW()-1,装备库!$AO$2:$AO$1046,0),COLUMN()),"")</f>
        <v/>
      </c>
      <c r="T821" t="str">
        <f>IFERROR(INDEX(装备库!$A$2:$Y$1047,MATCH(ROW()-1,装备库!$AO$2:$AO$1046,0),COLUMN()),"")</f>
        <v/>
      </c>
      <c r="U821" t="str">
        <f>IFERROR(INDEX(装备库!$A$2:$Y$1047,MATCH(ROW()-1,装备库!$AO$2:$AO$1046,0),COLUMN()),"")</f>
        <v/>
      </c>
      <c r="V821" t="str">
        <f>IFERROR(INDEX(装备库!$A$2:$Y$1047,MATCH(ROW()-1,装备库!$AO$2:$AO$1046,0),COLUMN()),"")</f>
        <v/>
      </c>
      <c r="W821" t="str">
        <f>IFERROR(INDEX(装备库!$A$2:$Y$1047,MATCH(ROW()-1,装备库!$AO$2:$AO$1046,0),COLUMN()),"")</f>
        <v/>
      </c>
      <c r="X821" t="str">
        <f>IFERROR(INDEX(装备库!$A$2:$Y$1047,MATCH(ROW()-1,装备库!$AO$2:$AO$1046,0),COLUMN()),"")</f>
        <v/>
      </c>
      <c r="Y821" t="str">
        <f>IFERROR(INDEX(装备库!$A$2:$Y$1047,MATCH(ROW()-1,装备库!$AO$2:$AO$1046,0),COLUMN()),"")</f>
        <v/>
      </c>
    </row>
    <row r="822" spans="1:25" x14ac:dyDescent="0.35">
      <c r="A822" t="str">
        <f>IFERROR(INDEX(装备库!$A$2:$Y$1047,MATCH(ROW()-1,装备库!$AO$2:$AO$1046,0),COLUMN()),"")</f>
        <v/>
      </c>
      <c r="B822" t="str">
        <f>IFERROR(INDEX(装备库!$A$2:$Y$1047,MATCH(ROW()-1,装备库!$AO$2:$AO$1046,0),COLUMN()),"")</f>
        <v/>
      </c>
      <c r="C822" t="str">
        <f>IFERROR(INDEX(装备库!$A$2:$Y$1047,MATCH(ROW()-1,装备库!$AO$2:$AO$1046,0),COLUMN()),"")</f>
        <v/>
      </c>
      <c r="D822" t="str">
        <f>IFERROR(INDEX(装备库!$A$2:$Y$1047,MATCH(ROW()-1,装备库!$AO$2:$AO$1046,0),COLUMN()),"")</f>
        <v/>
      </c>
      <c r="E822" t="str">
        <f>IFERROR(INDEX(装备库!$A$2:$Y$1047,MATCH(ROW()-1,装备库!$AO$2:$AO$1046,0),COLUMN()),"")</f>
        <v/>
      </c>
      <c r="F822" t="str">
        <f>IFERROR(INDEX(装备库!$A$2:$Y$1047,MATCH(ROW()-1,装备库!$AO$2:$AO$1046,0),COLUMN()),"")</f>
        <v/>
      </c>
      <c r="G822" t="str">
        <f>IFERROR(INDEX(装备库!$A$2:$Y$1047,MATCH(ROW()-1,装备库!$AO$2:$AO$1046,0),COLUMN()),"")</f>
        <v/>
      </c>
      <c r="H822" t="str">
        <f>IFERROR(INDEX(装备库!$A$2:$Y$1047,MATCH(ROW()-1,装备库!$AO$2:$AO$1046,0),COLUMN()),"")</f>
        <v/>
      </c>
      <c r="I822" t="str">
        <f>IFERROR(INDEX(装备库!$A$2:$Y$1047,MATCH(ROW()-1,装备库!$AO$2:$AO$1046,0),COLUMN()),"")</f>
        <v/>
      </c>
      <c r="J822" t="str">
        <f>IFERROR(INDEX(装备库!$A$2:$Y$1047,MATCH(ROW()-1,装备库!$AO$2:$AO$1046,0),COLUMN()),"")</f>
        <v/>
      </c>
      <c r="K822" t="str">
        <f>IFERROR(INDEX(装备库!$A$2:$Y$1047,MATCH(ROW()-1,装备库!$AO$2:$AO$1046,0),COLUMN()),"")</f>
        <v/>
      </c>
      <c r="L822" t="str">
        <f>IFERROR(INDEX(装备库!$A$2:$Y$1047,MATCH(ROW()-1,装备库!$AO$2:$AO$1046,0),COLUMN()),"")</f>
        <v/>
      </c>
      <c r="M822" t="str">
        <f>IFERROR(INDEX(装备库!$A$2:$Y$1047,MATCH(ROW()-1,装备库!$AO$2:$AO$1046,0),COLUMN()),"")</f>
        <v/>
      </c>
      <c r="N822" t="str">
        <f>IFERROR(INDEX(装备库!$A$2:$Y$1047,MATCH(ROW()-1,装备库!$AO$2:$AO$1046,0),COLUMN()),"")</f>
        <v/>
      </c>
      <c r="O822" t="str">
        <f>IFERROR(INDEX(装备库!$A$2:$Y$1047,MATCH(ROW()-1,装备库!$AO$2:$AO$1046,0),COLUMN()),"")</f>
        <v/>
      </c>
      <c r="P822" t="str">
        <f>IFERROR(INDEX(装备库!$A$2:$Y$1047,MATCH(ROW()-1,装备库!$AO$2:$AO$1046,0),COLUMN()),"")</f>
        <v/>
      </c>
      <c r="Q822" t="str">
        <f>IFERROR(INDEX(装备库!$A$2:$Y$1047,MATCH(ROW()-1,装备库!$AO$2:$AO$1046,0),COLUMN()),"")</f>
        <v/>
      </c>
      <c r="R822" t="str">
        <f>IFERROR(INDEX(装备库!$A$2:$Y$1047,MATCH(ROW()-1,装备库!$AO$2:$AO$1046,0),COLUMN()),"")</f>
        <v/>
      </c>
      <c r="S822" t="str">
        <f>IFERROR(INDEX(装备库!$A$2:$Y$1047,MATCH(ROW()-1,装备库!$AO$2:$AO$1046,0),COLUMN()),"")</f>
        <v/>
      </c>
      <c r="T822" t="str">
        <f>IFERROR(INDEX(装备库!$A$2:$Y$1047,MATCH(ROW()-1,装备库!$AO$2:$AO$1046,0),COLUMN()),"")</f>
        <v/>
      </c>
      <c r="U822" t="str">
        <f>IFERROR(INDEX(装备库!$A$2:$Y$1047,MATCH(ROW()-1,装备库!$AO$2:$AO$1046,0),COLUMN()),"")</f>
        <v/>
      </c>
      <c r="V822" t="str">
        <f>IFERROR(INDEX(装备库!$A$2:$Y$1047,MATCH(ROW()-1,装备库!$AO$2:$AO$1046,0),COLUMN()),"")</f>
        <v/>
      </c>
      <c r="W822" t="str">
        <f>IFERROR(INDEX(装备库!$A$2:$Y$1047,MATCH(ROW()-1,装备库!$AO$2:$AO$1046,0),COLUMN()),"")</f>
        <v/>
      </c>
      <c r="X822" t="str">
        <f>IFERROR(INDEX(装备库!$A$2:$Y$1047,MATCH(ROW()-1,装备库!$AO$2:$AO$1046,0),COLUMN()),"")</f>
        <v/>
      </c>
      <c r="Y822" t="str">
        <f>IFERROR(INDEX(装备库!$A$2:$Y$1047,MATCH(ROW()-1,装备库!$AO$2:$AO$1046,0),COLUMN()),"")</f>
        <v/>
      </c>
    </row>
    <row r="823" spans="1:25" x14ac:dyDescent="0.35">
      <c r="A823" t="str">
        <f>IFERROR(INDEX(装备库!$A$2:$Y$1047,MATCH(ROW()-1,装备库!$AO$2:$AO$1046,0),COLUMN()),"")</f>
        <v/>
      </c>
      <c r="B823" t="str">
        <f>IFERROR(INDEX(装备库!$A$2:$Y$1047,MATCH(ROW()-1,装备库!$AO$2:$AO$1046,0),COLUMN()),"")</f>
        <v/>
      </c>
      <c r="C823" t="str">
        <f>IFERROR(INDEX(装备库!$A$2:$Y$1047,MATCH(ROW()-1,装备库!$AO$2:$AO$1046,0),COLUMN()),"")</f>
        <v/>
      </c>
      <c r="D823" t="str">
        <f>IFERROR(INDEX(装备库!$A$2:$Y$1047,MATCH(ROW()-1,装备库!$AO$2:$AO$1046,0),COLUMN()),"")</f>
        <v/>
      </c>
      <c r="E823" t="str">
        <f>IFERROR(INDEX(装备库!$A$2:$Y$1047,MATCH(ROW()-1,装备库!$AO$2:$AO$1046,0),COLUMN()),"")</f>
        <v/>
      </c>
      <c r="F823" t="str">
        <f>IFERROR(INDEX(装备库!$A$2:$Y$1047,MATCH(ROW()-1,装备库!$AO$2:$AO$1046,0),COLUMN()),"")</f>
        <v/>
      </c>
      <c r="G823" t="str">
        <f>IFERROR(INDEX(装备库!$A$2:$Y$1047,MATCH(ROW()-1,装备库!$AO$2:$AO$1046,0),COLUMN()),"")</f>
        <v/>
      </c>
      <c r="H823" t="str">
        <f>IFERROR(INDEX(装备库!$A$2:$Y$1047,MATCH(ROW()-1,装备库!$AO$2:$AO$1046,0),COLUMN()),"")</f>
        <v/>
      </c>
      <c r="I823" t="str">
        <f>IFERROR(INDEX(装备库!$A$2:$Y$1047,MATCH(ROW()-1,装备库!$AO$2:$AO$1046,0),COLUMN()),"")</f>
        <v/>
      </c>
      <c r="J823" t="str">
        <f>IFERROR(INDEX(装备库!$A$2:$Y$1047,MATCH(ROW()-1,装备库!$AO$2:$AO$1046,0),COLUMN()),"")</f>
        <v/>
      </c>
      <c r="K823" t="str">
        <f>IFERROR(INDEX(装备库!$A$2:$Y$1047,MATCH(ROW()-1,装备库!$AO$2:$AO$1046,0),COLUMN()),"")</f>
        <v/>
      </c>
      <c r="L823" t="str">
        <f>IFERROR(INDEX(装备库!$A$2:$Y$1047,MATCH(ROW()-1,装备库!$AO$2:$AO$1046,0),COLUMN()),"")</f>
        <v/>
      </c>
      <c r="M823" t="str">
        <f>IFERROR(INDEX(装备库!$A$2:$Y$1047,MATCH(ROW()-1,装备库!$AO$2:$AO$1046,0),COLUMN()),"")</f>
        <v/>
      </c>
      <c r="N823" t="str">
        <f>IFERROR(INDEX(装备库!$A$2:$Y$1047,MATCH(ROW()-1,装备库!$AO$2:$AO$1046,0),COLUMN()),"")</f>
        <v/>
      </c>
      <c r="O823" t="str">
        <f>IFERROR(INDEX(装备库!$A$2:$Y$1047,MATCH(ROW()-1,装备库!$AO$2:$AO$1046,0),COLUMN()),"")</f>
        <v/>
      </c>
      <c r="P823" t="str">
        <f>IFERROR(INDEX(装备库!$A$2:$Y$1047,MATCH(ROW()-1,装备库!$AO$2:$AO$1046,0),COLUMN()),"")</f>
        <v/>
      </c>
      <c r="Q823" t="str">
        <f>IFERROR(INDEX(装备库!$A$2:$Y$1047,MATCH(ROW()-1,装备库!$AO$2:$AO$1046,0),COLUMN()),"")</f>
        <v/>
      </c>
      <c r="R823" t="str">
        <f>IFERROR(INDEX(装备库!$A$2:$Y$1047,MATCH(ROW()-1,装备库!$AO$2:$AO$1046,0),COLUMN()),"")</f>
        <v/>
      </c>
      <c r="S823" t="str">
        <f>IFERROR(INDEX(装备库!$A$2:$Y$1047,MATCH(ROW()-1,装备库!$AO$2:$AO$1046,0),COLUMN()),"")</f>
        <v/>
      </c>
      <c r="T823" t="str">
        <f>IFERROR(INDEX(装备库!$A$2:$Y$1047,MATCH(ROW()-1,装备库!$AO$2:$AO$1046,0),COLUMN()),"")</f>
        <v/>
      </c>
      <c r="U823" t="str">
        <f>IFERROR(INDEX(装备库!$A$2:$Y$1047,MATCH(ROW()-1,装备库!$AO$2:$AO$1046,0),COLUMN()),"")</f>
        <v/>
      </c>
      <c r="V823" t="str">
        <f>IFERROR(INDEX(装备库!$A$2:$Y$1047,MATCH(ROW()-1,装备库!$AO$2:$AO$1046,0),COLUMN()),"")</f>
        <v/>
      </c>
      <c r="W823" t="str">
        <f>IFERROR(INDEX(装备库!$A$2:$Y$1047,MATCH(ROW()-1,装备库!$AO$2:$AO$1046,0),COLUMN()),"")</f>
        <v/>
      </c>
      <c r="X823" t="str">
        <f>IFERROR(INDEX(装备库!$A$2:$Y$1047,MATCH(ROW()-1,装备库!$AO$2:$AO$1046,0),COLUMN()),"")</f>
        <v/>
      </c>
      <c r="Y823" t="str">
        <f>IFERROR(INDEX(装备库!$A$2:$Y$1047,MATCH(ROW()-1,装备库!$AO$2:$AO$1046,0),COLUMN()),"")</f>
        <v/>
      </c>
    </row>
    <row r="824" spans="1:25" x14ac:dyDescent="0.35">
      <c r="A824" t="str">
        <f>IFERROR(INDEX(装备库!$A$2:$Y$1047,MATCH(ROW()-1,装备库!$AO$2:$AO$1046,0),COLUMN()),"")</f>
        <v/>
      </c>
      <c r="B824" t="str">
        <f>IFERROR(INDEX(装备库!$A$2:$Y$1047,MATCH(ROW()-1,装备库!$AO$2:$AO$1046,0),COLUMN()),"")</f>
        <v/>
      </c>
      <c r="C824" t="str">
        <f>IFERROR(INDEX(装备库!$A$2:$Y$1047,MATCH(ROW()-1,装备库!$AO$2:$AO$1046,0),COLUMN()),"")</f>
        <v/>
      </c>
      <c r="D824" t="str">
        <f>IFERROR(INDEX(装备库!$A$2:$Y$1047,MATCH(ROW()-1,装备库!$AO$2:$AO$1046,0),COLUMN()),"")</f>
        <v/>
      </c>
      <c r="E824" t="str">
        <f>IFERROR(INDEX(装备库!$A$2:$Y$1047,MATCH(ROW()-1,装备库!$AO$2:$AO$1046,0),COLUMN()),"")</f>
        <v/>
      </c>
      <c r="F824" t="str">
        <f>IFERROR(INDEX(装备库!$A$2:$Y$1047,MATCH(ROW()-1,装备库!$AO$2:$AO$1046,0),COLUMN()),"")</f>
        <v/>
      </c>
      <c r="G824" t="str">
        <f>IFERROR(INDEX(装备库!$A$2:$Y$1047,MATCH(ROW()-1,装备库!$AO$2:$AO$1046,0),COLUMN()),"")</f>
        <v/>
      </c>
      <c r="H824" t="str">
        <f>IFERROR(INDEX(装备库!$A$2:$Y$1047,MATCH(ROW()-1,装备库!$AO$2:$AO$1046,0),COLUMN()),"")</f>
        <v/>
      </c>
      <c r="I824" t="str">
        <f>IFERROR(INDEX(装备库!$A$2:$Y$1047,MATCH(ROW()-1,装备库!$AO$2:$AO$1046,0),COLUMN()),"")</f>
        <v/>
      </c>
      <c r="J824" t="str">
        <f>IFERROR(INDEX(装备库!$A$2:$Y$1047,MATCH(ROW()-1,装备库!$AO$2:$AO$1046,0),COLUMN()),"")</f>
        <v/>
      </c>
      <c r="K824" t="str">
        <f>IFERROR(INDEX(装备库!$A$2:$Y$1047,MATCH(ROW()-1,装备库!$AO$2:$AO$1046,0),COLUMN()),"")</f>
        <v/>
      </c>
      <c r="L824" t="str">
        <f>IFERROR(INDEX(装备库!$A$2:$Y$1047,MATCH(ROW()-1,装备库!$AO$2:$AO$1046,0),COLUMN()),"")</f>
        <v/>
      </c>
      <c r="M824" t="str">
        <f>IFERROR(INDEX(装备库!$A$2:$Y$1047,MATCH(ROW()-1,装备库!$AO$2:$AO$1046,0),COLUMN()),"")</f>
        <v/>
      </c>
      <c r="N824" t="str">
        <f>IFERROR(INDEX(装备库!$A$2:$Y$1047,MATCH(ROW()-1,装备库!$AO$2:$AO$1046,0),COLUMN()),"")</f>
        <v/>
      </c>
      <c r="O824" t="str">
        <f>IFERROR(INDEX(装备库!$A$2:$Y$1047,MATCH(ROW()-1,装备库!$AO$2:$AO$1046,0),COLUMN()),"")</f>
        <v/>
      </c>
      <c r="P824" t="str">
        <f>IFERROR(INDEX(装备库!$A$2:$Y$1047,MATCH(ROW()-1,装备库!$AO$2:$AO$1046,0),COLUMN()),"")</f>
        <v/>
      </c>
      <c r="Q824" t="str">
        <f>IFERROR(INDEX(装备库!$A$2:$Y$1047,MATCH(ROW()-1,装备库!$AO$2:$AO$1046,0),COLUMN()),"")</f>
        <v/>
      </c>
      <c r="R824" t="str">
        <f>IFERROR(INDEX(装备库!$A$2:$Y$1047,MATCH(ROW()-1,装备库!$AO$2:$AO$1046,0),COLUMN()),"")</f>
        <v/>
      </c>
      <c r="S824" t="str">
        <f>IFERROR(INDEX(装备库!$A$2:$Y$1047,MATCH(ROW()-1,装备库!$AO$2:$AO$1046,0),COLUMN()),"")</f>
        <v/>
      </c>
      <c r="T824" t="str">
        <f>IFERROR(INDEX(装备库!$A$2:$Y$1047,MATCH(ROW()-1,装备库!$AO$2:$AO$1046,0),COLUMN()),"")</f>
        <v/>
      </c>
      <c r="U824" t="str">
        <f>IFERROR(INDEX(装备库!$A$2:$Y$1047,MATCH(ROW()-1,装备库!$AO$2:$AO$1046,0),COLUMN()),"")</f>
        <v/>
      </c>
      <c r="V824" t="str">
        <f>IFERROR(INDEX(装备库!$A$2:$Y$1047,MATCH(ROW()-1,装备库!$AO$2:$AO$1046,0),COLUMN()),"")</f>
        <v/>
      </c>
      <c r="W824" t="str">
        <f>IFERROR(INDEX(装备库!$A$2:$Y$1047,MATCH(ROW()-1,装备库!$AO$2:$AO$1046,0),COLUMN()),"")</f>
        <v/>
      </c>
      <c r="X824" t="str">
        <f>IFERROR(INDEX(装备库!$A$2:$Y$1047,MATCH(ROW()-1,装备库!$AO$2:$AO$1046,0),COLUMN()),"")</f>
        <v/>
      </c>
      <c r="Y824" t="str">
        <f>IFERROR(INDEX(装备库!$A$2:$Y$1047,MATCH(ROW()-1,装备库!$AO$2:$AO$1046,0),COLUMN()),"")</f>
        <v/>
      </c>
    </row>
    <row r="825" spans="1:25" x14ac:dyDescent="0.35">
      <c r="A825" t="str">
        <f>IFERROR(INDEX(装备库!$A$2:$Y$1047,MATCH(ROW()-1,装备库!$AO$2:$AO$1046,0),COLUMN()),"")</f>
        <v/>
      </c>
      <c r="B825" t="str">
        <f>IFERROR(INDEX(装备库!$A$2:$Y$1047,MATCH(ROW()-1,装备库!$AO$2:$AO$1046,0),COLUMN()),"")</f>
        <v/>
      </c>
      <c r="C825" t="str">
        <f>IFERROR(INDEX(装备库!$A$2:$Y$1047,MATCH(ROW()-1,装备库!$AO$2:$AO$1046,0),COLUMN()),"")</f>
        <v/>
      </c>
      <c r="D825" t="str">
        <f>IFERROR(INDEX(装备库!$A$2:$Y$1047,MATCH(ROW()-1,装备库!$AO$2:$AO$1046,0),COLUMN()),"")</f>
        <v/>
      </c>
      <c r="E825" t="str">
        <f>IFERROR(INDEX(装备库!$A$2:$Y$1047,MATCH(ROW()-1,装备库!$AO$2:$AO$1046,0),COLUMN()),"")</f>
        <v/>
      </c>
      <c r="F825" t="str">
        <f>IFERROR(INDEX(装备库!$A$2:$Y$1047,MATCH(ROW()-1,装备库!$AO$2:$AO$1046,0),COLUMN()),"")</f>
        <v/>
      </c>
      <c r="G825" t="str">
        <f>IFERROR(INDEX(装备库!$A$2:$Y$1047,MATCH(ROW()-1,装备库!$AO$2:$AO$1046,0),COLUMN()),"")</f>
        <v/>
      </c>
      <c r="H825" t="str">
        <f>IFERROR(INDEX(装备库!$A$2:$Y$1047,MATCH(ROW()-1,装备库!$AO$2:$AO$1046,0),COLUMN()),"")</f>
        <v/>
      </c>
      <c r="I825" t="str">
        <f>IFERROR(INDEX(装备库!$A$2:$Y$1047,MATCH(ROW()-1,装备库!$AO$2:$AO$1046,0),COLUMN()),"")</f>
        <v/>
      </c>
      <c r="J825" t="str">
        <f>IFERROR(INDEX(装备库!$A$2:$Y$1047,MATCH(ROW()-1,装备库!$AO$2:$AO$1046,0),COLUMN()),"")</f>
        <v/>
      </c>
      <c r="K825" t="str">
        <f>IFERROR(INDEX(装备库!$A$2:$Y$1047,MATCH(ROW()-1,装备库!$AO$2:$AO$1046,0),COLUMN()),"")</f>
        <v/>
      </c>
      <c r="L825" t="str">
        <f>IFERROR(INDEX(装备库!$A$2:$Y$1047,MATCH(ROW()-1,装备库!$AO$2:$AO$1046,0),COLUMN()),"")</f>
        <v/>
      </c>
      <c r="M825" t="str">
        <f>IFERROR(INDEX(装备库!$A$2:$Y$1047,MATCH(ROW()-1,装备库!$AO$2:$AO$1046,0),COLUMN()),"")</f>
        <v/>
      </c>
      <c r="N825" t="str">
        <f>IFERROR(INDEX(装备库!$A$2:$Y$1047,MATCH(ROW()-1,装备库!$AO$2:$AO$1046,0),COLUMN()),"")</f>
        <v/>
      </c>
      <c r="O825" t="str">
        <f>IFERROR(INDEX(装备库!$A$2:$Y$1047,MATCH(ROW()-1,装备库!$AO$2:$AO$1046,0),COLUMN()),"")</f>
        <v/>
      </c>
      <c r="P825" t="str">
        <f>IFERROR(INDEX(装备库!$A$2:$Y$1047,MATCH(ROW()-1,装备库!$AO$2:$AO$1046,0),COLUMN()),"")</f>
        <v/>
      </c>
      <c r="Q825" t="str">
        <f>IFERROR(INDEX(装备库!$A$2:$Y$1047,MATCH(ROW()-1,装备库!$AO$2:$AO$1046,0),COLUMN()),"")</f>
        <v/>
      </c>
      <c r="R825" t="str">
        <f>IFERROR(INDEX(装备库!$A$2:$Y$1047,MATCH(ROW()-1,装备库!$AO$2:$AO$1046,0),COLUMN()),"")</f>
        <v/>
      </c>
      <c r="S825" t="str">
        <f>IFERROR(INDEX(装备库!$A$2:$Y$1047,MATCH(ROW()-1,装备库!$AO$2:$AO$1046,0),COLUMN()),"")</f>
        <v/>
      </c>
      <c r="T825" t="str">
        <f>IFERROR(INDEX(装备库!$A$2:$Y$1047,MATCH(ROW()-1,装备库!$AO$2:$AO$1046,0),COLUMN()),"")</f>
        <v/>
      </c>
      <c r="U825" t="str">
        <f>IFERROR(INDEX(装备库!$A$2:$Y$1047,MATCH(ROW()-1,装备库!$AO$2:$AO$1046,0),COLUMN()),"")</f>
        <v/>
      </c>
      <c r="V825" t="str">
        <f>IFERROR(INDEX(装备库!$A$2:$Y$1047,MATCH(ROW()-1,装备库!$AO$2:$AO$1046,0),COLUMN()),"")</f>
        <v/>
      </c>
      <c r="W825" t="str">
        <f>IFERROR(INDEX(装备库!$A$2:$Y$1047,MATCH(ROW()-1,装备库!$AO$2:$AO$1046,0),COLUMN()),"")</f>
        <v/>
      </c>
      <c r="X825" t="str">
        <f>IFERROR(INDEX(装备库!$A$2:$Y$1047,MATCH(ROW()-1,装备库!$AO$2:$AO$1046,0),COLUMN()),"")</f>
        <v/>
      </c>
      <c r="Y825" t="str">
        <f>IFERROR(INDEX(装备库!$A$2:$Y$1047,MATCH(ROW()-1,装备库!$AO$2:$AO$1046,0),COLUMN()),"")</f>
        <v/>
      </c>
    </row>
    <row r="826" spans="1:25" x14ac:dyDescent="0.35">
      <c r="A826" t="str">
        <f>IFERROR(INDEX(装备库!$A$2:$Y$1047,MATCH(ROW()-1,装备库!$AO$2:$AO$1046,0),COLUMN()),"")</f>
        <v/>
      </c>
      <c r="B826" t="str">
        <f>IFERROR(INDEX(装备库!$A$2:$Y$1047,MATCH(ROW()-1,装备库!$AO$2:$AO$1046,0),COLUMN()),"")</f>
        <v/>
      </c>
      <c r="C826" t="str">
        <f>IFERROR(INDEX(装备库!$A$2:$Y$1047,MATCH(ROW()-1,装备库!$AO$2:$AO$1046,0),COLUMN()),"")</f>
        <v/>
      </c>
      <c r="D826" t="str">
        <f>IFERROR(INDEX(装备库!$A$2:$Y$1047,MATCH(ROW()-1,装备库!$AO$2:$AO$1046,0),COLUMN()),"")</f>
        <v/>
      </c>
      <c r="E826" t="str">
        <f>IFERROR(INDEX(装备库!$A$2:$Y$1047,MATCH(ROW()-1,装备库!$AO$2:$AO$1046,0),COLUMN()),"")</f>
        <v/>
      </c>
      <c r="F826" t="str">
        <f>IFERROR(INDEX(装备库!$A$2:$Y$1047,MATCH(ROW()-1,装备库!$AO$2:$AO$1046,0),COLUMN()),"")</f>
        <v/>
      </c>
      <c r="G826" t="str">
        <f>IFERROR(INDEX(装备库!$A$2:$Y$1047,MATCH(ROW()-1,装备库!$AO$2:$AO$1046,0),COLUMN()),"")</f>
        <v/>
      </c>
      <c r="H826" t="str">
        <f>IFERROR(INDEX(装备库!$A$2:$Y$1047,MATCH(ROW()-1,装备库!$AO$2:$AO$1046,0),COLUMN()),"")</f>
        <v/>
      </c>
      <c r="I826" t="str">
        <f>IFERROR(INDEX(装备库!$A$2:$Y$1047,MATCH(ROW()-1,装备库!$AO$2:$AO$1046,0),COLUMN()),"")</f>
        <v/>
      </c>
      <c r="J826" t="str">
        <f>IFERROR(INDEX(装备库!$A$2:$Y$1047,MATCH(ROW()-1,装备库!$AO$2:$AO$1046,0),COLUMN()),"")</f>
        <v/>
      </c>
      <c r="K826" t="str">
        <f>IFERROR(INDEX(装备库!$A$2:$Y$1047,MATCH(ROW()-1,装备库!$AO$2:$AO$1046,0),COLUMN()),"")</f>
        <v/>
      </c>
      <c r="L826" t="str">
        <f>IFERROR(INDEX(装备库!$A$2:$Y$1047,MATCH(ROW()-1,装备库!$AO$2:$AO$1046,0),COLUMN()),"")</f>
        <v/>
      </c>
      <c r="M826" t="str">
        <f>IFERROR(INDEX(装备库!$A$2:$Y$1047,MATCH(ROW()-1,装备库!$AO$2:$AO$1046,0),COLUMN()),"")</f>
        <v/>
      </c>
      <c r="N826" t="str">
        <f>IFERROR(INDEX(装备库!$A$2:$Y$1047,MATCH(ROW()-1,装备库!$AO$2:$AO$1046,0),COLUMN()),"")</f>
        <v/>
      </c>
      <c r="O826" t="str">
        <f>IFERROR(INDEX(装备库!$A$2:$Y$1047,MATCH(ROW()-1,装备库!$AO$2:$AO$1046,0),COLUMN()),"")</f>
        <v/>
      </c>
      <c r="P826" t="str">
        <f>IFERROR(INDEX(装备库!$A$2:$Y$1047,MATCH(ROW()-1,装备库!$AO$2:$AO$1046,0),COLUMN()),"")</f>
        <v/>
      </c>
      <c r="Q826" t="str">
        <f>IFERROR(INDEX(装备库!$A$2:$Y$1047,MATCH(ROW()-1,装备库!$AO$2:$AO$1046,0),COLUMN()),"")</f>
        <v/>
      </c>
      <c r="R826" t="str">
        <f>IFERROR(INDEX(装备库!$A$2:$Y$1047,MATCH(ROW()-1,装备库!$AO$2:$AO$1046,0),COLUMN()),"")</f>
        <v/>
      </c>
      <c r="S826" t="str">
        <f>IFERROR(INDEX(装备库!$A$2:$Y$1047,MATCH(ROW()-1,装备库!$AO$2:$AO$1046,0),COLUMN()),"")</f>
        <v/>
      </c>
      <c r="T826" t="str">
        <f>IFERROR(INDEX(装备库!$A$2:$Y$1047,MATCH(ROW()-1,装备库!$AO$2:$AO$1046,0),COLUMN()),"")</f>
        <v/>
      </c>
      <c r="U826" t="str">
        <f>IFERROR(INDEX(装备库!$A$2:$Y$1047,MATCH(ROW()-1,装备库!$AO$2:$AO$1046,0),COLUMN()),"")</f>
        <v/>
      </c>
      <c r="V826" t="str">
        <f>IFERROR(INDEX(装备库!$A$2:$Y$1047,MATCH(ROW()-1,装备库!$AO$2:$AO$1046,0),COLUMN()),"")</f>
        <v/>
      </c>
      <c r="W826" t="str">
        <f>IFERROR(INDEX(装备库!$A$2:$Y$1047,MATCH(ROW()-1,装备库!$AO$2:$AO$1046,0),COLUMN()),"")</f>
        <v/>
      </c>
      <c r="X826" t="str">
        <f>IFERROR(INDEX(装备库!$A$2:$Y$1047,MATCH(ROW()-1,装备库!$AO$2:$AO$1046,0),COLUMN()),"")</f>
        <v/>
      </c>
      <c r="Y826" t="str">
        <f>IFERROR(INDEX(装备库!$A$2:$Y$1047,MATCH(ROW()-1,装备库!$AO$2:$AO$1046,0),COLUMN()),"")</f>
        <v/>
      </c>
    </row>
    <row r="827" spans="1:25" x14ac:dyDescent="0.35">
      <c r="A827" t="str">
        <f>IFERROR(INDEX(装备库!$A$2:$Y$1047,MATCH(ROW()-1,装备库!$AO$2:$AO$1046,0),COLUMN()),"")</f>
        <v/>
      </c>
      <c r="B827" t="str">
        <f>IFERROR(INDEX(装备库!$A$2:$Y$1047,MATCH(ROW()-1,装备库!$AO$2:$AO$1046,0),COLUMN()),"")</f>
        <v/>
      </c>
      <c r="C827" t="str">
        <f>IFERROR(INDEX(装备库!$A$2:$Y$1047,MATCH(ROW()-1,装备库!$AO$2:$AO$1046,0),COLUMN()),"")</f>
        <v/>
      </c>
      <c r="D827" t="str">
        <f>IFERROR(INDEX(装备库!$A$2:$Y$1047,MATCH(ROW()-1,装备库!$AO$2:$AO$1046,0),COLUMN()),"")</f>
        <v/>
      </c>
      <c r="E827" t="str">
        <f>IFERROR(INDEX(装备库!$A$2:$Y$1047,MATCH(ROW()-1,装备库!$AO$2:$AO$1046,0),COLUMN()),"")</f>
        <v/>
      </c>
      <c r="F827" t="str">
        <f>IFERROR(INDEX(装备库!$A$2:$Y$1047,MATCH(ROW()-1,装备库!$AO$2:$AO$1046,0),COLUMN()),"")</f>
        <v/>
      </c>
      <c r="G827" t="str">
        <f>IFERROR(INDEX(装备库!$A$2:$Y$1047,MATCH(ROW()-1,装备库!$AO$2:$AO$1046,0),COLUMN()),"")</f>
        <v/>
      </c>
      <c r="H827" t="str">
        <f>IFERROR(INDEX(装备库!$A$2:$Y$1047,MATCH(ROW()-1,装备库!$AO$2:$AO$1046,0),COLUMN()),"")</f>
        <v/>
      </c>
      <c r="I827" t="str">
        <f>IFERROR(INDEX(装备库!$A$2:$Y$1047,MATCH(ROW()-1,装备库!$AO$2:$AO$1046,0),COLUMN()),"")</f>
        <v/>
      </c>
      <c r="J827" t="str">
        <f>IFERROR(INDEX(装备库!$A$2:$Y$1047,MATCH(ROW()-1,装备库!$AO$2:$AO$1046,0),COLUMN()),"")</f>
        <v/>
      </c>
      <c r="K827" t="str">
        <f>IFERROR(INDEX(装备库!$A$2:$Y$1047,MATCH(ROW()-1,装备库!$AO$2:$AO$1046,0),COLUMN()),"")</f>
        <v/>
      </c>
      <c r="L827" t="str">
        <f>IFERROR(INDEX(装备库!$A$2:$Y$1047,MATCH(ROW()-1,装备库!$AO$2:$AO$1046,0),COLUMN()),"")</f>
        <v/>
      </c>
      <c r="M827" t="str">
        <f>IFERROR(INDEX(装备库!$A$2:$Y$1047,MATCH(ROW()-1,装备库!$AO$2:$AO$1046,0),COLUMN()),"")</f>
        <v/>
      </c>
      <c r="N827" t="str">
        <f>IFERROR(INDEX(装备库!$A$2:$Y$1047,MATCH(ROW()-1,装备库!$AO$2:$AO$1046,0),COLUMN()),"")</f>
        <v/>
      </c>
      <c r="O827" t="str">
        <f>IFERROR(INDEX(装备库!$A$2:$Y$1047,MATCH(ROW()-1,装备库!$AO$2:$AO$1046,0),COLUMN()),"")</f>
        <v/>
      </c>
      <c r="P827" t="str">
        <f>IFERROR(INDEX(装备库!$A$2:$Y$1047,MATCH(ROW()-1,装备库!$AO$2:$AO$1046,0),COLUMN()),"")</f>
        <v/>
      </c>
      <c r="Q827" t="str">
        <f>IFERROR(INDEX(装备库!$A$2:$Y$1047,MATCH(ROW()-1,装备库!$AO$2:$AO$1046,0),COLUMN()),"")</f>
        <v/>
      </c>
      <c r="R827" t="str">
        <f>IFERROR(INDEX(装备库!$A$2:$Y$1047,MATCH(ROW()-1,装备库!$AO$2:$AO$1046,0),COLUMN()),"")</f>
        <v/>
      </c>
      <c r="S827" t="str">
        <f>IFERROR(INDEX(装备库!$A$2:$Y$1047,MATCH(ROW()-1,装备库!$AO$2:$AO$1046,0),COLUMN()),"")</f>
        <v/>
      </c>
      <c r="T827" t="str">
        <f>IFERROR(INDEX(装备库!$A$2:$Y$1047,MATCH(ROW()-1,装备库!$AO$2:$AO$1046,0),COLUMN()),"")</f>
        <v/>
      </c>
      <c r="U827" t="str">
        <f>IFERROR(INDEX(装备库!$A$2:$Y$1047,MATCH(ROW()-1,装备库!$AO$2:$AO$1046,0),COLUMN()),"")</f>
        <v/>
      </c>
      <c r="V827" t="str">
        <f>IFERROR(INDEX(装备库!$A$2:$Y$1047,MATCH(ROW()-1,装备库!$AO$2:$AO$1046,0),COLUMN()),"")</f>
        <v/>
      </c>
      <c r="W827" t="str">
        <f>IFERROR(INDEX(装备库!$A$2:$Y$1047,MATCH(ROW()-1,装备库!$AO$2:$AO$1046,0),COLUMN()),"")</f>
        <v/>
      </c>
      <c r="X827" t="str">
        <f>IFERROR(INDEX(装备库!$A$2:$Y$1047,MATCH(ROW()-1,装备库!$AO$2:$AO$1046,0),COLUMN()),"")</f>
        <v/>
      </c>
      <c r="Y827" t="str">
        <f>IFERROR(INDEX(装备库!$A$2:$Y$1047,MATCH(ROW()-1,装备库!$AO$2:$AO$1046,0),COLUMN()),"")</f>
        <v/>
      </c>
    </row>
    <row r="828" spans="1:25" x14ac:dyDescent="0.35">
      <c r="A828" t="str">
        <f>IFERROR(INDEX(装备库!$A$2:$Y$1047,MATCH(ROW()-1,装备库!$AO$2:$AO$1046,0),COLUMN()),"")</f>
        <v/>
      </c>
      <c r="B828" t="str">
        <f>IFERROR(INDEX(装备库!$A$2:$Y$1047,MATCH(ROW()-1,装备库!$AO$2:$AO$1046,0),COLUMN()),"")</f>
        <v/>
      </c>
      <c r="C828" t="str">
        <f>IFERROR(INDEX(装备库!$A$2:$Y$1047,MATCH(ROW()-1,装备库!$AO$2:$AO$1046,0),COLUMN()),"")</f>
        <v/>
      </c>
      <c r="D828" t="str">
        <f>IFERROR(INDEX(装备库!$A$2:$Y$1047,MATCH(ROW()-1,装备库!$AO$2:$AO$1046,0),COLUMN()),"")</f>
        <v/>
      </c>
      <c r="E828" t="str">
        <f>IFERROR(INDEX(装备库!$A$2:$Y$1047,MATCH(ROW()-1,装备库!$AO$2:$AO$1046,0),COLUMN()),"")</f>
        <v/>
      </c>
      <c r="F828" t="str">
        <f>IFERROR(INDEX(装备库!$A$2:$Y$1047,MATCH(ROW()-1,装备库!$AO$2:$AO$1046,0),COLUMN()),"")</f>
        <v/>
      </c>
      <c r="G828" t="str">
        <f>IFERROR(INDEX(装备库!$A$2:$Y$1047,MATCH(ROW()-1,装备库!$AO$2:$AO$1046,0),COLUMN()),"")</f>
        <v/>
      </c>
      <c r="H828" t="str">
        <f>IFERROR(INDEX(装备库!$A$2:$Y$1047,MATCH(ROW()-1,装备库!$AO$2:$AO$1046,0),COLUMN()),"")</f>
        <v/>
      </c>
      <c r="I828" t="str">
        <f>IFERROR(INDEX(装备库!$A$2:$Y$1047,MATCH(ROW()-1,装备库!$AO$2:$AO$1046,0),COLUMN()),"")</f>
        <v/>
      </c>
      <c r="J828" t="str">
        <f>IFERROR(INDEX(装备库!$A$2:$Y$1047,MATCH(ROW()-1,装备库!$AO$2:$AO$1046,0),COLUMN()),"")</f>
        <v/>
      </c>
      <c r="K828" t="str">
        <f>IFERROR(INDEX(装备库!$A$2:$Y$1047,MATCH(ROW()-1,装备库!$AO$2:$AO$1046,0),COLUMN()),"")</f>
        <v/>
      </c>
      <c r="L828" t="str">
        <f>IFERROR(INDEX(装备库!$A$2:$Y$1047,MATCH(ROW()-1,装备库!$AO$2:$AO$1046,0),COLUMN()),"")</f>
        <v/>
      </c>
      <c r="M828" t="str">
        <f>IFERROR(INDEX(装备库!$A$2:$Y$1047,MATCH(ROW()-1,装备库!$AO$2:$AO$1046,0),COLUMN()),"")</f>
        <v/>
      </c>
      <c r="N828" t="str">
        <f>IFERROR(INDEX(装备库!$A$2:$Y$1047,MATCH(ROW()-1,装备库!$AO$2:$AO$1046,0),COLUMN()),"")</f>
        <v/>
      </c>
      <c r="O828" t="str">
        <f>IFERROR(INDEX(装备库!$A$2:$Y$1047,MATCH(ROW()-1,装备库!$AO$2:$AO$1046,0),COLUMN()),"")</f>
        <v/>
      </c>
      <c r="P828" t="str">
        <f>IFERROR(INDEX(装备库!$A$2:$Y$1047,MATCH(ROW()-1,装备库!$AO$2:$AO$1046,0),COLUMN()),"")</f>
        <v/>
      </c>
      <c r="Q828" t="str">
        <f>IFERROR(INDEX(装备库!$A$2:$Y$1047,MATCH(ROW()-1,装备库!$AO$2:$AO$1046,0),COLUMN()),"")</f>
        <v/>
      </c>
      <c r="R828" t="str">
        <f>IFERROR(INDEX(装备库!$A$2:$Y$1047,MATCH(ROW()-1,装备库!$AO$2:$AO$1046,0),COLUMN()),"")</f>
        <v/>
      </c>
      <c r="S828" t="str">
        <f>IFERROR(INDEX(装备库!$A$2:$Y$1047,MATCH(ROW()-1,装备库!$AO$2:$AO$1046,0),COLUMN()),"")</f>
        <v/>
      </c>
      <c r="T828" t="str">
        <f>IFERROR(INDEX(装备库!$A$2:$Y$1047,MATCH(ROW()-1,装备库!$AO$2:$AO$1046,0),COLUMN()),"")</f>
        <v/>
      </c>
      <c r="U828" t="str">
        <f>IFERROR(INDEX(装备库!$A$2:$Y$1047,MATCH(ROW()-1,装备库!$AO$2:$AO$1046,0),COLUMN()),"")</f>
        <v/>
      </c>
      <c r="V828" t="str">
        <f>IFERROR(INDEX(装备库!$A$2:$Y$1047,MATCH(ROW()-1,装备库!$AO$2:$AO$1046,0),COLUMN()),"")</f>
        <v/>
      </c>
      <c r="W828" t="str">
        <f>IFERROR(INDEX(装备库!$A$2:$Y$1047,MATCH(ROW()-1,装备库!$AO$2:$AO$1046,0),COLUMN()),"")</f>
        <v/>
      </c>
      <c r="X828" t="str">
        <f>IFERROR(INDEX(装备库!$A$2:$Y$1047,MATCH(ROW()-1,装备库!$AO$2:$AO$1046,0),COLUMN()),"")</f>
        <v/>
      </c>
      <c r="Y828" t="str">
        <f>IFERROR(INDEX(装备库!$A$2:$Y$1047,MATCH(ROW()-1,装备库!$AO$2:$AO$1046,0),COLUMN()),"")</f>
        <v/>
      </c>
    </row>
    <row r="829" spans="1:25" x14ac:dyDescent="0.35">
      <c r="A829" t="str">
        <f>IFERROR(INDEX(装备库!$A$2:$Y$1047,MATCH(ROW()-1,装备库!$AO$2:$AO$1046,0),COLUMN()),"")</f>
        <v/>
      </c>
      <c r="B829" t="str">
        <f>IFERROR(INDEX(装备库!$A$2:$Y$1047,MATCH(ROW()-1,装备库!$AO$2:$AO$1046,0),COLUMN()),"")</f>
        <v/>
      </c>
      <c r="C829" t="str">
        <f>IFERROR(INDEX(装备库!$A$2:$Y$1047,MATCH(ROW()-1,装备库!$AO$2:$AO$1046,0),COLUMN()),"")</f>
        <v/>
      </c>
      <c r="D829" t="str">
        <f>IFERROR(INDEX(装备库!$A$2:$Y$1047,MATCH(ROW()-1,装备库!$AO$2:$AO$1046,0),COLUMN()),"")</f>
        <v/>
      </c>
      <c r="E829" t="str">
        <f>IFERROR(INDEX(装备库!$A$2:$Y$1047,MATCH(ROW()-1,装备库!$AO$2:$AO$1046,0),COLUMN()),"")</f>
        <v/>
      </c>
      <c r="F829" t="str">
        <f>IFERROR(INDEX(装备库!$A$2:$Y$1047,MATCH(ROW()-1,装备库!$AO$2:$AO$1046,0),COLUMN()),"")</f>
        <v/>
      </c>
      <c r="G829" t="str">
        <f>IFERROR(INDEX(装备库!$A$2:$Y$1047,MATCH(ROW()-1,装备库!$AO$2:$AO$1046,0),COLUMN()),"")</f>
        <v/>
      </c>
      <c r="H829" t="str">
        <f>IFERROR(INDEX(装备库!$A$2:$Y$1047,MATCH(ROW()-1,装备库!$AO$2:$AO$1046,0),COLUMN()),"")</f>
        <v/>
      </c>
      <c r="I829" t="str">
        <f>IFERROR(INDEX(装备库!$A$2:$Y$1047,MATCH(ROW()-1,装备库!$AO$2:$AO$1046,0),COLUMN()),"")</f>
        <v/>
      </c>
      <c r="J829" t="str">
        <f>IFERROR(INDEX(装备库!$A$2:$Y$1047,MATCH(ROW()-1,装备库!$AO$2:$AO$1046,0),COLUMN()),"")</f>
        <v/>
      </c>
      <c r="K829" t="str">
        <f>IFERROR(INDEX(装备库!$A$2:$Y$1047,MATCH(ROW()-1,装备库!$AO$2:$AO$1046,0),COLUMN()),"")</f>
        <v/>
      </c>
      <c r="L829" t="str">
        <f>IFERROR(INDEX(装备库!$A$2:$Y$1047,MATCH(ROW()-1,装备库!$AO$2:$AO$1046,0),COLUMN()),"")</f>
        <v/>
      </c>
      <c r="M829" t="str">
        <f>IFERROR(INDEX(装备库!$A$2:$Y$1047,MATCH(ROW()-1,装备库!$AO$2:$AO$1046,0),COLUMN()),"")</f>
        <v/>
      </c>
      <c r="N829" t="str">
        <f>IFERROR(INDEX(装备库!$A$2:$Y$1047,MATCH(ROW()-1,装备库!$AO$2:$AO$1046,0),COLUMN()),"")</f>
        <v/>
      </c>
      <c r="O829" t="str">
        <f>IFERROR(INDEX(装备库!$A$2:$Y$1047,MATCH(ROW()-1,装备库!$AO$2:$AO$1046,0),COLUMN()),"")</f>
        <v/>
      </c>
      <c r="P829" t="str">
        <f>IFERROR(INDEX(装备库!$A$2:$Y$1047,MATCH(ROW()-1,装备库!$AO$2:$AO$1046,0),COLUMN()),"")</f>
        <v/>
      </c>
      <c r="Q829" t="str">
        <f>IFERROR(INDEX(装备库!$A$2:$Y$1047,MATCH(ROW()-1,装备库!$AO$2:$AO$1046,0),COLUMN()),"")</f>
        <v/>
      </c>
      <c r="R829" t="str">
        <f>IFERROR(INDEX(装备库!$A$2:$Y$1047,MATCH(ROW()-1,装备库!$AO$2:$AO$1046,0),COLUMN()),"")</f>
        <v/>
      </c>
      <c r="S829" t="str">
        <f>IFERROR(INDEX(装备库!$A$2:$Y$1047,MATCH(ROW()-1,装备库!$AO$2:$AO$1046,0),COLUMN()),"")</f>
        <v/>
      </c>
      <c r="T829" t="str">
        <f>IFERROR(INDEX(装备库!$A$2:$Y$1047,MATCH(ROW()-1,装备库!$AO$2:$AO$1046,0),COLUMN()),"")</f>
        <v/>
      </c>
      <c r="U829" t="str">
        <f>IFERROR(INDEX(装备库!$A$2:$Y$1047,MATCH(ROW()-1,装备库!$AO$2:$AO$1046,0),COLUMN()),"")</f>
        <v/>
      </c>
      <c r="V829" t="str">
        <f>IFERROR(INDEX(装备库!$A$2:$Y$1047,MATCH(ROW()-1,装备库!$AO$2:$AO$1046,0),COLUMN()),"")</f>
        <v/>
      </c>
      <c r="W829" t="str">
        <f>IFERROR(INDEX(装备库!$A$2:$Y$1047,MATCH(ROW()-1,装备库!$AO$2:$AO$1046,0),COLUMN()),"")</f>
        <v/>
      </c>
      <c r="X829" t="str">
        <f>IFERROR(INDEX(装备库!$A$2:$Y$1047,MATCH(ROW()-1,装备库!$AO$2:$AO$1046,0),COLUMN()),"")</f>
        <v/>
      </c>
      <c r="Y829" t="str">
        <f>IFERROR(INDEX(装备库!$A$2:$Y$1047,MATCH(ROW()-1,装备库!$AO$2:$AO$1046,0),COLUMN()),"")</f>
        <v/>
      </c>
    </row>
    <row r="830" spans="1:25" x14ac:dyDescent="0.35">
      <c r="A830" t="str">
        <f>IFERROR(INDEX(装备库!$A$2:$Y$1047,MATCH(ROW()-1,装备库!$AO$2:$AO$1046,0),COLUMN()),"")</f>
        <v/>
      </c>
      <c r="B830" t="str">
        <f>IFERROR(INDEX(装备库!$A$2:$Y$1047,MATCH(ROW()-1,装备库!$AO$2:$AO$1046,0),COLUMN()),"")</f>
        <v/>
      </c>
      <c r="C830" t="str">
        <f>IFERROR(INDEX(装备库!$A$2:$Y$1047,MATCH(ROW()-1,装备库!$AO$2:$AO$1046,0),COLUMN()),"")</f>
        <v/>
      </c>
      <c r="D830" t="str">
        <f>IFERROR(INDEX(装备库!$A$2:$Y$1047,MATCH(ROW()-1,装备库!$AO$2:$AO$1046,0),COLUMN()),"")</f>
        <v/>
      </c>
      <c r="E830" t="str">
        <f>IFERROR(INDEX(装备库!$A$2:$Y$1047,MATCH(ROW()-1,装备库!$AO$2:$AO$1046,0),COLUMN()),"")</f>
        <v/>
      </c>
      <c r="F830" t="str">
        <f>IFERROR(INDEX(装备库!$A$2:$Y$1047,MATCH(ROW()-1,装备库!$AO$2:$AO$1046,0),COLUMN()),"")</f>
        <v/>
      </c>
      <c r="G830" t="str">
        <f>IFERROR(INDEX(装备库!$A$2:$Y$1047,MATCH(ROW()-1,装备库!$AO$2:$AO$1046,0),COLUMN()),"")</f>
        <v/>
      </c>
      <c r="H830" t="str">
        <f>IFERROR(INDEX(装备库!$A$2:$Y$1047,MATCH(ROW()-1,装备库!$AO$2:$AO$1046,0),COLUMN()),"")</f>
        <v/>
      </c>
      <c r="I830" t="str">
        <f>IFERROR(INDEX(装备库!$A$2:$Y$1047,MATCH(ROW()-1,装备库!$AO$2:$AO$1046,0),COLUMN()),"")</f>
        <v/>
      </c>
      <c r="J830" t="str">
        <f>IFERROR(INDEX(装备库!$A$2:$Y$1047,MATCH(ROW()-1,装备库!$AO$2:$AO$1046,0),COLUMN()),"")</f>
        <v/>
      </c>
      <c r="K830" t="str">
        <f>IFERROR(INDEX(装备库!$A$2:$Y$1047,MATCH(ROW()-1,装备库!$AO$2:$AO$1046,0),COLUMN()),"")</f>
        <v/>
      </c>
      <c r="L830" t="str">
        <f>IFERROR(INDEX(装备库!$A$2:$Y$1047,MATCH(ROW()-1,装备库!$AO$2:$AO$1046,0),COLUMN()),"")</f>
        <v/>
      </c>
      <c r="M830" t="str">
        <f>IFERROR(INDEX(装备库!$A$2:$Y$1047,MATCH(ROW()-1,装备库!$AO$2:$AO$1046,0),COLUMN()),"")</f>
        <v/>
      </c>
      <c r="N830" t="str">
        <f>IFERROR(INDEX(装备库!$A$2:$Y$1047,MATCH(ROW()-1,装备库!$AO$2:$AO$1046,0),COLUMN()),"")</f>
        <v/>
      </c>
      <c r="O830" t="str">
        <f>IFERROR(INDEX(装备库!$A$2:$Y$1047,MATCH(ROW()-1,装备库!$AO$2:$AO$1046,0),COLUMN()),"")</f>
        <v/>
      </c>
      <c r="P830" t="str">
        <f>IFERROR(INDEX(装备库!$A$2:$Y$1047,MATCH(ROW()-1,装备库!$AO$2:$AO$1046,0),COLUMN()),"")</f>
        <v/>
      </c>
      <c r="Q830" t="str">
        <f>IFERROR(INDEX(装备库!$A$2:$Y$1047,MATCH(ROW()-1,装备库!$AO$2:$AO$1046,0),COLUMN()),"")</f>
        <v/>
      </c>
      <c r="R830" t="str">
        <f>IFERROR(INDEX(装备库!$A$2:$Y$1047,MATCH(ROW()-1,装备库!$AO$2:$AO$1046,0),COLUMN()),"")</f>
        <v/>
      </c>
      <c r="S830" t="str">
        <f>IFERROR(INDEX(装备库!$A$2:$Y$1047,MATCH(ROW()-1,装备库!$AO$2:$AO$1046,0),COLUMN()),"")</f>
        <v/>
      </c>
      <c r="T830" t="str">
        <f>IFERROR(INDEX(装备库!$A$2:$Y$1047,MATCH(ROW()-1,装备库!$AO$2:$AO$1046,0),COLUMN()),"")</f>
        <v/>
      </c>
      <c r="U830" t="str">
        <f>IFERROR(INDEX(装备库!$A$2:$Y$1047,MATCH(ROW()-1,装备库!$AO$2:$AO$1046,0),COLUMN()),"")</f>
        <v/>
      </c>
      <c r="V830" t="str">
        <f>IFERROR(INDEX(装备库!$A$2:$Y$1047,MATCH(ROW()-1,装备库!$AO$2:$AO$1046,0),COLUMN()),"")</f>
        <v/>
      </c>
      <c r="W830" t="str">
        <f>IFERROR(INDEX(装备库!$A$2:$Y$1047,MATCH(ROW()-1,装备库!$AO$2:$AO$1046,0),COLUMN()),"")</f>
        <v/>
      </c>
      <c r="X830" t="str">
        <f>IFERROR(INDEX(装备库!$A$2:$Y$1047,MATCH(ROW()-1,装备库!$AO$2:$AO$1046,0),COLUMN()),"")</f>
        <v/>
      </c>
      <c r="Y830" t="str">
        <f>IFERROR(INDEX(装备库!$A$2:$Y$1047,MATCH(ROW()-1,装备库!$AO$2:$AO$1046,0),COLUMN()),"")</f>
        <v/>
      </c>
    </row>
    <row r="831" spans="1:25" x14ac:dyDescent="0.35">
      <c r="A831" t="str">
        <f>IFERROR(INDEX(装备库!$A$2:$Y$1047,MATCH(ROW()-1,装备库!$AO$2:$AO$1046,0),COLUMN()),"")</f>
        <v/>
      </c>
      <c r="B831" t="str">
        <f>IFERROR(INDEX(装备库!$A$2:$Y$1047,MATCH(ROW()-1,装备库!$AO$2:$AO$1046,0),COLUMN()),"")</f>
        <v/>
      </c>
      <c r="C831" t="str">
        <f>IFERROR(INDEX(装备库!$A$2:$Y$1047,MATCH(ROW()-1,装备库!$AO$2:$AO$1046,0),COLUMN()),"")</f>
        <v/>
      </c>
      <c r="D831" t="str">
        <f>IFERROR(INDEX(装备库!$A$2:$Y$1047,MATCH(ROW()-1,装备库!$AO$2:$AO$1046,0),COLUMN()),"")</f>
        <v/>
      </c>
      <c r="E831" t="str">
        <f>IFERROR(INDEX(装备库!$A$2:$Y$1047,MATCH(ROW()-1,装备库!$AO$2:$AO$1046,0),COLUMN()),"")</f>
        <v/>
      </c>
      <c r="F831" t="str">
        <f>IFERROR(INDEX(装备库!$A$2:$Y$1047,MATCH(ROW()-1,装备库!$AO$2:$AO$1046,0),COLUMN()),"")</f>
        <v/>
      </c>
      <c r="G831" t="str">
        <f>IFERROR(INDEX(装备库!$A$2:$Y$1047,MATCH(ROW()-1,装备库!$AO$2:$AO$1046,0),COLUMN()),"")</f>
        <v/>
      </c>
      <c r="H831" t="str">
        <f>IFERROR(INDEX(装备库!$A$2:$Y$1047,MATCH(ROW()-1,装备库!$AO$2:$AO$1046,0),COLUMN()),"")</f>
        <v/>
      </c>
      <c r="I831" t="str">
        <f>IFERROR(INDEX(装备库!$A$2:$Y$1047,MATCH(ROW()-1,装备库!$AO$2:$AO$1046,0),COLUMN()),"")</f>
        <v/>
      </c>
      <c r="J831" t="str">
        <f>IFERROR(INDEX(装备库!$A$2:$Y$1047,MATCH(ROW()-1,装备库!$AO$2:$AO$1046,0),COLUMN()),"")</f>
        <v/>
      </c>
      <c r="K831" t="str">
        <f>IFERROR(INDEX(装备库!$A$2:$Y$1047,MATCH(ROW()-1,装备库!$AO$2:$AO$1046,0),COLUMN()),"")</f>
        <v/>
      </c>
      <c r="L831" t="str">
        <f>IFERROR(INDEX(装备库!$A$2:$Y$1047,MATCH(ROW()-1,装备库!$AO$2:$AO$1046,0),COLUMN()),"")</f>
        <v/>
      </c>
      <c r="M831" t="str">
        <f>IFERROR(INDEX(装备库!$A$2:$Y$1047,MATCH(ROW()-1,装备库!$AO$2:$AO$1046,0),COLUMN()),"")</f>
        <v/>
      </c>
      <c r="N831" t="str">
        <f>IFERROR(INDEX(装备库!$A$2:$Y$1047,MATCH(ROW()-1,装备库!$AO$2:$AO$1046,0),COLUMN()),"")</f>
        <v/>
      </c>
      <c r="O831" t="str">
        <f>IFERROR(INDEX(装备库!$A$2:$Y$1047,MATCH(ROW()-1,装备库!$AO$2:$AO$1046,0),COLUMN()),"")</f>
        <v/>
      </c>
      <c r="P831" t="str">
        <f>IFERROR(INDEX(装备库!$A$2:$Y$1047,MATCH(ROW()-1,装备库!$AO$2:$AO$1046,0),COLUMN()),"")</f>
        <v/>
      </c>
      <c r="Q831" t="str">
        <f>IFERROR(INDEX(装备库!$A$2:$Y$1047,MATCH(ROW()-1,装备库!$AO$2:$AO$1046,0),COLUMN()),"")</f>
        <v/>
      </c>
      <c r="R831" t="str">
        <f>IFERROR(INDEX(装备库!$A$2:$Y$1047,MATCH(ROW()-1,装备库!$AO$2:$AO$1046,0),COLUMN()),"")</f>
        <v/>
      </c>
      <c r="S831" t="str">
        <f>IFERROR(INDEX(装备库!$A$2:$Y$1047,MATCH(ROW()-1,装备库!$AO$2:$AO$1046,0),COLUMN()),"")</f>
        <v/>
      </c>
      <c r="T831" t="str">
        <f>IFERROR(INDEX(装备库!$A$2:$Y$1047,MATCH(ROW()-1,装备库!$AO$2:$AO$1046,0),COLUMN()),"")</f>
        <v/>
      </c>
      <c r="U831" t="str">
        <f>IFERROR(INDEX(装备库!$A$2:$Y$1047,MATCH(ROW()-1,装备库!$AO$2:$AO$1046,0),COLUMN()),"")</f>
        <v/>
      </c>
      <c r="V831" t="str">
        <f>IFERROR(INDEX(装备库!$A$2:$Y$1047,MATCH(ROW()-1,装备库!$AO$2:$AO$1046,0),COLUMN()),"")</f>
        <v/>
      </c>
      <c r="W831" t="str">
        <f>IFERROR(INDEX(装备库!$A$2:$Y$1047,MATCH(ROW()-1,装备库!$AO$2:$AO$1046,0),COLUMN()),"")</f>
        <v/>
      </c>
      <c r="X831" t="str">
        <f>IFERROR(INDEX(装备库!$A$2:$Y$1047,MATCH(ROW()-1,装备库!$AO$2:$AO$1046,0),COLUMN()),"")</f>
        <v/>
      </c>
      <c r="Y831" t="str">
        <f>IFERROR(INDEX(装备库!$A$2:$Y$1047,MATCH(ROW()-1,装备库!$AO$2:$AO$1046,0),COLUMN()),"")</f>
        <v/>
      </c>
    </row>
    <row r="832" spans="1:25" x14ac:dyDescent="0.35">
      <c r="A832" t="str">
        <f>IFERROR(INDEX(装备库!$A$2:$Y$1047,MATCH(ROW()-1,装备库!$AO$2:$AO$1046,0),COLUMN()),"")</f>
        <v/>
      </c>
      <c r="B832" t="str">
        <f>IFERROR(INDEX(装备库!$A$2:$Y$1047,MATCH(ROW()-1,装备库!$AO$2:$AO$1046,0),COLUMN()),"")</f>
        <v/>
      </c>
      <c r="C832" t="str">
        <f>IFERROR(INDEX(装备库!$A$2:$Y$1047,MATCH(ROW()-1,装备库!$AO$2:$AO$1046,0),COLUMN()),"")</f>
        <v/>
      </c>
      <c r="D832" t="str">
        <f>IFERROR(INDEX(装备库!$A$2:$Y$1047,MATCH(ROW()-1,装备库!$AO$2:$AO$1046,0),COLUMN()),"")</f>
        <v/>
      </c>
      <c r="E832" t="str">
        <f>IFERROR(INDEX(装备库!$A$2:$Y$1047,MATCH(ROW()-1,装备库!$AO$2:$AO$1046,0),COLUMN()),"")</f>
        <v/>
      </c>
      <c r="F832" t="str">
        <f>IFERROR(INDEX(装备库!$A$2:$Y$1047,MATCH(ROW()-1,装备库!$AO$2:$AO$1046,0),COLUMN()),"")</f>
        <v/>
      </c>
      <c r="G832" t="str">
        <f>IFERROR(INDEX(装备库!$A$2:$Y$1047,MATCH(ROW()-1,装备库!$AO$2:$AO$1046,0),COLUMN()),"")</f>
        <v/>
      </c>
      <c r="H832" t="str">
        <f>IFERROR(INDEX(装备库!$A$2:$Y$1047,MATCH(ROW()-1,装备库!$AO$2:$AO$1046,0),COLUMN()),"")</f>
        <v/>
      </c>
      <c r="I832" t="str">
        <f>IFERROR(INDEX(装备库!$A$2:$Y$1047,MATCH(ROW()-1,装备库!$AO$2:$AO$1046,0),COLUMN()),"")</f>
        <v/>
      </c>
      <c r="J832" t="str">
        <f>IFERROR(INDEX(装备库!$A$2:$Y$1047,MATCH(ROW()-1,装备库!$AO$2:$AO$1046,0),COLUMN()),"")</f>
        <v/>
      </c>
      <c r="K832" t="str">
        <f>IFERROR(INDEX(装备库!$A$2:$Y$1047,MATCH(ROW()-1,装备库!$AO$2:$AO$1046,0),COLUMN()),"")</f>
        <v/>
      </c>
      <c r="L832" t="str">
        <f>IFERROR(INDEX(装备库!$A$2:$Y$1047,MATCH(ROW()-1,装备库!$AO$2:$AO$1046,0),COLUMN()),"")</f>
        <v/>
      </c>
      <c r="M832" t="str">
        <f>IFERROR(INDEX(装备库!$A$2:$Y$1047,MATCH(ROW()-1,装备库!$AO$2:$AO$1046,0),COLUMN()),"")</f>
        <v/>
      </c>
      <c r="N832" t="str">
        <f>IFERROR(INDEX(装备库!$A$2:$Y$1047,MATCH(ROW()-1,装备库!$AO$2:$AO$1046,0),COLUMN()),"")</f>
        <v/>
      </c>
      <c r="O832" t="str">
        <f>IFERROR(INDEX(装备库!$A$2:$Y$1047,MATCH(ROW()-1,装备库!$AO$2:$AO$1046,0),COLUMN()),"")</f>
        <v/>
      </c>
      <c r="P832" t="str">
        <f>IFERROR(INDEX(装备库!$A$2:$Y$1047,MATCH(ROW()-1,装备库!$AO$2:$AO$1046,0),COLUMN()),"")</f>
        <v/>
      </c>
      <c r="Q832" t="str">
        <f>IFERROR(INDEX(装备库!$A$2:$Y$1047,MATCH(ROW()-1,装备库!$AO$2:$AO$1046,0),COLUMN()),"")</f>
        <v/>
      </c>
      <c r="R832" t="str">
        <f>IFERROR(INDEX(装备库!$A$2:$Y$1047,MATCH(ROW()-1,装备库!$AO$2:$AO$1046,0),COLUMN()),"")</f>
        <v/>
      </c>
      <c r="S832" t="str">
        <f>IFERROR(INDEX(装备库!$A$2:$Y$1047,MATCH(ROW()-1,装备库!$AO$2:$AO$1046,0),COLUMN()),"")</f>
        <v/>
      </c>
      <c r="T832" t="str">
        <f>IFERROR(INDEX(装备库!$A$2:$Y$1047,MATCH(ROW()-1,装备库!$AO$2:$AO$1046,0),COLUMN()),"")</f>
        <v/>
      </c>
      <c r="U832" t="str">
        <f>IFERROR(INDEX(装备库!$A$2:$Y$1047,MATCH(ROW()-1,装备库!$AO$2:$AO$1046,0),COLUMN()),"")</f>
        <v/>
      </c>
      <c r="V832" t="str">
        <f>IFERROR(INDEX(装备库!$A$2:$Y$1047,MATCH(ROW()-1,装备库!$AO$2:$AO$1046,0),COLUMN()),"")</f>
        <v/>
      </c>
      <c r="W832" t="str">
        <f>IFERROR(INDEX(装备库!$A$2:$Y$1047,MATCH(ROW()-1,装备库!$AO$2:$AO$1046,0),COLUMN()),"")</f>
        <v/>
      </c>
      <c r="X832" t="str">
        <f>IFERROR(INDEX(装备库!$A$2:$Y$1047,MATCH(ROW()-1,装备库!$AO$2:$AO$1046,0),COLUMN()),"")</f>
        <v/>
      </c>
      <c r="Y832" t="str">
        <f>IFERROR(INDEX(装备库!$A$2:$Y$1047,MATCH(ROW()-1,装备库!$AO$2:$AO$1046,0),COLUMN()),"")</f>
        <v/>
      </c>
    </row>
    <row r="833" spans="1:25" x14ac:dyDescent="0.35">
      <c r="A833" t="str">
        <f>IFERROR(INDEX(装备库!$A$2:$Y$1047,MATCH(ROW()-1,装备库!$AO$2:$AO$1046,0),COLUMN()),"")</f>
        <v/>
      </c>
      <c r="B833" t="str">
        <f>IFERROR(INDEX(装备库!$A$2:$Y$1047,MATCH(ROW()-1,装备库!$AO$2:$AO$1046,0),COLUMN()),"")</f>
        <v/>
      </c>
      <c r="C833" t="str">
        <f>IFERROR(INDEX(装备库!$A$2:$Y$1047,MATCH(ROW()-1,装备库!$AO$2:$AO$1046,0),COLUMN()),"")</f>
        <v/>
      </c>
      <c r="D833" t="str">
        <f>IFERROR(INDEX(装备库!$A$2:$Y$1047,MATCH(ROW()-1,装备库!$AO$2:$AO$1046,0),COLUMN()),"")</f>
        <v/>
      </c>
      <c r="E833" t="str">
        <f>IFERROR(INDEX(装备库!$A$2:$Y$1047,MATCH(ROW()-1,装备库!$AO$2:$AO$1046,0),COLUMN()),"")</f>
        <v/>
      </c>
      <c r="F833" t="str">
        <f>IFERROR(INDEX(装备库!$A$2:$Y$1047,MATCH(ROW()-1,装备库!$AO$2:$AO$1046,0),COLUMN()),"")</f>
        <v/>
      </c>
      <c r="G833" t="str">
        <f>IFERROR(INDEX(装备库!$A$2:$Y$1047,MATCH(ROW()-1,装备库!$AO$2:$AO$1046,0),COLUMN()),"")</f>
        <v/>
      </c>
      <c r="H833" t="str">
        <f>IFERROR(INDEX(装备库!$A$2:$Y$1047,MATCH(ROW()-1,装备库!$AO$2:$AO$1046,0),COLUMN()),"")</f>
        <v/>
      </c>
      <c r="I833" t="str">
        <f>IFERROR(INDEX(装备库!$A$2:$Y$1047,MATCH(ROW()-1,装备库!$AO$2:$AO$1046,0),COLUMN()),"")</f>
        <v/>
      </c>
      <c r="J833" t="str">
        <f>IFERROR(INDEX(装备库!$A$2:$Y$1047,MATCH(ROW()-1,装备库!$AO$2:$AO$1046,0),COLUMN()),"")</f>
        <v/>
      </c>
      <c r="K833" t="str">
        <f>IFERROR(INDEX(装备库!$A$2:$Y$1047,MATCH(ROW()-1,装备库!$AO$2:$AO$1046,0),COLUMN()),"")</f>
        <v/>
      </c>
      <c r="L833" t="str">
        <f>IFERROR(INDEX(装备库!$A$2:$Y$1047,MATCH(ROW()-1,装备库!$AO$2:$AO$1046,0),COLUMN()),"")</f>
        <v/>
      </c>
      <c r="M833" t="str">
        <f>IFERROR(INDEX(装备库!$A$2:$Y$1047,MATCH(ROW()-1,装备库!$AO$2:$AO$1046,0),COLUMN()),"")</f>
        <v/>
      </c>
      <c r="N833" t="str">
        <f>IFERROR(INDEX(装备库!$A$2:$Y$1047,MATCH(ROW()-1,装备库!$AO$2:$AO$1046,0),COLUMN()),"")</f>
        <v/>
      </c>
      <c r="O833" t="str">
        <f>IFERROR(INDEX(装备库!$A$2:$Y$1047,MATCH(ROW()-1,装备库!$AO$2:$AO$1046,0),COLUMN()),"")</f>
        <v/>
      </c>
      <c r="P833" t="str">
        <f>IFERROR(INDEX(装备库!$A$2:$Y$1047,MATCH(ROW()-1,装备库!$AO$2:$AO$1046,0),COLUMN()),"")</f>
        <v/>
      </c>
      <c r="Q833" t="str">
        <f>IFERROR(INDEX(装备库!$A$2:$Y$1047,MATCH(ROW()-1,装备库!$AO$2:$AO$1046,0),COLUMN()),"")</f>
        <v/>
      </c>
      <c r="R833" t="str">
        <f>IFERROR(INDEX(装备库!$A$2:$Y$1047,MATCH(ROW()-1,装备库!$AO$2:$AO$1046,0),COLUMN()),"")</f>
        <v/>
      </c>
      <c r="S833" t="str">
        <f>IFERROR(INDEX(装备库!$A$2:$Y$1047,MATCH(ROW()-1,装备库!$AO$2:$AO$1046,0),COLUMN()),"")</f>
        <v/>
      </c>
      <c r="T833" t="str">
        <f>IFERROR(INDEX(装备库!$A$2:$Y$1047,MATCH(ROW()-1,装备库!$AO$2:$AO$1046,0),COLUMN()),"")</f>
        <v/>
      </c>
      <c r="U833" t="str">
        <f>IFERROR(INDEX(装备库!$A$2:$Y$1047,MATCH(ROW()-1,装备库!$AO$2:$AO$1046,0),COLUMN()),"")</f>
        <v/>
      </c>
      <c r="V833" t="str">
        <f>IFERROR(INDEX(装备库!$A$2:$Y$1047,MATCH(ROW()-1,装备库!$AO$2:$AO$1046,0),COLUMN()),"")</f>
        <v/>
      </c>
      <c r="W833" t="str">
        <f>IFERROR(INDEX(装备库!$A$2:$Y$1047,MATCH(ROW()-1,装备库!$AO$2:$AO$1046,0),COLUMN()),"")</f>
        <v/>
      </c>
      <c r="X833" t="str">
        <f>IFERROR(INDEX(装备库!$A$2:$Y$1047,MATCH(ROW()-1,装备库!$AO$2:$AO$1046,0),COLUMN()),"")</f>
        <v/>
      </c>
      <c r="Y833" t="str">
        <f>IFERROR(INDEX(装备库!$A$2:$Y$1047,MATCH(ROW()-1,装备库!$AO$2:$AO$1046,0),COLUMN()),"")</f>
        <v/>
      </c>
    </row>
    <row r="834" spans="1:25" x14ac:dyDescent="0.35">
      <c r="A834" t="str">
        <f>IFERROR(INDEX(装备库!$A$2:$Y$1047,MATCH(ROW()-1,装备库!$AO$2:$AO$1046,0),COLUMN()),"")</f>
        <v/>
      </c>
      <c r="B834" t="str">
        <f>IFERROR(INDEX(装备库!$A$2:$Y$1047,MATCH(ROW()-1,装备库!$AO$2:$AO$1046,0),COLUMN()),"")</f>
        <v/>
      </c>
      <c r="C834" t="str">
        <f>IFERROR(INDEX(装备库!$A$2:$Y$1047,MATCH(ROW()-1,装备库!$AO$2:$AO$1046,0),COLUMN()),"")</f>
        <v/>
      </c>
      <c r="D834" t="str">
        <f>IFERROR(INDEX(装备库!$A$2:$Y$1047,MATCH(ROW()-1,装备库!$AO$2:$AO$1046,0),COLUMN()),"")</f>
        <v/>
      </c>
      <c r="E834" t="str">
        <f>IFERROR(INDEX(装备库!$A$2:$Y$1047,MATCH(ROW()-1,装备库!$AO$2:$AO$1046,0),COLUMN()),"")</f>
        <v/>
      </c>
      <c r="F834" t="str">
        <f>IFERROR(INDEX(装备库!$A$2:$Y$1047,MATCH(ROW()-1,装备库!$AO$2:$AO$1046,0),COLUMN()),"")</f>
        <v/>
      </c>
      <c r="G834" t="str">
        <f>IFERROR(INDEX(装备库!$A$2:$Y$1047,MATCH(ROW()-1,装备库!$AO$2:$AO$1046,0),COLUMN()),"")</f>
        <v/>
      </c>
      <c r="H834" t="str">
        <f>IFERROR(INDEX(装备库!$A$2:$Y$1047,MATCH(ROW()-1,装备库!$AO$2:$AO$1046,0),COLUMN()),"")</f>
        <v/>
      </c>
      <c r="I834" t="str">
        <f>IFERROR(INDEX(装备库!$A$2:$Y$1047,MATCH(ROW()-1,装备库!$AO$2:$AO$1046,0),COLUMN()),"")</f>
        <v/>
      </c>
      <c r="J834" t="str">
        <f>IFERROR(INDEX(装备库!$A$2:$Y$1047,MATCH(ROW()-1,装备库!$AO$2:$AO$1046,0),COLUMN()),"")</f>
        <v/>
      </c>
      <c r="K834" t="str">
        <f>IFERROR(INDEX(装备库!$A$2:$Y$1047,MATCH(ROW()-1,装备库!$AO$2:$AO$1046,0),COLUMN()),"")</f>
        <v/>
      </c>
      <c r="L834" t="str">
        <f>IFERROR(INDEX(装备库!$A$2:$Y$1047,MATCH(ROW()-1,装备库!$AO$2:$AO$1046,0),COLUMN()),"")</f>
        <v/>
      </c>
      <c r="M834" t="str">
        <f>IFERROR(INDEX(装备库!$A$2:$Y$1047,MATCH(ROW()-1,装备库!$AO$2:$AO$1046,0),COLUMN()),"")</f>
        <v/>
      </c>
      <c r="N834" t="str">
        <f>IFERROR(INDEX(装备库!$A$2:$Y$1047,MATCH(ROW()-1,装备库!$AO$2:$AO$1046,0),COLUMN()),"")</f>
        <v/>
      </c>
      <c r="O834" t="str">
        <f>IFERROR(INDEX(装备库!$A$2:$Y$1047,MATCH(ROW()-1,装备库!$AO$2:$AO$1046,0),COLUMN()),"")</f>
        <v/>
      </c>
      <c r="P834" t="str">
        <f>IFERROR(INDEX(装备库!$A$2:$Y$1047,MATCH(ROW()-1,装备库!$AO$2:$AO$1046,0),COLUMN()),"")</f>
        <v/>
      </c>
      <c r="Q834" t="str">
        <f>IFERROR(INDEX(装备库!$A$2:$Y$1047,MATCH(ROW()-1,装备库!$AO$2:$AO$1046,0),COLUMN()),"")</f>
        <v/>
      </c>
      <c r="R834" t="str">
        <f>IFERROR(INDEX(装备库!$A$2:$Y$1047,MATCH(ROW()-1,装备库!$AO$2:$AO$1046,0),COLUMN()),"")</f>
        <v/>
      </c>
      <c r="S834" t="str">
        <f>IFERROR(INDEX(装备库!$A$2:$Y$1047,MATCH(ROW()-1,装备库!$AO$2:$AO$1046,0),COLUMN()),"")</f>
        <v/>
      </c>
      <c r="T834" t="str">
        <f>IFERROR(INDEX(装备库!$A$2:$Y$1047,MATCH(ROW()-1,装备库!$AO$2:$AO$1046,0),COLUMN()),"")</f>
        <v/>
      </c>
      <c r="U834" t="str">
        <f>IFERROR(INDEX(装备库!$A$2:$Y$1047,MATCH(ROW()-1,装备库!$AO$2:$AO$1046,0),COLUMN()),"")</f>
        <v/>
      </c>
      <c r="V834" t="str">
        <f>IFERROR(INDEX(装备库!$A$2:$Y$1047,MATCH(ROW()-1,装备库!$AO$2:$AO$1046,0),COLUMN()),"")</f>
        <v/>
      </c>
      <c r="W834" t="str">
        <f>IFERROR(INDEX(装备库!$A$2:$Y$1047,MATCH(ROW()-1,装备库!$AO$2:$AO$1046,0),COLUMN()),"")</f>
        <v/>
      </c>
      <c r="X834" t="str">
        <f>IFERROR(INDEX(装备库!$A$2:$Y$1047,MATCH(ROW()-1,装备库!$AO$2:$AO$1046,0),COLUMN()),"")</f>
        <v/>
      </c>
      <c r="Y834" t="str">
        <f>IFERROR(INDEX(装备库!$A$2:$Y$1047,MATCH(ROW()-1,装备库!$AO$2:$AO$1046,0),COLUMN()),"")</f>
        <v/>
      </c>
    </row>
    <row r="835" spans="1:25" x14ac:dyDescent="0.35">
      <c r="A835" t="str">
        <f>IFERROR(INDEX(装备库!$A$2:$Y$1047,MATCH(ROW()-1,装备库!$AO$2:$AO$1046,0),COLUMN()),"")</f>
        <v/>
      </c>
      <c r="B835" t="str">
        <f>IFERROR(INDEX(装备库!$A$2:$Y$1047,MATCH(ROW()-1,装备库!$AO$2:$AO$1046,0),COLUMN()),"")</f>
        <v/>
      </c>
      <c r="C835" t="str">
        <f>IFERROR(INDEX(装备库!$A$2:$Y$1047,MATCH(ROW()-1,装备库!$AO$2:$AO$1046,0),COLUMN()),"")</f>
        <v/>
      </c>
      <c r="D835" t="str">
        <f>IFERROR(INDEX(装备库!$A$2:$Y$1047,MATCH(ROW()-1,装备库!$AO$2:$AO$1046,0),COLUMN()),"")</f>
        <v/>
      </c>
      <c r="E835" t="str">
        <f>IFERROR(INDEX(装备库!$A$2:$Y$1047,MATCH(ROW()-1,装备库!$AO$2:$AO$1046,0),COLUMN()),"")</f>
        <v/>
      </c>
      <c r="F835" t="str">
        <f>IFERROR(INDEX(装备库!$A$2:$Y$1047,MATCH(ROW()-1,装备库!$AO$2:$AO$1046,0),COLUMN()),"")</f>
        <v/>
      </c>
      <c r="G835" t="str">
        <f>IFERROR(INDEX(装备库!$A$2:$Y$1047,MATCH(ROW()-1,装备库!$AO$2:$AO$1046,0),COLUMN()),"")</f>
        <v/>
      </c>
      <c r="H835" t="str">
        <f>IFERROR(INDEX(装备库!$A$2:$Y$1047,MATCH(ROW()-1,装备库!$AO$2:$AO$1046,0),COLUMN()),"")</f>
        <v/>
      </c>
      <c r="I835" t="str">
        <f>IFERROR(INDEX(装备库!$A$2:$Y$1047,MATCH(ROW()-1,装备库!$AO$2:$AO$1046,0),COLUMN()),"")</f>
        <v/>
      </c>
      <c r="J835" t="str">
        <f>IFERROR(INDEX(装备库!$A$2:$Y$1047,MATCH(ROW()-1,装备库!$AO$2:$AO$1046,0),COLUMN()),"")</f>
        <v/>
      </c>
      <c r="K835" t="str">
        <f>IFERROR(INDEX(装备库!$A$2:$Y$1047,MATCH(ROW()-1,装备库!$AO$2:$AO$1046,0),COLUMN()),"")</f>
        <v/>
      </c>
      <c r="L835" t="str">
        <f>IFERROR(INDEX(装备库!$A$2:$Y$1047,MATCH(ROW()-1,装备库!$AO$2:$AO$1046,0),COLUMN()),"")</f>
        <v/>
      </c>
      <c r="M835" t="str">
        <f>IFERROR(INDEX(装备库!$A$2:$Y$1047,MATCH(ROW()-1,装备库!$AO$2:$AO$1046,0),COLUMN()),"")</f>
        <v/>
      </c>
      <c r="N835" t="str">
        <f>IFERROR(INDEX(装备库!$A$2:$Y$1047,MATCH(ROW()-1,装备库!$AO$2:$AO$1046,0),COLUMN()),"")</f>
        <v/>
      </c>
      <c r="O835" t="str">
        <f>IFERROR(INDEX(装备库!$A$2:$Y$1047,MATCH(ROW()-1,装备库!$AO$2:$AO$1046,0),COLUMN()),"")</f>
        <v/>
      </c>
      <c r="P835" t="str">
        <f>IFERROR(INDEX(装备库!$A$2:$Y$1047,MATCH(ROW()-1,装备库!$AO$2:$AO$1046,0),COLUMN()),"")</f>
        <v/>
      </c>
      <c r="Q835" t="str">
        <f>IFERROR(INDEX(装备库!$A$2:$Y$1047,MATCH(ROW()-1,装备库!$AO$2:$AO$1046,0),COLUMN()),"")</f>
        <v/>
      </c>
      <c r="R835" t="str">
        <f>IFERROR(INDEX(装备库!$A$2:$Y$1047,MATCH(ROW()-1,装备库!$AO$2:$AO$1046,0),COLUMN()),"")</f>
        <v/>
      </c>
      <c r="S835" t="str">
        <f>IFERROR(INDEX(装备库!$A$2:$Y$1047,MATCH(ROW()-1,装备库!$AO$2:$AO$1046,0),COLUMN()),"")</f>
        <v/>
      </c>
      <c r="T835" t="str">
        <f>IFERROR(INDEX(装备库!$A$2:$Y$1047,MATCH(ROW()-1,装备库!$AO$2:$AO$1046,0),COLUMN()),"")</f>
        <v/>
      </c>
      <c r="U835" t="str">
        <f>IFERROR(INDEX(装备库!$A$2:$Y$1047,MATCH(ROW()-1,装备库!$AO$2:$AO$1046,0),COLUMN()),"")</f>
        <v/>
      </c>
      <c r="V835" t="str">
        <f>IFERROR(INDEX(装备库!$A$2:$Y$1047,MATCH(ROW()-1,装备库!$AO$2:$AO$1046,0),COLUMN()),"")</f>
        <v/>
      </c>
      <c r="W835" t="str">
        <f>IFERROR(INDEX(装备库!$A$2:$Y$1047,MATCH(ROW()-1,装备库!$AO$2:$AO$1046,0),COLUMN()),"")</f>
        <v/>
      </c>
      <c r="X835" t="str">
        <f>IFERROR(INDEX(装备库!$A$2:$Y$1047,MATCH(ROW()-1,装备库!$AO$2:$AO$1046,0),COLUMN()),"")</f>
        <v/>
      </c>
      <c r="Y835" t="str">
        <f>IFERROR(INDEX(装备库!$A$2:$Y$1047,MATCH(ROW()-1,装备库!$AO$2:$AO$1046,0),COLUMN()),"")</f>
        <v/>
      </c>
    </row>
    <row r="836" spans="1:25" x14ac:dyDescent="0.35">
      <c r="A836" t="str">
        <f>IFERROR(INDEX(装备库!$A$2:$Y$1047,MATCH(ROW()-1,装备库!$AO$2:$AO$1046,0),COLUMN()),"")</f>
        <v/>
      </c>
      <c r="B836" t="str">
        <f>IFERROR(INDEX(装备库!$A$2:$Y$1047,MATCH(ROW()-1,装备库!$AO$2:$AO$1046,0),COLUMN()),"")</f>
        <v/>
      </c>
      <c r="C836" t="str">
        <f>IFERROR(INDEX(装备库!$A$2:$Y$1047,MATCH(ROW()-1,装备库!$AO$2:$AO$1046,0),COLUMN()),"")</f>
        <v/>
      </c>
      <c r="D836" t="str">
        <f>IFERROR(INDEX(装备库!$A$2:$Y$1047,MATCH(ROW()-1,装备库!$AO$2:$AO$1046,0),COLUMN()),"")</f>
        <v/>
      </c>
      <c r="E836" t="str">
        <f>IFERROR(INDEX(装备库!$A$2:$Y$1047,MATCH(ROW()-1,装备库!$AO$2:$AO$1046,0),COLUMN()),"")</f>
        <v/>
      </c>
      <c r="F836" t="str">
        <f>IFERROR(INDEX(装备库!$A$2:$Y$1047,MATCH(ROW()-1,装备库!$AO$2:$AO$1046,0),COLUMN()),"")</f>
        <v/>
      </c>
      <c r="G836" t="str">
        <f>IFERROR(INDEX(装备库!$A$2:$Y$1047,MATCH(ROW()-1,装备库!$AO$2:$AO$1046,0),COLUMN()),"")</f>
        <v/>
      </c>
      <c r="H836" t="str">
        <f>IFERROR(INDEX(装备库!$A$2:$Y$1047,MATCH(ROW()-1,装备库!$AO$2:$AO$1046,0),COLUMN()),"")</f>
        <v/>
      </c>
      <c r="I836" t="str">
        <f>IFERROR(INDEX(装备库!$A$2:$Y$1047,MATCH(ROW()-1,装备库!$AO$2:$AO$1046,0),COLUMN()),"")</f>
        <v/>
      </c>
      <c r="J836" t="str">
        <f>IFERROR(INDEX(装备库!$A$2:$Y$1047,MATCH(ROW()-1,装备库!$AO$2:$AO$1046,0),COLUMN()),"")</f>
        <v/>
      </c>
      <c r="K836" t="str">
        <f>IFERROR(INDEX(装备库!$A$2:$Y$1047,MATCH(ROW()-1,装备库!$AO$2:$AO$1046,0),COLUMN()),"")</f>
        <v/>
      </c>
      <c r="L836" t="str">
        <f>IFERROR(INDEX(装备库!$A$2:$Y$1047,MATCH(ROW()-1,装备库!$AO$2:$AO$1046,0),COLUMN()),"")</f>
        <v/>
      </c>
      <c r="M836" t="str">
        <f>IFERROR(INDEX(装备库!$A$2:$Y$1047,MATCH(ROW()-1,装备库!$AO$2:$AO$1046,0),COLUMN()),"")</f>
        <v/>
      </c>
      <c r="N836" t="str">
        <f>IFERROR(INDEX(装备库!$A$2:$Y$1047,MATCH(ROW()-1,装备库!$AO$2:$AO$1046,0),COLUMN()),"")</f>
        <v/>
      </c>
      <c r="O836" t="str">
        <f>IFERROR(INDEX(装备库!$A$2:$Y$1047,MATCH(ROW()-1,装备库!$AO$2:$AO$1046,0),COLUMN()),"")</f>
        <v/>
      </c>
      <c r="P836" t="str">
        <f>IFERROR(INDEX(装备库!$A$2:$Y$1047,MATCH(ROW()-1,装备库!$AO$2:$AO$1046,0),COLUMN()),"")</f>
        <v/>
      </c>
      <c r="Q836" t="str">
        <f>IFERROR(INDEX(装备库!$A$2:$Y$1047,MATCH(ROW()-1,装备库!$AO$2:$AO$1046,0),COLUMN()),"")</f>
        <v/>
      </c>
      <c r="R836" t="str">
        <f>IFERROR(INDEX(装备库!$A$2:$Y$1047,MATCH(ROW()-1,装备库!$AO$2:$AO$1046,0),COLUMN()),"")</f>
        <v/>
      </c>
      <c r="S836" t="str">
        <f>IFERROR(INDEX(装备库!$A$2:$Y$1047,MATCH(ROW()-1,装备库!$AO$2:$AO$1046,0),COLUMN()),"")</f>
        <v/>
      </c>
      <c r="T836" t="str">
        <f>IFERROR(INDEX(装备库!$A$2:$Y$1047,MATCH(ROW()-1,装备库!$AO$2:$AO$1046,0),COLUMN()),"")</f>
        <v/>
      </c>
      <c r="U836" t="str">
        <f>IFERROR(INDEX(装备库!$A$2:$Y$1047,MATCH(ROW()-1,装备库!$AO$2:$AO$1046,0),COLUMN()),"")</f>
        <v/>
      </c>
      <c r="V836" t="str">
        <f>IFERROR(INDEX(装备库!$A$2:$Y$1047,MATCH(ROW()-1,装备库!$AO$2:$AO$1046,0),COLUMN()),"")</f>
        <v/>
      </c>
      <c r="W836" t="str">
        <f>IFERROR(INDEX(装备库!$A$2:$Y$1047,MATCH(ROW()-1,装备库!$AO$2:$AO$1046,0),COLUMN()),"")</f>
        <v/>
      </c>
      <c r="X836" t="str">
        <f>IFERROR(INDEX(装备库!$A$2:$Y$1047,MATCH(ROW()-1,装备库!$AO$2:$AO$1046,0),COLUMN()),"")</f>
        <v/>
      </c>
      <c r="Y836" t="str">
        <f>IFERROR(INDEX(装备库!$A$2:$Y$1047,MATCH(ROW()-1,装备库!$AO$2:$AO$1046,0),COLUMN()),"")</f>
        <v/>
      </c>
    </row>
    <row r="837" spans="1:25" x14ac:dyDescent="0.35">
      <c r="A837" t="str">
        <f>IFERROR(INDEX(装备库!$A$2:$Y$1047,MATCH(ROW()-1,装备库!$AO$2:$AO$1046,0),COLUMN()),"")</f>
        <v/>
      </c>
      <c r="B837" t="str">
        <f>IFERROR(INDEX(装备库!$A$2:$Y$1047,MATCH(ROW()-1,装备库!$AO$2:$AO$1046,0),COLUMN()),"")</f>
        <v/>
      </c>
      <c r="C837" t="str">
        <f>IFERROR(INDEX(装备库!$A$2:$Y$1047,MATCH(ROW()-1,装备库!$AO$2:$AO$1046,0),COLUMN()),"")</f>
        <v/>
      </c>
      <c r="D837" t="str">
        <f>IFERROR(INDEX(装备库!$A$2:$Y$1047,MATCH(ROW()-1,装备库!$AO$2:$AO$1046,0),COLUMN()),"")</f>
        <v/>
      </c>
      <c r="E837" t="str">
        <f>IFERROR(INDEX(装备库!$A$2:$Y$1047,MATCH(ROW()-1,装备库!$AO$2:$AO$1046,0),COLUMN()),"")</f>
        <v/>
      </c>
      <c r="F837" t="str">
        <f>IFERROR(INDEX(装备库!$A$2:$Y$1047,MATCH(ROW()-1,装备库!$AO$2:$AO$1046,0),COLUMN()),"")</f>
        <v/>
      </c>
      <c r="G837" t="str">
        <f>IFERROR(INDEX(装备库!$A$2:$Y$1047,MATCH(ROW()-1,装备库!$AO$2:$AO$1046,0),COLUMN()),"")</f>
        <v/>
      </c>
      <c r="H837" t="str">
        <f>IFERROR(INDEX(装备库!$A$2:$Y$1047,MATCH(ROW()-1,装备库!$AO$2:$AO$1046,0),COLUMN()),"")</f>
        <v/>
      </c>
      <c r="I837" t="str">
        <f>IFERROR(INDEX(装备库!$A$2:$Y$1047,MATCH(ROW()-1,装备库!$AO$2:$AO$1046,0),COLUMN()),"")</f>
        <v/>
      </c>
      <c r="J837" t="str">
        <f>IFERROR(INDEX(装备库!$A$2:$Y$1047,MATCH(ROW()-1,装备库!$AO$2:$AO$1046,0),COLUMN()),"")</f>
        <v/>
      </c>
      <c r="K837" t="str">
        <f>IFERROR(INDEX(装备库!$A$2:$Y$1047,MATCH(ROW()-1,装备库!$AO$2:$AO$1046,0),COLUMN()),"")</f>
        <v/>
      </c>
      <c r="L837" t="str">
        <f>IFERROR(INDEX(装备库!$A$2:$Y$1047,MATCH(ROW()-1,装备库!$AO$2:$AO$1046,0),COLUMN()),"")</f>
        <v/>
      </c>
      <c r="M837" t="str">
        <f>IFERROR(INDEX(装备库!$A$2:$Y$1047,MATCH(ROW()-1,装备库!$AO$2:$AO$1046,0),COLUMN()),"")</f>
        <v/>
      </c>
      <c r="N837" t="str">
        <f>IFERROR(INDEX(装备库!$A$2:$Y$1047,MATCH(ROW()-1,装备库!$AO$2:$AO$1046,0),COLUMN()),"")</f>
        <v/>
      </c>
      <c r="O837" t="str">
        <f>IFERROR(INDEX(装备库!$A$2:$Y$1047,MATCH(ROW()-1,装备库!$AO$2:$AO$1046,0),COLUMN()),"")</f>
        <v/>
      </c>
      <c r="P837" t="str">
        <f>IFERROR(INDEX(装备库!$A$2:$Y$1047,MATCH(ROW()-1,装备库!$AO$2:$AO$1046,0),COLUMN()),"")</f>
        <v/>
      </c>
      <c r="Q837" t="str">
        <f>IFERROR(INDEX(装备库!$A$2:$Y$1047,MATCH(ROW()-1,装备库!$AO$2:$AO$1046,0),COLUMN()),"")</f>
        <v/>
      </c>
      <c r="R837" t="str">
        <f>IFERROR(INDEX(装备库!$A$2:$Y$1047,MATCH(ROW()-1,装备库!$AO$2:$AO$1046,0),COLUMN()),"")</f>
        <v/>
      </c>
      <c r="S837" t="str">
        <f>IFERROR(INDEX(装备库!$A$2:$Y$1047,MATCH(ROW()-1,装备库!$AO$2:$AO$1046,0),COLUMN()),"")</f>
        <v/>
      </c>
      <c r="T837" t="str">
        <f>IFERROR(INDEX(装备库!$A$2:$Y$1047,MATCH(ROW()-1,装备库!$AO$2:$AO$1046,0),COLUMN()),"")</f>
        <v/>
      </c>
      <c r="U837" t="str">
        <f>IFERROR(INDEX(装备库!$A$2:$Y$1047,MATCH(ROW()-1,装备库!$AO$2:$AO$1046,0),COLUMN()),"")</f>
        <v/>
      </c>
      <c r="V837" t="str">
        <f>IFERROR(INDEX(装备库!$A$2:$Y$1047,MATCH(ROW()-1,装备库!$AO$2:$AO$1046,0),COLUMN()),"")</f>
        <v/>
      </c>
      <c r="W837" t="str">
        <f>IFERROR(INDEX(装备库!$A$2:$Y$1047,MATCH(ROW()-1,装备库!$AO$2:$AO$1046,0),COLUMN()),"")</f>
        <v/>
      </c>
      <c r="X837" t="str">
        <f>IFERROR(INDEX(装备库!$A$2:$Y$1047,MATCH(ROW()-1,装备库!$AO$2:$AO$1046,0),COLUMN()),"")</f>
        <v/>
      </c>
      <c r="Y837" t="str">
        <f>IFERROR(INDEX(装备库!$A$2:$Y$1047,MATCH(ROW()-1,装备库!$AO$2:$AO$1046,0),COLUMN()),"")</f>
        <v/>
      </c>
    </row>
    <row r="838" spans="1:25" x14ac:dyDescent="0.35">
      <c r="A838" t="str">
        <f>IFERROR(INDEX(装备库!$A$2:$Y$1047,MATCH(ROW()-1,装备库!$AO$2:$AO$1046,0),COLUMN()),"")</f>
        <v/>
      </c>
      <c r="B838" t="str">
        <f>IFERROR(INDEX(装备库!$A$2:$Y$1047,MATCH(ROW()-1,装备库!$AO$2:$AO$1046,0),COLUMN()),"")</f>
        <v/>
      </c>
      <c r="C838" t="str">
        <f>IFERROR(INDEX(装备库!$A$2:$Y$1047,MATCH(ROW()-1,装备库!$AO$2:$AO$1046,0),COLUMN()),"")</f>
        <v/>
      </c>
      <c r="D838" t="str">
        <f>IFERROR(INDEX(装备库!$A$2:$Y$1047,MATCH(ROW()-1,装备库!$AO$2:$AO$1046,0),COLUMN()),"")</f>
        <v/>
      </c>
      <c r="E838" t="str">
        <f>IFERROR(INDEX(装备库!$A$2:$Y$1047,MATCH(ROW()-1,装备库!$AO$2:$AO$1046,0),COLUMN()),"")</f>
        <v/>
      </c>
      <c r="F838" t="str">
        <f>IFERROR(INDEX(装备库!$A$2:$Y$1047,MATCH(ROW()-1,装备库!$AO$2:$AO$1046,0),COLUMN()),"")</f>
        <v/>
      </c>
      <c r="G838" t="str">
        <f>IFERROR(INDEX(装备库!$A$2:$Y$1047,MATCH(ROW()-1,装备库!$AO$2:$AO$1046,0),COLUMN()),"")</f>
        <v/>
      </c>
      <c r="H838" t="str">
        <f>IFERROR(INDEX(装备库!$A$2:$Y$1047,MATCH(ROW()-1,装备库!$AO$2:$AO$1046,0),COLUMN()),"")</f>
        <v/>
      </c>
      <c r="I838" t="str">
        <f>IFERROR(INDEX(装备库!$A$2:$Y$1047,MATCH(ROW()-1,装备库!$AO$2:$AO$1046,0),COLUMN()),"")</f>
        <v/>
      </c>
      <c r="J838" t="str">
        <f>IFERROR(INDEX(装备库!$A$2:$Y$1047,MATCH(ROW()-1,装备库!$AO$2:$AO$1046,0),COLUMN()),"")</f>
        <v/>
      </c>
      <c r="K838" t="str">
        <f>IFERROR(INDEX(装备库!$A$2:$Y$1047,MATCH(ROW()-1,装备库!$AO$2:$AO$1046,0),COLUMN()),"")</f>
        <v/>
      </c>
      <c r="L838" t="str">
        <f>IFERROR(INDEX(装备库!$A$2:$Y$1047,MATCH(ROW()-1,装备库!$AO$2:$AO$1046,0),COLUMN()),"")</f>
        <v/>
      </c>
      <c r="M838" t="str">
        <f>IFERROR(INDEX(装备库!$A$2:$Y$1047,MATCH(ROW()-1,装备库!$AO$2:$AO$1046,0),COLUMN()),"")</f>
        <v/>
      </c>
      <c r="N838" t="str">
        <f>IFERROR(INDEX(装备库!$A$2:$Y$1047,MATCH(ROW()-1,装备库!$AO$2:$AO$1046,0),COLUMN()),"")</f>
        <v/>
      </c>
      <c r="O838" t="str">
        <f>IFERROR(INDEX(装备库!$A$2:$Y$1047,MATCH(ROW()-1,装备库!$AO$2:$AO$1046,0),COLUMN()),"")</f>
        <v/>
      </c>
      <c r="P838" t="str">
        <f>IFERROR(INDEX(装备库!$A$2:$Y$1047,MATCH(ROW()-1,装备库!$AO$2:$AO$1046,0),COLUMN()),"")</f>
        <v/>
      </c>
      <c r="Q838" t="str">
        <f>IFERROR(INDEX(装备库!$A$2:$Y$1047,MATCH(ROW()-1,装备库!$AO$2:$AO$1046,0),COLUMN()),"")</f>
        <v/>
      </c>
      <c r="R838" t="str">
        <f>IFERROR(INDEX(装备库!$A$2:$Y$1047,MATCH(ROW()-1,装备库!$AO$2:$AO$1046,0),COLUMN()),"")</f>
        <v/>
      </c>
      <c r="S838" t="str">
        <f>IFERROR(INDEX(装备库!$A$2:$Y$1047,MATCH(ROW()-1,装备库!$AO$2:$AO$1046,0),COLUMN()),"")</f>
        <v/>
      </c>
      <c r="T838" t="str">
        <f>IFERROR(INDEX(装备库!$A$2:$Y$1047,MATCH(ROW()-1,装备库!$AO$2:$AO$1046,0),COLUMN()),"")</f>
        <v/>
      </c>
      <c r="U838" t="str">
        <f>IFERROR(INDEX(装备库!$A$2:$Y$1047,MATCH(ROW()-1,装备库!$AO$2:$AO$1046,0),COLUMN()),"")</f>
        <v/>
      </c>
      <c r="V838" t="str">
        <f>IFERROR(INDEX(装备库!$A$2:$Y$1047,MATCH(ROW()-1,装备库!$AO$2:$AO$1046,0),COLUMN()),"")</f>
        <v/>
      </c>
      <c r="W838" t="str">
        <f>IFERROR(INDEX(装备库!$A$2:$Y$1047,MATCH(ROW()-1,装备库!$AO$2:$AO$1046,0),COLUMN()),"")</f>
        <v/>
      </c>
      <c r="X838" t="str">
        <f>IFERROR(INDEX(装备库!$A$2:$Y$1047,MATCH(ROW()-1,装备库!$AO$2:$AO$1046,0),COLUMN()),"")</f>
        <v/>
      </c>
      <c r="Y838" t="str">
        <f>IFERROR(INDEX(装备库!$A$2:$Y$1047,MATCH(ROW()-1,装备库!$AO$2:$AO$1046,0),COLUMN()),"")</f>
        <v/>
      </c>
    </row>
    <row r="839" spans="1:25" x14ac:dyDescent="0.35">
      <c r="A839" t="str">
        <f>IFERROR(INDEX(装备库!$A$2:$Y$1047,MATCH(ROW()-1,装备库!$AO$2:$AO$1046,0),COLUMN()),"")</f>
        <v/>
      </c>
      <c r="B839" t="str">
        <f>IFERROR(INDEX(装备库!$A$2:$Y$1047,MATCH(ROW()-1,装备库!$AO$2:$AO$1046,0),COLUMN()),"")</f>
        <v/>
      </c>
      <c r="C839" t="str">
        <f>IFERROR(INDEX(装备库!$A$2:$Y$1047,MATCH(ROW()-1,装备库!$AO$2:$AO$1046,0),COLUMN()),"")</f>
        <v/>
      </c>
      <c r="D839" t="str">
        <f>IFERROR(INDEX(装备库!$A$2:$Y$1047,MATCH(ROW()-1,装备库!$AO$2:$AO$1046,0),COLUMN()),"")</f>
        <v/>
      </c>
      <c r="E839" t="str">
        <f>IFERROR(INDEX(装备库!$A$2:$Y$1047,MATCH(ROW()-1,装备库!$AO$2:$AO$1046,0),COLUMN()),"")</f>
        <v/>
      </c>
      <c r="F839" t="str">
        <f>IFERROR(INDEX(装备库!$A$2:$Y$1047,MATCH(ROW()-1,装备库!$AO$2:$AO$1046,0),COLUMN()),"")</f>
        <v/>
      </c>
      <c r="G839" t="str">
        <f>IFERROR(INDEX(装备库!$A$2:$Y$1047,MATCH(ROW()-1,装备库!$AO$2:$AO$1046,0),COLUMN()),"")</f>
        <v/>
      </c>
      <c r="H839" t="str">
        <f>IFERROR(INDEX(装备库!$A$2:$Y$1047,MATCH(ROW()-1,装备库!$AO$2:$AO$1046,0),COLUMN()),"")</f>
        <v/>
      </c>
      <c r="I839" t="str">
        <f>IFERROR(INDEX(装备库!$A$2:$Y$1047,MATCH(ROW()-1,装备库!$AO$2:$AO$1046,0),COLUMN()),"")</f>
        <v/>
      </c>
      <c r="J839" t="str">
        <f>IFERROR(INDEX(装备库!$A$2:$Y$1047,MATCH(ROW()-1,装备库!$AO$2:$AO$1046,0),COLUMN()),"")</f>
        <v/>
      </c>
      <c r="K839" t="str">
        <f>IFERROR(INDEX(装备库!$A$2:$Y$1047,MATCH(ROW()-1,装备库!$AO$2:$AO$1046,0),COLUMN()),"")</f>
        <v/>
      </c>
      <c r="L839" t="str">
        <f>IFERROR(INDEX(装备库!$A$2:$Y$1047,MATCH(ROW()-1,装备库!$AO$2:$AO$1046,0),COLUMN()),"")</f>
        <v/>
      </c>
      <c r="M839" t="str">
        <f>IFERROR(INDEX(装备库!$A$2:$Y$1047,MATCH(ROW()-1,装备库!$AO$2:$AO$1046,0),COLUMN()),"")</f>
        <v/>
      </c>
      <c r="N839" t="str">
        <f>IFERROR(INDEX(装备库!$A$2:$Y$1047,MATCH(ROW()-1,装备库!$AO$2:$AO$1046,0),COLUMN()),"")</f>
        <v/>
      </c>
      <c r="O839" t="str">
        <f>IFERROR(INDEX(装备库!$A$2:$Y$1047,MATCH(ROW()-1,装备库!$AO$2:$AO$1046,0),COLUMN()),"")</f>
        <v/>
      </c>
      <c r="P839" t="str">
        <f>IFERROR(INDEX(装备库!$A$2:$Y$1047,MATCH(ROW()-1,装备库!$AO$2:$AO$1046,0),COLUMN()),"")</f>
        <v/>
      </c>
      <c r="Q839" t="str">
        <f>IFERROR(INDEX(装备库!$A$2:$Y$1047,MATCH(ROW()-1,装备库!$AO$2:$AO$1046,0),COLUMN()),"")</f>
        <v/>
      </c>
      <c r="R839" t="str">
        <f>IFERROR(INDEX(装备库!$A$2:$Y$1047,MATCH(ROW()-1,装备库!$AO$2:$AO$1046,0),COLUMN()),"")</f>
        <v/>
      </c>
      <c r="S839" t="str">
        <f>IFERROR(INDEX(装备库!$A$2:$Y$1047,MATCH(ROW()-1,装备库!$AO$2:$AO$1046,0),COLUMN()),"")</f>
        <v/>
      </c>
      <c r="T839" t="str">
        <f>IFERROR(INDEX(装备库!$A$2:$Y$1047,MATCH(ROW()-1,装备库!$AO$2:$AO$1046,0),COLUMN()),"")</f>
        <v/>
      </c>
      <c r="U839" t="str">
        <f>IFERROR(INDEX(装备库!$A$2:$Y$1047,MATCH(ROW()-1,装备库!$AO$2:$AO$1046,0),COLUMN()),"")</f>
        <v/>
      </c>
      <c r="V839" t="str">
        <f>IFERROR(INDEX(装备库!$A$2:$Y$1047,MATCH(ROW()-1,装备库!$AO$2:$AO$1046,0),COLUMN()),"")</f>
        <v/>
      </c>
      <c r="W839" t="str">
        <f>IFERROR(INDEX(装备库!$A$2:$Y$1047,MATCH(ROW()-1,装备库!$AO$2:$AO$1046,0),COLUMN()),"")</f>
        <v/>
      </c>
      <c r="X839" t="str">
        <f>IFERROR(INDEX(装备库!$A$2:$Y$1047,MATCH(ROW()-1,装备库!$AO$2:$AO$1046,0),COLUMN()),"")</f>
        <v/>
      </c>
      <c r="Y839" t="str">
        <f>IFERROR(INDEX(装备库!$A$2:$Y$1047,MATCH(ROW()-1,装备库!$AO$2:$AO$1046,0),COLUMN()),"")</f>
        <v/>
      </c>
    </row>
    <row r="840" spans="1:25" x14ac:dyDescent="0.35">
      <c r="A840" t="str">
        <f>IFERROR(INDEX(装备库!$A$2:$Y$1047,MATCH(ROW()-1,装备库!$AO$2:$AO$1046,0),COLUMN()),"")</f>
        <v/>
      </c>
      <c r="B840" t="str">
        <f>IFERROR(INDEX(装备库!$A$2:$Y$1047,MATCH(ROW()-1,装备库!$AO$2:$AO$1046,0),COLUMN()),"")</f>
        <v/>
      </c>
      <c r="C840" t="str">
        <f>IFERROR(INDEX(装备库!$A$2:$Y$1047,MATCH(ROW()-1,装备库!$AO$2:$AO$1046,0),COLUMN()),"")</f>
        <v/>
      </c>
      <c r="D840" t="str">
        <f>IFERROR(INDEX(装备库!$A$2:$Y$1047,MATCH(ROW()-1,装备库!$AO$2:$AO$1046,0),COLUMN()),"")</f>
        <v/>
      </c>
      <c r="E840" t="str">
        <f>IFERROR(INDEX(装备库!$A$2:$Y$1047,MATCH(ROW()-1,装备库!$AO$2:$AO$1046,0),COLUMN()),"")</f>
        <v/>
      </c>
      <c r="F840" t="str">
        <f>IFERROR(INDEX(装备库!$A$2:$Y$1047,MATCH(ROW()-1,装备库!$AO$2:$AO$1046,0),COLUMN()),"")</f>
        <v/>
      </c>
      <c r="G840" t="str">
        <f>IFERROR(INDEX(装备库!$A$2:$Y$1047,MATCH(ROW()-1,装备库!$AO$2:$AO$1046,0),COLUMN()),"")</f>
        <v/>
      </c>
      <c r="H840" t="str">
        <f>IFERROR(INDEX(装备库!$A$2:$Y$1047,MATCH(ROW()-1,装备库!$AO$2:$AO$1046,0),COLUMN()),"")</f>
        <v/>
      </c>
      <c r="I840" t="str">
        <f>IFERROR(INDEX(装备库!$A$2:$Y$1047,MATCH(ROW()-1,装备库!$AO$2:$AO$1046,0),COLUMN()),"")</f>
        <v/>
      </c>
      <c r="J840" t="str">
        <f>IFERROR(INDEX(装备库!$A$2:$Y$1047,MATCH(ROW()-1,装备库!$AO$2:$AO$1046,0),COLUMN()),"")</f>
        <v/>
      </c>
      <c r="K840" t="str">
        <f>IFERROR(INDEX(装备库!$A$2:$Y$1047,MATCH(ROW()-1,装备库!$AO$2:$AO$1046,0),COLUMN()),"")</f>
        <v/>
      </c>
      <c r="L840" t="str">
        <f>IFERROR(INDEX(装备库!$A$2:$Y$1047,MATCH(ROW()-1,装备库!$AO$2:$AO$1046,0),COLUMN()),"")</f>
        <v/>
      </c>
      <c r="M840" t="str">
        <f>IFERROR(INDEX(装备库!$A$2:$Y$1047,MATCH(ROW()-1,装备库!$AO$2:$AO$1046,0),COLUMN()),"")</f>
        <v/>
      </c>
      <c r="N840" t="str">
        <f>IFERROR(INDEX(装备库!$A$2:$Y$1047,MATCH(ROW()-1,装备库!$AO$2:$AO$1046,0),COLUMN()),"")</f>
        <v/>
      </c>
      <c r="O840" t="str">
        <f>IFERROR(INDEX(装备库!$A$2:$Y$1047,MATCH(ROW()-1,装备库!$AO$2:$AO$1046,0),COLUMN()),"")</f>
        <v/>
      </c>
      <c r="P840" t="str">
        <f>IFERROR(INDEX(装备库!$A$2:$Y$1047,MATCH(ROW()-1,装备库!$AO$2:$AO$1046,0),COLUMN()),"")</f>
        <v/>
      </c>
      <c r="Q840" t="str">
        <f>IFERROR(INDEX(装备库!$A$2:$Y$1047,MATCH(ROW()-1,装备库!$AO$2:$AO$1046,0),COLUMN()),"")</f>
        <v/>
      </c>
      <c r="R840" t="str">
        <f>IFERROR(INDEX(装备库!$A$2:$Y$1047,MATCH(ROW()-1,装备库!$AO$2:$AO$1046,0),COLUMN()),"")</f>
        <v/>
      </c>
      <c r="S840" t="str">
        <f>IFERROR(INDEX(装备库!$A$2:$Y$1047,MATCH(ROW()-1,装备库!$AO$2:$AO$1046,0),COLUMN()),"")</f>
        <v/>
      </c>
      <c r="T840" t="str">
        <f>IFERROR(INDEX(装备库!$A$2:$Y$1047,MATCH(ROW()-1,装备库!$AO$2:$AO$1046,0),COLUMN()),"")</f>
        <v/>
      </c>
      <c r="U840" t="str">
        <f>IFERROR(INDEX(装备库!$A$2:$Y$1047,MATCH(ROW()-1,装备库!$AO$2:$AO$1046,0),COLUMN()),"")</f>
        <v/>
      </c>
      <c r="V840" t="str">
        <f>IFERROR(INDEX(装备库!$A$2:$Y$1047,MATCH(ROW()-1,装备库!$AO$2:$AO$1046,0),COLUMN()),"")</f>
        <v/>
      </c>
      <c r="W840" t="str">
        <f>IFERROR(INDEX(装备库!$A$2:$Y$1047,MATCH(ROW()-1,装备库!$AO$2:$AO$1046,0),COLUMN()),"")</f>
        <v/>
      </c>
      <c r="X840" t="str">
        <f>IFERROR(INDEX(装备库!$A$2:$Y$1047,MATCH(ROW()-1,装备库!$AO$2:$AO$1046,0),COLUMN()),"")</f>
        <v/>
      </c>
      <c r="Y840" t="str">
        <f>IFERROR(INDEX(装备库!$A$2:$Y$1047,MATCH(ROW()-1,装备库!$AO$2:$AO$1046,0),COLUMN()),"")</f>
        <v/>
      </c>
    </row>
    <row r="841" spans="1:25" x14ac:dyDescent="0.35">
      <c r="A841" t="str">
        <f>IFERROR(INDEX(装备库!$A$2:$Y$1047,MATCH(ROW()-1,装备库!$AO$2:$AO$1046,0),COLUMN()),"")</f>
        <v/>
      </c>
      <c r="B841" t="str">
        <f>IFERROR(INDEX(装备库!$A$2:$Y$1047,MATCH(ROW()-1,装备库!$AO$2:$AO$1046,0),COLUMN()),"")</f>
        <v/>
      </c>
      <c r="C841" t="str">
        <f>IFERROR(INDEX(装备库!$A$2:$Y$1047,MATCH(ROW()-1,装备库!$AO$2:$AO$1046,0),COLUMN()),"")</f>
        <v/>
      </c>
      <c r="D841" t="str">
        <f>IFERROR(INDEX(装备库!$A$2:$Y$1047,MATCH(ROW()-1,装备库!$AO$2:$AO$1046,0),COLUMN()),"")</f>
        <v/>
      </c>
      <c r="E841" t="str">
        <f>IFERROR(INDEX(装备库!$A$2:$Y$1047,MATCH(ROW()-1,装备库!$AO$2:$AO$1046,0),COLUMN()),"")</f>
        <v/>
      </c>
      <c r="F841" t="str">
        <f>IFERROR(INDEX(装备库!$A$2:$Y$1047,MATCH(ROW()-1,装备库!$AO$2:$AO$1046,0),COLUMN()),"")</f>
        <v/>
      </c>
      <c r="G841" t="str">
        <f>IFERROR(INDEX(装备库!$A$2:$Y$1047,MATCH(ROW()-1,装备库!$AO$2:$AO$1046,0),COLUMN()),"")</f>
        <v/>
      </c>
      <c r="H841" t="str">
        <f>IFERROR(INDEX(装备库!$A$2:$Y$1047,MATCH(ROW()-1,装备库!$AO$2:$AO$1046,0),COLUMN()),"")</f>
        <v/>
      </c>
      <c r="I841" t="str">
        <f>IFERROR(INDEX(装备库!$A$2:$Y$1047,MATCH(ROW()-1,装备库!$AO$2:$AO$1046,0),COLUMN()),"")</f>
        <v/>
      </c>
      <c r="J841" t="str">
        <f>IFERROR(INDEX(装备库!$A$2:$Y$1047,MATCH(ROW()-1,装备库!$AO$2:$AO$1046,0),COLUMN()),"")</f>
        <v/>
      </c>
      <c r="K841" t="str">
        <f>IFERROR(INDEX(装备库!$A$2:$Y$1047,MATCH(ROW()-1,装备库!$AO$2:$AO$1046,0),COLUMN()),"")</f>
        <v/>
      </c>
      <c r="L841" t="str">
        <f>IFERROR(INDEX(装备库!$A$2:$Y$1047,MATCH(ROW()-1,装备库!$AO$2:$AO$1046,0),COLUMN()),"")</f>
        <v/>
      </c>
      <c r="M841" t="str">
        <f>IFERROR(INDEX(装备库!$A$2:$Y$1047,MATCH(ROW()-1,装备库!$AO$2:$AO$1046,0),COLUMN()),"")</f>
        <v/>
      </c>
      <c r="N841" t="str">
        <f>IFERROR(INDEX(装备库!$A$2:$Y$1047,MATCH(ROW()-1,装备库!$AO$2:$AO$1046,0),COLUMN()),"")</f>
        <v/>
      </c>
      <c r="O841" t="str">
        <f>IFERROR(INDEX(装备库!$A$2:$Y$1047,MATCH(ROW()-1,装备库!$AO$2:$AO$1046,0),COLUMN()),"")</f>
        <v/>
      </c>
      <c r="P841" t="str">
        <f>IFERROR(INDEX(装备库!$A$2:$Y$1047,MATCH(ROW()-1,装备库!$AO$2:$AO$1046,0),COLUMN()),"")</f>
        <v/>
      </c>
      <c r="Q841" t="str">
        <f>IFERROR(INDEX(装备库!$A$2:$Y$1047,MATCH(ROW()-1,装备库!$AO$2:$AO$1046,0),COLUMN()),"")</f>
        <v/>
      </c>
      <c r="R841" t="str">
        <f>IFERROR(INDEX(装备库!$A$2:$Y$1047,MATCH(ROW()-1,装备库!$AO$2:$AO$1046,0),COLUMN()),"")</f>
        <v/>
      </c>
      <c r="S841" t="str">
        <f>IFERROR(INDEX(装备库!$A$2:$Y$1047,MATCH(ROW()-1,装备库!$AO$2:$AO$1046,0),COLUMN()),"")</f>
        <v/>
      </c>
      <c r="T841" t="str">
        <f>IFERROR(INDEX(装备库!$A$2:$Y$1047,MATCH(ROW()-1,装备库!$AO$2:$AO$1046,0),COLUMN()),"")</f>
        <v/>
      </c>
      <c r="U841" t="str">
        <f>IFERROR(INDEX(装备库!$A$2:$Y$1047,MATCH(ROW()-1,装备库!$AO$2:$AO$1046,0),COLUMN()),"")</f>
        <v/>
      </c>
      <c r="V841" t="str">
        <f>IFERROR(INDEX(装备库!$A$2:$Y$1047,MATCH(ROW()-1,装备库!$AO$2:$AO$1046,0),COLUMN()),"")</f>
        <v/>
      </c>
      <c r="W841" t="str">
        <f>IFERROR(INDEX(装备库!$A$2:$Y$1047,MATCH(ROW()-1,装备库!$AO$2:$AO$1046,0),COLUMN()),"")</f>
        <v/>
      </c>
      <c r="X841" t="str">
        <f>IFERROR(INDEX(装备库!$A$2:$Y$1047,MATCH(ROW()-1,装备库!$AO$2:$AO$1046,0),COLUMN()),"")</f>
        <v/>
      </c>
      <c r="Y841" t="str">
        <f>IFERROR(INDEX(装备库!$A$2:$Y$1047,MATCH(ROW()-1,装备库!$AO$2:$AO$1046,0),COLUMN()),"")</f>
        <v/>
      </c>
    </row>
    <row r="842" spans="1:25" x14ac:dyDescent="0.35">
      <c r="A842" t="str">
        <f>IFERROR(INDEX(装备库!$A$2:$Y$1047,MATCH(ROW()-1,装备库!$AO$2:$AO$1046,0),COLUMN()),"")</f>
        <v/>
      </c>
      <c r="B842" t="str">
        <f>IFERROR(INDEX(装备库!$A$2:$Y$1047,MATCH(ROW()-1,装备库!$AO$2:$AO$1046,0),COLUMN()),"")</f>
        <v/>
      </c>
      <c r="C842" t="str">
        <f>IFERROR(INDEX(装备库!$A$2:$Y$1047,MATCH(ROW()-1,装备库!$AO$2:$AO$1046,0),COLUMN()),"")</f>
        <v/>
      </c>
      <c r="D842" t="str">
        <f>IFERROR(INDEX(装备库!$A$2:$Y$1047,MATCH(ROW()-1,装备库!$AO$2:$AO$1046,0),COLUMN()),"")</f>
        <v/>
      </c>
      <c r="E842" t="str">
        <f>IFERROR(INDEX(装备库!$A$2:$Y$1047,MATCH(ROW()-1,装备库!$AO$2:$AO$1046,0),COLUMN()),"")</f>
        <v/>
      </c>
      <c r="F842" t="str">
        <f>IFERROR(INDEX(装备库!$A$2:$Y$1047,MATCH(ROW()-1,装备库!$AO$2:$AO$1046,0),COLUMN()),"")</f>
        <v/>
      </c>
      <c r="G842" t="str">
        <f>IFERROR(INDEX(装备库!$A$2:$Y$1047,MATCH(ROW()-1,装备库!$AO$2:$AO$1046,0),COLUMN()),"")</f>
        <v/>
      </c>
      <c r="H842" t="str">
        <f>IFERROR(INDEX(装备库!$A$2:$Y$1047,MATCH(ROW()-1,装备库!$AO$2:$AO$1046,0),COLUMN()),"")</f>
        <v/>
      </c>
      <c r="I842" t="str">
        <f>IFERROR(INDEX(装备库!$A$2:$Y$1047,MATCH(ROW()-1,装备库!$AO$2:$AO$1046,0),COLUMN()),"")</f>
        <v/>
      </c>
      <c r="J842" t="str">
        <f>IFERROR(INDEX(装备库!$A$2:$Y$1047,MATCH(ROW()-1,装备库!$AO$2:$AO$1046,0),COLUMN()),"")</f>
        <v/>
      </c>
      <c r="K842" t="str">
        <f>IFERROR(INDEX(装备库!$A$2:$Y$1047,MATCH(ROW()-1,装备库!$AO$2:$AO$1046,0),COLUMN()),"")</f>
        <v/>
      </c>
      <c r="L842" t="str">
        <f>IFERROR(INDEX(装备库!$A$2:$Y$1047,MATCH(ROW()-1,装备库!$AO$2:$AO$1046,0),COLUMN()),"")</f>
        <v/>
      </c>
      <c r="M842" t="str">
        <f>IFERROR(INDEX(装备库!$A$2:$Y$1047,MATCH(ROW()-1,装备库!$AO$2:$AO$1046,0),COLUMN()),"")</f>
        <v/>
      </c>
      <c r="N842" t="str">
        <f>IFERROR(INDEX(装备库!$A$2:$Y$1047,MATCH(ROW()-1,装备库!$AO$2:$AO$1046,0),COLUMN()),"")</f>
        <v/>
      </c>
      <c r="O842" t="str">
        <f>IFERROR(INDEX(装备库!$A$2:$Y$1047,MATCH(ROW()-1,装备库!$AO$2:$AO$1046,0),COLUMN()),"")</f>
        <v/>
      </c>
      <c r="P842" t="str">
        <f>IFERROR(INDEX(装备库!$A$2:$Y$1047,MATCH(ROW()-1,装备库!$AO$2:$AO$1046,0),COLUMN()),"")</f>
        <v/>
      </c>
      <c r="Q842" t="str">
        <f>IFERROR(INDEX(装备库!$A$2:$Y$1047,MATCH(ROW()-1,装备库!$AO$2:$AO$1046,0),COLUMN()),"")</f>
        <v/>
      </c>
      <c r="R842" t="str">
        <f>IFERROR(INDEX(装备库!$A$2:$Y$1047,MATCH(ROW()-1,装备库!$AO$2:$AO$1046,0),COLUMN()),"")</f>
        <v/>
      </c>
      <c r="S842" t="str">
        <f>IFERROR(INDEX(装备库!$A$2:$Y$1047,MATCH(ROW()-1,装备库!$AO$2:$AO$1046,0),COLUMN()),"")</f>
        <v/>
      </c>
      <c r="T842" t="str">
        <f>IFERROR(INDEX(装备库!$A$2:$Y$1047,MATCH(ROW()-1,装备库!$AO$2:$AO$1046,0),COLUMN()),"")</f>
        <v/>
      </c>
      <c r="U842" t="str">
        <f>IFERROR(INDEX(装备库!$A$2:$Y$1047,MATCH(ROW()-1,装备库!$AO$2:$AO$1046,0),COLUMN()),"")</f>
        <v/>
      </c>
      <c r="V842" t="str">
        <f>IFERROR(INDEX(装备库!$A$2:$Y$1047,MATCH(ROW()-1,装备库!$AO$2:$AO$1046,0),COLUMN()),"")</f>
        <v/>
      </c>
      <c r="W842" t="str">
        <f>IFERROR(INDEX(装备库!$A$2:$Y$1047,MATCH(ROW()-1,装备库!$AO$2:$AO$1046,0),COLUMN()),"")</f>
        <v/>
      </c>
      <c r="X842" t="str">
        <f>IFERROR(INDEX(装备库!$A$2:$Y$1047,MATCH(ROW()-1,装备库!$AO$2:$AO$1046,0),COLUMN()),"")</f>
        <v/>
      </c>
      <c r="Y842" t="str">
        <f>IFERROR(INDEX(装备库!$A$2:$Y$1047,MATCH(ROW()-1,装备库!$AO$2:$AO$1046,0),COLUMN()),"")</f>
        <v/>
      </c>
    </row>
    <row r="843" spans="1:25" x14ac:dyDescent="0.35">
      <c r="A843" t="str">
        <f>IFERROR(INDEX(装备库!$A$2:$Y$1047,MATCH(ROW()-1,装备库!$AO$2:$AO$1046,0),COLUMN()),"")</f>
        <v/>
      </c>
      <c r="B843" t="str">
        <f>IFERROR(INDEX(装备库!$A$2:$Y$1047,MATCH(ROW()-1,装备库!$AO$2:$AO$1046,0),COLUMN()),"")</f>
        <v/>
      </c>
      <c r="C843" t="str">
        <f>IFERROR(INDEX(装备库!$A$2:$Y$1047,MATCH(ROW()-1,装备库!$AO$2:$AO$1046,0),COLUMN()),"")</f>
        <v/>
      </c>
      <c r="D843" t="str">
        <f>IFERROR(INDEX(装备库!$A$2:$Y$1047,MATCH(ROW()-1,装备库!$AO$2:$AO$1046,0),COLUMN()),"")</f>
        <v/>
      </c>
      <c r="E843" t="str">
        <f>IFERROR(INDEX(装备库!$A$2:$Y$1047,MATCH(ROW()-1,装备库!$AO$2:$AO$1046,0),COLUMN()),"")</f>
        <v/>
      </c>
      <c r="F843" t="str">
        <f>IFERROR(INDEX(装备库!$A$2:$Y$1047,MATCH(ROW()-1,装备库!$AO$2:$AO$1046,0),COLUMN()),"")</f>
        <v/>
      </c>
      <c r="G843" t="str">
        <f>IFERROR(INDEX(装备库!$A$2:$Y$1047,MATCH(ROW()-1,装备库!$AO$2:$AO$1046,0),COLUMN()),"")</f>
        <v/>
      </c>
      <c r="H843" t="str">
        <f>IFERROR(INDEX(装备库!$A$2:$Y$1047,MATCH(ROW()-1,装备库!$AO$2:$AO$1046,0),COLUMN()),"")</f>
        <v/>
      </c>
      <c r="I843" t="str">
        <f>IFERROR(INDEX(装备库!$A$2:$Y$1047,MATCH(ROW()-1,装备库!$AO$2:$AO$1046,0),COLUMN()),"")</f>
        <v/>
      </c>
      <c r="J843" t="str">
        <f>IFERROR(INDEX(装备库!$A$2:$Y$1047,MATCH(ROW()-1,装备库!$AO$2:$AO$1046,0),COLUMN()),"")</f>
        <v/>
      </c>
      <c r="K843" t="str">
        <f>IFERROR(INDEX(装备库!$A$2:$Y$1047,MATCH(ROW()-1,装备库!$AO$2:$AO$1046,0),COLUMN()),"")</f>
        <v/>
      </c>
      <c r="L843" t="str">
        <f>IFERROR(INDEX(装备库!$A$2:$Y$1047,MATCH(ROW()-1,装备库!$AO$2:$AO$1046,0),COLUMN()),"")</f>
        <v/>
      </c>
      <c r="M843" t="str">
        <f>IFERROR(INDEX(装备库!$A$2:$Y$1047,MATCH(ROW()-1,装备库!$AO$2:$AO$1046,0),COLUMN()),"")</f>
        <v/>
      </c>
      <c r="N843" t="str">
        <f>IFERROR(INDEX(装备库!$A$2:$Y$1047,MATCH(ROW()-1,装备库!$AO$2:$AO$1046,0),COLUMN()),"")</f>
        <v/>
      </c>
      <c r="O843" t="str">
        <f>IFERROR(INDEX(装备库!$A$2:$Y$1047,MATCH(ROW()-1,装备库!$AO$2:$AO$1046,0),COLUMN()),"")</f>
        <v/>
      </c>
      <c r="P843" t="str">
        <f>IFERROR(INDEX(装备库!$A$2:$Y$1047,MATCH(ROW()-1,装备库!$AO$2:$AO$1046,0),COLUMN()),"")</f>
        <v/>
      </c>
      <c r="Q843" t="str">
        <f>IFERROR(INDEX(装备库!$A$2:$Y$1047,MATCH(ROW()-1,装备库!$AO$2:$AO$1046,0),COLUMN()),"")</f>
        <v/>
      </c>
      <c r="R843" t="str">
        <f>IFERROR(INDEX(装备库!$A$2:$Y$1047,MATCH(ROW()-1,装备库!$AO$2:$AO$1046,0),COLUMN()),"")</f>
        <v/>
      </c>
      <c r="S843" t="str">
        <f>IFERROR(INDEX(装备库!$A$2:$Y$1047,MATCH(ROW()-1,装备库!$AO$2:$AO$1046,0),COLUMN()),"")</f>
        <v/>
      </c>
      <c r="T843" t="str">
        <f>IFERROR(INDEX(装备库!$A$2:$Y$1047,MATCH(ROW()-1,装备库!$AO$2:$AO$1046,0),COLUMN()),"")</f>
        <v/>
      </c>
      <c r="U843" t="str">
        <f>IFERROR(INDEX(装备库!$A$2:$Y$1047,MATCH(ROW()-1,装备库!$AO$2:$AO$1046,0),COLUMN()),"")</f>
        <v/>
      </c>
      <c r="V843" t="str">
        <f>IFERROR(INDEX(装备库!$A$2:$Y$1047,MATCH(ROW()-1,装备库!$AO$2:$AO$1046,0),COLUMN()),"")</f>
        <v/>
      </c>
      <c r="W843" t="str">
        <f>IFERROR(INDEX(装备库!$A$2:$Y$1047,MATCH(ROW()-1,装备库!$AO$2:$AO$1046,0),COLUMN()),"")</f>
        <v/>
      </c>
      <c r="X843" t="str">
        <f>IFERROR(INDEX(装备库!$A$2:$Y$1047,MATCH(ROW()-1,装备库!$AO$2:$AO$1046,0),COLUMN()),"")</f>
        <v/>
      </c>
      <c r="Y843" t="str">
        <f>IFERROR(INDEX(装备库!$A$2:$Y$1047,MATCH(ROW()-1,装备库!$AO$2:$AO$1046,0),COLUMN()),"")</f>
        <v/>
      </c>
    </row>
    <row r="844" spans="1:25" x14ac:dyDescent="0.35">
      <c r="A844" t="str">
        <f>IFERROR(INDEX(装备库!$A$2:$Y$1047,MATCH(ROW()-1,装备库!$AO$2:$AO$1046,0),COLUMN()),"")</f>
        <v/>
      </c>
      <c r="B844" t="str">
        <f>IFERROR(INDEX(装备库!$A$2:$Y$1047,MATCH(ROW()-1,装备库!$AO$2:$AO$1046,0),COLUMN()),"")</f>
        <v/>
      </c>
      <c r="C844" t="str">
        <f>IFERROR(INDEX(装备库!$A$2:$Y$1047,MATCH(ROW()-1,装备库!$AO$2:$AO$1046,0),COLUMN()),"")</f>
        <v/>
      </c>
      <c r="D844" t="str">
        <f>IFERROR(INDEX(装备库!$A$2:$Y$1047,MATCH(ROW()-1,装备库!$AO$2:$AO$1046,0),COLUMN()),"")</f>
        <v/>
      </c>
      <c r="E844" t="str">
        <f>IFERROR(INDEX(装备库!$A$2:$Y$1047,MATCH(ROW()-1,装备库!$AO$2:$AO$1046,0),COLUMN()),"")</f>
        <v/>
      </c>
      <c r="F844" t="str">
        <f>IFERROR(INDEX(装备库!$A$2:$Y$1047,MATCH(ROW()-1,装备库!$AO$2:$AO$1046,0),COLUMN()),"")</f>
        <v/>
      </c>
      <c r="G844" t="str">
        <f>IFERROR(INDEX(装备库!$A$2:$Y$1047,MATCH(ROW()-1,装备库!$AO$2:$AO$1046,0),COLUMN()),"")</f>
        <v/>
      </c>
      <c r="H844" t="str">
        <f>IFERROR(INDEX(装备库!$A$2:$Y$1047,MATCH(ROW()-1,装备库!$AO$2:$AO$1046,0),COLUMN()),"")</f>
        <v/>
      </c>
      <c r="I844" t="str">
        <f>IFERROR(INDEX(装备库!$A$2:$Y$1047,MATCH(ROW()-1,装备库!$AO$2:$AO$1046,0),COLUMN()),"")</f>
        <v/>
      </c>
      <c r="J844" t="str">
        <f>IFERROR(INDEX(装备库!$A$2:$Y$1047,MATCH(ROW()-1,装备库!$AO$2:$AO$1046,0),COLUMN()),"")</f>
        <v/>
      </c>
      <c r="K844" t="str">
        <f>IFERROR(INDEX(装备库!$A$2:$Y$1047,MATCH(ROW()-1,装备库!$AO$2:$AO$1046,0),COLUMN()),"")</f>
        <v/>
      </c>
      <c r="L844" t="str">
        <f>IFERROR(INDEX(装备库!$A$2:$Y$1047,MATCH(ROW()-1,装备库!$AO$2:$AO$1046,0),COLUMN()),"")</f>
        <v/>
      </c>
      <c r="M844" t="str">
        <f>IFERROR(INDEX(装备库!$A$2:$Y$1047,MATCH(ROW()-1,装备库!$AO$2:$AO$1046,0),COLUMN()),"")</f>
        <v/>
      </c>
      <c r="N844" t="str">
        <f>IFERROR(INDEX(装备库!$A$2:$Y$1047,MATCH(ROW()-1,装备库!$AO$2:$AO$1046,0),COLUMN()),"")</f>
        <v/>
      </c>
      <c r="O844" t="str">
        <f>IFERROR(INDEX(装备库!$A$2:$Y$1047,MATCH(ROW()-1,装备库!$AO$2:$AO$1046,0),COLUMN()),"")</f>
        <v/>
      </c>
      <c r="P844" t="str">
        <f>IFERROR(INDEX(装备库!$A$2:$Y$1047,MATCH(ROW()-1,装备库!$AO$2:$AO$1046,0),COLUMN()),"")</f>
        <v/>
      </c>
      <c r="Q844" t="str">
        <f>IFERROR(INDEX(装备库!$A$2:$Y$1047,MATCH(ROW()-1,装备库!$AO$2:$AO$1046,0),COLUMN()),"")</f>
        <v/>
      </c>
      <c r="R844" t="str">
        <f>IFERROR(INDEX(装备库!$A$2:$Y$1047,MATCH(ROW()-1,装备库!$AO$2:$AO$1046,0),COLUMN()),"")</f>
        <v/>
      </c>
      <c r="S844" t="str">
        <f>IFERROR(INDEX(装备库!$A$2:$Y$1047,MATCH(ROW()-1,装备库!$AO$2:$AO$1046,0),COLUMN()),"")</f>
        <v/>
      </c>
      <c r="T844" t="str">
        <f>IFERROR(INDEX(装备库!$A$2:$Y$1047,MATCH(ROW()-1,装备库!$AO$2:$AO$1046,0),COLUMN()),"")</f>
        <v/>
      </c>
      <c r="U844" t="str">
        <f>IFERROR(INDEX(装备库!$A$2:$Y$1047,MATCH(ROW()-1,装备库!$AO$2:$AO$1046,0),COLUMN()),"")</f>
        <v/>
      </c>
      <c r="V844" t="str">
        <f>IFERROR(INDEX(装备库!$A$2:$Y$1047,MATCH(ROW()-1,装备库!$AO$2:$AO$1046,0),COLUMN()),"")</f>
        <v/>
      </c>
      <c r="W844" t="str">
        <f>IFERROR(INDEX(装备库!$A$2:$Y$1047,MATCH(ROW()-1,装备库!$AO$2:$AO$1046,0),COLUMN()),"")</f>
        <v/>
      </c>
      <c r="X844" t="str">
        <f>IFERROR(INDEX(装备库!$A$2:$Y$1047,MATCH(ROW()-1,装备库!$AO$2:$AO$1046,0),COLUMN()),"")</f>
        <v/>
      </c>
      <c r="Y844" t="str">
        <f>IFERROR(INDEX(装备库!$A$2:$Y$1047,MATCH(ROW()-1,装备库!$AO$2:$AO$1046,0),COLUMN()),"")</f>
        <v/>
      </c>
    </row>
    <row r="845" spans="1:25" x14ac:dyDescent="0.35">
      <c r="A845" t="str">
        <f>IFERROR(INDEX(装备库!$A$2:$Y$1047,MATCH(ROW()-1,装备库!$AO$2:$AO$1046,0),COLUMN()),"")</f>
        <v/>
      </c>
      <c r="B845" t="str">
        <f>IFERROR(INDEX(装备库!$A$2:$Y$1047,MATCH(ROW()-1,装备库!$AO$2:$AO$1046,0),COLUMN()),"")</f>
        <v/>
      </c>
      <c r="C845" t="str">
        <f>IFERROR(INDEX(装备库!$A$2:$Y$1047,MATCH(ROW()-1,装备库!$AO$2:$AO$1046,0),COLUMN()),"")</f>
        <v/>
      </c>
      <c r="D845" t="str">
        <f>IFERROR(INDEX(装备库!$A$2:$Y$1047,MATCH(ROW()-1,装备库!$AO$2:$AO$1046,0),COLUMN()),"")</f>
        <v/>
      </c>
      <c r="E845" t="str">
        <f>IFERROR(INDEX(装备库!$A$2:$Y$1047,MATCH(ROW()-1,装备库!$AO$2:$AO$1046,0),COLUMN()),"")</f>
        <v/>
      </c>
      <c r="F845" t="str">
        <f>IFERROR(INDEX(装备库!$A$2:$Y$1047,MATCH(ROW()-1,装备库!$AO$2:$AO$1046,0),COLUMN()),"")</f>
        <v/>
      </c>
      <c r="G845" t="str">
        <f>IFERROR(INDEX(装备库!$A$2:$Y$1047,MATCH(ROW()-1,装备库!$AO$2:$AO$1046,0),COLUMN()),"")</f>
        <v/>
      </c>
      <c r="H845" t="str">
        <f>IFERROR(INDEX(装备库!$A$2:$Y$1047,MATCH(ROW()-1,装备库!$AO$2:$AO$1046,0),COLUMN()),"")</f>
        <v/>
      </c>
      <c r="I845" t="str">
        <f>IFERROR(INDEX(装备库!$A$2:$Y$1047,MATCH(ROW()-1,装备库!$AO$2:$AO$1046,0),COLUMN()),"")</f>
        <v/>
      </c>
      <c r="J845" t="str">
        <f>IFERROR(INDEX(装备库!$A$2:$Y$1047,MATCH(ROW()-1,装备库!$AO$2:$AO$1046,0),COLUMN()),"")</f>
        <v/>
      </c>
      <c r="K845" t="str">
        <f>IFERROR(INDEX(装备库!$A$2:$Y$1047,MATCH(ROW()-1,装备库!$AO$2:$AO$1046,0),COLUMN()),"")</f>
        <v/>
      </c>
      <c r="L845" t="str">
        <f>IFERROR(INDEX(装备库!$A$2:$Y$1047,MATCH(ROW()-1,装备库!$AO$2:$AO$1046,0),COLUMN()),"")</f>
        <v/>
      </c>
      <c r="M845" t="str">
        <f>IFERROR(INDEX(装备库!$A$2:$Y$1047,MATCH(ROW()-1,装备库!$AO$2:$AO$1046,0),COLUMN()),"")</f>
        <v/>
      </c>
      <c r="N845" t="str">
        <f>IFERROR(INDEX(装备库!$A$2:$Y$1047,MATCH(ROW()-1,装备库!$AO$2:$AO$1046,0),COLUMN()),"")</f>
        <v/>
      </c>
      <c r="O845" t="str">
        <f>IFERROR(INDEX(装备库!$A$2:$Y$1047,MATCH(ROW()-1,装备库!$AO$2:$AO$1046,0),COLUMN()),"")</f>
        <v/>
      </c>
      <c r="P845" t="str">
        <f>IFERROR(INDEX(装备库!$A$2:$Y$1047,MATCH(ROW()-1,装备库!$AO$2:$AO$1046,0),COLUMN()),"")</f>
        <v/>
      </c>
      <c r="Q845" t="str">
        <f>IFERROR(INDEX(装备库!$A$2:$Y$1047,MATCH(ROW()-1,装备库!$AO$2:$AO$1046,0),COLUMN()),"")</f>
        <v/>
      </c>
      <c r="R845" t="str">
        <f>IFERROR(INDEX(装备库!$A$2:$Y$1047,MATCH(ROW()-1,装备库!$AO$2:$AO$1046,0),COLUMN()),"")</f>
        <v/>
      </c>
      <c r="S845" t="str">
        <f>IFERROR(INDEX(装备库!$A$2:$Y$1047,MATCH(ROW()-1,装备库!$AO$2:$AO$1046,0),COLUMN()),"")</f>
        <v/>
      </c>
      <c r="T845" t="str">
        <f>IFERROR(INDEX(装备库!$A$2:$Y$1047,MATCH(ROW()-1,装备库!$AO$2:$AO$1046,0),COLUMN()),"")</f>
        <v/>
      </c>
      <c r="U845" t="str">
        <f>IFERROR(INDEX(装备库!$A$2:$Y$1047,MATCH(ROW()-1,装备库!$AO$2:$AO$1046,0),COLUMN()),"")</f>
        <v/>
      </c>
      <c r="V845" t="str">
        <f>IFERROR(INDEX(装备库!$A$2:$Y$1047,MATCH(ROW()-1,装备库!$AO$2:$AO$1046,0),COLUMN()),"")</f>
        <v/>
      </c>
      <c r="W845" t="str">
        <f>IFERROR(INDEX(装备库!$A$2:$Y$1047,MATCH(ROW()-1,装备库!$AO$2:$AO$1046,0),COLUMN()),"")</f>
        <v/>
      </c>
      <c r="X845" t="str">
        <f>IFERROR(INDEX(装备库!$A$2:$Y$1047,MATCH(ROW()-1,装备库!$AO$2:$AO$1046,0),COLUMN()),"")</f>
        <v/>
      </c>
      <c r="Y845" t="str">
        <f>IFERROR(INDEX(装备库!$A$2:$Y$1047,MATCH(ROW()-1,装备库!$AO$2:$AO$1046,0),COLUMN()),"")</f>
        <v/>
      </c>
    </row>
    <row r="846" spans="1:25" x14ac:dyDescent="0.35">
      <c r="A846" t="str">
        <f>IFERROR(INDEX(装备库!$A$2:$Y$1047,MATCH(ROW()-1,装备库!$AO$2:$AO$1046,0),COLUMN()),"")</f>
        <v/>
      </c>
      <c r="B846" t="str">
        <f>IFERROR(INDEX(装备库!$A$2:$Y$1047,MATCH(ROW()-1,装备库!$AO$2:$AO$1046,0),COLUMN()),"")</f>
        <v/>
      </c>
      <c r="C846" t="str">
        <f>IFERROR(INDEX(装备库!$A$2:$Y$1047,MATCH(ROW()-1,装备库!$AO$2:$AO$1046,0),COLUMN()),"")</f>
        <v/>
      </c>
      <c r="D846" t="str">
        <f>IFERROR(INDEX(装备库!$A$2:$Y$1047,MATCH(ROW()-1,装备库!$AO$2:$AO$1046,0),COLUMN()),"")</f>
        <v/>
      </c>
      <c r="E846" t="str">
        <f>IFERROR(INDEX(装备库!$A$2:$Y$1047,MATCH(ROW()-1,装备库!$AO$2:$AO$1046,0),COLUMN()),"")</f>
        <v/>
      </c>
      <c r="F846" t="str">
        <f>IFERROR(INDEX(装备库!$A$2:$Y$1047,MATCH(ROW()-1,装备库!$AO$2:$AO$1046,0),COLUMN()),"")</f>
        <v/>
      </c>
      <c r="G846" t="str">
        <f>IFERROR(INDEX(装备库!$A$2:$Y$1047,MATCH(ROW()-1,装备库!$AO$2:$AO$1046,0),COLUMN()),"")</f>
        <v/>
      </c>
      <c r="H846" t="str">
        <f>IFERROR(INDEX(装备库!$A$2:$Y$1047,MATCH(ROW()-1,装备库!$AO$2:$AO$1046,0),COLUMN()),"")</f>
        <v/>
      </c>
      <c r="I846" t="str">
        <f>IFERROR(INDEX(装备库!$A$2:$Y$1047,MATCH(ROW()-1,装备库!$AO$2:$AO$1046,0),COLUMN()),"")</f>
        <v/>
      </c>
      <c r="J846" t="str">
        <f>IFERROR(INDEX(装备库!$A$2:$Y$1047,MATCH(ROW()-1,装备库!$AO$2:$AO$1046,0),COLUMN()),"")</f>
        <v/>
      </c>
      <c r="K846" t="str">
        <f>IFERROR(INDEX(装备库!$A$2:$Y$1047,MATCH(ROW()-1,装备库!$AO$2:$AO$1046,0),COLUMN()),"")</f>
        <v/>
      </c>
      <c r="L846" t="str">
        <f>IFERROR(INDEX(装备库!$A$2:$Y$1047,MATCH(ROW()-1,装备库!$AO$2:$AO$1046,0),COLUMN()),"")</f>
        <v/>
      </c>
      <c r="M846" t="str">
        <f>IFERROR(INDEX(装备库!$A$2:$Y$1047,MATCH(ROW()-1,装备库!$AO$2:$AO$1046,0),COLUMN()),"")</f>
        <v/>
      </c>
      <c r="N846" t="str">
        <f>IFERROR(INDEX(装备库!$A$2:$Y$1047,MATCH(ROW()-1,装备库!$AO$2:$AO$1046,0),COLUMN()),"")</f>
        <v/>
      </c>
      <c r="O846" t="str">
        <f>IFERROR(INDEX(装备库!$A$2:$Y$1047,MATCH(ROW()-1,装备库!$AO$2:$AO$1046,0),COLUMN()),"")</f>
        <v/>
      </c>
      <c r="P846" t="str">
        <f>IFERROR(INDEX(装备库!$A$2:$Y$1047,MATCH(ROW()-1,装备库!$AO$2:$AO$1046,0),COLUMN()),"")</f>
        <v/>
      </c>
      <c r="Q846" t="str">
        <f>IFERROR(INDEX(装备库!$A$2:$Y$1047,MATCH(ROW()-1,装备库!$AO$2:$AO$1046,0),COLUMN()),"")</f>
        <v/>
      </c>
      <c r="R846" t="str">
        <f>IFERROR(INDEX(装备库!$A$2:$Y$1047,MATCH(ROW()-1,装备库!$AO$2:$AO$1046,0),COLUMN()),"")</f>
        <v/>
      </c>
      <c r="S846" t="str">
        <f>IFERROR(INDEX(装备库!$A$2:$Y$1047,MATCH(ROW()-1,装备库!$AO$2:$AO$1046,0),COLUMN()),"")</f>
        <v/>
      </c>
      <c r="T846" t="str">
        <f>IFERROR(INDEX(装备库!$A$2:$Y$1047,MATCH(ROW()-1,装备库!$AO$2:$AO$1046,0),COLUMN()),"")</f>
        <v/>
      </c>
      <c r="U846" t="str">
        <f>IFERROR(INDEX(装备库!$A$2:$Y$1047,MATCH(ROW()-1,装备库!$AO$2:$AO$1046,0),COLUMN()),"")</f>
        <v/>
      </c>
      <c r="V846" t="str">
        <f>IFERROR(INDEX(装备库!$A$2:$Y$1047,MATCH(ROW()-1,装备库!$AO$2:$AO$1046,0),COLUMN()),"")</f>
        <v/>
      </c>
      <c r="W846" t="str">
        <f>IFERROR(INDEX(装备库!$A$2:$Y$1047,MATCH(ROW()-1,装备库!$AO$2:$AO$1046,0),COLUMN()),"")</f>
        <v/>
      </c>
      <c r="X846" t="str">
        <f>IFERROR(INDEX(装备库!$A$2:$Y$1047,MATCH(ROW()-1,装备库!$AO$2:$AO$1046,0),COLUMN()),"")</f>
        <v/>
      </c>
      <c r="Y846" t="str">
        <f>IFERROR(INDEX(装备库!$A$2:$Y$1047,MATCH(ROW()-1,装备库!$AO$2:$AO$1046,0),COLUMN()),"")</f>
        <v/>
      </c>
    </row>
    <row r="847" spans="1:25" x14ac:dyDescent="0.35">
      <c r="A847" t="str">
        <f>IFERROR(INDEX(装备库!$A$2:$Y$1047,MATCH(ROW()-1,装备库!$AO$2:$AO$1046,0),COLUMN()),"")</f>
        <v/>
      </c>
      <c r="B847" t="str">
        <f>IFERROR(INDEX(装备库!$A$2:$Y$1047,MATCH(ROW()-1,装备库!$AO$2:$AO$1046,0),COLUMN()),"")</f>
        <v/>
      </c>
      <c r="C847" t="str">
        <f>IFERROR(INDEX(装备库!$A$2:$Y$1047,MATCH(ROW()-1,装备库!$AO$2:$AO$1046,0),COLUMN()),"")</f>
        <v/>
      </c>
      <c r="D847" t="str">
        <f>IFERROR(INDEX(装备库!$A$2:$Y$1047,MATCH(ROW()-1,装备库!$AO$2:$AO$1046,0),COLUMN()),"")</f>
        <v/>
      </c>
      <c r="E847" t="str">
        <f>IFERROR(INDEX(装备库!$A$2:$Y$1047,MATCH(ROW()-1,装备库!$AO$2:$AO$1046,0),COLUMN()),"")</f>
        <v/>
      </c>
      <c r="F847" t="str">
        <f>IFERROR(INDEX(装备库!$A$2:$Y$1047,MATCH(ROW()-1,装备库!$AO$2:$AO$1046,0),COLUMN()),"")</f>
        <v/>
      </c>
      <c r="G847" t="str">
        <f>IFERROR(INDEX(装备库!$A$2:$Y$1047,MATCH(ROW()-1,装备库!$AO$2:$AO$1046,0),COLUMN()),"")</f>
        <v/>
      </c>
      <c r="H847" t="str">
        <f>IFERROR(INDEX(装备库!$A$2:$Y$1047,MATCH(ROW()-1,装备库!$AO$2:$AO$1046,0),COLUMN()),"")</f>
        <v/>
      </c>
      <c r="I847" t="str">
        <f>IFERROR(INDEX(装备库!$A$2:$Y$1047,MATCH(ROW()-1,装备库!$AO$2:$AO$1046,0),COLUMN()),"")</f>
        <v/>
      </c>
      <c r="J847" t="str">
        <f>IFERROR(INDEX(装备库!$A$2:$Y$1047,MATCH(ROW()-1,装备库!$AO$2:$AO$1046,0),COLUMN()),"")</f>
        <v/>
      </c>
      <c r="K847" t="str">
        <f>IFERROR(INDEX(装备库!$A$2:$Y$1047,MATCH(ROW()-1,装备库!$AO$2:$AO$1046,0),COLUMN()),"")</f>
        <v/>
      </c>
      <c r="L847" t="str">
        <f>IFERROR(INDEX(装备库!$A$2:$Y$1047,MATCH(ROW()-1,装备库!$AO$2:$AO$1046,0),COLUMN()),"")</f>
        <v/>
      </c>
      <c r="M847" t="str">
        <f>IFERROR(INDEX(装备库!$A$2:$Y$1047,MATCH(ROW()-1,装备库!$AO$2:$AO$1046,0),COLUMN()),"")</f>
        <v/>
      </c>
      <c r="N847" t="str">
        <f>IFERROR(INDEX(装备库!$A$2:$Y$1047,MATCH(ROW()-1,装备库!$AO$2:$AO$1046,0),COLUMN()),"")</f>
        <v/>
      </c>
      <c r="O847" t="str">
        <f>IFERROR(INDEX(装备库!$A$2:$Y$1047,MATCH(ROW()-1,装备库!$AO$2:$AO$1046,0),COLUMN()),"")</f>
        <v/>
      </c>
      <c r="P847" t="str">
        <f>IFERROR(INDEX(装备库!$A$2:$Y$1047,MATCH(ROW()-1,装备库!$AO$2:$AO$1046,0),COLUMN()),"")</f>
        <v/>
      </c>
      <c r="Q847" t="str">
        <f>IFERROR(INDEX(装备库!$A$2:$Y$1047,MATCH(ROW()-1,装备库!$AO$2:$AO$1046,0),COLUMN()),"")</f>
        <v/>
      </c>
      <c r="R847" t="str">
        <f>IFERROR(INDEX(装备库!$A$2:$Y$1047,MATCH(ROW()-1,装备库!$AO$2:$AO$1046,0),COLUMN()),"")</f>
        <v/>
      </c>
      <c r="S847" t="str">
        <f>IFERROR(INDEX(装备库!$A$2:$Y$1047,MATCH(ROW()-1,装备库!$AO$2:$AO$1046,0),COLUMN()),"")</f>
        <v/>
      </c>
      <c r="T847" t="str">
        <f>IFERROR(INDEX(装备库!$A$2:$Y$1047,MATCH(ROW()-1,装备库!$AO$2:$AO$1046,0),COLUMN()),"")</f>
        <v/>
      </c>
      <c r="U847" t="str">
        <f>IFERROR(INDEX(装备库!$A$2:$Y$1047,MATCH(ROW()-1,装备库!$AO$2:$AO$1046,0),COLUMN()),"")</f>
        <v/>
      </c>
      <c r="V847" t="str">
        <f>IFERROR(INDEX(装备库!$A$2:$Y$1047,MATCH(ROW()-1,装备库!$AO$2:$AO$1046,0),COLUMN()),"")</f>
        <v/>
      </c>
      <c r="W847" t="str">
        <f>IFERROR(INDEX(装备库!$A$2:$Y$1047,MATCH(ROW()-1,装备库!$AO$2:$AO$1046,0),COLUMN()),"")</f>
        <v/>
      </c>
      <c r="X847" t="str">
        <f>IFERROR(INDEX(装备库!$A$2:$Y$1047,MATCH(ROW()-1,装备库!$AO$2:$AO$1046,0),COLUMN()),"")</f>
        <v/>
      </c>
      <c r="Y847" t="str">
        <f>IFERROR(INDEX(装备库!$A$2:$Y$1047,MATCH(ROW()-1,装备库!$AO$2:$AO$1046,0),COLUMN()),"")</f>
        <v/>
      </c>
    </row>
    <row r="848" spans="1:25" x14ac:dyDescent="0.35">
      <c r="A848" t="str">
        <f>IFERROR(INDEX(装备库!$A$2:$Y$1047,MATCH(ROW()-1,装备库!$AO$2:$AO$1046,0),COLUMN()),"")</f>
        <v/>
      </c>
      <c r="B848" t="str">
        <f>IFERROR(INDEX(装备库!$A$2:$Y$1047,MATCH(ROW()-1,装备库!$AO$2:$AO$1046,0),COLUMN()),"")</f>
        <v/>
      </c>
      <c r="C848" t="str">
        <f>IFERROR(INDEX(装备库!$A$2:$Y$1047,MATCH(ROW()-1,装备库!$AO$2:$AO$1046,0),COLUMN()),"")</f>
        <v/>
      </c>
      <c r="D848" t="str">
        <f>IFERROR(INDEX(装备库!$A$2:$Y$1047,MATCH(ROW()-1,装备库!$AO$2:$AO$1046,0),COLUMN()),"")</f>
        <v/>
      </c>
      <c r="E848" t="str">
        <f>IFERROR(INDEX(装备库!$A$2:$Y$1047,MATCH(ROW()-1,装备库!$AO$2:$AO$1046,0),COLUMN()),"")</f>
        <v/>
      </c>
      <c r="F848" t="str">
        <f>IFERROR(INDEX(装备库!$A$2:$Y$1047,MATCH(ROW()-1,装备库!$AO$2:$AO$1046,0),COLUMN()),"")</f>
        <v/>
      </c>
      <c r="G848" t="str">
        <f>IFERROR(INDEX(装备库!$A$2:$Y$1047,MATCH(ROW()-1,装备库!$AO$2:$AO$1046,0),COLUMN()),"")</f>
        <v/>
      </c>
      <c r="H848" t="str">
        <f>IFERROR(INDEX(装备库!$A$2:$Y$1047,MATCH(ROW()-1,装备库!$AO$2:$AO$1046,0),COLUMN()),"")</f>
        <v/>
      </c>
      <c r="I848" t="str">
        <f>IFERROR(INDEX(装备库!$A$2:$Y$1047,MATCH(ROW()-1,装备库!$AO$2:$AO$1046,0),COLUMN()),"")</f>
        <v/>
      </c>
      <c r="J848" t="str">
        <f>IFERROR(INDEX(装备库!$A$2:$Y$1047,MATCH(ROW()-1,装备库!$AO$2:$AO$1046,0),COLUMN()),"")</f>
        <v/>
      </c>
      <c r="K848" t="str">
        <f>IFERROR(INDEX(装备库!$A$2:$Y$1047,MATCH(ROW()-1,装备库!$AO$2:$AO$1046,0),COLUMN()),"")</f>
        <v/>
      </c>
      <c r="L848" t="str">
        <f>IFERROR(INDEX(装备库!$A$2:$Y$1047,MATCH(ROW()-1,装备库!$AO$2:$AO$1046,0),COLUMN()),"")</f>
        <v/>
      </c>
      <c r="M848" t="str">
        <f>IFERROR(INDEX(装备库!$A$2:$Y$1047,MATCH(ROW()-1,装备库!$AO$2:$AO$1046,0),COLUMN()),"")</f>
        <v/>
      </c>
      <c r="N848" t="str">
        <f>IFERROR(INDEX(装备库!$A$2:$Y$1047,MATCH(ROW()-1,装备库!$AO$2:$AO$1046,0),COLUMN()),"")</f>
        <v/>
      </c>
      <c r="O848" t="str">
        <f>IFERROR(INDEX(装备库!$A$2:$Y$1047,MATCH(ROW()-1,装备库!$AO$2:$AO$1046,0),COLUMN()),"")</f>
        <v/>
      </c>
      <c r="P848" t="str">
        <f>IFERROR(INDEX(装备库!$A$2:$Y$1047,MATCH(ROW()-1,装备库!$AO$2:$AO$1046,0),COLUMN()),"")</f>
        <v/>
      </c>
      <c r="Q848" t="str">
        <f>IFERROR(INDEX(装备库!$A$2:$Y$1047,MATCH(ROW()-1,装备库!$AO$2:$AO$1046,0),COLUMN()),"")</f>
        <v/>
      </c>
      <c r="R848" t="str">
        <f>IFERROR(INDEX(装备库!$A$2:$Y$1047,MATCH(ROW()-1,装备库!$AO$2:$AO$1046,0),COLUMN()),"")</f>
        <v/>
      </c>
      <c r="S848" t="str">
        <f>IFERROR(INDEX(装备库!$A$2:$Y$1047,MATCH(ROW()-1,装备库!$AO$2:$AO$1046,0),COLUMN()),"")</f>
        <v/>
      </c>
      <c r="T848" t="str">
        <f>IFERROR(INDEX(装备库!$A$2:$Y$1047,MATCH(ROW()-1,装备库!$AO$2:$AO$1046,0),COLUMN()),"")</f>
        <v/>
      </c>
      <c r="U848" t="str">
        <f>IFERROR(INDEX(装备库!$A$2:$Y$1047,MATCH(ROW()-1,装备库!$AO$2:$AO$1046,0),COLUMN()),"")</f>
        <v/>
      </c>
      <c r="V848" t="str">
        <f>IFERROR(INDEX(装备库!$A$2:$Y$1047,MATCH(ROW()-1,装备库!$AO$2:$AO$1046,0),COLUMN()),"")</f>
        <v/>
      </c>
      <c r="W848" t="str">
        <f>IFERROR(INDEX(装备库!$A$2:$Y$1047,MATCH(ROW()-1,装备库!$AO$2:$AO$1046,0),COLUMN()),"")</f>
        <v/>
      </c>
      <c r="X848" t="str">
        <f>IFERROR(INDEX(装备库!$A$2:$Y$1047,MATCH(ROW()-1,装备库!$AO$2:$AO$1046,0),COLUMN()),"")</f>
        <v/>
      </c>
      <c r="Y848" t="str">
        <f>IFERROR(INDEX(装备库!$A$2:$Y$1047,MATCH(ROW()-1,装备库!$AO$2:$AO$1046,0),COLUMN()),"")</f>
        <v/>
      </c>
    </row>
    <row r="849" spans="1:25" x14ac:dyDescent="0.35">
      <c r="A849" t="str">
        <f>IFERROR(INDEX(装备库!$A$2:$Y$1047,MATCH(ROW()-1,装备库!$AO$2:$AO$1046,0),COLUMN()),"")</f>
        <v/>
      </c>
      <c r="B849" t="str">
        <f>IFERROR(INDEX(装备库!$A$2:$Y$1047,MATCH(ROW()-1,装备库!$AO$2:$AO$1046,0),COLUMN()),"")</f>
        <v/>
      </c>
      <c r="C849" t="str">
        <f>IFERROR(INDEX(装备库!$A$2:$Y$1047,MATCH(ROW()-1,装备库!$AO$2:$AO$1046,0),COLUMN()),"")</f>
        <v/>
      </c>
      <c r="D849" t="str">
        <f>IFERROR(INDEX(装备库!$A$2:$Y$1047,MATCH(ROW()-1,装备库!$AO$2:$AO$1046,0),COLUMN()),"")</f>
        <v/>
      </c>
      <c r="E849" t="str">
        <f>IFERROR(INDEX(装备库!$A$2:$Y$1047,MATCH(ROW()-1,装备库!$AO$2:$AO$1046,0),COLUMN()),"")</f>
        <v/>
      </c>
      <c r="F849" t="str">
        <f>IFERROR(INDEX(装备库!$A$2:$Y$1047,MATCH(ROW()-1,装备库!$AO$2:$AO$1046,0),COLUMN()),"")</f>
        <v/>
      </c>
      <c r="G849" t="str">
        <f>IFERROR(INDEX(装备库!$A$2:$Y$1047,MATCH(ROW()-1,装备库!$AO$2:$AO$1046,0),COLUMN()),"")</f>
        <v/>
      </c>
      <c r="H849" t="str">
        <f>IFERROR(INDEX(装备库!$A$2:$Y$1047,MATCH(ROW()-1,装备库!$AO$2:$AO$1046,0),COLUMN()),"")</f>
        <v/>
      </c>
      <c r="I849" t="str">
        <f>IFERROR(INDEX(装备库!$A$2:$Y$1047,MATCH(ROW()-1,装备库!$AO$2:$AO$1046,0),COLUMN()),"")</f>
        <v/>
      </c>
      <c r="J849" t="str">
        <f>IFERROR(INDEX(装备库!$A$2:$Y$1047,MATCH(ROW()-1,装备库!$AO$2:$AO$1046,0),COLUMN()),"")</f>
        <v/>
      </c>
      <c r="K849" t="str">
        <f>IFERROR(INDEX(装备库!$A$2:$Y$1047,MATCH(ROW()-1,装备库!$AO$2:$AO$1046,0),COLUMN()),"")</f>
        <v/>
      </c>
      <c r="L849" t="str">
        <f>IFERROR(INDEX(装备库!$A$2:$Y$1047,MATCH(ROW()-1,装备库!$AO$2:$AO$1046,0),COLUMN()),"")</f>
        <v/>
      </c>
      <c r="M849" t="str">
        <f>IFERROR(INDEX(装备库!$A$2:$Y$1047,MATCH(ROW()-1,装备库!$AO$2:$AO$1046,0),COLUMN()),"")</f>
        <v/>
      </c>
      <c r="N849" t="str">
        <f>IFERROR(INDEX(装备库!$A$2:$Y$1047,MATCH(ROW()-1,装备库!$AO$2:$AO$1046,0),COLUMN()),"")</f>
        <v/>
      </c>
      <c r="O849" t="str">
        <f>IFERROR(INDEX(装备库!$A$2:$Y$1047,MATCH(ROW()-1,装备库!$AO$2:$AO$1046,0),COLUMN()),"")</f>
        <v/>
      </c>
      <c r="P849" t="str">
        <f>IFERROR(INDEX(装备库!$A$2:$Y$1047,MATCH(ROW()-1,装备库!$AO$2:$AO$1046,0),COLUMN()),"")</f>
        <v/>
      </c>
      <c r="Q849" t="str">
        <f>IFERROR(INDEX(装备库!$A$2:$Y$1047,MATCH(ROW()-1,装备库!$AO$2:$AO$1046,0),COLUMN()),"")</f>
        <v/>
      </c>
      <c r="R849" t="str">
        <f>IFERROR(INDEX(装备库!$A$2:$Y$1047,MATCH(ROW()-1,装备库!$AO$2:$AO$1046,0),COLUMN()),"")</f>
        <v/>
      </c>
      <c r="S849" t="str">
        <f>IFERROR(INDEX(装备库!$A$2:$Y$1047,MATCH(ROW()-1,装备库!$AO$2:$AO$1046,0),COLUMN()),"")</f>
        <v/>
      </c>
      <c r="T849" t="str">
        <f>IFERROR(INDEX(装备库!$A$2:$Y$1047,MATCH(ROW()-1,装备库!$AO$2:$AO$1046,0),COLUMN()),"")</f>
        <v/>
      </c>
      <c r="U849" t="str">
        <f>IFERROR(INDEX(装备库!$A$2:$Y$1047,MATCH(ROW()-1,装备库!$AO$2:$AO$1046,0),COLUMN()),"")</f>
        <v/>
      </c>
      <c r="V849" t="str">
        <f>IFERROR(INDEX(装备库!$A$2:$Y$1047,MATCH(ROW()-1,装备库!$AO$2:$AO$1046,0),COLUMN()),"")</f>
        <v/>
      </c>
      <c r="W849" t="str">
        <f>IFERROR(INDEX(装备库!$A$2:$Y$1047,MATCH(ROW()-1,装备库!$AO$2:$AO$1046,0),COLUMN()),"")</f>
        <v/>
      </c>
      <c r="X849" t="str">
        <f>IFERROR(INDEX(装备库!$A$2:$Y$1047,MATCH(ROW()-1,装备库!$AO$2:$AO$1046,0),COLUMN()),"")</f>
        <v/>
      </c>
      <c r="Y849" t="str">
        <f>IFERROR(INDEX(装备库!$A$2:$Y$1047,MATCH(ROW()-1,装备库!$AO$2:$AO$1046,0),COLUMN()),"")</f>
        <v/>
      </c>
    </row>
    <row r="850" spans="1:25" x14ac:dyDescent="0.35">
      <c r="A850" t="str">
        <f>IFERROR(INDEX(装备库!$A$2:$Y$1047,MATCH(ROW()-1,装备库!$AO$2:$AO$1046,0),COLUMN()),"")</f>
        <v/>
      </c>
      <c r="B850" t="str">
        <f>IFERROR(INDEX(装备库!$A$2:$Y$1047,MATCH(ROW()-1,装备库!$AO$2:$AO$1046,0),COLUMN()),"")</f>
        <v/>
      </c>
      <c r="C850" t="str">
        <f>IFERROR(INDEX(装备库!$A$2:$Y$1047,MATCH(ROW()-1,装备库!$AO$2:$AO$1046,0),COLUMN()),"")</f>
        <v/>
      </c>
      <c r="D850" t="str">
        <f>IFERROR(INDEX(装备库!$A$2:$Y$1047,MATCH(ROW()-1,装备库!$AO$2:$AO$1046,0),COLUMN()),"")</f>
        <v/>
      </c>
      <c r="E850" t="str">
        <f>IFERROR(INDEX(装备库!$A$2:$Y$1047,MATCH(ROW()-1,装备库!$AO$2:$AO$1046,0),COLUMN()),"")</f>
        <v/>
      </c>
      <c r="F850" t="str">
        <f>IFERROR(INDEX(装备库!$A$2:$Y$1047,MATCH(ROW()-1,装备库!$AO$2:$AO$1046,0),COLUMN()),"")</f>
        <v/>
      </c>
      <c r="G850" t="str">
        <f>IFERROR(INDEX(装备库!$A$2:$Y$1047,MATCH(ROW()-1,装备库!$AO$2:$AO$1046,0),COLUMN()),"")</f>
        <v/>
      </c>
      <c r="H850" t="str">
        <f>IFERROR(INDEX(装备库!$A$2:$Y$1047,MATCH(ROW()-1,装备库!$AO$2:$AO$1046,0),COLUMN()),"")</f>
        <v/>
      </c>
      <c r="I850" t="str">
        <f>IFERROR(INDEX(装备库!$A$2:$Y$1047,MATCH(ROW()-1,装备库!$AO$2:$AO$1046,0),COLUMN()),"")</f>
        <v/>
      </c>
      <c r="J850" t="str">
        <f>IFERROR(INDEX(装备库!$A$2:$Y$1047,MATCH(ROW()-1,装备库!$AO$2:$AO$1046,0),COLUMN()),"")</f>
        <v/>
      </c>
      <c r="K850" t="str">
        <f>IFERROR(INDEX(装备库!$A$2:$Y$1047,MATCH(ROW()-1,装备库!$AO$2:$AO$1046,0),COLUMN()),"")</f>
        <v/>
      </c>
      <c r="L850" t="str">
        <f>IFERROR(INDEX(装备库!$A$2:$Y$1047,MATCH(ROW()-1,装备库!$AO$2:$AO$1046,0),COLUMN()),"")</f>
        <v/>
      </c>
      <c r="M850" t="str">
        <f>IFERROR(INDEX(装备库!$A$2:$Y$1047,MATCH(ROW()-1,装备库!$AO$2:$AO$1046,0),COLUMN()),"")</f>
        <v/>
      </c>
      <c r="N850" t="str">
        <f>IFERROR(INDEX(装备库!$A$2:$Y$1047,MATCH(ROW()-1,装备库!$AO$2:$AO$1046,0),COLUMN()),"")</f>
        <v/>
      </c>
      <c r="O850" t="str">
        <f>IFERROR(INDEX(装备库!$A$2:$Y$1047,MATCH(ROW()-1,装备库!$AO$2:$AO$1046,0),COLUMN()),"")</f>
        <v/>
      </c>
      <c r="P850" t="str">
        <f>IFERROR(INDEX(装备库!$A$2:$Y$1047,MATCH(ROW()-1,装备库!$AO$2:$AO$1046,0),COLUMN()),"")</f>
        <v/>
      </c>
      <c r="Q850" t="str">
        <f>IFERROR(INDEX(装备库!$A$2:$Y$1047,MATCH(ROW()-1,装备库!$AO$2:$AO$1046,0),COLUMN()),"")</f>
        <v/>
      </c>
      <c r="R850" t="str">
        <f>IFERROR(INDEX(装备库!$A$2:$Y$1047,MATCH(ROW()-1,装备库!$AO$2:$AO$1046,0),COLUMN()),"")</f>
        <v/>
      </c>
      <c r="S850" t="str">
        <f>IFERROR(INDEX(装备库!$A$2:$Y$1047,MATCH(ROW()-1,装备库!$AO$2:$AO$1046,0),COLUMN()),"")</f>
        <v/>
      </c>
      <c r="T850" t="str">
        <f>IFERROR(INDEX(装备库!$A$2:$Y$1047,MATCH(ROW()-1,装备库!$AO$2:$AO$1046,0),COLUMN()),"")</f>
        <v/>
      </c>
      <c r="U850" t="str">
        <f>IFERROR(INDEX(装备库!$A$2:$Y$1047,MATCH(ROW()-1,装备库!$AO$2:$AO$1046,0),COLUMN()),"")</f>
        <v/>
      </c>
      <c r="V850" t="str">
        <f>IFERROR(INDEX(装备库!$A$2:$Y$1047,MATCH(ROW()-1,装备库!$AO$2:$AO$1046,0),COLUMN()),"")</f>
        <v/>
      </c>
      <c r="W850" t="str">
        <f>IFERROR(INDEX(装备库!$A$2:$Y$1047,MATCH(ROW()-1,装备库!$AO$2:$AO$1046,0),COLUMN()),"")</f>
        <v/>
      </c>
      <c r="X850" t="str">
        <f>IFERROR(INDEX(装备库!$A$2:$Y$1047,MATCH(ROW()-1,装备库!$AO$2:$AO$1046,0),COLUMN()),"")</f>
        <v/>
      </c>
      <c r="Y850" t="str">
        <f>IFERROR(INDEX(装备库!$A$2:$Y$1047,MATCH(ROW()-1,装备库!$AO$2:$AO$1046,0),COLUMN()),"")</f>
        <v/>
      </c>
    </row>
    <row r="851" spans="1:25" x14ac:dyDescent="0.35">
      <c r="A851" t="str">
        <f>IFERROR(INDEX(装备库!$A$2:$Y$1047,MATCH(ROW()-1,装备库!$AO$2:$AO$1046,0),COLUMN()),"")</f>
        <v/>
      </c>
      <c r="B851" t="str">
        <f>IFERROR(INDEX(装备库!$A$2:$Y$1047,MATCH(ROW()-1,装备库!$AO$2:$AO$1046,0),COLUMN()),"")</f>
        <v/>
      </c>
      <c r="C851" t="str">
        <f>IFERROR(INDEX(装备库!$A$2:$Y$1047,MATCH(ROW()-1,装备库!$AO$2:$AO$1046,0),COLUMN()),"")</f>
        <v/>
      </c>
      <c r="D851" t="str">
        <f>IFERROR(INDEX(装备库!$A$2:$Y$1047,MATCH(ROW()-1,装备库!$AO$2:$AO$1046,0),COLUMN()),"")</f>
        <v/>
      </c>
      <c r="E851" t="str">
        <f>IFERROR(INDEX(装备库!$A$2:$Y$1047,MATCH(ROW()-1,装备库!$AO$2:$AO$1046,0),COLUMN()),"")</f>
        <v/>
      </c>
      <c r="F851" t="str">
        <f>IFERROR(INDEX(装备库!$A$2:$Y$1047,MATCH(ROW()-1,装备库!$AO$2:$AO$1046,0),COLUMN()),"")</f>
        <v/>
      </c>
      <c r="G851" t="str">
        <f>IFERROR(INDEX(装备库!$A$2:$Y$1047,MATCH(ROW()-1,装备库!$AO$2:$AO$1046,0),COLUMN()),"")</f>
        <v/>
      </c>
      <c r="H851" t="str">
        <f>IFERROR(INDEX(装备库!$A$2:$Y$1047,MATCH(ROW()-1,装备库!$AO$2:$AO$1046,0),COLUMN()),"")</f>
        <v/>
      </c>
      <c r="I851" t="str">
        <f>IFERROR(INDEX(装备库!$A$2:$Y$1047,MATCH(ROW()-1,装备库!$AO$2:$AO$1046,0),COLUMN()),"")</f>
        <v/>
      </c>
      <c r="J851" t="str">
        <f>IFERROR(INDEX(装备库!$A$2:$Y$1047,MATCH(ROW()-1,装备库!$AO$2:$AO$1046,0),COLUMN()),"")</f>
        <v/>
      </c>
      <c r="K851" t="str">
        <f>IFERROR(INDEX(装备库!$A$2:$Y$1047,MATCH(ROW()-1,装备库!$AO$2:$AO$1046,0),COLUMN()),"")</f>
        <v/>
      </c>
      <c r="L851" t="str">
        <f>IFERROR(INDEX(装备库!$A$2:$Y$1047,MATCH(ROW()-1,装备库!$AO$2:$AO$1046,0),COLUMN()),"")</f>
        <v/>
      </c>
      <c r="M851" t="str">
        <f>IFERROR(INDEX(装备库!$A$2:$Y$1047,MATCH(ROW()-1,装备库!$AO$2:$AO$1046,0),COLUMN()),"")</f>
        <v/>
      </c>
      <c r="N851" t="str">
        <f>IFERROR(INDEX(装备库!$A$2:$Y$1047,MATCH(ROW()-1,装备库!$AO$2:$AO$1046,0),COLUMN()),"")</f>
        <v/>
      </c>
      <c r="O851" t="str">
        <f>IFERROR(INDEX(装备库!$A$2:$Y$1047,MATCH(ROW()-1,装备库!$AO$2:$AO$1046,0),COLUMN()),"")</f>
        <v/>
      </c>
      <c r="P851" t="str">
        <f>IFERROR(INDEX(装备库!$A$2:$Y$1047,MATCH(ROW()-1,装备库!$AO$2:$AO$1046,0),COLUMN()),"")</f>
        <v/>
      </c>
      <c r="Q851" t="str">
        <f>IFERROR(INDEX(装备库!$A$2:$Y$1047,MATCH(ROW()-1,装备库!$AO$2:$AO$1046,0),COLUMN()),"")</f>
        <v/>
      </c>
      <c r="R851" t="str">
        <f>IFERROR(INDEX(装备库!$A$2:$Y$1047,MATCH(ROW()-1,装备库!$AO$2:$AO$1046,0),COLUMN()),"")</f>
        <v/>
      </c>
      <c r="S851" t="str">
        <f>IFERROR(INDEX(装备库!$A$2:$Y$1047,MATCH(ROW()-1,装备库!$AO$2:$AO$1046,0),COLUMN()),"")</f>
        <v/>
      </c>
      <c r="T851" t="str">
        <f>IFERROR(INDEX(装备库!$A$2:$Y$1047,MATCH(ROW()-1,装备库!$AO$2:$AO$1046,0),COLUMN()),"")</f>
        <v/>
      </c>
      <c r="U851" t="str">
        <f>IFERROR(INDEX(装备库!$A$2:$Y$1047,MATCH(ROW()-1,装备库!$AO$2:$AO$1046,0),COLUMN()),"")</f>
        <v/>
      </c>
      <c r="V851" t="str">
        <f>IFERROR(INDEX(装备库!$A$2:$Y$1047,MATCH(ROW()-1,装备库!$AO$2:$AO$1046,0),COLUMN()),"")</f>
        <v/>
      </c>
      <c r="W851" t="str">
        <f>IFERROR(INDEX(装备库!$A$2:$Y$1047,MATCH(ROW()-1,装备库!$AO$2:$AO$1046,0),COLUMN()),"")</f>
        <v/>
      </c>
      <c r="X851" t="str">
        <f>IFERROR(INDEX(装备库!$A$2:$Y$1047,MATCH(ROW()-1,装备库!$AO$2:$AO$1046,0),COLUMN()),"")</f>
        <v/>
      </c>
      <c r="Y851" t="str">
        <f>IFERROR(INDEX(装备库!$A$2:$Y$1047,MATCH(ROW()-1,装备库!$AO$2:$AO$1046,0),COLUMN()),"")</f>
        <v/>
      </c>
    </row>
    <row r="852" spans="1:25" x14ac:dyDescent="0.35">
      <c r="A852" t="str">
        <f>IFERROR(INDEX(装备库!$A$2:$Y$1047,MATCH(ROW()-1,装备库!$AO$2:$AO$1046,0),COLUMN()),"")</f>
        <v/>
      </c>
      <c r="B852" t="str">
        <f>IFERROR(INDEX(装备库!$A$2:$Y$1047,MATCH(ROW()-1,装备库!$AO$2:$AO$1046,0),COLUMN()),"")</f>
        <v/>
      </c>
      <c r="C852" t="str">
        <f>IFERROR(INDEX(装备库!$A$2:$Y$1047,MATCH(ROW()-1,装备库!$AO$2:$AO$1046,0),COLUMN()),"")</f>
        <v/>
      </c>
      <c r="D852" t="str">
        <f>IFERROR(INDEX(装备库!$A$2:$Y$1047,MATCH(ROW()-1,装备库!$AO$2:$AO$1046,0),COLUMN()),"")</f>
        <v/>
      </c>
      <c r="E852" t="str">
        <f>IFERROR(INDEX(装备库!$A$2:$Y$1047,MATCH(ROW()-1,装备库!$AO$2:$AO$1046,0),COLUMN()),"")</f>
        <v/>
      </c>
      <c r="F852" t="str">
        <f>IFERROR(INDEX(装备库!$A$2:$Y$1047,MATCH(ROW()-1,装备库!$AO$2:$AO$1046,0),COLUMN()),"")</f>
        <v/>
      </c>
      <c r="G852" t="str">
        <f>IFERROR(INDEX(装备库!$A$2:$Y$1047,MATCH(ROW()-1,装备库!$AO$2:$AO$1046,0),COLUMN()),"")</f>
        <v/>
      </c>
      <c r="H852" t="str">
        <f>IFERROR(INDEX(装备库!$A$2:$Y$1047,MATCH(ROW()-1,装备库!$AO$2:$AO$1046,0),COLUMN()),"")</f>
        <v/>
      </c>
      <c r="I852" t="str">
        <f>IFERROR(INDEX(装备库!$A$2:$Y$1047,MATCH(ROW()-1,装备库!$AO$2:$AO$1046,0),COLUMN()),"")</f>
        <v/>
      </c>
      <c r="J852" t="str">
        <f>IFERROR(INDEX(装备库!$A$2:$Y$1047,MATCH(ROW()-1,装备库!$AO$2:$AO$1046,0),COLUMN()),"")</f>
        <v/>
      </c>
      <c r="K852" t="str">
        <f>IFERROR(INDEX(装备库!$A$2:$Y$1047,MATCH(ROW()-1,装备库!$AO$2:$AO$1046,0),COLUMN()),"")</f>
        <v/>
      </c>
      <c r="L852" t="str">
        <f>IFERROR(INDEX(装备库!$A$2:$Y$1047,MATCH(ROW()-1,装备库!$AO$2:$AO$1046,0),COLUMN()),"")</f>
        <v/>
      </c>
      <c r="M852" t="str">
        <f>IFERROR(INDEX(装备库!$A$2:$Y$1047,MATCH(ROW()-1,装备库!$AO$2:$AO$1046,0),COLUMN()),"")</f>
        <v/>
      </c>
      <c r="N852" t="str">
        <f>IFERROR(INDEX(装备库!$A$2:$Y$1047,MATCH(ROW()-1,装备库!$AO$2:$AO$1046,0),COLUMN()),"")</f>
        <v/>
      </c>
      <c r="O852" t="str">
        <f>IFERROR(INDEX(装备库!$A$2:$Y$1047,MATCH(ROW()-1,装备库!$AO$2:$AO$1046,0),COLUMN()),"")</f>
        <v/>
      </c>
      <c r="P852" t="str">
        <f>IFERROR(INDEX(装备库!$A$2:$Y$1047,MATCH(ROW()-1,装备库!$AO$2:$AO$1046,0),COLUMN()),"")</f>
        <v/>
      </c>
      <c r="Q852" t="str">
        <f>IFERROR(INDEX(装备库!$A$2:$Y$1047,MATCH(ROW()-1,装备库!$AO$2:$AO$1046,0),COLUMN()),"")</f>
        <v/>
      </c>
      <c r="R852" t="str">
        <f>IFERROR(INDEX(装备库!$A$2:$Y$1047,MATCH(ROW()-1,装备库!$AO$2:$AO$1046,0),COLUMN()),"")</f>
        <v/>
      </c>
      <c r="S852" t="str">
        <f>IFERROR(INDEX(装备库!$A$2:$Y$1047,MATCH(ROW()-1,装备库!$AO$2:$AO$1046,0),COLUMN()),"")</f>
        <v/>
      </c>
      <c r="T852" t="str">
        <f>IFERROR(INDEX(装备库!$A$2:$Y$1047,MATCH(ROW()-1,装备库!$AO$2:$AO$1046,0),COLUMN()),"")</f>
        <v/>
      </c>
      <c r="U852" t="str">
        <f>IFERROR(INDEX(装备库!$A$2:$Y$1047,MATCH(ROW()-1,装备库!$AO$2:$AO$1046,0),COLUMN()),"")</f>
        <v/>
      </c>
      <c r="V852" t="str">
        <f>IFERROR(INDEX(装备库!$A$2:$Y$1047,MATCH(ROW()-1,装备库!$AO$2:$AO$1046,0),COLUMN()),"")</f>
        <v/>
      </c>
      <c r="W852" t="str">
        <f>IFERROR(INDEX(装备库!$A$2:$Y$1047,MATCH(ROW()-1,装备库!$AO$2:$AO$1046,0),COLUMN()),"")</f>
        <v/>
      </c>
      <c r="X852" t="str">
        <f>IFERROR(INDEX(装备库!$A$2:$Y$1047,MATCH(ROW()-1,装备库!$AO$2:$AO$1046,0),COLUMN()),"")</f>
        <v/>
      </c>
      <c r="Y852" t="str">
        <f>IFERROR(INDEX(装备库!$A$2:$Y$1047,MATCH(ROW()-1,装备库!$AO$2:$AO$1046,0),COLUMN()),"")</f>
        <v/>
      </c>
    </row>
    <row r="853" spans="1:25" x14ac:dyDescent="0.35">
      <c r="A853" t="str">
        <f>IFERROR(INDEX(装备库!$A$2:$Y$1047,MATCH(ROW()-1,装备库!$AO$2:$AO$1046,0),COLUMN()),"")</f>
        <v/>
      </c>
      <c r="B853" t="str">
        <f>IFERROR(INDEX(装备库!$A$2:$Y$1047,MATCH(ROW()-1,装备库!$AO$2:$AO$1046,0),COLUMN()),"")</f>
        <v/>
      </c>
      <c r="C853" t="str">
        <f>IFERROR(INDEX(装备库!$A$2:$Y$1047,MATCH(ROW()-1,装备库!$AO$2:$AO$1046,0),COLUMN()),"")</f>
        <v/>
      </c>
      <c r="D853" t="str">
        <f>IFERROR(INDEX(装备库!$A$2:$Y$1047,MATCH(ROW()-1,装备库!$AO$2:$AO$1046,0),COLUMN()),"")</f>
        <v/>
      </c>
      <c r="E853" t="str">
        <f>IFERROR(INDEX(装备库!$A$2:$Y$1047,MATCH(ROW()-1,装备库!$AO$2:$AO$1046,0),COLUMN()),"")</f>
        <v/>
      </c>
      <c r="F853" t="str">
        <f>IFERROR(INDEX(装备库!$A$2:$Y$1047,MATCH(ROW()-1,装备库!$AO$2:$AO$1046,0),COLUMN()),"")</f>
        <v/>
      </c>
      <c r="G853" t="str">
        <f>IFERROR(INDEX(装备库!$A$2:$Y$1047,MATCH(ROW()-1,装备库!$AO$2:$AO$1046,0),COLUMN()),"")</f>
        <v/>
      </c>
      <c r="H853" t="str">
        <f>IFERROR(INDEX(装备库!$A$2:$Y$1047,MATCH(ROW()-1,装备库!$AO$2:$AO$1046,0),COLUMN()),"")</f>
        <v/>
      </c>
      <c r="I853" t="str">
        <f>IFERROR(INDEX(装备库!$A$2:$Y$1047,MATCH(ROW()-1,装备库!$AO$2:$AO$1046,0),COLUMN()),"")</f>
        <v/>
      </c>
      <c r="J853" t="str">
        <f>IFERROR(INDEX(装备库!$A$2:$Y$1047,MATCH(ROW()-1,装备库!$AO$2:$AO$1046,0),COLUMN()),"")</f>
        <v/>
      </c>
      <c r="K853" t="str">
        <f>IFERROR(INDEX(装备库!$A$2:$Y$1047,MATCH(ROW()-1,装备库!$AO$2:$AO$1046,0),COLUMN()),"")</f>
        <v/>
      </c>
      <c r="L853" t="str">
        <f>IFERROR(INDEX(装备库!$A$2:$Y$1047,MATCH(ROW()-1,装备库!$AO$2:$AO$1046,0),COLUMN()),"")</f>
        <v/>
      </c>
      <c r="M853" t="str">
        <f>IFERROR(INDEX(装备库!$A$2:$Y$1047,MATCH(ROW()-1,装备库!$AO$2:$AO$1046,0),COLUMN()),"")</f>
        <v/>
      </c>
      <c r="N853" t="str">
        <f>IFERROR(INDEX(装备库!$A$2:$Y$1047,MATCH(ROW()-1,装备库!$AO$2:$AO$1046,0),COLUMN()),"")</f>
        <v/>
      </c>
      <c r="O853" t="str">
        <f>IFERROR(INDEX(装备库!$A$2:$Y$1047,MATCH(ROW()-1,装备库!$AO$2:$AO$1046,0),COLUMN()),"")</f>
        <v/>
      </c>
      <c r="P853" t="str">
        <f>IFERROR(INDEX(装备库!$A$2:$Y$1047,MATCH(ROW()-1,装备库!$AO$2:$AO$1046,0),COLUMN()),"")</f>
        <v/>
      </c>
      <c r="Q853" t="str">
        <f>IFERROR(INDEX(装备库!$A$2:$Y$1047,MATCH(ROW()-1,装备库!$AO$2:$AO$1046,0),COLUMN()),"")</f>
        <v/>
      </c>
      <c r="R853" t="str">
        <f>IFERROR(INDEX(装备库!$A$2:$Y$1047,MATCH(ROW()-1,装备库!$AO$2:$AO$1046,0),COLUMN()),"")</f>
        <v/>
      </c>
      <c r="S853" t="str">
        <f>IFERROR(INDEX(装备库!$A$2:$Y$1047,MATCH(ROW()-1,装备库!$AO$2:$AO$1046,0),COLUMN()),"")</f>
        <v/>
      </c>
      <c r="T853" t="str">
        <f>IFERROR(INDEX(装备库!$A$2:$Y$1047,MATCH(ROW()-1,装备库!$AO$2:$AO$1046,0),COLUMN()),"")</f>
        <v/>
      </c>
      <c r="U853" t="str">
        <f>IFERROR(INDEX(装备库!$A$2:$Y$1047,MATCH(ROW()-1,装备库!$AO$2:$AO$1046,0),COLUMN()),"")</f>
        <v/>
      </c>
      <c r="V853" t="str">
        <f>IFERROR(INDEX(装备库!$A$2:$Y$1047,MATCH(ROW()-1,装备库!$AO$2:$AO$1046,0),COLUMN()),"")</f>
        <v/>
      </c>
      <c r="W853" t="str">
        <f>IFERROR(INDEX(装备库!$A$2:$Y$1047,MATCH(ROW()-1,装备库!$AO$2:$AO$1046,0),COLUMN()),"")</f>
        <v/>
      </c>
      <c r="X853" t="str">
        <f>IFERROR(INDEX(装备库!$A$2:$Y$1047,MATCH(ROW()-1,装备库!$AO$2:$AO$1046,0),COLUMN()),"")</f>
        <v/>
      </c>
      <c r="Y853" t="str">
        <f>IFERROR(INDEX(装备库!$A$2:$Y$1047,MATCH(ROW()-1,装备库!$AO$2:$AO$1046,0),COLUMN()),"")</f>
        <v/>
      </c>
    </row>
    <row r="854" spans="1:25" x14ac:dyDescent="0.35">
      <c r="A854" t="str">
        <f>IFERROR(INDEX(装备库!$A$2:$Y$1047,MATCH(ROW()-1,装备库!$AO$2:$AO$1046,0),COLUMN()),"")</f>
        <v/>
      </c>
      <c r="B854" t="str">
        <f>IFERROR(INDEX(装备库!$A$2:$Y$1047,MATCH(ROW()-1,装备库!$AO$2:$AO$1046,0),COLUMN()),"")</f>
        <v/>
      </c>
      <c r="C854" t="str">
        <f>IFERROR(INDEX(装备库!$A$2:$Y$1047,MATCH(ROW()-1,装备库!$AO$2:$AO$1046,0),COLUMN()),"")</f>
        <v/>
      </c>
      <c r="D854" t="str">
        <f>IFERROR(INDEX(装备库!$A$2:$Y$1047,MATCH(ROW()-1,装备库!$AO$2:$AO$1046,0),COLUMN()),"")</f>
        <v/>
      </c>
      <c r="E854" t="str">
        <f>IFERROR(INDEX(装备库!$A$2:$Y$1047,MATCH(ROW()-1,装备库!$AO$2:$AO$1046,0),COLUMN()),"")</f>
        <v/>
      </c>
      <c r="F854" t="str">
        <f>IFERROR(INDEX(装备库!$A$2:$Y$1047,MATCH(ROW()-1,装备库!$AO$2:$AO$1046,0),COLUMN()),"")</f>
        <v/>
      </c>
      <c r="G854" t="str">
        <f>IFERROR(INDEX(装备库!$A$2:$Y$1047,MATCH(ROW()-1,装备库!$AO$2:$AO$1046,0),COLUMN()),"")</f>
        <v/>
      </c>
      <c r="H854" t="str">
        <f>IFERROR(INDEX(装备库!$A$2:$Y$1047,MATCH(ROW()-1,装备库!$AO$2:$AO$1046,0),COLUMN()),"")</f>
        <v/>
      </c>
      <c r="I854" t="str">
        <f>IFERROR(INDEX(装备库!$A$2:$Y$1047,MATCH(ROW()-1,装备库!$AO$2:$AO$1046,0),COLUMN()),"")</f>
        <v/>
      </c>
      <c r="J854" t="str">
        <f>IFERROR(INDEX(装备库!$A$2:$Y$1047,MATCH(ROW()-1,装备库!$AO$2:$AO$1046,0),COLUMN()),"")</f>
        <v/>
      </c>
      <c r="K854" t="str">
        <f>IFERROR(INDEX(装备库!$A$2:$Y$1047,MATCH(ROW()-1,装备库!$AO$2:$AO$1046,0),COLUMN()),"")</f>
        <v/>
      </c>
      <c r="L854" t="str">
        <f>IFERROR(INDEX(装备库!$A$2:$Y$1047,MATCH(ROW()-1,装备库!$AO$2:$AO$1046,0),COLUMN()),"")</f>
        <v/>
      </c>
      <c r="M854" t="str">
        <f>IFERROR(INDEX(装备库!$A$2:$Y$1047,MATCH(ROW()-1,装备库!$AO$2:$AO$1046,0),COLUMN()),"")</f>
        <v/>
      </c>
      <c r="N854" t="str">
        <f>IFERROR(INDEX(装备库!$A$2:$Y$1047,MATCH(ROW()-1,装备库!$AO$2:$AO$1046,0),COLUMN()),"")</f>
        <v/>
      </c>
      <c r="O854" t="str">
        <f>IFERROR(INDEX(装备库!$A$2:$Y$1047,MATCH(ROW()-1,装备库!$AO$2:$AO$1046,0),COLUMN()),"")</f>
        <v/>
      </c>
      <c r="P854" t="str">
        <f>IFERROR(INDEX(装备库!$A$2:$Y$1047,MATCH(ROW()-1,装备库!$AO$2:$AO$1046,0),COLUMN()),"")</f>
        <v/>
      </c>
      <c r="Q854" t="str">
        <f>IFERROR(INDEX(装备库!$A$2:$Y$1047,MATCH(ROW()-1,装备库!$AO$2:$AO$1046,0),COLUMN()),"")</f>
        <v/>
      </c>
      <c r="R854" t="str">
        <f>IFERROR(INDEX(装备库!$A$2:$Y$1047,MATCH(ROW()-1,装备库!$AO$2:$AO$1046,0),COLUMN()),"")</f>
        <v/>
      </c>
      <c r="S854" t="str">
        <f>IFERROR(INDEX(装备库!$A$2:$Y$1047,MATCH(ROW()-1,装备库!$AO$2:$AO$1046,0),COLUMN()),"")</f>
        <v/>
      </c>
      <c r="T854" t="str">
        <f>IFERROR(INDEX(装备库!$A$2:$Y$1047,MATCH(ROW()-1,装备库!$AO$2:$AO$1046,0),COLUMN()),"")</f>
        <v/>
      </c>
      <c r="U854" t="str">
        <f>IFERROR(INDEX(装备库!$A$2:$Y$1047,MATCH(ROW()-1,装备库!$AO$2:$AO$1046,0),COLUMN()),"")</f>
        <v/>
      </c>
      <c r="V854" t="str">
        <f>IFERROR(INDEX(装备库!$A$2:$Y$1047,MATCH(ROW()-1,装备库!$AO$2:$AO$1046,0),COLUMN()),"")</f>
        <v/>
      </c>
      <c r="W854" t="str">
        <f>IFERROR(INDEX(装备库!$A$2:$Y$1047,MATCH(ROW()-1,装备库!$AO$2:$AO$1046,0),COLUMN()),"")</f>
        <v/>
      </c>
      <c r="X854" t="str">
        <f>IFERROR(INDEX(装备库!$A$2:$Y$1047,MATCH(ROW()-1,装备库!$AO$2:$AO$1046,0),COLUMN()),"")</f>
        <v/>
      </c>
      <c r="Y854" t="str">
        <f>IFERROR(INDEX(装备库!$A$2:$Y$1047,MATCH(ROW()-1,装备库!$AO$2:$AO$1046,0),COLUMN()),"")</f>
        <v/>
      </c>
    </row>
    <row r="855" spans="1:25" x14ac:dyDescent="0.35">
      <c r="A855" t="str">
        <f>IFERROR(INDEX(装备库!$A$2:$Y$1047,MATCH(ROW()-1,装备库!$AO$2:$AO$1046,0),COLUMN()),"")</f>
        <v/>
      </c>
      <c r="B855" t="str">
        <f>IFERROR(INDEX(装备库!$A$2:$Y$1047,MATCH(ROW()-1,装备库!$AO$2:$AO$1046,0),COLUMN()),"")</f>
        <v/>
      </c>
      <c r="C855" t="str">
        <f>IFERROR(INDEX(装备库!$A$2:$Y$1047,MATCH(ROW()-1,装备库!$AO$2:$AO$1046,0),COLUMN()),"")</f>
        <v/>
      </c>
      <c r="D855" t="str">
        <f>IFERROR(INDEX(装备库!$A$2:$Y$1047,MATCH(ROW()-1,装备库!$AO$2:$AO$1046,0),COLUMN()),"")</f>
        <v/>
      </c>
      <c r="E855" t="str">
        <f>IFERROR(INDEX(装备库!$A$2:$Y$1047,MATCH(ROW()-1,装备库!$AO$2:$AO$1046,0),COLUMN()),"")</f>
        <v/>
      </c>
      <c r="F855" t="str">
        <f>IFERROR(INDEX(装备库!$A$2:$Y$1047,MATCH(ROW()-1,装备库!$AO$2:$AO$1046,0),COLUMN()),"")</f>
        <v/>
      </c>
      <c r="G855" t="str">
        <f>IFERROR(INDEX(装备库!$A$2:$Y$1047,MATCH(ROW()-1,装备库!$AO$2:$AO$1046,0),COLUMN()),"")</f>
        <v/>
      </c>
      <c r="H855" t="str">
        <f>IFERROR(INDEX(装备库!$A$2:$Y$1047,MATCH(ROW()-1,装备库!$AO$2:$AO$1046,0),COLUMN()),"")</f>
        <v/>
      </c>
      <c r="I855" t="str">
        <f>IFERROR(INDEX(装备库!$A$2:$Y$1047,MATCH(ROW()-1,装备库!$AO$2:$AO$1046,0),COLUMN()),"")</f>
        <v/>
      </c>
      <c r="J855" t="str">
        <f>IFERROR(INDEX(装备库!$A$2:$Y$1047,MATCH(ROW()-1,装备库!$AO$2:$AO$1046,0),COLUMN()),"")</f>
        <v/>
      </c>
      <c r="K855" t="str">
        <f>IFERROR(INDEX(装备库!$A$2:$Y$1047,MATCH(ROW()-1,装备库!$AO$2:$AO$1046,0),COLUMN()),"")</f>
        <v/>
      </c>
      <c r="L855" t="str">
        <f>IFERROR(INDEX(装备库!$A$2:$Y$1047,MATCH(ROW()-1,装备库!$AO$2:$AO$1046,0),COLUMN()),"")</f>
        <v/>
      </c>
      <c r="M855" t="str">
        <f>IFERROR(INDEX(装备库!$A$2:$Y$1047,MATCH(ROW()-1,装备库!$AO$2:$AO$1046,0),COLUMN()),"")</f>
        <v/>
      </c>
      <c r="N855" t="str">
        <f>IFERROR(INDEX(装备库!$A$2:$Y$1047,MATCH(ROW()-1,装备库!$AO$2:$AO$1046,0),COLUMN()),"")</f>
        <v/>
      </c>
      <c r="O855" t="str">
        <f>IFERROR(INDEX(装备库!$A$2:$Y$1047,MATCH(ROW()-1,装备库!$AO$2:$AO$1046,0),COLUMN()),"")</f>
        <v/>
      </c>
      <c r="P855" t="str">
        <f>IFERROR(INDEX(装备库!$A$2:$Y$1047,MATCH(ROW()-1,装备库!$AO$2:$AO$1046,0),COLUMN()),"")</f>
        <v/>
      </c>
      <c r="Q855" t="str">
        <f>IFERROR(INDEX(装备库!$A$2:$Y$1047,MATCH(ROW()-1,装备库!$AO$2:$AO$1046,0),COLUMN()),"")</f>
        <v/>
      </c>
      <c r="R855" t="str">
        <f>IFERROR(INDEX(装备库!$A$2:$Y$1047,MATCH(ROW()-1,装备库!$AO$2:$AO$1046,0),COLUMN()),"")</f>
        <v/>
      </c>
      <c r="S855" t="str">
        <f>IFERROR(INDEX(装备库!$A$2:$Y$1047,MATCH(ROW()-1,装备库!$AO$2:$AO$1046,0),COLUMN()),"")</f>
        <v/>
      </c>
      <c r="T855" t="str">
        <f>IFERROR(INDEX(装备库!$A$2:$Y$1047,MATCH(ROW()-1,装备库!$AO$2:$AO$1046,0),COLUMN()),"")</f>
        <v/>
      </c>
      <c r="U855" t="str">
        <f>IFERROR(INDEX(装备库!$A$2:$Y$1047,MATCH(ROW()-1,装备库!$AO$2:$AO$1046,0),COLUMN()),"")</f>
        <v/>
      </c>
      <c r="V855" t="str">
        <f>IFERROR(INDEX(装备库!$A$2:$Y$1047,MATCH(ROW()-1,装备库!$AO$2:$AO$1046,0),COLUMN()),"")</f>
        <v/>
      </c>
      <c r="W855" t="str">
        <f>IFERROR(INDEX(装备库!$A$2:$Y$1047,MATCH(ROW()-1,装备库!$AO$2:$AO$1046,0),COLUMN()),"")</f>
        <v/>
      </c>
      <c r="X855" t="str">
        <f>IFERROR(INDEX(装备库!$A$2:$Y$1047,MATCH(ROW()-1,装备库!$AO$2:$AO$1046,0),COLUMN()),"")</f>
        <v/>
      </c>
      <c r="Y855" t="str">
        <f>IFERROR(INDEX(装备库!$A$2:$Y$1047,MATCH(ROW()-1,装备库!$AO$2:$AO$1046,0),COLUMN()),"")</f>
        <v/>
      </c>
    </row>
    <row r="856" spans="1:25" x14ac:dyDescent="0.35">
      <c r="A856" t="str">
        <f>IFERROR(INDEX(装备库!$A$2:$Y$1047,MATCH(ROW()-1,装备库!$AO$2:$AO$1046,0),COLUMN()),"")</f>
        <v/>
      </c>
      <c r="B856" t="str">
        <f>IFERROR(INDEX(装备库!$A$2:$Y$1047,MATCH(ROW()-1,装备库!$AO$2:$AO$1046,0),COLUMN()),"")</f>
        <v/>
      </c>
      <c r="C856" t="str">
        <f>IFERROR(INDEX(装备库!$A$2:$Y$1047,MATCH(ROW()-1,装备库!$AO$2:$AO$1046,0),COLUMN()),"")</f>
        <v/>
      </c>
      <c r="D856" t="str">
        <f>IFERROR(INDEX(装备库!$A$2:$Y$1047,MATCH(ROW()-1,装备库!$AO$2:$AO$1046,0),COLUMN()),"")</f>
        <v/>
      </c>
      <c r="E856" t="str">
        <f>IFERROR(INDEX(装备库!$A$2:$Y$1047,MATCH(ROW()-1,装备库!$AO$2:$AO$1046,0),COLUMN()),"")</f>
        <v/>
      </c>
      <c r="F856" t="str">
        <f>IFERROR(INDEX(装备库!$A$2:$Y$1047,MATCH(ROW()-1,装备库!$AO$2:$AO$1046,0),COLUMN()),"")</f>
        <v/>
      </c>
      <c r="G856" t="str">
        <f>IFERROR(INDEX(装备库!$A$2:$Y$1047,MATCH(ROW()-1,装备库!$AO$2:$AO$1046,0),COLUMN()),"")</f>
        <v/>
      </c>
      <c r="H856" t="str">
        <f>IFERROR(INDEX(装备库!$A$2:$Y$1047,MATCH(ROW()-1,装备库!$AO$2:$AO$1046,0),COLUMN()),"")</f>
        <v/>
      </c>
      <c r="I856" t="str">
        <f>IFERROR(INDEX(装备库!$A$2:$Y$1047,MATCH(ROW()-1,装备库!$AO$2:$AO$1046,0),COLUMN()),"")</f>
        <v/>
      </c>
      <c r="J856" t="str">
        <f>IFERROR(INDEX(装备库!$A$2:$Y$1047,MATCH(ROW()-1,装备库!$AO$2:$AO$1046,0),COLUMN()),"")</f>
        <v/>
      </c>
      <c r="K856" t="str">
        <f>IFERROR(INDEX(装备库!$A$2:$Y$1047,MATCH(ROW()-1,装备库!$AO$2:$AO$1046,0),COLUMN()),"")</f>
        <v/>
      </c>
      <c r="L856" t="str">
        <f>IFERROR(INDEX(装备库!$A$2:$Y$1047,MATCH(ROW()-1,装备库!$AO$2:$AO$1046,0),COLUMN()),"")</f>
        <v/>
      </c>
      <c r="M856" t="str">
        <f>IFERROR(INDEX(装备库!$A$2:$Y$1047,MATCH(ROW()-1,装备库!$AO$2:$AO$1046,0),COLUMN()),"")</f>
        <v/>
      </c>
      <c r="N856" t="str">
        <f>IFERROR(INDEX(装备库!$A$2:$Y$1047,MATCH(ROW()-1,装备库!$AO$2:$AO$1046,0),COLUMN()),"")</f>
        <v/>
      </c>
      <c r="O856" t="str">
        <f>IFERROR(INDEX(装备库!$A$2:$Y$1047,MATCH(ROW()-1,装备库!$AO$2:$AO$1046,0),COLUMN()),"")</f>
        <v/>
      </c>
      <c r="P856" t="str">
        <f>IFERROR(INDEX(装备库!$A$2:$Y$1047,MATCH(ROW()-1,装备库!$AO$2:$AO$1046,0),COLUMN()),"")</f>
        <v/>
      </c>
      <c r="Q856" t="str">
        <f>IFERROR(INDEX(装备库!$A$2:$Y$1047,MATCH(ROW()-1,装备库!$AO$2:$AO$1046,0),COLUMN()),"")</f>
        <v/>
      </c>
      <c r="R856" t="str">
        <f>IFERROR(INDEX(装备库!$A$2:$Y$1047,MATCH(ROW()-1,装备库!$AO$2:$AO$1046,0),COLUMN()),"")</f>
        <v/>
      </c>
      <c r="S856" t="str">
        <f>IFERROR(INDEX(装备库!$A$2:$Y$1047,MATCH(ROW()-1,装备库!$AO$2:$AO$1046,0),COLUMN()),"")</f>
        <v/>
      </c>
      <c r="T856" t="str">
        <f>IFERROR(INDEX(装备库!$A$2:$Y$1047,MATCH(ROW()-1,装备库!$AO$2:$AO$1046,0),COLUMN()),"")</f>
        <v/>
      </c>
      <c r="U856" t="str">
        <f>IFERROR(INDEX(装备库!$A$2:$Y$1047,MATCH(ROW()-1,装备库!$AO$2:$AO$1046,0),COLUMN()),"")</f>
        <v/>
      </c>
      <c r="V856" t="str">
        <f>IFERROR(INDEX(装备库!$A$2:$Y$1047,MATCH(ROW()-1,装备库!$AO$2:$AO$1046,0),COLUMN()),"")</f>
        <v/>
      </c>
      <c r="W856" t="str">
        <f>IFERROR(INDEX(装备库!$A$2:$Y$1047,MATCH(ROW()-1,装备库!$AO$2:$AO$1046,0),COLUMN()),"")</f>
        <v/>
      </c>
      <c r="X856" t="str">
        <f>IFERROR(INDEX(装备库!$A$2:$Y$1047,MATCH(ROW()-1,装备库!$AO$2:$AO$1046,0),COLUMN()),"")</f>
        <v/>
      </c>
      <c r="Y856" t="str">
        <f>IFERROR(INDEX(装备库!$A$2:$Y$1047,MATCH(ROW()-1,装备库!$AO$2:$AO$1046,0),COLUMN()),"")</f>
        <v/>
      </c>
    </row>
    <row r="857" spans="1:25" x14ac:dyDescent="0.35">
      <c r="A857" t="str">
        <f>IFERROR(INDEX(装备库!$A$2:$Y$1047,MATCH(ROW()-1,装备库!$AO$2:$AO$1046,0),COLUMN()),"")</f>
        <v/>
      </c>
      <c r="B857" t="str">
        <f>IFERROR(INDEX(装备库!$A$2:$Y$1047,MATCH(ROW()-1,装备库!$AO$2:$AO$1046,0),COLUMN()),"")</f>
        <v/>
      </c>
      <c r="C857" t="str">
        <f>IFERROR(INDEX(装备库!$A$2:$Y$1047,MATCH(ROW()-1,装备库!$AO$2:$AO$1046,0),COLUMN()),"")</f>
        <v/>
      </c>
      <c r="D857" t="str">
        <f>IFERROR(INDEX(装备库!$A$2:$Y$1047,MATCH(ROW()-1,装备库!$AO$2:$AO$1046,0),COLUMN()),"")</f>
        <v/>
      </c>
      <c r="E857" t="str">
        <f>IFERROR(INDEX(装备库!$A$2:$Y$1047,MATCH(ROW()-1,装备库!$AO$2:$AO$1046,0),COLUMN()),"")</f>
        <v/>
      </c>
      <c r="F857" t="str">
        <f>IFERROR(INDEX(装备库!$A$2:$Y$1047,MATCH(ROW()-1,装备库!$AO$2:$AO$1046,0),COLUMN()),"")</f>
        <v/>
      </c>
      <c r="G857" t="str">
        <f>IFERROR(INDEX(装备库!$A$2:$Y$1047,MATCH(ROW()-1,装备库!$AO$2:$AO$1046,0),COLUMN()),"")</f>
        <v/>
      </c>
      <c r="H857" t="str">
        <f>IFERROR(INDEX(装备库!$A$2:$Y$1047,MATCH(ROW()-1,装备库!$AO$2:$AO$1046,0),COLUMN()),"")</f>
        <v/>
      </c>
      <c r="I857" t="str">
        <f>IFERROR(INDEX(装备库!$A$2:$Y$1047,MATCH(ROW()-1,装备库!$AO$2:$AO$1046,0),COLUMN()),"")</f>
        <v/>
      </c>
      <c r="J857" t="str">
        <f>IFERROR(INDEX(装备库!$A$2:$Y$1047,MATCH(ROW()-1,装备库!$AO$2:$AO$1046,0),COLUMN()),"")</f>
        <v/>
      </c>
      <c r="K857" t="str">
        <f>IFERROR(INDEX(装备库!$A$2:$Y$1047,MATCH(ROW()-1,装备库!$AO$2:$AO$1046,0),COLUMN()),"")</f>
        <v/>
      </c>
      <c r="L857" t="str">
        <f>IFERROR(INDEX(装备库!$A$2:$Y$1047,MATCH(ROW()-1,装备库!$AO$2:$AO$1046,0),COLUMN()),"")</f>
        <v/>
      </c>
      <c r="M857" t="str">
        <f>IFERROR(INDEX(装备库!$A$2:$Y$1047,MATCH(ROW()-1,装备库!$AO$2:$AO$1046,0),COLUMN()),"")</f>
        <v/>
      </c>
      <c r="N857" t="str">
        <f>IFERROR(INDEX(装备库!$A$2:$Y$1047,MATCH(ROW()-1,装备库!$AO$2:$AO$1046,0),COLUMN()),"")</f>
        <v/>
      </c>
      <c r="O857" t="str">
        <f>IFERROR(INDEX(装备库!$A$2:$Y$1047,MATCH(ROW()-1,装备库!$AO$2:$AO$1046,0),COLUMN()),"")</f>
        <v/>
      </c>
      <c r="P857" t="str">
        <f>IFERROR(INDEX(装备库!$A$2:$Y$1047,MATCH(ROW()-1,装备库!$AO$2:$AO$1046,0),COLUMN()),"")</f>
        <v/>
      </c>
      <c r="Q857" t="str">
        <f>IFERROR(INDEX(装备库!$A$2:$Y$1047,MATCH(ROW()-1,装备库!$AO$2:$AO$1046,0),COLUMN()),"")</f>
        <v/>
      </c>
      <c r="R857" t="str">
        <f>IFERROR(INDEX(装备库!$A$2:$Y$1047,MATCH(ROW()-1,装备库!$AO$2:$AO$1046,0),COLUMN()),"")</f>
        <v/>
      </c>
      <c r="S857" t="str">
        <f>IFERROR(INDEX(装备库!$A$2:$Y$1047,MATCH(ROW()-1,装备库!$AO$2:$AO$1046,0),COLUMN()),"")</f>
        <v/>
      </c>
      <c r="T857" t="str">
        <f>IFERROR(INDEX(装备库!$A$2:$Y$1047,MATCH(ROW()-1,装备库!$AO$2:$AO$1046,0),COLUMN()),"")</f>
        <v/>
      </c>
      <c r="U857" t="str">
        <f>IFERROR(INDEX(装备库!$A$2:$Y$1047,MATCH(ROW()-1,装备库!$AO$2:$AO$1046,0),COLUMN()),"")</f>
        <v/>
      </c>
      <c r="V857" t="str">
        <f>IFERROR(INDEX(装备库!$A$2:$Y$1047,MATCH(ROW()-1,装备库!$AO$2:$AO$1046,0),COLUMN()),"")</f>
        <v/>
      </c>
      <c r="W857" t="str">
        <f>IFERROR(INDEX(装备库!$A$2:$Y$1047,MATCH(ROW()-1,装备库!$AO$2:$AO$1046,0),COLUMN()),"")</f>
        <v/>
      </c>
      <c r="X857" t="str">
        <f>IFERROR(INDEX(装备库!$A$2:$Y$1047,MATCH(ROW()-1,装备库!$AO$2:$AO$1046,0),COLUMN()),"")</f>
        <v/>
      </c>
      <c r="Y857" t="str">
        <f>IFERROR(INDEX(装备库!$A$2:$Y$1047,MATCH(ROW()-1,装备库!$AO$2:$AO$1046,0),COLUMN()),"")</f>
        <v/>
      </c>
    </row>
    <row r="858" spans="1:25" x14ac:dyDescent="0.35">
      <c r="A858" t="str">
        <f>IFERROR(INDEX(装备库!$A$2:$Y$1047,MATCH(ROW()-1,装备库!$AO$2:$AO$1046,0),COLUMN()),"")</f>
        <v/>
      </c>
      <c r="B858" t="str">
        <f>IFERROR(INDEX(装备库!$A$2:$Y$1047,MATCH(ROW()-1,装备库!$AO$2:$AO$1046,0),COLUMN()),"")</f>
        <v/>
      </c>
      <c r="C858" t="str">
        <f>IFERROR(INDEX(装备库!$A$2:$Y$1047,MATCH(ROW()-1,装备库!$AO$2:$AO$1046,0),COLUMN()),"")</f>
        <v/>
      </c>
      <c r="D858" t="str">
        <f>IFERROR(INDEX(装备库!$A$2:$Y$1047,MATCH(ROW()-1,装备库!$AO$2:$AO$1046,0),COLUMN()),"")</f>
        <v/>
      </c>
      <c r="E858" t="str">
        <f>IFERROR(INDEX(装备库!$A$2:$Y$1047,MATCH(ROW()-1,装备库!$AO$2:$AO$1046,0),COLUMN()),"")</f>
        <v/>
      </c>
      <c r="F858" t="str">
        <f>IFERROR(INDEX(装备库!$A$2:$Y$1047,MATCH(ROW()-1,装备库!$AO$2:$AO$1046,0),COLUMN()),"")</f>
        <v/>
      </c>
      <c r="G858" t="str">
        <f>IFERROR(INDEX(装备库!$A$2:$Y$1047,MATCH(ROW()-1,装备库!$AO$2:$AO$1046,0),COLUMN()),"")</f>
        <v/>
      </c>
      <c r="H858" t="str">
        <f>IFERROR(INDEX(装备库!$A$2:$Y$1047,MATCH(ROW()-1,装备库!$AO$2:$AO$1046,0),COLUMN()),"")</f>
        <v/>
      </c>
      <c r="I858" t="str">
        <f>IFERROR(INDEX(装备库!$A$2:$Y$1047,MATCH(ROW()-1,装备库!$AO$2:$AO$1046,0),COLUMN()),"")</f>
        <v/>
      </c>
      <c r="J858" t="str">
        <f>IFERROR(INDEX(装备库!$A$2:$Y$1047,MATCH(ROW()-1,装备库!$AO$2:$AO$1046,0),COLUMN()),"")</f>
        <v/>
      </c>
      <c r="K858" t="str">
        <f>IFERROR(INDEX(装备库!$A$2:$Y$1047,MATCH(ROW()-1,装备库!$AO$2:$AO$1046,0),COLUMN()),"")</f>
        <v/>
      </c>
      <c r="L858" t="str">
        <f>IFERROR(INDEX(装备库!$A$2:$Y$1047,MATCH(ROW()-1,装备库!$AO$2:$AO$1046,0),COLUMN()),"")</f>
        <v/>
      </c>
      <c r="M858" t="str">
        <f>IFERROR(INDEX(装备库!$A$2:$Y$1047,MATCH(ROW()-1,装备库!$AO$2:$AO$1046,0),COLUMN()),"")</f>
        <v/>
      </c>
      <c r="N858" t="str">
        <f>IFERROR(INDEX(装备库!$A$2:$Y$1047,MATCH(ROW()-1,装备库!$AO$2:$AO$1046,0),COLUMN()),"")</f>
        <v/>
      </c>
      <c r="O858" t="str">
        <f>IFERROR(INDEX(装备库!$A$2:$Y$1047,MATCH(ROW()-1,装备库!$AO$2:$AO$1046,0),COLUMN()),"")</f>
        <v/>
      </c>
      <c r="P858" t="str">
        <f>IFERROR(INDEX(装备库!$A$2:$Y$1047,MATCH(ROW()-1,装备库!$AO$2:$AO$1046,0),COLUMN()),"")</f>
        <v/>
      </c>
      <c r="Q858" t="str">
        <f>IFERROR(INDEX(装备库!$A$2:$Y$1047,MATCH(ROW()-1,装备库!$AO$2:$AO$1046,0),COLUMN()),"")</f>
        <v/>
      </c>
      <c r="R858" t="str">
        <f>IFERROR(INDEX(装备库!$A$2:$Y$1047,MATCH(ROW()-1,装备库!$AO$2:$AO$1046,0),COLUMN()),"")</f>
        <v/>
      </c>
      <c r="S858" t="str">
        <f>IFERROR(INDEX(装备库!$A$2:$Y$1047,MATCH(ROW()-1,装备库!$AO$2:$AO$1046,0),COLUMN()),"")</f>
        <v/>
      </c>
      <c r="T858" t="str">
        <f>IFERROR(INDEX(装备库!$A$2:$Y$1047,MATCH(ROW()-1,装备库!$AO$2:$AO$1046,0),COLUMN()),"")</f>
        <v/>
      </c>
      <c r="U858" t="str">
        <f>IFERROR(INDEX(装备库!$A$2:$Y$1047,MATCH(ROW()-1,装备库!$AO$2:$AO$1046,0),COLUMN()),"")</f>
        <v/>
      </c>
      <c r="V858" t="str">
        <f>IFERROR(INDEX(装备库!$A$2:$Y$1047,MATCH(ROW()-1,装备库!$AO$2:$AO$1046,0),COLUMN()),"")</f>
        <v/>
      </c>
      <c r="W858" t="str">
        <f>IFERROR(INDEX(装备库!$A$2:$Y$1047,MATCH(ROW()-1,装备库!$AO$2:$AO$1046,0),COLUMN()),"")</f>
        <v/>
      </c>
      <c r="X858" t="str">
        <f>IFERROR(INDEX(装备库!$A$2:$Y$1047,MATCH(ROW()-1,装备库!$AO$2:$AO$1046,0),COLUMN()),"")</f>
        <v/>
      </c>
      <c r="Y858" t="str">
        <f>IFERROR(INDEX(装备库!$A$2:$Y$1047,MATCH(ROW()-1,装备库!$AO$2:$AO$1046,0),COLUMN()),"")</f>
        <v/>
      </c>
    </row>
    <row r="859" spans="1:25" x14ac:dyDescent="0.35">
      <c r="A859" t="str">
        <f>IFERROR(INDEX(装备库!$A$2:$Y$1047,MATCH(ROW()-1,装备库!$AO$2:$AO$1046,0),COLUMN()),"")</f>
        <v/>
      </c>
      <c r="B859" t="str">
        <f>IFERROR(INDEX(装备库!$A$2:$Y$1047,MATCH(ROW()-1,装备库!$AO$2:$AO$1046,0),COLUMN()),"")</f>
        <v/>
      </c>
      <c r="C859" t="str">
        <f>IFERROR(INDEX(装备库!$A$2:$Y$1047,MATCH(ROW()-1,装备库!$AO$2:$AO$1046,0),COLUMN()),"")</f>
        <v/>
      </c>
      <c r="D859" t="str">
        <f>IFERROR(INDEX(装备库!$A$2:$Y$1047,MATCH(ROW()-1,装备库!$AO$2:$AO$1046,0),COLUMN()),"")</f>
        <v/>
      </c>
      <c r="E859" t="str">
        <f>IFERROR(INDEX(装备库!$A$2:$Y$1047,MATCH(ROW()-1,装备库!$AO$2:$AO$1046,0),COLUMN()),"")</f>
        <v/>
      </c>
      <c r="F859" t="str">
        <f>IFERROR(INDEX(装备库!$A$2:$Y$1047,MATCH(ROW()-1,装备库!$AO$2:$AO$1046,0),COLUMN()),"")</f>
        <v/>
      </c>
      <c r="G859" t="str">
        <f>IFERROR(INDEX(装备库!$A$2:$Y$1047,MATCH(ROW()-1,装备库!$AO$2:$AO$1046,0),COLUMN()),"")</f>
        <v/>
      </c>
      <c r="H859" t="str">
        <f>IFERROR(INDEX(装备库!$A$2:$Y$1047,MATCH(ROW()-1,装备库!$AO$2:$AO$1046,0),COLUMN()),"")</f>
        <v/>
      </c>
      <c r="I859" t="str">
        <f>IFERROR(INDEX(装备库!$A$2:$Y$1047,MATCH(ROW()-1,装备库!$AO$2:$AO$1046,0),COLUMN()),"")</f>
        <v/>
      </c>
      <c r="J859" t="str">
        <f>IFERROR(INDEX(装备库!$A$2:$Y$1047,MATCH(ROW()-1,装备库!$AO$2:$AO$1046,0),COLUMN()),"")</f>
        <v/>
      </c>
      <c r="K859" t="str">
        <f>IFERROR(INDEX(装备库!$A$2:$Y$1047,MATCH(ROW()-1,装备库!$AO$2:$AO$1046,0),COLUMN()),"")</f>
        <v/>
      </c>
      <c r="L859" t="str">
        <f>IFERROR(INDEX(装备库!$A$2:$Y$1047,MATCH(ROW()-1,装备库!$AO$2:$AO$1046,0),COLUMN()),"")</f>
        <v/>
      </c>
      <c r="M859" t="str">
        <f>IFERROR(INDEX(装备库!$A$2:$Y$1047,MATCH(ROW()-1,装备库!$AO$2:$AO$1046,0),COLUMN()),"")</f>
        <v/>
      </c>
      <c r="N859" t="str">
        <f>IFERROR(INDEX(装备库!$A$2:$Y$1047,MATCH(ROW()-1,装备库!$AO$2:$AO$1046,0),COLUMN()),"")</f>
        <v/>
      </c>
      <c r="O859" t="str">
        <f>IFERROR(INDEX(装备库!$A$2:$Y$1047,MATCH(ROW()-1,装备库!$AO$2:$AO$1046,0),COLUMN()),"")</f>
        <v/>
      </c>
      <c r="P859" t="str">
        <f>IFERROR(INDEX(装备库!$A$2:$Y$1047,MATCH(ROW()-1,装备库!$AO$2:$AO$1046,0),COLUMN()),"")</f>
        <v/>
      </c>
      <c r="Q859" t="str">
        <f>IFERROR(INDEX(装备库!$A$2:$Y$1047,MATCH(ROW()-1,装备库!$AO$2:$AO$1046,0),COLUMN()),"")</f>
        <v/>
      </c>
      <c r="R859" t="str">
        <f>IFERROR(INDEX(装备库!$A$2:$Y$1047,MATCH(ROW()-1,装备库!$AO$2:$AO$1046,0),COLUMN()),"")</f>
        <v/>
      </c>
      <c r="S859" t="str">
        <f>IFERROR(INDEX(装备库!$A$2:$Y$1047,MATCH(ROW()-1,装备库!$AO$2:$AO$1046,0),COLUMN()),"")</f>
        <v/>
      </c>
      <c r="T859" t="str">
        <f>IFERROR(INDEX(装备库!$A$2:$Y$1047,MATCH(ROW()-1,装备库!$AO$2:$AO$1046,0),COLUMN()),"")</f>
        <v/>
      </c>
      <c r="U859" t="str">
        <f>IFERROR(INDEX(装备库!$A$2:$Y$1047,MATCH(ROW()-1,装备库!$AO$2:$AO$1046,0),COLUMN()),"")</f>
        <v/>
      </c>
      <c r="V859" t="str">
        <f>IFERROR(INDEX(装备库!$A$2:$Y$1047,MATCH(ROW()-1,装备库!$AO$2:$AO$1046,0),COLUMN()),"")</f>
        <v/>
      </c>
      <c r="W859" t="str">
        <f>IFERROR(INDEX(装备库!$A$2:$Y$1047,MATCH(ROW()-1,装备库!$AO$2:$AO$1046,0),COLUMN()),"")</f>
        <v/>
      </c>
      <c r="X859" t="str">
        <f>IFERROR(INDEX(装备库!$A$2:$Y$1047,MATCH(ROW()-1,装备库!$AO$2:$AO$1046,0),COLUMN()),"")</f>
        <v/>
      </c>
      <c r="Y859" t="str">
        <f>IFERROR(INDEX(装备库!$A$2:$Y$1047,MATCH(ROW()-1,装备库!$AO$2:$AO$1046,0),COLUMN()),"")</f>
        <v/>
      </c>
    </row>
    <row r="860" spans="1:25" x14ac:dyDescent="0.35">
      <c r="A860" t="str">
        <f>IFERROR(INDEX(装备库!$A$2:$Y$1047,MATCH(ROW()-1,装备库!$AO$2:$AO$1046,0),COLUMN()),"")</f>
        <v/>
      </c>
      <c r="B860" t="str">
        <f>IFERROR(INDEX(装备库!$A$2:$Y$1047,MATCH(ROW()-1,装备库!$AO$2:$AO$1046,0),COLUMN()),"")</f>
        <v/>
      </c>
      <c r="C860" t="str">
        <f>IFERROR(INDEX(装备库!$A$2:$Y$1047,MATCH(ROW()-1,装备库!$AO$2:$AO$1046,0),COLUMN()),"")</f>
        <v/>
      </c>
      <c r="D860" t="str">
        <f>IFERROR(INDEX(装备库!$A$2:$Y$1047,MATCH(ROW()-1,装备库!$AO$2:$AO$1046,0),COLUMN()),"")</f>
        <v/>
      </c>
      <c r="E860" t="str">
        <f>IFERROR(INDEX(装备库!$A$2:$Y$1047,MATCH(ROW()-1,装备库!$AO$2:$AO$1046,0),COLUMN()),"")</f>
        <v/>
      </c>
      <c r="F860" t="str">
        <f>IFERROR(INDEX(装备库!$A$2:$Y$1047,MATCH(ROW()-1,装备库!$AO$2:$AO$1046,0),COLUMN()),"")</f>
        <v/>
      </c>
      <c r="G860" t="str">
        <f>IFERROR(INDEX(装备库!$A$2:$Y$1047,MATCH(ROW()-1,装备库!$AO$2:$AO$1046,0),COLUMN()),"")</f>
        <v/>
      </c>
      <c r="H860" t="str">
        <f>IFERROR(INDEX(装备库!$A$2:$Y$1047,MATCH(ROW()-1,装备库!$AO$2:$AO$1046,0),COLUMN()),"")</f>
        <v/>
      </c>
      <c r="I860" t="str">
        <f>IFERROR(INDEX(装备库!$A$2:$Y$1047,MATCH(ROW()-1,装备库!$AO$2:$AO$1046,0),COLUMN()),"")</f>
        <v/>
      </c>
      <c r="J860" t="str">
        <f>IFERROR(INDEX(装备库!$A$2:$Y$1047,MATCH(ROW()-1,装备库!$AO$2:$AO$1046,0),COLUMN()),"")</f>
        <v/>
      </c>
      <c r="K860" t="str">
        <f>IFERROR(INDEX(装备库!$A$2:$Y$1047,MATCH(ROW()-1,装备库!$AO$2:$AO$1046,0),COLUMN()),"")</f>
        <v/>
      </c>
      <c r="L860" t="str">
        <f>IFERROR(INDEX(装备库!$A$2:$Y$1047,MATCH(ROW()-1,装备库!$AO$2:$AO$1046,0),COLUMN()),"")</f>
        <v/>
      </c>
      <c r="M860" t="str">
        <f>IFERROR(INDEX(装备库!$A$2:$Y$1047,MATCH(ROW()-1,装备库!$AO$2:$AO$1046,0),COLUMN()),"")</f>
        <v/>
      </c>
      <c r="N860" t="str">
        <f>IFERROR(INDEX(装备库!$A$2:$Y$1047,MATCH(ROW()-1,装备库!$AO$2:$AO$1046,0),COLUMN()),"")</f>
        <v/>
      </c>
      <c r="O860" t="str">
        <f>IFERROR(INDEX(装备库!$A$2:$Y$1047,MATCH(ROW()-1,装备库!$AO$2:$AO$1046,0),COLUMN()),"")</f>
        <v/>
      </c>
      <c r="P860" t="str">
        <f>IFERROR(INDEX(装备库!$A$2:$Y$1047,MATCH(ROW()-1,装备库!$AO$2:$AO$1046,0),COLUMN()),"")</f>
        <v/>
      </c>
      <c r="Q860" t="str">
        <f>IFERROR(INDEX(装备库!$A$2:$Y$1047,MATCH(ROW()-1,装备库!$AO$2:$AO$1046,0),COLUMN()),"")</f>
        <v/>
      </c>
      <c r="R860" t="str">
        <f>IFERROR(INDEX(装备库!$A$2:$Y$1047,MATCH(ROW()-1,装备库!$AO$2:$AO$1046,0),COLUMN()),"")</f>
        <v/>
      </c>
      <c r="S860" t="str">
        <f>IFERROR(INDEX(装备库!$A$2:$Y$1047,MATCH(ROW()-1,装备库!$AO$2:$AO$1046,0),COLUMN()),"")</f>
        <v/>
      </c>
      <c r="T860" t="str">
        <f>IFERROR(INDEX(装备库!$A$2:$Y$1047,MATCH(ROW()-1,装备库!$AO$2:$AO$1046,0),COLUMN()),"")</f>
        <v/>
      </c>
      <c r="U860" t="str">
        <f>IFERROR(INDEX(装备库!$A$2:$Y$1047,MATCH(ROW()-1,装备库!$AO$2:$AO$1046,0),COLUMN()),"")</f>
        <v/>
      </c>
      <c r="V860" t="str">
        <f>IFERROR(INDEX(装备库!$A$2:$Y$1047,MATCH(ROW()-1,装备库!$AO$2:$AO$1046,0),COLUMN()),"")</f>
        <v/>
      </c>
      <c r="W860" t="str">
        <f>IFERROR(INDEX(装备库!$A$2:$Y$1047,MATCH(ROW()-1,装备库!$AO$2:$AO$1046,0),COLUMN()),"")</f>
        <v/>
      </c>
      <c r="X860" t="str">
        <f>IFERROR(INDEX(装备库!$A$2:$Y$1047,MATCH(ROW()-1,装备库!$AO$2:$AO$1046,0),COLUMN()),"")</f>
        <v/>
      </c>
      <c r="Y860" t="str">
        <f>IFERROR(INDEX(装备库!$A$2:$Y$1047,MATCH(ROW()-1,装备库!$AO$2:$AO$1046,0),COLUMN()),"")</f>
        <v/>
      </c>
    </row>
    <row r="861" spans="1:25" x14ac:dyDescent="0.35">
      <c r="A861" t="str">
        <f>IFERROR(INDEX(装备库!$A$2:$Y$1047,MATCH(ROW()-1,装备库!$AO$2:$AO$1046,0),COLUMN()),"")</f>
        <v/>
      </c>
      <c r="B861" t="str">
        <f>IFERROR(INDEX(装备库!$A$2:$Y$1047,MATCH(ROW()-1,装备库!$AO$2:$AO$1046,0),COLUMN()),"")</f>
        <v/>
      </c>
      <c r="C861" t="str">
        <f>IFERROR(INDEX(装备库!$A$2:$Y$1047,MATCH(ROW()-1,装备库!$AO$2:$AO$1046,0),COLUMN()),"")</f>
        <v/>
      </c>
      <c r="D861" t="str">
        <f>IFERROR(INDEX(装备库!$A$2:$Y$1047,MATCH(ROW()-1,装备库!$AO$2:$AO$1046,0),COLUMN()),"")</f>
        <v/>
      </c>
      <c r="E861" t="str">
        <f>IFERROR(INDEX(装备库!$A$2:$Y$1047,MATCH(ROW()-1,装备库!$AO$2:$AO$1046,0),COLUMN()),"")</f>
        <v/>
      </c>
      <c r="F861" t="str">
        <f>IFERROR(INDEX(装备库!$A$2:$Y$1047,MATCH(ROW()-1,装备库!$AO$2:$AO$1046,0),COLUMN()),"")</f>
        <v/>
      </c>
      <c r="G861" t="str">
        <f>IFERROR(INDEX(装备库!$A$2:$Y$1047,MATCH(ROW()-1,装备库!$AO$2:$AO$1046,0),COLUMN()),"")</f>
        <v/>
      </c>
      <c r="H861" t="str">
        <f>IFERROR(INDEX(装备库!$A$2:$Y$1047,MATCH(ROW()-1,装备库!$AO$2:$AO$1046,0),COLUMN()),"")</f>
        <v/>
      </c>
      <c r="I861" t="str">
        <f>IFERROR(INDEX(装备库!$A$2:$Y$1047,MATCH(ROW()-1,装备库!$AO$2:$AO$1046,0),COLUMN()),"")</f>
        <v/>
      </c>
      <c r="J861" t="str">
        <f>IFERROR(INDEX(装备库!$A$2:$Y$1047,MATCH(ROW()-1,装备库!$AO$2:$AO$1046,0),COLUMN()),"")</f>
        <v/>
      </c>
      <c r="K861" t="str">
        <f>IFERROR(INDEX(装备库!$A$2:$Y$1047,MATCH(ROW()-1,装备库!$AO$2:$AO$1046,0),COLUMN()),"")</f>
        <v/>
      </c>
      <c r="L861" t="str">
        <f>IFERROR(INDEX(装备库!$A$2:$Y$1047,MATCH(ROW()-1,装备库!$AO$2:$AO$1046,0),COLUMN()),"")</f>
        <v/>
      </c>
      <c r="M861" t="str">
        <f>IFERROR(INDEX(装备库!$A$2:$Y$1047,MATCH(ROW()-1,装备库!$AO$2:$AO$1046,0),COLUMN()),"")</f>
        <v/>
      </c>
      <c r="N861" t="str">
        <f>IFERROR(INDEX(装备库!$A$2:$Y$1047,MATCH(ROW()-1,装备库!$AO$2:$AO$1046,0),COLUMN()),"")</f>
        <v/>
      </c>
      <c r="O861" t="str">
        <f>IFERROR(INDEX(装备库!$A$2:$Y$1047,MATCH(ROW()-1,装备库!$AO$2:$AO$1046,0),COLUMN()),"")</f>
        <v/>
      </c>
      <c r="P861" t="str">
        <f>IFERROR(INDEX(装备库!$A$2:$Y$1047,MATCH(ROW()-1,装备库!$AO$2:$AO$1046,0),COLUMN()),"")</f>
        <v/>
      </c>
      <c r="Q861" t="str">
        <f>IFERROR(INDEX(装备库!$A$2:$Y$1047,MATCH(ROW()-1,装备库!$AO$2:$AO$1046,0),COLUMN()),"")</f>
        <v/>
      </c>
      <c r="R861" t="str">
        <f>IFERROR(INDEX(装备库!$A$2:$Y$1047,MATCH(ROW()-1,装备库!$AO$2:$AO$1046,0),COLUMN()),"")</f>
        <v/>
      </c>
      <c r="S861" t="str">
        <f>IFERROR(INDEX(装备库!$A$2:$Y$1047,MATCH(ROW()-1,装备库!$AO$2:$AO$1046,0),COLUMN()),"")</f>
        <v/>
      </c>
      <c r="T861" t="str">
        <f>IFERROR(INDEX(装备库!$A$2:$Y$1047,MATCH(ROW()-1,装备库!$AO$2:$AO$1046,0),COLUMN()),"")</f>
        <v/>
      </c>
      <c r="U861" t="str">
        <f>IFERROR(INDEX(装备库!$A$2:$Y$1047,MATCH(ROW()-1,装备库!$AO$2:$AO$1046,0),COLUMN()),"")</f>
        <v/>
      </c>
      <c r="V861" t="str">
        <f>IFERROR(INDEX(装备库!$A$2:$Y$1047,MATCH(ROW()-1,装备库!$AO$2:$AO$1046,0),COLUMN()),"")</f>
        <v/>
      </c>
      <c r="W861" t="str">
        <f>IFERROR(INDEX(装备库!$A$2:$Y$1047,MATCH(ROW()-1,装备库!$AO$2:$AO$1046,0),COLUMN()),"")</f>
        <v/>
      </c>
      <c r="X861" t="str">
        <f>IFERROR(INDEX(装备库!$A$2:$Y$1047,MATCH(ROW()-1,装备库!$AO$2:$AO$1046,0),COLUMN()),"")</f>
        <v/>
      </c>
      <c r="Y861" t="str">
        <f>IFERROR(INDEX(装备库!$A$2:$Y$1047,MATCH(ROW()-1,装备库!$AO$2:$AO$1046,0),COLUMN()),"")</f>
        <v/>
      </c>
    </row>
    <row r="862" spans="1:25" x14ac:dyDescent="0.35">
      <c r="A862" t="str">
        <f>IFERROR(INDEX(装备库!$A$2:$Y$1047,MATCH(ROW()-1,装备库!$AO$2:$AO$1046,0),COLUMN()),"")</f>
        <v/>
      </c>
      <c r="B862" t="str">
        <f>IFERROR(INDEX(装备库!$A$2:$Y$1047,MATCH(ROW()-1,装备库!$AO$2:$AO$1046,0),COLUMN()),"")</f>
        <v/>
      </c>
      <c r="C862" t="str">
        <f>IFERROR(INDEX(装备库!$A$2:$Y$1047,MATCH(ROW()-1,装备库!$AO$2:$AO$1046,0),COLUMN()),"")</f>
        <v/>
      </c>
      <c r="D862" t="str">
        <f>IFERROR(INDEX(装备库!$A$2:$Y$1047,MATCH(ROW()-1,装备库!$AO$2:$AO$1046,0),COLUMN()),"")</f>
        <v/>
      </c>
      <c r="E862" t="str">
        <f>IFERROR(INDEX(装备库!$A$2:$Y$1047,MATCH(ROW()-1,装备库!$AO$2:$AO$1046,0),COLUMN()),"")</f>
        <v/>
      </c>
      <c r="F862" t="str">
        <f>IFERROR(INDEX(装备库!$A$2:$Y$1047,MATCH(ROW()-1,装备库!$AO$2:$AO$1046,0),COLUMN()),"")</f>
        <v/>
      </c>
      <c r="G862" t="str">
        <f>IFERROR(INDEX(装备库!$A$2:$Y$1047,MATCH(ROW()-1,装备库!$AO$2:$AO$1046,0),COLUMN()),"")</f>
        <v/>
      </c>
      <c r="H862" t="str">
        <f>IFERROR(INDEX(装备库!$A$2:$Y$1047,MATCH(ROW()-1,装备库!$AO$2:$AO$1046,0),COLUMN()),"")</f>
        <v/>
      </c>
      <c r="I862" t="str">
        <f>IFERROR(INDEX(装备库!$A$2:$Y$1047,MATCH(ROW()-1,装备库!$AO$2:$AO$1046,0),COLUMN()),"")</f>
        <v/>
      </c>
      <c r="J862" t="str">
        <f>IFERROR(INDEX(装备库!$A$2:$Y$1047,MATCH(ROW()-1,装备库!$AO$2:$AO$1046,0),COLUMN()),"")</f>
        <v/>
      </c>
      <c r="K862" t="str">
        <f>IFERROR(INDEX(装备库!$A$2:$Y$1047,MATCH(ROW()-1,装备库!$AO$2:$AO$1046,0),COLUMN()),"")</f>
        <v/>
      </c>
      <c r="L862" t="str">
        <f>IFERROR(INDEX(装备库!$A$2:$Y$1047,MATCH(ROW()-1,装备库!$AO$2:$AO$1046,0),COLUMN()),"")</f>
        <v/>
      </c>
      <c r="M862" t="str">
        <f>IFERROR(INDEX(装备库!$A$2:$Y$1047,MATCH(ROW()-1,装备库!$AO$2:$AO$1046,0),COLUMN()),"")</f>
        <v/>
      </c>
      <c r="N862" t="str">
        <f>IFERROR(INDEX(装备库!$A$2:$Y$1047,MATCH(ROW()-1,装备库!$AO$2:$AO$1046,0),COLUMN()),"")</f>
        <v/>
      </c>
      <c r="O862" t="str">
        <f>IFERROR(INDEX(装备库!$A$2:$Y$1047,MATCH(ROW()-1,装备库!$AO$2:$AO$1046,0),COLUMN()),"")</f>
        <v/>
      </c>
      <c r="P862" t="str">
        <f>IFERROR(INDEX(装备库!$A$2:$Y$1047,MATCH(ROW()-1,装备库!$AO$2:$AO$1046,0),COLUMN()),"")</f>
        <v/>
      </c>
      <c r="Q862" t="str">
        <f>IFERROR(INDEX(装备库!$A$2:$Y$1047,MATCH(ROW()-1,装备库!$AO$2:$AO$1046,0),COLUMN()),"")</f>
        <v/>
      </c>
      <c r="R862" t="str">
        <f>IFERROR(INDEX(装备库!$A$2:$Y$1047,MATCH(ROW()-1,装备库!$AO$2:$AO$1046,0),COLUMN()),"")</f>
        <v/>
      </c>
      <c r="S862" t="str">
        <f>IFERROR(INDEX(装备库!$A$2:$Y$1047,MATCH(ROW()-1,装备库!$AO$2:$AO$1046,0),COLUMN()),"")</f>
        <v/>
      </c>
      <c r="T862" t="str">
        <f>IFERROR(INDEX(装备库!$A$2:$Y$1047,MATCH(ROW()-1,装备库!$AO$2:$AO$1046,0),COLUMN()),"")</f>
        <v/>
      </c>
      <c r="U862" t="str">
        <f>IFERROR(INDEX(装备库!$A$2:$Y$1047,MATCH(ROW()-1,装备库!$AO$2:$AO$1046,0),COLUMN()),"")</f>
        <v/>
      </c>
      <c r="V862" t="str">
        <f>IFERROR(INDEX(装备库!$A$2:$Y$1047,MATCH(ROW()-1,装备库!$AO$2:$AO$1046,0),COLUMN()),"")</f>
        <v/>
      </c>
      <c r="W862" t="str">
        <f>IFERROR(INDEX(装备库!$A$2:$Y$1047,MATCH(ROW()-1,装备库!$AO$2:$AO$1046,0),COLUMN()),"")</f>
        <v/>
      </c>
      <c r="X862" t="str">
        <f>IFERROR(INDEX(装备库!$A$2:$Y$1047,MATCH(ROW()-1,装备库!$AO$2:$AO$1046,0),COLUMN()),"")</f>
        <v/>
      </c>
      <c r="Y862" t="str">
        <f>IFERROR(INDEX(装备库!$A$2:$Y$1047,MATCH(ROW()-1,装备库!$AO$2:$AO$1046,0),COLUMN()),"")</f>
        <v/>
      </c>
    </row>
    <row r="863" spans="1:25" x14ac:dyDescent="0.35">
      <c r="A863" t="str">
        <f>IFERROR(INDEX(装备库!$A$2:$Y$1047,MATCH(ROW()-1,装备库!$AO$2:$AO$1046,0),COLUMN()),"")</f>
        <v/>
      </c>
      <c r="B863" t="str">
        <f>IFERROR(INDEX(装备库!$A$2:$Y$1047,MATCH(ROW()-1,装备库!$AO$2:$AO$1046,0),COLUMN()),"")</f>
        <v/>
      </c>
      <c r="C863" t="str">
        <f>IFERROR(INDEX(装备库!$A$2:$Y$1047,MATCH(ROW()-1,装备库!$AO$2:$AO$1046,0),COLUMN()),"")</f>
        <v/>
      </c>
      <c r="D863" t="str">
        <f>IFERROR(INDEX(装备库!$A$2:$Y$1047,MATCH(ROW()-1,装备库!$AO$2:$AO$1046,0),COLUMN()),"")</f>
        <v/>
      </c>
      <c r="E863" t="str">
        <f>IFERROR(INDEX(装备库!$A$2:$Y$1047,MATCH(ROW()-1,装备库!$AO$2:$AO$1046,0),COLUMN()),"")</f>
        <v/>
      </c>
      <c r="F863" t="str">
        <f>IFERROR(INDEX(装备库!$A$2:$Y$1047,MATCH(ROW()-1,装备库!$AO$2:$AO$1046,0),COLUMN()),"")</f>
        <v/>
      </c>
      <c r="G863" t="str">
        <f>IFERROR(INDEX(装备库!$A$2:$Y$1047,MATCH(ROW()-1,装备库!$AO$2:$AO$1046,0),COLUMN()),"")</f>
        <v/>
      </c>
      <c r="H863" t="str">
        <f>IFERROR(INDEX(装备库!$A$2:$Y$1047,MATCH(ROW()-1,装备库!$AO$2:$AO$1046,0),COLUMN()),"")</f>
        <v/>
      </c>
      <c r="I863" t="str">
        <f>IFERROR(INDEX(装备库!$A$2:$Y$1047,MATCH(ROW()-1,装备库!$AO$2:$AO$1046,0),COLUMN()),"")</f>
        <v/>
      </c>
      <c r="J863" t="str">
        <f>IFERROR(INDEX(装备库!$A$2:$Y$1047,MATCH(ROW()-1,装备库!$AO$2:$AO$1046,0),COLUMN()),"")</f>
        <v/>
      </c>
      <c r="K863" t="str">
        <f>IFERROR(INDEX(装备库!$A$2:$Y$1047,MATCH(ROW()-1,装备库!$AO$2:$AO$1046,0),COLUMN()),"")</f>
        <v/>
      </c>
      <c r="L863" t="str">
        <f>IFERROR(INDEX(装备库!$A$2:$Y$1047,MATCH(ROW()-1,装备库!$AO$2:$AO$1046,0),COLUMN()),"")</f>
        <v/>
      </c>
      <c r="M863" t="str">
        <f>IFERROR(INDEX(装备库!$A$2:$Y$1047,MATCH(ROW()-1,装备库!$AO$2:$AO$1046,0),COLUMN()),"")</f>
        <v/>
      </c>
      <c r="N863" t="str">
        <f>IFERROR(INDEX(装备库!$A$2:$Y$1047,MATCH(ROW()-1,装备库!$AO$2:$AO$1046,0),COLUMN()),"")</f>
        <v/>
      </c>
      <c r="O863" t="str">
        <f>IFERROR(INDEX(装备库!$A$2:$Y$1047,MATCH(ROW()-1,装备库!$AO$2:$AO$1046,0),COLUMN()),"")</f>
        <v/>
      </c>
      <c r="P863" t="str">
        <f>IFERROR(INDEX(装备库!$A$2:$Y$1047,MATCH(ROW()-1,装备库!$AO$2:$AO$1046,0),COLUMN()),"")</f>
        <v/>
      </c>
      <c r="Q863" t="str">
        <f>IFERROR(INDEX(装备库!$A$2:$Y$1047,MATCH(ROW()-1,装备库!$AO$2:$AO$1046,0),COLUMN()),"")</f>
        <v/>
      </c>
      <c r="R863" t="str">
        <f>IFERROR(INDEX(装备库!$A$2:$Y$1047,MATCH(ROW()-1,装备库!$AO$2:$AO$1046,0),COLUMN()),"")</f>
        <v/>
      </c>
      <c r="S863" t="str">
        <f>IFERROR(INDEX(装备库!$A$2:$Y$1047,MATCH(ROW()-1,装备库!$AO$2:$AO$1046,0),COLUMN()),"")</f>
        <v/>
      </c>
      <c r="T863" t="str">
        <f>IFERROR(INDEX(装备库!$A$2:$Y$1047,MATCH(ROW()-1,装备库!$AO$2:$AO$1046,0),COLUMN()),"")</f>
        <v/>
      </c>
      <c r="U863" t="str">
        <f>IFERROR(INDEX(装备库!$A$2:$Y$1047,MATCH(ROW()-1,装备库!$AO$2:$AO$1046,0),COLUMN()),"")</f>
        <v/>
      </c>
      <c r="V863" t="str">
        <f>IFERROR(INDEX(装备库!$A$2:$Y$1047,MATCH(ROW()-1,装备库!$AO$2:$AO$1046,0),COLUMN()),"")</f>
        <v/>
      </c>
      <c r="W863" t="str">
        <f>IFERROR(INDEX(装备库!$A$2:$Y$1047,MATCH(ROW()-1,装备库!$AO$2:$AO$1046,0),COLUMN()),"")</f>
        <v/>
      </c>
      <c r="X863" t="str">
        <f>IFERROR(INDEX(装备库!$A$2:$Y$1047,MATCH(ROW()-1,装备库!$AO$2:$AO$1046,0),COLUMN()),"")</f>
        <v/>
      </c>
      <c r="Y863" t="str">
        <f>IFERROR(INDEX(装备库!$A$2:$Y$1047,MATCH(ROW()-1,装备库!$AO$2:$AO$1046,0),COLUMN()),"")</f>
        <v/>
      </c>
    </row>
    <row r="864" spans="1:25" x14ac:dyDescent="0.35">
      <c r="A864" t="str">
        <f>IFERROR(INDEX(装备库!$A$2:$Y$1047,MATCH(ROW()-1,装备库!$AO$2:$AO$1046,0),COLUMN()),"")</f>
        <v/>
      </c>
      <c r="B864" t="str">
        <f>IFERROR(INDEX(装备库!$A$2:$Y$1047,MATCH(ROW()-1,装备库!$AO$2:$AO$1046,0),COLUMN()),"")</f>
        <v/>
      </c>
      <c r="C864" t="str">
        <f>IFERROR(INDEX(装备库!$A$2:$Y$1047,MATCH(ROW()-1,装备库!$AO$2:$AO$1046,0),COLUMN()),"")</f>
        <v/>
      </c>
      <c r="D864" t="str">
        <f>IFERROR(INDEX(装备库!$A$2:$Y$1047,MATCH(ROW()-1,装备库!$AO$2:$AO$1046,0),COLUMN()),"")</f>
        <v/>
      </c>
      <c r="E864" t="str">
        <f>IFERROR(INDEX(装备库!$A$2:$Y$1047,MATCH(ROW()-1,装备库!$AO$2:$AO$1046,0),COLUMN()),"")</f>
        <v/>
      </c>
      <c r="F864" t="str">
        <f>IFERROR(INDEX(装备库!$A$2:$Y$1047,MATCH(ROW()-1,装备库!$AO$2:$AO$1046,0),COLUMN()),"")</f>
        <v/>
      </c>
      <c r="G864" t="str">
        <f>IFERROR(INDEX(装备库!$A$2:$Y$1047,MATCH(ROW()-1,装备库!$AO$2:$AO$1046,0),COLUMN()),"")</f>
        <v/>
      </c>
      <c r="H864" t="str">
        <f>IFERROR(INDEX(装备库!$A$2:$Y$1047,MATCH(ROW()-1,装备库!$AO$2:$AO$1046,0),COLUMN()),"")</f>
        <v/>
      </c>
      <c r="I864" t="str">
        <f>IFERROR(INDEX(装备库!$A$2:$Y$1047,MATCH(ROW()-1,装备库!$AO$2:$AO$1046,0),COLUMN()),"")</f>
        <v/>
      </c>
      <c r="J864" t="str">
        <f>IFERROR(INDEX(装备库!$A$2:$Y$1047,MATCH(ROW()-1,装备库!$AO$2:$AO$1046,0),COLUMN()),"")</f>
        <v/>
      </c>
      <c r="K864" t="str">
        <f>IFERROR(INDEX(装备库!$A$2:$Y$1047,MATCH(ROW()-1,装备库!$AO$2:$AO$1046,0),COLUMN()),"")</f>
        <v/>
      </c>
      <c r="L864" t="str">
        <f>IFERROR(INDEX(装备库!$A$2:$Y$1047,MATCH(ROW()-1,装备库!$AO$2:$AO$1046,0),COLUMN()),"")</f>
        <v/>
      </c>
      <c r="M864" t="str">
        <f>IFERROR(INDEX(装备库!$A$2:$Y$1047,MATCH(ROW()-1,装备库!$AO$2:$AO$1046,0),COLUMN()),"")</f>
        <v/>
      </c>
      <c r="N864" t="str">
        <f>IFERROR(INDEX(装备库!$A$2:$Y$1047,MATCH(ROW()-1,装备库!$AO$2:$AO$1046,0),COLUMN()),"")</f>
        <v/>
      </c>
      <c r="O864" t="str">
        <f>IFERROR(INDEX(装备库!$A$2:$Y$1047,MATCH(ROW()-1,装备库!$AO$2:$AO$1046,0),COLUMN()),"")</f>
        <v/>
      </c>
      <c r="P864" t="str">
        <f>IFERROR(INDEX(装备库!$A$2:$Y$1047,MATCH(ROW()-1,装备库!$AO$2:$AO$1046,0),COLUMN()),"")</f>
        <v/>
      </c>
      <c r="Q864" t="str">
        <f>IFERROR(INDEX(装备库!$A$2:$Y$1047,MATCH(ROW()-1,装备库!$AO$2:$AO$1046,0),COLUMN()),"")</f>
        <v/>
      </c>
      <c r="R864" t="str">
        <f>IFERROR(INDEX(装备库!$A$2:$Y$1047,MATCH(ROW()-1,装备库!$AO$2:$AO$1046,0),COLUMN()),"")</f>
        <v/>
      </c>
      <c r="S864" t="str">
        <f>IFERROR(INDEX(装备库!$A$2:$Y$1047,MATCH(ROW()-1,装备库!$AO$2:$AO$1046,0),COLUMN()),"")</f>
        <v/>
      </c>
      <c r="T864" t="str">
        <f>IFERROR(INDEX(装备库!$A$2:$Y$1047,MATCH(ROW()-1,装备库!$AO$2:$AO$1046,0),COLUMN()),"")</f>
        <v/>
      </c>
      <c r="U864" t="str">
        <f>IFERROR(INDEX(装备库!$A$2:$Y$1047,MATCH(ROW()-1,装备库!$AO$2:$AO$1046,0),COLUMN()),"")</f>
        <v/>
      </c>
      <c r="V864" t="str">
        <f>IFERROR(INDEX(装备库!$A$2:$Y$1047,MATCH(ROW()-1,装备库!$AO$2:$AO$1046,0),COLUMN()),"")</f>
        <v/>
      </c>
      <c r="W864" t="str">
        <f>IFERROR(INDEX(装备库!$A$2:$Y$1047,MATCH(ROW()-1,装备库!$AO$2:$AO$1046,0),COLUMN()),"")</f>
        <v/>
      </c>
      <c r="X864" t="str">
        <f>IFERROR(INDEX(装备库!$A$2:$Y$1047,MATCH(ROW()-1,装备库!$AO$2:$AO$1046,0),COLUMN()),"")</f>
        <v/>
      </c>
      <c r="Y864" t="str">
        <f>IFERROR(INDEX(装备库!$A$2:$Y$1047,MATCH(ROW()-1,装备库!$AO$2:$AO$1046,0),COLUMN()),"")</f>
        <v/>
      </c>
    </row>
    <row r="865" spans="1:25" x14ac:dyDescent="0.35">
      <c r="A865" t="str">
        <f>IFERROR(INDEX(装备库!$A$2:$Y$1047,MATCH(ROW()-1,装备库!$AO$2:$AO$1046,0),COLUMN()),"")</f>
        <v/>
      </c>
      <c r="B865" t="str">
        <f>IFERROR(INDEX(装备库!$A$2:$Y$1047,MATCH(ROW()-1,装备库!$AO$2:$AO$1046,0),COLUMN()),"")</f>
        <v/>
      </c>
      <c r="C865" t="str">
        <f>IFERROR(INDEX(装备库!$A$2:$Y$1047,MATCH(ROW()-1,装备库!$AO$2:$AO$1046,0),COLUMN()),"")</f>
        <v/>
      </c>
      <c r="D865" t="str">
        <f>IFERROR(INDEX(装备库!$A$2:$Y$1047,MATCH(ROW()-1,装备库!$AO$2:$AO$1046,0),COLUMN()),"")</f>
        <v/>
      </c>
      <c r="E865" t="str">
        <f>IFERROR(INDEX(装备库!$A$2:$Y$1047,MATCH(ROW()-1,装备库!$AO$2:$AO$1046,0),COLUMN()),"")</f>
        <v/>
      </c>
      <c r="F865" t="str">
        <f>IFERROR(INDEX(装备库!$A$2:$Y$1047,MATCH(ROW()-1,装备库!$AO$2:$AO$1046,0),COLUMN()),"")</f>
        <v/>
      </c>
      <c r="G865" t="str">
        <f>IFERROR(INDEX(装备库!$A$2:$Y$1047,MATCH(ROW()-1,装备库!$AO$2:$AO$1046,0),COLUMN()),"")</f>
        <v/>
      </c>
      <c r="H865" t="str">
        <f>IFERROR(INDEX(装备库!$A$2:$Y$1047,MATCH(ROW()-1,装备库!$AO$2:$AO$1046,0),COLUMN()),"")</f>
        <v/>
      </c>
      <c r="I865" t="str">
        <f>IFERROR(INDEX(装备库!$A$2:$Y$1047,MATCH(ROW()-1,装备库!$AO$2:$AO$1046,0),COLUMN()),"")</f>
        <v/>
      </c>
      <c r="J865" t="str">
        <f>IFERROR(INDEX(装备库!$A$2:$Y$1047,MATCH(ROW()-1,装备库!$AO$2:$AO$1046,0),COLUMN()),"")</f>
        <v/>
      </c>
      <c r="K865" t="str">
        <f>IFERROR(INDEX(装备库!$A$2:$Y$1047,MATCH(ROW()-1,装备库!$AO$2:$AO$1046,0),COLUMN()),"")</f>
        <v/>
      </c>
      <c r="L865" t="str">
        <f>IFERROR(INDEX(装备库!$A$2:$Y$1047,MATCH(ROW()-1,装备库!$AO$2:$AO$1046,0),COLUMN()),"")</f>
        <v/>
      </c>
      <c r="M865" t="str">
        <f>IFERROR(INDEX(装备库!$A$2:$Y$1047,MATCH(ROW()-1,装备库!$AO$2:$AO$1046,0),COLUMN()),"")</f>
        <v/>
      </c>
      <c r="N865" t="str">
        <f>IFERROR(INDEX(装备库!$A$2:$Y$1047,MATCH(ROW()-1,装备库!$AO$2:$AO$1046,0),COLUMN()),"")</f>
        <v/>
      </c>
      <c r="O865" t="str">
        <f>IFERROR(INDEX(装备库!$A$2:$Y$1047,MATCH(ROW()-1,装备库!$AO$2:$AO$1046,0),COLUMN()),"")</f>
        <v/>
      </c>
      <c r="P865" t="str">
        <f>IFERROR(INDEX(装备库!$A$2:$Y$1047,MATCH(ROW()-1,装备库!$AO$2:$AO$1046,0),COLUMN()),"")</f>
        <v/>
      </c>
      <c r="Q865" t="str">
        <f>IFERROR(INDEX(装备库!$A$2:$Y$1047,MATCH(ROW()-1,装备库!$AO$2:$AO$1046,0),COLUMN()),"")</f>
        <v/>
      </c>
      <c r="R865" t="str">
        <f>IFERROR(INDEX(装备库!$A$2:$Y$1047,MATCH(ROW()-1,装备库!$AO$2:$AO$1046,0),COLUMN()),"")</f>
        <v/>
      </c>
      <c r="S865" t="str">
        <f>IFERROR(INDEX(装备库!$A$2:$Y$1047,MATCH(ROW()-1,装备库!$AO$2:$AO$1046,0),COLUMN()),"")</f>
        <v/>
      </c>
      <c r="T865" t="str">
        <f>IFERROR(INDEX(装备库!$A$2:$Y$1047,MATCH(ROW()-1,装备库!$AO$2:$AO$1046,0),COLUMN()),"")</f>
        <v/>
      </c>
      <c r="U865" t="str">
        <f>IFERROR(INDEX(装备库!$A$2:$Y$1047,MATCH(ROW()-1,装备库!$AO$2:$AO$1046,0),COLUMN()),"")</f>
        <v/>
      </c>
      <c r="V865" t="str">
        <f>IFERROR(INDEX(装备库!$A$2:$Y$1047,MATCH(ROW()-1,装备库!$AO$2:$AO$1046,0),COLUMN()),"")</f>
        <v/>
      </c>
      <c r="W865" t="str">
        <f>IFERROR(INDEX(装备库!$A$2:$Y$1047,MATCH(ROW()-1,装备库!$AO$2:$AO$1046,0),COLUMN()),"")</f>
        <v/>
      </c>
      <c r="X865" t="str">
        <f>IFERROR(INDEX(装备库!$A$2:$Y$1047,MATCH(ROW()-1,装备库!$AO$2:$AO$1046,0),COLUMN()),"")</f>
        <v/>
      </c>
      <c r="Y865" t="str">
        <f>IFERROR(INDEX(装备库!$A$2:$Y$1047,MATCH(ROW()-1,装备库!$AO$2:$AO$1046,0),COLUMN()),"")</f>
        <v/>
      </c>
    </row>
    <row r="866" spans="1:25" x14ac:dyDescent="0.35">
      <c r="A866" t="str">
        <f>IFERROR(INDEX(装备库!$A$2:$Y$1047,MATCH(ROW()-1,装备库!$AO$2:$AO$1046,0),COLUMN()),"")</f>
        <v/>
      </c>
      <c r="B866" t="str">
        <f>IFERROR(INDEX(装备库!$A$2:$Y$1047,MATCH(ROW()-1,装备库!$AO$2:$AO$1046,0),COLUMN()),"")</f>
        <v/>
      </c>
      <c r="C866" t="str">
        <f>IFERROR(INDEX(装备库!$A$2:$Y$1047,MATCH(ROW()-1,装备库!$AO$2:$AO$1046,0),COLUMN()),"")</f>
        <v/>
      </c>
      <c r="D866" t="str">
        <f>IFERROR(INDEX(装备库!$A$2:$Y$1047,MATCH(ROW()-1,装备库!$AO$2:$AO$1046,0),COLUMN()),"")</f>
        <v/>
      </c>
      <c r="E866" t="str">
        <f>IFERROR(INDEX(装备库!$A$2:$Y$1047,MATCH(ROW()-1,装备库!$AO$2:$AO$1046,0),COLUMN()),"")</f>
        <v/>
      </c>
      <c r="F866" t="str">
        <f>IFERROR(INDEX(装备库!$A$2:$Y$1047,MATCH(ROW()-1,装备库!$AO$2:$AO$1046,0),COLUMN()),"")</f>
        <v/>
      </c>
      <c r="G866" t="str">
        <f>IFERROR(INDEX(装备库!$A$2:$Y$1047,MATCH(ROW()-1,装备库!$AO$2:$AO$1046,0),COLUMN()),"")</f>
        <v/>
      </c>
      <c r="H866" t="str">
        <f>IFERROR(INDEX(装备库!$A$2:$Y$1047,MATCH(ROW()-1,装备库!$AO$2:$AO$1046,0),COLUMN()),"")</f>
        <v/>
      </c>
      <c r="I866" t="str">
        <f>IFERROR(INDEX(装备库!$A$2:$Y$1047,MATCH(ROW()-1,装备库!$AO$2:$AO$1046,0),COLUMN()),"")</f>
        <v/>
      </c>
      <c r="J866" t="str">
        <f>IFERROR(INDEX(装备库!$A$2:$Y$1047,MATCH(ROW()-1,装备库!$AO$2:$AO$1046,0),COLUMN()),"")</f>
        <v/>
      </c>
      <c r="K866" t="str">
        <f>IFERROR(INDEX(装备库!$A$2:$Y$1047,MATCH(ROW()-1,装备库!$AO$2:$AO$1046,0),COLUMN()),"")</f>
        <v/>
      </c>
      <c r="L866" t="str">
        <f>IFERROR(INDEX(装备库!$A$2:$Y$1047,MATCH(ROW()-1,装备库!$AO$2:$AO$1046,0),COLUMN()),"")</f>
        <v/>
      </c>
      <c r="M866" t="str">
        <f>IFERROR(INDEX(装备库!$A$2:$Y$1047,MATCH(ROW()-1,装备库!$AO$2:$AO$1046,0),COLUMN()),"")</f>
        <v/>
      </c>
      <c r="N866" t="str">
        <f>IFERROR(INDEX(装备库!$A$2:$Y$1047,MATCH(ROW()-1,装备库!$AO$2:$AO$1046,0),COLUMN()),"")</f>
        <v/>
      </c>
      <c r="O866" t="str">
        <f>IFERROR(INDEX(装备库!$A$2:$Y$1047,MATCH(ROW()-1,装备库!$AO$2:$AO$1046,0),COLUMN()),"")</f>
        <v/>
      </c>
      <c r="P866" t="str">
        <f>IFERROR(INDEX(装备库!$A$2:$Y$1047,MATCH(ROW()-1,装备库!$AO$2:$AO$1046,0),COLUMN()),"")</f>
        <v/>
      </c>
      <c r="Q866" t="str">
        <f>IFERROR(INDEX(装备库!$A$2:$Y$1047,MATCH(ROW()-1,装备库!$AO$2:$AO$1046,0),COLUMN()),"")</f>
        <v/>
      </c>
      <c r="R866" t="str">
        <f>IFERROR(INDEX(装备库!$A$2:$Y$1047,MATCH(ROW()-1,装备库!$AO$2:$AO$1046,0),COLUMN()),"")</f>
        <v/>
      </c>
      <c r="S866" t="str">
        <f>IFERROR(INDEX(装备库!$A$2:$Y$1047,MATCH(ROW()-1,装备库!$AO$2:$AO$1046,0),COLUMN()),"")</f>
        <v/>
      </c>
      <c r="T866" t="str">
        <f>IFERROR(INDEX(装备库!$A$2:$Y$1047,MATCH(ROW()-1,装备库!$AO$2:$AO$1046,0),COLUMN()),"")</f>
        <v/>
      </c>
      <c r="U866" t="str">
        <f>IFERROR(INDEX(装备库!$A$2:$Y$1047,MATCH(ROW()-1,装备库!$AO$2:$AO$1046,0),COLUMN()),"")</f>
        <v/>
      </c>
      <c r="V866" t="str">
        <f>IFERROR(INDEX(装备库!$A$2:$Y$1047,MATCH(ROW()-1,装备库!$AO$2:$AO$1046,0),COLUMN()),"")</f>
        <v/>
      </c>
      <c r="W866" t="str">
        <f>IFERROR(INDEX(装备库!$A$2:$Y$1047,MATCH(ROW()-1,装备库!$AO$2:$AO$1046,0),COLUMN()),"")</f>
        <v/>
      </c>
      <c r="X866" t="str">
        <f>IFERROR(INDEX(装备库!$A$2:$Y$1047,MATCH(ROW()-1,装备库!$AO$2:$AO$1046,0),COLUMN()),"")</f>
        <v/>
      </c>
      <c r="Y866" t="str">
        <f>IFERROR(INDEX(装备库!$A$2:$Y$1047,MATCH(ROW()-1,装备库!$AO$2:$AO$1046,0),COLUMN()),"")</f>
        <v/>
      </c>
    </row>
    <row r="867" spans="1:25" x14ac:dyDescent="0.35">
      <c r="A867" t="str">
        <f>IFERROR(INDEX(装备库!$A$2:$Y$1047,MATCH(ROW()-1,装备库!$AO$2:$AO$1046,0),COLUMN()),"")</f>
        <v/>
      </c>
      <c r="B867" t="str">
        <f>IFERROR(INDEX(装备库!$A$2:$Y$1047,MATCH(ROW()-1,装备库!$AO$2:$AO$1046,0),COLUMN()),"")</f>
        <v/>
      </c>
      <c r="C867" t="str">
        <f>IFERROR(INDEX(装备库!$A$2:$Y$1047,MATCH(ROW()-1,装备库!$AO$2:$AO$1046,0),COLUMN()),"")</f>
        <v/>
      </c>
      <c r="D867" t="str">
        <f>IFERROR(INDEX(装备库!$A$2:$Y$1047,MATCH(ROW()-1,装备库!$AO$2:$AO$1046,0),COLUMN()),"")</f>
        <v/>
      </c>
      <c r="E867" t="str">
        <f>IFERROR(INDEX(装备库!$A$2:$Y$1047,MATCH(ROW()-1,装备库!$AO$2:$AO$1046,0),COLUMN()),"")</f>
        <v/>
      </c>
      <c r="F867" t="str">
        <f>IFERROR(INDEX(装备库!$A$2:$Y$1047,MATCH(ROW()-1,装备库!$AO$2:$AO$1046,0),COLUMN()),"")</f>
        <v/>
      </c>
      <c r="G867" t="str">
        <f>IFERROR(INDEX(装备库!$A$2:$Y$1047,MATCH(ROW()-1,装备库!$AO$2:$AO$1046,0),COLUMN()),"")</f>
        <v/>
      </c>
      <c r="H867" t="str">
        <f>IFERROR(INDEX(装备库!$A$2:$Y$1047,MATCH(ROW()-1,装备库!$AO$2:$AO$1046,0),COLUMN()),"")</f>
        <v/>
      </c>
      <c r="I867" t="str">
        <f>IFERROR(INDEX(装备库!$A$2:$Y$1047,MATCH(ROW()-1,装备库!$AO$2:$AO$1046,0),COLUMN()),"")</f>
        <v/>
      </c>
      <c r="J867" t="str">
        <f>IFERROR(INDEX(装备库!$A$2:$Y$1047,MATCH(ROW()-1,装备库!$AO$2:$AO$1046,0),COLUMN()),"")</f>
        <v/>
      </c>
      <c r="K867" t="str">
        <f>IFERROR(INDEX(装备库!$A$2:$Y$1047,MATCH(ROW()-1,装备库!$AO$2:$AO$1046,0),COLUMN()),"")</f>
        <v/>
      </c>
      <c r="L867" t="str">
        <f>IFERROR(INDEX(装备库!$A$2:$Y$1047,MATCH(ROW()-1,装备库!$AO$2:$AO$1046,0),COLUMN()),"")</f>
        <v/>
      </c>
      <c r="M867" t="str">
        <f>IFERROR(INDEX(装备库!$A$2:$Y$1047,MATCH(ROW()-1,装备库!$AO$2:$AO$1046,0),COLUMN()),"")</f>
        <v/>
      </c>
      <c r="N867" t="str">
        <f>IFERROR(INDEX(装备库!$A$2:$Y$1047,MATCH(ROW()-1,装备库!$AO$2:$AO$1046,0),COLUMN()),"")</f>
        <v/>
      </c>
      <c r="O867" t="str">
        <f>IFERROR(INDEX(装备库!$A$2:$Y$1047,MATCH(ROW()-1,装备库!$AO$2:$AO$1046,0),COLUMN()),"")</f>
        <v/>
      </c>
      <c r="P867" t="str">
        <f>IFERROR(INDEX(装备库!$A$2:$Y$1047,MATCH(ROW()-1,装备库!$AO$2:$AO$1046,0),COLUMN()),"")</f>
        <v/>
      </c>
      <c r="Q867" t="str">
        <f>IFERROR(INDEX(装备库!$A$2:$Y$1047,MATCH(ROW()-1,装备库!$AO$2:$AO$1046,0),COLUMN()),"")</f>
        <v/>
      </c>
      <c r="R867" t="str">
        <f>IFERROR(INDEX(装备库!$A$2:$Y$1047,MATCH(ROW()-1,装备库!$AO$2:$AO$1046,0),COLUMN()),"")</f>
        <v/>
      </c>
      <c r="S867" t="str">
        <f>IFERROR(INDEX(装备库!$A$2:$Y$1047,MATCH(ROW()-1,装备库!$AO$2:$AO$1046,0),COLUMN()),"")</f>
        <v/>
      </c>
      <c r="T867" t="str">
        <f>IFERROR(INDEX(装备库!$A$2:$Y$1047,MATCH(ROW()-1,装备库!$AO$2:$AO$1046,0),COLUMN()),"")</f>
        <v/>
      </c>
      <c r="U867" t="str">
        <f>IFERROR(INDEX(装备库!$A$2:$Y$1047,MATCH(ROW()-1,装备库!$AO$2:$AO$1046,0),COLUMN()),"")</f>
        <v/>
      </c>
      <c r="V867" t="str">
        <f>IFERROR(INDEX(装备库!$A$2:$Y$1047,MATCH(ROW()-1,装备库!$AO$2:$AO$1046,0),COLUMN()),"")</f>
        <v/>
      </c>
      <c r="W867" t="str">
        <f>IFERROR(INDEX(装备库!$A$2:$Y$1047,MATCH(ROW()-1,装备库!$AO$2:$AO$1046,0),COLUMN()),"")</f>
        <v/>
      </c>
      <c r="X867" t="str">
        <f>IFERROR(INDEX(装备库!$A$2:$Y$1047,MATCH(ROW()-1,装备库!$AO$2:$AO$1046,0),COLUMN()),"")</f>
        <v/>
      </c>
      <c r="Y867" t="str">
        <f>IFERROR(INDEX(装备库!$A$2:$Y$1047,MATCH(ROW()-1,装备库!$AO$2:$AO$1046,0),COLUMN()),"")</f>
        <v/>
      </c>
    </row>
    <row r="868" spans="1:25" x14ac:dyDescent="0.35">
      <c r="A868" t="str">
        <f>IFERROR(INDEX(装备库!$A$2:$Y$1047,MATCH(ROW()-1,装备库!$AO$2:$AO$1046,0),COLUMN()),"")</f>
        <v/>
      </c>
      <c r="B868" t="str">
        <f>IFERROR(INDEX(装备库!$A$2:$Y$1047,MATCH(ROW()-1,装备库!$AO$2:$AO$1046,0),COLUMN()),"")</f>
        <v/>
      </c>
      <c r="C868" t="str">
        <f>IFERROR(INDEX(装备库!$A$2:$Y$1047,MATCH(ROW()-1,装备库!$AO$2:$AO$1046,0),COLUMN()),"")</f>
        <v/>
      </c>
      <c r="D868" t="str">
        <f>IFERROR(INDEX(装备库!$A$2:$Y$1047,MATCH(ROW()-1,装备库!$AO$2:$AO$1046,0),COLUMN()),"")</f>
        <v/>
      </c>
      <c r="E868" t="str">
        <f>IFERROR(INDEX(装备库!$A$2:$Y$1047,MATCH(ROW()-1,装备库!$AO$2:$AO$1046,0),COLUMN()),"")</f>
        <v/>
      </c>
      <c r="F868" t="str">
        <f>IFERROR(INDEX(装备库!$A$2:$Y$1047,MATCH(ROW()-1,装备库!$AO$2:$AO$1046,0),COLUMN()),"")</f>
        <v/>
      </c>
      <c r="G868" t="str">
        <f>IFERROR(INDEX(装备库!$A$2:$Y$1047,MATCH(ROW()-1,装备库!$AO$2:$AO$1046,0),COLUMN()),"")</f>
        <v/>
      </c>
      <c r="H868" t="str">
        <f>IFERROR(INDEX(装备库!$A$2:$Y$1047,MATCH(ROW()-1,装备库!$AO$2:$AO$1046,0),COLUMN()),"")</f>
        <v/>
      </c>
      <c r="I868" t="str">
        <f>IFERROR(INDEX(装备库!$A$2:$Y$1047,MATCH(ROW()-1,装备库!$AO$2:$AO$1046,0),COLUMN()),"")</f>
        <v/>
      </c>
      <c r="J868" t="str">
        <f>IFERROR(INDEX(装备库!$A$2:$Y$1047,MATCH(ROW()-1,装备库!$AO$2:$AO$1046,0),COLUMN()),"")</f>
        <v/>
      </c>
      <c r="K868" t="str">
        <f>IFERROR(INDEX(装备库!$A$2:$Y$1047,MATCH(ROW()-1,装备库!$AO$2:$AO$1046,0),COLUMN()),"")</f>
        <v/>
      </c>
      <c r="L868" t="str">
        <f>IFERROR(INDEX(装备库!$A$2:$Y$1047,MATCH(ROW()-1,装备库!$AO$2:$AO$1046,0),COLUMN()),"")</f>
        <v/>
      </c>
      <c r="M868" t="str">
        <f>IFERROR(INDEX(装备库!$A$2:$Y$1047,MATCH(ROW()-1,装备库!$AO$2:$AO$1046,0),COLUMN()),"")</f>
        <v/>
      </c>
      <c r="N868" t="str">
        <f>IFERROR(INDEX(装备库!$A$2:$Y$1047,MATCH(ROW()-1,装备库!$AO$2:$AO$1046,0),COLUMN()),"")</f>
        <v/>
      </c>
      <c r="O868" t="str">
        <f>IFERROR(INDEX(装备库!$A$2:$Y$1047,MATCH(ROW()-1,装备库!$AO$2:$AO$1046,0),COLUMN()),"")</f>
        <v/>
      </c>
      <c r="P868" t="str">
        <f>IFERROR(INDEX(装备库!$A$2:$Y$1047,MATCH(ROW()-1,装备库!$AO$2:$AO$1046,0),COLUMN()),"")</f>
        <v/>
      </c>
      <c r="Q868" t="str">
        <f>IFERROR(INDEX(装备库!$A$2:$Y$1047,MATCH(ROW()-1,装备库!$AO$2:$AO$1046,0),COLUMN()),"")</f>
        <v/>
      </c>
      <c r="R868" t="str">
        <f>IFERROR(INDEX(装备库!$A$2:$Y$1047,MATCH(ROW()-1,装备库!$AO$2:$AO$1046,0),COLUMN()),"")</f>
        <v/>
      </c>
      <c r="S868" t="str">
        <f>IFERROR(INDEX(装备库!$A$2:$Y$1047,MATCH(ROW()-1,装备库!$AO$2:$AO$1046,0),COLUMN()),"")</f>
        <v/>
      </c>
      <c r="T868" t="str">
        <f>IFERROR(INDEX(装备库!$A$2:$Y$1047,MATCH(ROW()-1,装备库!$AO$2:$AO$1046,0),COLUMN()),"")</f>
        <v/>
      </c>
      <c r="U868" t="str">
        <f>IFERROR(INDEX(装备库!$A$2:$Y$1047,MATCH(ROW()-1,装备库!$AO$2:$AO$1046,0),COLUMN()),"")</f>
        <v/>
      </c>
      <c r="V868" t="str">
        <f>IFERROR(INDEX(装备库!$A$2:$Y$1047,MATCH(ROW()-1,装备库!$AO$2:$AO$1046,0),COLUMN()),"")</f>
        <v/>
      </c>
      <c r="W868" t="str">
        <f>IFERROR(INDEX(装备库!$A$2:$Y$1047,MATCH(ROW()-1,装备库!$AO$2:$AO$1046,0),COLUMN()),"")</f>
        <v/>
      </c>
      <c r="X868" t="str">
        <f>IFERROR(INDEX(装备库!$A$2:$Y$1047,MATCH(ROW()-1,装备库!$AO$2:$AO$1046,0),COLUMN()),"")</f>
        <v/>
      </c>
      <c r="Y868" t="str">
        <f>IFERROR(INDEX(装备库!$A$2:$Y$1047,MATCH(ROW()-1,装备库!$AO$2:$AO$1046,0),COLUMN()),"")</f>
        <v/>
      </c>
    </row>
    <row r="869" spans="1:25" x14ac:dyDescent="0.35">
      <c r="A869" t="str">
        <f>IFERROR(INDEX(装备库!$A$2:$Y$1047,MATCH(ROW()-1,装备库!$AO$2:$AO$1046,0),COLUMN()),"")</f>
        <v/>
      </c>
      <c r="B869" t="str">
        <f>IFERROR(INDEX(装备库!$A$2:$Y$1047,MATCH(ROW()-1,装备库!$AO$2:$AO$1046,0),COLUMN()),"")</f>
        <v/>
      </c>
      <c r="C869" t="str">
        <f>IFERROR(INDEX(装备库!$A$2:$Y$1047,MATCH(ROW()-1,装备库!$AO$2:$AO$1046,0),COLUMN()),"")</f>
        <v/>
      </c>
      <c r="D869" t="str">
        <f>IFERROR(INDEX(装备库!$A$2:$Y$1047,MATCH(ROW()-1,装备库!$AO$2:$AO$1046,0),COLUMN()),"")</f>
        <v/>
      </c>
      <c r="E869" t="str">
        <f>IFERROR(INDEX(装备库!$A$2:$Y$1047,MATCH(ROW()-1,装备库!$AO$2:$AO$1046,0),COLUMN()),"")</f>
        <v/>
      </c>
      <c r="F869" t="str">
        <f>IFERROR(INDEX(装备库!$A$2:$Y$1047,MATCH(ROW()-1,装备库!$AO$2:$AO$1046,0),COLUMN()),"")</f>
        <v/>
      </c>
      <c r="G869" t="str">
        <f>IFERROR(INDEX(装备库!$A$2:$Y$1047,MATCH(ROW()-1,装备库!$AO$2:$AO$1046,0),COLUMN()),"")</f>
        <v/>
      </c>
      <c r="H869" t="str">
        <f>IFERROR(INDEX(装备库!$A$2:$Y$1047,MATCH(ROW()-1,装备库!$AO$2:$AO$1046,0),COLUMN()),"")</f>
        <v/>
      </c>
      <c r="I869" t="str">
        <f>IFERROR(INDEX(装备库!$A$2:$Y$1047,MATCH(ROW()-1,装备库!$AO$2:$AO$1046,0),COLUMN()),"")</f>
        <v/>
      </c>
      <c r="J869" t="str">
        <f>IFERROR(INDEX(装备库!$A$2:$Y$1047,MATCH(ROW()-1,装备库!$AO$2:$AO$1046,0),COLUMN()),"")</f>
        <v/>
      </c>
      <c r="K869" t="str">
        <f>IFERROR(INDEX(装备库!$A$2:$Y$1047,MATCH(ROW()-1,装备库!$AO$2:$AO$1046,0),COLUMN()),"")</f>
        <v/>
      </c>
      <c r="L869" t="str">
        <f>IFERROR(INDEX(装备库!$A$2:$Y$1047,MATCH(ROW()-1,装备库!$AO$2:$AO$1046,0),COLUMN()),"")</f>
        <v/>
      </c>
      <c r="M869" t="str">
        <f>IFERROR(INDEX(装备库!$A$2:$Y$1047,MATCH(ROW()-1,装备库!$AO$2:$AO$1046,0),COLUMN()),"")</f>
        <v/>
      </c>
      <c r="N869" t="str">
        <f>IFERROR(INDEX(装备库!$A$2:$Y$1047,MATCH(ROW()-1,装备库!$AO$2:$AO$1046,0),COLUMN()),"")</f>
        <v/>
      </c>
      <c r="O869" t="str">
        <f>IFERROR(INDEX(装备库!$A$2:$Y$1047,MATCH(ROW()-1,装备库!$AO$2:$AO$1046,0),COLUMN()),"")</f>
        <v/>
      </c>
      <c r="P869" t="str">
        <f>IFERROR(INDEX(装备库!$A$2:$Y$1047,MATCH(ROW()-1,装备库!$AO$2:$AO$1046,0),COLUMN()),"")</f>
        <v/>
      </c>
      <c r="Q869" t="str">
        <f>IFERROR(INDEX(装备库!$A$2:$Y$1047,MATCH(ROW()-1,装备库!$AO$2:$AO$1046,0),COLUMN()),"")</f>
        <v/>
      </c>
      <c r="R869" t="str">
        <f>IFERROR(INDEX(装备库!$A$2:$Y$1047,MATCH(ROW()-1,装备库!$AO$2:$AO$1046,0),COLUMN()),"")</f>
        <v/>
      </c>
      <c r="S869" t="str">
        <f>IFERROR(INDEX(装备库!$A$2:$Y$1047,MATCH(ROW()-1,装备库!$AO$2:$AO$1046,0),COLUMN()),"")</f>
        <v/>
      </c>
      <c r="T869" t="str">
        <f>IFERROR(INDEX(装备库!$A$2:$Y$1047,MATCH(ROW()-1,装备库!$AO$2:$AO$1046,0),COLUMN()),"")</f>
        <v/>
      </c>
      <c r="U869" t="str">
        <f>IFERROR(INDEX(装备库!$A$2:$Y$1047,MATCH(ROW()-1,装备库!$AO$2:$AO$1046,0),COLUMN()),"")</f>
        <v/>
      </c>
      <c r="V869" t="str">
        <f>IFERROR(INDEX(装备库!$A$2:$Y$1047,MATCH(ROW()-1,装备库!$AO$2:$AO$1046,0),COLUMN()),"")</f>
        <v/>
      </c>
      <c r="W869" t="str">
        <f>IFERROR(INDEX(装备库!$A$2:$Y$1047,MATCH(ROW()-1,装备库!$AO$2:$AO$1046,0),COLUMN()),"")</f>
        <v/>
      </c>
      <c r="X869" t="str">
        <f>IFERROR(INDEX(装备库!$A$2:$Y$1047,MATCH(ROW()-1,装备库!$AO$2:$AO$1046,0),COLUMN()),"")</f>
        <v/>
      </c>
      <c r="Y869" t="str">
        <f>IFERROR(INDEX(装备库!$A$2:$Y$1047,MATCH(ROW()-1,装备库!$AO$2:$AO$1046,0),COLUMN()),"")</f>
        <v/>
      </c>
    </row>
    <row r="870" spans="1:25" x14ac:dyDescent="0.35">
      <c r="A870" t="str">
        <f>IFERROR(INDEX(装备库!$A$2:$Y$1047,MATCH(ROW()-1,装备库!$AO$2:$AO$1046,0),COLUMN()),"")</f>
        <v/>
      </c>
      <c r="B870" t="str">
        <f>IFERROR(INDEX(装备库!$A$2:$Y$1047,MATCH(ROW()-1,装备库!$AO$2:$AO$1046,0),COLUMN()),"")</f>
        <v/>
      </c>
      <c r="C870" t="str">
        <f>IFERROR(INDEX(装备库!$A$2:$Y$1047,MATCH(ROW()-1,装备库!$AO$2:$AO$1046,0),COLUMN()),"")</f>
        <v/>
      </c>
      <c r="D870" t="str">
        <f>IFERROR(INDEX(装备库!$A$2:$Y$1047,MATCH(ROW()-1,装备库!$AO$2:$AO$1046,0),COLUMN()),"")</f>
        <v/>
      </c>
      <c r="E870" t="str">
        <f>IFERROR(INDEX(装备库!$A$2:$Y$1047,MATCH(ROW()-1,装备库!$AO$2:$AO$1046,0),COLUMN()),"")</f>
        <v/>
      </c>
      <c r="F870" t="str">
        <f>IFERROR(INDEX(装备库!$A$2:$Y$1047,MATCH(ROW()-1,装备库!$AO$2:$AO$1046,0),COLUMN()),"")</f>
        <v/>
      </c>
      <c r="G870" t="str">
        <f>IFERROR(INDEX(装备库!$A$2:$Y$1047,MATCH(ROW()-1,装备库!$AO$2:$AO$1046,0),COLUMN()),"")</f>
        <v/>
      </c>
      <c r="H870" t="str">
        <f>IFERROR(INDEX(装备库!$A$2:$Y$1047,MATCH(ROW()-1,装备库!$AO$2:$AO$1046,0),COLUMN()),"")</f>
        <v/>
      </c>
      <c r="I870" t="str">
        <f>IFERROR(INDEX(装备库!$A$2:$Y$1047,MATCH(ROW()-1,装备库!$AO$2:$AO$1046,0),COLUMN()),"")</f>
        <v/>
      </c>
      <c r="J870" t="str">
        <f>IFERROR(INDEX(装备库!$A$2:$Y$1047,MATCH(ROW()-1,装备库!$AO$2:$AO$1046,0),COLUMN()),"")</f>
        <v/>
      </c>
      <c r="K870" t="str">
        <f>IFERROR(INDEX(装备库!$A$2:$Y$1047,MATCH(ROW()-1,装备库!$AO$2:$AO$1046,0),COLUMN()),"")</f>
        <v/>
      </c>
      <c r="L870" t="str">
        <f>IFERROR(INDEX(装备库!$A$2:$Y$1047,MATCH(ROW()-1,装备库!$AO$2:$AO$1046,0),COLUMN()),"")</f>
        <v/>
      </c>
      <c r="M870" t="str">
        <f>IFERROR(INDEX(装备库!$A$2:$Y$1047,MATCH(ROW()-1,装备库!$AO$2:$AO$1046,0),COLUMN()),"")</f>
        <v/>
      </c>
      <c r="N870" t="str">
        <f>IFERROR(INDEX(装备库!$A$2:$Y$1047,MATCH(ROW()-1,装备库!$AO$2:$AO$1046,0),COLUMN()),"")</f>
        <v/>
      </c>
      <c r="O870" t="str">
        <f>IFERROR(INDEX(装备库!$A$2:$Y$1047,MATCH(ROW()-1,装备库!$AO$2:$AO$1046,0),COLUMN()),"")</f>
        <v/>
      </c>
      <c r="P870" t="str">
        <f>IFERROR(INDEX(装备库!$A$2:$Y$1047,MATCH(ROW()-1,装备库!$AO$2:$AO$1046,0),COLUMN()),"")</f>
        <v/>
      </c>
      <c r="Q870" t="str">
        <f>IFERROR(INDEX(装备库!$A$2:$Y$1047,MATCH(ROW()-1,装备库!$AO$2:$AO$1046,0),COLUMN()),"")</f>
        <v/>
      </c>
      <c r="R870" t="str">
        <f>IFERROR(INDEX(装备库!$A$2:$Y$1047,MATCH(ROW()-1,装备库!$AO$2:$AO$1046,0),COLUMN()),"")</f>
        <v/>
      </c>
      <c r="S870" t="str">
        <f>IFERROR(INDEX(装备库!$A$2:$Y$1047,MATCH(ROW()-1,装备库!$AO$2:$AO$1046,0),COLUMN()),"")</f>
        <v/>
      </c>
      <c r="T870" t="str">
        <f>IFERROR(INDEX(装备库!$A$2:$Y$1047,MATCH(ROW()-1,装备库!$AO$2:$AO$1046,0),COLUMN()),"")</f>
        <v/>
      </c>
      <c r="U870" t="str">
        <f>IFERROR(INDEX(装备库!$A$2:$Y$1047,MATCH(ROW()-1,装备库!$AO$2:$AO$1046,0),COLUMN()),"")</f>
        <v/>
      </c>
      <c r="V870" t="str">
        <f>IFERROR(INDEX(装备库!$A$2:$Y$1047,MATCH(ROW()-1,装备库!$AO$2:$AO$1046,0),COLUMN()),"")</f>
        <v/>
      </c>
      <c r="W870" t="str">
        <f>IFERROR(INDEX(装备库!$A$2:$Y$1047,MATCH(ROW()-1,装备库!$AO$2:$AO$1046,0),COLUMN()),"")</f>
        <v/>
      </c>
      <c r="X870" t="str">
        <f>IFERROR(INDEX(装备库!$A$2:$Y$1047,MATCH(ROW()-1,装备库!$AO$2:$AO$1046,0),COLUMN()),"")</f>
        <v/>
      </c>
      <c r="Y870" t="str">
        <f>IFERROR(INDEX(装备库!$A$2:$Y$1047,MATCH(ROW()-1,装备库!$AO$2:$AO$1046,0),COLUMN()),"")</f>
        <v/>
      </c>
    </row>
    <row r="871" spans="1:25" x14ac:dyDescent="0.35">
      <c r="A871" t="str">
        <f>IFERROR(INDEX(装备库!$A$2:$Y$1047,MATCH(ROW()-1,装备库!$AO$2:$AO$1046,0),COLUMN()),"")</f>
        <v/>
      </c>
      <c r="B871" t="str">
        <f>IFERROR(INDEX(装备库!$A$2:$Y$1047,MATCH(ROW()-1,装备库!$AO$2:$AO$1046,0),COLUMN()),"")</f>
        <v/>
      </c>
      <c r="C871" t="str">
        <f>IFERROR(INDEX(装备库!$A$2:$Y$1047,MATCH(ROW()-1,装备库!$AO$2:$AO$1046,0),COLUMN()),"")</f>
        <v/>
      </c>
      <c r="D871" t="str">
        <f>IFERROR(INDEX(装备库!$A$2:$Y$1047,MATCH(ROW()-1,装备库!$AO$2:$AO$1046,0),COLUMN()),"")</f>
        <v/>
      </c>
      <c r="E871" t="str">
        <f>IFERROR(INDEX(装备库!$A$2:$Y$1047,MATCH(ROW()-1,装备库!$AO$2:$AO$1046,0),COLUMN()),"")</f>
        <v/>
      </c>
      <c r="F871" t="str">
        <f>IFERROR(INDEX(装备库!$A$2:$Y$1047,MATCH(ROW()-1,装备库!$AO$2:$AO$1046,0),COLUMN()),"")</f>
        <v/>
      </c>
      <c r="G871" t="str">
        <f>IFERROR(INDEX(装备库!$A$2:$Y$1047,MATCH(ROW()-1,装备库!$AO$2:$AO$1046,0),COLUMN()),"")</f>
        <v/>
      </c>
      <c r="H871" t="str">
        <f>IFERROR(INDEX(装备库!$A$2:$Y$1047,MATCH(ROW()-1,装备库!$AO$2:$AO$1046,0),COLUMN()),"")</f>
        <v/>
      </c>
      <c r="I871" t="str">
        <f>IFERROR(INDEX(装备库!$A$2:$Y$1047,MATCH(ROW()-1,装备库!$AO$2:$AO$1046,0),COLUMN()),"")</f>
        <v/>
      </c>
      <c r="J871" t="str">
        <f>IFERROR(INDEX(装备库!$A$2:$Y$1047,MATCH(ROW()-1,装备库!$AO$2:$AO$1046,0),COLUMN()),"")</f>
        <v/>
      </c>
      <c r="K871" t="str">
        <f>IFERROR(INDEX(装备库!$A$2:$Y$1047,MATCH(ROW()-1,装备库!$AO$2:$AO$1046,0),COLUMN()),"")</f>
        <v/>
      </c>
      <c r="L871" t="str">
        <f>IFERROR(INDEX(装备库!$A$2:$Y$1047,MATCH(ROW()-1,装备库!$AO$2:$AO$1046,0),COLUMN()),"")</f>
        <v/>
      </c>
      <c r="M871" t="str">
        <f>IFERROR(INDEX(装备库!$A$2:$Y$1047,MATCH(ROW()-1,装备库!$AO$2:$AO$1046,0),COLUMN()),"")</f>
        <v/>
      </c>
      <c r="N871" t="str">
        <f>IFERROR(INDEX(装备库!$A$2:$Y$1047,MATCH(ROW()-1,装备库!$AO$2:$AO$1046,0),COLUMN()),"")</f>
        <v/>
      </c>
      <c r="O871" t="str">
        <f>IFERROR(INDEX(装备库!$A$2:$Y$1047,MATCH(ROW()-1,装备库!$AO$2:$AO$1046,0),COLUMN()),"")</f>
        <v/>
      </c>
      <c r="P871" t="str">
        <f>IFERROR(INDEX(装备库!$A$2:$Y$1047,MATCH(ROW()-1,装备库!$AO$2:$AO$1046,0),COLUMN()),"")</f>
        <v/>
      </c>
      <c r="Q871" t="str">
        <f>IFERROR(INDEX(装备库!$A$2:$Y$1047,MATCH(ROW()-1,装备库!$AO$2:$AO$1046,0),COLUMN()),"")</f>
        <v/>
      </c>
      <c r="R871" t="str">
        <f>IFERROR(INDEX(装备库!$A$2:$Y$1047,MATCH(ROW()-1,装备库!$AO$2:$AO$1046,0),COLUMN()),"")</f>
        <v/>
      </c>
      <c r="S871" t="str">
        <f>IFERROR(INDEX(装备库!$A$2:$Y$1047,MATCH(ROW()-1,装备库!$AO$2:$AO$1046,0),COLUMN()),"")</f>
        <v/>
      </c>
      <c r="T871" t="str">
        <f>IFERROR(INDEX(装备库!$A$2:$Y$1047,MATCH(ROW()-1,装备库!$AO$2:$AO$1046,0),COLUMN()),"")</f>
        <v/>
      </c>
      <c r="U871" t="str">
        <f>IFERROR(INDEX(装备库!$A$2:$Y$1047,MATCH(ROW()-1,装备库!$AO$2:$AO$1046,0),COLUMN()),"")</f>
        <v/>
      </c>
      <c r="V871" t="str">
        <f>IFERROR(INDEX(装备库!$A$2:$Y$1047,MATCH(ROW()-1,装备库!$AO$2:$AO$1046,0),COLUMN()),"")</f>
        <v/>
      </c>
      <c r="W871" t="str">
        <f>IFERROR(INDEX(装备库!$A$2:$Y$1047,MATCH(ROW()-1,装备库!$AO$2:$AO$1046,0),COLUMN()),"")</f>
        <v/>
      </c>
      <c r="X871" t="str">
        <f>IFERROR(INDEX(装备库!$A$2:$Y$1047,MATCH(ROW()-1,装备库!$AO$2:$AO$1046,0),COLUMN()),"")</f>
        <v/>
      </c>
      <c r="Y871" t="str">
        <f>IFERROR(INDEX(装备库!$A$2:$Y$1047,MATCH(ROW()-1,装备库!$AO$2:$AO$1046,0),COLUMN()),"")</f>
        <v/>
      </c>
    </row>
    <row r="872" spans="1:25" x14ac:dyDescent="0.35">
      <c r="A872" t="str">
        <f>IFERROR(INDEX(装备库!$A$2:$Y$1047,MATCH(ROW()-1,装备库!$AO$2:$AO$1046,0),COLUMN()),"")</f>
        <v/>
      </c>
      <c r="B872" t="str">
        <f>IFERROR(INDEX(装备库!$A$2:$Y$1047,MATCH(ROW()-1,装备库!$AO$2:$AO$1046,0),COLUMN()),"")</f>
        <v/>
      </c>
      <c r="C872" t="str">
        <f>IFERROR(INDEX(装备库!$A$2:$Y$1047,MATCH(ROW()-1,装备库!$AO$2:$AO$1046,0),COLUMN()),"")</f>
        <v/>
      </c>
      <c r="D872" t="str">
        <f>IFERROR(INDEX(装备库!$A$2:$Y$1047,MATCH(ROW()-1,装备库!$AO$2:$AO$1046,0),COLUMN()),"")</f>
        <v/>
      </c>
      <c r="E872" t="str">
        <f>IFERROR(INDEX(装备库!$A$2:$Y$1047,MATCH(ROW()-1,装备库!$AO$2:$AO$1046,0),COLUMN()),"")</f>
        <v/>
      </c>
      <c r="F872" t="str">
        <f>IFERROR(INDEX(装备库!$A$2:$Y$1047,MATCH(ROW()-1,装备库!$AO$2:$AO$1046,0),COLUMN()),"")</f>
        <v/>
      </c>
      <c r="G872" t="str">
        <f>IFERROR(INDEX(装备库!$A$2:$Y$1047,MATCH(ROW()-1,装备库!$AO$2:$AO$1046,0),COLUMN()),"")</f>
        <v/>
      </c>
      <c r="H872" t="str">
        <f>IFERROR(INDEX(装备库!$A$2:$Y$1047,MATCH(ROW()-1,装备库!$AO$2:$AO$1046,0),COLUMN()),"")</f>
        <v/>
      </c>
      <c r="I872" t="str">
        <f>IFERROR(INDEX(装备库!$A$2:$Y$1047,MATCH(ROW()-1,装备库!$AO$2:$AO$1046,0),COLUMN()),"")</f>
        <v/>
      </c>
      <c r="J872" t="str">
        <f>IFERROR(INDEX(装备库!$A$2:$Y$1047,MATCH(ROW()-1,装备库!$AO$2:$AO$1046,0),COLUMN()),"")</f>
        <v/>
      </c>
      <c r="K872" t="str">
        <f>IFERROR(INDEX(装备库!$A$2:$Y$1047,MATCH(ROW()-1,装备库!$AO$2:$AO$1046,0),COLUMN()),"")</f>
        <v/>
      </c>
      <c r="L872" t="str">
        <f>IFERROR(INDEX(装备库!$A$2:$Y$1047,MATCH(ROW()-1,装备库!$AO$2:$AO$1046,0),COLUMN()),"")</f>
        <v/>
      </c>
      <c r="M872" t="str">
        <f>IFERROR(INDEX(装备库!$A$2:$Y$1047,MATCH(ROW()-1,装备库!$AO$2:$AO$1046,0),COLUMN()),"")</f>
        <v/>
      </c>
      <c r="N872" t="str">
        <f>IFERROR(INDEX(装备库!$A$2:$Y$1047,MATCH(ROW()-1,装备库!$AO$2:$AO$1046,0),COLUMN()),"")</f>
        <v/>
      </c>
      <c r="O872" t="str">
        <f>IFERROR(INDEX(装备库!$A$2:$Y$1047,MATCH(ROW()-1,装备库!$AO$2:$AO$1046,0),COLUMN()),"")</f>
        <v/>
      </c>
      <c r="P872" t="str">
        <f>IFERROR(INDEX(装备库!$A$2:$Y$1047,MATCH(ROW()-1,装备库!$AO$2:$AO$1046,0),COLUMN()),"")</f>
        <v/>
      </c>
      <c r="Q872" t="str">
        <f>IFERROR(INDEX(装备库!$A$2:$Y$1047,MATCH(ROW()-1,装备库!$AO$2:$AO$1046,0),COLUMN()),"")</f>
        <v/>
      </c>
      <c r="R872" t="str">
        <f>IFERROR(INDEX(装备库!$A$2:$Y$1047,MATCH(ROW()-1,装备库!$AO$2:$AO$1046,0),COLUMN()),"")</f>
        <v/>
      </c>
      <c r="S872" t="str">
        <f>IFERROR(INDEX(装备库!$A$2:$Y$1047,MATCH(ROW()-1,装备库!$AO$2:$AO$1046,0),COLUMN()),"")</f>
        <v/>
      </c>
      <c r="T872" t="str">
        <f>IFERROR(INDEX(装备库!$A$2:$Y$1047,MATCH(ROW()-1,装备库!$AO$2:$AO$1046,0),COLUMN()),"")</f>
        <v/>
      </c>
      <c r="U872" t="str">
        <f>IFERROR(INDEX(装备库!$A$2:$Y$1047,MATCH(ROW()-1,装备库!$AO$2:$AO$1046,0),COLUMN()),"")</f>
        <v/>
      </c>
      <c r="V872" t="str">
        <f>IFERROR(INDEX(装备库!$A$2:$Y$1047,MATCH(ROW()-1,装备库!$AO$2:$AO$1046,0),COLUMN()),"")</f>
        <v/>
      </c>
      <c r="W872" t="str">
        <f>IFERROR(INDEX(装备库!$A$2:$Y$1047,MATCH(ROW()-1,装备库!$AO$2:$AO$1046,0),COLUMN()),"")</f>
        <v/>
      </c>
      <c r="X872" t="str">
        <f>IFERROR(INDEX(装备库!$A$2:$Y$1047,MATCH(ROW()-1,装备库!$AO$2:$AO$1046,0),COLUMN()),"")</f>
        <v/>
      </c>
      <c r="Y872" t="str">
        <f>IFERROR(INDEX(装备库!$A$2:$Y$1047,MATCH(ROW()-1,装备库!$AO$2:$AO$1046,0),COLUMN()),"")</f>
        <v/>
      </c>
    </row>
    <row r="873" spans="1:25" x14ac:dyDescent="0.35">
      <c r="A873" t="str">
        <f>IFERROR(INDEX(装备库!$A$2:$Y$1047,MATCH(ROW()-1,装备库!$AO$2:$AO$1046,0),COLUMN()),"")</f>
        <v/>
      </c>
      <c r="B873" t="str">
        <f>IFERROR(INDEX(装备库!$A$2:$Y$1047,MATCH(ROW()-1,装备库!$AO$2:$AO$1046,0),COLUMN()),"")</f>
        <v/>
      </c>
      <c r="C873" t="str">
        <f>IFERROR(INDEX(装备库!$A$2:$Y$1047,MATCH(ROW()-1,装备库!$AO$2:$AO$1046,0),COLUMN()),"")</f>
        <v/>
      </c>
      <c r="D873" t="str">
        <f>IFERROR(INDEX(装备库!$A$2:$Y$1047,MATCH(ROW()-1,装备库!$AO$2:$AO$1046,0),COLUMN()),"")</f>
        <v/>
      </c>
      <c r="E873" t="str">
        <f>IFERROR(INDEX(装备库!$A$2:$Y$1047,MATCH(ROW()-1,装备库!$AO$2:$AO$1046,0),COLUMN()),"")</f>
        <v/>
      </c>
      <c r="F873" t="str">
        <f>IFERROR(INDEX(装备库!$A$2:$Y$1047,MATCH(ROW()-1,装备库!$AO$2:$AO$1046,0),COLUMN()),"")</f>
        <v/>
      </c>
      <c r="G873" t="str">
        <f>IFERROR(INDEX(装备库!$A$2:$Y$1047,MATCH(ROW()-1,装备库!$AO$2:$AO$1046,0),COLUMN()),"")</f>
        <v/>
      </c>
      <c r="H873" t="str">
        <f>IFERROR(INDEX(装备库!$A$2:$Y$1047,MATCH(ROW()-1,装备库!$AO$2:$AO$1046,0),COLUMN()),"")</f>
        <v/>
      </c>
      <c r="I873" t="str">
        <f>IFERROR(INDEX(装备库!$A$2:$Y$1047,MATCH(ROW()-1,装备库!$AO$2:$AO$1046,0),COLUMN()),"")</f>
        <v/>
      </c>
      <c r="J873" t="str">
        <f>IFERROR(INDEX(装备库!$A$2:$Y$1047,MATCH(ROW()-1,装备库!$AO$2:$AO$1046,0),COLUMN()),"")</f>
        <v/>
      </c>
      <c r="K873" t="str">
        <f>IFERROR(INDEX(装备库!$A$2:$Y$1047,MATCH(ROW()-1,装备库!$AO$2:$AO$1046,0),COLUMN()),"")</f>
        <v/>
      </c>
      <c r="L873" t="str">
        <f>IFERROR(INDEX(装备库!$A$2:$Y$1047,MATCH(ROW()-1,装备库!$AO$2:$AO$1046,0),COLUMN()),"")</f>
        <v/>
      </c>
      <c r="M873" t="str">
        <f>IFERROR(INDEX(装备库!$A$2:$Y$1047,MATCH(ROW()-1,装备库!$AO$2:$AO$1046,0),COLUMN()),"")</f>
        <v/>
      </c>
      <c r="N873" t="str">
        <f>IFERROR(INDEX(装备库!$A$2:$Y$1047,MATCH(ROW()-1,装备库!$AO$2:$AO$1046,0),COLUMN()),"")</f>
        <v/>
      </c>
      <c r="O873" t="str">
        <f>IFERROR(INDEX(装备库!$A$2:$Y$1047,MATCH(ROW()-1,装备库!$AO$2:$AO$1046,0),COLUMN()),"")</f>
        <v/>
      </c>
      <c r="P873" t="str">
        <f>IFERROR(INDEX(装备库!$A$2:$Y$1047,MATCH(ROW()-1,装备库!$AO$2:$AO$1046,0),COLUMN()),"")</f>
        <v/>
      </c>
      <c r="Q873" t="str">
        <f>IFERROR(INDEX(装备库!$A$2:$Y$1047,MATCH(ROW()-1,装备库!$AO$2:$AO$1046,0),COLUMN()),"")</f>
        <v/>
      </c>
      <c r="R873" t="str">
        <f>IFERROR(INDEX(装备库!$A$2:$Y$1047,MATCH(ROW()-1,装备库!$AO$2:$AO$1046,0),COLUMN()),"")</f>
        <v/>
      </c>
      <c r="S873" t="str">
        <f>IFERROR(INDEX(装备库!$A$2:$Y$1047,MATCH(ROW()-1,装备库!$AO$2:$AO$1046,0),COLUMN()),"")</f>
        <v/>
      </c>
      <c r="T873" t="str">
        <f>IFERROR(INDEX(装备库!$A$2:$Y$1047,MATCH(ROW()-1,装备库!$AO$2:$AO$1046,0),COLUMN()),"")</f>
        <v/>
      </c>
      <c r="U873" t="str">
        <f>IFERROR(INDEX(装备库!$A$2:$Y$1047,MATCH(ROW()-1,装备库!$AO$2:$AO$1046,0),COLUMN()),"")</f>
        <v/>
      </c>
      <c r="V873" t="str">
        <f>IFERROR(INDEX(装备库!$A$2:$Y$1047,MATCH(ROW()-1,装备库!$AO$2:$AO$1046,0),COLUMN()),"")</f>
        <v/>
      </c>
      <c r="W873" t="str">
        <f>IFERROR(INDEX(装备库!$A$2:$Y$1047,MATCH(ROW()-1,装备库!$AO$2:$AO$1046,0),COLUMN()),"")</f>
        <v/>
      </c>
      <c r="X873" t="str">
        <f>IFERROR(INDEX(装备库!$A$2:$Y$1047,MATCH(ROW()-1,装备库!$AO$2:$AO$1046,0),COLUMN()),"")</f>
        <v/>
      </c>
      <c r="Y873" t="str">
        <f>IFERROR(INDEX(装备库!$A$2:$Y$1047,MATCH(ROW()-1,装备库!$AO$2:$AO$1046,0),COLUMN()),"")</f>
        <v/>
      </c>
    </row>
    <row r="874" spans="1:25" x14ac:dyDescent="0.35">
      <c r="A874" t="str">
        <f>IFERROR(INDEX(装备库!$A$2:$Y$1047,MATCH(ROW()-1,装备库!$AO$2:$AO$1046,0),COLUMN()),"")</f>
        <v/>
      </c>
      <c r="B874" t="str">
        <f>IFERROR(INDEX(装备库!$A$2:$Y$1047,MATCH(ROW()-1,装备库!$AO$2:$AO$1046,0),COLUMN()),"")</f>
        <v/>
      </c>
      <c r="C874" t="str">
        <f>IFERROR(INDEX(装备库!$A$2:$Y$1047,MATCH(ROW()-1,装备库!$AO$2:$AO$1046,0),COLUMN()),"")</f>
        <v/>
      </c>
      <c r="D874" t="str">
        <f>IFERROR(INDEX(装备库!$A$2:$Y$1047,MATCH(ROW()-1,装备库!$AO$2:$AO$1046,0),COLUMN()),"")</f>
        <v/>
      </c>
      <c r="E874" t="str">
        <f>IFERROR(INDEX(装备库!$A$2:$Y$1047,MATCH(ROW()-1,装备库!$AO$2:$AO$1046,0),COLUMN()),"")</f>
        <v/>
      </c>
      <c r="F874" t="str">
        <f>IFERROR(INDEX(装备库!$A$2:$Y$1047,MATCH(ROW()-1,装备库!$AO$2:$AO$1046,0),COLUMN()),"")</f>
        <v/>
      </c>
      <c r="G874" t="str">
        <f>IFERROR(INDEX(装备库!$A$2:$Y$1047,MATCH(ROW()-1,装备库!$AO$2:$AO$1046,0),COLUMN()),"")</f>
        <v/>
      </c>
      <c r="H874" t="str">
        <f>IFERROR(INDEX(装备库!$A$2:$Y$1047,MATCH(ROW()-1,装备库!$AO$2:$AO$1046,0),COLUMN()),"")</f>
        <v/>
      </c>
      <c r="I874" t="str">
        <f>IFERROR(INDEX(装备库!$A$2:$Y$1047,MATCH(ROW()-1,装备库!$AO$2:$AO$1046,0),COLUMN()),"")</f>
        <v/>
      </c>
      <c r="J874" t="str">
        <f>IFERROR(INDEX(装备库!$A$2:$Y$1047,MATCH(ROW()-1,装备库!$AO$2:$AO$1046,0),COLUMN()),"")</f>
        <v/>
      </c>
      <c r="K874" t="str">
        <f>IFERROR(INDEX(装备库!$A$2:$Y$1047,MATCH(ROW()-1,装备库!$AO$2:$AO$1046,0),COLUMN()),"")</f>
        <v/>
      </c>
      <c r="L874" t="str">
        <f>IFERROR(INDEX(装备库!$A$2:$Y$1047,MATCH(ROW()-1,装备库!$AO$2:$AO$1046,0),COLUMN()),"")</f>
        <v/>
      </c>
      <c r="M874" t="str">
        <f>IFERROR(INDEX(装备库!$A$2:$Y$1047,MATCH(ROW()-1,装备库!$AO$2:$AO$1046,0),COLUMN()),"")</f>
        <v/>
      </c>
      <c r="N874" t="str">
        <f>IFERROR(INDEX(装备库!$A$2:$Y$1047,MATCH(ROW()-1,装备库!$AO$2:$AO$1046,0),COLUMN()),"")</f>
        <v/>
      </c>
      <c r="O874" t="str">
        <f>IFERROR(INDEX(装备库!$A$2:$Y$1047,MATCH(ROW()-1,装备库!$AO$2:$AO$1046,0),COLUMN()),"")</f>
        <v/>
      </c>
      <c r="P874" t="str">
        <f>IFERROR(INDEX(装备库!$A$2:$Y$1047,MATCH(ROW()-1,装备库!$AO$2:$AO$1046,0),COLUMN()),"")</f>
        <v/>
      </c>
      <c r="Q874" t="str">
        <f>IFERROR(INDEX(装备库!$A$2:$Y$1047,MATCH(ROW()-1,装备库!$AO$2:$AO$1046,0),COLUMN()),"")</f>
        <v/>
      </c>
      <c r="R874" t="str">
        <f>IFERROR(INDEX(装备库!$A$2:$Y$1047,MATCH(ROW()-1,装备库!$AO$2:$AO$1046,0),COLUMN()),"")</f>
        <v/>
      </c>
      <c r="S874" t="str">
        <f>IFERROR(INDEX(装备库!$A$2:$Y$1047,MATCH(ROW()-1,装备库!$AO$2:$AO$1046,0),COLUMN()),"")</f>
        <v/>
      </c>
      <c r="T874" t="str">
        <f>IFERROR(INDEX(装备库!$A$2:$Y$1047,MATCH(ROW()-1,装备库!$AO$2:$AO$1046,0),COLUMN()),"")</f>
        <v/>
      </c>
      <c r="U874" t="str">
        <f>IFERROR(INDEX(装备库!$A$2:$Y$1047,MATCH(ROW()-1,装备库!$AO$2:$AO$1046,0),COLUMN()),"")</f>
        <v/>
      </c>
      <c r="V874" t="str">
        <f>IFERROR(INDEX(装备库!$A$2:$Y$1047,MATCH(ROW()-1,装备库!$AO$2:$AO$1046,0),COLUMN()),"")</f>
        <v/>
      </c>
      <c r="W874" t="str">
        <f>IFERROR(INDEX(装备库!$A$2:$Y$1047,MATCH(ROW()-1,装备库!$AO$2:$AO$1046,0),COLUMN()),"")</f>
        <v/>
      </c>
      <c r="X874" t="str">
        <f>IFERROR(INDEX(装备库!$A$2:$Y$1047,MATCH(ROW()-1,装备库!$AO$2:$AO$1046,0),COLUMN()),"")</f>
        <v/>
      </c>
      <c r="Y874" t="str">
        <f>IFERROR(INDEX(装备库!$A$2:$Y$1047,MATCH(ROW()-1,装备库!$AO$2:$AO$1046,0),COLUMN()),"")</f>
        <v/>
      </c>
    </row>
    <row r="875" spans="1:25" x14ac:dyDescent="0.35">
      <c r="A875" t="str">
        <f>IFERROR(INDEX(装备库!$A$2:$Y$1047,MATCH(ROW()-1,装备库!$AO$2:$AO$1046,0),COLUMN()),"")</f>
        <v/>
      </c>
      <c r="B875" t="str">
        <f>IFERROR(INDEX(装备库!$A$2:$Y$1047,MATCH(ROW()-1,装备库!$AO$2:$AO$1046,0),COLUMN()),"")</f>
        <v/>
      </c>
      <c r="C875" t="str">
        <f>IFERROR(INDEX(装备库!$A$2:$Y$1047,MATCH(ROW()-1,装备库!$AO$2:$AO$1046,0),COLUMN()),"")</f>
        <v/>
      </c>
      <c r="D875" t="str">
        <f>IFERROR(INDEX(装备库!$A$2:$Y$1047,MATCH(ROW()-1,装备库!$AO$2:$AO$1046,0),COLUMN()),"")</f>
        <v/>
      </c>
      <c r="E875" t="str">
        <f>IFERROR(INDEX(装备库!$A$2:$Y$1047,MATCH(ROW()-1,装备库!$AO$2:$AO$1046,0),COLUMN()),"")</f>
        <v/>
      </c>
      <c r="F875" t="str">
        <f>IFERROR(INDEX(装备库!$A$2:$Y$1047,MATCH(ROW()-1,装备库!$AO$2:$AO$1046,0),COLUMN()),"")</f>
        <v/>
      </c>
      <c r="G875" t="str">
        <f>IFERROR(INDEX(装备库!$A$2:$Y$1047,MATCH(ROW()-1,装备库!$AO$2:$AO$1046,0),COLUMN()),"")</f>
        <v/>
      </c>
      <c r="H875" t="str">
        <f>IFERROR(INDEX(装备库!$A$2:$Y$1047,MATCH(ROW()-1,装备库!$AO$2:$AO$1046,0),COLUMN()),"")</f>
        <v/>
      </c>
      <c r="I875" t="str">
        <f>IFERROR(INDEX(装备库!$A$2:$Y$1047,MATCH(ROW()-1,装备库!$AO$2:$AO$1046,0),COLUMN()),"")</f>
        <v/>
      </c>
      <c r="J875" t="str">
        <f>IFERROR(INDEX(装备库!$A$2:$Y$1047,MATCH(ROW()-1,装备库!$AO$2:$AO$1046,0),COLUMN()),"")</f>
        <v/>
      </c>
      <c r="K875" t="str">
        <f>IFERROR(INDEX(装备库!$A$2:$Y$1047,MATCH(ROW()-1,装备库!$AO$2:$AO$1046,0),COLUMN()),"")</f>
        <v/>
      </c>
      <c r="L875" t="str">
        <f>IFERROR(INDEX(装备库!$A$2:$Y$1047,MATCH(ROW()-1,装备库!$AO$2:$AO$1046,0),COLUMN()),"")</f>
        <v/>
      </c>
      <c r="M875" t="str">
        <f>IFERROR(INDEX(装备库!$A$2:$Y$1047,MATCH(ROW()-1,装备库!$AO$2:$AO$1046,0),COLUMN()),"")</f>
        <v/>
      </c>
      <c r="N875" t="str">
        <f>IFERROR(INDEX(装备库!$A$2:$Y$1047,MATCH(ROW()-1,装备库!$AO$2:$AO$1046,0),COLUMN()),"")</f>
        <v/>
      </c>
      <c r="O875" t="str">
        <f>IFERROR(INDEX(装备库!$A$2:$Y$1047,MATCH(ROW()-1,装备库!$AO$2:$AO$1046,0),COLUMN()),"")</f>
        <v/>
      </c>
      <c r="P875" t="str">
        <f>IFERROR(INDEX(装备库!$A$2:$Y$1047,MATCH(ROW()-1,装备库!$AO$2:$AO$1046,0),COLUMN()),"")</f>
        <v/>
      </c>
      <c r="Q875" t="str">
        <f>IFERROR(INDEX(装备库!$A$2:$Y$1047,MATCH(ROW()-1,装备库!$AO$2:$AO$1046,0),COLUMN()),"")</f>
        <v/>
      </c>
      <c r="R875" t="str">
        <f>IFERROR(INDEX(装备库!$A$2:$Y$1047,MATCH(ROW()-1,装备库!$AO$2:$AO$1046,0),COLUMN()),"")</f>
        <v/>
      </c>
      <c r="S875" t="str">
        <f>IFERROR(INDEX(装备库!$A$2:$Y$1047,MATCH(ROW()-1,装备库!$AO$2:$AO$1046,0),COLUMN()),"")</f>
        <v/>
      </c>
      <c r="T875" t="str">
        <f>IFERROR(INDEX(装备库!$A$2:$Y$1047,MATCH(ROW()-1,装备库!$AO$2:$AO$1046,0),COLUMN()),"")</f>
        <v/>
      </c>
      <c r="U875" t="str">
        <f>IFERROR(INDEX(装备库!$A$2:$Y$1047,MATCH(ROW()-1,装备库!$AO$2:$AO$1046,0),COLUMN()),"")</f>
        <v/>
      </c>
      <c r="V875" t="str">
        <f>IFERROR(INDEX(装备库!$A$2:$Y$1047,MATCH(ROW()-1,装备库!$AO$2:$AO$1046,0),COLUMN()),"")</f>
        <v/>
      </c>
      <c r="W875" t="str">
        <f>IFERROR(INDEX(装备库!$A$2:$Y$1047,MATCH(ROW()-1,装备库!$AO$2:$AO$1046,0),COLUMN()),"")</f>
        <v/>
      </c>
      <c r="X875" t="str">
        <f>IFERROR(INDEX(装备库!$A$2:$Y$1047,MATCH(ROW()-1,装备库!$AO$2:$AO$1046,0),COLUMN()),"")</f>
        <v/>
      </c>
      <c r="Y875" t="str">
        <f>IFERROR(INDEX(装备库!$A$2:$Y$1047,MATCH(ROW()-1,装备库!$AO$2:$AO$1046,0),COLUMN()),"")</f>
        <v/>
      </c>
    </row>
    <row r="876" spans="1:25" x14ac:dyDescent="0.35">
      <c r="A876" t="str">
        <f>IFERROR(INDEX(装备库!$A$2:$Y$1047,MATCH(ROW()-1,装备库!$AO$2:$AO$1046,0),COLUMN()),"")</f>
        <v/>
      </c>
      <c r="B876" t="str">
        <f>IFERROR(INDEX(装备库!$A$2:$Y$1047,MATCH(ROW()-1,装备库!$AO$2:$AO$1046,0),COLUMN()),"")</f>
        <v/>
      </c>
      <c r="C876" t="str">
        <f>IFERROR(INDEX(装备库!$A$2:$Y$1047,MATCH(ROW()-1,装备库!$AO$2:$AO$1046,0),COLUMN()),"")</f>
        <v/>
      </c>
      <c r="D876" t="str">
        <f>IFERROR(INDEX(装备库!$A$2:$Y$1047,MATCH(ROW()-1,装备库!$AO$2:$AO$1046,0),COLUMN()),"")</f>
        <v/>
      </c>
      <c r="E876" t="str">
        <f>IFERROR(INDEX(装备库!$A$2:$Y$1047,MATCH(ROW()-1,装备库!$AO$2:$AO$1046,0),COLUMN()),"")</f>
        <v/>
      </c>
      <c r="F876" t="str">
        <f>IFERROR(INDEX(装备库!$A$2:$Y$1047,MATCH(ROW()-1,装备库!$AO$2:$AO$1046,0),COLUMN()),"")</f>
        <v/>
      </c>
      <c r="G876" t="str">
        <f>IFERROR(INDEX(装备库!$A$2:$Y$1047,MATCH(ROW()-1,装备库!$AO$2:$AO$1046,0),COLUMN()),"")</f>
        <v/>
      </c>
      <c r="H876" t="str">
        <f>IFERROR(INDEX(装备库!$A$2:$Y$1047,MATCH(ROW()-1,装备库!$AO$2:$AO$1046,0),COLUMN()),"")</f>
        <v/>
      </c>
      <c r="I876" t="str">
        <f>IFERROR(INDEX(装备库!$A$2:$Y$1047,MATCH(ROW()-1,装备库!$AO$2:$AO$1046,0),COLUMN()),"")</f>
        <v/>
      </c>
      <c r="J876" t="str">
        <f>IFERROR(INDEX(装备库!$A$2:$Y$1047,MATCH(ROW()-1,装备库!$AO$2:$AO$1046,0),COLUMN()),"")</f>
        <v/>
      </c>
      <c r="K876" t="str">
        <f>IFERROR(INDEX(装备库!$A$2:$Y$1047,MATCH(ROW()-1,装备库!$AO$2:$AO$1046,0),COLUMN()),"")</f>
        <v/>
      </c>
      <c r="L876" t="str">
        <f>IFERROR(INDEX(装备库!$A$2:$Y$1047,MATCH(ROW()-1,装备库!$AO$2:$AO$1046,0),COLUMN()),"")</f>
        <v/>
      </c>
      <c r="M876" t="str">
        <f>IFERROR(INDEX(装备库!$A$2:$Y$1047,MATCH(ROW()-1,装备库!$AO$2:$AO$1046,0),COLUMN()),"")</f>
        <v/>
      </c>
      <c r="N876" t="str">
        <f>IFERROR(INDEX(装备库!$A$2:$Y$1047,MATCH(ROW()-1,装备库!$AO$2:$AO$1046,0),COLUMN()),"")</f>
        <v/>
      </c>
      <c r="O876" t="str">
        <f>IFERROR(INDEX(装备库!$A$2:$Y$1047,MATCH(ROW()-1,装备库!$AO$2:$AO$1046,0),COLUMN()),"")</f>
        <v/>
      </c>
      <c r="P876" t="str">
        <f>IFERROR(INDEX(装备库!$A$2:$Y$1047,MATCH(ROW()-1,装备库!$AO$2:$AO$1046,0),COLUMN()),"")</f>
        <v/>
      </c>
      <c r="Q876" t="str">
        <f>IFERROR(INDEX(装备库!$A$2:$Y$1047,MATCH(ROW()-1,装备库!$AO$2:$AO$1046,0),COLUMN()),"")</f>
        <v/>
      </c>
      <c r="R876" t="str">
        <f>IFERROR(INDEX(装备库!$A$2:$Y$1047,MATCH(ROW()-1,装备库!$AO$2:$AO$1046,0),COLUMN()),"")</f>
        <v/>
      </c>
      <c r="S876" t="str">
        <f>IFERROR(INDEX(装备库!$A$2:$Y$1047,MATCH(ROW()-1,装备库!$AO$2:$AO$1046,0),COLUMN()),"")</f>
        <v/>
      </c>
      <c r="T876" t="str">
        <f>IFERROR(INDEX(装备库!$A$2:$Y$1047,MATCH(ROW()-1,装备库!$AO$2:$AO$1046,0),COLUMN()),"")</f>
        <v/>
      </c>
      <c r="U876" t="str">
        <f>IFERROR(INDEX(装备库!$A$2:$Y$1047,MATCH(ROW()-1,装备库!$AO$2:$AO$1046,0),COLUMN()),"")</f>
        <v/>
      </c>
      <c r="V876" t="str">
        <f>IFERROR(INDEX(装备库!$A$2:$Y$1047,MATCH(ROW()-1,装备库!$AO$2:$AO$1046,0),COLUMN()),"")</f>
        <v/>
      </c>
      <c r="W876" t="str">
        <f>IFERROR(INDEX(装备库!$A$2:$Y$1047,MATCH(ROW()-1,装备库!$AO$2:$AO$1046,0),COLUMN()),"")</f>
        <v/>
      </c>
      <c r="X876" t="str">
        <f>IFERROR(INDEX(装备库!$A$2:$Y$1047,MATCH(ROW()-1,装备库!$AO$2:$AO$1046,0),COLUMN()),"")</f>
        <v/>
      </c>
      <c r="Y876" t="str">
        <f>IFERROR(INDEX(装备库!$A$2:$Y$1047,MATCH(ROW()-1,装备库!$AO$2:$AO$1046,0),COLUMN()),"")</f>
        <v/>
      </c>
    </row>
    <row r="877" spans="1:25" x14ac:dyDescent="0.35">
      <c r="A877" t="str">
        <f>IFERROR(INDEX(装备库!$A$2:$Y$1047,MATCH(ROW()-1,装备库!$AO$2:$AO$1046,0),COLUMN()),"")</f>
        <v/>
      </c>
      <c r="B877" t="str">
        <f>IFERROR(INDEX(装备库!$A$2:$Y$1047,MATCH(ROW()-1,装备库!$AO$2:$AO$1046,0),COLUMN()),"")</f>
        <v/>
      </c>
      <c r="C877" t="str">
        <f>IFERROR(INDEX(装备库!$A$2:$Y$1047,MATCH(ROW()-1,装备库!$AO$2:$AO$1046,0),COLUMN()),"")</f>
        <v/>
      </c>
      <c r="D877" t="str">
        <f>IFERROR(INDEX(装备库!$A$2:$Y$1047,MATCH(ROW()-1,装备库!$AO$2:$AO$1046,0),COLUMN()),"")</f>
        <v/>
      </c>
      <c r="E877" t="str">
        <f>IFERROR(INDEX(装备库!$A$2:$Y$1047,MATCH(ROW()-1,装备库!$AO$2:$AO$1046,0),COLUMN()),"")</f>
        <v/>
      </c>
      <c r="F877" t="str">
        <f>IFERROR(INDEX(装备库!$A$2:$Y$1047,MATCH(ROW()-1,装备库!$AO$2:$AO$1046,0),COLUMN()),"")</f>
        <v/>
      </c>
      <c r="G877" t="str">
        <f>IFERROR(INDEX(装备库!$A$2:$Y$1047,MATCH(ROW()-1,装备库!$AO$2:$AO$1046,0),COLUMN()),"")</f>
        <v/>
      </c>
      <c r="H877" t="str">
        <f>IFERROR(INDEX(装备库!$A$2:$Y$1047,MATCH(ROW()-1,装备库!$AO$2:$AO$1046,0),COLUMN()),"")</f>
        <v/>
      </c>
      <c r="I877" t="str">
        <f>IFERROR(INDEX(装备库!$A$2:$Y$1047,MATCH(ROW()-1,装备库!$AO$2:$AO$1046,0),COLUMN()),"")</f>
        <v/>
      </c>
      <c r="J877" t="str">
        <f>IFERROR(INDEX(装备库!$A$2:$Y$1047,MATCH(ROW()-1,装备库!$AO$2:$AO$1046,0),COLUMN()),"")</f>
        <v/>
      </c>
      <c r="K877" t="str">
        <f>IFERROR(INDEX(装备库!$A$2:$Y$1047,MATCH(ROW()-1,装备库!$AO$2:$AO$1046,0),COLUMN()),"")</f>
        <v/>
      </c>
      <c r="L877" t="str">
        <f>IFERROR(INDEX(装备库!$A$2:$Y$1047,MATCH(ROW()-1,装备库!$AO$2:$AO$1046,0),COLUMN()),"")</f>
        <v/>
      </c>
      <c r="M877" t="str">
        <f>IFERROR(INDEX(装备库!$A$2:$Y$1047,MATCH(ROW()-1,装备库!$AO$2:$AO$1046,0),COLUMN()),"")</f>
        <v/>
      </c>
      <c r="N877" t="str">
        <f>IFERROR(INDEX(装备库!$A$2:$Y$1047,MATCH(ROW()-1,装备库!$AO$2:$AO$1046,0),COLUMN()),"")</f>
        <v/>
      </c>
      <c r="O877" t="str">
        <f>IFERROR(INDEX(装备库!$A$2:$Y$1047,MATCH(ROW()-1,装备库!$AO$2:$AO$1046,0),COLUMN()),"")</f>
        <v/>
      </c>
      <c r="P877" t="str">
        <f>IFERROR(INDEX(装备库!$A$2:$Y$1047,MATCH(ROW()-1,装备库!$AO$2:$AO$1046,0),COLUMN()),"")</f>
        <v/>
      </c>
      <c r="Q877" t="str">
        <f>IFERROR(INDEX(装备库!$A$2:$Y$1047,MATCH(ROW()-1,装备库!$AO$2:$AO$1046,0),COLUMN()),"")</f>
        <v/>
      </c>
      <c r="R877" t="str">
        <f>IFERROR(INDEX(装备库!$A$2:$Y$1047,MATCH(ROW()-1,装备库!$AO$2:$AO$1046,0),COLUMN()),"")</f>
        <v/>
      </c>
      <c r="S877" t="str">
        <f>IFERROR(INDEX(装备库!$A$2:$Y$1047,MATCH(ROW()-1,装备库!$AO$2:$AO$1046,0),COLUMN()),"")</f>
        <v/>
      </c>
      <c r="T877" t="str">
        <f>IFERROR(INDEX(装备库!$A$2:$Y$1047,MATCH(ROW()-1,装备库!$AO$2:$AO$1046,0),COLUMN()),"")</f>
        <v/>
      </c>
      <c r="U877" t="str">
        <f>IFERROR(INDEX(装备库!$A$2:$Y$1047,MATCH(ROW()-1,装备库!$AO$2:$AO$1046,0),COLUMN()),"")</f>
        <v/>
      </c>
      <c r="V877" t="str">
        <f>IFERROR(INDEX(装备库!$A$2:$Y$1047,MATCH(ROW()-1,装备库!$AO$2:$AO$1046,0),COLUMN()),"")</f>
        <v/>
      </c>
      <c r="W877" t="str">
        <f>IFERROR(INDEX(装备库!$A$2:$Y$1047,MATCH(ROW()-1,装备库!$AO$2:$AO$1046,0),COLUMN()),"")</f>
        <v/>
      </c>
      <c r="X877" t="str">
        <f>IFERROR(INDEX(装备库!$A$2:$Y$1047,MATCH(ROW()-1,装备库!$AO$2:$AO$1046,0),COLUMN()),"")</f>
        <v/>
      </c>
      <c r="Y877" t="str">
        <f>IFERROR(INDEX(装备库!$A$2:$Y$1047,MATCH(ROW()-1,装备库!$AO$2:$AO$1046,0),COLUMN()),"")</f>
        <v/>
      </c>
    </row>
    <row r="878" spans="1:25" x14ac:dyDescent="0.35">
      <c r="A878" t="str">
        <f>IFERROR(INDEX(装备库!$A$2:$Y$1047,MATCH(ROW()-1,装备库!$AO$2:$AO$1046,0),COLUMN()),"")</f>
        <v/>
      </c>
      <c r="B878" t="str">
        <f>IFERROR(INDEX(装备库!$A$2:$Y$1047,MATCH(ROW()-1,装备库!$AO$2:$AO$1046,0),COLUMN()),"")</f>
        <v/>
      </c>
      <c r="C878" t="str">
        <f>IFERROR(INDEX(装备库!$A$2:$Y$1047,MATCH(ROW()-1,装备库!$AO$2:$AO$1046,0),COLUMN()),"")</f>
        <v/>
      </c>
      <c r="D878" t="str">
        <f>IFERROR(INDEX(装备库!$A$2:$Y$1047,MATCH(ROW()-1,装备库!$AO$2:$AO$1046,0),COLUMN()),"")</f>
        <v/>
      </c>
      <c r="E878" t="str">
        <f>IFERROR(INDEX(装备库!$A$2:$Y$1047,MATCH(ROW()-1,装备库!$AO$2:$AO$1046,0),COLUMN()),"")</f>
        <v/>
      </c>
      <c r="F878" t="str">
        <f>IFERROR(INDEX(装备库!$A$2:$Y$1047,MATCH(ROW()-1,装备库!$AO$2:$AO$1046,0),COLUMN()),"")</f>
        <v/>
      </c>
      <c r="G878" t="str">
        <f>IFERROR(INDEX(装备库!$A$2:$Y$1047,MATCH(ROW()-1,装备库!$AO$2:$AO$1046,0),COLUMN()),"")</f>
        <v/>
      </c>
      <c r="H878" t="str">
        <f>IFERROR(INDEX(装备库!$A$2:$Y$1047,MATCH(ROW()-1,装备库!$AO$2:$AO$1046,0),COLUMN()),"")</f>
        <v/>
      </c>
      <c r="I878" t="str">
        <f>IFERROR(INDEX(装备库!$A$2:$Y$1047,MATCH(ROW()-1,装备库!$AO$2:$AO$1046,0),COLUMN()),"")</f>
        <v/>
      </c>
      <c r="J878" t="str">
        <f>IFERROR(INDEX(装备库!$A$2:$Y$1047,MATCH(ROW()-1,装备库!$AO$2:$AO$1046,0),COLUMN()),"")</f>
        <v/>
      </c>
      <c r="K878" t="str">
        <f>IFERROR(INDEX(装备库!$A$2:$Y$1047,MATCH(ROW()-1,装备库!$AO$2:$AO$1046,0),COLUMN()),"")</f>
        <v/>
      </c>
      <c r="L878" t="str">
        <f>IFERROR(INDEX(装备库!$A$2:$Y$1047,MATCH(ROW()-1,装备库!$AO$2:$AO$1046,0),COLUMN()),"")</f>
        <v/>
      </c>
      <c r="M878" t="str">
        <f>IFERROR(INDEX(装备库!$A$2:$Y$1047,MATCH(ROW()-1,装备库!$AO$2:$AO$1046,0),COLUMN()),"")</f>
        <v/>
      </c>
      <c r="N878" t="str">
        <f>IFERROR(INDEX(装备库!$A$2:$Y$1047,MATCH(ROW()-1,装备库!$AO$2:$AO$1046,0),COLUMN()),"")</f>
        <v/>
      </c>
      <c r="O878" t="str">
        <f>IFERROR(INDEX(装备库!$A$2:$Y$1047,MATCH(ROW()-1,装备库!$AO$2:$AO$1046,0),COLUMN()),"")</f>
        <v/>
      </c>
      <c r="P878" t="str">
        <f>IFERROR(INDEX(装备库!$A$2:$Y$1047,MATCH(ROW()-1,装备库!$AO$2:$AO$1046,0),COLUMN()),"")</f>
        <v/>
      </c>
      <c r="Q878" t="str">
        <f>IFERROR(INDEX(装备库!$A$2:$Y$1047,MATCH(ROW()-1,装备库!$AO$2:$AO$1046,0),COLUMN()),"")</f>
        <v/>
      </c>
      <c r="R878" t="str">
        <f>IFERROR(INDEX(装备库!$A$2:$Y$1047,MATCH(ROW()-1,装备库!$AO$2:$AO$1046,0),COLUMN()),"")</f>
        <v/>
      </c>
      <c r="S878" t="str">
        <f>IFERROR(INDEX(装备库!$A$2:$Y$1047,MATCH(ROW()-1,装备库!$AO$2:$AO$1046,0),COLUMN()),"")</f>
        <v/>
      </c>
      <c r="T878" t="str">
        <f>IFERROR(INDEX(装备库!$A$2:$Y$1047,MATCH(ROW()-1,装备库!$AO$2:$AO$1046,0),COLUMN()),"")</f>
        <v/>
      </c>
      <c r="U878" t="str">
        <f>IFERROR(INDEX(装备库!$A$2:$Y$1047,MATCH(ROW()-1,装备库!$AO$2:$AO$1046,0),COLUMN()),"")</f>
        <v/>
      </c>
      <c r="V878" t="str">
        <f>IFERROR(INDEX(装备库!$A$2:$Y$1047,MATCH(ROW()-1,装备库!$AO$2:$AO$1046,0),COLUMN()),"")</f>
        <v/>
      </c>
      <c r="W878" t="str">
        <f>IFERROR(INDEX(装备库!$A$2:$Y$1047,MATCH(ROW()-1,装备库!$AO$2:$AO$1046,0),COLUMN()),"")</f>
        <v/>
      </c>
      <c r="X878" t="str">
        <f>IFERROR(INDEX(装备库!$A$2:$Y$1047,MATCH(ROW()-1,装备库!$AO$2:$AO$1046,0),COLUMN()),"")</f>
        <v/>
      </c>
      <c r="Y878" t="str">
        <f>IFERROR(INDEX(装备库!$A$2:$Y$1047,MATCH(ROW()-1,装备库!$AO$2:$AO$1046,0),COLUMN()),"")</f>
        <v/>
      </c>
    </row>
    <row r="879" spans="1:25" x14ac:dyDescent="0.35">
      <c r="A879" t="str">
        <f>IFERROR(INDEX(装备库!$A$2:$Y$1047,MATCH(ROW()-1,装备库!$AO$2:$AO$1046,0),COLUMN()),"")</f>
        <v/>
      </c>
      <c r="B879" t="str">
        <f>IFERROR(INDEX(装备库!$A$2:$Y$1047,MATCH(ROW()-1,装备库!$AO$2:$AO$1046,0),COLUMN()),"")</f>
        <v/>
      </c>
      <c r="C879" t="str">
        <f>IFERROR(INDEX(装备库!$A$2:$Y$1047,MATCH(ROW()-1,装备库!$AO$2:$AO$1046,0),COLUMN()),"")</f>
        <v/>
      </c>
      <c r="D879" t="str">
        <f>IFERROR(INDEX(装备库!$A$2:$Y$1047,MATCH(ROW()-1,装备库!$AO$2:$AO$1046,0),COLUMN()),"")</f>
        <v/>
      </c>
      <c r="E879" t="str">
        <f>IFERROR(INDEX(装备库!$A$2:$Y$1047,MATCH(ROW()-1,装备库!$AO$2:$AO$1046,0),COLUMN()),"")</f>
        <v/>
      </c>
      <c r="F879" t="str">
        <f>IFERROR(INDEX(装备库!$A$2:$Y$1047,MATCH(ROW()-1,装备库!$AO$2:$AO$1046,0),COLUMN()),"")</f>
        <v/>
      </c>
      <c r="G879" t="str">
        <f>IFERROR(INDEX(装备库!$A$2:$Y$1047,MATCH(ROW()-1,装备库!$AO$2:$AO$1046,0),COLUMN()),"")</f>
        <v/>
      </c>
      <c r="H879" t="str">
        <f>IFERROR(INDEX(装备库!$A$2:$Y$1047,MATCH(ROW()-1,装备库!$AO$2:$AO$1046,0),COLUMN()),"")</f>
        <v/>
      </c>
      <c r="I879" t="str">
        <f>IFERROR(INDEX(装备库!$A$2:$Y$1047,MATCH(ROW()-1,装备库!$AO$2:$AO$1046,0),COLUMN()),"")</f>
        <v/>
      </c>
      <c r="J879" t="str">
        <f>IFERROR(INDEX(装备库!$A$2:$Y$1047,MATCH(ROW()-1,装备库!$AO$2:$AO$1046,0),COLUMN()),"")</f>
        <v/>
      </c>
      <c r="K879" t="str">
        <f>IFERROR(INDEX(装备库!$A$2:$Y$1047,MATCH(ROW()-1,装备库!$AO$2:$AO$1046,0),COLUMN()),"")</f>
        <v/>
      </c>
      <c r="L879" t="str">
        <f>IFERROR(INDEX(装备库!$A$2:$Y$1047,MATCH(ROW()-1,装备库!$AO$2:$AO$1046,0),COLUMN()),"")</f>
        <v/>
      </c>
      <c r="M879" t="str">
        <f>IFERROR(INDEX(装备库!$A$2:$Y$1047,MATCH(ROW()-1,装备库!$AO$2:$AO$1046,0),COLUMN()),"")</f>
        <v/>
      </c>
      <c r="N879" t="str">
        <f>IFERROR(INDEX(装备库!$A$2:$Y$1047,MATCH(ROW()-1,装备库!$AO$2:$AO$1046,0),COLUMN()),"")</f>
        <v/>
      </c>
      <c r="O879" t="str">
        <f>IFERROR(INDEX(装备库!$A$2:$Y$1047,MATCH(ROW()-1,装备库!$AO$2:$AO$1046,0),COLUMN()),"")</f>
        <v/>
      </c>
      <c r="P879" t="str">
        <f>IFERROR(INDEX(装备库!$A$2:$Y$1047,MATCH(ROW()-1,装备库!$AO$2:$AO$1046,0),COLUMN()),"")</f>
        <v/>
      </c>
      <c r="Q879" t="str">
        <f>IFERROR(INDEX(装备库!$A$2:$Y$1047,MATCH(ROW()-1,装备库!$AO$2:$AO$1046,0),COLUMN()),"")</f>
        <v/>
      </c>
      <c r="R879" t="str">
        <f>IFERROR(INDEX(装备库!$A$2:$Y$1047,MATCH(ROW()-1,装备库!$AO$2:$AO$1046,0),COLUMN()),"")</f>
        <v/>
      </c>
      <c r="S879" t="str">
        <f>IFERROR(INDEX(装备库!$A$2:$Y$1047,MATCH(ROW()-1,装备库!$AO$2:$AO$1046,0),COLUMN()),"")</f>
        <v/>
      </c>
      <c r="T879" t="str">
        <f>IFERROR(INDEX(装备库!$A$2:$Y$1047,MATCH(ROW()-1,装备库!$AO$2:$AO$1046,0),COLUMN()),"")</f>
        <v/>
      </c>
      <c r="U879" t="str">
        <f>IFERROR(INDEX(装备库!$A$2:$Y$1047,MATCH(ROW()-1,装备库!$AO$2:$AO$1046,0),COLUMN()),"")</f>
        <v/>
      </c>
      <c r="V879" t="str">
        <f>IFERROR(INDEX(装备库!$A$2:$Y$1047,MATCH(ROW()-1,装备库!$AO$2:$AO$1046,0),COLUMN()),"")</f>
        <v/>
      </c>
      <c r="W879" t="str">
        <f>IFERROR(INDEX(装备库!$A$2:$Y$1047,MATCH(ROW()-1,装备库!$AO$2:$AO$1046,0),COLUMN()),"")</f>
        <v/>
      </c>
      <c r="X879" t="str">
        <f>IFERROR(INDEX(装备库!$A$2:$Y$1047,MATCH(ROW()-1,装备库!$AO$2:$AO$1046,0),COLUMN()),"")</f>
        <v/>
      </c>
      <c r="Y879" t="str">
        <f>IFERROR(INDEX(装备库!$A$2:$Y$1047,MATCH(ROW()-1,装备库!$AO$2:$AO$1046,0),COLUMN()),"")</f>
        <v/>
      </c>
    </row>
    <row r="880" spans="1:25" x14ac:dyDescent="0.35">
      <c r="A880" t="str">
        <f>IFERROR(INDEX(装备库!$A$2:$Y$1047,MATCH(ROW()-1,装备库!$AO$2:$AO$1046,0),COLUMN()),"")</f>
        <v/>
      </c>
      <c r="B880" t="str">
        <f>IFERROR(INDEX(装备库!$A$2:$Y$1047,MATCH(ROW()-1,装备库!$AO$2:$AO$1046,0),COLUMN()),"")</f>
        <v/>
      </c>
      <c r="C880" t="str">
        <f>IFERROR(INDEX(装备库!$A$2:$Y$1047,MATCH(ROW()-1,装备库!$AO$2:$AO$1046,0),COLUMN()),"")</f>
        <v/>
      </c>
      <c r="D880" t="str">
        <f>IFERROR(INDEX(装备库!$A$2:$Y$1047,MATCH(ROW()-1,装备库!$AO$2:$AO$1046,0),COLUMN()),"")</f>
        <v/>
      </c>
      <c r="E880" t="str">
        <f>IFERROR(INDEX(装备库!$A$2:$Y$1047,MATCH(ROW()-1,装备库!$AO$2:$AO$1046,0),COLUMN()),"")</f>
        <v/>
      </c>
      <c r="F880" t="str">
        <f>IFERROR(INDEX(装备库!$A$2:$Y$1047,MATCH(ROW()-1,装备库!$AO$2:$AO$1046,0),COLUMN()),"")</f>
        <v/>
      </c>
      <c r="G880" t="str">
        <f>IFERROR(INDEX(装备库!$A$2:$Y$1047,MATCH(ROW()-1,装备库!$AO$2:$AO$1046,0),COLUMN()),"")</f>
        <v/>
      </c>
      <c r="H880" t="str">
        <f>IFERROR(INDEX(装备库!$A$2:$Y$1047,MATCH(ROW()-1,装备库!$AO$2:$AO$1046,0),COLUMN()),"")</f>
        <v/>
      </c>
      <c r="I880" t="str">
        <f>IFERROR(INDEX(装备库!$A$2:$Y$1047,MATCH(ROW()-1,装备库!$AO$2:$AO$1046,0),COLUMN()),"")</f>
        <v/>
      </c>
      <c r="J880" t="str">
        <f>IFERROR(INDEX(装备库!$A$2:$Y$1047,MATCH(ROW()-1,装备库!$AO$2:$AO$1046,0),COLUMN()),"")</f>
        <v/>
      </c>
      <c r="K880" t="str">
        <f>IFERROR(INDEX(装备库!$A$2:$Y$1047,MATCH(ROW()-1,装备库!$AO$2:$AO$1046,0),COLUMN()),"")</f>
        <v/>
      </c>
      <c r="L880" t="str">
        <f>IFERROR(INDEX(装备库!$A$2:$Y$1047,MATCH(ROW()-1,装备库!$AO$2:$AO$1046,0),COLUMN()),"")</f>
        <v/>
      </c>
      <c r="M880" t="str">
        <f>IFERROR(INDEX(装备库!$A$2:$Y$1047,MATCH(ROW()-1,装备库!$AO$2:$AO$1046,0),COLUMN()),"")</f>
        <v/>
      </c>
      <c r="N880" t="str">
        <f>IFERROR(INDEX(装备库!$A$2:$Y$1047,MATCH(ROW()-1,装备库!$AO$2:$AO$1046,0),COLUMN()),"")</f>
        <v/>
      </c>
      <c r="O880" t="str">
        <f>IFERROR(INDEX(装备库!$A$2:$Y$1047,MATCH(ROW()-1,装备库!$AO$2:$AO$1046,0),COLUMN()),"")</f>
        <v/>
      </c>
      <c r="P880" t="str">
        <f>IFERROR(INDEX(装备库!$A$2:$Y$1047,MATCH(ROW()-1,装备库!$AO$2:$AO$1046,0),COLUMN()),"")</f>
        <v/>
      </c>
      <c r="Q880" t="str">
        <f>IFERROR(INDEX(装备库!$A$2:$Y$1047,MATCH(ROW()-1,装备库!$AO$2:$AO$1046,0),COLUMN()),"")</f>
        <v/>
      </c>
      <c r="R880" t="str">
        <f>IFERROR(INDEX(装备库!$A$2:$Y$1047,MATCH(ROW()-1,装备库!$AO$2:$AO$1046,0),COLUMN()),"")</f>
        <v/>
      </c>
      <c r="S880" t="str">
        <f>IFERROR(INDEX(装备库!$A$2:$Y$1047,MATCH(ROW()-1,装备库!$AO$2:$AO$1046,0),COLUMN()),"")</f>
        <v/>
      </c>
      <c r="T880" t="str">
        <f>IFERROR(INDEX(装备库!$A$2:$Y$1047,MATCH(ROW()-1,装备库!$AO$2:$AO$1046,0),COLUMN()),"")</f>
        <v/>
      </c>
      <c r="U880" t="str">
        <f>IFERROR(INDEX(装备库!$A$2:$Y$1047,MATCH(ROW()-1,装备库!$AO$2:$AO$1046,0),COLUMN()),"")</f>
        <v/>
      </c>
      <c r="V880" t="str">
        <f>IFERROR(INDEX(装备库!$A$2:$Y$1047,MATCH(ROW()-1,装备库!$AO$2:$AO$1046,0),COLUMN()),"")</f>
        <v/>
      </c>
      <c r="W880" t="str">
        <f>IFERROR(INDEX(装备库!$A$2:$Y$1047,MATCH(ROW()-1,装备库!$AO$2:$AO$1046,0),COLUMN()),"")</f>
        <v/>
      </c>
      <c r="X880" t="str">
        <f>IFERROR(INDEX(装备库!$A$2:$Y$1047,MATCH(ROW()-1,装备库!$AO$2:$AO$1046,0),COLUMN()),"")</f>
        <v/>
      </c>
      <c r="Y880" t="str">
        <f>IFERROR(INDEX(装备库!$A$2:$Y$1047,MATCH(ROW()-1,装备库!$AO$2:$AO$1046,0),COLUMN()),"")</f>
        <v/>
      </c>
    </row>
    <row r="881" spans="1:25" x14ac:dyDescent="0.35">
      <c r="A881" t="str">
        <f>IFERROR(INDEX(装备库!$A$2:$Y$1047,MATCH(ROW()-1,装备库!$AO$2:$AO$1046,0),COLUMN()),"")</f>
        <v/>
      </c>
      <c r="B881" t="str">
        <f>IFERROR(INDEX(装备库!$A$2:$Y$1047,MATCH(ROW()-1,装备库!$AO$2:$AO$1046,0),COLUMN()),"")</f>
        <v/>
      </c>
      <c r="C881" t="str">
        <f>IFERROR(INDEX(装备库!$A$2:$Y$1047,MATCH(ROW()-1,装备库!$AO$2:$AO$1046,0),COLUMN()),"")</f>
        <v/>
      </c>
      <c r="D881" t="str">
        <f>IFERROR(INDEX(装备库!$A$2:$Y$1047,MATCH(ROW()-1,装备库!$AO$2:$AO$1046,0),COLUMN()),"")</f>
        <v/>
      </c>
      <c r="E881" t="str">
        <f>IFERROR(INDEX(装备库!$A$2:$Y$1047,MATCH(ROW()-1,装备库!$AO$2:$AO$1046,0),COLUMN()),"")</f>
        <v/>
      </c>
      <c r="F881" t="str">
        <f>IFERROR(INDEX(装备库!$A$2:$Y$1047,MATCH(ROW()-1,装备库!$AO$2:$AO$1046,0),COLUMN()),"")</f>
        <v/>
      </c>
      <c r="G881" t="str">
        <f>IFERROR(INDEX(装备库!$A$2:$Y$1047,MATCH(ROW()-1,装备库!$AO$2:$AO$1046,0),COLUMN()),"")</f>
        <v/>
      </c>
      <c r="H881" t="str">
        <f>IFERROR(INDEX(装备库!$A$2:$Y$1047,MATCH(ROW()-1,装备库!$AO$2:$AO$1046,0),COLUMN()),"")</f>
        <v/>
      </c>
      <c r="I881" t="str">
        <f>IFERROR(INDEX(装备库!$A$2:$Y$1047,MATCH(ROW()-1,装备库!$AO$2:$AO$1046,0),COLUMN()),"")</f>
        <v/>
      </c>
      <c r="J881" t="str">
        <f>IFERROR(INDEX(装备库!$A$2:$Y$1047,MATCH(ROW()-1,装备库!$AO$2:$AO$1046,0),COLUMN()),"")</f>
        <v/>
      </c>
      <c r="K881" t="str">
        <f>IFERROR(INDEX(装备库!$A$2:$Y$1047,MATCH(ROW()-1,装备库!$AO$2:$AO$1046,0),COLUMN()),"")</f>
        <v/>
      </c>
      <c r="L881" t="str">
        <f>IFERROR(INDEX(装备库!$A$2:$Y$1047,MATCH(ROW()-1,装备库!$AO$2:$AO$1046,0),COLUMN()),"")</f>
        <v/>
      </c>
      <c r="M881" t="str">
        <f>IFERROR(INDEX(装备库!$A$2:$Y$1047,MATCH(ROW()-1,装备库!$AO$2:$AO$1046,0),COLUMN()),"")</f>
        <v/>
      </c>
      <c r="N881" t="str">
        <f>IFERROR(INDEX(装备库!$A$2:$Y$1047,MATCH(ROW()-1,装备库!$AO$2:$AO$1046,0),COLUMN()),"")</f>
        <v/>
      </c>
      <c r="O881" t="str">
        <f>IFERROR(INDEX(装备库!$A$2:$Y$1047,MATCH(ROW()-1,装备库!$AO$2:$AO$1046,0),COLUMN()),"")</f>
        <v/>
      </c>
      <c r="P881" t="str">
        <f>IFERROR(INDEX(装备库!$A$2:$Y$1047,MATCH(ROW()-1,装备库!$AO$2:$AO$1046,0),COLUMN()),"")</f>
        <v/>
      </c>
      <c r="Q881" t="str">
        <f>IFERROR(INDEX(装备库!$A$2:$Y$1047,MATCH(ROW()-1,装备库!$AO$2:$AO$1046,0),COLUMN()),"")</f>
        <v/>
      </c>
      <c r="R881" t="str">
        <f>IFERROR(INDEX(装备库!$A$2:$Y$1047,MATCH(ROW()-1,装备库!$AO$2:$AO$1046,0),COLUMN()),"")</f>
        <v/>
      </c>
      <c r="S881" t="str">
        <f>IFERROR(INDEX(装备库!$A$2:$Y$1047,MATCH(ROW()-1,装备库!$AO$2:$AO$1046,0),COLUMN()),"")</f>
        <v/>
      </c>
      <c r="T881" t="str">
        <f>IFERROR(INDEX(装备库!$A$2:$Y$1047,MATCH(ROW()-1,装备库!$AO$2:$AO$1046,0),COLUMN()),"")</f>
        <v/>
      </c>
      <c r="U881" t="str">
        <f>IFERROR(INDEX(装备库!$A$2:$Y$1047,MATCH(ROW()-1,装备库!$AO$2:$AO$1046,0),COLUMN()),"")</f>
        <v/>
      </c>
      <c r="V881" t="str">
        <f>IFERROR(INDEX(装备库!$A$2:$Y$1047,MATCH(ROW()-1,装备库!$AO$2:$AO$1046,0),COLUMN()),"")</f>
        <v/>
      </c>
      <c r="W881" t="str">
        <f>IFERROR(INDEX(装备库!$A$2:$Y$1047,MATCH(ROW()-1,装备库!$AO$2:$AO$1046,0),COLUMN()),"")</f>
        <v/>
      </c>
      <c r="X881" t="str">
        <f>IFERROR(INDEX(装备库!$A$2:$Y$1047,MATCH(ROW()-1,装备库!$AO$2:$AO$1046,0),COLUMN()),"")</f>
        <v/>
      </c>
      <c r="Y881" t="str">
        <f>IFERROR(INDEX(装备库!$A$2:$Y$1047,MATCH(ROW()-1,装备库!$AO$2:$AO$1046,0),COLUMN()),"")</f>
        <v/>
      </c>
    </row>
    <row r="882" spans="1:25" x14ac:dyDescent="0.35">
      <c r="A882" t="str">
        <f>IFERROR(INDEX(装备库!$A$2:$Y$1047,MATCH(ROW()-1,装备库!$AO$2:$AO$1046,0),COLUMN()),"")</f>
        <v/>
      </c>
      <c r="B882" t="str">
        <f>IFERROR(INDEX(装备库!$A$2:$Y$1047,MATCH(ROW()-1,装备库!$AO$2:$AO$1046,0),COLUMN()),"")</f>
        <v/>
      </c>
      <c r="C882" t="str">
        <f>IFERROR(INDEX(装备库!$A$2:$Y$1047,MATCH(ROW()-1,装备库!$AO$2:$AO$1046,0),COLUMN()),"")</f>
        <v/>
      </c>
      <c r="D882" t="str">
        <f>IFERROR(INDEX(装备库!$A$2:$Y$1047,MATCH(ROW()-1,装备库!$AO$2:$AO$1046,0),COLUMN()),"")</f>
        <v/>
      </c>
      <c r="E882" t="str">
        <f>IFERROR(INDEX(装备库!$A$2:$Y$1047,MATCH(ROW()-1,装备库!$AO$2:$AO$1046,0),COLUMN()),"")</f>
        <v/>
      </c>
      <c r="F882" t="str">
        <f>IFERROR(INDEX(装备库!$A$2:$Y$1047,MATCH(ROW()-1,装备库!$AO$2:$AO$1046,0),COLUMN()),"")</f>
        <v/>
      </c>
      <c r="G882" t="str">
        <f>IFERROR(INDEX(装备库!$A$2:$Y$1047,MATCH(ROW()-1,装备库!$AO$2:$AO$1046,0),COLUMN()),"")</f>
        <v/>
      </c>
      <c r="H882" t="str">
        <f>IFERROR(INDEX(装备库!$A$2:$Y$1047,MATCH(ROW()-1,装备库!$AO$2:$AO$1046,0),COLUMN()),"")</f>
        <v/>
      </c>
      <c r="I882" t="str">
        <f>IFERROR(INDEX(装备库!$A$2:$Y$1047,MATCH(ROW()-1,装备库!$AO$2:$AO$1046,0),COLUMN()),"")</f>
        <v/>
      </c>
      <c r="J882" t="str">
        <f>IFERROR(INDEX(装备库!$A$2:$Y$1047,MATCH(ROW()-1,装备库!$AO$2:$AO$1046,0),COLUMN()),"")</f>
        <v/>
      </c>
      <c r="K882" t="str">
        <f>IFERROR(INDEX(装备库!$A$2:$Y$1047,MATCH(ROW()-1,装备库!$AO$2:$AO$1046,0),COLUMN()),"")</f>
        <v/>
      </c>
      <c r="L882" t="str">
        <f>IFERROR(INDEX(装备库!$A$2:$Y$1047,MATCH(ROW()-1,装备库!$AO$2:$AO$1046,0),COLUMN()),"")</f>
        <v/>
      </c>
      <c r="M882" t="str">
        <f>IFERROR(INDEX(装备库!$A$2:$Y$1047,MATCH(ROW()-1,装备库!$AO$2:$AO$1046,0),COLUMN()),"")</f>
        <v/>
      </c>
      <c r="N882" t="str">
        <f>IFERROR(INDEX(装备库!$A$2:$Y$1047,MATCH(ROW()-1,装备库!$AO$2:$AO$1046,0),COLUMN()),"")</f>
        <v/>
      </c>
      <c r="O882" t="str">
        <f>IFERROR(INDEX(装备库!$A$2:$Y$1047,MATCH(ROW()-1,装备库!$AO$2:$AO$1046,0),COLUMN()),"")</f>
        <v/>
      </c>
      <c r="P882" t="str">
        <f>IFERROR(INDEX(装备库!$A$2:$Y$1047,MATCH(ROW()-1,装备库!$AO$2:$AO$1046,0),COLUMN()),"")</f>
        <v/>
      </c>
      <c r="Q882" t="str">
        <f>IFERROR(INDEX(装备库!$A$2:$Y$1047,MATCH(ROW()-1,装备库!$AO$2:$AO$1046,0),COLUMN()),"")</f>
        <v/>
      </c>
      <c r="R882" t="str">
        <f>IFERROR(INDEX(装备库!$A$2:$Y$1047,MATCH(ROW()-1,装备库!$AO$2:$AO$1046,0),COLUMN()),"")</f>
        <v/>
      </c>
      <c r="S882" t="str">
        <f>IFERROR(INDEX(装备库!$A$2:$Y$1047,MATCH(ROW()-1,装备库!$AO$2:$AO$1046,0),COLUMN()),"")</f>
        <v/>
      </c>
      <c r="T882" t="str">
        <f>IFERROR(INDEX(装备库!$A$2:$Y$1047,MATCH(ROW()-1,装备库!$AO$2:$AO$1046,0),COLUMN()),"")</f>
        <v/>
      </c>
      <c r="U882" t="str">
        <f>IFERROR(INDEX(装备库!$A$2:$Y$1047,MATCH(ROW()-1,装备库!$AO$2:$AO$1046,0),COLUMN()),"")</f>
        <v/>
      </c>
      <c r="V882" t="str">
        <f>IFERROR(INDEX(装备库!$A$2:$Y$1047,MATCH(ROW()-1,装备库!$AO$2:$AO$1046,0),COLUMN()),"")</f>
        <v/>
      </c>
      <c r="W882" t="str">
        <f>IFERROR(INDEX(装备库!$A$2:$Y$1047,MATCH(ROW()-1,装备库!$AO$2:$AO$1046,0),COLUMN()),"")</f>
        <v/>
      </c>
      <c r="X882" t="str">
        <f>IFERROR(INDEX(装备库!$A$2:$Y$1047,MATCH(ROW()-1,装备库!$AO$2:$AO$1046,0),COLUMN()),"")</f>
        <v/>
      </c>
      <c r="Y882" t="str">
        <f>IFERROR(INDEX(装备库!$A$2:$Y$1047,MATCH(ROW()-1,装备库!$AO$2:$AO$1046,0),COLUMN()),"")</f>
        <v/>
      </c>
    </row>
    <row r="883" spans="1:25" x14ac:dyDescent="0.35">
      <c r="A883" t="str">
        <f>IFERROR(INDEX(装备库!$A$2:$Y$1047,MATCH(ROW()-1,装备库!$AO$2:$AO$1046,0),COLUMN()),"")</f>
        <v/>
      </c>
      <c r="B883" t="str">
        <f>IFERROR(INDEX(装备库!$A$2:$Y$1047,MATCH(ROW()-1,装备库!$AO$2:$AO$1046,0),COLUMN()),"")</f>
        <v/>
      </c>
      <c r="C883" t="str">
        <f>IFERROR(INDEX(装备库!$A$2:$Y$1047,MATCH(ROW()-1,装备库!$AO$2:$AO$1046,0),COLUMN()),"")</f>
        <v/>
      </c>
      <c r="D883" t="str">
        <f>IFERROR(INDEX(装备库!$A$2:$Y$1047,MATCH(ROW()-1,装备库!$AO$2:$AO$1046,0),COLUMN()),"")</f>
        <v/>
      </c>
      <c r="E883" t="str">
        <f>IFERROR(INDEX(装备库!$A$2:$Y$1047,MATCH(ROW()-1,装备库!$AO$2:$AO$1046,0),COLUMN()),"")</f>
        <v/>
      </c>
      <c r="F883" t="str">
        <f>IFERROR(INDEX(装备库!$A$2:$Y$1047,MATCH(ROW()-1,装备库!$AO$2:$AO$1046,0),COLUMN()),"")</f>
        <v/>
      </c>
      <c r="G883" t="str">
        <f>IFERROR(INDEX(装备库!$A$2:$Y$1047,MATCH(ROW()-1,装备库!$AO$2:$AO$1046,0),COLUMN()),"")</f>
        <v/>
      </c>
      <c r="H883" t="str">
        <f>IFERROR(INDEX(装备库!$A$2:$Y$1047,MATCH(ROW()-1,装备库!$AO$2:$AO$1046,0),COLUMN()),"")</f>
        <v/>
      </c>
      <c r="I883" t="str">
        <f>IFERROR(INDEX(装备库!$A$2:$Y$1047,MATCH(ROW()-1,装备库!$AO$2:$AO$1046,0),COLUMN()),"")</f>
        <v/>
      </c>
      <c r="J883" t="str">
        <f>IFERROR(INDEX(装备库!$A$2:$Y$1047,MATCH(ROW()-1,装备库!$AO$2:$AO$1046,0),COLUMN()),"")</f>
        <v/>
      </c>
      <c r="K883" t="str">
        <f>IFERROR(INDEX(装备库!$A$2:$Y$1047,MATCH(ROW()-1,装备库!$AO$2:$AO$1046,0),COLUMN()),"")</f>
        <v/>
      </c>
      <c r="L883" t="str">
        <f>IFERROR(INDEX(装备库!$A$2:$Y$1047,MATCH(ROW()-1,装备库!$AO$2:$AO$1046,0),COLUMN()),"")</f>
        <v/>
      </c>
      <c r="M883" t="str">
        <f>IFERROR(INDEX(装备库!$A$2:$Y$1047,MATCH(ROW()-1,装备库!$AO$2:$AO$1046,0),COLUMN()),"")</f>
        <v/>
      </c>
      <c r="N883" t="str">
        <f>IFERROR(INDEX(装备库!$A$2:$Y$1047,MATCH(ROW()-1,装备库!$AO$2:$AO$1046,0),COLUMN()),"")</f>
        <v/>
      </c>
      <c r="O883" t="str">
        <f>IFERROR(INDEX(装备库!$A$2:$Y$1047,MATCH(ROW()-1,装备库!$AO$2:$AO$1046,0),COLUMN()),"")</f>
        <v/>
      </c>
      <c r="P883" t="str">
        <f>IFERROR(INDEX(装备库!$A$2:$Y$1047,MATCH(ROW()-1,装备库!$AO$2:$AO$1046,0),COLUMN()),"")</f>
        <v/>
      </c>
      <c r="Q883" t="str">
        <f>IFERROR(INDEX(装备库!$A$2:$Y$1047,MATCH(ROW()-1,装备库!$AO$2:$AO$1046,0),COLUMN()),"")</f>
        <v/>
      </c>
      <c r="R883" t="str">
        <f>IFERROR(INDEX(装备库!$A$2:$Y$1047,MATCH(ROW()-1,装备库!$AO$2:$AO$1046,0),COLUMN()),"")</f>
        <v/>
      </c>
      <c r="S883" t="str">
        <f>IFERROR(INDEX(装备库!$A$2:$Y$1047,MATCH(ROW()-1,装备库!$AO$2:$AO$1046,0),COLUMN()),"")</f>
        <v/>
      </c>
      <c r="T883" t="str">
        <f>IFERROR(INDEX(装备库!$A$2:$Y$1047,MATCH(ROW()-1,装备库!$AO$2:$AO$1046,0),COLUMN()),"")</f>
        <v/>
      </c>
      <c r="U883" t="str">
        <f>IFERROR(INDEX(装备库!$A$2:$Y$1047,MATCH(ROW()-1,装备库!$AO$2:$AO$1046,0),COLUMN()),"")</f>
        <v/>
      </c>
      <c r="V883" t="str">
        <f>IFERROR(INDEX(装备库!$A$2:$Y$1047,MATCH(ROW()-1,装备库!$AO$2:$AO$1046,0),COLUMN()),"")</f>
        <v/>
      </c>
      <c r="W883" t="str">
        <f>IFERROR(INDEX(装备库!$A$2:$Y$1047,MATCH(ROW()-1,装备库!$AO$2:$AO$1046,0),COLUMN()),"")</f>
        <v/>
      </c>
      <c r="X883" t="str">
        <f>IFERROR(INDEX(装备库!$A$2:$Y$1047,MATCH(ROW()-1,装备库!$AO$2:$AO$1046,0),COLUMN()),"")</f>
        <v/>
      </c>
      <c r="Y883" t="str">
        <f>IFERROR(INDEX(装备库!$A$2:$Y$1047,MATCH(ROW()-1,装备库!$AO$2:$AO$1046,0),COLUMN()),"")</f>
        <v/>
      </c>
    </row>
    <row r="884" spans="1:25" x14ac:dyDescent="0.35">
      <c r="A884" t="str">
        <f>IFERROR(INDEX(装备库!$A$2:$Y$1047,MATCH(ROW()-1,装备库!$AO$2:$AO$1046,0),COLUMN()),"")</f>
        <v/>
      </c>
      <c r="B884" t="str">
        <f>IFERROR(INDEX(装备库!$A$2:$Y$1047,MATCH(ROW()-1,装备库!$AO$2:$AO$1046,0),COLUMN()),"")</f>
        <v/>
      </c>
      <c r="C884" t="str">
        <f>IFERROR(INDEX(装备库!$A$2:$Y$1047,MATCH(ROW()-1,装备库!$AO$2:$AO$1046,0),COLUMN()),"")</f>
        <v/>
      </c>
      <c r="D884" t="str">
        <f>IFERROR(INDEX(装备库!$A$2:$Y$1047,MATCH(ROW()-1,装备库!$AO$2:$AO$1046,0),COLUMN()),"")</f>
        <v/>
      </c>
      <c r="E884" t="str">
        <f>IFERROR(INDEX(装备库!$A$2:$Y$1047,MATCH(ROW()-1,装备库!$AO$2:$AO$1046,0),COLUMN()),"")</f>
        <v/>
      </c>
      <c r="F884" t="str">
        <f>IFERROR(INDEX(装备库!$A$2:$Y$1047,MATCH(ROW()-1,装备库!$AO$2:$AO$1046,0),COLUMN()),"")</f>
        <v/>
      </c>
      <c r="G884" t="str">
        <f>IFERROR(INDEX(装备库!$A$2:$Y$1047,MATCH(ROW()-1,装备库!$AO$2:$AO$1046,0),COLUMN()),"")</f>
        <v/>
      </c>
      <c r="H884" t="str">
        <f>IFERROR(INDEX(装备库!$A$2:$Y$1047,MATCH(ROW()-1,装备库!$AO$2:$AO$1046,0),COLUMN()),"")</f>
        <v/>
      </c>
      <c r="I884" t="str">
        <f>IFERROR(INDEX(装备库!$A$2:$Y$1047,MATCH(ROW()-1,装备库!$AO$2:$AO$1046,0),COLUMN()),"")</f>
        <v/>
      </c>
      <c r="J884" t="str">
        <f>IFERROR(INDEX(装备库!$A$2:$Y$1047,MATCH(ROW()-1,装备库!$AO$2:$AO$1046,0),COLUMN()),"")</f>
        <v/>
      </c>
      <c r="K884" t="str">
        <f>IFERROR(INDEX(装备库!$A$2:$Y$1047,MATCH(ROW()-1,装备库!$AO$2:$AO$1046,0),COLUMN()),"")</f>
        <v/>
      </c>
      <c r="L884" t="str">
        <f>IFERROR(INDEX(装备库!$A$2:$Y$1047,MATCH(ROW()-1,装备库!$AO$2:$AO$1046,0),COLUMN()),"")</f>
        <v/>
      </c>
      <c r="M884" t="str">
        <f>IFERROR(INDEX(装备库!$A$2:$Y$1047,MATCH(ROW()-1,装备库!$AO$2:$AO$1046,0),COLUMN()),"")</f>
        <v/>
      </c>
      <c r="N884" t="str">
        <f>IFERROR(INDEX(装备库!$A$2:$Y$1047,MATCH(ROW()-1,装备库!$AO$2:$AO$1046,0),COLUMN()),"")</f>
        <v/>
      </c>
      <c r="O884" t="str">
        <f>IFERROR(INDEX(装备库!$A$2:$Y$1047,MATCH(ROW()-1,装备库!$AO$2:$AO$1046,0),COLUMN()),"")</f>
        <v/>
      </c>
      <c r="P884" t="str">
        <f>IFERROR(INDEX(装备库!$A$2:$Y$1047,MATCH(ROW()-1,装备库!$AO$2:$AO$1046,0),COLUMN()),"")</f>
        <v/>
      </c>
      <c r="Q884" t="str">
        <f>IFERROR(INDEX(装备库!$A$2:$Y$1047,MATCH(ROW()-1,装备库!$AO$2:$AO$1046,0),COLUMN()),"")</f>
        <v/>
      </c>
      <c r="R884" t="str">
        <f>IFERROR(INDEX(装备库!$A$2:$Y$1047,MATCH(ROW()-1,装备库!$AO$2:$AO$1046,0),COLUMN()),"")</f>
        <v/>
      </c>
      <c r="S884" t="str">
        <f>IFERROR(INDEX(装备库!$A$2:$Y$1047,MATCH(ROW()-1,装备库!$AO$2:$AO$1046,0),COLUMN()),"")</f>
        <v/>
      </c>
      <c r="T884" t="str">
        <f>IFERROR(INDEX(装备库!$A$2:$Y$1047,MATCH(ROW()-1,装备库!$AO$2:$AO$1046,0),COLUMN()),"")</f>
        <v/>
      </c>
      <c r="U884" t="str">
        <f>IFERROR(INDEX(装备库!$A$2:$Y$1047,MATCH(ROW()-1,装备库!$AO$2:$AO$1046,0),COLUMN()),"")</f>
        <v/>
      </c>
      <c r="V884" t="str">
        <f>IFERROR(INDEX(装备库!$A$2:$Y$1047,MATCH(ROW()-1,装备库!$AO$2:$AO$1046,0),COLUMN()),"")</f>
        <v/>
      </c>
      <c r="W884" t="str">
        <f>IFERROR(INDEX(装备库!$A$2:$Y$1047,MATCH(ROW()-1,装备库!$AO$2:$AO$1046,0),COLUMN()),"")</f>
        <v/>
      </c>
      <c r="X884" t="str">
        <f>IFERROR(INDEX(装备库!$A$2:$Y$1047,MATCH(ROW()-1,装备库!$AO$2:$AO$1046,0),COLUMN()),"")</f>
        <v/>
      </c>
      <c r="Y884" t="str">
        <f>IFERROR(INDEX(装备库!$A$2:$Y$1047,MATCH(ROW()-1,装备库!$AO$2:$AO$1046,0),COLUMN()),"")</f>
        <v/>
      </c>
    </row>
    <row r="885" spans="1:25" x14ac:dyDescent="0.35">
      <c r="A885" t="str">
        <f>IFERROR(INDEX(装备库!$A$2:$Y$1047,MATCH(ROW()-1,装备库!$AO$2:$AO$1046,0),COLUMN()),"")</f>
        <v/>
      </c>
      <c r="B885" t="str">
        <f>IFERROR(INDEX(装备库!$A$2:$Y$1047,MATCH(ROW()-1,装备库!$AO$2:$AO$1046,0),COLUMN()),"")</f>
        <v/>
      </c>
      <c r="C885" t="str">
        <f>IFERROR(INDEX(装备库!$A$2:$Y$1047,MATCH(ROW()-1,装备库!$AO$2:$AO$1046,0),COLUMN()),"")</f>
        <v/>
      </c>
      <c r="D885" t="str">
        <f>IFERROR(INDEX(装备库!$A$2:$Y$1047,MATCH(ROW()-1,装备库!$AO$2:$AO$1046,0),COLUMN()),"")</f>
        <v/>
      </c>
      <c r="E885" t="str">
        <f>IFERROR(INDEX(装备库!$A$2:$Y$1047,MATCH(ROW()-1,装备库!$AO$2:$AO$1046,0),COLUMN()),"")</f>
        <v/>
      </c>
      <c r="F885" t="str">
        <f>IFERROR(INDEX(装备库!$A$2:$Y$1047,MATCH(ROW()-1,装备库!$AO$2:$AO$1046,0),COLUMN()),"")</f>
        <v/>
      </c>
      <c r="G885" t="str">
        <f>IFERROR(INDEX(装备库!$A$2:$Y$1047,MATCH(ROW()-1,装备库!$AO$2:$AO$1046,0),COLUMN()),"")</f>
        <v/>
      </c>
      <c r="H885" t="str">
        <f>IFERROR(INDEX(装备库!$A$2:$Y$1047,MATCH(ROW()-1,装备库!$AO$2:$AO$1046,0),COLUMN()),"")</f>
        <v/>
      </c>
      <c r="I885" t="str">
        <f>IFERROR(INDEX(装备库!$A$2:$Y$1047,MATCH(ROW()-1,装备库!$AO$2:$AO$1046,0),COLUMN()),"")</f>
        <v/>
      </c>
      <c r="J885" t="str">
        <f>IFERROR(INDEX(装备库!$A$2:$Y$1047,MATCH(ROW()-1,装备库!$AO$2:$AO$1046,0),COLUMN()),"")</f>
        <v/>
      </c>
      <c r="K885" t="str">
        <f>IFERROR(INDEX(装备库!$A$2:$Y$1047,MATCH(ROW()-1,装备库!$AO$2:$AO$1046,0),COLUMN()),"")</f>
        <v/>
      </c>
      <c r="L885" t="str">
        <f>IFERROR(INDEX(装备库!$A$2:$Y$1047,MATCH(ROW()-1,装备库!$AO$2:$AO$1046,0),COLUMN()),"")</f>
        <v/>
      </c>
      <c r="M885" t="str">
        <f>IFERROR(INDEX(装备库!$A$2:$Y$1047,MATCH(ROW()-1,装备库!$AO$2:$AO$1046,0),COLUMN()),"")</f>
        <v/>
      </c>
      <c r="N885" t="str">
        <f>IFERROR(INDEX(装备库!$A$2:$Y$1047,MATCH(ROW()-1,装备库!$AO$2:$AO$1046,0),COLUMN()),"")</f>
        <v/>
      </c>
      <c r="O885" t="str">
        <f>IFERROR(INDEX(装备库!$A$2:$Y$1047,MATCH(ROW()-1,装备库!$AO$2:$AO$1046,0),COLUMN()),"")</f>
        <v/>
      </c>
      <c r="P885" t="str">
        <f>IFERROR(INDEX(装备库!$A$2:$Y$1047,MATCH(ROW()-1,装备库!$AO$2:$AO$1046,0),COLUMN()),"")</f>
        <v/>
      </c>
      <c r="Q885" t="str">
        <f>IFERROR(INDEX(装备库!$A$2:$Y$1047,MATCH(ROW()-1,装备库!$AO$2:$AO$1046,0),COLUMN()),"")</f>
        <v/>
      </c>
      <c r="R885" t="str">
        <f>IFERROR(INDEX(装备库!$A$2:$Y$1047,MATCH(ROW()-1,装备库!$AO$2:$AO$1046,0),COLUMN()),"")</f>
        <v/>
      </c>
      <c r="S885" t="str">
        <f>IFERROR(INDEX(装备库!$A$2:$Y$1047,MATCH(ROW()-1,装备库!$AO$2:$AO$1046,0),COLUMN()),"")</f>
        <v/>
      </c>
      <c r="T885" t="str">
        <f>IFERROR(INDEX(装备库!$A$2:$Y$1047,MATCH(ROW()-1,装备库!$AO$2:$AO$1046,0),COLUMN()),"")</f>
        <v/>
      </c>
      <c r="U885" t="str">
        <f>IFERROR(INDEX(装备库!$A$2:$Y$1047,MATCH(ROW()-1,装备库!$AO$2:$AO$1046,0),COLUMN()),"")</f>
        <v/>
      </c>
      <c r="V885" t="str">
        <f>IFERROR(INDEX(装备库!$A$2:$Y$1047,MATCH(ROW()-1,装备库!$AO$2:$AO$1046,0),COLUMN()),"")</f>
        <v/>
      </c>
      <c r="W885" t="str">
        <f>IFERROR(INDEX(装备库!$A$2:$Y$1047,MATCH(ROW()-1,装备库!$AO$2:$AO$1046,0),COLUMN()),"")</f>
        <v/>
      </c>
      <c r="X885" t="str">
        <f>IFERROR(INDEX(装备库!$A$2:$Y$1047,MATCH(ROW()-1,装备库!$AO$2:$AO$1046,0),COLUMN()),"")</f>
        <v/>
      </c>
      <c r="Y885" t="str">
        <f>IFERROR(INDEX(装备库!$A$2:$Y$1047,MATCH(ROW()-1,装备库!$AO$2:$AO$1046,0),COLUMN()),"")</f>
        <v/>
      </c>
    </row>
    <row r="886" spans="1:25" x14ac:dyDescent="0.35">
      <c r="A886" t="str">
        <f>IFERROR(INDEX(装备库!$A$2:$Y$1047,MATCH(ROW()-1,装备库!$AO$2:$AO$1046,0),COLUMN()),"")</f>
        <v/>
      </c>
      <c r="B886" t="str">
        <f>IFERROR(INDEX(装备库!$A$2:$Y$1047,MATCH(ROW()-1,装备库!$AO$2:$AO$1046,0),COLUMN()),"")</f>
        <v/>
      </c>
      <c r="C886" t="str">
        <f>IFERROR(INDEX(装备库!$A$2:$Y$1047,MATCH(ROW()-1,装备库!$AO$2:$AO$1046,0),COLUMN()),"")</f>
        <v/>
      </c>
      <c r="D886" t="str">
        <f>IFERROR(INDEX(装备库!$A$2:$Y$1047,MATCH(ROW()-1,装备库!$AO$2:$AO$1046,0),COLUMN()),"")</f>
        <v/>
      </c>
      <c r="E886" t="str">
        <f>IFERROR(INDEX(装备库!$A$2:$Y$1047,MATCH(ROW()-1,装备库!$AO$2:$AO$1046,0),COLUMN()),"")</f>
        <v/>
      </c>
      <c r="F886" t="str">
        <f>IFERROR(INDEX(装备库!$A$2:$Y$1047,MATCH(ROW()-1,装备库!$AO$2:$AO$1046,0),COLUMN()),"")</f>
        <v/>
      </c>
      <c r="G886" t="str">
        <f>IFERROR(INDEX(装备库!$A$2:$Y$1047,MATCH(ROW()-1,装备库!$AO$2:$AO$1046,0),COLUMN()),"")</f>
        <v/>
      </c>
      <c r="H886" t="str">
        <f>IFERROR(INDEX(装备库!$A$2:$Y$1047,MATCH(ROW()-1,装备库!$AO$2:$AO$1046,0),COLUMN()),"")</f>
        <v/>
      </c>
      <c r="I886" t="str">
        <f>IFERROR(INDEX(装备库!$A$2:$Y$1047,MATCH(ROW()-1,装备库!$AO$2:$AO$1046,0),COLUMN()),"")</f>
        <v/>
      </c>
      <c r="J886" t="str">
        <f>IFERROR(INDEX(装备库!$A$2:$Y$1047,MATCH(ROW()-1,装备库!$AO$2:$AO$1046,0),COLUMN()),"")</f>
        <v/>
      </c>
      <c r="K886" t="str">
        <f>IFERROR(INDEX(装备库!$A$2:$Y$1047,MATCH(ROW()-1,装备库!$AO$2:$AO$1046,0),COLUMN()),"")</f>
        <v/>
      </c>
      <c r="L886" t="str">
        <f>IFERROR(INDEX(装备库!$A$2:$Y$1047,MATCH(ROW()-1,装备库!$AO$2:$AO$1046,0),COLUMN()),"")</f>
        <v/>
      </c>
      <c r="M886" t="str">
        <f>IFERROR(INDEX(装备库!$A$2:$Y$1047,MATCH(ROW()-1,装备库!$AO$2:$AO$1046,0),COLUMN()),"")</f>
        <v/>
      </c>
      <c r="N886" t="str">
        <f>IFERROR(INDEX(装备库!$A$2:$Y$1047,MATCH(ROW()-1,装备库!$AO$2:$AO$1046,0),COLUMN()),"")</f>
        <v/>
      </c>
      <c r="O886" t="str">
        <f>IFERROR(INDEX(装备库!$A$2:$Y$1047,MATCH(ROW()-1,装备库!$AO$2:$AO$1046,0),COLUMN()),"")</f>
        <v/>
      </c>
      <c r="P886" t="str">
        <f>IFERROR(INDEX(装备库!$A$2:$Y$1047,MATCH(ROW()-1,装备库!$AO$2:$AO$1046,0),COLUMN()),"")</f>
        <v/>
      </c>
      <c r="Q886" t="str">
        <f>IFERROR(INDEX(装备库!$A$2:$Y$1047,MATCH(ROW()-1,装备库!$AO$2:$AO$1046,0),COLUMN()),"")</f>
        <v/>
      </c>
      <c r="R886" t="str">
        <f>IFERROR(INDEX(装备库!$A$2:$Y$1047,MATCH(ROW()-1,装备库!$AO$2:$AO$1046,0),COLUMN()),"")</f>
        <v/>
      </c>
      <c r="S886" t="str">
        <f>IFERROR(INDEX(装备库!$A$2:$Y$1047,MATCH(ROW()-1,装备库!$AO$2:$AO$1046,0),COLUMN()),"")</f>
        <v/>
      </c>
      <c r="T886" t="str">
        <f>IFERROR(INDEX(装备库!$A$2:$Y$1047,MATCH(ROW()-1,装备库!$AO$2:$AO$1046,0),COLUMN()),"")</f>
        <v/>
      </c>
      <c r="U886" t="str">
        <f>IFERROR(INDEX(装备库!$A$2:$Y$1047,MATCH(ROW()-1,装备库!$AO$2:$AO$1046,0),COLUMN()),"")</f>
        <v/>
      </c>
      <c r="V886" t="str">
        <f>IFERROR(INDEX(装备库!$A$2:$Y$1047,MATCH(ROW()-1,装备库!$AO$2:$AO$1046,0),COLUMN()),"")</f>
        <v/>
      </c>
      <c r="W886" t="str">
        <f>IFERROR(INDEX(装备库!$A$2:$Y$1047,MATCH(ROW()-1,装备库!$AO$2:$AO$1046,0),COLUMN()),"")</f>
        <v/>
      </c>
      <c r="X886" t="str">
        <f>IFERROR(INDEX(装备库!$A$2:$Y$1047,MATCH(ROW()-1,装备库!$AO$2:$AO$1046,0),COLUMN()),"")</f>
        <v/>
      </c>
      <c r="Y886" t="str">
        <f>IFERROR(INDEX(装备库!$A$2:$Y$1047,MATCH(ROW()-1,装备库!$AO$2:$AO$1046,0),COLUMN()),"")</f>
        <v/>
      </c>
    </row>
    <row r="887" spans="1:25" x14ac:dyDescent="0.35">
      <c r="A887" t="str">
        <f>IFERROR(INDEX(装备库!$A$2:$Y$1047,MATCH(ROW()-1,装备库!$AO$2:$AO$1046,0),COLUMN()),"")</f>
        <v/>
      </c>
      <c r="B887" t="str">
        <f>IFERROR(INDEX(装备库!$A$2:$Y$1047,MATCH(ROW()-1,装备库!$AO$2:$AO$1046,0),COLUMN()),"")</f>
        <v/>
      </c>
      <c r="C887" t="str">
        <f>IFERROR(INDEX(装备库!$A$2:$Y$1047,MATCH(ROW()-1,装备库!$AO$2:$AO$1046,0),COLUMN()),"")</f>
        <v/>
      </c>
      <c r="D887" t="str">
        <f>IFERROR(INDEX(装备库!$A$2:$Y$1047,MATCH(ROW()-1,装备库!$AO$2:$AO$1046,0),COLUMN()),"")</f>
        <v/>
      </c>
      <c r="E887" t="str">
        <f>IFERROR(INDEX(装备库!$A$2:$Y$1047,MATCH(ROW()-1,装备库!$AO$2:$AO$1046,0),COLUMN()),"")</f>
        <v/>
      </c>
      <c r="F887" t="str">
        <f>IFERROR(INDEX(装备库!$A$2:$Y$1047,MATCH(ROW()-1,装备库!$AO$2:$AO$1046,0),COLUMN()),"")</f>
        <v/>
      </c>
      <c r="G887" t="str">
        <f>IFERROR(INDEX(装备库!$A$2:$Y$1047,MATCH(ROW()-1,装备库!$AO$2:$AO$1046,0),COLUMN()),"")</f>
        <v/>
      </c>
      <c r="H887" t="str">
        <f>IFERROR(INDEX(装备库!$A$2:$Y$1047,MATCH(ROW()-1,装备库!$AO$2:$AO$1046,0),COLUMN()),"")</f>
        <v/>
      </c>
      <c r="I887" t="str">
        <f>IFERROR(INDEX(装备库!$A$2:$Y$1047,MATCH(ROW()-1,装备库!$AO$2:$AO$1046,0),COLUMN()),"")</f>
        <v/>
      </c>
      <c r="J887" t="str">
        <f>IFERROR(INDEX(装备库!$A$2:$Y$1047,MATCH(ROW()-1,装备库!$AO$2:$AO$1046,0),COLUMN()),"")</f>
        <v/>
      </c>
      <c r="K887" t="str">
        <f>IFERROR(INDEX(装备库!$A$2:$Y$1047,MATCH(ROW()-1,装备库!$AO$2:$AO$1046,0),COLUMN()),"")</f>
        <v/>
      </c>
      <c r="L887" t="str">
        <f>IFERROR(INDEX(装备库!$A$2:$Y$1047,MATCH(ROW()-1,装备库!$AO$2:$AO$1046,0),COLUMN()),"")</f>
        <v/>
      </c>
      <c r="M887" t="str">
        <f>IFERROR(INDEX(装备库!$A$2:$Y$1047,MATCH(ROW()-1,装备库!$AO$2:$AO$1046,0),COLUMN()),"")</f>
        <v/>
      </c>
      <c r="N887" t="str">
        <f>IFERROR(INDEX(装备库!$A$2:$Y$1047,MATCH(ROW()-1,装备库!$AO$2:$AO$1046,0),COLUMN()),"")</f>
        <v/>
      </c>
      <c r="O887" t="str">
        <f>IFERROR(INDEX(装备库!$A$2:$Y$1047,MATCH(ROW()-1,装备库!$AO$2:$AO$1046,0),COLUMN()),"")</f>
        <v/>
      </c>
      <c r="P887" t="str">
        <f>IFERROR(INDEX(装备库!$A$2:$Y$1047,MATCH(ROW()-1,装备库!$AO$2:$AO$1046,0),COLUMN()),"")</f>
        <v/>
      </c>
      <c r="Q887" t="str">
        <f>IFERROR(INDEX(装备库!$A$2:$Y$1047,MATCH(ROW()-1,装备库!$AO$2:$AO$1046,0),COLUMN()),"")</f>
        <v/>
      </c>
      <c r="R887" t="str">
        <f>IFERROR(INDEX(装备库!$A$2:$Y$1047,MATCH(ROW()-1,装备库!$AO$2:$AO$1046,0),COLUMN()),"")</f>
        <v/>
      </c>
      <c r="S887" t="str">
        <f>IFERROR(INDEX(装备库!$A$2:$Y$1047,MATCH(ROW()-1,装备库!$AO$2:$AO$1046,0),COLUMN()),"")</f>
        <v/>
      </c>
      <c r="T887" t="str">
        <f>IFERROR(INDEX(装备库!$A$2:$Y$1047,MATCH(ROW()-1,装备库!$AO$2:$AO$1046,0),COLUMN()),"")</f>
        <v/>
      </c>
      <c r="U887" t="str">
        <f>IFERROR(INDEX(装备库!$A$2:$Y$1047,MATCH(ROW()-1,装备库!$AO$2:$AO$1046,0),COLUMN()),"")</f>
        <v/>
      </c>
      <c r="V887" t="str">
        <f>IFERROR(INDEX(装备库!$A$2:$Y$1047,MATCH(ROW()-1,装备库!$AO$2:$AO$1046,0),COLUMN()),"")</f>
        <v/>
      </c>
      <c r="W887" t="str">
        <f>IFERROR(INDEX(装备库!$A$2:$Y$1047,MATCH(ROW()-1,装备库!$AO$2:$AO$1046,0),COLUMN()),"")</f>
        <v/>
      </c>
      <c r="X887" t="str">
        <f>IFERROR(INDEX(装备库!$A$2:$Y$1047,MATCH(ROW()-1,装备库!$AO$2:$AO$1046,0),COLUMN()),"")</f>
        <v/>
      </c>
      <c r="Y887" t="str">
        <f>IFERROR(INDEX(装备库!$A$2:$Y$1047,MATCH(ROW()-1,装备库!$AO$2:$AO$1046,0),COLUMN()),"")</f>
        <v/>
      </c>
    </row>
    <row r="888" spans="1:25" x14ac:dyDescent="0.35">
      <c r="A888" t="str">
        <f>IFERROR(INDEX(装备库!$A$2:$Y$1047,MATCH(ROW()-1,装备库!$AO$2:$AO$1046,0),COLUMN()),"")</f>
        <v/>
      </c>
      <c r="B888" t="str">
        <f>IFERROR(INDEX(装备库!$A$2:$Y$1047,MATCH(ROW()-1,装备库!$AO$2:$AO$1046,0),COLUMN()),"")</f>
        <v/>
      </c>
      <c r="C888" t="str">
        <f>IFERROR(INDEX(装备库!$A$2:$Y$1047,MATCH(ROW()-1,装备库!$AO$2:$AO$1046,0),COLUMN()),"")</f>
        <v/>
      </c>
      <c r="D888" t="str">
        <f>IFERROR(INDEX(装备库!$A$2:$Y$1047,MATCH(ROW()-1,装备库!$AO$2:$AO$1046,0),COLUMN()),"")</f>
        <v/>
      </c>
      <c r="E888" t="str">
        <f>IFERROR(INDEX(装备库!$A$2:$Y$1047,MATCH(ROW()-1,装备库!$AO$2:$AO$1046,0),COLUMN()),"")</f>
        <v/>
      </c>
      <c r="F888" t="str">
        <f>IFERROR(INDEX(装备库!$A$2:$Y$1047,MATCH(ROW()-1,装备库!$AO$2:$AO$1046,0),COLUMN()),"")</f>
        <v/>
      </c>
      <c r="G888" t="str">
        <f>IFERROR(INDEX(装备库!$A$2:$Y$1047,MATCH(ROW()-1,装备库!$AO$2:$AO$1046,0),COLUMN()),"")</f>
        <v/>
      </c>
      <c r="H888" t="str">
        <f>IFERROR(INDEX(装备库!$A$2:$Y$1047,MATCH(ROW()-1,装备库!$AO$2:$AO$1046,0),COLUMN()),"")</f>
        <v/>
      </c>
      <c r="I888" t="str">
        <f>IFERROR(INDEX(装备库!$A$2:$Y$1047,MATCH(ROW()-1,装备库!$AO$2:$AO$1046,0),COLUMN()),"")</f>
        <v/>
      </c>
      <c r="J888" t="str">
        <f>IFERROR(INDEX(装备库!$A$2:$Y$1047,MATCH(ROW()-1,装备库!$AO$2:$AO$1046,0),COLUMN()),"")</f>
        <v/>
      </c>
      <c r="K888" t="str">
        <f>IFERROR(INDEX(装备库!$A$2:$Y$1047,MATCH(ROW()-1,装备库!$AO$2:$AO$1046,0),COLUMN()),"")</f>
        <v/>
      </c>
      <c r="L888" t="str">
        <f>IFERROR(INDEX(装备库!$A$2:$Y$1047,MATCH(ROW()-1,装备库!$AO$2:$AO$1046,0),COLUMN()),"")</f>
        <v/>
      </c>
      <c r="M888" t="str">
        <f>IFERROR(INDEX(装备库!$A$2:$Y$1047,MATCH(ROW()-1,装备库!$AO$2:$AO$1046,0),COLUMN()),"")</f>
        <v/>
      </c>
      <c r="N888" t="str">
        <f>IFERROR(INDEX(装备库!$A$2:$Y$1047,MATCH(ROW()-1,装备库!$AO$2:$AO$1046,0),COLUMN()),"")</f>
        <v/>
      </c>
      <c r="O888" t="str">
        <f>IFERROR(INDEX(装备库!$A$2:$Y$1047,MATCH(ROW()-1,装备库!$AO$2:$AO$1046,0),COLUMN()),"")</f>
        <v/>
      </c>
      <c r="P888" t="str">
        <f>IFERROR(INDEX(装备库!$A$2:$Y$1047,MATCH(ROW()-1,装备库!$AO$2:$AO$1046,0),COLUMN()),"")</f>
        <v/>
      </c>
      <c r="Q888" t="str">
        <f>IFERROR(INDEX(装备库!$A$2:$Y$1047,MATCH(ROW()-1,装备库!$AO$2:$AO$1046,0),COLUMN()),"")</f>
        <v/>
      </c>
      <c r="R888" t="str">
        <f>IFERROR(INDEX(装备库!$A$2:$Y$1047,MATCH(ROW()-1,装备库!$AO$2:$AO$1046,0),COLUMN()),"")</f>
        <v/>
      </c>
      <c r="S888" t="str">
        <f>IFERROR(INDEX(装备库!$A$2:$Y$1047,MATCH(ROW()-1,装备库!$AO$2:$AO$1046,0),COLUMN()),"")</f>
        <v/>
      </c>
      <c r="T888" t="str">
        <f>IFERROR(INDEX(装备库!$A$2:$Y$1047,MATCH(ROW()-1,装备库!$AO$2:$AO$1046,0),COLUMN()),"")</f>
        <v/>
      </c>
      <c r="U888" t="str">
        <f>IFERROR(INDEX(装备库!$A$2:$Y$1047,MATCH(ROW()-1,装备库!$AO$2:$AO$1046,0),COLUMN()),"")</f>
        <v/>
      </c>
      <c r="V888" t="str">
        <f>IFERROR(INDEX(装备库!$A$2:$Y$1047,MATCH(ROW()-1,装备库!$AO$2:$AO$1046,0),COLUMN()),"")</f>
        <v/>
      </c>
      <c r="W888" t="str">
        <f>IFERROR(INDEX(装备库!$A$2:$Y$1047,MATCH(ROW()-1,装备库!$AO$2:$AO$1046,0),COLUMN()),"")</f>
        <v/>
      </c>
      <c r="X888" t="str">
        <f>IFERROR(INDEX(装备库!$A$2:$Y$1047,MATCH(ROW()-1,装备库!$AO$2:$AO$1046,0),COLUMN()),"")</f>
        <v/>
      </c>
      <c r="Y888" t="str">
        <f>IFERROR(INDEX(装备库!$A$2:$Y$1047,MATCH(ROW()-1,装备库!$AO$2:$AO$1046,0),COLUMN()),"")</f>
        <v/>
      </c>
    </row>
    <row r="889" spans="1:25" x14ac:dyDescent="0.35">
      <c r="A889" t="str">
        <f>IFERROR(INDEX(装备库!$A$2:$Y$1047,MATCH(ROW()-1,装备库!$AO$2:$AO$1046,0),COLUMN()),"")</f>
        <v/>
      </c>
      <c r="B889" t="str">
        <f>IFERROR(INDEX(装备库!$A$2:$Y$1047,MATCH(ROW()-1,装备库!$AO$2:$AO$1046,0),COLUMN()),"")</f>
        <v/>
      </c>
      <c r="C889" t="str">
        <f>IFERROR(INDEX(装备库!$A$2:$Y$1047,MATCH(ROW()-1,装备库!$AO$2:$AO$1046,0),COLUMN()),"")</f>
        <v/>
      </c>
      <c r="D889" t="str">
        <f>IFERROR(INDEX(装备库!$A$2:$Y$1047,MATCH(ROW()-1,装备库!$AO$2:$AO$1046,0),COLUMN()),"")</f>
        <v/>
      </c>
      <c r="E889" t="str">
        <f>IFERROR(INDEX(装备库!$A$2:$Y$1047,MATCH(ROW()-1,装备库!$AO$2:$AO$1046,0),COLUMN()),"")</f>
        <v/>
      </c>
      <c r="F889" t="str">
        <f>IFERROR(INDEX(装备库!$A$2:$Y$1047,MATCH(ROW()-1,装备库!$AO$2:$AO$1046,0),COLUMN()),"")</f>
        <v/>
      </c>
      <c r="G889" t="str">
        <f>IFERROR(INDEX(装备库!$A$2:$Y$1047,MATCH(ROW()-1,装备库!$AO$2:$AO$1046,0),COLUMN()),"")</f>
        <v/>
      </c>
      <c r="H889" t="str">
        <f>IFERROR(INDEX(装备库!$A$2:$Y$1047,MATCH(ROW()-1,装备库!$AO$2:$AO$1046,0),COLUMN()),"")</f>
        <v/>
      </c>
      <c r="I889" t="str">
        <f>IFERROR(INDEX(装备库!$A$2:$Y$1047,MATCH(ROW()-1,装备库!$AO$2:$AO$1046,0),COLUMN()),"")</f>
        <v/>
      </c>
      <c r="J889" t="str">
        <f>IFERROR(INDEX(装备库!$A$2:$Y$1047,MATCH(ROW()-1,装备库!$AO$2:$AO$1046,0),COLUMN()),"")</f>
        <v/>
      </c>
      <c r="K889" t="str">
        <f>IFERROR(INDEX(装备库!$A$2:$Y$1047,MATCH(ROW()-1,装备库!$AO$2:$AO$1046,0),COLUMN()),"")</f>
        <v/>
      </c>
      <c r="L889" t="str">
        <f>IFERROR(INDEX(装备库!$A$2:$Y$1047,MATCH(ROW()-1,装备库!$AO$2:$AO$1046,0),COLUMN()),"")</f>
        <v/>
      </c>
      <c r="M889" t="str">
        <f>IFERROR(INDEX(装备库!$A$2:$Y$1047,MATCH(ROW()-1,装备库!$AO$2:$AO$1046,0),COLUMN()),"")</f>
        <v/>
      </c>
      <c r="N889" t="str">
        <f>IFERROR(INDEX(装备库!$A$2:$Y$1047,MATCH(ROW()-1,装备库!$AO$2:$AO$1046,0),COLUMN()),"")</f>
        <v/>
      </c>
      <c r="O889" t="str">
        <f>IFERROR(INDEX(装备库!$A$2:$Y$1047,MATCH(ROW()-1,装备库!$AO$2:$AO$1046,0),COLUMN()),"")</f>
        <v/>
      </c>
      <c r="P889" t="str">
        <f>IFERROR(INDEX(装备库!$A$2:$Y$1047,MATCH(ROW()-1,装备库!$AO$2:$AO$1046,0),COLUMN()),"")</f>
        <v/>
      </c>
      <c r="Q889" t="str">
        <f>IFERROR(INDEX(装备库!$A$2:$Y$1047,MATCH(ROW()-1,装备库!$AO$2:$AO$1046,0),COLUMN()),"")</f>
        <v/>
      </c>
      <c r="R889" t="str">
        <f>IFERROR(INDEX(装备库!$A$2:$Y$1047,MATCH(ROW()-1,装备库!$AO$2:$AO$1046,0),COLUMN()),"")</f>
        <v/>
      </c>
      <c r="S889" t="str">
        <f>IFERROR(INDEX(装备库!$A$2:$Y$1047,MATCH(ROW()-1,装备库!$AO$2:$AO$1046,0),COLUMN()),"")</f>
        <v/>
      </c>
      <c r="T889" t="str">
        <f>IFERROR(INDEX(装备库!$A$2:$Y$1047,MATCH(ROW()-1,装备库!$AO$2:$AO$1046,0),COLUMN()),"")</f>
        <v/>
      </c>
      <c r="U889" t="str">
        <f>IFERROR(INDEX(装备库!$A$2:$Y$1047,MATCH(ROW()-1,装备库!$AO$2:$AO$1046,0),COLUMN()),"")</f>
        <v/>
      </c>
      <c r="V889" t="str">
        <f>IFERROR(INDEX(装备库!$A$2:$Y$1047,MATCH(ROW()-1,装备库!$AO$2:$AO$1046,0),COLUMN()),"")</f>
        <v/>
      </c>
      <c r="W889" t="str">
        <f>IFERROR(INDEX(装备库!$A$2:$Y$1047,MATCH(ROW()-1,装备库!$AO$2:$AO$1046,0),COLUMN()),"")</f>
        <v/>
      </c>
      <c r="X889" t="str">
        <f>IFERROR(INDEX(装备库!$A$2:$Y$1047,MATCH(ROW()-1,装备库!$AO$2:$AO$1046,0),COLUMN()),"")</f>
        <v/>
      </c>
      <c r="Y889" t="str">
        <f>IFERROR(INDEX(装备库!$A$2:$Y$1047,MATCH(ROW()-1,装备库!$AO$2:$AO$1046,0),COLUMN()),"")</f>
        <v/>
      </c>
    </row>
    <row r="890" spans="1:25" x14ac:dyDescent="0.35">
      <c r="A890" t="str">
        <f>IFERROR(INDEX(装备库!$A$2:$Y$1047,MATCH(ROW()-1,装备库!$AO$2:$AO$1046,0),COLUMN()),"")</f>
        <v/>
      </c>
      <c r="B890" t="str">
        <f>IFERROR(INDEX(装备库!$A$2:$Y$1047,MATCH(ROW()-1,装备库!$AO$2:$AO$1046,0),COLUMN()),"")</f>
        <v/>
      </c>
      <c r="C890" t="str">
        <f>IFERROR(INDEX(装备库!$A$2:$Y$1047,MATCH(ROW()-1,装备库!$AO$2:$AO$1046,0),COLUMN()),"")</f>
        <v/>
      </c>
      <c r="D890" t="str">
        <f>IFERROR(INDEX(装备库!$A$2:$Y$1047,MATCH(ROW()-1,装备库!$AO$2:$AO$1046,0),COLUMN()),"")</f>
        <v/>
      </c>
      <c r="E890" t="str">
        <f>IFERROR(INDEX(装备库!$A$2:$Y$1047,MATCH(ROW()-1,装备库!$AO$2:$AO$1046,0),COLUMN()),"")</f>
        <v/>
      </c>
      <c r="F890" t="str">
        <f>IFERROR(INDEX(装备库!$A$2:$Y$1047,MATCH(ROW()-1,装备库!$AO$2:$AO$1046,0),COLUMN()),"")</f>
        <v/>
      </c>
      <c r="G890" t="str">
        <f>IFERROR(INDEX(装备库!$A$2:$Y$1047,MATCH(ROW()-1,装备库!$AO$2:$AO$1046,0),COLUMN()),"")</f>
        <v/>
      </c>
      <c r="H890" t="str">
        <f>IFERROR(INDEX(装备库!$A$2:$Y$1047,MATCH(ROW()-1,装备库!$AO$2:$AO$1046,0),COLUMN()),"")</f>
        <v/>
      </c>
      <c r="I890" t="str">
        <f>IFERROR(INDEX(装备库!$A$2:$Y$1047,MATCH(ROW()-1,装备库!$AO$2:$AO$1046,0),COLUMN()),"")</f>
        <v/>
      </c>
      <c r="J890" t="str">
        <f>IFERROR(INDEX(装备库!$A$2:$Y$1047,MATCH(ROW()-1,装备库!$AO$2:$AO$1046,0),COLUMN()),"")</f>
        <v/>
      </c>
      <c r="K890" t="str">
        <f>IFERROR(INDEX(装备库!$A$2:$Y$1047,MATCH(ROW()-1,装备库!$AO$2:$AO$1046,0),COLUMN()),"")</f>
        <v/>
      </c>
      <c r="L890" t="str">
        <f>IFERROR(INDEX(装备库!$A$2:$Y$1047,MATCH(ROW()-1,装备库!$AO$2:$AO$1046,0),COLUMN()),"")</f>
        <v/>
      </c>
      <c r="M890" t="str">
        <f>IFERROR(INDEX(装备库!$A$2:$Y$1047,MATCH(ROW()-1,装备库!$AO$2:$AO$1046,0),COLUMN()),"")</f>
        <v/>
      </c>
      <c r="N890" t="str">
        <f>IFERROR(INDEX(装备库!$A$2:$Y$1047,MATCH(ROW()-1,装备库!$AO$2:$AO$1046,0),COLUMN()),"")</f>
        <v/>
      </c>
      <c r="O890" t="str">
        <f>IFERROR(INDEX(装备库!$A$2:$Y$1047,MATCH(ROW()-1,装备库!$AO$2:$AO$1046,0),COLUMN()),"")</f>
        <v/>
      </c>
      <c r="P890" t="str">
        <f>IFERROR(INDEX(装备库!$A$2:$Y$1047,MATCH(ROW()-1,装备库!$AO$2:$AO$1046,0),COLUMN()),"")</f>
        <v/>
      </c>
      <c r="Q890" t="str">
        <f>IFERROR(INDEX(装备库!$A$2:$Y$1047,MATCH(ROW()-1,装备库!$AO$2:$AO$1046,0),COLUMN()),"")</f>
        <v/>
      </c>
      <c r="R890" t="str">
        <f>IFERROR(INDEX(装备库!$A$2:$Y$1047,MATCH(ROW()-1,装备库!$AO$2:$AO$1046,0),COLUMN()),"")</f>
        <v/>
      </c>
      <c r="S890" t="str">
        <f>IFERROR(INDEX(装备库!$A$2:$Y$1047,MATCH(ROW()-1,装备库!$AO$2:$AO$1046,0),COLUMN()),"")</f>
        <v/>
      </c>
      <c r="T890" t="str">
        <f>IFERROR(INDEX(装备库!$A$2:$Y$1047,MATCH(ROW()-1,装备库!$AO$2:$AO$1046,0),COLUMN()),"")</f>
        <v/>
      </c>
      <c r="U890" t="str">
        <f>IFERROR(INDEX(装备库!$A$2:$Y$1047,MATCH(ROW()-1,装备库!$AO$2:$AO$1046,0),COLUMN()),"")</f>
        <v/>
      </c>
      <c r="V890" t="str">
        <f>IFERROR(INDEX(装备库!$A$2:$Y$1047,MATCH(ROW()-1,装备库!$AO$2:$AO$1046,0),COLUMN()),"")</f>
        <v/>
      </c>
      <c r="W890" t="str">
        <f>IFERROR(INDEX(装备库!$A$2:$Y$1047,MATCH(ROW()-1,装备库!$AO$2:$AO$1046,0),COLUMN()),"")</f>
        <v/>
      </c>
      <c r="X890" t="str">
        <f>IFERROR(INDEX(装备库!$A$2:$Y$1047,MATCH(ROW()-1,装备库!$AO$2:$AO$1046,0),COLUMN()),"")</f>
        <v/>
      </c>
      <c r="Y890" t="str">
        <f>IFERROR(INDEX(装备库!$A$2:$Y$1047,MATCH(ROW()-1,装备库!$AO$2:$AO$1046,0),COLUMN()),"")</f>
        <v/>
      </c>
    </row>
    <row r="891" spans="1:25" x14ac:dyDescent="0.35">
      <c r="A891" t="str">
        <f>IFERROR(INDEX(装备库!$A$2:$Y$1047,MATCH(ROW()-1,装备库!$AO$2:$AO$1046,0),COLUMN()),"")</f>
        <v/>
      </c>
      <c r="B891" t="str">
        <f>IFERROR(INDEX(装备库!$A$2:$Y$1047,MATCH(ROW()-1,装备库!$AO$2:$AO$1046,0),COLUMN()),"")</f>
        <v/>
      </c>
      <c r="C891" t="str">
        <f>IFERROR(INDEX(装备库!$A$2:$Y$1047,MATCH(ROW()-1,装备库!$AO$2:$AO$1046,0),COLUMN()),"")</f>
        <v/>
      </c>
      <c r="D891" t="str">
        <f>IFERROR(INDEX(装备库!$A$2:$Y$1047,MATCH(ROW()-1,装备库!$AO$2:$AO$1046,0),COLUMN()),"")</f>
        <v/>
      </c>
      <c r="E891" t="str">
        <f>IFERROR(INDEX(装备库!$A$2:$Y$1047,MATCH(ROW()-1,装备库!$AO$2:$AO$1046,0),COLUMN()),"")</f>
        <v/>
      </c>
      <c r="F891" t="str">
        <f>IFERROR(INDEX(装备库!$A$2:$Y$1047,MATCH(ROW()-1,装备库!$AO$2:$AO$1046,0),COLUMN()),"")</f>
        <v/>
      </c>
      <c r="G891" t="str">
        <f>IFERROR(INDEX(装备库!$A$2:$Y$1047,MATCH(ROW()-1,装备库!$AO$2:$AO$1046,0),COLUMN()),"")</f>
        <v/>
      </c>
      <c r="H891" t="str">
        <f>IFERROR(INDEX(装备库!$A$2:$Y$1047,MATCH(ROW()-1,装备库!$AO$2:$AO$1046,0),COLUMN()),"")</f>
        <v/>
      </c>
      <c r="I891" t="str">
        <f>IFERROR(INDEX(装备库!$A$2:$Y$1047,MATCH(ROW()-1,装备库!$AO$2:$AO$1046,0),COLUMN()),"")</f>
        <v/>
      </c>
      <c r="J891" t="str">
        <f>IFERROR(INDEX(装备库!$A$2:$Y$1047,MATCH(ROW()-1,装备库!$AO$2:$AO$1046,0),COLUMN()),"")</f>
        <v/>
      </c>
      <c r="K891" t="str">
        <f>IFERROR(INDEX(装备库!$A$2:$Y$1047,MATCH(ROW()-1,装备库!$AO$2:$AO$1046,0),COLUMN()),"")</f>
        <v/>
      </c>
      <c r="L891" t="str">
        <f>IFERROR(INDEX(装备库!$A$2:$Y$1047,MATCH(ROW()-1,装备库!$AO$2:$AO$1046,0),COLUMN()),"")</f>
        <v/>
      </c>
      <c r="M891" t="str">
        <f>IFERROR(INDEX(装备库!$A$2:$Y$1047,MATCH(ROW()-1,装备库!$AO$2:$AO$1046,0),COLUMN()),"")</f>
        <v/>
      </c>
      <c r="N891" t="str">
        <f>IFERROR(INDEX(装备库!$A$2:$Y$1047,MATCH(ROW()-1,装备库!$AO$2:$AO$1046,0),COLUMN()),"")</f>
        <v/>
      </c>
      <c r="O891" t="str">
        <f>IFERROR(INDEX(装备库!$A$2:$Y$1047,MATCH(ROW()-1,装备库!$AO$2:$AO$1046,0),COLUMN()),"")</f>
        <v/>
      </c>
      <c r="P891" t="str">
        <f>IFERROR(INDEX(装备库!$A$2:$Y$1047,MATCH(ROW()-1,装备库!$AO$2:$AO$1046,0),COLUMN()),"")</f>
        <v/>
      </c>
      <c r="Q891" t="str">
        <f>IFERROR(INDEX(装备库!$A$2:$Y$1047,MATCH(ROW()-1,装备库!$AO$2:$AO$1046,0),COLUMN()),"")</f>
        <v/>
      </c>
      <c r="R891" t="str">
        <f>IFERROR(INDEX(装备库!$A$2:$Y$1047,MATCH(ROW()-1,装备库!$AO$2:$AO$1046,0),COLUMN()),"")</f>
        <v/>
      </c>
      <c r="S891" t="str">
        <f>IFERROR(INDEX(装备库!$A$2:$Y$1047,MATCH(ROW()-1,装备库!$AO$2:$AO$1046,0),COLUMN()),"")</f>
        <v/>
      </c>
      <c r="T891" t="str">
        <f>IFERROR(INDEX(装备库!$A$2:$Y$1047,MATCH(ROW()-1,装备库!$AO$2:$AO$1046,0),COLUMN()),"")</f>
        <v/>
      </c>
      <c r="U891" t="str">
        <f>IFERROR(INDEX(装备库!$A$2:$Y$1047,MATCH(ROW()-1,装备库!$AO$2:$AO$1046,0),COLUMN()),"")</f>
        <v/>
      </c>
      <c r="V891" t="str">
        <f>IFERROR(INDEX(装备库!$A$2:$Y$1047,MATCH(ROW()-1,装备库!$AO$2:$AO$1046,0),COLUMN()),"")</f>
        <v/>
      </c>
      <c r="W891" t="str">
        <f>IFERROR(INDEX(装备库!$A$2:$Y$1047,MATCH(ROW()-1,装备库!$AO$2:$AO$1046,0),COLUMN()),"")</f>
        <v/>
      </c>
      <c r="X891" t="str">
        <f>IFERROR(INDEX(装备库!$A$2:$Y$1047,MATCH(ROW()-1,装备库!$AO$2:$AO$1046,0),COLUMN()),"")</f>
        <v/>
      </c>
      <c r="Y891" t="str">
        <f>IFERROR(INDEX(装备库!$A$2:$Y$1047,MATCH(ROW()-1,装备库!$AO$2:$AO$1046,0),COLUMN()),"")</f>
        <v/>
      </c>
    </row>
    <row r="892" spans="1:25" x14ac:dyDescent="0.35">
      <c r="A892" t="str">
        <f>IFERROR(INDEX(装备库!$A$2:$Y$1047,MATCH(ROW()-1,装备库!$AO$2:$AO$1046,0),COLUMN()),"")</f>
        <v/>
      </c>
      <c r="B892" t="str">
        <f>IFERROR(INDEX(装备库!$A$2:$Y$1047,MATCH(ROW()-1,装备库!$AO$2:$AO$1046,0),COLUMN()),"")</f>
        <v/>
      </c>
      <c r="C892" t="str">
        <f>IFERROR(INDEX(装备库!$A$2:$Y$1047,MATCH(ROW()-1,装备库!$AO$2:$AO$1046,0),COLUMN()),"")</f>
        <v/>
      </c>
      <c r="D892" t="str">
        <f>IFERROR(INDEX(装备库!$A$2:$Y$1047,MATCH(ROW()-1,装备库!$AO$2:$AO$1046,0),COLUMN()),"")</f>
        <v/>
      </c>
      <c r="E892" t="str">
        <f>IFERROR(INDEX(装备库!$A$2:$Y$1047,MATCH(ROW()-1,装备库!$AO$2:$AO$1046,0),COLUMN()),"")</f>
        <v/>
      </c>
      <c r="F892" t="str">
        <f>IFERROR(INDEX(装备库!$A$2:$Y$1047,MATCH(ROW()-1,装备库!$AO$2:$AO$1046,0),COLUMN()),"")</f>
        <v/>
      </c>
      <c r="G892" t="str">
        <f>IFERROR(INDEX(装备库!$A$2:$Y$1047,MATCH(ROW()-1,装备库!$AO$2:$AO$1046,0),COLUMN()),"")</f>
        <v/>
      </c>
      <c r="H892" t="str">
        <f>IFERROR(INDEX(装备库!$A$2:$Y$1047,MATCH(ROW()-1,装备库!$AO$2:$AO$1046,0),COLUMN()),"")</f>
        <v/>
      </c>
      <c r="I892" t="str">
        <f>IFERROR(INDEX(装备库!$A$2:$Y$1047,MATCH(ROW()-1,装备库!$AO$2:$AO$1046,0),COLUMN()),"")</f>
        <v/>
      </c>
      <c r="J892" t="str">
        <f>IFERROR(INDEX(装备库!$A$2:$Y$1047,MATCH(ROW()-1,装备库!$AO$2:$AO$1046,0),COLUMN()),"")</f>
        <v/>
      </c>
      <c r="K892" t="str">
        <f>IFERROR(INDEX(装备库!$A$2:$Y$1047,MATCH(ROW()-1,装备库!$AO$2:$AO$1046,0),COLUMN()),"")</f>
        <v/>
      </c>
      <c r="L892" t="str">
        <f>IFERROR(INDEX(装备库!$A$2:$Y$1047,MATCH(ROW()-1,装备库!$AO$2:$AO$1046,0),COLUMN()),"")</f>
        <v/>
      </c>
      <c r="M892" t="str">
        <f>IFERROR(INDEX(装备库!$A$2:$Y$1047,MATCH(ROW()-1,装备库!$AO$2:$AO$1046,0),COLUMN()),"")</f>
        <v/>
      </c>
      <c r="N892" t="str">
        <f>IFERROR(INDEX(装备库!$A$2:$Y$1047,MATCH(ROW()-1,装备库!$AO$2:$AO$1046,0),COLUMN()),"")</f>
        <v/>
      </c>
      <c r="O892" t="str">
        <f>IFERROR(INDEX(装备库!$A$2:$Y$1047,MATCH(ROW()-1,装备库!$AO$2:$AO$1046,0),COLUMN()),"")</f>
        <v/>
      </c>
      <c r="P892" t="str">
        <f>IFERROR(INDEX(装备库!$A$2:$Y$1047,MATCH(ROW()-1,装备库!$AO$2:$AO$1046,0),COLUMN()),"")</f>
        <v/>
      </c>
      <c r="Q892" t="str">
        <f>IFERROR(INDEX(装备库!$A$2:$Y$1047,MATCH(ROW()-1,装备库!$AO$2:$AO$1046,0),COLUMN()),"")</f>
        <v/>
      </c>
      <c r="R892" t="str">
        <f>IFERROR(INDEX(装备库!$A$2:$Y$1047,MATCH(ROW()-1,装备库!$AO$2:$AO$1046,0),COLUMN()),"")</f>
        <v/>
      </c>
      <c r="S892" t="str">
        <f>IFERROR(INDEX(装备库!$A$2:$Y$1047,MATCH(ROW()-1,装备库!$AO$2:$AO$1046,0),COLUMN()),"")</f>
        <v/>
      </c>
      <c r="T892" t="str">
        <f>IFERROR(INDEX(装备库!$A$2:$Y$1047,MATCH(ROW()-1,装备库!$AO$2:$AO$1046,0),COLUMN()),"")</f>
        <v/>
      </c>
      <c r="U892" t="str">
        <f>IFERROR(INDEX(装备库!$A$2:$Y$1047,MATCH(ROW()-1,装备库!$AO$2:$AO$1046,0),COLUMN()),"")</f>
        <v/>
      </c>
      <c r="V892" t="str">
        <f>IFERROR(INDEX(装备库!$A$2:$Y$1047,MATCH(ROW()-1,装备库!$AO$2:$AO$1046,0),COLUMN()),"")</f>
        <v/>
      </c>
      <c r="W892" t="str">
        <f>IFERROR(INDEX(装备库!$A$2:$Y$1047,MATCH(ROW()-1,装备库!$AO$2:$AO$1046,0),COLUMN()),"")</f>
        <v/>
      </c>
      <c r="X892" t="str">
        <f>IFERROR(INDEX(装备库!$A$2:$Y$1047,MATCH(ROW()-1,装备库!$AO$2:$AO$1046,0),COLUMN()),"")</f>
        <v/>
      </c>
      <c r="Y892" t="str">
        <f>IFERROR(INDEX(装备库!$A$2:$Y$1047,MATCH(ROW()-1,装备库!$AO$2:$AO$1046,0),COLUMN()),"")</f>
        <v/>
      </c>
    </row>
    <row r="893" spans="1:25" x14ac:dyDescent="0.35">
      <c r="A893" t="str">
        <f>IFERROR(INDEX(装备库!$A$2:$Y$1047,MATCH(ROW()-1,装备库!$AO$2:$AO$1046,0),COLUMN()),"")</f>
        <v/>
      </c>
      <c r="B893" t="str">
        <f>IFERROR(INDEX(装备库!$A$2:$Y$1047,MATCH(ROW()-1,装备库!$AO$2:$AO$1046,0),COLUMN()),"")</f>
        <v/>
      </c>
      <c r="C893" t="str">
        <f>IFERROR(INDEX(装备库!$A$2:$Y$1047,MATCH(ROW()-1,装备库!$AO$2:$AO$1046,0),COLUMN()),"")</f>
        <v/>
      </c>
      <c r="D893" t="str">
        <f>IFERROR(INDEX(装备库!$A$2:$Y$1047,MATCH(ROW()-1,装备库!$AO$2:$AO$1046,0),COLUMN()),"")</f>
        <v/>
      </c>
      <c r="E893" t="str">
        <f>IFERROR(INDEX(装备库!$A$2:$Y$1047,MATCH(ROW()-1,装备库!$AO$2:$AO$1046,0),COLUMN()),"")</f>
        <v/>
      </c>
      <c r="F893" t="str">
        <f>IFERROR(INDEX(装备库!$A$2:$Y$1047,MATCH(ROW()-1,装备库!$AO$2:$AO$1046,0),COLUMN()),"")</f>
        <v/>
      </c>
      <c r="G893" t="str">
        <f>IFERROR(INDEX(装备库!$A$2:$Y$1047,MATCH(ROW()-1,装备库!$AO$2:$AO$1046,0),COLUMN()),"")</f>
        <v/>
      </c>
      <c r="H893" t="str">
        <f>IFERROR(INDEX(装备库!$A$2:$Y$1047,MATCH(ROW()-1,装备库!$AO$2:$AO$1046,0),COLUMN()),"")</f>
        <v/>
      </c>
      <c r="I893" t="str">
        <f>IFERROR(INDEX(装备库!$A$2:$Y$1047,MATCH(ROW()-1,装备库!$AO$2:$AO$1046,0),COLUMN()),"")</f>
        <v/>
      </c>
      <c r="J893" t="str">
        <f>IFERROR(INDEX(装备库!$A$2:$Y$1047,MATCH(ROW()-1,装备库!$AO$2:$AO$1046,0),COLUMN()),"")</f>
        <v/>
      </c>
      <c r="K893" t="str">
        <f>IFERROR(INDEX(装备库!$A$2:$Y$1047,MATCH(ROW()-1,装备库!$AO$2:$AO$1046,0),COLUMN()),"")</f>
        <v/>
      </c>
      <c r="L893" t="str">
        <f>IFERROR(INDEX(装备库!$A$2:$Y$1047,MATCH(ROW()-1,装备库!$AO$2:$AO$1046,0),COLUMN()),"")</f>
        <v/>
      </c>
      <c r="M893" t="str">
        <f>IFERROR(INDEX(装备库!$A$2:$Y$1047,MATCH(ROW()-1,装备库!$AO$2:$AO$1046,0),COLUMN()),"")</f>
        <v/>
      </c>
      <c r="N893" t="str">
        <f>IFERROR(INDEX(装备库!$A$2:$Y$1047,MATCH(ROW()-1,装备库!$AO$2:$AO$1046,0),COLUMN()),"")</f>
        <v/>
      </c>
      <c r="O893" t="str">
        <f>IFERROR(INDEX(装备库!$A$2:$Y$1047,MATCH(ROW()-1,装备库!$AO$2:$AO$1046,0),COLUMN()),"")</f>
        <v/>
      </c>
      <c r="P893" t="str">
        <f>IFERROR(INDEX(装备库!$A$2:$Y$1047,MATCH(ROW()-1,装备库!$AO$2:$AO$1046,0),COLUMN()),"")</f>
        <v/>
      </c>
      <c r="Q893" t="str">
        <f>IFERROR(INDEX(装备库!$A$2:$Y$1047,MATCH(ROW()-1,装备库!$AO$2:$AO$1046,0),COLUMN()),"")</f>
        <v/>
      </c>
      <c r="R893" t="str">
        <f>IFERROR(INDEX(装备库!$A$2:$Y$1047,MATCH(ROW()-1,装备库!$AO$2:$AO$1046,0),COLUMN()),"")</f>
        <v/>
      </c>
      <c r="S893" t="str">
        <f>IFERROR(INDEX(装备库!$A$2:$Y$1047,MATCH(ROW()-1,装备库!$AO$2:$AO$1046,0),COLUMN()),"")</f>
        <v/>
      </c>
      <c r="T893" t="str">
        <f>IFERROR(INDEX(装备库!$A$2:$Y$1047,MATCH(ROW()-1,装备库!$AO$2:$AO$1046,0),COLUMN()),"")</f>
        <v/>
      </c>
      <c r="U893" t="str">
        <f>IFERROR(INDEX(装备库!$A$2:$Y$1047,MATCH(ROW()-1,装备库!$AO$2:$AO$1046,0),COLUMN()),"")</f>
        <v/>
      </c>
      <c r="V893" t="str">
        <f>IFERROR(INDEX(装备库!$A$2:$Y$1047,MATCH(ROW()-1,装备库!$AO$2:$AO$1046,0),COLUMN()),"")</f>
        <v/>
      </c>
      <c r="W893" t="str">
        <f>IFERROR(INDEX(装备库!$A$2:$Y$1047,MATCH(ROW()-1,装备库!$AO$2:$AO$1046,0),COLUMN()),"")</f>
        <v/>
      </c>
      <c r="X893" t="str">
        <f>IFERROR(INDEX(装备库!$A$2:$Y$1047,MATCH(ROW()-1,装备库!$AO$2:$AO$1046,0),COLUMN()),"")</f>
        <v/>
      </c>
      <c r="Y893" t="str">
        <f>IFERROR(INDEX(装备库!$A$2:$Y$1047,MATCH(ROW()-1,装备库!$AO$2:$AO$1046,0),COLUMN()),"")</f>
        <v/>
      </c>
    </row>
    <row r="894" spans="1:25" x14ac:dyDescent="0.35">
      <c r="A894" t="str">
        <f>IFERROR(INDEX(装备库!$A$2:$Y$1047,MATCH(ROW()-1,装备库!$AO$2:$AO$1046,0),COLUMN()),"")</f>
        <v/>
      </c>
      <c r="B894" t="str">
        <f>IFERROR(INDEX(装备库!$A$2:$Y$1047,MATCH(ROW()-1,装备库!$AO$2:$AO$1046,0),COLUMN()),"")</f>
        <v/>
      </c>
      <c r="C894" t="str">
        <f>IFERROR(INDEX(装备库!$A$2:$Y$1047,MATCH(ROW()-1,装备库!$AO$2:$AO$1046,0),COLUMN()),"")</f>
        <v/>
      </c>
      <c r="D894" t="str">
        <f>IFERROR(INDEX(装备库!$A$2:$Y$1047,MATCH(ROW()-1,装备库!$AO$2:$AO$1046,0),COLUMN()),"")</f>
        <v/>
      </c>
      <c r="E894" t="str">
        <f>IFERROR(INDEX(装备库!$A$2:$Y$1047,MATCH(ROW()-1,装备库!$AO$2:$AO$1046,0),COLUMN()),"")</f>
        <v/>
      </c>
      <c r="F894" t="str">
        <f>IFERROR(INDEX(装备库!$A$2:$Y$1047,MATCH(ROW()-1,装备库!$AO$2:$AO$1046,0),COLUMN()),"")</f>
        <v/>
      </c>
      <c r="G894" t="str">
        <f>IFERROR(INDEX(装备库!$A$2:$Y$1047,MATCH(ROW()-1,装备库!$AO$2:$AO$1046,0),COLUMN()),"")</f>
        <v/>
      </c>
      <c r="H894" t="str">
        <f>IFERROR(INDEX(装备库!$A$2:$Y$1047,MATCH(ROW()-1,装备库!$AO$2:$AO$1046,0),COLUMN()),"")</f>
        <v/>
      </c>
      <c r="I894" t="str">
        <f>IFERROR(INDEX(装备库!$A$2:$Y$1047,MATCH(ROW()-1,装备库!$AO$2:$AO$1046,0),COLUMN()),"")</f>
        <v/>
      </c>
      <c r="J894" t="str">
        <f>IFERROR(INDEX(装备库!$A$2:$Y$1047,MATCH(ROW()-1,装备库!$AO$2:$AO$1046,0),COLUMN()),"")</f>
        <v/>
      </c>
      <c r="K894" t="str">
        <f>IFERROR(INDEX(装备库!$A$2:$Y$1047,MATCH(ROW()-1,装备库!$AO$2:$AO$1046,0),COLUMN()),"")</f>
        <v/>
      </c>
      <c r="L894" t="str">
        <f>IFERROR(INDEX(装备库!$A$2:$Y$1047,MATCH(ROW()-1,装备库!$AO$2:$AO$1046,0),COLUMN()),"")</f>
        <v/>
      </c>
      <c r="M894" t="str">
        <f>IFERROR(INDEX(装备库!$A$2:$Y$1047,MATCH(ROW()-1,装备库!$AO$2:$AO$1046,0),COLUMN()),"")</f>
        <v/>
      </c>
      <c r="N894" t="str">
        <f>IFERROR(INDEX(装备库!$A$2:$Y$1047,MATCH(ROW()-1,装备库!$AO$2:$AO$1046,0),COLUMN()),"")</f>
        <v/>
      </c>
      <c r="O894" t="str">
        <f>IFERROR(INDEX(装备库!$A$2:$Y$1047,MATCH(ROW()-1,装备库!$AO$2:$AO$1046,0),COLUMN()),"")</f>
        <v/>
      </c>
      <c r="P894" t="str">
        <f>IFERROR(INDEX(装备库!$A$2:$Y$1047,MATCH(ROW()-1,装备库!$AO$2:$AO$1046,0),COLUMN()),"")</f>
        <v/>
      </c>
      <c r="Q894" t="str">
        <f>IFERROR(INDEX(装备库!$A$2:$Y$1047,MATCH(ROW()-1,装备库!$AO$2:$AO$1046,0),COLUMN()),"")</f>
        <v/>
      </c>
      <c r="R894" t="str">
        <f>IFERROR(INDEX(装备库!$A$2:$Y$1047,MATCH(ROW()-1,装备库!$AO$2:$AO$1046,0),COLUMN()),"")</f>
        <v/>
      </c>
      <c r="S894" t="str">
        <f>IFERROR(INDEX(装备库!$A$2:$Y$1047,MATCH(ROW()-1,装备库!$AO$2:$AO$1046,0),COLUMN()),"")</f>
        <v/>
      </c>
      <c r="T894" t="str">
        <f>IFERROR(INDEX(装备库!$A$2:$Y$1047,MATCH(ROW()-1,装备库!$AO$2:$AO$1046,0),COLUMN()),"")</f>
        <v/>
      </c>
      <c r="U894" t="str">
        <f>IFERROR(INDEX(装备库!$A$2:$Y$1047,MATCH(ROW()-1,装备库!$AO$2:$AO$1046,0),COLUMN()),"")</f>
        <v/>
      </c>
      <c r="V894" t="str">
        <f>IFERROR(INDEX(装备库!$A$2:$Y$1047,MATCH(ROW()-1,装备库!$AO$2:$AO$1046,0),COLUMN()),"")</f>
        <v/>
      </c>
      <c r="W894" t="str">
        <f>IFERROR(INDEX(装备库!$A$2:$Y$1047,MATCH(ROW()-1,装备库!$AO$2:$AO$1046,0),COLUMN()),"")</f>
        <v/>
      </c>
      <c r="X894" t="str">
        <f>IFERROR(INDEX(装备库!$A$2:$Y$1047,MATCH(ROW()-1,装备库!$AO$2:$AO$1046,0),COLUMN()),"")</f>
        <v/>
      </c>
      <c r="Y894" t="str">
        <f>IFERROR(INDEX(装备库!$A$2:$Y$1047,MATCH(ROW()-1,装备库!$AO$2:$AO$1046,0),COLUMN()),"")</f>
        <v/>
      </c>
    </row>
    <row r="895" spans="1:25" x14ac:dyDescent="0.35">
      <c r="A895" t="str">
        <f>IFERROR(INDEX(装备库!$A$2:$Y$1047,MATCH(ROW()-1,装备库!$AO$2:$AO$1046,0),COLUMN()),"")</f>
        <v/>
      </c>
      <c r="B895" t="str">
        <f>IFERROR(INDEX(装备库!$A$2:$Y$1047,MATCH(ROW()-1,装备库!$AO$2:$AO$1046,0),COLUMN()),"")</f>
        <v/>
      </c>
      <c r="C895" t="str">
        <f>IFERROR(INDEX(装备库!$A$2:$Y$1047,MATCH(ROW()-1,装备库!$AO$2:$AO$1046,0),COLUMN()),"")</f>
        <v/>
      </c>
      <c r="D895" t="str">
        <f>IFERROR(INDEX(装备库!$A$2:$Y$1047,MATCH(ROW()-1,装备库!$AO$2:$AO$1046,0),COLUMN()),"")</f>
        <v/>
      </c>
      <c r="E895" t="str">
        <f>IFERROR(INDEX(装备库!$A$2:$Y$1047,MATCH(ROW()-1,装备库!$AO$2:$AO$1046,0),COLUMN()),"")</f>
        <v/>
      </c>
      <c r="F895" t="str">
        <f>IFERROR(INDEX(装备库!$A$2:$Y$1047,MATCH(ROW()-1,装备库!$AO$2:$AO$1046,0),COLUMN()),"")</f>
        <v/>
      </c>
      <c r="G895" t="str">
        <f>IFERROR(INDEX(装备库!$A$2:$Y$1047,MATCH(ROW()-1,装备库!$AO$2:$AO$1046,0),COLUMN()),"")</f>
        <v/>
      </c>
      <c r="H895" t="str">
        <f>IFERROR(INDEX(装备库!$A$2:$Y$1047,MATCH(ROW()-1,装备库!$AO$2:$AO$1046,0),COLUMN()),"")</f>
        <v/>
      </c>
      <c r="I895" t="str">
        <f>IFERROR(INDEX(装备库!$A$2:$Y$1047,MATCH(ROW()-1,装备库!$AO$2:$AO$1046,0),COLUMN()),"")</f>
        <v/>
      </c>
      <c r="J895" t="str">
        <f>IFERROR(INDEX(装备库!$A$2:$Y$1047,MATCH(ROW()-1,装备库!$AO$2:$AO$1046,0),COLUMN()),"")</f>
        <v/>
      </c>
      <c r="K895" t="str">
        <f>IFERROR(INDEX(装备库!$A$2:$Y$1047,MATCH(ROW()-1,装备库!$AO$2:$AO$1046,0),COLUMN()),"")</f>
        <v/>
      </c>
      <c r="L895" t="str">
        <f>IFERROR(INDEX(装备库!$A$2:$Y$1047,MATCH(ROW()-1,装备库!$AO$2:$AO$1046,0),COLUMN()),"")</f>
        <v/>
      </c>
      <c r="M895" t="str">
        <f>IFERROR(INDEX(装备库!$A$2:$Y$1047,MATCH(ROW()-1,装备库!$AO$2:$AO$1046,0),COLUMN()),"")</f>
        <v/>
      </c>
      <c r="N895" t="str">
        <f>IFERROR(INDEX(装备库!$A$2:$Y$1047,MATCH(ROW()-1,装备库!$AO$2:$AO$1046,0),COLUMN()),"")</f>
        <v/>
      </c>
      <c r="O895" t="str">
        <f>IFERROR(INDEX(装备库!$A$2:$Y$1047,MATCH(ROW()-1,装备库!$AO$2:$AO$1046,0),COLUMN()),"")</f>
        <v/>
      </c>
      <c r="P895" t="str">
        <f>IFERROR(INDEX(装备库!$A$2:$Y$1047,MATCH(ROW()-1,装备库!$AO$2:$AO$1046,0),COLUMN()),"")</f>
        <v/>
      </c>
      <c r="Q895" t="str">
        <f>IFERROR(INDEX(装备库!$A$2:$Y$1047,MATCH(ROW()-1,装备库!$AO$2:$AO$1046,0),COLUMN()),"")</f>
        <v/>
      </c>
      <c r="R895" t="str">
        <f>IFERROR(INDEX(装备库!$A$2:$Y$1047,MATCH(ROW()-1,装备库!$AO$2:$AO$1046,0),COLUMN()),"")</f>
        <v/>
      </c>
      <c r="S895" t="str">
        <f>IFERROR(INDEX(装备库!$A$2:$Y$1047,MATCH(ROW()-1,装备库!$AO$2:$AO$1046,0),COLUMN()),"")</f>
        <v/>
      </c>
      <c r="T895" t="str">
        <f>IFERROR(INDEX(装备库!$A$2:$Y$1047,MATCH(ROW()-1,装备库!$AO$2:$AO$1046,0),COLUMN()),"")</f>
        <v/>
      </c>
      <c r="U895" t="str">
        <f>IFERROR(INDEX(装备库!$A$2:$Y$1047,MATCH(ROW()-1,装备库!$AO$2:$AO$1046,0),COLUMN()),"")</f>
        <v/>
      </c>
      <c r="V895" t="str">
        <f>IFERROR(INDEX(装备库!$A$2:$Y$1047,MATCH(ROW()-1,装备库!$AO$2:$AO$1046,0),COLUMN()),"")</f>
        <v/>
      </c>
      <c r="W895" t="str">
        <f>IFERROR(INDEX(装备库!$A$2:$Y$1047,MATCH(ROW()-1,装备库!$AO$2:$AO$1046,0),COLUMN()),"")</f>
        <v/>
      </c>
      <c r="X895" t="str">
        <f>IFERROR(INDEX(装备库!$A$2:$Y$1047,MATCH(ROW()-1,装备库!$AO$2:$AO$1046,0),COLUMN()),"")</f>
        <v/>
      </c>
      <c r="Y895" t="str">
        <f>IFERROR(INDEX(装备库!$A$2:$Y$1047,MATCH(ROW()-1,装备库!$AO$2:$AO$1046,0),COLUMN()),"")</f>
        <v/>
      </c>
    </row>
    <row r="896" spans="1:25" x14ac:dyDescent="0.35">
      <c r="A896" t="str">
        <f>IFERROR(INDEX(装备库!$A$2:$Y$1047,MATCH(ROW()-1,装备库!$AO$2:$AO$1046,0),COLUMN()),"")</f>
        <v/>
      </c>
      <c r="B896" t="str">
        <f>IFERROR(INDEX(装备库!$A$2:$Y$1047,MATCH(ROW()-1,装备库!$AO$2:$AO$1046,0),COLUMN()),"")</f>
        <v/>
      </c>
      <c r="C896" t="str">
        <f>IFERROR(INDEX(装备库!$A$2:$Y$1047,MATCH(ROW()-1,装备库!$AO$2:$AO$1046,0),COLUMN()),"")</f>
        <v/>
      </c>
      <c r="D896" t="str">
        <f>IFERROR(INDEX(装备库!$A$2:$Y$1047,MATCH(ROW()-1,装备库!$AO$2:$AO$1046,0),COLUMN()),"")</f>
        <v/>
      </c>
      <c r="E896" t="str">
        <f>IFERROR(INDEX(装备库!$A$2:$Y$1047,MATCH(ROW()-1,装备库!$AO$2:$AO$1046,0),COLUMN()),"")</f>
        <v/>
      </c>
      <c r="F896" t="str">
        <f>IFERROR(INDEX(装备库!$A$2:$Y$1047,MATCH(ROW()-1,装备库!$AO$2:$AO$1046,0),COLUMN()),"")</f>
        <v/>
      </c>
      <c r="G896" t="str">
        <f>IFERROR(INDEX(装备库!$A$2:$Y$1047,MATCH(ROW()-1,装备库!$AO$2:$AO$1046,0),COLUMN()),"")</f>
        <v/>
      </c>
      <c r="H896" t="str">
        <f>IFERROR(INDEX(装备库!$A$2:$Y$1047,MATCH(ROW()-1,装备库!$AO$2:$AO$1046,0),COLUMN()),"")</f>
        <v/>
      </c>
      <c r="I896" t="str">
        <f>IFERROR(INDEX(装备库!$A$2:$Y$1047,MATCH(ROW()-1,装备库!$AO$2:$AO$1046,0),COLUMN()),"")</f>
        <v/>
      </c>
      <c r="J896" t="str">
        <f>IFERROR(INDEX(装备库!$A$2:$Y$1047,MATCH(ROW()-1,装备库!$AO$2:$AO$1046,0),COLUMN()),"")</f>
        <v/>
      </c>
      <c r="K896" t="str">
        <f>IFERROR(INDEX(装备库!$A$2:$Y$1047,MATCH(ROW()-1,装备库!$AO$2:$AO$1046,0),COLUMN()),"")</f>
        <v/>
      </c>
      <c r="L896" t="str">
        <f>IFERROR(INDEX(装备库!$A$2:$Y$1047,MATCH(ROW()-1,装备库!$AO$2:$AO$1046,0),COLUMN()),"")</f>
        <v/>
      </c>
      <c r="M896" t="str">
        <f>IFERROR(INDEX(装备库!$A$2:$Y$1047,MATCH(ROW()-1,装备库!$AO$2:$AO$1046,0),COLUMN()),"")</f>
        <v/>
      </c>
      <c r="N896" t="str">
        <f>IFERROR(INDEX(装备库!$A$2:$Y$1047,MATCH(ROW()-1,装备库!$AO$2:$AO$1046,0),COLUMN()),"")</f>
        <v/>
      </c>
      <c r="O896" t="str">
        <f>IFERROR(INDEX(装备库!$A$2:$Y$1047,MATCH(ROW()-1,装备库!$AO$2:$AO$1046,0),COLUMN()),"")</f>
        <v/>
      </c>
      <c r="P896" t="str">
        <f>IFERROR(INDEX(装备库!$A$2:$Y$1047,MATCH(ROW()-1,装备库!$AO$2:$AO$1046,0),COLUMN()),"")</f>
        <v/>
      </c>
      <c r="Q896" t="str">
        <f>IFERROR(INDEX(装备库!$A$2:$Y$1047,MATCH(ROW()-1,装备库!$AO$2:$AO$1046,0),COLUMN()),"")</f>
        <v/>
      </c>
      <c r="R896" t="str">
        <f>IFERROR(INDEX(装备库!$A$2:$Y$1047,MATCH(ROW()-1,装备库!$AO$2:$AO$1046,0),COLUMN()),"")</f>
        <v/>
      </c>
      <c r="S896" t="str">
        <f>IFERROR(INDEX(装备库!$A$2:$Y$1047,MATCH(ROW()-1,装备库!$AO$2:$AO$1046,0),COLUMN()),"")</f>
        <v/>
      </c>
      <c r="T896" t="str">
        <f>IFERROR(INDEX(装备库!$A$2:$Y$1047,MATCH(ROW()-1,装备库!$AO$2:$AO$1046,0),COLUMN()),"")</f>
        <v/>
      </c>
      <c r="U896" t="str">
        <f>IFERROR(INDEX(装备库!$A$2:$Y$1047,MATCH(ROW()-1,装备库!$AO$2:$AO$1046,0),COLUMN()),"")</f>
        <v/>
      </c>
      <c r="V896" t="str">
        <f>IFERROR(INDEX(装备库!$A$2:$Y$1047,MATCH(ROW()-1,装备库!$AO$2:$AO$1046,0),COLUMN()),"")</f>
        <v/>
      </c>
      <c r="W896" t="str">
        <f>IFERROR(INDEX(装备库!$A$2:$Y$1047,MATCH(ROW()-1,装备库!$AO$2:$AO$1046,0),COLUMN()),"")</f>
        <v/>
      </c>
      <c r="X896" t="str">
        <f>IFERROR(INDEX(装备库!$A$2:$Y$1047,MATCH(ROW()-1,装备库!$AO$2:$AO$1046,0),COLUMN()),"")</f>
        <v/>
      </c>
      <c r="Y896" t="str">
        <f>IFERROR(INDEX(装备库!$A$2:$Y$1047,MATCH(ROW()-1,装备库!$AO$2:$AO$1046,0),COLUMN()),"")</f>
        <v/>
      </c>
    </row>
    <row r="897" spans="1:25" x14ac:dyDescent="0.35">
      <c r="A897" t="str">
        <f>IFERROR(INDEX(装备库!$A$2:$Y$1047,MATCH(ROW()-1,装备库!$AO$2:$AO$1046,0),COLUMN()),"")</f>
        <v/>
      </c>
      <c r="B897" t="str">
        <f>IFERROR(INDEX(装备库!$A$2:$Y$1047,MATCH(ROW()-1,装备库!$AO$2:$AO$1046,0),COLUMN()),"")</f>
        <v/>
      </c>
      <c r="C897" t="str">
        <f>IFERROR(INDEX(装备库!$A$2:$Y$1047,MATCH(ROW()-1,装备库!$AO$2:$AO$1046,0),COLUMN()),"")</f>
        <v/>
      </c>
      <c r="D897" t="str">
        <f>IFERROR(INDEX(装备库!$A$2:$Y$1047,MATCH(ROW()-1,装备库!$AO$2:$AO$1046,0),COLUMN()),"")</f>
        <v/>
      </c>
      <c r="E897" t="str">
        <f>IFERROR(INDEX(装备库!$A$2:$Y$1047,MATCH(ROW()-1,装备库!$AO$2:$AO$1046,0),COLUMN()),"")</f>
        <v/>
      </c>
      <c r="F897" t="str">
        <f>IFERROR(INDEX(装备库!$A$2:$Y$1047,MATCH(ROW()-1,装备库!$AO$2:$AO$1046,0),COLUMN()),"")</f>
        <v/>
      </c>
      <c r="G897" t="str">
        <f>IFERROR(INDEX(装备库!$A$2:$Y$1047,MATCH(ROW()-1,装备库!$AO$2:$AO$1046,0),COLUMN()),"")</f>
        <v/>
      </c>
      <c r="H897" t="str">
        <f>IFERROR(INDEX(装备库!$A$2:$Y$1047,MATCH(ROW()-1,装备库!$AO$2:$AO$1046,0),COLUMN()),"")</f>
        <v/>
      </c>
      <c r="I897" t="str">
        <f>IFERROR(INDEX(装备库!$A$2:$Y$1047,MATCH(ROW()-1,装备库!$AO$2:$AO$1046,0),COLUMN()),"")</f>
        <v/>
      </c>
      <c r="J897" t="str">
        <f>IFERROR(INDEX(装备库!$A$2:$Y$1047,MATCH(ROW()-1,装备库!$AO$2:$AO$1046,0),COLUMN()),"")</f>
        <v/>
      </c>
      <c r="K897" t="str">
        <f>IFERROR(INDEX(装备库!$A$2:$Y$1047,MATCH(ROW()-1,装备库!$AO$2:$AO$1046,0),COLUMN()),"")</f>
        <v/>
      </c>
      <c r="L897" t="str">
        <f>IFERROR(INDEX(装备库!$A$2:$Y$1047,MATCH(ROW()-1,装备库!$AO$2:$AO$1046,0),COLUMN()),"")</f>
        <v/>
      </c>
      <c r="M897" t="str">
        <f>IFERROR(INDEX(装备库!$A$2:$Y$1047,MATCH(ROW()-1,装备库!$AO$2:$AO$1046,0),COLUMN()),"")</f>
        <v/>
      </c>
      <c r="N897" t="str">
        <f>IFERROR(INDEX(装备库!$A$2:$Y$1047,MATCH(ROW()-1,装备库!$AO$2:$AO$1046,0),COLUMN()),"")</f>
        <v/>
      </c>
      <c r="O897" t="str">
        <f>IFERROR(INDEX(装备库!$A$2:$Y$1047,MATCH(ROW()-1,装备库!$AO$2:$AO$1046,0),COLUMN()),"")</f>
        <v/>
      </c>
      <c r="P897" t="str">
        <f>IFERROR(INDEX(装备库!$A$2:$Y$1047,MATCH(ROW()-1,装备库!$AO$2:$AO$1046,0),COLUMN()),"")</f>
        <v/>
      </c>
      <c r="Q897" t="str">
        <f>IFERROR(INDEX(装备库!$A$2:$Y$1047,MATCH(ROW()-1,装备库!$AO$2:$AO$1046,0),COLUMN()),"")</f>
        <v/>
      </c>
      <c r="R897" t="str">
        <f>IFERROR(INDEX(装备库!$A$2:$Y$1047,MATCH(ROW()-1,装备库!$AO$2:$AO$1046,0),COLUMN()),"")</f>
        <v/>
      </c>
      <c r="S897" t="str">
        <f>IFERROR(INDEX(装备库!$A$2:$Y$1047,MATCH(ROW()-1,装备库!$AO$2:$AO$1046,0),COLUMN()),"")</f>
        <v/>
      </c>
      <c r="T897" t="str">
        <f>IFERROR(INDEX(装备库!$A$2:$Y$1047,MATCH(ROW()-1,装备库!$AO$2:$AO$1046,0),COLUMN()),"")</f>
        <v/>
      </c>
      <c r="U897" t="str">
        <f>IFERROR(INDEX(装备库!$A$2:$Y$1047,MATCH(ROW()-1,装备库!$AO$2:$AO$1046,0),COLUMN()),"")</f>
        <v/>
      </c>
      <c r="V897" t="str">
        <f>IFERROR(INDEX(装备库!$A$2:$Y$1047,MATCH(ROW()-1,装备库!$AO$2:$AO$1046,0),COLUMN()),"")</f>
        <v/>
      </c>
      <c r="W897" t="str">
        <f>IFERROR(INDEX(装备库!$A$2:$Y$1047,MATCH(ROW()-1,装备库!$AO$2:$AO$1046,0),COLUMN()),"")</f>
        <v/>
      </c>
      <c r="X897" t="str">
        <f>IFERROR(INDEX(装备库!$A$2:$Y$1047,MATCH(ROW()-1,装备库!$AO$2:$AO$1046,0),COLUMN()),"")</f>
        <v/>
      </c>
      <c r="Y897" t="str">
        <f>IFERROR(INDEX(装备库!$A$2:$Y$1047,MATCH(ROW()-1,装备库!$AO$2:$AO$1046,0),COLUMN()),"")</f>
        <v/>
      </c>
    </row>
    <row r="898" spans="1:25" x14ac:dyDescent="0.35">
      <c r="A898" t="str">
        <f>IFERROR(INDEX(装备库!$A$2:$Y$1047,MATCH(ROW()-1,装备库!$AO$2:$AO$1046,0),COLUMN()),"")</f>
        <v/>
      </c>
      <c r="B898" t="str">
        <f>IFERROR(INDEX(装备库!$A$2:$Y$1047,MATCH(ROW()-1,装备库!$AO$2:$AO$1046,0),COLUMN()),"")</f>
        <v/>
      </c>
      <c r="C898" t="str">
        <f>IFERROR(INDEX(装备库!$A$2:$Y$1047,MATCH(ROW()-1,装备库!$AO$2:$AO$1046,0),COLUMN()),"")</f>
        <v/>
      </c>
      <c r="D898" t="str">
        <f>IFERROR(INDEX(装备库!$A$2:$Y$1047,MATCH(ROW()-1,装备库!$AO$2:$AO$1046,0),COLUMN()),"")</f>
        <v/>
      </c>
      <c r="E898" t="str">
        <f>IFERROR(INDEX(装备库!$A$2:$Y$1047,MATCH(ROW()-1,装备库!$AO$2:$AO$1046,0),COLUMN()),"")</f>
        <v/>
      </c>
      <c r="F898" t="str">
        <f>IFERROR(INDEX(装备库!$A$2:$Y$1047,MATCH(ROW()-1,装备库!$AO$2:$AO$1046,0),COLUMN()),"")</f>
        <v/>
      </c>
      <c r="G898" t="str">
        <f>IFERROR(INDEX(装备库!$A$2:$Y$1047,MATCH(ROW()-1,装备库!$AO$2:$AO$1046,0),COLUMN()),"")</f>
        <v/>
      </c>
      <c r="H898" t="str">
        <f>IFERROR(INDEX(装备库!$A$2:$Y$1047,MATCH(ROW()-1,装备库!$AO$2:$AO$1046,0),COLUMN()),"")</f>
        <v/>
      </c>
      <c r="I898" t="str">
        <f>IFERROR(INDEX(装备库!$A$2:$Y$1047,MATCH(ROW()-1,装备库!$AO$2:$AO$1046,0),COLUMN()),"")</f>
        <v/>
      </c>
      <c r="J898" t="str">
        <f>IFERROR(INDEX(装备库!$A$2:$Y$1047,MATCH(ROW()-1,装备库!$AO$2:$AO$1046,0),COLUMN()),"")</f>
        <v/>
      </c>
      <c r="K898" t="str">
        <f>IFERROR(INDEX(装备库!$A$2:$Y$1047,MATCH(ROW()-1,装备库!$AO$2:$AO$1046,0),COLUMN()),"")</f>
        <v/>
      </c>
      <c r="L898" t="str">
        <f>IFERROR(INDEX(装备库!$A$2:$Y$1047,MATCH(ROW()-1,装备库!$AO$2:$AO$1046,0),COLUMN()),"")</f>
        <v/>
      </c>
      <c r="M898" t="str">
        <f>IFERROR(INDEX(装备库!$A$2:$Y$1047,MATCH(ROW()-1,装备库!$AO$2:$AO$1046,0),COLUMN()),"")</f>
        <v/>
      </c>
      <c r="N898" t="str">
        <f>IFERROR(INDEX(装备库!$A$2:$Y$1047,MATCH(ROW()-1,装备库!$AO$2:$AO$1046,0),COLUMN()),"")</f>
        <v/>
      </c>
      <c r="O898" t="str">
        <f>IFERROR(INDEX(装备库!$A$2:$Y$1047,MATCH(ROW()-1,装备库!$AO$2:$AO$1046,0),COLUMN()),"")</f>
        <v/>
      </c>
      <c r="P898" t="str">
        <f>IFERROR(INDEX(装备库!$A$2:$Y$1047,MATCH(ROW()-1,装备库!$AO$2:$AO$1046,0),COLUMN()),"")</f>
        <v/>
      </c>
      <c r="Q898" t="str">
        <f>IFERROR(INDEX(装备库!$A$2:$Y$1047,MATCH(ROW()-1,装备库!$AO$2:$AO$1046,0),COLUMN()),"")</f>
        <v/>
      </c>
      <c r="R898" t="str">
        <f>IFERROR(INDEX(装备库!$A$2:$Y$1047,MATCH(ROW()-1,装备库!$AO$2:$AO$1046,0),COLUMN()),"")</f>
        <v/>
      </c>
      <c r="S898" t="str">
        <f>IFERROR(INDEX(装备库!$A$2:$Y$1047,MATCH(ROW()-1,装备库!$AO$2:$AO$1046,0),COLUMN()),"")</f>
        <v/>
      </c>
      <c r="T898" t="str">
        <f>IFERROR(INDEX(装备库!$A$2:$Y$1047,MATCH(ROW()-1,装备库!$AO$2:$AO$1046,0),COLUMN()),"")</f>
        <v/>
      </c>
      <c r="U898" t="str">
        <f>IFERROR(INDEX(装备库!$A$2:$Y$1047,MATCH(ROW()-1,装备库!$AO$2:$AO$1046,0),COLUMN()),"")</f>
        <v/>
      </c>
      <c r="V898" t="str">
        <f>IFERROR(INDEX(装备库!$A$2:$Y$1047,MATCH(ROW()-1,装备库!$AO$2:$AO$1046,0),COLUMN()),"")</f>
        <v/>
      </c>
      <c r="W898" t="str">
        <f>IFERROR(INDEX(装备库!$A$2:$Y$1047,MATCH(ROW()-1,装备库!$AO$2:$AO$1046,0),COLUMN()),"")</f>
        <v/>
      </c>
      <c r="X898" t="str">
        <f>IFERROR(INDEX(装备库!$A$2:$Y$1047,MATCH(ROW()-1,装备库!$AO$2:$AO$1046,0),COLUMN()),"")</f>
        <v/>
      </c>
      <c r="Y898" t="str">
        <f>IFERROR(INDEX(装备库!$A$2:$Y$1047,MATCH(ROW()-1,装备库!$AO$2:$AO$1046,0),COLUMN()),"")</f>
        <v/>
      </c>
    </row>
    <row r="899" spans="1:25" x14ac:dyDescent="0.35">
      <c r="A899" t="str">
        <f>IFERROR(INDEX(装备库!$A$2:$Y$1047,MATCH(ROW()-1,装备库!$AO$2:$AO$1046,0),COLUMN()),"")</f>
        <v/>
      </c>
      <c r="B899" t="str">
        <f>IFERROR(INDEX(装备库!$A$2:$Y$1047,MATCH(ROW()-1,装备库!$AO$2:$AO$1046,0),COLUMN()),"")</f>
        <v/>
      </c>
      <c r="C899" t="str">
        <f>IFERROR(INDEX(装备库!$A$2:$Y$1047,MATCH(ROW()-1,装备库!$AO$2:$AO$1046,0),COLUMN()),"")</f>
        <v/>
      </c>
      <c r="D899" t="str">
        <f>IFERROR(INDEX(装备库!$A$2:$Y$1047,MATCH(ROW()-1,装备库!$AO$2:$AO$1046,0),COLUMN()),"")</f>
        <v/>
      </c>
      <c r="E899" t="str">
        <f>IFERROR(INDEX(装备库!$A$2:$Y$1047,MATCH(ROW()-1,装备库!$AO$2:$AO$1046,0),COLUMN()),"")</f>
        <v/>
      </c>
      <c r="F899" t="str">
        <f>IFERROR(INDEX(装备库!$A$2:$Y$1047,MATCH(ROW()-1,装备库!$AO$2:$AO$1046,0),COLUMN()),"")</f>
        <v/>
      </c>
      <c r="G899" t="str">
        <f>IFERROR(INDEX(装备库!$A$2:$Y$1047,MATCH(ROW()-1,装备库!$AO$2:$AO$1046,0),COLUMN()),"")</f>
        <v/>
      </c>
      <c r="H899" t="str">
        <f>IFERROR(INDEX(装备库!$A$2:$Y$1047,MATCH(ROW()-1,装备库!$AO$2:$AO$1046,0),COLUMN()),"")</f>
        <v/>
      </c>
      <c r="I899" t="str">
        <f>IFERROR(INDEX(装备库!$A$2:$Y$1047,MATCH(ROW()-1,装备库!$AO$2:$AO$1046,0),COLUMN()),"")</f>
        <v/>
      </c>
      <c r="J899" t="str">
        <f>IFERROR(INDEX(装备库!$A$2:$Y$1047,MATCH(ROW()-1,装备库!$AO$2:$AO$1046,0),COLUMN()),"")</f>
        <v/>
      </c>
      <c r="K899" t="str">
        <f>IFERROR(INDEX(装备库!$A$2:$Y$1047,MATCH(ROW()-1,装备库!$AO$2:$AO$1046,0),COLUMN()),"")</f>
        <v/>
      </c>
      <c r="L899" t="str">
        <f>IFERROR(INDEX(装备库!$A$2:$Y$1047,MATCH(ROW()-1,装备库!$AO$2:$AO$1046,0),COLUMN()),"")</f>
        <v/>
      </c>
      <c r="M899" t="str">
        <f>IFERROR(INDEX(装备库!$A$2:$Y$1047,MATCH(ROW()-1,装备库!$AO$2:$AO$1046,0),COLUMN()),"")</f>
        <v/>
      </c>
      <c r="N899" t="str">
        <f>IFERROR(INDEX(装备库!$A$2:$Y$1047,MATCH(ROW()-1,装备库!$AO$2:$AO$1046,0),COLUMN()),"")</f>
        <v/>
      </c>
      <c r="O899" t="str">
        <f>IFERROR(INDEX(装备库!$A$2:$Y$1047,MATCH(ROW()-1,装备库!$AO$2:$AO$1046,0),COLUMN()),"")</f>
        <v/>
      </c>
      <c r="P899" t="str">
        <f>IFERROR(INDEX(装备库!$A$2:$Y$1047,MATCH(ROW()-1,装备库!$AO$2:$AO$1046,0),COLUMN()),"")</f>
        <v/>
      </c>
      <c r="Q899" t="str">
        <f>IFERROR(INDEX(装备库!$A$2:$Y$1047,MATCH(ROW()-1,装备库!$AO$2:$AO$1046,0),COLUMN()),"")</f>
        <v/>
      </c>
      <c r="R899" t="str">
        <f>IFERROR(INDEX(装备库!$A$2:$Y$1047,MATCH(ROW()-1,装备库!$AO$2:$AO$1046,0),COLUMN()),"")</f>
        <v/>
      </c>
      <c r="S899" t="str">
        <f>IFERROR(INDEX(装备库!$A$2:$Y$1047,MATCH(ROW()-1,装备库!$AO$2:$AO$1046,0),COLUMN()),"")</f>
        <v/>
      </c>
      <c r="T899" t="str">
        <f>IFERROR(INDEX(装备库!$A$2:$Y$1047,MATCH(ROW()-1,装备库!$AO$2:$AO$1046,0),COLUMN()),"")</f>
        <v/>
      </c>
      <c r="U899" t="str">
        <f>IFERROR(INDEX(装备库!$A$2:$Y$1047,MATCH(ROW()-1,装备库!$AO$2:$AO$1046,0),COLUMN()),"")</f>
        <v/>
      </c>
      <c r="V899" t="str">
        <f>IFERROR(INDEX(装备库!$A$2:$Y$1047,MATCH(ROW()-1,装备库!$AO$2:$AO$1046,0),COLUMN()),"")</f>
        <v/>
      </c>
      <c r="W899" t="str">
        <f>IFERROR(INDEX(装备库!$A$2:$Y$1047,MATCH(ROW()-1,装备库!$AO$2:$AO$1046,0),COLUMN()),"")</f>
        <v/>
      </c>
      <c r="X899" t="str">
        <f>IFERROR(INDEX(装备库!$A$2:$Y$1047,MATCH(ROW()-1,装备库!$AO$2:$AO$1046,0),COLUMN()),"")</f>
        <v/>
      </c>
      <c r="Y899" t="str">
        <f>IFERROR(INDEX(装备库!$A$2:$Y$1047,MATCH(ROW()-1,装备库!$AO$2:$AO$1046,0),COLUMN()),"")</f>
        <v/>
      </c>
    </row>
    <row r="900" spans="1:25" x14ac:dyDescent="0.35">
      <c r="A900" t="str">
        <f>IFERROR(INDEX(装备库!$A$2:$Y$1047,MATCH(ROW()-1,装备库!$AO$2:$AO$1046,0),COLUMN()),"")</f>
        <v/>
      </c>
      <c r="B900" t="str">
        <f>IFERROR(INDEX(装备库!$A$2:$Y$1047,MATCH(ROW()-1,装备库!$AO$2:$AO$1046,0),COLUMN()),"")</f>
        <v/>
      </c>
      <c r="C900" t="str">
        <f>IFERROR(INDEX(装备库!$A$2:$Y$1047,MATCH(ROW()-1,装备库!$AO$2:$AO$1046,0),COLUMN()),"")</f>
        <v/>
      </c>
      <c r="D900" t="str">
        <f>IFERROR(INDEX(装备库!$A$2:$Y$1047,MATCH(ROW()-1,装备库!$AO$2:$AO$1046,0),COLUMN()),"")</f>
        <v/>
      </c>
      <c r="E900" t="str">
        <f>IFERROR(INDEX(装备库!$A$2:$Y$1047,MATCH(ROW()-1,装备库!$AO$2:$AO$1046,0),COLUMN()),"")</f>
        <v/>
      </c>
      <c r="F900" t="str">
        <f>IFERROR(INDEX(装备库!$A$2:$Y$1047,MATCH(ROW()-1,装备库!$AO$2:$AO$1046,0),COLUMN()),"")</f>
        <v/>
      </c>
      <c r="G900" t="str">
        <f>IFERROR(INDEX(装备库!$A$2:$Y$1047,MATCH(ROW()-1,装备库!$AO$2:$AO$1046,0),COLUMN()),"")</f>
        <v/>
      </c>
      <c r="H900" t="str">
        <f>IFERROR(INDEX(装备库!$A$2:$Y$1047,MATCH(ROW()-1,装备库!$AO$2:$AO$1046,0),COLUMN()),"")</f>
        <v/>
      </c>
      <c r="I900" t="str">
        <f>IFERROR(INDEX(装备库!$A$2:$Y$1047,MATCH(ROW()-1,装备库!$AO$2:$AO$1046,0),COLUMN()),"")</f>
        <v/>
      </c>
      <c r="J900" t="str">
        <f>IFERROR(INDEX(装备库!$A$2:$Y$1047,MATCH(ROW()-1,装备库!$AO$2:$AO$1046,0),COLUMN()),"")</f>
        <v/>
      </c>
      <c r="K900" t="str">
        <f>IFERROR(INDEX(装备库!$A$2:$Y$1047,MATCH(ROW()-1,装备库!$AO$2:$AO$1046,0),COLUMN()),"")</f>
        <v/>
      </c>
      <c r="L900" t="str">
        <f>IFERROR(INDEX(装备库!$A$2:$Y$1047,MATCH(ROW()-1,装备库!$AO$2:$AO$1046,0),COLUMN()),"")</f>
        <v/>
      </c>
      <c r="M900" t="str">
        <f>IFERROR(INDEX(装备库!$A$2:$Y$1047,MATCH(ROW()-1,装备库!$AO$2:$AO$1046,0),COLUMN()),"")</f>
        <v/>
      </c>
      <c r="N900" t="str">
        <f>IFERROR(INDEX(装备库!$A$2:$Y$1047,MATCH(ROW()-1,装备库!$AO$2:$AO$1046,0),COLUMN()),"")</f>
        <v/>
      </c>
      <c r="O900" t="str">
        <f>IFERROR(INDEX(装备库!$A$2:$Y$1047,MATCH(ROW()-1,装备库!$AO$2:$AO$1046,0),COLUMN()),"")</f>
        <v/>
      </c>
      <c r="P900" t="str">
        <f>IFERROR(INDEX(装备库!$A$2:$Y$1047,MATCH(ROW()-1,装备库!$AO$2:$AO$1046,0),COLUMN()),"")</f>
        <v/>
      </c>
      <c r="Q900" t="str">
        <f>IFERROR(INDEX(装备库!$A$2:$Y$1047,MATCH(ROW()-1,装备库!$AO$2:$AO$1046,0),COLUMN()),"")</f>
        <v/>
      </c>
      <c r="R900" t="str">
        <f>IFERROR(INDEX(装备库!$A$2:$Y$1047,MATCH(ROW()-1,装备库!$AO$2:$AO$1046,0),COLUMN()),"")</f>
        <v/>
      </c>
      <c r="S900" t="str">
        <f>IFERROR(INDEX(装备库!$A$2:$Y$1047,MATCH(ROW()-1,装备库!$AO$2:$AO$1046,0),COLUMN()),"")</f>
        <v/>
      </c>
      <c r="T900" t="str">
        <f>IFERROR(INDEX(装备库!$A$2:$Y$1047,MATCH(ROW()-1,装备库!$AO$2:$AO$1046,0),COLUMN()),"")</f>
        <v/>
      </c>
      <c r="U900" t="str">
        <f>IFERROR(INDEX(装备库!$A$2:$Y$1047,MATCH(ROW()-1,装备库!$AO$2:$AO$1046,0),COLUMN()),"")</f>
        <v/>
      </c>
      <c r="V900" t="str">
        <f>IFERROR(INDEX(装备库!$A$2:$Y$1047,MATCH(ROW()-1,装备库!$AO$2:$AO$1046,0),COLUMN()),"")</f>
        <v/>
      </c>
      <c r="W900" t="str">
        <f>IFERROR(INDEX(装备库!$A$2:$Y$1047,MATCH(ROW()-1,装备库!$AO$2:$AO$1046,0),COLUMN()),"")</f>
        <v/>
      </c>
      <c r="X900" t="str">
        <f>IFERROR(INDEX(装备库!$A$2:$Y$1047,MATCH(ROW()-1,装备库!$AO$2:$AO$1046,0),COLUMN()),"")</f>
        <v/>
      </c>
      <c r="Y900" t="str">
        <f>IFERROR(INDEX(装备库!$A$2:$Y$1047,MATCH(ROW()-1,装备库!$AO$2:$AO$1046,0),COLUMN()),"")</f>
        <v/>
      </c>
    </row>
    <row r="901" spans="1:25" x14ac:dyDescent="0.35">
      <c r="A901" t="str">
        <f>IFERROR(INDEX(装备库!$A$2:$Y$1047,MATCH(ROW()-1,装备库!$AO$2:$AO$1046,0),COLUMN()),"")</f>
        <v/>
      </c>
      <c r="B901" t="str">
        <f>IFERROR(INDEX(装备库!$A$2:$Y$1047,MATCH(ROW()-1,装备库!$AO$2:$AO$1046,0),COLUMN()),"")</f>
        <v/>
      </c>
      <c r="C901" t="str">
        <f>IFERROR(INDEX(装备库!$A$2:$Y$1047,MATCH(ROW()-1,装备库!$AO$2:$AO$1046,0),COLUMN()),"")</f>
        <v/>
      </c>
      <c r="D901" t="str">
        <f>IFERROR(INDEX(装备库!$A$2:$Y$1047,MATCH(ROW()-1,装备库!$AO$2:$AO$1046,0),COLUMN()),"")</f>
        <v/>
      </c>
      <c r="E901" t="str">
        <f>IFERROR(INDEX(装备库!$A$2:$Y$1047,MATCH(ROW()-1,装备库!$AO$2:$AO$1046,0),COLUMN()),"")</f>
        <v/>
      </c>
      <c r="F901" t="str">
        <f>IFERROR(INDEX(装备库!$A$2:$Y$1047,MATCH(ROW()-1,装备库!$AO$2:$AO$1046,0),COLUMN()),"")</f>
        <v/>
      </c>
      <c r="G901" t="str">
        <f>IFERROR(INDEX(装备库!$A$2:$Y$1047,MATCH(ROW()-1,装备库!$AO$2:$AO$1046,0),COLUMN()),"")</f>
        <v/>
      </c>
      <c r="H901" t="str">
        <f>IFERROR(INDEX(装备库!$A$2:$Y$1047,MATCH(ROW()-1,装备库!$AO$2:$AO$1046,0),COLUMN()),"")</f>
        <v/>
      </c>
      <c r="I901" t="str">
        <f>IFERROR(INDEX(装备库!$A$2:$Y$1047,MATCH(ROW()-1,装备库!$AO$2:$AO$1046,0),COLUMN()),"")</f>
        <v/>
      </c>
      <c r="J901" t="str">
        <f>IFERROR(INDEX(装备库!$A$2:$Y$1047,MATCH(ROW()-1,装备库!$AO$2:$AO$1046,0),COLUMN()),"")</f>
        <v/>
      </c>
      <c r="K901" t="str">
        <f>IFERROR(INDEX(装备库!$A$2:$Y$1047,MATCH(ROW()-1,装备库!$AO$2:$AO$1046,0),COLUMN()),"")</f>
        <v/>
      </c>
      <c r="L901" t="str">
        <f>IFERROR(INDEX(装备库!$A$2:$Y$1047,MATCH(ROW()-1,装备库!$AO$2:$AO$1046,0),COLUMN()),"")</f>
        <v/>
      </c>
      <c r="M901" t="str">
        <f>IFERROR(INDEX(装备库!$A$2:$Y$1047,MATCH(ROW()-1,装备库!$AO$2:$AO$1046,0),COLUMN()),"")</f>
        <v/>
      </c>
      <c r="N901" t="str">
        <f>IFERROR(INDEX(装备库!$A$2:$Y$1047,MATCH(ROW()-1,装备库!$AO$2:$AO$1046,0),COLUMN()),"")</f>
        <v/>
      </c>
      <c r="O901" t="str">
        <f>IFERROR(INDEX(装备库!$A$2:$Y$1047,MATCH(ROW()-1,装备库!$AO$2:$AO$1046,0),COLUMN()),"")</f>
        <v/>
      </c>
      <c r="P901" t="str">
        <f>IFERROR(INDEX(装备库!$A$2:$Y$1047,MATCH(ROW()-1,装备库!$AO$2:$AO$1046,0),COLUMN()),"")</f>
        <v/>
      </c>
      <c r="Q901" t="str">
        <f>IFERROR(INDEX(装备库!$A$2:$Y$1047,MATCH(ROW()-1,装备库!$AO$2:$AO$1046,0),COLUMN()),"")</f>
        <v/>
      </c>
      <c r="R901" t="str">
        <f>IFERROR(INDEX(装备库!$A$2:$Y$1047,MATCH(ROW()-1,装备库!$AO$2:$AO$1046,0),COLUMN()),"")</f>
        <v/>
      </c>
      <c r="S901" t="str">
        <f>IFERROR(INDEX(装备库!$A$2:$Y$1047,MATCH(ROW()-1,装备库!$AO$2:$AO$1046,0),COLUMN()),"")</f>
        <v/>
      </c>
      <c r="T901" t="str">
        <f>IFERROR(INDEX(装备库!$A$2:$Y$1047,MATCH(ROW()-1,装备库!$AO$2:$AO$1046,0),COLUMN()),"")</f>
        <v/>
      </c>
      <c r="U901" t="str">
        <f>IFERROR(INDEX(装备库!$A$2:$Y$1047,MATCH(ROW()-1,装备库!$AO$2:$AO$1046,0),COLUMN()),"")</f>
        <v/>
      </c>
      <c r="V901" t="str">
        <f>IFERROR(INDEX(装备库!$A$2:$Y$1047,MATCH(ROW()-1,装备库!$AO$2:$AO$1046,0),COLUMN()),"")</f>
        <v/>
      </c>
      <c r="W901" t="str">
        <f>IFERROR(INDEX(装备库!$A$2:$Y$1047,MATCH(ROW()-1,装备库!$AO$2:$AO$1046,0),COLUMN()),"")</f>
        <v/>
      </c>
      <c r="X901" t="str">
        <f>IFERROR(INDEX(装备库!$A$2:$Y$1047,MATCH(ROW()-1,装备库!$AO$2:$AO$1046,0),COLUMN()),"")</f>
        <v/>
      </c>
      <c r="Y901" t="str">
        <f>IFERROR(INDEX(装备库!$A$2:$Y$1047,MATCH(ROW()-1,装备库!$AO$2:$AO$1046,0),COLUMN()),"")</f>
        <v/>
      </c>
    </row>
    <row r="902" spans="1:25" x14ac:dyDescent="0.35">
      <c r="A902" t="str">
        <f>IFERROR(INDEX(装备库!$A$2:$Y$1047,MATCH(ROW()-1,装备库!$AO$2:$AO$1046,0),COLUMN()),"")</f>
        <v/>
      </c>
      <c r="B902" t="str">
        <f>IFERROR(INDEX(装备库!$A$2:$Y$1047,MATCH(ROW()-1,装备库!$AO$2:$AO$1046,0),COLUMN()),"")</f>
        <v/>
      </c>
      <c r="C902" t="str">
        <f>IFERROR(INDEX(装备库!$A$2:$Y$1047,MATCH(ROW()-1,装备库!$AO$2:$AO$1046,0),COLUMN()),"")</f>
        <v/>
      </c>
      <c r="D902" t="str">
        <f>IFERROR(INDEX(装备库!$A$2:$Y$1047,MATCH(ROW()-1,装备库!$AO$2:$AO$1046,0),COLUMN()),"")</f>
        <v/>
      </c>
      <c r="E902" t="str">
        <f>IFERROR(INDEX(装备库!$A$2:$Y$1047,MATCH(ROW()-1,装备库!$AO$2:$AO$1046,0),COLUMN()),"")</f>
        <v/>
      </c>
      <c r="F902" t="str">
        <f>IFERROR(INDEX(装备库!$A$2:$Y$1047,MATCH(ROW()-1,装备库!$AO$2:$AO$1046,0),COLUMN()),"")</f>
        <v/>
      </c>
      <c r="G902" t="str">
        <f>IFERROR(INDEX(装备库!$A$2:$Y$1047,MATCH(ROW()-1,装备库!$AO$2:$AO$1046,0),COLUMN()),"")</f>
        <v/>
      </c>
      <c r="H902" t="str">
        <f>IFERROR(INDEX(装备库!$A$2:$Y$1047,MATCH(ROW()-1,装备库!$AO$2:$AO$1046,0),COLUMN()),"")</f>
        <v/>
      </c>
      <c r="I902" t="str">
        <f>IFERROR(INDEX(装备库!$A$2:$Y$1047,MATCH(ROW()-1,装备库!$AO$2:$AO$1046,0),COLUMN()),"")</f>
        <v/>
      </c>
      <c r="J902" t="str">
        <f>IFERROR(INDEX(装备库!$A$2:$Y$1047,MATCH(ROW()-1,装备库!$AO$2:$AO$1046,0),COLUMN()),"")</f>
        <v/>
      </c>
      <c r="K902" t="str">
        <f>IFERROR(INDEX(装备库!$A$2:$Y$1047,MATCH(ROW()-1,装备库!$AO$2:$AO$1046,0),COLUMN()),"")</f>
        <v/>
      </c>
      <c r="L902" t="str">
        <f>IFERROR(INDEX(装备库!$A$2:$Y$1047,MATCH(ROW()-1,装备库!$AO$2:$AO$1046,0),COLUMN()),"")</f>
        <v/>
      </c>
      <c r="M902" t="str">
        <f>IFERROR(INDEX(装备库!$A$2:$Y$1047,MATCH(ROW()-1,装备库!$AO$2:$AO$1046,0),COLUMN()),"")</f>
        <v/>
      </c>
      <c r="N902" t="str">
        <f>IFERROR(INDEX(装备库!$A$2:$Y$1047,MATCH(ROW()-1,装备库!$AO$2:$AO$1046,0),COLUMN()),"")</f>
        <v/>
      </c>
      <c r="O902" t="str">
        <f>IFERROR(INDEX(装备库!$A$2:$Y$1047,MATCH(ROW()-1,装备库!$AO$2:$AO$1046,0),COLUMN()),"")</f>
        <v/>
      </c>
      <c r="P902" t="str">
        <f>IFERROR(INDEX(装备库!$A$2:$Y$1047,MATCH(ROW()-1,装备库!$AO$2:$AO$1046,0),COLUMN()),"")</f>
        <v/>
      </c>
      <c r="Q902" t="str">
        <f>IFERROR(INDEX(装备库!$A$2:$Y$1047,MATCH(ROW()-1,装备库!$AO$2:$AO$1046,0),COLUMN()),"")</f>
        <v/>
      </c>
      <c r="R902" t="str">
        <f>IFERROR(INDEX(装备库!$A$2:$Y$1047,MATCH(ROW()-1,装备库!$AO$2:$AO$1046,0),COLUMN()),"")</f>
        <v/>
      </c>
      <c r="S902" t="str">
        <f>IFERROR(INDEX(装备库!$A$2:$Y$1047,MATCH(ROW()-1,装备库!$AO$2:$AO$1046,0),COLUMN()),"")</f>
        <v/>
      </c>
      <c r="T902" t="str">
        <f>IFERROR(INDEX(装备库!$A$2:$Y$1047,MATCH(ROW()-1,装备库!$AO$2:$AO$1046,0),COLUMN()),"")</f>
        <v/>
      </c>
      <c r="U902" t="str">
        <f>IFERROR(INDEX(装备库!$A$2:$Y$1047,MATCH(ROW()-1,装备库!$AO$2:$AO$1046,0),COLUMN()),"")</f>
        <v/>
      </c>
      <c r="V902" t="str">
        <f>IFERROR(INDEX(装备库!$A$2:$Y$1047,MATCH(ROW()-1,装备库!$AO$2:$AO$1046,0),COLUMN()),"")</f>
        <v/>
      </c>
      <c r="W902" t="str">
        <f>IFERROR(INDEX(装备库!$A$2:$Y$1047,MATCH(ROW()-1,装备库!$AO$2:$AO$1046,0),COLUMN()),"")</f>
        <v/>
      </c>
      <c r="X902" t="str">
        <f>IFERROR(INDEX(装备库!$A$2:$Y$1047,MATCH(ROW()-1,装备库!$AO$2:$AO$1046,0),COLUMN()),"")</f>
        <v/>
      </c>
      <c r="Y902" t="str">
        <f>IFERROR(INDEX(装备库!$A$2:$Y$1047,MATCH(ROW()-1,装备库!$AO$2:$AO$1046,0),COLUMN()),"")</f>
        <v/>
      </c>
    </row>
    <row r="903" spans="1:25" x14ac:dyDescent="0.35">
      <c r="A903" t="str">
        <f>IFERROR(INDEX(装备库!$A$2:$Y$1047,MATCH(ROW()-1,装备库!$AO$2:$AO$1046,0),COLUMN()),"")</f>
        <v/>
      </c>
      <c r="B903" t="str">
        <f>IFERROR(INDEX(装备库!$A$2:$Y$1047,MATCH(ROW()-1,装备库!$AO$2:$AO$1046,0),COLUMN()),"")</f>
        <v/>
      </c>
      <c r="C903" t="str">
        <f>IFERROR(INDEX(装备库!$A$2:$Y$1047,MATCH(ROW()-1,装备库!$AO$2:$AO$1046,0),COLUMN()),"")</f>
        <v/>
      </c>
      <c r="D903" t="str">
        <f>IFERROR(INDEX(装备库!$A$2:$Y$1047,MATCH(ROW()-1,装备库!$AO$2:$AO$1046,0),COLUMN()),"")</f>
        <v/>
      </c>
      <c r="E903" t="str">
        <f>IFERROR(INDEX(装备库!$A$2:$Y$1047,MATCH(ROW()-1,装备库!$AO$2:$AO$1046,0),COLUMN()),"")</f>
        <v/>
      </c>
      <c r="F903" t="str">
        <f>IFERROR(INDEX(装备库!$A$2:$Y$1047,MATCH(ROW()-1,装备库!$AO$2:$AO$1046,0),COLUMN()),"")</f>
        <v/>
      </c>
      <c r="G903" t="str">
        <f>IFERROR(INDEX(装备库!$A$2:$Y$1047,MATCH(ROW()-1,装备库!$AO$2:$AO$1046,0),COLUMN()),"")</f>
        <v/>
      </c>
      <c r="H903" t="str">
        <f>IFERROR(INDEX(装备库!$A$2:$Y$1047,MATCH(ROW()-1,装备库!$AO$2:$AO$1046,0),COLUMN()),"")</f>
        <v/>
      </c>
      <c r="I903" t="str">
        <f>IFERROR(INDEX(装备库!$A$2:$Y$1047,MATCH(ROW()-1,装备库!$AO$2:$AO$1046,0),COLUMN()),"")</f>
        <v/>
      </c>
      <c r="J903" t="str">
        <f>IFERROR(INDEX(装备库!$A$2:$Y$1047,MATCH(ROW()-1,装备库!$AO$2:$AO$1046,0),COLUMN()),"")</f>
        <v/>
      </c>
      <c r="K903" t="str">
        <f>IFERROR(INDEX(装备库!$A$2:$Y$1047,MATCH(ROW()-1,装备库!$AO$2:$AO$1046,0),COLUMN()),"")</f>
        <v/>
      </c>
      <c r="L903" t="str">
        <f>IFERROR(INDEX(装备库!$A$2:$Y$1047,MATCH(ROW()-1,装备库!$AO$2:$AO$1046,0),COLUMN()),"")</f>
        <v/>
      </c>
      <c r="M903" t="str">
        <f>IFERROR(INDEX(装备库!$A$2:$Y$1047,MATCH(ROW()-1,装备库!$AO$2:$AO$1046,0),COLUMN()),"")</f>
        <v/>
      </c>
      <c r="N903" t="str">
        <f>IFERROR(INDEX(装备库!$A$2:$Y$1047,MATCH(ROW()-1,装备库!$AO$2:$AO$1046,0),COLUMN()),"")</f>
        <v/>
      </c>
      <c r="O903" t="str">
        <f>IFERROR(INDEX(装备库!$A$2:$Y$1047,MATCH(ROW()-1,装备库!$AO$2:$AO$1046,0),COLUMN()),"")</f>
        <v/>
      </c>
      <c r="P903" t="str">
        <f>IFERROR(INDEX(装备库!$A$2:$Y$1047,MATCH(ROW()-1,装备库!$AO$2:$AO$1046,0),COLUMN()),"")</f>
        <v/>
      </c>
      <c r="Q903" t="str">
        <f>IFERROR(INDEX(装备库!$A$2:$Y$1047,MATCH(ROW()-1,装备库!$AO$2:$AO$1046,0),COLUMN()),"")</f>
        <v/>
      </c>
      <c r="R903" t="str">
        <f>IFERROR(INDEX(装备库!$A$2:$Y$1047,MATCH(ROW()-1,装备库!$AO$2:$AO$1046,0),COLUMN()),"")</f>
        <v/>
      </c>
      <c r="S903" t="str">
        <f>IFERROR(INDEX(装备库!$A$2:$Y$1047,MATCH(ROW()-1,装备库!$AO$2:$AO$1046,0),COLUMN()),"")</f>
        <v/>
      </c>
      <c r="T903" t="str">
        <f>IFERROR(INDEX(装备库!$A$2:$Y$1047,MATCH(ROW()-1,装备库!$AO$2:$AO$1046,0),COLUMN()),"")</f>
        <v/>
      </c>
      <c r="U903" t="str">
        <f>IFERROR(INDEX(装备库!$A$2:$Y$1047,MATCH(ROW()-1,装备库!$AO$2:$AO$1046,0),COLUMN()),"")</f>
        <v/>
      </c>
      <c r="V903" t="str">
        <f>IFERROR(INDEX(装备库!$A$2:$Y$1047,MATCH(ROW()-1,装备库!$AO$2:$AO$1046,0),COLUMN()),"")</f>
        <v/>
      </c>
      <c r="W903" t="str">
        <f>IFERROR(INDEX(装备库!$A$2:$Y$1047,MATCH(ROW()-1,装备库!$AO$2:$AO$1046,0),COLUMN()),"")</f>
        <v/>
      </c>
      <c r="X903" t="str">
        <f>IFERROR(INDEX(装备库!$A$2:$Y$1047,MATCH(ROW()-1,装备库!$AO$2:$AO$1046,0),COLUMN()),"")</f>
        <v/>
      </c>
      <c r="Y903" t="str">
        <f>IFERROR(INDEX(装备库!$A$2:$Y$1047,MATCH(ROW()-1,装备库!$AO$2:$AO$1046,0),COLUMN()),"")</f>
        <v/>
      </c>
    </row>
    <row r="904" spans="1:25" x14ac:dyDescent="0.35">
      <c r="A904" t="str">
        <f>IFERROR(INDEX(装备库!$A$2:$Y$1047,MATCH(ROW()-1,装备库!$AO$2:$AO$1046,0),COLUMN()),"")</f>
        <v/>
      </c>
      <c r="B904" t="str">
        <f>IFERROR(INDEX(装备库!$A$2:$Y$1047,MATCH(ROW()-1,装备库!$AO$2:$AO$1046,0),COLUMN()),"")</f>
        <v/>
      </c>
      <c r="C904" t="str">
        <f>IFERROR(INDEX(装备库!$A$2:$Y$1047,MATCH(ROW()-1,装备库!$AO$2:$AO$1046,0),COLUMN()),"")</f>
        <v/>
      </c>
      <c r="D904" t="str">
        <f>IFERROR(INDEX(装备库!$A$2:$Y$1047,MATCH(ROW()-1,装备库!$AO$2:$AO$1046,0),COLUMN()),"")</f>
        <v/>
      </c>
      <c r="E904" t="str">
        <f>IFERROR(INDEX(装备库!$A$2:$Y$1047,MATCH(ROW()-1,装备库!$AO$2:$AO$1046,0),COLUMN()),"")</f>
        <v/>
      </c>
      <c r="F904" t="str">
        <f>IFERROR(INDEX(装备库!$A$2:$Y$1047,MATCH(ROW()-1,装备库!$AO$2:$AO$1046,0),COLUMN()),"")</f>
        <v/>
      </c>
      <c r="G904" t="str">
        <f>IFERROR(INDEX(装备库!$A$2:$Y$1047,MATCH(ROW()-1,装备库!$AO$2:$AO$1046,0),COLUMN()),"")</f>
        <v/>
      </c>
      <c r="H904" t="str">
        <f>IFERROR(INDEX(装备库!$A$2:$Y$1047,MATCH(ROW()-1,装备库!$AO$2:$AO$1046,0),COLUMN()),"")</f>
        <v/>
      </c>
      <c r="I904" t="str">
        <f>IFERROR(INDEX(装备库!$A$2:$Y$1047,MATCH(ROW()-1,装备库!$AO$2:$AO$1046,0),COLUMN()),"")</f>
        <v/>
      </c>
      <c r="J904" t="str">
        <f>IFERROR(INDEX(装备库!$A$2:$Y$1047,MATCH(ROW()-1,装备库!$AO$2:$AO$1046,0),COLUMN()),"")</f>
        <v/>
      </c>
      <c r="K904" t="str">
        <f>IFERROR(INDEX(装备库!$A$2:$Y$1047,MATCH(ROW()-1,装备库!$AO$2:$AO$1046,0),COLUMN()),"")</f>
        <v/>
      </c>
      <c r="L904" t="str">
        <f>IFERROR(INDEX(装备库!$A$2:$Y$1047,MATCH(ROW()-1,装备库!$AO$2:$AO$1046,0),COLUMN()),"")</f>
        <v/>
      </c>
      <c r="M904" t="str">
        <f>IFERROR(INDEX(装备库!$A$2:$Y$1047,MATCH(ROW()-1,装备库!$AO$2:$AO$1046,0),COLUMN()),"")</f>
        <v/>
      </c>
      <c r="N904" t="str">
        <f>IFERROR(INDEX(装备库!$A$2:$Y$1047,MATCH(ROW()-1,装备库!$AO$2:$AO$1046,0),COLUMN()),"")</f>
        <v/>
      </c>
      <c r="O904" t="str">
        <f>IFERROR(INDEX(装备库!$A$2:$Y$1047,MATCH(ROW()-1,装备库!$AO$2:$AO$1046,0),COLUMN()),"")</f>
        <v/>
      </c>
      <c r="P904" t="str">
        <f>IFERROR(INDEX(装备库!$A$2:$Y$1047,MATCH(ROW()-1,装备库!$AO$2:$AO$1046,0),COLUMN()),"")</f>
        <v/>
      </c>
      <c r="Q904" t="str">
        <f>IFERROR(INDEX(装备库!$A$2:$Y$1047,MATCH(ROW()-1,装备库!$AO$2:$AO$1046,0),COLUMN()),"")</f>
        <v/>
      </c>
      <c r="R904" t="str">
        <f>IFERROR(INDEX(装备库!$A$2:$Y$1047,MATCH(ROW()-1,装备库!$AO$2:$AO$1046,0),COLUMN()),"")</f>
        <v/>
      </c>
      <c r="S904" t="str">
        <f>IFERROR(INDEX(装备库!$A$2:$Y$1047,MATCH(ROW()-1,装备库!$AO$2:$AO$1046,0),COLUMN()),"")</f>
        <v/>
      </c>
      <c r="T904" t="str">
        <f>IFERROR(INDEX(装备库!$A$2:$Y$1047,MATCH(ROW()-1,装备库!$AO$2:$AO$1046,0),COLUMN()),"")</f>
        <v/>
      </c>
      <c r="U904" t="str">
        <f>IFERROR(INDEX(装备库!$A$2:$Y$1047,MATCH(ROW()-1,装备库!$AO$2:$AO$1046,0),COLUMN()),"")</f>
        <v/>
      </c>
      <c r="V904" t="str">
        <f>IFERROR(INDEX(装备库!$A$2:$Y$1047,MATCH(ROW()-1,装备库!$AO$2:$AO$1046,0),COLUMN()),"")</f>
        <v/>
      </c>
      <c r="W904" t="str">
        <f>IFERROR(INDEX(装备库!$A$2:$Y$1047,MATCH(ROW()-1,装备库!$AO$2:$AO$1046,0),COLUMN()),"")</f>
        <v/>
      </c>
      <c r="X904" t="str">
        <f>IFERROR(INDEX(装备库!$A$2:$Y$1047,MATCH(ROW()-1,装备库!$AO$2:$AO$1046,0),COLUMN()),"")</f>
        <v/>
      </c>
      <c r="Y904" t="str">
        <f>IFERROR(INDEX(装备库!$A$2:$Y$1047,MATCH(ROW()-1,装备库!$AO$2:$AO$1046,0),COLUMN()),"")</f>
        <v/>
      </c>
    </row>
    <row r="905" spans="1:25" x14ac:dyDescent="0.35">
      <c r="A905" t="str">
        <f>IFERROR(INDEX(装备库!$A$2:$Y$1047,MATCH(ROW()-1,装备库!$AO$2:$AO$1046,0),COLUMN()),"")</f>
        <v/>
      </c>
      <c r="B905" t="str">
        <f>IFERROR(INDEX(装备库!$A$2:$Y$1047,MATCH(ROW()-1,装备库!$AO$2:$AO$1046,0),COLUMN()),"")</f>
        <v/>
      </c>
      <c r="C905" t="str">
        <f>IFERROR(INDEX(装备库!$A$2:$Y$1047,MATCH(ROW()-1,装备库!$AO$2:$AO$1046,0),COLUMN()),"")</f>
        <v/>
      </c>
      <c r="D905" t="str">
        <f>IFERROR(INDEX(装备库!$A$2:$Y$1047,MATCH(ROW()-1,装备库!$AO$2:$AO$1046,0),COLUMN()),"")</f>
        <v/>
      </c>
      <c r="E905" t="str">
        <f>IFERROR(INDEX(装备库!$A$2:$Y$1047,MATCH(ROW()-1,装备库!$AO$2:$AO$1046,0),COLUMN()),"")</f>
        <v/>
      </c>
      <c r="F905" t="str">
        <f>IFERROR(INDEX(装备库!$A$2:$Y$1047,MATCH(ROW()-1,装备库!$AO$2:$AO$1046,0),COLUMN()),"")</f>
        <v/>
      </c>
      <c r="G905" t="str">
        <f>IFERROR(INDEX(装备库!$A$2:$Y$1047,MATCH(ROW()-1,装备库!$AO$2:$AO$1046,0),COLUMN()),"")</f>
        <v/>
      </c>
      <c r="H905" t="str">
        <f>IFERROR(INDEX(装备库!$A$2:$Y$1047,MATCH(ROW()-1,装备库!$AO$2:$AO$1046,0),COLUMN()),"")</f>
        <v/>
      </c>
      <c r="I905" t="str">
        <f>IFERROR(INDEX(装备库!$A$2:$Y$1047,MATCH(ROW()-1,装备库!$AO$2:$AO$1046,0),COLUMN()),"")</f>
        <v/>
      </c>
      <c r="J905" t="str">
        <f>IFERROR(INDEX(装备库!$A$2:$Y$1047,MATCH(ROW()-1,装备库!$AO$2:$AO$1046,0),COLUMN()),"")</f>
        <v/>
      </c>
      <c r="K905" t="str">
        <f>IFERROR(INDEX(装备库!$A$2:$Y$1047,MATCH(ROW()-1,装备库!$AO$2:$AO$1046,0),COLUMN()),"")</f>
        <v/>
      </c>
      <c r="L905" t="str">
        <f>IFERROR(INDEX(装备库!$A$2:$Y$1047,MATCH(ROW()-1,装备库!$AO$2:$AO$1046,0),COLUMN()),"")</f>
        <v/>
      </c>
      <c r="M905" t="str">
        <f>IFERROR(INDEX(装备库!$A$2:$Y$1047,MATCH(ROW()-1,装备库!$AO$2:$AO$1046,0),COLUMN()),"")</f>
        <v/>
      </c>
      <c r="N905" t="str">
        <f>IFERROR(INDEX(装备库!$A$2:$Y$1047,MATCH(ROW()-1,装备库!$AO$2:$AO$1046,0),COLUMN()),"")</f>
        <v/>
      </c>
      <c r="O905" t="str">
        <f>IFERROR(INDEX(装备库!$A$2:$Y$1047,MATCH(ROW()-1,装备库!$AO$2:$AO$1046,0),COLUMN()),"")</f>
        <v/>
      </c>
      <c r="P905" t="str">
        <f>IFERROR(INDEX(装备库!$A$2:$Y$1047,MATCH(ROW()-1,装备库!$AO$2:$AO$1046,0),COLUMN()),"")</f>
        <v/>
      </c>
      <c r="Q905" t="str">
        <f>IFERROR(INDEX(装备库!$A$2:$Y$1047,MATCH(ROW()-1,装备库!$AO$2:$AO$1046,0),COLUMN()),"")</f>
        <v/>
      </c>
      <c r="R905" t="str">
        <f>IFERROR(INDEX(装备库!$A$2:$Y$1047,MATCH(ROW()-1,装备库!$AO$2:$AO$1046,0),COLUMN()),"")</f>
        <v/>
      </c>
      <c r="S905" t="str">
        <f>IFERROR(INDEX(装备库!$A$2:$Y$1047,MATCH(ROW()-1,装备库!$AO$2:$AO$1046,0),COLUMN()),"")</f>
        <v/>
      </c>
      <c r="T905" t="str">
        <f>IFERROR(INDEX(装备库!$A$2:$Y$1047,MATCH(ROW()-1,装备库!$AO$2:$AO$1046,0),COLUMN()),"")</f>
        <v/>
      </c>
      <c r="U905" t="str">
        <f>IFERROR(INDEX(装备库!$A$2:$Y$1047,MATCH(ROW()-1,装备库!$AO$2:$AO$1046,0),COLUMN()),"")</f>
        <v/>
      </c>
      <c r="V905" t="str">
        <f>IFERROR(INDEX(装备库!$A$2:$Y$1047,MATCH(ROW()-1,装备库!$AO$2:$AO$1046,0),COLUMN()),"")</f>
        <v/>
      </c>
      <c r="W905" t="str">
        <f>IFERROR(INDEX(装备库!$A$2:$Y$1047,MATCH(ROW()-1,装备库!$AO$2:$AO$1046,0),COLUMN()),"")</f>
        <v/>
      </c>
      <c r="X905" t="str">
        <f>IFERROR(INDEX(装备库!$A$2:$Y$1047,MATCH(ROW()-1,装备库!$AO$2:$AO$1046,0),COLUMN()),"")</f>
        <v/>
      </c>
      <c r="Y905" t="str">
        <f>IFERROR(INDEX(装备库!$A$2:$Y$1047,MATCH(ROW()-1,装备库!$AO$2:$AO$1046,0),COLUMN()),"")</f>
        <v/>
      </c>
    </row>
    <row r="906" spans="1:25" x14ac:dyDescent="0.35">
      <c r="A906" t="str">
        <f>IFERROR(INDEX(装备库!$A$2:$Y$1047,MATCH(ROW()-1,装备库!$AO$2:$AO$1046,0),COLUMN()),"")</f>
        <v/>
      </c>
      <c r="B906" t="str">
        <f>IFERROR(INDEX(装备库!$A$2:$Y$1047,MATCH(ROW()-1,装备库!$AO$2:$AO$1046,0),COLUMN()),"")</f>
        <v/>
      </c>
      <c r="C906" t="str">
        <f>IFERROR(INDEX(装备库!$A$2:$Y$1047,MATCH(ROW()-1,装备库!$AO$2:$AO$1046,0),COLUMN()),"")</f>
        <v/>
      </c>
      <c r="D906" t="str">
        <f>IFERROR(INDEX(装备库!$A$2:$Y$1047,MATCH(ROW()-1,装备库!$AO$2:$AO$1046,0),COLUMN()),"")</f>
        <v/>
      </c>
      <c r="E906" t="str">
        <f>IFERROR(INDEX(装备库!$A$2:$Y$1047,MATCH(ROW()-1,装备库!$AO$2:$AO$1046,0),COLUMN()),"")</f>
        <v/>
      </c>
      <c r="F906" t="str">
        <f>IFERROR(INDEX(装备库!$A$2:$Y$1047,MATCH(ROW()-1,装备库!$AO$2:$AO$1046,0),COLUMN()),"")</f>
        <v/>
      </c>
      <c r="G906" t="str">
        <f>IFERROR(INDEX(装备库!$A$2:$Y$1047,MATCH(ROW()-1,装备库!$AO$2:$AO$1046,0),COLUMN()),"")</f>
        <v/>
      </c>
      <c r="H906" t="str">
        <f>IFERROR(INDEX(装备库!$A$2:$Y$1047,MATCH(ROW()-1,装备库!$AO$2:$AO$1046,0),COLUMN()),"")</f>
        <v/>
      </c>
      <c r="I906" t="str">
        <f>IFERROR(INDEX(装备库!$A$2:$Y$1047,MATCH(ROW()-1,装备库!$AO$2:$AO$1046,0),COLUMN()),"")</f>
        <v/>
      </c>
      <c r="J906" t="str">
        <f>IFERROR(INDEX(装备库!$A$2:$Y$1047,MATCH(ROW()-1,装备库!$AO$2:$AO$1046,0),COLUMN()),"")</f>
        <v/>
      </c>
      <c r="K906" t="str">
        <f>IFERROR(INDEX(装备库!$A$2:$Y$1047,MATCH(ROW()-1,装备库!$AO$2:$AO$1046,0),COLUMN()),"")</f>
        <v/>
      </c>
      <c r="L906" t="str">
        <f>IFERROR(INDEX(装备库!$A$2:$Y$1047,MATCH(ROW()-1,装备库!$AO$2:$AO$1046,0),COLUMN()),"")</f>
        <v/>
      </c>
      <c r="M906" t="str">
        <f>IFERROR(INDEX(装备库!$A$2:$Y$1047,MATCH(ROW()-1,装备库!$AO$2:$AO$1046,0),COLUMN()),"")</f>
        <v/>
      </c>
      <c r="N906" t="str">
        <f>IFERROR(INDEX(装备库!$A$2:$Y$1047,MATCH(ROW()-1,装备库!$AO$2:$AO$1046,0),COLUMN()),"")</f>
        <v/>
      </c>
      <c r="O906" t="str">
        <f>IFERROR(INDEX(装备库!$A$2:$Y$1047,MATCH(ROW()-1,装备库!$AO$2:$AO$1046,0),COLUMN()),"")</f>
        <v/>
      </c>
      <c r="P906" t="str">
        <f>IFERROR(INDEX(装备库!$A$2:$Y$1047,MATCH(ROW()-1,装备库!$AO$2:$AO$1046,0),COLUMN()),"")</f>
        <v/>
      </c>
      <c r="Q906" t="str">
        <f>IFERROR(INDEX(装备库!$A$2:$Y$1047,MATCH(ROW()-1,装备库!$AO$2:$AO$1046,0),COLUMN()),"")</f>
        <v/>
      </c>
      <c r="R906" t="str">
        <f>IFERROR(INDEX(装备库!$A$2:$Y$1047,MATCH(ROW()-1,装备库!$AO$2:$AO$1046,0),COLUMN()),"")</f>
        <v/>
      </c>
      <c r="S906" t="str">
        <f>IFERROR(INDEX(装备库!$A$2:$Y$1047,MATCH(ROW()-1,装备库!$AO$2:$AO$1046,0),COLUMN()),"")</f>
        <v/>
      </c>
      <c r="T906" t="str">
        <f>IFERROR(INDEX(装备库!$A$2:$Y$1047,MATCH(ROW()-1,装备库!$AO$2:$AO$1046,0),COLUMN()),"")</f>
        <v/>
      </c>
      <c r="U906" t="str">
        <f>IFERROR(INDEX(装备库!$A$2:$Y$1047,MATCH(ROW()-1,装备库!$AO$2:$AO$1046,0),COLUMN()),"")</f>
        <v/>
      </c>
      <c r="V906" t="str">
        <f>IFERROR(INDEX(装备库!$A$2:$Y$1047,MATCH(ROW()-1,装备库!$AO$2:$AO$1046,0),COLUMN()),"")</f>
        <v/>
      </c>
      <c r="W906" t="str">
        <f>IFERROR(INDEX(装备库!$A$2:$Y$1047,MATCH(ROW()-1,装备库!$AO$2:$AO$1046,0),COLUMN()),"")</f>
        <v/>
      </c>
      <c r="X906" t="str">
        <f>IFERROR(INDEX(装备库!$A$2:$Y$1047,MATCH(ROW()-1,装备库!$AO$2:$AO$1046,0),COLUMN()),"")</f>
        <v/>
      </c>
      <c r="Y906" t="str">
        <f>IFERROR(INDEX(装备库!$A$2:$Y$1047,MATCH(ROW()-1,装备库!$AO$2:$AO$1046,0),COLUMN()),"")</f>
        <v/>
      </c>
    </row>
    <row r="907" spans="1:25" x14ac:dyDescent="0.35">
      <c r="A907" t="str">
        <f>IFERROR(INDEX(装备库!$A$2:$Y$1047,MATCH(ROW()-1,装备库!$AO$2:$AO$1046,0),COLUMN()),"")</f>
        <v/>
      </c>
      <c r="B907" t="str">
        <f>IFERROR(INDEX(装备库!$A$2:$Y$1047,MATCH(ROW()-1,装备库!$AO$2:$AO$1046,0),COLUMN()),"")</f>
        <v/>
      </c>
      <c r="C907" t="str">
        <f>IFERROR(INDEX(装备库!$A$2:$Y$1047,MATCH(ROW()-1,装备库!$AO$2:$AO$1046,0),COLUMN()),"")</f>
        <v/>
      </c>
      <c r="D907" t="str">
        <f>IFERROR(INDEX(装备库!$A$2:$Y$1047,MATCH(ROW()-1,装备库!$AO$2:$AO$1046,0),COLUMN()),"")</f>
        <v/>
      </c>
      <c r="E907" t="str">
        <f>IFERROR(INDEX(装备库!$A$2:$Y$1047,MATCH(ROW()-1,装备库!$AO$2:$AO$1046,0),COLUMN()),"")</f>
        <v/>
      </c>
      <c r="F907" t="str">
        <f>IFERROR(INDEX(装备库!$A$2:$Y$1047,MATCH(ROW()-1,装备库!$AO$2:$AO$1046,0),COLUMN()),"")</f>
        <v/>
      </c>
      <c r="G907" t="str">
        <f>IFERROR(INDEX(装备库!$A$2:$Y$1047,MATCH(ROW()-1,装备库!$AO$2:$AO$1046,0),COLUMN()),"")</f>
        <v/>
      </c>
      <c r="H907" t="str">
        <f>IFERROR(INDEX(装备库!$A$2:$Y$1047,MATCH(ROW()-1,装备库!$AO$2:$AO$1046,0),COLUMN()),"")</f>
        <v/>
      </c>
      <c r="I907" t="str">
        <f>IFERROR(INDEX(装备库!$A$2:$Y$1047,MATCH(ROW()-1,装备库!$AO$2:$AO$1046,0),COLUMN()),"")</f>
        <v/>
      </c>
      <c r="J907" t="str">
        <f>IFERROR(INDEX(装备库!$A$2:$Y$1047,MATCH(ROW()-1,装备库!$AO$2:$AO$1046,0),COLUMN()),"")</f>
        <v/>
      </c>
      <c r="K907" t="str">
        <f>IFERROR(INDEX(装备库!$A$2:$Y$1047,MATCH(ROW()-1,装备库!$AO$2:$AO$1046,0),COLUMN()),"")</f>
        <v/>
      </c>
      <c r="L907" t="str">
        <f>IFERROR(INDEX(装备库!$A$2:$Y$1047,MATCH(ROW()-1,装备库!$AO$2:$AO$1046,0),COLUMN()),"")</f>
        <v/>
      </c>
      <c r="M907" t="str">
        <f>IFERROR(INDEX(装备库!$A$2:$Y$1047,MATCH(ROW()-1,装备库!$AO$2:$AO$1046,0),COLUMN()),"")</f>
        <v/>
      </c>
      <c r="N907" t="str">
        <f>IFERROR(INDEX(装备库!$A$2:$Y$1047,MATCH(ROW()-1,装备库!$AO$2:$AO$1046,0),COLUMN()),"")</f>
        <v/>
      </c>
      <c r="O907" t="str">
        <f>IFERROR(INDEX(装备库!$A$2:$Y$1047,MATCH(ROW()-1,装备库!$AO$2:$AO$1046,0),COLUMN()),"")</f>
        <v/>
      </c>
      <c r="P907" t="str">
        <f>IFERROR(INDEX(装备库!$A$2:$Y$1047,MATCH(ROW()-1,装备库!$AO$2:$AO$1046,0),COLUMN()),"")</f>
        <v/>
      </c>
      <c r="Q907" t="str">
        <f>IFERROR(INDEX(装备库!$A$2:$Y$1047,MATCH(ROW()-1,装备库!$AO$2:$AO$1046,0),COLUMN()),"")</f>
        <v/>
      </c>
      <c r="R907" t="str">
        <f>IFERROR(INDEX(装备库!$A$2:$Y$1047,MATCH(ROW()-1,装备库!$AO$2:$AO$1046,0),COLUMN()),"")</f>
        <v/>
      </c>
      <c r="S907" t="str">
        <f>IFERROR(INDEX(装备库!$A$2:$Y$1047,MATCH(ROW()-1,装备库!$AO$2:$AO$1046,0),COLUMN()),"")</f>
        <v/>
      </c>
      <c r="T907" t="str">
        <f>IFERROR(INDEX(装备库!$A$2:$Y$1047,MATCH(ROW()-1,装备库!$AO$2:$AO$1046,0),COLUMN()),"")</f>
        <v/>
      </c>
      <c r="U907" t="str">
        <f>IFERROR(INDEX(装备库!$A$2:$Y$1047,MATCH(ROW()-1,装备库!$AO$2:$AO$1046,0),COLUMN()),"")</f>
        <v/>
      </c>
      <c r="V907" t="str">
        <f>IFERROR(INDEX(装备库!$A$2:$Y$1047,MATCH(ROW()-1,装备库!$AO$2:$AO$1046,0),COLUMN()),"")</f>
        <v/>
      </c>
      <c r="W907" t="str">
        <f>IFERROR(INDEX(装备库!$A$2:$Y$1047,MATCH(ROW()-1,装备库!$AO$2:$AO$1046,0),COLUMN()),"")</f>
        <v/>
      </c>
      <c r="X907" t="str">
        <f>IFERROR(INDEX(装备库!$A$2:$Y$1047,MATCH(ROW()-1,装备库!$AO$2:$AO$1046,0),COLUMN()),"")</f>
        <v/>
      </c>
      <c r="Y907" t="str">
        <f>IFERROR(INDEX(装备库!$A$2:$Y$1047,MATCH(ROW()-1,装备库!$AO$2:$AO$1046,0),COLUMN()),"")</f>
        <v/>
      </c>
    </row>
    <row r="908" spans="1:25" x14ac:dyDescent="0.35">
      <c r="A908" t="str">
        <f>IFERROR(INDEX(装备库!$A$2:$Y$1047,MATCH(ROW()-1,装备库!$AO$2:$AO$1046,0),COLUMN()),"")</f>
        <v/>
      </c>
      <c r="B908" t="str">
        <f>IFERROR(INDEX(装备库!$A$2:$Y$1047,MATCH(ROW()-1,装备库!$AO$2:$AO$1046,0),COLUMN()),"")</f>
        <v/>
      </c>
      <c r="C908" t="str">
        <f>IFERROR(INDEX(装备库!$A$2:$Y$1047,MATCH(ROW()-1,装备库!$AO$2:$AO$1046,0),COLUMN()),"")</f>
        <v/>
      </c>
      <c r="D908" t="str">
        <f>IFERROR(INDEX(装备库!$A$2:$Y$1047,MATCH(ROW()-1,装备库!$AO$2:$AO$1046,0),COLUMN()),"")</f>
        <v/>
      </c>
      <c r="E908" t="str">
        <f>IFERROR(INDEX(装备库!$A$2:$Y$1047,MATCH(ROW()-1,装备库!$AO$2:$AO$1046,0),COLUMN()),"")</f>
        <v/>
      </c>
      <c r="F908" t="str">
        <f>IFERROR(INDEX(装备库!$A$2:$Y$1047,MATCH(ROW()-1,装备库!$AO$2:$AO$1046,0),COLUMN()),"")</f>
        <v/>
      </c>
      <c r="G908" t="str">
        <f>IFERROR(INDEX(装备库!$A$2:$Y$1047,MATCH(ROW()-1,装备库!$AO$2:$AO$1046,0),COLUMN()),"")</f>
        <v/>
      </c>
      <c r="H908" t="str">
        <f>IFERROR(INDEX(装备库!$A$2:$Y$1047,MATCH(ROW()-1,装备库!$AO$2:$AO$1046,0),COLUMN()),"")</f>
        <v/>
      </c>
      <c r="I908" t="str">
        <f>IFERROR(INDEX(装备库!$A$2:$Y$1047,MATCH(ROW()-1,装备库!$AO$2:$AO$1046,0),COLUMN()),"")</f>
        <v/>
      </c>
      <c r="J908" t="str">
        <f>IFERROR(INDEX(装备库!$A$2:$Y$1047,MATCH(ROW()-1,装备库!$AO$2:$AO$1046,0),COLUMN()),"")</f>
        <v/>
      </c>
      <c r="K908" t="str">
        <f>IFERROR(INDEX(装备库!$A$2:$Y$1047,MATCH(ROW()-1,装备库!$AO$2:$AO$1046,0),COLUMN()),"")</f>
        <v/>
      </c>
      <c r="L908" t="str">
        <f>IFERROR(INDEX(装备库!$A$2:$Y$1047,MATCH(ROW()-1,装备库!$AO$2:$AO$1046,0),COLUMN()),"")</f>
        <v/>
      </c>
      <c r="M908" t="str">
        <f>IFERROR(INDEX(装备库!$A$2:$Y$1047,MATCH(ROW()-1,装备库!$AO$2:$AO$1046,0),COLUMN()),"")</f>
        <v/>
      </c>
      <c r="N908" t="str">
        <f>IFERROR(INDEX(装备库!$A$2:$Y$1047,MATCH(ROW()-1,装备库!$AO$2:$AO$1046,0),COLUMN()),"")</f>
        <v/>
      </c>
      <c r="O908" t="str">
        <f>IFERROR(INDEX(装备库!$A$2:$Y$1047,MATCH(ROW()-1,装备库!$AO$2:$AO$1046,0),COLUMN()),"")</f>
        <v/>
      </c>
      <c r="P908" t="str">
        <f>IFERROR(INDEX(装备库!$A$2:$Y$1047,MATCH(ROW()-1,装备库!$AO$2:$AO$1046,0),COLUMN()),"")</f>
        <v/>
      </c>
      <c r="Q908" t="str">
        <f>IFERROR(INDEX(装备库!$A$2:$Y$1047,MATCH(ROW()-1,装备库!$AO$2:$AO$1046,0),COLUMN()),"")</f>
        <v/>
      </c>
      <c r="R908" t="str">
        <f>IFERROR(INDEX(装备库!$A$2:$Y$1047,MATCH(ROW()-1,装备库!$AO$2:$AO$1046,0),COLUMN()),"")</f>
        <v/>
      </c>
      <c r="S908" t="str">
        <f>IFERROR(INDEX(装备库!$A$2:$Y$1047,MATCH(ROW()-1,装备库!$AO$2:$AO$1046,0),COLUMN()),"")</f>
        <v/>
      </c>
      <c r="T908" t="str">
        <f>IFERROR(INDEX(装备库!$A$2:$Y$1047,MATCH(ROW()-1,装备库!$AO$2:$AO$1046,0),COLUMN()),"")</f>
        <v/>
      </c>
      <c r="U908" t="str">
        <f>IFERROR(INDEX(装备库!$A$2:$Y$1047,MATCH(ROW()-1,装备库!$AO$2:$AO$1046,0),COLUMN()),"")</f>
        <v/>
      </c>
      <c r="V908" t="str">
        <f>IFERROR(INDEX(装备库!$A$2:$Y$1047,MATCH(ROW()-1,装备库!$AO$2:$AO$1046,0),COLUMN()),"")</f>
        <v/>
      </c>
      <c r="W908" t="str">
        <f>IFERROR(INDEX(装备库!$A$2:$Y$1047,MATCH(ROW()-1,装备库!$AO$2:$AO$1046,0),COLUMN()),"")</f>
        <v/>
      </c>
      <c r="X908" t="str">
        <f>IFERROR(INDEX(装备库!$A$2:$Y$1047,MATCH(ROW()-1,装备库!$AO$2:$AO$1046,0),COLUMN()),"")</f>
        <v/>
      </c>
      <c r="Y908" t="str">
        <f>IFERROR(INDEX(装备库!$A$2:$Y$1047,MATCH(ROW()-1,装备库!$AO$2:$AO$1046,0),COLUMN()),"")</f>
        <v/>
      </c>
    </row>
    <row r="909" spans="1:25" x14ac:dyDescent="0.35">
      <c r="A909" t="str">
        <f>IFERROR(INDEX(装备库!$A$2:$Y$1047,MATCH(ROW()-1,装备库!$AO$2:$AO$1046,0),COLUMN()),"")</f>
        <v/>
      </c>
      <c r="B909" t="str">
        <f>IFERROR(INDEX(装备库!$A$2:$Y$1047,MATCH(ROW()-1,装备库!$AO$2:$AO$1046,0),COLUMN()),"")</f>
        <v/>
      </c>
      <c r="C909" t="str">
        <f>IFERROR(INDEX(装备库!$A$2:$Y$1047,MATCH(ROW()-1,装备库!$AO$2:$AO$1046,0),COLUMN()),"")</f>
        <v/>
      </c>
      <c r="D909" t="str">
        <f>IFERROR(INDEX(装备库!$A$2:$Y$1047,MATCH(ROW()-1,装备库!$AO$2:$AO$1046,0),COLUMN()),"")</f>
        <v/>
      </c>
      <c r="E909" t="str">
        <f>IFERROR(INDEX(装备库!$A$2:$Y$1047,MATCH(ROW()-1,装备库!$AO$2:$AO$1046,0),COLUMN()),"")</f>
        <v/>
      </c>
      <c r="F909" t="str">
        <f>IFERROR(INDEX(装备库!$A$2:$Y$1047,MATCH(ROW()-1,装备库!$AO$2:$AO$1046,0),COLUMN()),"")</f>
        <v/>
      </c>
      <c r="G909" t="str">
        <f>IFERROR(INDEX(装备库!$A$2:$Y$1047,MATCH(ROW()-1,装备库!$AO$2:$AO$1046,0),COLUMN()),"")</f>
        <v/>
      </c>
      <c r="H909" t="str">
        <f>IFERROR(INDEX(装备库!$A$2:$Y$1047,MATCH(ROW()-1,装备库!$AO$2:$AO$1046,0),COLUMN()),"")</f>
        <v/>
      </c>
      <c r="I909" t="str">
        <f>IFERROR(INDEX(装备库!$A$2:$Y$1047,MATCH(ROW()-1,装备库!$AO$2:$AO$1046,0),COLUMN()),"")</f>
        <v/>
      </c>
      <c r="J909" t="str">
        <f>IFERROR(INDEX(装备库!$A$2:$Y$1047,MATCH(ROW()-1,装备库!$AO$2:$AO$1046,0),COLUMN()),"")</f>
        <v/>
      </c>
      <c r="K909" t="str">
        <f>IFERROR(INDEX(装备库!$A$2:$Y$1047,MATCH(ROW()-1,装备库!$AO$2:$AO$1046,0),COLUMN()),"")</f>
        <v/>
      </c>
      <c r="L909" t="str">
        <f>IFERROR(INDEX(装备库!$A$2:$Y$1047,MATCH(ROW()-1,装备库!$AO$2:$AO$1046,0),COLUMN()),"")</f>
        <v/>
      </c>
      <c r="M909" t="str">
        <f>IFERROR(INDEX(装备库!$A$2:$Y$1047,MATCH(ROW()-1,装备库!$AO$2:$AO$1046,0),COLUMN()),"")</f>
        <v/>
      </c>
      <c r="N909" t="str">
        <f>IFERROR(INDEX(装备库!$A$2:$Y$1047,MATCH(ROW()-1,装备库!$AO$2:$AO$1046,0),COLUMN()),"")</f>
        <v/>
      </c>
      <c r="O909" t="str">
        <f>IFERROR(INDEX(装备库!$A$2:$Y$1047,MATCH(ROW()-1,装备库!$AO$2:$AO$1046,0),COLUMN()),"")</f>
        <v/>
      </c>
      <c r="P909" t="str">
        <f>IFERROR(INDEX(装备库!$A$2:$Y$1047,MATCH(ROW()-1,装备库!$AO$2:$AO$1046,0),COLUMN()),"")</f>
        <v/>
      </c>
      <c r="Q909" t="str">
        <f>IFERROR(INDEX(装备库!$A$2:$Y$1047,MATCH(ROW()-1,装备库!$AO$2:$AO$1046,0),COLUMN()),"")</f>
        <v/>
      </c>
      <c r="R909" t="str">
        <f>IFERROR(INDEX(装备库!$A$2:$Y$1047,MATCH(ROW()-1,装备库!$AO$2:$AO$1046,0),COLUMN()),"")</f>
        <v/>
      </c>
      <c r="S909" t="str">
        <f>IFERROR(INDEX(装备库!$A$2:$Y$1047,MATCH(ROW()-1,装备库!$AO$2:$AO$1046,0),COLUMN()),"")</f>
        <v/>
      </c>
      <c r="T909" t="str">
        <f>IFERROR(INDEX(装备库!$A$2:$Y$1047,MATCH(ROW()-1,装备库!$AO$2:$AO$1046,0),COLUMN()),"")</f>
        <v/>
      </c>
      <c r="U909" t="str">
        <f>IFERROR(INDEX(装备库!$A$2:$Y$1047,MATCH(ROW()-1,装备库!$AO$2:$AO$1046,0),COLUMN()),"")</f>
        <v/>
      </c>
      <c r="V909" t="str">
        <f>IFERROR(INDEX(装备库!$A$2:$Y$1047,MATCH(ROW()-1,装备库!$AO$2:$AO$1046,0),COLUMN()),"")</f>
        <v/>
      </c>
      <c r="W909" t="str">
        <f>IFERROR(INDEX(装备库!$A$2:$Y$1047,MATCH(ROW()-1,装备库!$AO$2:$AO$1046,0),COLUMN()),"")</f>
        <v/>
      </c>
      <c r="X909" t="str">
        <f>IFERROR(INDEX(装备库!$A$2:$Y$1047,MATCH(ROW()-1,装备库!$AO$2:$AO$1046,0),COLUMN()),"")</f>
        <v/>
      </c>
      <c r="Y909" t="str">
        <f>IFERROR(INDEX(装备库!$A$2:$Y$1047,MATCH(ROW()-1,装备库!$AO$2:$AO$1046,0),COLUMN()),"")</f>
        <v/>
      </c>
    </row>
    <row r="910" spans="1:25" x14ac:dyDescent="0.35">
      <c r="A910" t="str">
        <f>IFERROR(INDEX(装备库!$A$2:$Y$1047,MATCH(ROW()-1,装备库!$AO$2:$AO$1046,0),COLUMN()),"")</f>
        <v/>
      </c>
      <c r="B910" t="str">
        <f>IFERROR(INDEX(装备库!$A$2:$Y$1047,MATCH(ROW()-1,装备库!$AO$2:$AO$1046,0),COLUMN()),"")</f>
        <v/>
      </c>
      <c r="C910" t="str">
        <f>IFERROR(INDEX(装备库!$A$2:$Y$1047,MATCH(ROW()-1,装备库!$AO$2:$AO$1046,0),COLUMN()),"")</f>
        <v/>
      </c>
      <c r="D910" t="str">
        <f>IFERROR(INDEX(装备库!$A$2:$Y$1047,MATCH(ROW()-1,装备库!$AO$2:$AO$1046,0),COLUMN()),"")</f>
        <v/>
      </c>
      <c r="E910" t="str">
        <f>IFERROR(INDEX(装备库!$A$2:$Y$1047,MATCH(ROW()-1,装备库!$AO$2:$AO$1046,0),COLUMN()),"")</f>
        <v/>
      </c>
      <c r="F910" t="str">
        <f>IFERROR(INDEX(装备库!$A$2:$Y$1047,MATCH(ROW()-1,装备库!$AO$2:$AO$1046,0),COLUMN()),"")</f>
        <v/>
      </c>
      <c r="G910" t="str">
        <f>IFERROR(INDEX(装备库!$A$2:$Y$1047,MATCH(ROW()-1,装备库!$AO$2:$AO$1046,0),COLUMN()),"")</f>
        <v/>
      </c>
      <c r="H910" t="str">
        <f>IFERROR(INDEX(装备库!$A$2:$Y$1047,MATCH(ROW()-1,装备库!$AO$2:$AO$1046,0),COLUMN()),"")</f>
        <v/>
      </c>
      <c r="I910" t="str">
        <f>IFERROR(INDEX(装备库!$A$2:$Y$1047,MATCH(ROW()-1,装备库!$AO$2:$AO$1046,0),COLUMN()),"")</f>
        <v/>
      </c>
      <c r="J910" t="str">
        <f>IFERROR(INDEX(装备库!$A$2:$Y$1047,MATCH(ROW()-1,装备库!$AO$2:$AO$1046,0),COLUMN()),"")</f>
        <v/>
      </c>
      <c r="K910" t="str">
        <f>IFERROR(INDEX(装备库!$A$2:$Y$1047,MATCH(ROW()-1,装备库!$AO$2:$AO$1046,0),COLUMN()),"")</f>
        <v/>
      </c>
      <c r="L910" t="str">
        <f>IFERROR(INDEX(装备库!$A$2:$Y$1047,MATCH(ROW()-1,装备库!$AO$2:$AO$1046,0),COLUMN()),"")</f>
        <v/>
      </c>
      <c r="M910" t="str">
        <f>IFERROR(INDEX(装备库!$A$2:$Y$1047,MATCH(ROW()-1,装备库!$AO$2:$AO$1046,0),COLUMN()),"")</f>
        <v/>
      </c>
      <c r="N910" t="str">
        <f>IFERROR(INDEX(装备库!$A$2:$Y$1047,MATCH(ROW()-1,装备库!$AO$2:$AO$1046,0),COLUMN()),"")</f>
        <v/>
      </c>
      <c r="O910" t="str">
        <f>IFERROR(INDEX(装备库!$A$2:$Y$1047,MATCH(ROW()-1,装备库!$AO$2:$AO$1046,0),COLUMN()),"")</f>
        <v/>
      </c>
      <c r="P910" t="str">
        <f>IFERROR(INDEX(装备库!$A$2:$Y$1047,MATCH(ROW()-1,装备库!$AO$2:$AO$1046,0),COLUMN()),"")</f>
        <v/>
      </c>
      <c r="Q910" t="str">
        <f>IFERROR(INDEX(装备库!$A$2:$Y$1047,MATCH(ROW()-1,装备库!$AO$2:$AO$1046,0),COLUMN()),"")</f>
        <v/>
      </c>
      <c r="R910" t="str">
        <f>IFERROR(INDEX(装备库!$A$2:$Y$1047,MATCH(ROW()-1,装备库!$AO$2:$AO$1046,0),COLUMN()),"")</f>
        <v/>
      </c>
      <c r="S910" t="str">
        <f>IFERROR(INDEX(装备库!$A$2:$Y$1047,MATCH(ROW()-1,装备库!$AO$2:$AO$1046,0),COLUMN()),"")</f>
        <v/>
      </c>
      <c r="T910" t="str">
        <f>IFERROR(INDEX(装备库!$A$2:$Y$1047,MATCH(ROW()-1,装备库!$AO$2:$AO$1046,0),COLUMN()),"")</f>
        <v/>
      </c>
      <c r="U910" t="str">
        <f>IFERROR(INDEX(装备库!$A$2:$Y$1047,MATCH(ROW()-1,装备库!$AO$2:$AO$1046,0),COLUMN()),"")</f>
        <v/>
      </c>
      <c r="V910" t="str">
        <f>IFERROR(INDEX(装备库!$A$2:$Y$1047,MATCH(ROW()-1,装备库!$AO$2:$AO$1046,0),COLUMN()),"")</f>
        <v/>
      </c>
      <c r="W910" t="str">
        <f>IFERROR(INDEX(装备库!$A$2:$Y$1047,MATCH(ROW()-1,装备库!$AO$2:$AO$1046,0),COLUMN()),"")</f>
        <v/>
      </c>
      <c r="X910" t="str">
        <f>IFERROR(INDEX(装备库!$A$2:$Y$1047,MATCH(ROW()-1,装备库!$AO$2:$AO$1046,0),COLUMN()),"")</f>
        <v/>
      </c>
      <c r="Y910" t="str">
        <f>IFERROR(INDEX(装备库!$A$2:$Y$1047,MATCH(ROW()-1,装备库!$AO$2:$AO$1046,0),COLUMN()),"")</f>
        <v/>
      </c>
    </row>
    <row r="911" spans="1:25" x14ac:dyDescent="0.35">
      <c r="A911" t="str">
        <f>IFERROR(INDEX(装备库!$A$2:$Y$1047,MATCH(ROW()-1,装备库!$AO$2:$AO$1046,0),COLUMN()),"")</f>
        <v/>
      </c>
      <c r="B911" t="str">
        <f>IFERROR(INDEX(装备库!$A$2:$Y$1047,MATCH(ROW()-1,装备库!$AO$2:$AO$1046,0),COLUMN()),"")</f>
        <v/>
      </c>
      <c r="C911" t="str">
        <f>IFERROR(INDEX(装备库!$A$2:$Y$1047,MATCH(ROW()-1,装备库!$AO$2:$AO$1046,0),COLUMN()),"")</f>
        <v/>
      </c>
      <c r="D911" t="str">
        <f>IFERROR(INDEX(装备库!$A$2:$Y$1047,MATCH(ROW()-1,装备库!$AO$2:$AO$1046,0),COLUMN()),"")</f>
        <v/>
      </c>
      <c r="E911" t="str">
        <f>IFERROR(INDEX(装备库!$A$2:$Y$1047,MATCH(ROW()-1,装备库!$AO$2:$AO$1046,0),COLUMN()),"")</f>
        <v/>
      </c>
      <c r="F911" t="str">
        <f>IFERROR(INDEX(装备库!$A$2:$Y$1047,MATCH(ROW()-1,装备库!$AO$2:$AO$1046,0),COLUMN()),"")</f>
        <v/>
      </c>
      <c r="G911" t="str">
        <f>IFERROR(INDEX(装备库!$A$2:$Y$1047,MATCH(ROW()-1,装备库!$AO$2:$AO$1046,0),COLUMN()),"")</f>
        <v/>
      </c>
      <c r="H911" t="str">
        <f>IFERROR(INDEX(装备库!$A$2:$Y$1047,MATCH(ROW()-1,装备库!$AO$2:$AO$1046,0),COLUMN()),"")</f>
        <v/>
      </c>
      <c r="I911" t="str">
        <f>IFERROR(INDEX(装备库!$A$2:$Y$1047,MATCH(ROW()-1,装备库!$AO$2:$AO$1046,0),COLUMN()),"")</f>
        <v/>
      </c>
      <c r="J911" t="str">
        <f>IFERROR(INDEX(装备库!$A$2:$Y$1047,MATCH(ROW()-1,装备库!$AO$2:$AO$1046,0),COLUMN()),"")</f>
        <v/>
      </c>
      <c r="K911" t="str">
        <f>IFERROR(INDEX(装备库!$A$2:$Y$1047,MATCH(ROW()-1,装备库!$AO$2:$AO$1046,0),COLUMN()),"")</f>
        <v/>
      </c>
      <c r="L911" t="str">
        <f>IFERROR(INDEX(装备库!$A$2:$Y$1047,MATCH(ROW()-1,装备库!$AO$2:$AO$1046,0),COLUMN()),"")</f>
        <v/>
      </c>
      <c r="M911" t="str">
        <f>IFERROR(INDEX(装备库!$A$2:$Y$1047,MATCH(ROW()-1,装备库!$AO$2:$AO$1046,0),COLUMN()),"")</f>
        <v/>
      </c>
      <c r="N911" t="str">
        <f>IFERROR(INDEX(装备库!$A$2:$Y$1047,MATCH(ROW()-1,装备库!$AO$2:$AO$1046,0),COLUMN()),"")</f>
        <v/>
      </c>
      <c r="O911" t="str">
        <f>IFERROR(INDEX(装备库!$A$2:$Y$1047,MATCH(ROW()-1,装备库!$AO$2:$AO$1046,0),COLUMN()),"")</f>
        <v/>
      </c>
      <c r="P911" t="str">
        <f>IFERROR(INDEX(装备库!$A$2:$Y$1047,MATCH(ROW()-1,装备库!$AO$2:$AO$1046,0),COLUMN()),"")</f>
        <v/>
      </c>
      <c r="Q911" t="str">
        <f>IFERROR(INDEX(装备库!$A$2:$Y$1047,MATCH(ROW()-1,装备库!$AO$2:$AO$1046,0),COLUMN()),"")</f>
        <v/>
      </c>
      <c r="R911" t="str">
        <f>IFERROR(INDEX(装备库!$A$2:$Y$1047,MATCH(ROW()-1,装备库!$AO$2:$AO$1046,0),COLUMN()),"")</f>
        <v/>
      </c>
      <c r="S911" t="str">
        <f>IFERROR(INDEX(装备库!$A$2:$Y$1047,MATCH(ROW()-1,装备库!$AO$2:$AO$1046,0),COLUMN()),"")</f>
        <v/>
      </c>
      <c r="T911" t="str">
        <f>IFERROR(INDEX(装备库!$A$2:$Y$1047,MATCH(ROW()-1,装备库!$AO$2:$AO$1046,0),COLUMN()),"")</f>
        <v/>
      </c>
      <c r="U911" t="str">
        <f>IFERROR(INDEX(装备库!$A$2:$Y$1047,MATCH(ROW()-1,装备库!$AO$2:$AO$1046,0),COLUMN()),"")</f>
        <v/>
      </c>
      <c r="V911" t="str">
        <f>IFERROR(INDEX(装备库!$A$2:$Y$1047,MATCH(ROW()-1,装备库!$AO$2:$AO$1046,0),COLUMN()),"")</f>
        <v/>
      </c>
      <c r="W911" t="str">
        <f>IFERROR(INDEX(装备库!$A$2:$Y$1047,MATCH(ROW()-1,装备库!$AO$2:$AO$1046,0),COLUMN()),"")</f>
        <v/>
      </c>
      <c r="X911" t="str">
        <f>IFERROR(INDEX(装备库!$A$2:$Y$1047,MATCH(ROW()-1,装备库!$AO$2:$AO$1046,0),COLUMN()),"")</f>
        <v/>
      </c>
      <c r="Y911" t="str">
        <f>IFERROR(INDEX(装备库!$A$2:$Y$1047,MATCH(ROW()-1,装备库!$AO$2:$AO$1046,0),COLUMN()),"")</f>
        <v/>
      </c>
    </row>
    <row r="912" spans="1:25" x14ac:dyDescent="0.35">
      <c r="A912" t="str">
        <f>IFERROR(INDEX(装备库!$A$2:$Y$1047,MATCH(ROW()-1,装备库!$AO$2:$AO$1046,0),COLUMN()),"")</f>
        <v/>
      </c>
      <c r="B912" t="str">
        <f>IFERROR(INDEX(装备库!$A$2:$Y$1047,MATCH(ROW()-1,装备库!$AO$2:$AO$1046,0),COLUMN()),"")</f>
        <v/>
      </c>
      <c r="C912" t="str">
        <f>IFERROR(INDEX(装备库!$A$2:$Y$1047,MATCH(ROW()-1,装备库!$AO$2:$AO$1046,0),COLUMN()),"")</f>
        <v/>
      </c>
      <c r="D912" t="str">
        <f>IFERROR(INDEX(装备库!$A$2:$Y$1047,MATCH(ROW()-1,装备库!$AO$2:$AO$1046,0),COLUMN()),"")</f>
        <v/>
      </c>
      <c r="E912" t="str">
        <f>IFERROR(INDEX(装备库!$A$2:$Y$1047,MATCH(ROW()-1,装备库!$AO$2:$AO$1046,0),COLUMN()),"")</f>
        <v/>
      </c>
      <c r="F912" t="str">
        <f>IFERROR(INDEX(装备库!$A$2:$Y$1047,MATCH(ROW()-1,装备库!$AO$2:$AO$1046,0),COLUMN()),"")</f>
        <v/>
      </c>
      <c r="G912" t="str">
        <f>IFERROR(INDEX(装备库!$A$2:$Y$1047,MATCH(ROW()-1,装备库!$AO$2:$AO$1046,0),COLUMN()),"")</f>
        <v/>
      </c>
      <c r="H912" t="str">
        <f>IFERROR(INDEX(装备库!$A$2:$Y$1047,MATCH(ROW()-1,装备库!$AO$2:$AO$1046,0),COLUMN()),"")</f>
        <v/>
      </c>
      <c r="I912" t="str">
        <f>IFERROR(INDEX(装备库!$A$2:$Y$1047,MATCH(ROW()-1,装备库!$AO$2:$AO$1046,0),COLUMN()),"")</f>
        <v/>
      </c>
      <c r="J912" t="str">
        <f>IFERROR(INDEX(装备库!$A$2:$Y$1047,MATCH(ROW()-1,装备库!$AO$2:$AO$1046,0),COLUMN()),"")</f>
        <v/>
      </c>
      <c r="K912" t="str">
        <f>IFERROR(INDEX(装备库!$A$2:$Y$1047,MATCH(ROW()-1,装备库!$AO$2:$AO$1046,0),COLUMN()),"")</f>
        <v/>
      </c>
      <c r="L912" t="str">
        <f>IFERROR(INDEX(装备库!$A$2:$Y$1047,MATCH(ROW()-1,装备库!$AO$2:$AO$1046,0),COLUMN()),"")</f>
        <v/>
      </c>
      <c r="M912" t="str">
        <f>IFERROR(INDEX(装备库!$A$2:$Y$1047,MATCH(ROW()-1,装备库!$AO$2:$AO$1046,0),COLUMN()),"")</f>
        <v/>
      </c>
      <c r="N912" t="str">
        <f>IFERROR(INDEX(装备库!$A$2:$Y$1047,MATCH(ROW()-1,装备库!$AO$2:$AO$1046,0),COLUMN()),"")</f>
        <v/>
      </c>
      <c r="O912" t="str">
        <f>IFERROR(INDEX(装备库!$A$2:$Y$1047,MATCH(ROW()-1,装备库!$AO$2:$AO$1046,0),COLUMN()),"")</f>
        <v/>
      </c>
      <c r="P912" t="str">
        <f>IFERROR(INDEX(装备库!$A$2:$Y$1047,MATCH(ROW()-1,装备库!$AO$2:$AO$1046,0),COLUMN()),"")</f>
        <v/>
      </c>
      <c r="Q912" t="str">
        <f>IFERROR(INDEX(装备库!$A$2:$Y$1047,MATCH(ROW()-1,装备库!$AO$2:$AO$1046,0),COLUMN()),"")</f>
        <v/>
      </c>
      <c r="R912" t="str">
        <f>IFERROR(INDEX(装备库!$A$2:$Y$1047,MATCH(ROW()-1,装备库!$AO$2:$AO$1046,0),COLUMN()),"")</f>
        <v/>
      </c>
      <c r="S912" t="str">
        <f>IFERROR(INDEX(装备库!$A$2:$Y$1047,MATCH(ROW()-1,装备库!$AO$2:$AO$1046,0),COLUMN()),"")</f>
        <v/>
      </c>
      <c r="T912" t="str">
        <f>IFERROR(INDEX(装备库!$A$2:$Y$1047,MATCH(ROW()-1,装备库!$AO$2:$AO$1046,0),COLUMN()),"")</f>
        <v/>
      </c>
      <c r="U912" t="str">
        <f>IFERROR(INDEX(装备库!$A$2:$Y$1047,MATCH(ROW()-1,装备库!$AO$2:$AO$1046,0),COLUMN()),"")</f>
        <v/>
      </c>
      <c r="V912" t="str">
        <f>IFERROR(INDEX(装备库!$A$2:$Y$1047,MATCH(ROW()-1,装备库!$AO$2:$AO$1046,0),COLUMN()),"")</f>
        <v/>
      </c>
      <c r="W912" t="str">
        <f>IFERROR(INDEX(装备库!$A$2:$Y$1047,MATCH(ROW()-1,装备库!$AO$2:$AO$1046,0),COLUMN()),"")</f>
        <v/>
      </c>
      <c r="X912" t="str">
        <f>IFERROR(INDEX(装备库!$A$2:$Y$1047,MATCH(ROW()-1,装备库!$AO$2:$AO$1046,0),COLUMN()),"")</f>
        <v/>
      </c>
      <c r="Y912" t="str">
        <f>IFERROR(INDEX(装备库!$A$2:$Y$1047,MATCH(ROW()-1,装备库!$AO$2:$AO$1046,0),COLUMN()),"")</f>
        <v/>
      </c>
    </row>
    <row r="913" spans="1:25" x14ac:dyDescent="0.35">
      <c r="A913" t="str">
        <f>IFERROR(INDEX(装备库!$A$2:$Y$1047,MATCH(ROW()-1,装备库!$AO$2:$AO$1046,0),COLUMN()),"")</f>
        <v/>
      </c>
      <c r="B913" t="str">
        <f>IFERROR(INDEX(装备库!$A$2:$Y$1047,MATCH(ROW()-1,装备库!$AO$2:$AO$1046,0),COLUMN()),"")</f>
        <v/>
      </c>
      <c r="C913" t="str">
        <f>IFERROR(INDEX(装备库!$A$2:$Y$1047,MATCH(ROW()-1,装备库!$AO$2:$AO$1046,0),COLUMN()),"")</f>
        <v/>
      </c>
      <c r="D913" t="str">
        <f>IFERROR(INDEX(装备库!$A$2:$Y$1047,MATCH(ROW()-1,装备库!$AO$2:$AO$1046,0),COLUMN()),"")</f>
        <v/>
      </c>
      <c r="E913" t="str">
        <f>IFERROR(INDEX(装备库!$A$2:$Y$1047,MATCH(ROW()-1,装备库!$AO$2:$AO$1046,0),COLUMN()),"")</f>
        <v/>
      </c>
      <c r="F913" t="str">
        <f>IFERROR(INDEX(装备库!$A$2:$Y$1047,MATCH(ROW()-1,装备库!$AO$2:$AO$1046,0),COLUMN()),"")</f>
        <v/>
      </c>
      <c r="G913" t="str">
        <f>IFERROR(INDEX(装备库!$A$2:$Y$1047,MATCH(ROW()-1,装备库!$AO$2:$AO$1046,0),COLUMN()),"")</f>
        <v/>
      </c>
      <c r="H913" t="str">
        <f>IFERROR(INDEX(装备库!$A$2:$Y$1047,MATCH(ROW()-1,装备库!$AO$2:$AO$1046,0),COLUMN()),"")</f>
        <v/>
      </c>
      <c r="I913" t="str">
        <f>IFERROR(INDEX(装备库!$A$2:$Y$1047,MATCH(ROW()-1,装备库!$AO$2:$AO$1046,0),COLUMN()),"")</f>
        <v/>
      </c>
      <c r="J913" t="str">
        <f>IFERROR(INDEX(装备库!$A$2:$Y$1047,MATCH(ROW()-1,装备库!$AO$2:$AO$1046,0),COLUMN()),"")</f>
        <v/>
      </c>
      <c r="K913" t="str">
        <f>IFERROR(INDEX(装备库!$A$2:$Y$1047,MATCH(ROW()-1,装备库!$AO$2:$AO$1046,0),COLUMN()),"")</f>
        <v/>
      </c>
      <c r="L913" t="str">
        <f>IFERROR(INDEX(装备库!$A$2:$Y$1047,MATCH(ROW()-1,装备库!$AO$2:$AO$1046,0),COLUMN()),"")</f>
        <v/>
      </c>
      <c r="M913" t="str">
        <f>IFERROR(INDEX(装备库!$A$2:$Y$1047,MATCH(ROW()-1,装备库!$AO$2:$AO$1046,0),COLUMN()),"")</f>
        <v/>
      </c>
      <c r="N913" t="str">
        <f>IFERROR(INDEX(装备库!$A$2:$Y$1047,MATCH(ROW()-1,装备库!$AO$2:$AO$1046,0),COLUMN()),"")</f>
        <v/>
      </c>
      <c r="O913" t="str">
        <f>IFERROR(INDEX(装备库!$A$2:$Y$1047,MATCH(ROW()-1,装备库!$AO$2:$AO$1046,0),COLUMN()),"")</f>
        <v/>
      </c>
      <c r="P913" t="str">
        <f>IFERROR(INDEX(装备库!$A$2:$Y$1047,MATCH(ROW()-1,装备库!$AO$2:$AO$1046,0),COLUMN()),"")</f>
        <v/>
      </c>
      <c r="Q913" t="str">
        <f>IFERROR(INDEX(装备库!$A$2:$Y$1047,MATCH(ROW()-1,装备库!$AO$2:$AO$1046,0),COLUMN()),"")</f>
        <v/>
      </c>
      <c r="R913" t="str">
        <f>IFERROR(INDEX(装备库!$A$2:$Y$1047,MATCH(ROW()-1,装备库!$AO$2:$AO$1046,0),COLUMN()),"")</f>
        <v/>
      </c>
      <c r="S913" t="str">
        <f>IFERROR(INDEX(装备库!$A$2:$Y$1047,MATCH(ROW()-1,装备库!$AO$2:$AO$1046,0),COLUMN()),"")</f>
        <v/>
      </c>
      <c r="T913" t="str">
        <f>IFERROR(INDEX(装备库!$A$2:$Y$1047,MATCH(ROW()-1,装备库!$AO$2:$AO$1046,0),COLUMN()),"")</f>
        <v/>
      </c>
      <c r="U913" t="str">
        <f>IFERROR(INDEX(装备库!$A$2:$Y$1047,MATCH(ROW()-1,装备库!$AO$2:$AO$1046,0),COLUMN()),"")</f>
        <v/>
      </c>
      <c r="V913" t="str">
        <f>IFERROR(INDEX(装备库!$A$2:$Y$1047,MATCH(ROW()-1,装备库!$AO$2:$AO$1046,0),COLUMN()),"")</f>
        <v/>
      </c>
      <c r="W913" t="str">
        <f>IFERROR(INDEX(装备库!$A$2:$Y$1047,MATCH(ROW()-1,装备库!$AO$2:$AO$1046,0),COLUMN()),"")</f>
        <v/>
      </c>
      <c r="X913" t="str">
        <f>IFERROR(INDEX(装备库!$A$2:$Y$1047,MATCH(ROW()-1,装备库!$AO$2:$AO$1046,0),COLUMN()),"")</f>
        <v/>
      </c>
      <c r="Y913" t="str">
        <f>IFERROR(INDEX(装备库!$A$2:$Y$1047,MATCH(ROW()-1,装备库!$AO$2:$AO$1046,0),COLUMN()),"")</f>
        <v/>
      </c>
    </row>
    <row r="914" spans="1:25" x14ac:dyDescent="0.35">
      <c r="A914" t="str">
        <f>IFERROR(INDEX(装备库!$A$2:$Y$1047,MATCH(ROW()-1,装备库!$AO$2:$AO$1046,0),COLUMN()),"")</f>
        <v/>
      </c>
      <c r="B914" t="str">
        <f>IFERROR(INDEX(装备库!$A$2:$Y$1047,MATCH(ROW()-1,装备库!$AO$2:$AO$1046,0),COLUMN()),"")</f>
        <v/>
      </c>
      <c r="C914" t="str">
        <f>IFERROR(INDEX(装备库!$A$2:$Y$1047,MATCH(ROW()-1,装备库!$AO$2:$AO$1046,0),COLUMN()),"")</f>
        <v/>
      </c>
      <c r="D914" t="str">
        <f>IFERROR(INDEX(装备库!$A$2:$Y$1047,MATCH(ROW()-1,装备库!$AO$2:$AO$1046,0),COLUMN()),"")</f>
        <v/>
      </c>
      <c r="E914" t="str">
        <f>IFERROR(INDEX(装备库!$A$2:$Y$1047,MATCH(ROW()-1,装备库!$AO$2:$AO$1046,0),COLUMN()),"")</f>
        <v/>
      </c>
      <c r="F914" t="str">
        <f>IFERROR(INDEX(装备库!$A$2:$Y$1047,MATCH(ROW()-1,装备库!$AO$2:$AO$1046,0),COLUMN()),"")</f>
        <v/>
      </c>
      <c r="G914" t="str">
        <f>IFERROR(INDEX(装备库!$A$2:$Y$1047,MATCH(ROW()-1,装备库!$AO$2:$AO$1046,0),COLUMN()),"")</f>
        <v/>
      </c>
      <c r="H914" t="str">
        <f>IFERROR(INDEX(装备库!$A$2:$Y$1047,MATCH(ROW()-1,装备库!$AO$2:$AO$1046,0),COLUMN()),"")</f>
        <v/>
      </c>
      <c r="I914" t="str">
        <f>IFERROR(INDEX(装备库!$A$2:$Y$1047,MATCH(ROW()-1,装备库!$AO$2:$AO$1046,0),COLUMN()),"")</f>
        <v/>
      </c>
      <c r="J914" t="str">
        <f>IFERROR(INDEX(装备库!$A$2:$Y$1047,MATCH(ROW()-1,装备库!$AO$2:$AO$1046,0),COLUMN()),"")</f>
        <v/>
      </c>
      <c r="K914" t="str">
        <f>IFERROR(INDEX(装备库!$A$2:$Y$1047,MATCH(ROW()-1,装备库!$AO$2:$AO$1046,0),COLUMN()),"")</f>
        <v/>
      </c>
      <c r="L914" t="str">
        <f>IFERROR(INDEX(装备库!$A$2:$Y$1047,MATCH(ROW()-1,装备库!$AO$2:$AO$1046,0),COLUMN()),"")</f>
        <v/>
      </c>
      <c r="M914" t="str">
        <f>IFERROR(INDEX(装备库!$A$2:$Y$1047,MATCH(ROW()-1,装备库!$AO$2:$AO$1046,0),COLUMN()),"")</f>
        <v/>
      </c>
      <c r="N914" t="str">
        <f>IFERROR(INDEX(装备库!$A$2:$Y$1047,MATCH(ROW()-1,装备库!$AO$2:$AO$1046,0),COLUMN()),"")</f>
        <v/>
      </c>
      <c r="O914" t="str">
        <f>IFERROR(INDEX(装备库!$A$2:$Y$1047,MATCH(ROW()-1,装备库!$AO$2:$AO$1046,0),COLUMN()),"")</f>
        <v/>
      </c>
      <c r="P914" t="str">
        <f>IFERROR(INDEX(装备库!$A$2:$Y$1047,MATCH(ROW()-1,装备库!$AO$2:$AO$1046,0),COLUMN()),"")</f>
        <v/>
      </c>
      <c r="Q914" t="str">
        <f>IFERROR(INDEX(装备库!$A$2:$Y$1047,MATCH(ROW()-1,装备库!$AO$2:$AO$1046,0),COLUMN()),"")</f>
        <v/>
      </c>
      <c r="R914" t="str">
        <f>IFERROR(INDEX(装备库!$A$2:$Y$1047,MATCH(ROW()-1,装备库!$AO$2:$AO$1046,0),COLUMN()),"")</f>
        <v/>
      </c>
      <c r="S914" t="str">
        <f>IFERROR(INDEX(装备库!$A$2:$Y$1047,MATCH(ROW()-1,装备库!$AO$2:$AO$1046,0),COLUMN()),"")</f>
        <v/>
      </c>
      <c r="T914" t="str">
        <f>IFERROR(INDEX(装备库!$A$2:$Y$1047,MATCH(ROW()-1,装备库!$AO$2:$AO$1046,0),COLUMN()),"")</f>
        <v/>
      </c>
      <c r="U914" t="str">
        <f>IFERROR(INDEX(装备库!$A$2:$Y$1047,MATCH(ROW()-1,装备库!$AO$2:$AO$1046,0),COLUMN()),"")</f>
        <v/>
      </c>
      <c r="V914" t="str">
        <f>IFERROR(INDEX(装备库!$A$2:$Y$1047,MATCH(ROW()-1,装备库!$AO$2:$AO$1046,0),COLUMN()),"")</f>
        <v/>
      </c>
      <c r="W914" t="str">
        <f>IFERROR(INDEX(装备库!$A$2:$Y$1047,MATCH(ROW()-1,装备库!$AO$2:$AO$1046,0),COLUMN()),"")</f>
        <v/>
      </c>
      <c r="X914" t="str">
        <f>IFERROR(INDEX(装备库!$A$2:$Y$1047,MATCH(ROW()-1,装备库!$AO$2:$AO$1046,0),COLUMN()),"")</f>
        <v/>
      </c>
      <c r="Y914" t="str">
        <f>IFERROR(INDEX(装备库!$A$2:$Y$1047,MATCH(ROW()-1,装备库!$AO$2:$AO$1046,0),COLUMN()),"")</f>
        <v/>
      </c>
    </row>
    <row r="915" spans="1:25" x14ac:dyDescent="0.35">
      <c r="A915" t="str">
        <f>IFERROR(INDEX(装备库!$A$2:$Y$1047,MATCH(ROW()-1,装备库!$AO$2:$AO$1046,0),COLUMN()),"")</f>
        <v/>
      </c>
      <c r="B915" t="str">
        <f>IFERROR(INDEX(装备库!$A$2:$Y$1047,MATCH(ROW()-1,装备库!$AO$2:$AO$1046,0),COLUMN()),"")</f>
        <v/>
      </c>
      <c r="C915" t="str">
        <f>IFERROR(INDEX(装备库!$A$2:$Y$1047,MATCH(ROW()-1,装备库!$AO$2:$AO$1046,0),COLUMN()),"")</f>
        <v/>
      </c>
      <c r="D915" t="str">
        <f>IFERROR(INDEX(装备库!$A$2:$Y$1047,MATCH(ROW()-1,装备库!$AO$2:$AO$1046,0),COLUMN()),"")</f>
        <v/>
      </c>
      <c r="E915" t="str">
        <f>IFERROR(INDEX(装备库!$A$2:$Y$1047,MATCH(ROW()-1,装备库!$AO$2:$AO$1046,0),COLUMN()),"")</f>
        <v/>
      </c>
      <c r="F915" t="str">
        <f>IFERROR(INDEX(装备库!$A$2:$Y$1047,MATCH(ROW()-1,装备库!$AO$2:$AO$1046,0),COLUMN()),"")</f>
        <v/>
      </c>
      <c r="G915" t="str">
        <f>IFERROR(INDEX(装备库!$A$2:$Y$1047,MATCH(ROW()-1,装备库!$AO$2:$AO$1046,0),COLUMN()),"")</f>
        <v/>
      </c>
      <c r="H915" t="str">
        <f>IFERROR(INDEX(装备库!$A$2:$Y$1047,MATCH(ROW()-1,装备库!$AO$2:$AO$1046,0),COLUMN()),"")</f>
        <v/>
      </c>
      <c r="I915" t="str">
        <f>IFERROR(INDEX(装备库!$A$2:$Y$1047,MATCH(ROW()-1,装备库!$AO$2:$AO$1046,0),COLUMN()),"")</f>
        <v/>
      </c>
      <c r="J915" t="str">
        <f>IFERROR(INDEX(装备库!$A$2:$Y$1047,MATCH(ROW()-1,装备库!$AO$2:$AO$1046,0),COLUMN()),"")</f>
        <v/>
      </c>
      <c r="K915" t="str">
        <f>IFERROR(INDEX(装备库!$A$2:$Y$1047,MATCH(ROW()-1,装备库!$AO$2:$AO$1046,0),COLUMN()),"")</f>
        <v/>
      </c>
      <c r="L915" t="str">
        <f>IFERROR(INDEX(装备库!$A$2:$Y$1047,MATCH(ROW()-1,装备库!$AO$2:$AO$1046,0),COLUMN()),"")</f>
        <v/>
      </c>
      <c r="M915" t="str">
        <f>IFERROR(INDEX(装备库!$A$2:$Y$1047,MATCH(ROW()-1,装备库!$AO$2:$AO$1046,0),COLUMN()),"")</f>
        <v/>
      </c>
      <c r="N915" t="str">
        <f>IFERROR(INDEX(装备库!$A$2:$Y$1047,MATCH(ROW()-1,装备库!$AO$2:$AO$1046,0),COLUMN()),"")</f>
        <v/>
      </c>
      <c r="O915" t="str">
        <f>IFERROR(INDEX(装备库!$A$2:$Y$1047,MATCH(ROW()-1,装备库!$AO$2:$AO$1046,0),COLUMN()),"")</f>
        <v/>
      </c>
      <c r="P915" t="str">
        <f>IFERROR(INDEX(装备库!$A$2:$Y$1047,MATCH(ROW()-1,装备库!$AO$2:$AO$1046,0),COLUMN()),"")</f>
        <v/>
      </c>
      <c r="Q915" t="str">
        <f>IFERROR(INDEX(装备库!$A$2:$Y$1047,MATCH(ROW()-1,装备库!$AO$2:$AO$1046,0),COLUMN()),"")</f>
        <v/>
      </c>
      <c r="R915" t="str">
        <f>IFERROR(INDEX(装备库!$A$2:$Y$1047,MATCH(ROW()-1,装备库!$AO$2:$AO$1046,0),COLUMN()),"")</f>
        <v/>
      </c>
      <c r="S915" t="str">
        <f>IFERROR(INDEX(装备库!$A$2:$Y$1047,MATCH(ROW()-1,装备库!$AO$2:$AO$1046,0),COLUMN()),"")</f>
        <v/>
      </c>
      <c r="T915" t="str">
        <f>IFERROR(INDEX(装备库!$A$2:$Y$1047,MATCH(ROW()-1,装备库!$AO$2:$AO$1046,0),COLUMN()),"")</f>
        <v/>
      </c>
      <c r="U915" t="str">
        <f>IFERROR(INDEX(装备库!$A$2:$Y$1047,MATCH(ROW()-1,装备库!$AO$2:$AO$1046,0),COLUMN()),"")</f>
        <v/>
      </c>
      <c r="V915" t="str">
        <f>IFERROR(INDEX(装备库!$A$2:$Y$1047,MATCH(ROW()-1,装备库!$AO$2:$AO$1046,0),COLUMN()),"")</f>
        <v/>
      </c>
      <c r="W915" t="str">
        <f>IFERROR(INDEX(装备库!$A$2:$Y$1047,MATCH(ROW()-1,装备库!$AO$2:$AO$1046,0),COLUMN()),"")</f>
        <v/>
      </c>
      <c r="X915" t="str">
        <f>IFERROR(INDEX(装备库!$A$2:$Y$1047,MATCH(ROW()-1,装备库!$AO$2:$AO$1046,0),COLUMN()),"")</f>
        <v/>
      </c>
      <c r="Y915" t="str">
        <f>IFERROR(INDEX(装备库!$A$2:$Y$1047,MATCH(ROW()-1,装备库!$AO$2:$AO$1046,0),COLUMN()),"")</f>
        <v/>
      </c>
    </row>
    <row r="916" spans="1:25" x14ac:dyDescent="0.35">
      <c r="A916" t="str">
        <f>IFERROR(INDEX(装备库!$A$2:$Y$1047,MATCH(ROW()-1,装备库!$AO$2:$AO$1046,0),COLUMN()),"")</f>
        <v/>
      </c>
      <c r="B916" t="str">
        <f>IFERROR(INDEX(装备库!$A$2:$Y$1047,MATCH(ROW()-1,装备库!$AO$2:$AO$1046,0),COLUMN()),"")</f>
        <v/>
      </c>
      <c r="C916" t="str">
        <f>IFERROR(INDEX(装备库!$A$2:$Y$1047,MATCH(ROW()-1,装备库!$AO$2:$AO$1046,0),COLUMN()),"")</f>
        <v/>
      </c>
      <c r="D916" t="str">
        <f>IFERROR(INDEX(装备库!$A$2:$Y$1047,MATCH(ROW()-1,装备库!$AO$2:$AO$1046,0),COLUMN()),"")</f>
        <v/>
      </c>
      <c r="E916" t="str">
        <f>IFERROR(INDEX(装备库!$A$2:$Y$1047,MATCH(ROW()-1,装备库!$AO$2:$AO$1046,0),COLUMN()),"")</f>
        <v/>
      </c>
      <c r="F916" t="str">
        <f>IFERROR(INDEX(装备库!$A$2:$Y$1047,MATCH(ROW()-1,装备库!$AO$2:$AO$1046,0),COLUMN()),"")</f>
        <v/>
      </c>
      <c r="G916" t="str">
        <f>IFERROR(INDEX(装备库!$A$2:$Y$1047,MATCH(ROW()-1,装备库!$AO$2:$AO$1046,0),COLUMN()),"")</f>
        <v/>
      </c>
      <c r="H916" t="str">
        <f>IFERROR(INDEX(装备库!$A$2:$Y$1047,MATCH(ROW()-1,装备库!$AO$2:$AO$1046,0),COLUMN()),"")</f>
        <v/>
      </c>
      <c r="I916" t="str">
        <f>IFERROR(INDEX(装备库!$A$2:$Y$1047,MATCH(ROW()-1,装备库!$AO$2:$AO$1046,0),COLUMN()),"")</f>
        <v/>
      </c>
      <c r="J916" t="str">
        <f>IFERROR(INDEX(装备库!$A$2:$Y$1047,MATCH(ROW()-1,装备库!$AO$2:$AO$1046,0),COLUMN()),"")</f>
        <v/>
      </c>
      <c r="K916" t="str">
        <f>IFERROR(INDEX(装备库!$A$2:$Y$1047,MATCH(ROW()-1,装备库!$AO$2:$AO$1046,0),COLUMN()),"")</f>
        <v/>
      </c>
      <c r="L916" t="str">
        <f>IFERROR(INDEX(装备库!$A$2:$Y$1047,MATCH(ROW()-1,装备库!$AO$2:$AO$1046,0),COLUMN()),"")</f>
        <v/>
      </c>
      <c r="M916" t="str">
        <f>IFERROR(INDEX(装备库!$A$2:$Y$1047,MATCH(ROW()-1,装备库!$AO$2:$AO$1046,0),COLUMN()),"")</f>
        <v/>
      </c>
      <c r="N916" t="str">
        <f>IFERROR(INDEX(装备库!$A$2:$Y$1047,MATCH(ROW()-1,装备库!$AO$2:$AO$1046,0),COLUMN()),"")</f>
        <v/>
      </c>
      <c r="O916" t="str">
        <f>IFERROR(INDEX(装备库!$A$2:$Y$1047,MATCH(ROW()-1,装备库!$AO$2:$AO$1046,0),COLUMN()),"")</f>
        <v/>
      </c>
      <c r="P916" t="str">
        <f>IFERROR(INDEX(装备库!$A$2:$Y$1047,MATCH(ROW()-1,装备库!$AO$2:$AO$1046,0),COLUMN()),"")</f>
        <v/>
      </c>
      <c r="Q916" t="str">
        <f>IFERROR(INDEX(装备库!$A$2:$Y$1047,MATCH(ROW()-1,装备库!$AO$2:$AO$1046,0),COLUMN()),"")</f>
        <v/>
      </c>
      <c r="R916" t="str">
        <f>IFERROR(INDEX(装备库!$A$2:$Y$1047,MATCH(ROW()-1,装备库!$AO$2:$AO$1046,0),COLUMN()),"")</f>
        <v/>
      </c>
      <c r="S916" t="str">
        <f>IFERROR(INDEX(装备库!$A$2:$Y$1047,MATCH(ROW()-1,装备库!$AO$2:$AO$1046,0),COLUMN()),"")</f>
        <v/>
      </c>
      <c r="T916" t="str">
        <f>IFERROR(INDEX(装备库!$A$2:$Y$1047,MATCH(ROW()-1,装备库!$AO$2:$AO$1046,0),COLUMN()),"")</f>
        <v/>
      </c>
      <c r="U916" t="str">
        <f>IFERROR(INDEX(装备库!$A$2:$Y$1047,MATCH(ROW()-1,装备库!$AO$2:$AO$1046,0),COLUMN()),"")</f>
        <v/>
      </c>
      <c r="V916" t="str">
        <f>IFERROR(INDEX(装备库!$A$2:$Y$1047,MATCH(ROW()-1,装备库!$AO$2:$AO$1046,0),COLUMN()),"")</f>
        <v/>
      </c>
      <c r="W916" t="str">
        <f>IFERROR(INDEX(装备库!$A$2:$Y$1047,MATCH(ROW()-1,装备库!$AO$2:$AO$1046,0),COLUMN()),"")</f>
        <v/>
      </c>
      <c r="X916" t="str">
        <f>IFERROR(INDEX(装备库!$A$2:$Y$1047,MATCH(ROW()-1,装备库!$AO$2:$AO$1046,0),COLUMN()),"")</f>
        <v/>
      </c>
      <c r="Y916" t="str">
        <f>IFERROR(INDEX(装备库!$A$2:$Y$1047,MATCH(ROW()-1,装备库!$AO$2:$AO$1046,0),COLUMN()),"")</f>
        <v/>
      </c>
    </row>
    <row r="917" spans="1:25" x14ac:dyDescent="0.35">
      <c r="A917" t="str">
        <f>IFERROR(INDEX(装备库!$A$2:$Y$1047,MATCH(ROW()-1,装备库!$AO$2:$AO$1046,0),COLUMN()),"")</f>
        <v/>
      </c>
      <c r="B917" t="str">
        <f>IFERROR(INDEX(装备库!$A$2:$Y$1047,MATCH(ROW()-1,装备库!$AO$2:$AO$1046,0),COLUMN()),"")</f>
        <v/>
      </c>
      <c r="C917" t="str">
        <f>IFERROR(INDEX(装备库!$A$2:$Y$1047,MATCH(ROW()-1,装备库!$AO$2:$AO$1046,0),COLUMN()),"")</f>
        <v/>
      </c>
      <c r="D917" t="str">
        <f>IFERROR(INDEX(装备库!$A$2:$Y$1047,MATCH(ROW()-1,装备库!$AO$2:$AO$1046,0),COLUMN()),"")</f>
        <v/>
      </c>
      <c r="E917" t="str">
        <f>IFERROR(INDEX(装备库!$A$2:$Y$1047,MATCH(ROW()-1,装备库!$AO$2:$AO$1046,0),COLUMN()),"")</f>
        <v/>
      </c>
      <c r="F917" t="str">
        <f>IFERROR(INDEX(装备库!$A$2:$Y$1047,MATCH(ROW()-1,装备库!$AO$2:$AO$1046,0),COLUMN()),"")</f>
        <v/>
      </c>
      <c r="G917" t="str">
        <f>IFERROR(INDEX(装备库!$A$2:$Y$1047,MATCH(ROW()-1,装备库!$AO$2:$AO$1046,0),COLUMN()),"")</f>
        <v/>
      </c>
      <c r="H917" t="str">
        <f>IFERROR(INDEX(装备库!$A$2:$Y$1047,MATCH(ROW()-1,装备库!$AO$2:$AO$1046,0),COLUMN()),"")</f>
        <v/>
      </c>
      <c r="I917" t="str">
        <f>IFERROR(INDEX(装备库!$A$2:$Y$1047,MATCH(ROW()-1,装备库!$AO$2:$AO$1046,0),COLUMN()),"")</f>
        <v/>
      </c>
      <c r="J917" t="str">
        <f>IFERROR(INDEX(装备库!$A$2:$Y$1047,MATCH(ROW()-1,装备库!$AO$2:$AO$1046,0),COLUMN()),"")</f>
        <v/>
      </c>
      <c r="K917" t="str">
        <f>IFERROR(INDEX(装备库!$A$2:$Y$1047,MATCH(ROW()-1,装备库!$AO$2:$AO$1046,0),COLUMN()),"")</f>
        <v/>
      </c>
      <c r="L917" t="str">
        <f>IFERROR(INDEX(装备库!$A$2:$Y$1047,MATCH(ROW()-1,装备库!$AO$2:$AO$1046,0),COLUMN()),"")</f>
        <v/>
      </c>
      <c r="M917" t="str">
        <f>IFERROR(INDEX(装备库!$A$2:$Y$1047,MATCH(ROW()-1,装备库!$AO$2:$AO$1046,0),COLUMN()),"")</f>
        <v/>
      </c>
      <c r="N917" t="str">
        <f>IFERROR(INDEX(装备库!$A$2:$Y$1047,MATCH(ROW()-1,装备库!$AO$2:$AO$1046,0),COLUMN()),"")</f>
        <v/>
      </c>
      <c r="O917" t="str">
        <f>IFERROR(INDEX(装备库!$A$2:$Y$1047,MATCH(ROW()-1,装备库!$AO$2:$AO$1046,0),COLUMN()),"")</f>
        <v/>
      </c>
      <c r="P917" t="str">
        <f>IFERROR(INDEX(装备库!$A$2:$Y$1047,MATCH(ROW()-1,装备库!$AO$2:$AO$1046,0),COLUMN()),"")</f>
        <v/>
      </c>
      <c r="Q917" t="str">
        <f>IFERROR(INDEX(装备库!$A$2:$Y$1047,MATCH(ROW()-1,装备库!$AO$2:$AO$1046,0),COLUMN()),"")</f>
        <v/>
      </c>
      <c r="R917" t="str">
        <f>IFERROR(INDEX(装备库!$A$2:$Y$1047,MATCH(ROW()-1,装备库!$AO$2:$AO$1046,0),COLUMN()),"")</f>
        <v/>
      </c>
      <c r="S917" t="str">
        <f>IFERROR(INDEX(装备库!$A$2:$Y$1047,MATCH(ROW()-1,装备库!$AO$2:$AO$1046,0),COLUMN()),"")</f>
        <v/>
      </c>
      <c r="T917" t="str">
        <f>IFERROR(INDEX(装备库!$A$2:$Y$1047,MATCH(ROW()-1,装备库!$AO$2:$AO$1046,0),COLUMN()),"")</f>
        <v/>
      </c>
      <c r="U917" t="str">
        <f>IFERROR(INDEX(装备库!$A$2:$Y$1047,MATCH(ROW()-1,装备库!$AO$2:$AO$1046,0),COLUMN()),"")</f>
        <v/>
      </c>
      <c r="V917" t="str">
        <f>IFERROR(INDEX(装备库!$A$2:$Y$1047,MATCH(ROW()-1,装备库!$AO$2:$AO$1046,0),COLUMN()),"")</f>
        <v/>
      </c>
      <c r="W917" t="str">
        <f>IFERROR(INDEX(装备库!$A$2:$Y$1047,MATCH(ROW()-1,装备库!$AO$2:$AO$1046,0),COLUMN()),"")</f>
        <v/>
      </c>
      <c r="X917" t="str">
        <f>IFERROR(INDEX(装备库!$A$2:$Y$1047,MATCH(ROW()-1,装备库!$AO$2:$AO$1046,0),COLUMN()),"")</f>
        <v/>
      </c>
      <c r="Y917" t="str">
        <f>IFERROR(INDEX(装备库!$A$2:$Y$1047,MATCH(ROW()-1,装备库!$AO$2:$AO$1046,0),COLUMN()),"")</f>
        <v/>
      </c>
    </row>
    <row r="918" spans="1:25" x14ac:dyDescent="0.35">
      <c r="A918" t="str">
        <f>IFERROR(INDEX(装备库!$A$2:$Y$1047,MATCH(ROW()-1,装备库!$AO$2:$AO$1046,0),COLUMN()),"")</f>
        <v/>
      </c>
      <c r="B918" t="str">
        <f>IFERROR(INDEX(装备库!$A$2:$Y$1047,MATCH(ROW()-1,装备库!$AO$2:$AO$1046,0),COLUMN()),"")</f>
        <v/>
      </c>
      <c r="C918" t="str">
        <f>IFERROR(INDEX(装备库!$A$2:$Y$1047,MATCH(ROW()-1,装备库!$AO$2:$AO$1046,0),COLUMN()),"")</f>
        <v/>
      </c>
      <c r="D918" t="str">
        <f>IFERROR(INDEX(装备库!$A$2:$Y$1047,MATCH(ROW()-1,装备库!$AO$2:$AO$1046,0),COLUMN()),"")</f>
        <v/>
      </c>
      <c r="E918" t="str">
        <f>IFERROR(INDEX(装备库!$A$2:$Y$1047,MATCH(ROW()-1,装备库!$AO$2:$AO$1046,0),COLUMN()),"")</f>
        <v/>
      </c>
      <c r="F918" t="str">
        <f>IFERROR(INDEX(装备库!$A$2:$Y$1047,MATCH(ROW()-1,装备库!$AO$2:$AO$1046,0),COLUMN()),"")</f>
        <v/>
      </c>
      <c r="G918" t="str">
        <f>IFERROR(INDEX(装备库!$A$2:$Y$1047,MATCH(ROW()-1,装备库!$AO$2:$AO$1046,0),COLUMN()),"")</f>
        <v/>
      </c>
      <c r="H918" t="str">
        <f>IFERROR(INDEX(装备库!$A$2:$Y$1047,MATCH(ROW()-1,装备库!$AO$2:$AO$1046,0),COLUMN()),"")</f>
        <v/>
      </c>
      <c r="I918" t="str">
        <f>IFERROR(INDEX(装备库!$A$2:$Y$1047,MATCH(ROW()-1,装备库!$AO$2:$AO$1046,0),COLUMN()),"")</f>
        <v/>
      </c>
      <c r="J918" t="str">
        <f>IFERROR(INDEX(装备库!$A$2:$Y$1047,MATCH(ROW()-1,装备库!$AO$2:$AO$1046,0),COLUMN()),"")</f>
        <v/>
      </c>
      <c r="K918" t="str">
        <f>IFERROR(INDEX(装备库!$A$2:$Y$1047,MATCH(ROW()-1,装备库!$AO$2:$AO$1046,0),COLUMN()),"")</f>
        <v/>
      </c>
      <c r="L918" t="str">
        <f>IFERROR(INDEX(装备库!$A$2:$Y$1047,MATCH(ROW()-1,装备库!$AO$2:$AO$1046,0),COLUMN()),"")</f>
        <v/>
      </c>
      <c r="M918" t="str">
        <f>IFERROR(INDEX(装备库!$A$2:$Y$1047,MATCH(ROW()-1,装备库!$AO$2:$AO$1046,0),COLUMN()),"")</f>
        <v/>
      </c>
      <c r="N918" t="str">
        <f>IFERROR(INDEX(装备库!$A$2:$Y$1047,MATCH(ROW()-1,装备库!$AO$2:$AO$1046,0),COLUMN()),"")</f>
        <v/>
      </c>
      <c r="O918" t="str">
        <f>IFERROR(INDEX(装备库!$A$2:$Y$1047,MATCH(ROW()-1,装备库!$AO$2:$AO$1046,0),COLUMN()),"")</f>
        <v/>
      </c>
      <c r="P918" t="str">
        <f>IFERROR(INDEX(装备库!$A$2:$Y$1047,MATCH(ROW()-1,装备库!$AO$2:$AO$1046,0),COLUMN()),"")</f>
        <v/>
      </c>
      <c r="Q918" t="str">
        <f>IFERROR(INDEX(装备库!$A$2:$Y$1047,MATCH(ROW()-1,装备库!$AO$2:$AO$1046,0),COLUMN()),"")</f>
        <v/>
      </c>
      <c r="R918" t="str">
        <f>IFERROR(INDEX(装备库!$A$2:$Y$1047,MATCH(ROW()-1,装备库!$AO$2:$AO$1046,0),COLUMN()),"")</f>
        <v/>
      </c>
      <c r="S918" t="str">
        <f>IFERROR(INDEX(装备库!$A$2:$Y$1047,MATCH(ROW()-1,装备库!$AO$2:$AO$1046,0),COLUMN()),"")</f>
        <v/>
      </c>
      <c r="T918" t="str">
        <f>IFERROR(INDEX(装备库!$A$2:$Y$1047,MATCH(ROW()-1,装备库!$AO$2:$AO$1046,0),COLUMN()),"")</f>
        <v/>
      </c>
      <c r="U918" t="str">
        <f>IFERROR(INDEX(装备库!$A$2:$Y$1047,MATCH(ROW()-1,装备库!$AO$2:$AO$1046,0),COLUMN()),"")</f>
        <v/>
      </c>
      <c r="V918" t="str">
        <f>IFERROR(INDEX(装备库!$A$2:$Y$1047,MATCH(ROW()-1,装备库!$AO$2:$AO$1046,0),COLUMN()),"")</f>
        <v/>
      </c>
      <c r="W918" t="str">
        <f>IFERROR(INDEX(装备库!$A$2:$Y$1047,MATCH(ROW()-1,装备库!$AO$2:$AO$1046,0),COLUMN()),"")</f>
        <v/>
      </c>
      <c r="X918" t="str">
        <f>IFERROR(INDEX(装备库!$A$2:$Y$1047,MATCH(ROW()-1,装备库!$AO$2:$AO$1046,0),COLUMN()),"")</f>
        <v/>
      </c>
      <c r="Y918" t="str">
        <f>IFERROR(INDEX(装备库!$A$2:$Y$1047,MATCH(ROW()-1,装备库!$AO$2:$AO$1046,0),COLUMN()),"")</f>
        <v/>
      </c>
    </row>
    <row r="919" spans="1:25" x14ac:dyDescent="0.35">
      <c r="A919" t="str">
        <f>IFERROR(INDEX(装备库!$A$2:$Y$1047,MATCH(ROW()-1,装备库!$AO$2:$AO$1046,0),COLUMN()),"")</f>
        <v/>
      </c>
      <c r="B919" t="str">
        <f>IFERROR(INDEX(装备库!$A$2:$Y$1047,MATCH(ROW()-1,装备库!$AO$2:$AO$1046,0),COLUMN()),"")</f>
        <v/>
      </c>
      <c r="C919" t="str">
        <f>IFERROR(INDEX(装备库!$A$2:$Y$1047,MATCH(ROW()-1,装备库!$AO$2:$AO$1046,0),COLUMN()),"")</f>
        <v/>
      </c>
      <c r="D919" t="str">
        <f>IFERROR(INDEX(装备库!$A$2:$Y$1047,MATCH(ROW()-1,装备库!$AO$2:$AO$1046,0),COLUMN()),"")</f>
        <v/>
      </c>
      <c r="E919" t="str">
        <f>IFERROR(INDEX(装备库!$A$2:$Y$1047,MATCH(ROW()-1,装备库!$AO$2:$AO$1046,0),COLUMN()),"")</f>
        <v/>
      </c>
      <c r="F919" t="str">
        <f>IFERROR(INDEX(装备库!$A$2:$Y$1047,MATCH(ROW()-1,装备库!$AO$2:$AO$1046,0),COLUMN()),"")</f>
        <v/>
      </c>
      <c r="G919" t="str">
        <f>IFERROR(INDEX(装备库!$A$2:$Y$1047,MATCH(ROW()-1,装备库!$AO$2:$AO$1046,0),COLUMN()),"")</f>
        <v/>
      </c>
      <c r="H919" t="str">
        <f>IFERROR(INDEX(装备库!$A$2:$Y$1047,MATCH(ROW()-1,装备库!$AO$2:$AO$1046,0),COLUMN()),"")</f>
        <v/>
      </c>
      <c r="I919" t="str">
        <f>IFERROR(INDEX(装备库!$A$2:$Y$1047,MATCH(ROW()-1,装备库!$AO$2:$AO$1046,0),COLUMN()),"")</f>
        <v/>
      </c>
      <c r="J919" t="str">
        <f>IFERROR(INDEX(装备库!$A$2:$Y$1047,MATCH(ROW()-1,装备库!$AO$2:$AO$1046,0),COLUMN()),"")</f>
        <v/>
      </c>
      <c r="K919" t="str">
        <f>IFERROR(INDEX(装备库!$A$2:$Y$1047,MATCH(ROW()-1,装备库!$AO$2:$AO$1046,0),COLUMN()),"")</f>
        <v/>
      </c>
      <c r="L919" t="str">
        <f>IFERROR(INDEX(装备库!$A$2:$Y$1047,MATCH(ROW()-1,装备库!$AO$2:$AO$1046,0),COLUMN()),"")</f>
        <v/>
      </c>
      <c r="M919" t="str">
        <f>IFERROR(INDEX(装备库!$A$2:$Y$1047,MATCH(ROW()-1,装备库!$AO$2:$AO$1046,0),COLUMN()),"")</f>
        <v/>
      </c>
      <c r="N919" t="str">
        <f>IFERROR(INDEX(装备库!$A$2:$Y$1047,MATCH(ROW()-1,装备库!$AO$2:$AO$1046,0),COLUMN()),"")</f>
        <v/>
      </c>
      <c r="O919" t="str">
        <f>IFERROR(INDEX(装备库!$A$2:$Y$1047,MATCH(ROW()-1,装备库!$AO$2:$AO$1046,0),COLUMN()),"")</f>
        <v/>
      </c>
      <c r="P919" t="str">
        <f>IFERROR(INDEX(装备库!$A$2:$Y$1047,MATCH(ROW()-1,装备库!$AO$2:$AO$1046,0),COLUMN()),"")</f>
        <v/>
      </c>
      <c r="Q919" t="str">
        <f>IFERROR(INDEX(装备库!$A$2:$Y$1047,MATCH(ROW()-1,装备库!$AO$2:$AO$1046,0),COLUMN()),"")</f>
        <v/>
      </c>
      <c r="R919" t="str">
        <f>IFERROR(INDEX(装备库!$A$2:$Y$1047,MATCH(ROW()-1,装备库!$AO$2:$AO$1046,0),COLUMN()),"")</f>
        <v/>
      </c>
      <c r="S919" t="str">
        <f>IFERROR(INDEX(装备库!$A$2:$Y$1047,MATCH(ROW()-1,装备库!$AO$2:$AO$1046,0),COLUMN()),"")</f>
        <v/>
      </c>
      <c r="T919" t="str">
        <f>IFERROR(INDEX(装备库!$A$2:$Y$1047,MATCH(ROW()-1,装备库!$AO$2:$AO$1046,0),COLUMN()),"")</f>
        <v/>
      </c>
      <c r="U919" t="str">
        <f>IFERROR(INDEX(装备库!$A$2:$Y$1047,MATCH(ROW()-1,装备库!$AO$2:$AO$1046,0),COLUMN()),"")</f>
        <v/>
      </c>
      <c r="V919" t="str">
        <f>IFERROR(INDEX(装备库!$A$2:$Y$1047,MATCH(ROW()-1,装备库!$AO$2:$AO$1046,0),COLUMN()),"")</f>
        <v/>
      </c>
      <c r="W919" t="str">
        <f>IFERROR(INDEX(装备库!$A$2:$Y$1047,MATCH(ROW()-1,装备库!$AO$2:$AO$1046,0),COLUMN()),"")</f>
        <v/>
      </c>
      <c r="X919" t="str">
        <f>IFERROR(INDEX(装备库!$A$2:$Y$1047,MATCH(ROW()-1,装备库!$AO$2:$AO$1046,0),COLUMN()),"")</f>
        <v/>
      </c>
      <c r="Y919" t="str">
        <f>IFERROR(INDEX(装备库!$A$2:$Y$1047,MATCH(ROW()-1,装备库!$AO$2:$AO$1046,0),COLUMN()),"")</f>
        <v/>
      </c>
    </row>
    <row r="920" spans="1:25" x14ac:dyDescent="0.35">
      <c r="A920" t="str">
        <f>IFERROR(INDEX(装备库!$A$2:$Y$1047,MATCH(ROW()-1,装备库!$AO$2:$AO$1046,0),COLUMN()),"")</f>
        <v/>
      </c>
      <c r="B920" t="str">
        <f>IFERROR(INDEX(装备库!$A$2:$Y$1047,MATCH(ROW()-1,装备库!$AO$2:$AO$1046,0),COLUMN()),"")</f>
        <v/>
      </c>
      <c r="C920" t="str">
        <f>IFERROR(INDEX(装备库!$A$2:$Y$1047,MATCH(ROW()-1,装备库!$AO$2:$AO$1046,0),COLUMN()),"")</f>
        <v/>
      </c>
      <c r="D920" t="str">
        <f>IFERROR(INDEX(装备库!$A$2:$Y$1047,MATCH(ROW()-1,装备库!$AO$2:$AO$1046,0),COLUMN()),"")</f>
        <v/>
      </c>
      <c r="E920" t="str">
        <f>IFERROR(INDEX(装备库!$A$2:$Y$1047,MATCH(ROW()-1,装备库!$AO$2:$AO$1046,0),COLUMN()),"")</f>
        <v/>
      </c>
      <c r="F920" t="str">
        <f>IFERROR(INDEX(装备库!$A$2:$Y$1047,MATCH(ROW()-1,装备库!$AO$2:$AO$1046,0),COLUMN()),"")</f>
        <v/>
      </c>
      <c r="G920" t="str">
        <f>IFERROR(INDEX(装备库!$A$2:$Y$1047,MATCH(ROW()-1,装备库!$AO$2:$AO$1046,0),COLUMN()),"")</f>
        <v/>
      </c>
      <c r="H920" t="str">
        <f>IFERROR(INDEX(装备库!$A$2:$Y$1047,MATCH(ROW()-1,装备库!$AO$2:$AO$1046,0),COLUMN()),"")</f>
        <v/>
      </c>
      <c r="I920" t="str">
        <f>IFERROR(INDEX(装备库!$A$2:$Y$1047,MATCH(ROW()-1,装备库!$AO$2:$AO$1046,0),COLUMN()),"")</f>
        <v/>
      </c>
      <c r="J920" t="str">
        <f>IFERROR(INDEX(装备库!$A$2:$Y$1047,MATCH(ROW()-1,装备库!$AO$2:$AO$1046,0),COLUMN()),"")</f>
        <v/>
      </c>
      <c r="K920" t="str">
        <f>IFERROR(INDEX(装备库!$A$2:$Y$1047,MATCH(ROW()-1,装备库!$AO$2:$AO$1046,0),COLUMN()),"")</f>
        <v/>
      </c>
      <c r="L920" t="str">
        <f>IFERROR(INDEX(装备库!$A$2:$Y$1047,MATCH(ROW()-1,装备库!$AO$2:$AO$1046,0),COLUMN()),"")</f>
        <v/>
      </c>
      <c r="M920" t="str">
        <f>IFERROR(INDEX(装备库!$A$2:$Y$1047,MATCH(ROW()-1,装备库!$AO$2:$AO$1046,0),COLUMN()),"")</f>
        <v/>
      </c>
      <c r="N920" t="str">
        <f>IFERROR(INDEX(装备库!$A$2:$Y$1047,MATCH(ROW()-1,装备库!$AO$2:$AO$1046,0),COLUMN()),"")</f>
        <v/>
      </c>
      <c r="O920" t="str">
        <f>IFERROR(INDEX(装备库!$A$2:$Y$1047,MATCH(ROW()-1,装备库!$AO$2:$AO$1046,0),COLUMN()),"")</f>
        <v/>
      </c>
      <c r="P920" t="str">
        <f>IFERROR(INDEX(装备库!$A$2:$Y$1047,MATCH(ROW()-1,装备库!$AO$2:$AO$1046,0),COLUMN()),"")</f>
        <v/>
      </c>
      <c r="Q920" t="str">
        <f>IFERROR(INDEX(装备库!$A$2:$Y$1047,MATCH(ROW()-1,装备库!$AO$2:$AO$1046,0),COLUMN()),"")</f>
        <v/>
      </c>
      <c r="R920" t="str">
        <f>IFERROR(INDEX(装备库!$A$2:$Y$1047,MATCH(ROW()-1,装备库!$AO$2:$AO$1046,0),COLUMN()),"")</f>
        <v/>
      </c>
      <c r="S920" t="str">
        <f>IFERROR(INDEX(装备库!$A$2:$Y$1047,MATCH(ROW()-1,装备库!$AO$2:$AO$1046,0),COLUMN()),"")</f>
        <v/>
      </c>
      <c r="T920" t="str">
        <f>IFERROR(INDEX(装备库!$A$2:$Y$1047,MATCH(ROW()-1,装备库!$AO$2:$AO$1046,0),COLUMN()),"")</f>
        <v/>
      </c>
      <c r="U920" t="str">
        <f>IFERROR(INDEX(装备库!$A$2:$Y$1047,MATCH(ROW()-1,装备库!$AO$2:$AO$1046,0),COLUMN()),"")</f>
        <v/>
      </c>
      <c r="V920" t="str">
        <f>IFERROR(INDEX(装备库!$A$2:$Y$1047,MATCH(ROW()-1,装备库!$AO$2:$AO$1046,0),COLUMN()),"")</f>
        <v/>
      </c>
      <c r="W920" t="str">
        <f>IFERROR(INDEX(装备库!$A$2:$Y$1047,MATCH(ROW()-1,装备库!$AO$2:$AO$1046,0),COLUMN()),"")</f>
        <v/>
      </c>
      <c r="X920" t="str">
        <f>IFERROR(INDEX(装备库!$A$2:$Y$1047,MATCH(ROW()-1,装备库!$AO$2:$AO$1046,0),COLUMN()),"")</f>
        <v/>
      </c>
      <c r="Y920" t="str">
        <f>IFERROR(INDEX(装备库!$A$2:$Y$1047,MATCH(ROW()-1,装备库!$AO$2:$AO$1046,0),COLUMN()),"")</f>
        <v/>
      </c>
    </row>
    <row r="921" spans="1:25" x14ac:dyDescent="0.35">
      <c r="A921" t="str">
        <f>IFERROR(INDEX(装备库!$A$2:$Y$1047,MATCH(ROW()-1,装备库!$AO$2:$AO$1046,0),COLUMN()),"")</f>
        <v/>
      </c>
      <c r="B921" t="str">
        <f>IFERROR(INDEX(装备库!$A$2:$Y$1047,MATCH(ROW()-1,装备库!$AO$2:$AO$1046,0),COLUMN()),"")</f>
        <v/>
      </c>
      <c r="C921" t="str">
        <f>IFERROR(INDEX(装备库!$A$2:$Y$1047,MATCH(ROW()-1,装备库!$AO$2:$AO$1046,0),COLUMN()),"")</f>
        <v/>
      </c>
      <c r="D921" t="str">
        <f>IFERROR(INDEX(装备库!$A$2:$Y$1047,MATCH(ROW()-1,装备库!$AO$2:$AO$1046,0),COLUMN()),"")</f>
        <v/>
      </c>
      <c r="E921" t="str">
        <f>IFERROR(INDEX(装备库!$A$2:$Y$1047,MATCH(ROW()-1,装备库!$AO$2:$AO$1046,0),COLUMN()),"")</f>
        <v/>
      </c>
      <c r="F921" t="str">
        <f>IFERROR(INDEX(装备库!$A$2:$Y$1047,MATCH(ROW()-1,装备库!$AO$2:$AO$1046,0),COLUMN()),"")</f>
        <v/>
      </c>
      <c r="G921" t="str">
        <f>IFERROR(INDEX(装备库!$A$2:$Y$1047,MATCH(ROW()-1,装备库!$AO$2:$AO$1046,0),COLUMN()),"")</f>
        <v/>
      </c>
      <c r="H921" t="str">
        <f>IFERROR(INDEX(装备库!$A$2:$Y$1047,MATCH(ROW()-1,装备库!$AO$2:$AO$1046,0),COLUMN()),"")</f>
        <v/>
      </c>
      <c r="I921" t="str">
        <f>IFERROR(INDEX(装备库!$A$2:$Y$1047,MATCH(ROW()-1,装备库!$AO$2:$AO$1046,0),COLUMN()),"")</f>
        <v/>
      </c>
      <c r="J921" t="str">
        <f>IFERROR(INDEX(装备库!$A$2:$Y$1047,MATCH(ROW()-1,装备库!$AO$2:$AO$1046,0),COLUMN()),"")</f>
        <v/>
      </c>
      <c r="K921" t="str">
        <f>IFERROR(INDEX(装备库!$A$2:$Y$1047,MATCH(ROW()-1,装备库!$AO$2:$AO$1046,0),COLUMN()),"")</f>
        <v/>
      </c>
      <c r="L921" t="str">
        <f>IFERROR(INDEX(装备库!$A$2:$Y$1047,MATCH(ROW()-1,装备库!$AO$2:$AO$1046,0),COLUMN()),"")</f>
        <v/>
      </c>
      <c r="M921" t="str">
        <f>IFERROR(INDEX(装备库!$A$2:$Y$1047,MATCH(ROW()-1,装备库!$AO$2:$AO$1046,0),COLUMN()),"")</f>
        <v/>
      </c>
      <c r="N921" t="str">
        <f>IFERROR(INDEX(装备库!$A$2:$Y$1047,MATCH(ROW()-1,装备库!$AO$2:$AO$1046,0),COLUMN()),"")</f>
        <v/>
      </c>
      <c r="O921" t="str">
        <f>IFERROR(INDEX(装备库!$A$2:$Y$1047,MATCH(ROW()-1,装备库!$AO$2:$AO$1046,0),COLUMN()),"")</f>
        <v/>
      </c>
      <c r="P921" t="str">
        <f>IFERROR(INDEX(装备库!$A$2:$Y$1047,MATCH(ROW()-1,装备库!$AO$2:$AO$1046,0),COLUMN()),"")</f>
        <v/>
      </c>
      <c r="Q921" t="str">
        <f>IFERROR(INDEX(装备库!$A$2:$Y$1047,MATCH(ROW()-1,装备库!$AO$2:$AO$1046,0),COLUMN()),"")</f>
        <v/>
      </c>
      <c r="R921" t="str">
        <f>IFERROR(INDEX(装备库!$A$2:$Y$1047,MATCH(ROW()-1,装备库!$AO$2:$AO$1046,0),COLUMN()),"")</f>
        <v/>
      </c>
      <c r="S921" t="str">
        <f>IFERROR(INDEX(装备库!$A$2:$Y$1047,MATCH(ROW()-1,装备库!$AO$2:$AO$1046,0),COLUMN()),"")</f>
        <v/>
      </c>
      <c r="T921" t="str">
        <f>IFERROR(INDEX(装备库!$A$2:$Y$1047,MATCH(ROW()-1,装备库!$AO$2:$AO$1046,0),COLUMN()),"")</f>
        <v/>
      </c>
      <c r="U921" t="str">
        <f>IFERROR(INDEX(装备库!$A$2:$Y$1047,MATCH(ROW()-1,装备库!$AO$2:$AO$1046,0),COLUMN()),"")</f>
        <v/>
      </c>
      <c r="V921" t="str">
        <f>IFERROR(INDEX(装备库!$A$2:$Y$1047,MATCH(ROW()-1,装备库!$AO$2:$AO$1046,0),COLUMN()),"")</f>
        <v/>
      </c>
      <c r="W921" t="str">
        <f>IFERROR(INDEX(装备库!$A$2:$Y$1047,MATCH(ROW()-1,装备库!$AO$2:$AO$1046,0),COLUMN()),"")</f>
        <v/>
      </c>
      <c r="X921" t="str">
        <f>IFERROR(INDEX(装备库!$A$2:$Y$1047,MATCH(ROW()-1,装备库!$AO$2:$AO$1046,0),COLUMN()),"")</f>
        <v/>
      </c>
      <c r="Y921" t="str">
        <f>IFERROR(INDEX(装备库!$A$2:$Y$1047,MATCH(ROW()-1,装备库!$AO$2:$AO$1046,0),COLUMN()),"")</f>
        <v/>
      </c>
    </row>
    <row r="922" spans="1:25" x14ac:dyDescent="0.35">
      <c r="A922" t="str">
        <f>IFERROR(INDEX(装备库!$A$2:$Y$1047,MATCH(ROW()-1,装备库!$AO$2:$AO$1046,0),COLUMN()),"")</f>
        <v/>
      </c>
      <c r="B922" t="str">
        <f>IFERROR(INDEX(装备库!$A$2:$Y$1047,MATCH(ROW()-1,装备库!$AO$2:$AO$1046,0),COLUMN()),"")</f>
        <v/>
      </c>
      <c r="C922" t="str">
        <f>IFERROR(INDEX(装备库!$A$2:$Y$1047,MATCH(ROW()-1,装备库!$AO$2:$AO$1046,0),COLUMN()),"")</f>
        <v/>
      </c>
      <c r="D922" t="str">
        <f>IFERROR(INDEX(装备库!$A$2:$Y$1047,MATCH(ROW()-1,装备库!$AO$2:$AO$1046,0),COLUMN()),"")</f>
        <v/>
      </c>
      <c r="E922" t="str">
        <f>IFERROR(INDEX(装备库!$A$2:$Y$1047,MATCH(ROW()-1,装备库!$AO$2:$AO$1046,0),COLUMN()),"")</f>
        <v/>
      </c>
      <c r="F922" t="str">
        <f>IFERROR(INDEX(装备库!$A$2:$Y$1047,MATCH(ROW()-1,装备库!$AO$2:$AO$1046,0),COLUMN()),"")</f>
        <v/>
      </c>
      <c r="G922" t="str">
        <f>IFERROR(INDEX(装备库!$A$2:$Y$1047,MATCH(ROW()-1,装备库!$AO$2:$AO$1046,0),COLUMN()),"")</f>
        <v/>
      </c>
      <c r="H922" t="str">
        <f>IFERROR(INDEX(装备库!$A$2:$Y$1047,MATCH(ROW()-1,装备库!$AO$2:$AO$1046,0),COLUMN()),"")</f>
        <v/>
      </c>
      <c r="I922" t="str">
        <f>IFERROR(INDEX(装备库!$A$2:$Y$1047,MATCH(ROW()-1,装备库!$AO$2:$AO$1046,0),COLUMN()),"")</f>
        <v/>
      </c>
      <c r="J922" t="str">
        <f>IFERROR(INDEX(装备库!$A$2:$Y$1047,MATCH(ROW()-1,装备库!$AO$2:$AO$1046,0),COLUMN()),"")</f>
        <v/>
      </c>
      <c r="K922" t="str">
        <f>IFERROR(INDEX(装备库!$A$2:$Y$1047,MATCH(ROW()-1,装备库!$AO$2:$AO$1046,0),COLUMN()),"")</f>
        <v/>
      </c>
      <c r="L922" t="str">
        <f>IFERROR(INDEX(装备库!$A$2:$Y$1047,MATCH(ROW()-1,装备库!$AO$2:$AO$1046,0),COLUMN()),"")</f>
        <v/>
      </c>
      <c r="M922" t="str">
        <f>IFERROR(INDEX(装备库!$A$2:$Y$1047,MATCH(ROW()-1,装备库!$AO$2:$AO$1046,0),COLUMN()),"")</f>
        <v/>
      </c>
      <c r="N922" t="str">
        <f>IFERROR(INDEX(装备库!$A$2:$Y$1047,MATCH(ROW()-1,装备库!$AO$2:$AO$1046,0),COLUMN()),"")</f>
        <v/>
      </c>
      <c r="O922" t="str">
        <f>IFERROR(INDEX(装备库!$A$2:$Y$1047,MATCH(ROW()-1,装备库!$AO$2:$AO$1046,0),COLUMN()),"")</f>
        <v/>
      </c>
      <c r="P922" t="str">
        <f>IFERROR(INDEX(装备库!$A$2:$Y$1047,MATCH(ROW()-1,装备库!$AO$2:$AO$1046,0),COLUMN()),"")</f>
        <v/>
      </c>
      <c r="Q922" t="str">
        <f>IFERROR(INDEX(装备库!$A$2:$Y$1047,MATCH(ROW()-1,装备库!$AO$2:$AO$1046,0),COLUMN()),"")</f>
        <v/>
      </c>
      <c r="R922" t="str">
        <f>IFERROR(INDEX(装备库!$A$2:$Y$1047,MATCH(ROW()-1,装备库!$AO$2:$AO$1046,0),COLUMN()),"")</f>
        <v/>
      </c>
      <c r="S922" t="str">
        <f>IFERROR(INDEX(装备库!$A$2:$Y$1047,MATCH(ROW()-1,装备库!$AO$2:$AO$1046,0),COLUMN()),"")</f>
        <v/>
      </c>
      <c r="T922" t="str">
        <f>IFERROR(INDEX(装备库!$A$2:$Y$1047,MATCH(ROW()-1,装备库!$AO$2:$AO$1046,0),COLUMN()),"")</f>
        <v/>
      </c>
      <c r="U922" t="str">
        <f>IFERROR(INDEX(装备库!$A$2:$Y$1047,MATCH(ROW()-1,装备库!$AO$2:$AO$1046,0),COLUMN()),"")</f>
        <v/>
      </c>
      <c r="V922" t="str">
        <f>IFERROR(INDEX(装备库!$A$2:$Y$1047,MATCH(ROW()-1,装备库!$AO$2:$AO$1046,0),COLUMN()),"")</f>
        <v/>
      </c>
      <c r="W922" t="str">
        <f>IFERROR(INDEX(装备库!$A$2:$Y$1047,MATCH(ROW()-1,装备库!$AO$2:$AO$1046,0),COLUMN()),"")</f>
        <v/>
      </c>
      <c r="X922" t="str">
        <f>IFERROR(INDEX(装备库!$A$2:$Y$1047,MATCH(ROW()-1,装备库!$AO$2:$AO$1046,0),COLUMN()),"")</f>
        <v/>
      </c>
      <c r="Y922" t="str">
        <f>IFERROR(INDEX(装备库!$A$2:$Y$1047,MATCH(ROW()-1,装备库!$AO$2:$AO$1046,0),COLUMN()),"")</f>
        <v/>
      </c>
    </row>
    <row r="923" spans="1:25" x14ac:dyDescent="0.35">
      <c r="A923" t="str">
        <f>IFERROR(INDEX(装备库!$A$2:$Y$1047,MATCH(ROW()-1,装备库!$AO$2:$AO$1046,0),COLUMN()),"")</f>
        <v/>
      </c>
      <c r="B923" t="str">
        <f>IFERROR(INDEX(装备库!$A$2:$Y$1047,MATCH(ROW()-1,装备库!$AO$2:$AO$1046,0),COLUMN()),"")</f>
        <v/>
      </c>
      <c r="C923" t="str">
        <f>IFERROR(INDEX(装备库!$A$2:$Y$1047,MATCH(ROW()-1,装备库!$AO$2:$AO$1046,0),COLUMN()),"")</f>
        <v/>
      </c>
      <c r="D923" t="str">
        <f>IFERROR(INDEX(装备库!$A$2:$Y$1047,MATCH(ROW()-1,装备库!$AO$2:$AO$1046,0),COLUMN()),"")</f>
        <v/>
      </c>
      <c r="E923" t="str">
        <f>IFERROR(INDEX(装备库!$A$2:$Y$1047,MATCH(ROW()-1,装备库!$AO$2:$AO$1046,0),COLUMN()),"")</f>
        <v/>
      </c>
      <c r="F923" t="str">
        <f>IFERROR(INDEX(装备库!$A$2:$Y$1047,MATCH(ROW()-1,装备库!$AO$2:$AO$1046,0),COLUMN()),"")</f>
        <v/>
      </c>
      <c r="G923" t="str">
        <f>IFERROR(INDEX(装备库!$A$2:$Y$1047,MATCH(ROW()-1,装备库!$AO$2:$AO$1046,0),COLUMN()),"")</f>
        <v/>
      </c>
      <c r="H923" t="str">
        <f>IFERROR(INDEX(装备库!$A$2:$Y$1047,MATCH(ROW()-1,装备库!$AO$2:$AO$1046,0),COLUMN()),"")</f>
        <v/>
      </c>
      <c r="I923" t="str">
        <f>IFERROR(INDEX(装备库!$A$2:$Y$1047,MATCH(ROW()-1,装备库!$AO$2:$AO$1046,0),COLUMN()),"")</f>
        <v/>
      </c>
      <c r="J923" t="str">
        <f>IFERROR(INDEX(装备库!$A$2:$Y$1047,MATCH(ROW()-1,装备库!$AO$2:$AO$1046,0),COLUMN()),"")</f>
        <v/>
      </c>
      <c r="K923" t="str">
        <f>IFERROR(INDEX(装备库!$A$2:$Y$1047,MATCH(ROW()-1,装备库!$AO$2:$AO$1046,0),COLUMN()),"")</f>
        <v/>
      </c>
      <c r="L923" t="str">
        <f>IFERROR(INDEX(装备库!$A$2:$Y$1047,MATCH(ROW()-1,装备库!$AO$2:$AO$1046,0),COLUMN()),"")</f>
        <v/>
      </c>
      <c r="M923" t="str">
        <f>IFERROR(INDEX(装备库!$A$2:$Y$1047,MATCH(ROW()-1,装备库!$AO$2:$AO$1046,0),COLUMN()),"")</f>
        <v/>
      </c>
      <c r="N923" t="str">
        <f>IFERROR(INDEX(装备库!$A$2:$Y$1047,MATCH(ROW()-1,装备库!$AO$2:$AO$1046,0),COLUMN()),"")</f>
        <v/>
      </c>
      <c r="O923" t="str">
        <f>IFERROR(INDEX(装备库!$A$2:$Y$1047,MATCH(ROW()-1,装备库!$AO$2:$AO$1046,0),COLUMN()),"")</f>
        <v/>
      </c>
      <c r="P923" t="str">
        <f>IFERROR(INDEX(装备库!$A$2:$Y$1047,MATCH(ROW()-1,装备库!$AO$2:$AO$1046,0),COLUMN()),"")</f>
        <v/>
      </c>
      <c r="Q923" t="str">
        <f>IFERROR(INDEX(装备库!$A$2:$Y$1047,MATCH(ROW()-1,装备库!$AO$2:$AO$1046,0),COLUMN()),"")</f>
        <v/>
      </c>
      <c r="R923" t="str">
        <f>IFERROR(INDEX(装备库!$A$2:$Y$1047,MATCH(ROW()-1,装备库!$AO$2:$AO$1046,0),COLUMN()),"")</f>
        <v/>
      </c>
      <c r="S923" t="str">
        <f>IFERROR(INDEX(装备库!$A$2:$Y$1047,MATCH(ROW()-1,装备库!$AO$2:$AO$1046,0),COLUMN()),"")</f>
        <v/>
      </c>
      <c r="T923" t="str">
        <f>IFERROR(INDEX(装备库!$A$2:$Y$1047,MATCH(ROW()-1,装备库!$AO$2:$AO$1046,0),COLUMN()),"")</f>
        <v/>
      </c>
      <c r="U923" t="str">
        <f>IFERROR(INDEX(装备库!$A$2:$Y$1047,MATCH(ROW()-1,装备库!$AO$2:$AO$1046,0),COLUMN()),"")</f>
        <v/>
      </c>
      <c r="V923" t="str">
        <f>IFERROR(INDEX(装备库!$A$2:$Y$1047,MATCH(ROW()-1,装备库!$AO$2:$AO$1046,0),COLUMN()),"")</f>
        <v/>
      </c>
      <c r="W923" t="str">
        <f>IFERROR(INDEX(装备库!$A$2:$Y$1047,MATCH(ROW()-1,装备库!$AO$2:$AO$1046,0),COLUMN()),"")</f>
        <v/>
      </c>
      <c r="X923" t="str">
        <f>IFERROR(INDEX(装备库!$A$2:$Y$1047,MATCH(ROW()-1,装备库!$AO$2:$AO$1046,0),COLUMN()),"")</f>
        <v/>
      </c>
      <c r="Y923" t="str">
        <f>IFERROR(INDEX(装备库!$A$2:$Y$1047,MATCH(ROW()-1,装备库!$AO$2:$AO$1046,0),COLUMN()),"")</f>
        <v/>
      </c>
    </row>
    <row r="924" spans="1:25" x14ac:dyDescent="0.35">
      <c r="A924" t="str">
        <f>IFERROR(INDEX(装备库!$A$2:$Y$1047,MATCH(ROW()-1,装备库!$AO$2:$AO$1046,0),COLUMN()),"")</f>
        <v/>
      </c>
      <c r="B924" t="str">
        <f>IFERROR(INDEX(装备库!$A$2:$Y$1047,MATCH(ROW()-1,装备库!$AO$2:$AO$1046,0),COLUMN()),"")</f>
        <v/>
      </c>
      <c r="C924" t="str">
        <f>IFERROR(INDEX(装备库!$A$2:$Y$1047,MATCH(ROW()-1,装备库!$AO$2:$AO$1046,0),COLUMN()),"")</f>
        <v/>
      </c>
      <c r="D924" t="str">
        <f>IFERROR(INDEX(装备库!$A$2:$Y$1047,MATCH(ROW()-1,装备库!$AO$2:$AO$1046,0),COLUMN()),"")</f>
        <v/>
      </c>
      <c r="E924" t="str">
        <f>IFERROR(INDEX(装备库!$A$2:$Y$1047,MATCH(ROW()-1,装备库!$AO$2:$AO$1046,0),COLUMN()),"")</f>
        <v/>
      </c>
      <c r="F924" t="str">
        <f>IFERROR(INDEX(装备库!$A$2:$Y$1047,MATCH(ROW()-1,装备库!$AO$2:$AO$1046,0),COLUMN()),"")</f>
        <v/>
      </c>
      <c r="G924" t="str">
        <f>IFERROR(INDEX(装备库!$A$2:$Y$1047,MATCH(ROW()-1,装备库!$AO$2:$AO$1046,0),COLUMN()),"")</f>
        <v/>
      </c>
      <c r="H924" t="str">
        <f>IFERROR(INDEX(装备库!$A$2:$Y$1047,MATCH(ROW()-1,装备库!$AO$2:$AO$1046,0),COLUMN()),"")</f>
        <v/>
      </c>
      <c r="I924" t="str">
        <f>IFERROR(INDEX(装备库!$A$2:$Y$1047,MATCH(ROW()-1,装备库!$AO$2:$AO$1046,0),COLUMN()),"")</f>
        <v/>
      </c>
      <c r="J924" t="str">
        <f>IFERROR(INDEX(装备库!$A$2:$Y$1047,MATCH(ROW()-1,装备库!$AO$2:$AO$1046,0),COLUMN()),"")</f>
        <v/>
      </c>
      <c r="K924" t="str">
        <f>IFERROR(INDEX(装备库!$A$2:$Y$1047,MATCH(ROW()-1,装备库!$AO$2:$AO$1046,0),COLUMN()),"")</f>
        <v/>
      </c>
      <c r="L924" t="str">
        <f>IFERROR(INDEX(装备库!$A$2:$Y$1047,MATCH(ROW()-1,装备库!$AO$2:$AO$1046,0),COLUMN()),"")</f>
        <v/>
      </c>
      <c r="M924" t="str">
        <f>IFERROR(INDEX(装备库!$A$2:$Y$1047,MATCH(ROW()-1,装备库!$AO$2:$AO$1046,0),COLUMN()),"")</f>
        <v/>
      </c>
      <c r="N924" t="str">
        <f>IFERROR(INDEX(装备库!$A$2:$Y$1047,MATCH(ROW()-1,装备库!$AO$2:$AO$1046,0),COLUMN()),"")</f>
        <v/>
      </c>
      <c r="O924" t="str">
        <f>IFERROR(INDEX(装备库!$A$2:$Y$1047,MATCH(ROW()-1,装备库!$AO$2:$AO$1046,0),COLUMN()),"")</f>
        <v/>
      </c>
      <c r="P924" t="str">
        <f>IFERROR(INDEX(装备库!$A$2:$Y$1047,MATCH(ROW()-1,装备库!$AO$2:$AO$1046,0),COLUMN()),"")</f>
        <v/>
      </c>
      <c r="Q924" t="str">
        <f>IFERROR(INDEX(装备库!$A$2:$Y$1047,MATCH(ROW()-1,装备库!$AO$2:$AO$1046,0),COLUMN()),"")</f>
        <v/>
      </c>
      <c r="R924" t="str">
        <f>IFERROR(INDEX(装备库!$A$2:$Y$1047,MATCH(ROW()-1,装备库!$AO$2:$AO$1046,0),COLUMN()),"")</f>
        <v/>
      </c>
      <c r="S924" t="str">
        <f>IFERROR(INDEX(装备库!$A$2:$Y$1047,MATCH(ROW()-1,装备库!$AO$2:$AO$1046,0),COLUMN()),"")</f>
        <v/>
      </c>
      <c r="T924" t="str">
        <f>IFERROR(INDEX(装备库!$A$2:$Y$1047,MATCH(ROW()-1,装备库!$AO$2:$AO$1046,0),COLUMN()),"")</f>
        <v/>
      </c>
      <c r="U924" t="str">
        <f>IFERROR(INDEX(装备库!$A$2:$Y$1047,MATCH(ROW()-1,装备库!$AO$2:$AO$1046,0),COLUMN()),"")</f>
        <v/>
      </c>
      <c r="V924" t="str">
        <f>IFERROR(INDEX(装备库!$A$2:$Y$1047,MATCH(ROW()-1,装备库!$AO$2:$AO$1046,0),COLUMN()),"")</f>
        <v/>
      </c>
      <c r="W924" t="str">
        <f>IFERROR(INDEX(装备库!$A$2:$Y$1047,MATCH(ROW()-1,装备库!$AO$2:$AO$1046,0),COLUMN()),"")</f>
        <v/>
      </c>
      <c r="X924" t="str">
        <f>IFERROR(INDEX(装备库!$A$2:$Y$1047,MATCH(ROW()-1,装备库!$AO$2:$AO$1046,0),COLUMN()),"")</f>
        <v/>
      </c>
      <c r="Y924" t="str">
        <f>IFERROR(INDEX(装备库!$A$2:$Y$1047,MATCH(ROW()-1,装备库!$AO$2:$AO$1046,0),COLUMN()),"")</f>
        <v/>
      </c>
    </row>
    <row r="925" spans="1:25" x14ac:dyDescent="0.35">
      <c r="A925" t="str">
        <f>IFERROR(INDEX(装备库!$A$2:$Y$1047,MATCH(ROW()-1,装备库!$AO$2:$AO$1046,0),COLUMN()),"")</f>
        <v/>
      </c>
      <c r="B925" t="str">
        <f>IFERROR(INDEX(装备库!$A$2:$Y$1047,MATCH(ROW()-1,装备库!$AO$2:$AO$1046,0),COLUMN()),"")</f>
        <v/>
      </c>
      <c r="C925" t="str">
        <f>IFERROR(INDEX(装备库!$A$2:$Y$1047,MATCH(ROW()-1,装备库!$AO$2:$AO$1046,0),COLUMN()),"")</f>
        <v/>
      </c>
      <c r="D925" t="str">
        <f>IFERROR(INDEX(装备库!$A$2:$Y$1047,MATCH(ROW()-1,装备库!$AO$2:$AO$1046,0),COLUMN()),"")</f>
        <v/>
      </c>
      <c r="E925" t="str">
        <f>IFERROR(INDEX(装备库!$A$2:$Y$1047,MATCH(ROW()-1,装备库!$AO$2:$AO$1046,0),COLUMN()),"")</f>
        <v/>
      </c>
      <c r="F925" t="str">
        <f>IFERROR(INDEX(装备库!$A$2:$Y$1047,MATCH(ROW()-1,装备库!$AO$2:$AO$1046,0),COLUMN()),"")</f>
        <v/>
      </c>
      <c r="G925" t="str">
        <f>IFERROR(INDEX(装备库!$A$2:$Y$1047,MATCH(ROW()-1,装备库!$AO$2:$AO$1046,0),COLUMN()),"")</f>
        <v/>
      </c>
      <c r="H925" t="str">
        <f>IFERROR(INDEX(装备库!$A$2:$Y$1047,MATCH(ROW()-1,装备库!$AO$2:$AO$1046,0),COLUMN()),"")</f>
        <v/>
      </c>
      <c r="I925" t="str">
        <f>IFERROR(INDEX(装备库!$A$2:$Y$1047,MATCH(ROW()-1,装备库!$AO$2:$AO$1046,0),COLUMN()),"")</f>
        <v/>
      </c>
      <c r="J925" t="str">
        <f>IFERROR(INDEX(装备库!$A$2:$Y$1047,MATCH(ROW()-1,装备库!$AO$2:$AO$1046,0),COLUMN()),"")</f>
        <v/>
      </c>
      <c r="K925" t="str">
        <f>IFERROR(INDEX(装备库!$A$2:$Y$1047,MATCH(ROW()-1,装备库!$AO$2:$AO$1046,0),COLUMN()),"")</f>
        <v/>
      </c>
      <c r="L925" t="str">
        <f>IFERROR(INDEX(装备库!$A$2:$Y$1047,MATCH(ROW()-1,装备库!$AO$2:$AO$1046,0),COLUMN()),"")</f>
        <v/>
      </c>
      <c r="M925" t="str">
        <f>IFERROR(INDEX(装备库!$A$2:$Y$1047,MATCH(ROW()-1,装备库!$AO$2:$AO$1046,0),COLUMN()),"")</f>
        <v/>
      </c>
      <c r="N925" t="str">
        <f>IFERROR(INDEX(装备库!$A$2:$Y$1047,MATCH(ROW()-1,装备库!$AO$2:$AO$1046,0),COLUMN()),"")</f>
        <v/>
      </c>
      <c r="O925" t="str">
        <f>IFERROR(INDEX(装备库!$A$2:$Y$1047,MATCH(ROW()-1,装备库!$AO$2:$AO$1046,0),COLUMN()),"")</f>
        <v/>
      </c>
      <c r="P925" t="str">
        <f>IFERROR(INDEX(装备库!$A$2:$Y$1047,MATCH(ROW()-1,装备库!$AO$2:$AO$1046,0),COLUMN()),"")</f>
        <v/>
      </c>
      <c r="Q925" t="str">
        <f>IFERROR(INDEX(装备库!$A$2:$Y$1047,MATCH(ROW()-1,装备库!$AO$2:$AO$1046,0),COLUMN()),"")</f>
        <v/>
      </c>
      <c r="R925" t="str">
        <f>IFERROR(INDEX(装备库!$A$2:$Y$1047,MATCH(ROW()-1,装备库!$AO$2:$AO$1046,0),COLUMN()),"")</f>
        <v/>
      </c>
      <c r="S925" t="str">
        <f>IFERROR(INDEX(装备库!$A$2:$Y$1047,MATCH(ROW()-1,装备库!$AO$2:$AO$1046,0),COLUMN()),"")</f>
        <v/>
      </c>
      <c r="T925" t="str">
        <f>IFERROR(INDEX(装备库!$A$2:$Y$1047,MATCH(ROW()-1,装备库!$AO$2:$AO$1046,0),COLUMN()),"")</f>
        <v/>
      </c>
      <c r="U925" t="str">
        <f>IFERROR(INDEX(装备库!$A$2:$Y$1047,MATCH(ROW()-1,装备库!$AO$2:$AO$1046,0),COLUMN()),"")</f>
        <v/>
      </c>
      <c r="V925" t="str">
        <f>IFERROR(INDEX(装备库!$A$2:$Y$1047,MATCH(ROW()-1,装备库!$AO$2:$AO$1046,0),COLUMN()),"")</f>
        <v/>
      </c>
      <c r="W925" t="str">
        <f>IFERROR(INDEX(装备库!$A$2:$Y$1047,MATCH(ROW()-1,装备库!$AO$2:$AO$1046,0),COLUMN()),"")</f>
        <v/>
      </c>
      <c r="X925" t="str">
        <f>IFERROR(INDEX(装备库!$A$2:$Y$1047,MATCH(ROW()-1,装备库!$AO$2:$AO$1046,0),COLUMN()),"")</f>
        <v/>
      </c>
      <c r="Y925" t="str">
        <f>IFERROR(INDEX(装备库!$A$2:$Y$1047,MATCH(ROW()-1,装备库!$AO$2:$AO$1046,0),COLUMN()),"")</f>
        <v/>
      </c>
    </row>
    <row r="926" spans="1:25" x14ac:dyDescent="0.35">
      <c r="A926" t="str">
        <f>IFERROR(INDEX(装备库!$A$2:$Y$1047,MATCH(ROW()-1,装备库!$AO$2:$AO$1046,0),COLUMN()),"")</f>
        <v/>
      </c>
      <c r="B926" t="str">
        <f>IFERROR(INDEX(装备库!$A$2:$Y$1047,MATCH(ROW()-1,装备库!$AO$2:$AO$1046,0),COLUMN()),"")</f>
        <v/>
      </c>
      <c r="C926" t="str">
        <f>IFERROR(INDEX(装备库!$A$2:$Y$1047,MATCH(ROW()-1,装备库!$AO$2:$AO$1046,0),COLUMN()),"")</f>
        <v/>
      </c>
      <c r="D926" t="str">
        <f>IFERROR(INDEX(装备库!$A$2:$Y$1047,MATCH(ROW()-1,装备库!$AO$2:$AO$1046,0),COLUMN()),"")</f>
        <v/>
      </c>
      <c r="E926" t="str">
        <f>IFERROR(INDEX(装备库!$A$2:$Y$1047,MATCH(ROW()-1,装备库!$AO$2:$AO$1046,0),COLUMN()),"")</f>
        <v/>
      </c>
      <c r="F926" t="str">
        <f>IFERROR(INDEX(装备库!$A$2:$Y$1047,MATCH(ROW()-1,装备库!$AO$2:$AO$1046,0),COLUMN()),"")</f>
        <v/>
      </c>
      <c r="G926" t="str">
        <f>IFERROR(INDEX(装备库!$A$2:$Y$1047,MATCH(ROW()-1,装备库!$AO$2:$AO$1046,0),COLUMN()),"")</f>
        <v/>
      </c>
      <c r="H926" t="str">
        <f>IFERROR(INDEX(装备库!$A$2:$Y$1047,MATCH(ROW()-1,装备库!$AO$2:$AO$1046,0),COLUMN()),"")</f>
        <v/>
      </c>
      <c r="I926" t="str">
        <f>IFERROR(INDEX(装备库!$A$2:$Y$1047,MATCH(ROW()-1,装备库!$AO$2:$AO$1046,0),COLUMN()),"")</f>
        <v/>
      </c>
      <c r="J926" t="str">
        <f>IFERROR(INDEX(装备库!$A$2:$Y$1047,MATCH(ROW()-1,装备库!$AO$2:$AO$1046,0),COLUMN()),"")</f>
        <v/>
      </c>
      <c r="K926" t="str">
        <f>IFERROR(INDEX(装备库!$A$2:$Y$1047,MATCH(ROW()-1,装备库!$AO$2:$AO$1046,0),COLUMN()),"")</f>
        <v/>
      </c>
      <c r="L926" t="str">
        <f>IFERROR(INDEX(装备库!$A$2:$Y$1047,MATCH(ROW()-1,装备库!$AO$2:$AO$1046,0),COLUMN()),"")</f>
        <v/>
      </c>
      <c r="M926" t="str">
        <f>IFERROR(INDEX(装备库!$A$2:$Y$1047,MATCH(ROW()-1,装备库!$AO$2:$AO$1046,0),COLUMN()),"")</f>
        <v/>
      </c>
      <c r="N926" t="str">
        <f>IFERROR(INDEX(装备库!$A$2:$Y$1047,MATCH(ROW()-1,装备库!$AO$2:$AO$1046,0),COLUMN()),"")</f>
        <v/>
      </c>
      <c r="O926" t="str">
        <f>IFERROR(INDEX(装备库!$A$2:$Y$1047,MATCH(ROW()-1,装备库!$AO$2:$AO$1046,0),COLUMN()),"")</f>
        <v/>
      </c>
      <c r="P926" t="str">
        <f>IFERROR(INDEX(装备库!$A$2:$Y$1047,MATCH(ROW()-1,装备库!$AO$2:$AO$1046,0),COLUMN()),"")</f>
        <v/>
      </c>
      <c r="Q926" t="str">
        <f>IFERROR(INDEX(装备库!$A$2:$Y$1047,MATCH(ROW()-1,装备库!$AO$2:$AO$1046,0),COLUMN()),"")</f>
        <v/>
      </c>
      <c r="R926" t="str">
        <f>IFERROR(INDEX(装备库!$A$2:$Y$1047,MATCH(ROW()-1,装备库!$AO$2:$AO$1046,0),COLUMN()),"")</f>
        <v/>
      </c>
      <c r="S926" t="str">
        <f>IFERROR(INDEX(装备库!$A$2:$Y$1047,MATCH(ROW()-1,装备库!$AO$2:$AO$1046,0),COLUMN()),"")</f>
        <v/>
      </c>
      <c r="T926" t="str">
        <f>IFERROR(INDEX(装备库!$A$2:$Y$1047,MATCH(ROW()-1,装备库!$AO$2:$AO$1046,0),COLUMN()),"")</f>
        <v/>
      </c>
      <c r="U926" t="str">
        <f>IFERROR(INDEX(装备库!$A$2:$Y$1047,MATCH(ROW()-1,装备库!$AO$2:$AO$1046,0),COLUMN()),"")</f>
        <v/>
      </c>
      <c r="V926" t="str">
        <f>IFERROR(INDEX(装备库!$A$2:$Y$1047,MATCH(ROW()-1,装备库!$AO$2:$AO$1046,0),COLUMN()),"")</f>
        <v/>
      </c>
      <c r="W926" t="str">
        <f>IFERROR(INDEX(装备库!$A$2:$Y$1047,MATCH(ROW()-1,装备库!$AO$2:$AO$1046,0),COLUMN()),"")</f>
        <v/>
      </c>
      <c r="X926" t="str">
        <f>IFERROR(INDEX(装备库!$A$2:$Y$1047,MATCH(ROW()-1,装备库!$AO$2:$AO$1046,0),COLUMN()),"")</f>
        <v/>
      </c>
      <c r="Y926" t="str">
        <f>IFERROR(INDEX(装备库!$A$2:$Y$1047,MATCH(ROW()-1,装备库!$AO$2:$AO$1046,0),COLUMN()),"")</f>
        <v/>
      </c>
    </row>
    <row r="927" spans="1:25" x14ac:dyDescent="0.35">
      <c r="A927" t="str">
        <f>IFERROR(INDEX(装备库!$A$2:$Y$1047,MATCH(ROW()-1,装备库!$AO$2:$AO$1046,0),COLUMN()),"")</f>
        <v/>
      </c>
      <c r="B927" t="str">
        <f>IFERROR(INDEX(装备库!$A$2:$Y$1047,MATCH(ROW()-1,装备库!$AO$2:$AO$1046,0),COLUMN()),"")</f>
        <v/>
      </c>
      <c r="C927" t="str">
        <f>IFERROR(INDEX(装备库!$A$2:$Y$1047,MATCH(ROW()-1,装备库!$AO$2:$AO$1046,0),COLUMN()),"")</f>
        <v/>
      </c>
      <c r="D927" t="str">
        <f>IFERROR(INDEX(装备库!$A$2:$Y$1047,MATCH(ROW()-1,装备库!$AO$2:$AO$1046,0),COLUMN()),"")</f>
        <v/>
      </c>
      <c r="E927" t="str">
        <f>IFERROR(INDEX(装备库!$A$2:$Y$1047,MATCH(ROW()-1,装备库!$AO$2:$AO$1046,0),COLUMN()),"")</f>
        <v/>
      </c>
      <c r="F927" t="str">
        <f>IFERROR(INDEX(装备库!$A$2:$Y$1047,MATCH(ROW()-1,装备库!$AO$2:$AO$1046,0),COLUMN()),"")</f>
        <v/>
      </c>
      <c r="G927" t="str">
        <f>IFERROR(INDEX(装备库!$A$2:$Y$1047,MATCH(ROW()-1,装备库!$AO$2:$AO$1046,0),COLUMN()),"")</f>
        <v/>
      </c>
      <c r="H927" t="str">
        <f>IFERROR(INDEX(装备库!$A$2:$Y$1047,MATCH(ROW()-1,装备库!$AO$2:$AO$1046,0),COLUMN()),"")</f>
        <v/>
      </c>
      <c r="I927" t="str">
        <f>IFERROR(INDEX(装备库!$A$2:$Y$1047,MATCH(ROW()-1,装备库!$AO$2:$AO$1046,0),COLUMN()),"")</f>
        <v/>
      </c>
      <c r="J927" t="str">
        <f>IFERROR(INDEX(装备库!$A$2:$Y$1047,MATCH(ROW()-1,装备库!$AO$2:$AO$1046,0),COLUMN()),"")</f>
        <v/>
      </c>
      <c r="K927" t="str">
        <f>IFERROR(INDEX(装备库!$A$2:$Y$1047,MATCH(ROW()-1,装备库!$AO$2:$AO$1046,0),COLUMN()),"")</f>
        <v/>
      </c>
      <c r="L927" t="str">
        <f>IFERROR(INDEX(装备库!$A$2:$Y$1047,MATCH(ROW()-1,装备库!$AO$2:$AO$1046,0),COLUMN()),"")</f>
        <v/>
      </c>
      <c r="M927" t="str">
        <f>IFERROR(INDEX(装备库!$A$2:$Y$1047,MATCH(ROW()-1,装备库!$AO$2:$AO$1046,0),COLUMN()),"")</f>
        <v/>
      </c>
      <c r="N927" t="str">
        <f>IFERROR(INDEX(装备库!$A$2:$Y$1047,MATCH(ROW()-1,装备库!$AO$2:$AO$1046,0),COLUMN()),"")</f>
        <v/>
      </c>
      <c r="O927" t="str">
        <f>IFERROR(INDEX(装备库!$A$2:$Y$1047,MATCH(ROW()-1,装备库!$AO$2:$AO$1046,0),COLUMN()),"")</f>
        <v/>
      </c>
      <c r="P927" t="str">
        <f>IFERROR(INDEX(装备库!$A$2:$Y$1047,MATCH(ROW()-1,装备库!$AO$2:$AO$1046,0),COLUMN()),"")</f>
        <v/>
      </c>
      <c r="Q927" t="str">
        <f>IFERROR(INDEX(装备库!$A$2:$Y$1047,MATCH(ROW()-1,装备库!$AO$2:$AO$1046,0),COLUMN()),"")</f>
        <v/>
      </c>
      <c r="R927" t="str">
        <f>IFERROR(INDEX(装备库!$A$2:$Y$1047,MATCH(ROW()-1,装备库!$AO$2:$AO$1046,0),COLUMN()),"")</f>
        <v/>
      </c>
      <c r="S927" t="str">
        <f>IFERROR(INDEX(装备库!$A$2:$Y$1047,MATCH(ROW()-1,装备库!$AO$2:$AO$1046,0),COLUMN()),"")</f>
        <v/>
      </c>
      <c r="T927" t="str">
        <f>IFERROR(INDEX(装备库!$A$2:$Y$1047,MATCH(ROW()-1,装备库!$AO$2:$AO$1046,0),COLUMN()),"")</f>
        <v/>
      </c>
      <c r="U927" t="str">
        <f>IFERROR(INDEX(装备库!$A$2:$Y$1047,MATCH(ROW()-1,装备库!$AO$2:$AO$1046,0),COLUMN()),"")</f>
        <v/>
      </c>
      <c r="V927" t="str">
        <f>IFERROR(INDEX(装备库!$A$2:$Y$1047,MATCH(ROW()-1,装备库!$AO$2:$AO$1046,0),COLUMN()),"")</f>
        <v/>
      </c>
      <c r="W927" t="str">
        <f>IFERROR(INDEX(装备库!$A$2:$Y$1047,MATCH(ROW()-1,装备库!$AO$2:$AO$1046,0),COLUMN()),"")</f>
        <v/>
      </c>
      <c r="X927" t="str">
        <f>IFERROR(INDEX(装备库!$A$2:$Y$1047,MATCH(ROW()-1,装备库!$AO$2:$AO$1046,0),COLUMN()),"")</f>
        <v/>
      </c>
      <c r="Y927" t="str">
        <f>IFERROR(INDEX(装备库!$A$2:$Y$1047,MATCH(ROW()-1,装备库!$AO$2:$AO$1046,0),COLUMN()),"")</f>
        <v/>
      </c>
    </row>
    <row r="928" spans="1:25" x14ac:dyDescent="0.35">
      <c r="A928" t="str">
        <f>IFERROR(INDEX(装备库!$A$2:$Y$1047,MATCH(ROW()-1,装备库!$AO$2:$AO$1046,0),COLUMN()),"")</f>
        <v/>
      </c>
      <c r="B928" t="str">
        <f>IFERROR(INDEX(装备库!$A$2:$Y$1047,MATCH(ROW()-1,装备库!$AO$2:$AO$1046,0),COLUMN()),"")</f>
        <v/>
      </c>
      <c r="C928" t="str">
        <f>IFERROR(INDEX(装备库!$A$2:$Y$1047,MATCH(ROW()-1,装备库!$AO$2:$AO$1046,0),COLUMN()),"")</f>
        <v/>
      </c>
      <c r="D928" t="str">
        <f>IFERROR(INDEX(装备库!$A$2:$Y$1047,MATCH(ROW()-1,装备库!$AO$2:$AO$1046,0),COLUMN()),"")</f>
        <v/>
      </c>
      <c r="E928" t="str">
        <f>IFERROR(INDEX(装备库!$A$2:$Y$1047,MATCH(ROW()-1,装备库!$AO$2:$AO$1046,0),COLUMN()),"")</f>
        <v/>
      </c>
      <c r="F928" t="str">
        <f>IFERROR(INDEX(装备库!$A$2:$Y$1047,MATCH(ROW()-1,装备库!$AO$2:$AO$1046,0),COLUMN()),"")</f>
        <v/>
      </c>
      <c r="G928" t="str">
        <f>IFERROR(INDEX(装备库!$A$2:$Y$1047,MATCH(ROW()-1,装备库!$AO$2:$AO$1046,0),COLUMN()),"")</f>
        <v/>
      </c>
      <c r="H928" t="str">
        <f>IFERROR(INDEX(装备库!$A$2:$Y$1047,MATCH(ROW()-1,装备库!$AO$2:$AO$1046,0),COLUMN()),"")</f>
        <v/>
      </c>
      <c r="I928" t="str">
        <f>IFERROR(INDEX(装备库!$A$2:$Y$1047,MATCH(ROW()-1,装备库!$AO$2:$AO$1046,0),COLUMN()),"")</f>
        <v/>
      </c>
      <c r="J928" t="str">
        <f>IFERROR(INDEX(装备库!$A$2:$Y$1047,MATCH(ROW()-1,装备库!$AO$2:$AO$1046,0),COLUMN()),"")</f>
        <v/>
      </c>
      <c r="K928" t="str">
        <f>IFERROR(INDEX(装备库!$A$2:$Y$1047,MATCH(ROW()-1,装备库!$AO$2:$AO$1046,0),COLUMN()),"")</f>
        <v/>
      </c>
      <c r="L928" t="str">
        <f>IFERROR(INDEX(装备库!$A$2:$Y$1047,MATCH(ROW()-1,装备库!$AO$2:$AO$1046,0),COLUMN()),"")</f>
        <v/>
      </c>
      <c r="M928" t="str">
        <f>IFERROR(INDEX(装备库!$A$2:$Y$1047,MATCH(ROW()-1,装备库!$AO$2:$AO$1046,0),COLUMN()),"")</f>
        <v/>
      </c>
      <c r="N928" t="str">
        <f>IFERROR(INDEX(装备库!$A$2:$Y$1047,MATCH(ROW()-1,装备库!$AO$2:$AO$1046,0),COLUMN()),"")</f>
        <v/>
      </c>
      <c r="O928" t="str">
        <f>IFERROR(INDEX(装备库!$A$2:$Y$1047,MATCH(ROW()-1,装备库!$AO$2:$AO$1046,0),COLUMN()),"")</f>
        <v/>
      </c>
      <c r="P928" t="str">
        <f>IFERROR(INDEX(装备库!$A$2:$Y$1047,MATCH(ROW()-1,装备库!$AO$2:$AO$1046,0),COLUMN()),"")</f>
        <v/>
      </c>
      <c r="Q928" t="str">
        <f>IFERROR(INDEX(装备库!$A$2:$Y$1047,MATCH(ROW()-1,装备库!$AO$2:$AO$1046,0),COLUMN()),"")</f>
        <v/>
      </c>
      <c r="R928" t="str">
        <f>IFERROR(INDEX(装备库!$A$2:$Y$1047,MATCH(ROW()-1,装备库!$AO$2:$AO$1046,0),COLUMN()),"")</f>
        <v/>
      </c>
      <c r="S928" t="str">
        <f>IFERROR(INDEX(装备库!$A$2:$Y$1047,MATCH(ROW()-1,装备库!$AO$2:$AO$1046,0),COLUMN()),"")</f>
        <v/>
      </c>
      <c r="T928" t="str">
        <f>IFERROR(INDEX(装备库!$A$2:$Y$1047,MATCH(ROW()-1,装备库!$AO$2:$AO$1046,0),COLUMN()),"")</f>
        <v/>
      </c>
      <c r="U928" t="str">
        <f>IFERROR(INDEX(装备库!$A$2:$Y$1047,MATCH(ROW()-1,装备库!$AO$2:$AO$1046,0),COLUMN()),"")</f>
        <v/>
      </c>
      <c r="V928" t="str">
        <f>IFERROR(INDEX(装备库!$A$2:$Y$1047,MATCH(ROW()-1,装备库!$AO$2:$AO$1046,0),COLUMN()),"")</f>
        <v/>
      </c>
      <c r="W928" t="str">
        <f>IFERROR(INDEX(装备库!$A$2:$Y$1047,MATCH(ROW()-1,装备库!$AO$2:$AO$1046,0),COLUMN()),"")</f>
        <v/>
      </c>
      <c r="X928" t="str">
        <f>IFERROR(INDEX(装备库!$A$2:$Y$1047,MATCH(ROW()-1,装备库!$AO$2:$AO$1046,0),COLUMN()),"")</f>
        <v/>
      </c>
      <c r="Y928" t="str">
        <f>IFERROR(INDEX(装备库!$A$2:$Y$1047,MATCH(ROW()-1,装备库!$AO$2:$AO$1046,0),COLUMN()),"")</f>
        <v/>
      </c>
    </row>
    <row r="929" spans="1:25" x14ac:dyDescent="0.35">
      <c r="A929" t="str">
        <f>IFERROR(INDEX(装备库!$A$2:$Y$1047,MATCH(ROW()-1,装备库!$AO$2:$AO$1046,0),COLUMN()),"")</f>
        <v/>
      </c>
      <c r="B929" t="str">
        <f>IFERROR(INDEX(装备库!$A$2:$Y$1047,MATCH(ROW()-1,装备库!$AO$2:$AO$1046,0),COLUMN()),"")</f>
        <v/>
      </c>
      <c r="C929" t="str">
        <f>IFERROR(INDEX(装备库!$A$2:$Y$1047,MATCH(ROW()-1,装备库!$AO$2:$AO$1046,0),COLUMN()),"")</f>
        <v/>
      </c>
      <c r="D929" t="str">
        <f>IFERROR(INDEX(装备库!$A$2:$Y$1047,MATCH(ROW()-1,装备库!$AO$2:$AO$1046,0),COLUMN()),"")</f>
        <v/>
      </c>
      <c r="E929" t="str">
        <f>IFERROR(INDEX(装备库!$A$2:$Y$1047,MATCH(ROW()-1,装备库!$AO$2:$AO$1046,0),COLUMN()),"")</f>
        <v/>
      </c>
      <c r="F929" t="str">
        <f>IFERROR(INDEX(装备库!$A$2:$Y$1047,MATCH(ROW()-1,装备库!$AO$2:$AO$1046,0),COLUMN()),"")</f>
        <v/>
      </c>
      <c r="G929" t="str">
        <f>IFERROR(INDEX(装备库!$A$2:$Y$1047,MATCH(ROW()-1,装备库!$AO$2:$AO$1046,0),COLUMN()),"")</f>
        <v/>
      </c>
      <c r="H929" t="str">
        <f>IFERROR(INDEX(装备库!$A$2:$Y$1047,MATCH(ROW()-1,装备库!$AO$2:$AO$1046,0),COLUMN()),"")</f>
        <v/>
      </c>
      <c r="I929" t="str">
        <f>IFERROR(INDEX(装备库!$A$2:$Y$1047,MATCH(ROW()-1,装备库!$AO$2:$AO$1046,0),COLUMN()),"")</f>
        <v/>
      </c>
      <c r="J929" t="str">
        <f>IFERROR(INDEX(装备库!$A$2:$Y$1047,MATCH(ROW()-1,装备库!$AO$2:$AO$1046,0),COLUMN()),"")</f>
        <v/>
      </c>
      <c r="K929" t="str">
        <f>IFERROR(INDEX(装备库!$A$2:$Y$1047,MATCH(ROW()-1,装备库!$AO$2:$AO$1046,0),COLUMN()),"")</f>
        <v/>
      </c>
      <c r="L929" t="str">
        <f>IFERROR(INDEX(装备库!$A$2:$Y$1047,MATCH(ROW()-1,装备库!$AO$2:$AO$1046,0),COLUMN()),"")</f>
        <v/>
      </c>
      <c r="M929" t="str">
        <f>IFERROR(INDEX(装备库!$A$2:$Y$1047,MATCH(ROW()-1,装备库!$AO$2:$AO$1046,0),COLUMN()),"")</f>
        <v/>
      </c>
      <c r="N929" t="str">
        <f>IFERROR(INDEX(装备库!$A$2:$Y$1047,MATCH(ROW()-1,装备库!$AO$2:$AO$1046,0),COLUMN()),"")</f>
        <v/>
      </c>
      <c r="O929" t="str">
        <f>IFERROR(INDEX(装备库!$A$2:$Y$1047,MATCH(ROW()-1,装备库!$AO$2:$AO$1046,0),COLUMN()),"")</f>
        <v/>
      </c>
      <c r="P929" t="str">
        <f>IFERROR(INDEX(装备库!$A$2:$Y$1047,MATCH(ROW()-1,装备库!$AO$2:$AO$1046,0),COLUMN()),"")</f>
        <v/>
      </c>
      <c r="Q929" t="str">
        <f>IFERROR(INDEX(装备库!$A$2:$Y$1047,MATCH(ROW()-1,装备库!$AO$2:$AO$1046,0),COLUMN()),"")</f>
        <v/>
      </c>
      <c r="R929" t="str">
        <f>IFERROR(INDEX(装备库!$A$2:$Y$1047,MATCH(ROW()-1,装备库!$AO$2:$AO$1046,0),COLUMN()),"")</f>
        <v/>
      </c>
      <c r="S929" t="str">
        <f>IFERROR(INDEX(装备库!$A$2:$Y$1047,MATCH(ROW()-1,装备库!$AO$2:$AO$1046,0),COLUMN()),"")</f>
        <v/>
      </c>
      <c r="T929" t="str">
        <f>IFERROR(INDEX(装备库!$A$2:$Y$1047,MATCH(ROW()-1,装备库!$AO$2:$AO$1046,0),COLUMN()),"")</f>
        <v/>
      </c>
      <c r="U929" t="str">
        <f>IFERROR(INDEX(装备库!$A$2:$Y$1047,MATCH(ROW()-1,装备库!$AO$2:$AO$1046,0),COLUMN()),"")</f>
        <v/>
      </c>
      <c r="V929" t="str">
        <f>IFERROR(INDEX(装备库!$A$2:$Y$1047,MATCH(ROW()-1,装备库!$AO$2:$AO$1046,0),COLUMN()),"")</f>
        <v/>
      </c>
      <c r="W929" t="str">
        <f>IFERROR(INDEX(装备库!$A$2:$Y$1047,MATCH(ROW()-1,装备库!$AO$2:$AO$1046,0),COLUMN()),"")</f>
        <v/>
      </c>
      <c r="X929" t="str">
        <f>IFERROR(INDEX(装备库!$A$2:$Y$1047,MATCH(ROW()-1,装备库!$AO$2:$AO$1046,0),COLUMN()),"")</f>
        <v/>
      </c>
      <c r="Y929" t="str">
        <f>IFERROR(INDEX(装备库!$A$2:$Y$1047,MATCH(ROW()-1,装备库!$AO$2:$AO$1046,0),COLUMN()),"")</f>
        <v/>
      </c>
    </row>
    <row r="930" spans="1:25" x14ac:dyDescent="0.35">
      <c r="A930" t="str">
        <f>IFERROR(INDEX(装备库!$A$2:$Y$1047,MATCH(ROW()-1,装备库!$AO$2:$AO$1046,0),COLUMN()),"")</f>
        <v/>
      </c>
      <c r="B930" t="str">
        <f>IFERROR(INDEX(装备库!$A$2:$Y$1047,MATCH(ROW()-1,装备库!$AO$2:$AO$1046,0),COLUMN()),"")</f>
        <v/>
      </c>
      <c r="C930" t="str">
        <f>IFERROR(INDEX(装备库!$A$2:$Y$1047,MATCH(ROW()-1,装备库!$AO$2:$AO$1046,0),COLUMN()),"")</f>
        <v/>
      </c>
      <c r="D930" t="str">
        <f>IFERROR(INDEX(装备库!$A$2:$Y$1047,MATCH(ROW()-1,装备库!$AO$2:$AO$1046,0),COLUMN()),"")</f>
        <v/>
      </c>
      <c r="E930" t="str">
        <f>IFERROR(INDEX(装备库!$A$2:$Y$1047,MATCH(ROW()-1,装备库!$AO$2:$AO$1046,0),COLUMN()),"")</f>
        <v/>
      </c>
      <c r="F930" t="str">
        <f>IFERROR(INDEX(装备库!$A$2:$Y$1047,MATCH(ROW()-1,装备库!$AO$2:$AO$1046,0),COLUMN()),"")</f>
        <v/>
      </c>
      <c r="G930" t="str">
        <f>IFERROR(INDEX(装备库!$A$2:$Y$1047,MATCH(ROW()-1,装备库!$AO$2:$AO$1046,0),COLUMN()),"")</f>
        <v/>
      </c>
      <c r="H930" t="str">
        <f>IFERROR(INDEX(装备库!$A$2:$Y$1047,MATCH(ROW()-1,装备库!$AO$2:$AO$1046,0),COLUMN()),"")</f>
        <v/>
      </c>
      <c r="I930" t="str">
        <f>IFERROR(INDEX(装备库!$A$2:$Y$1047,MATCH(ROW()-1,装备库!$AO$2:$AO$1046,0),COLUMN()),"")</f>
        <v/>
      </c>
      <c r="J930" t="str">
        <f>IFERROR(INDEX(装备库!$A$2:$Y$1047,MATCH(ROW()-1,装备库!$AO$2:$AO$1046,0),COLUMN()),"")</f>
        <v/>
      </c>
      <c r="K930" t="str">
        <f>IFERROR(INDEX(装备库!$A$2:$Y$1047,MATCH(ROW()-1,装备库!$AO$2:$AO$1046,0),COLUMN()),"")</f>
        <v/>
      </c>
      <c r="L930" t="str">
        <f>IFERROR(INDEX(装备库!$A$2:$Y$1047,MATCH(ROW()-1,装备库!$AO$2:$AO$1046,0),COLUMN()),"")</f>
        <v/>
      </c>
      <c r="M930" t="str">
        <f>IFERROR(INDEX(装备库!$A$2:$Y$1047,MATCH(ROW()-1,装备库!$AO$2:$AO$1046,0),COLUMN()),"")</f>
        <v/>
      </c>
      <c r="N930" t="str">
        <f>IFERROR(INDEX(装备库!$A$2:$Y$1047,MATCH(ROW()-1,装备库!$AO$2:$AO$1046,0),COLUMN()),"")</f>
        <v/>
      </c>
      <c r="O930" t="str">
        <f>IFERROR(INDEX(装备库!$A$2:$Y$1047,MATCH(ROW()-1,装备库!$AO$2:$AO$1046,0),COLUMN()),"")</f>
        <v/>
      </c>
      <c r="P930" t="str">
        <f>IFERROR(INDEX(装备库!$A$2:$Y$1047,MATCH(ROW()-1,装备库!$AO$2:$AO$1046,0),COLUMN()),"")</f>
        <v/>
      </c>
      <c r="Q930" t="str">
        <f>IFERROR(INDEX(装备库!$A$2:$Y$1047,MATCH(ROW()-1,装备库!$AO$2:$AO$1046,0),COLUMN()),"")</f>
        <v/>
      </c>
      <c r="R930" t="str">
        <f>IFERROR(INDEX(装备库!$A$2:$Y$1047,MATCH(ROW()-1,装备库!$AO$2:$AO$1046,0),COLUMN()),"")</f>
        <v/>
      </c>
      <c r="S930" t="str">
        <f>IFERROR(INDEX(装备库!$A$2:$Y$1047,MATCH(ROW()-1,装备库!$AO$2:$AO$1046,0),COLUMN()),"")</f>
        <v/>
      </c>
      <c r="T930" t="str">
        <f>IFERROR(INDEX(装备库!$A$2:$Y$1047,MATCH(ROW()-1,装备库!$AO$2:$AO$1046,0),COLUMN()),"")</f>
        <v/>
      </c>
      <c r="U930" t="str">
        <f>IFERROR(INDEX(装备库!$A$2:$Y$1047,MATCH(ROW()-1,装备库!$AO$2:$AO$1046,0),COLUMN()),"")</f>
        <v/>
      </c>
      <c r="V930" t="str">
        <f>IFERROR(INDEX(装备库!$A$2:$Y$1047,MATCH(ROW()-1,装备库!$AO$2:$AO$1046,0),COLUMN()),"")</f>
        <v/>
      </c>
      <c r="W930" t="str">
        <f>IFERROR(INDEX(装备库!$A$2:$Y$1047,MATCH(ROW()-1,装备库!$AO$2:$AO$1046,0),COLUMN()),"")</f>
        <v/>
      </c>
      <c r="X930" t="str">
        <f>IFERROR(INDEX(装备库!$A$2:$Y$1047,MATCH(ROW()-1,装备库!$AO$2:$AO$1046,0),COLUMN()),"")</f>
        <v/>
      </c>
      <c r="Y930" t="str">
        <f>IFERROR(INDEX(装备库!$A$2:$Y$1047,MATCH(ROW()-1,装备库!$AO$2:$AO$1046,0),COLUMN()),"")</f>
        <v/>
      </c>
    </row>
    <row r="931" spans="1:25" x14ac:dyDescent="0.35">
      <c r="A931" t="str">
        <f>IFERROR(INDEX(装备库!$A$2:$Y$1047,MATCH(ROW()-1,装备库!$AO$2:$AO$1046,0),COLUMN()),"")</f>
        <v/>
      </c>
      <c r="B931" t="str">
        <f>IFERROR(INDEX(装备库!$A$2:$Y$1047,MATCH(ROW()-1,装备库!$AO$2:$AO$1046,0),COLUMN()),"")</f>
        <v/>
      </c>
      <c r="C931" t="str">
        <f>IFERROR(INDEX(装备库!$A$2:$Y$1047,MATCH(ROW()-1,装备库!$AO$2:$AO$1046,0),COLUMN()),"")</f>
        <v/>
      </c>
      <c r="D931" t="str">
        <f>IFERROR(INDEX(装备库!$A$2:$Y$1047,MATCH(ROW()-1,装备库!$AO$2:$AO$1046,0),COLUMN()),"")</f>
        <v/>
      </c>
      <c r="E931" t="str">
        <f>IFERROR(INDEX(装备库!$A$2:$Y$1047,MATCH(ROW()-1,装备库!$AO$2:$AO$1046,0),COLUMN()),"")</f>
        <v/>
      </c>
      <c r="F931" t="str">
        <f>IFERROR(INDEX(装备库!$A$2:$Y$1047,MATCH(ROW()-1,装备库!$AO$2:$AO$1046,0),COLUMN()),"")</f>
        <v/>
      </c>
      <c r="G931" t="str">
        <f>IFERROR(INDEX(装备库!$A$2:$Y$1047,MATCH(ROW()-1,装备库!$AO$2:$AO$1046,0),COLUMN()),"")</f>
        <v/>
      </c>
      <c r="H931" t="str">
        <f>IFERROR(INDEX(装备库!$A$2:$Y$1047,MATCH(ROW()-1,装备库!$AO$2:$AO$1046,0),COLUMN()),"")</f>
        <v/>
      </c>
      <c r="I931" t="str">
        <f>IFERROR(INDEX(装备库!$A$2:$Y$1047,MATCH(ROW()-1,装备库!$AO$2:$AO$1046,0),COLUMN()),"")</f>
        <v/>
      </c>
      <c r="J931" t="str">
        <f>IFERROR(INDEX(装备库!$A$2:$Y$1047,MATCH(ROW()-1,装备库!$AO$2:$AO$1046,0),COLUMN()),"")</f>
        <v/>
      </c>
      <c r="K931" t="str">
        <f>IFERROR(INDEX(装备库!$A$2:$Y$1047,MATCH(ROW()-1,装备库!$AO$2:$AO$1046,0),COLUMN()),"")</f>
        <v/>
      </c>
      <c r="L931" t="str">
        <f>IFERROR(INDEX(装备库!$A$2:$Y$1047,MATCH(ROW()-1,装备库!$AO$2:$AO$1046,0),COLUMN()),"")</f>
        <v/>
      </c>
      <c r="M931" t="str">
        <f>IFERROR(INDEX(装备库!$A$2:$Y$1047,MATCH(ROW()-1,装备库!$AO$2:$AO$1046,0),COLUMN()),"")</f>
        <v/>
      </c>
      <c r="N931" t="str">
        <f>IFERROR(INDEX(装备库!$A$2:$Y$1047,MATCH(ROW()-1,装备库!$AO$2:$AO$1046,0),COLUMN()),"")</f>
        <v/>
      </c>
      <c r="O931" t="str">
        <f>IFERROR(INDEX(装备库!$A$2:$Y$1047,MATCH(ROW()-1,装备库!$AO$2:$AO$1046,0),COLUMN()),"")</f>
        <v/>
      </c>
      <c r="P931" t="str">
        <f>IFERROR(INDEX(装备库!$A$2:$Y$1047,MATCH(ROW()-1,装备库!$AO$2:$AO$1046,0),COLUMN()),"")</f>
        <v/>
      </c>
      <c r="Q931" t="str">
        <f>IFERROR(INDEX(装备库!$A$2:$Y$1047,MATCH(ROW()-1,装备库!$AO$2:$AO$1046,0),COLUMN()),"")</f>
        <v/>
      </c>
      <c r="R931" t="str">
        <f>IFERROR(INDEX(装备库!$A$2:$Y$1047,MATCH(ROW()-1,装备库!$AO$2:$AO$1046,0),COLUMN()),"")</f>
        <v/>
      </c>
      <c r="S931" t="str">
        <f>IFERROR(INDEX(装备库!$A$2:$Y$1047,MATCH(ROW()-1,装备库!$AO$2:$AO$1046,0),COLUMN()),"")</f>
        <v/>
      </c>
      <c r="T931" t="str">
        <f>IFERROR(INDEX(装备库!$A$2:$Y$1047,MATCH(ROW()-1,装备库!$AO$2:$AO$1046,0),COLUMN()),"")</f>
        <v/>
      </c>
      <c r="U931" t="str">
        <f>IFERROR(INDEX(装备库!$A$2:$Y$1047,MATCH(ROW()-1,装备库!$AO$2:$AO$1046,0),COLUMN()),"")</f>
        <v/>
      </c>
      <c r="V931" t="str">
        <f>IFERROR(INDEX(装备库!$A$2:$Y$1047,MATCH(ROW()-1,装备库!$AO$2:$AO$1046,0),COLUMN()),"")</f>
        <v/>
      </c>
      <c r="W931" t="str">
        <f>IFERROR(INDEX(装备库!$A$2:$Y$1047,MATCH(ROW()-1,装备库!$AO$2:$AO$1046,0),COLUMN()),"")</f>
        <v/>
      </c>
      <c r="X931" t="str">
        <f>IFERROR(INDEX(装备库!$A$2:$Y$1047,MATCH(ROW()-1,装备库!$AO$2:$AO$1046,0),COLUMN()),"")</f>
        <v/>
      </c>
      <c r="Y931" t="str">
        <f>IFERROR(INDEX(装备库!$A$2:$Y$1047,MATCH(ROW()-1,装备库!$AO$2:$AO$1046,0),COLUMN()),"")</f>
        <v/>
      </c>
    </row>
    <row r="932" spans="1:25" x14ac:dyDescent="0.35">
      <c r="A932" t="str">
        <f>IFERROR(INDEX(装备库!$A$2:$Y$1047,MATCH(ROW()-1,装备库!$AO$2:$AO$1046,0),COLUMN()),"")</f>
        <v/>
      </c>
      <c r="B932" t="str">
        <f>IFERROR(INDEX(装备库!$A$2:$Y$1047,MATCH(ROW()-1,装备库!$AO$2:$AO$1046,0),COLUMN()),"")</f>
        <v/>
      </c>
      <c r="C932" t="str">
        <f>IFERROR(INDEX(装备库!$A$2:$Y$1047,MATCH(ROW()-1,装备库!$AO$2:$AO$1046,0),COLUMN()),"")</f>
        <v/>
      </c>
      <c r="D932" t="str">
        <f>IFERROR(INDEX(装备库!$A$2:$Y$1047,MATCH(ROW()-1,装备库!$AO$2:$AO$1046,0),COLUMN()),"")</f>
        <v/>
      </c>
      <c r="E932" t="str">
        <f>IFERROR(INDEX(装备库!$A$2:$Y$1047,MATCH(ROW()-1,装备库!$AO$2:$AO$1046,0),COLUMN()),"")</f>
        <v/>
      </c>
      <c r="F932" t="str">
        <f>IFERROR(INDEX(装备库!$A$2:$Y$1047,MATCH(ROW()-1,装备库!$AO$2:$AO$1046,0),COLUMN()),"")</f>
        <v/>
      </c>
      <c r="G932" t="str">
        <f>IFERROR(INDEX(装备库!$A$2:$Y$1047,MATCH(ROW()-1,装备库!$AO$2:$AO$1046,0),COLUMN()),"")</f>
        <v/>
      </c>
      <c r="H932" t="str">
        <f>IFERROR(INDEX(装备库!$A$2:$Y$1047,MATCH(ROW()-1,装备库!$AO$2:$AO$1046,0),COLUMN()),"")</f>
        <v/>
      </c>
      <c r="I932" t="str">
        <f>IFERROR(INDEX(装备库!$A$2:$Y$1047,MATCH(ROW()-1,装备库!$AO$2:$AO$1046,0),COLUMN()),"")</f>
        <v/>
      </c>
      <c r="J932" t="str">
        <f>IFERROR(INDEX(装备库!$A$2:$Y$1047,MATCH(ROW()-1,装备库!$AO$2:$AO$1046,0),COLUMN()),"")</f>
        <v/>
      </c>
      <c r="K932" t="str">
        <f>IFERROR(INDEX(装备库!$A$2:$Y$1047,MATCH(ROW()-1,装备库!$AO$2:$AO$1046,0),COLUMN()),"")</f>
        <v/>
      </c>
      <c r="L932" t="str">
        <f>IFERROR(INDEX(装备库!$A$2:$Y$1047,MATCH(ROW()-1,装备库!$AO$2:$AO$1046,0),COLUMN()),"")</f>
        <v/>
      </c>
      <c r="M932" t="str">
        <f>IFERROR(INDEX(装备库!$A$2:$Y$1047,MATCH(ROW()-1,装备库!$AO$2:$AO$1046,0),COLUMN()),"")</f>
        <v/>
      </c>
      <c r="N932" t="str">
        <f>IFERROR(INDEX(装备库!$A$2:$Y$1047,MATCH(ROW()-1,装备库!$AO$2:$AO$1046,0),COLUMN()),"")</f>
        <v/>
      </c>
      <c r="O932" t="str">
        <f>IFERROR(INDEX(装备库!$A$2:$Y$1047,MATCH(ROW()-1,装备库!$AO$2:$AO$1046,0),COLUMN()),"")</f>
        <v/>
      </c>
      <c r="P932" t="str">
        <f>IFERROR(INDEX(装备库!$A$2:$Y$1047,MATCH(ROW()-1,装备库!$AO$2:$AO$1046,0),COLUMN()),"")</f>
        <v/>
      </c>
      <c r="Q932" t="str">
        <f>IFERROR(INDEX(装备库!$A$2:$Y$1047,MATCH(ROW()-1,装备库!$AO$2:$AO$1046,0),COLUMN()),"")</f>
        <v/>
      </c>
      <c r="R932" t="str">
        <f>IFERROR(INDEX(装备库!$A$2:$Y$1047,MATCH(ROW()-1,装备库!$AO$2:$AO$1046,0),COLUMN()),"")</f>
        <v/>
      </c>
      <c r="S932" t="str">
        <f>IFERROR(INDEX(装备库!$A$2:$Y$1047,MATCH(ROW()-1,装备库!$AO$2:$AO$1046,0),COLUMN()),"")</f>
        <v/>
      </c>
      <c r="T932" t="str">
        <f>IFERROR(INDEX(装备库!$A$2:$Y$1047,MATCH(ROW()-1,装备库!$AO$2:$AO$1046,0),COLUMN()),"")</f>
        <v/>
      </c>
      <c r="U932" t="str">
        <f>IFERROR(INDEX(装备库!$A$2:$Y$1047,MATCH(ROW()-1,装备库!$AO$2:$AO$1046,0),COLUMN()),"")</f>
        <v/>
      </c>
      <c r="V932" t="str">
        <f>IFERROR(INDEX(装备库!$A$2:$Y$1047,MATCH(ROW()-1,装备库!$AO$2:$AO$1046,0),COLUMN()),"")</f>
        <v/>
      </c>
      <c r="W932" t="str">
        <f>IFERROR(INDEX(装备库!$A$2:$Y$1047,MATCH(ROW()-1,装备库!$AO$2:$AO$1046,0),COLUMN()),"")</f>
        <v/>
      </c>
      <c r="X932" t="str">
        <f>IFERROR(INDEX(装备库!$A$2:$Y$1047,MATCH(ROW()-1,装备库!$AO$2:$AO$1046,0),COLUMN()),"")</f>
        <v/>
      </c>
      <c r="Y932" t="str">
        <f>IFERROR(INDEX(装备库!$A$2:$Y$1047,MATCH(ROW()-1,装备库!$AO$2:$AO$1046,0),COLUMN()),"")</f>
        <v/>
      </c>
    </row>
    <row r="933" spans="1:25" x14ac:dyDescent="0.35">
      <c r="A933" t="str">
        <f>IFERROR(INDEX(装备库!$A$2:$Y$1047,MATCH(ROW()-1,装备库!$AO$2:$AO$1046,0),COLUMN()),"")</f>
        <v/>
      </c>
      <c r="B933" t="str">
        <f>IFERROR(INDEX(装备库!$A$2:$Y$1047,MATCH(ROW()-1,装备库!$AO$2:$AO$1046,0),COLUMN()),"")</f>
        <v/>
      </c>
      <c r="C933" t="str">
        <f>IFERROR(INDEX(装备库!$A$2:$Y$1047,MATCH(ROW()-1,装备库!$AO$2:$AO$1046,0),COLUMN()),"")</f>
        <v/>
      </c>
      <c r="D933" t="str">
        <f>IFERROR(INDEX(装备库!$A$2:$Y$1047,MATCH(ROW()-1,装备库!$AO$2:$AO$1046,0),COLUMN()),"")</f>
        <v/>
      </c>
      <c r="E933" t="str">
        <f>IFERROR(INDEX(装备库!$A$2:$Y$1047,MATCH(ROW()-1,装备库!$AO$2:$AO$1046,0),COLUMN()),"")</f>
        <v/>
      </c>
      <c r="F933" t="str">
        <f>IFERROR(INDEX(装备库!$A$2:$Y$1047,MATCH(ROW()-1,装备库!$AO$2:$AO$1046,0),COLUMN()),"")</f>
        <v/>
      </c>
      <c r="G933" t="str">
        <f>IFERROR(INDEX(装备库!$A$2:$Y$1047,MATCH(ROW()-1,装备库!$AO$2:$AO$1046,0),COLUMN()),"")</f>
        <v/>
      </c>
      <c r="H933" t="str">
        <f>IFERROR(INDEX(装备库!$A$2:$Y$1047,MATCH(ROW()-1,装备库!$AO$2:$AO$1046,0),COLUMN()),"")</f>
        <v/>
      </c>
      <c r="I933" t="str">
        <f>IFERROR(INDEX(装备库!$A$2:$Y$1047,MATCH(ROW()-1,装备库!$AO$2:$AO$1046,0),COLUMN()),"")</f>
        <v/>
      </c>
      <c r="J933" t="str">
        <f>IFERROR(INDEX(装备库!$A$2:$Y$1047,MATCH(ROW()-1,装备库!$AO$2:$AO$1046,0),COLUMN()),"")</f>
        <v/>
      </c>
      <c r="K933" t="str">
        <f>IFERROR(INDEX(装备库!$A$2:$Y$1047,MATCH(ROW()-1,装备库!$AO$2:$AO$1046,0),COLUMN()),"")</f>
        <v/>
      </c>
      <c r="L933" t="str">
        <f>IFERROR(INDEX(装备库!$A$2:$Y$1047,MATCH(ROW()-1,装备库!$AO$2:$AO$1046,0),COLUMN()),"")</f>
        <v/>
      </c>
      <c r="M933" t="str">
        <f>IFERROR(INDEX(装备库!$A$2:$Y$1047,MATCH(ROW()-1,装备库!$AO$2:$AO$1046,0),COLUMN()),"")</f>
        <v/>
      </c>
      <c r="N933" t="str">
        <f>IFERROR(INDEX(装备库!$A$2:$Y$1047,MATCH(ROW()-1,装备库!$AO$2:$AO$1046,0),COLUMN()),"")</f>
        <v/>
      </c>
      <c r="O933" t="str">
        <f>IFERROR(INDEX(装备库!$A$2:$Y$1047,MATCH(ROW()-1,装备库!$AO$2:$AO$1046,0),COLUMN()),"")</f>
        <v/>
      </c>
      <c r="P933" t="str">
        <f>IFERROR(INDEX(装备库!$A$2:$Y$1047,MATCH(ROW()-1,装备库!$AO$2:$AO$1046,0),COLUMN()),"")</f>
        <v/>
      </c>
      <c r="Q933" t="str">
        <f>IFERROR(INDEX(装备库!$A$2:$Y$1047,MATCH(ROW()-1,装备库!$AO$2:$AO$1046,0),COLUMN()),"")</f>
        <v/>
      </c>
      <c r="R933" t="str">
        <f>IFERROR(INDEX(装备库!$A$2:$Y$1047,MATCH(ROW()-1,装备库!$AO$2:$AO$1046,0),COLUMN()),"")</f>
        <v/>
      </c>
      <c r="S933" t="str">
        <f>IFERROR(INDEX(装备库!$A$2:$Y$1047,MATCH(ROW()-1,装备库!$AO$2:$AO$1046,0),COLUMN()),"")</f>
        <v/>
      </c>
      <c r="T933" t="str">
        <f>IFERROR(INDEX(装备库!$A$2:$Y$1047,MATCH(ROW()-1,装备库!$AO$2:$AO$1046,0),COLUMN()),"")</f>
        <v/>
      </c>
      <c r="U933" t="str">
        <f>IFERROR(INDEX(装备库!$A$2:$Y$1047,MATCH(ROW()-1,装备库!$AO$2:$AO$1046,0),COLUMN()),"")</f>
        <v/>
      </c>
      <c r="V933" t="str">
        <f>IFERROR(INDEX(装备库!$A$2:$Y$1047,MATCH(ROW()-1,装备库!$AO$2:$AO$1046,0),COLUMN()),"")</f>
        <v/>
      </c>
      <c r="W933" t="str">
        <f>IFERROR(INDEX(装备库!$A$2:$Y$1047,MATCH(ROW()-1,装备库!$AO$2:$AO$1046,0),COLUMN()),"")</f>
        <v/>
      </c>
      <c r="X933" t="str">
        <f>IFERROR(INDEX(装备库!$A$2:$Y$1047,MATCH(ROW()-1,装备库!$AO$2:$AO$1046,0),COLUMN()),"")</f>
        <v/>
      </c>
      <c r="Y933" t="str">
        <f>IFERROR(INDEX(装备库!$A$2:$Y$1047,MATCH(ROW()-1,装备库!$AO$2:$AO$1046,0),COLUMN()),"")</f>
        <v/>
      </c>
    </row>
    <row r="934" spans="1:25" x14ac:dyDescent="0.35">
      <c r="A934" t="str">
        <f>IFERROR(INDEX(装备库!$A$2:$Y$1047,MATCH(ROW()-1,装备库!$AO$2:$AO$1046,0),COLUMN()),"")</f>
        <v/>
      </c>
      <c r="B934" t="str">
        <f>IFERROR(INDEX(装备库!$A$2:$Y$1047,MATCH(ROW()-1,装备库!$AO$2:$AO$1046,0),COLUMN()),"")</f>
        <v/>
      </c>
      <c r="C934" t="str">
        <f>IFERROR(INDEX(装备库!$A$2:$Y$1047,MATCH(ROW()-1,装备库!$AO$2:$AO$1046,0),COLUMN()),"")</f>
        <v/>
      </c>
      <c r="D934" t="str">
        <f>IFERROR(INDEX(装备库!$A$2:$Y$1047,MATCH(ROW()-1,装备库!$AO$2:$AO$1046,0),COLUMN()),"")</f>
        <v/>
      </c>
      <c r="E934" t="str">
        <f>IFERROR(INDEX(装备库!$A$2:$Y$1047,MATCH(ROW()-1,装备库!$AO$2:$AO$1046,0),COLUMN()),"")</f>
        <v/>
      </c>
      <c r="F934" t="str">
        <f>IFERROR(INDEX(装备库!$A$2:$Y$1047,MATCH(ROW()-1,装备库!$AO$2:$AO$1046,0),COLUMN()),"")</f>
        <v/>
      </c>
      <c r="G934" t="str">
        <f>IFERROR(INDEX(装备库!$A$2:$Y$1047,MATCH(ROW()-1,装备库!$AO$2:$AO$1046,0),COLUMN()),"")</f>
        <v/>
      </c>
      <c r="H934" t="str">
        <f>IFERROR(INDEX(装备库!$A$2:$Y$1047,MATCH(ROW()-1,装备库!$AO$2:$AO$1046,0),COLUMN()),"")</f>
        <v/>
      </c>
      <c r="I934" t="str">
        <f>IFERROR(INDEX(装备库!$A$2:$Y$1047,MATCH(ROW()-1,装备库!$AO$2:$AO$1046,0),COLUMN()),"")</f>
        <v/>
      </c>
      <c r="J934" t="str">
        <f>IFERROR(INDEX(装备库!$A$2:$Y$1047,MATCH(ROW()-1,装备库!$AO$2:$AO$1046,0),COLUMN()),"")</f>
        <v/>
      </c>
      <c r="K934" t="str">
        <f>IFERROR(INDEX(装备库!$A$2:$Y$1047,MATCH(ROW()-1,装备库!$AO$2:$AO$1046,0),COLUMN()),"")</f>
        <v/>
      </c>
      <c r="L934" t="str">
        <f>IFERROR(INDEX(装备库!$A$2:$Y$1047,MATCH(ROW()-1,装备库!$AO$2:$AO$1046,0),COLUMN()),"")</f>
        <v/>
      </c>
      <c r="M934" t="str">
        <f>IFERROR(INDEX(装备库!$A$2:$Y$1047,MATCH(ROW()-1,装备库!$AO$2:$AO$1046,0),COLUMN()),"")</f>
        <v/>
      </c>
      <c r="N934" t="str">
        <f>IFERROR(INDEX(装备库!$A$2:$Y$1047,MATCH(ROW()-1,装备库!$AO$2:$AO$1046,0),COLUMN()),"")</f>
        <v/>
      </c>
      <c r="O934" t="str">
        <f>IFERROR(INDEX(装备库!$A$2:$Y$1047,MATCH(ROW()-1,装备库!$AO$2:$AO$1046,0),COLUMN()),"")</f>
        <v/>
      </c>
      <c r="P934" t="str">
        <f>IFERROR(INDEX(装备库!$A$2:$Y$1047,MATCH(ROW()-1,装备库!$AO$2:$AO$1046,0),COLUMN()),"")</f>
        <v/>
      </c>
      <c r="Q934" t="str">
        <f>IFERROR(INDEX(装备库!$A$2:$Y$1047,MATCH(ROW()-1,装备库!$AO$2:$AO$1046,0),COLUMN()),"")</f>
        <v/>
      </c>
      <c r="R934" t="str">
        <f>IFERROR(INDEX(装备库!$A$2:$Y$1047,MATCH(ROW()-1,装备库!$AO$2:$AO$1046,0),COLUMN()),"")</f>
        <v/>
      </c>
      <c r="S934" t="str">
        <f>IFERROR(INDEX(装备库!$A$2:$Y$1047,MATCH(ROW()-1,装备库!$AO$2:$AO$1046,0),COLUMN()),"")</f>
        <v/>
      </c>
      <c r="T934" t="str">
        <f>IFERROR(INDEX(装备库!$A$2:$Y$1047,MATCH(ROW()-1,装备库!$AO$2:$AO$1046,0),COLUMN()),"")</f>
        <v/>
      </c>
      <c r="U934" t="str">
        <f>IFERROR(INDEX(装备库!$A$2:$Y$1047,MATCH(ROW()-1,装备库!$AO$2:$AO$1046,0),COLUMN()),"")</f>
        <v/>
      </c>
      <c r="V934" t="str">
        <f>IFERROR(INDEX(装备库!$A$2:$Y$1047,MATCH(ROW()-1,装备库!$AO$2:$AO$1046,0),COLUMN()),"")</f>
        <v/>
      </c>
      <c r="W934" t="str">
        <f>IFERROR(INDEX(装备库!$A$2:$Y$1047,MATCH(ROW()-1,装备库!$AO$2:$AO$1046,0),COLUMN()),"")</f>
        <v/>
      </c>
      <c r="X934" t="str">
        <f>IFERROR(INDEX(装备库!$A$2:$Y$1047,MATCH(ROW()-1,装备库!$AO$2:$AO$1046,0),COLUMN()),"")</f>
        <v/>
      </c>
      <c r="Y934" t="str">
        <f>IFERROR(INDEX(装备库!$A$2:$Y$1047,MATCH(ROW()-1,装备库!$AO$2:$AO$1046,0),COLUMN()),"")</f>
        <v/>
      </c>
    </row>
    <row r="935" spans="1:25" x14ac:dyDescent="0.35">
      <c r="A935" t="str">
        <f>IFERROR(INDEX(装备库!$A$2:$Y$1047,MATCH(ROW()-1,装备库!$AO$2:$AO$1046,0),COLUMN()),"")</f>
        <v/>
      </c>
      <c r="B935" t="str">
        <f>IFERROR(INDEX(装备库!$A$2:$Y$1047,MATCH(ROW()-1,装备库!$AO$2:$AO$1046,0),COLUMN()),"")</f>
        <v/>
      </c>
      <c r="C935" t="str">
        <f>IFERROR(INDEX(装备库!$A$2:$Y$1047,MATCH(ROW()-1,装备库!$AO$2:$AO$1046,0),COLUMN()),"")</f>
        <v/>
      </c>
      <c r="D935" t="str">
        <f>IFERROR(INDEX(装备库!$A$2:$Y$1047,MATCH(ROW()-1,装备库!$AO$2:$AO$1046,0),COLUMN()),"")</f>
        <v/>
      </c>
      <c r="E935" t="str">
        <f>IFERROR(INDEX(装备库!$A$2:$Y$1047,MATCH(ROW()-1,装备库!$AO$2:$AO$1046,0),COLUMN()),"")</f>
        <v/>
      </c>
      <c r="F935" t="str">
        <f>IFERROR(INDEX(装备库!$A$2:$Y$1047,MATCH(ROW()-1,装备库!$AO$2:$AO$1046,0),COLUMN()),"")</f>
        <v/>
      </c>
      <c r="G935" t="str">
        <f>IFERROR(INDEX(装备库!$A$2:$Y$1047,MATCH(ROW()-1,装备库!$AO$2:$AO$1046,0),COLUMN()),"")</f>
        <v/>
      </c>
      <c r="H935" t="str">
        <f>IFERROR(INDEX(装备库!$A$2:$Y$1047,MATCH(ROW()-1,装备库!$AO$2:$AO$1046,0),COLUMN()),"")</f>
        <v/>
      </c>
      <c r="I935" t="str">
        <f>IFERROR(INDEX(装备库!$A$2:$Y$1047,MATCH(ROW()-1,装备库!$AO$2:$AO$1046,0),COLUMN()),"")</f>
        <v/>
      </c>
      <c r="J935" t="str">
        <f>IFERROR(INDEX(装备库!$A$2:$Y$1047,MATCH(ROW()-1,装备库!$AO$2:$AO$1046,0),COLUMN()),"")</f>
        <v/>
      </c>
      <c r="K935" t="str">
        <f>IFERROR(INDEX(装备库!$A$2:$Y$1047,MATCH(ROW()-1,装备库!$AO$2:$AO$1046,0),COLUMN()),"")</f>
        <v/>
      </c>
      <c r="L935" t="str">
        <f>IFERROR(INDEX(装备库!$A$2:$Y$1047,MATCH(ROW()-1,装备库!$AO$2:$AO$1046,0),COLUMN()),"")</f>
        <v/>
      </c>
      <c r="M935" t="str">
        <f>IFERROR(INDEX(装备库!$A$2:$Y$1047,MATCH(ROW()-1,装备库!$AO$2:$AO$1046,0),COLUMN()),"")</f>
        <v/>
      </c>
      <c r="N935" t="str">
        <f>IFERROR(INDEX(装备库!$A$2:$Y$1047,MATCH(ROW()-1,装备库!$AO$2:$AO$1046,0),COLUMN()),"")</f>
        <v/>
      </c>
      <c r="O935" t="str">
        <f>IFERROR(INDEX(装备库!$A$2:$Y$1047,MATCH(ROW()-1,装备库!$AO$2:$AO$1046,0),COLUMN()),"")</f>
        <v/>
      </c>
      <c r="P935" t="str">
        <f>IFERROR(INDEX(装备库!$A$2:$Y$1047,MATCH(ROW()-1,装备库!$AO$2:$AO$1046,0),COLUMN()),"")</f>
        <v/>
      </c>
      <c r="Q935" t="str">
        <f>IFERROR(INDEX(装备库!$A$2:$Y$1047,MATCH(ROW()-1,装备库!$AO$2:$AO$1046,0),COLUMN()),"")</f>
        <v/>
      </c>
      <c r="R935" t="str">
        <f>IFERROR(INDEX(装备库!$A$2:$Y$1047,MATCH(ROW()-1,装备库!$AO$2:$AO$1046,0),COLUMN()),"")</f>
        <v/>
      </c>
      <c r="S935" t="str">
        <f>IFERROR(INDEX(装备库!$A$2:$Y$1047,MATCH(ROW()-1,装备库!$AO$2:$AO$1046,0),COLUMN()),"")</f>
        <v/>
      </c>
      <c r="T935" t="str">
        <f>IFERROR(INDEX(装备库!$A$2:$Y$1047,MATCH(ROW()-1,装备库!$AO$2:$AO$1046,0),COLUMN()),"")</f>
        <v/>
      </c>
      <c r="U935" t="str">
        <f>IFERROR(INDEX(装备库!$A$2:$Y$1047,MATCH(ROW()-1,装备库!$AO$2:$AO$1046,0),COLUMN()),"")</f>
        <v/>
      </c>
      <c r="V935" t="str">
        <f>IFERROR(INDEX(装备库!$A$2:$Y$1047,MATCH(ROW()-1,装备库!$AO$2:$AO$1046,0),COLUMN()),"")</f>
        <v/>
      </c>
      <c r="W935" t="str">
        <f>IFERROR(INDEX(装备库!$A$2:$Y$1047,MATCH(ROW()-1,装备库!$AO$2:$AO$1046,0),COLUMN()),"")</f>
        <v/>
      </c>
      <c r="X935" t="str">
        <f>IFERROR(INDEX(装备库!$A$2:$Y$1047,MATCH(ROW()-1,装备库!$AO$2:$AO$1046,0),COLUMN()),"")</f>
        <v/>
      </c>
      <c r="Y935" t="str">
        <f>IFERROR(INDEX(装备库!$A$2:$Y$1047,MATCH(ROW()-1,装备库!$AO$2:$AO$1046,0),COLUMN()),"")</f>
        <v/>
      </c>
    </row>
    <row r="936" spans="1:25" x14ac:dyDescent="0.35">
      <c r="A936" t="str">
        <f>IFERROR(INDEX(装备库!$A$2:$Y$1047,MATCH(ROW()-1,装备库!$AO$2:$AO$1046,0),COLUMN()),"")</f>
        <v/>
      </c>
      <c r="B936" t="str">
        <f>IFERROR(INDEX(装备库!$A$2:$Y$1047,MATCH(ROW()-1,装备库!$AO$2:$AO$1046,0),COLUMN()),"")</f>
        <v/>
      </c>
      <c r="C936" t="str">
        <f>IFERROR(INDEX(装备库!$A$2:$Y$1047,MATCH(ROW()-1,装备库!$AO$2:$AO$1046,0),COLUMN()),"")</f>
        <v/>
      </c>
      <c r="D936" t="str">
        <f>IFERROR(INDEX(装备库!$A$2:$Y$1047,MATCH(ROW()-1,装备库!$AO$2:$AO$1046,0),COLUMN()),"")</f>
        <v/>
      </c>
      <c r="E936" t="str">
        <f>IFERROR(INDEX(装备库!$A$2:$Y$1047,MATCH(ROW()-1,装备库!$AO$2:$AO$1046,0),COLUMN()),"")</f>
        <v/>
      </c>
      <c r="F936" t="str">
        <f>IFERROR(INDEX(装备库!$A$2:$Y$1047,MATCH(ROW()-1,装备库!$AO$2:$AO$1046,0),COLUMN()),"")</f>
        <v/>
      </c>
      <c r="G936" t="str">
        <f>IFERROR(INDEX(装备库!$A$2:$Y$1047,MATCH(ROW()-1,装备库!$AO$2:$AO$1046,0),COLUMN()),"")</f>
        <v/>
      </c>
      <c r="H936" t="str">
        <f>IFERROR(INDEX(装备库!$A$2:$Y$1047,MATCH(ROW()-1,装备库!$AO$2:$AO$1046,0),COLUMN()),"")</f>
        <v/>
      </c>
      <c r="I936" t="str">
        <f>IFERROR(INDEX(装备库!$A$2:$Y$1047,MATCH(ROW()-1,装备库!$AO$2:$AO$1046,0),COLUMN()),"")</f>
        <v/>
      </c>
      <c r="J936" t="str">
        <f>IFERROR(INDEX(装备库!$A$2:$Y$1047,MATCH(ROW()-1,装备库!$AO$2:$AO$1046,0),COLUMN()),"")</f>
        <v/>
      </c>
      <c r="K936" t="str">
        <f>IFERROR(INDEX(装备库!$A$2:$Y$1047,MATCH(ROW()-1,装备库!$AO$2:$AO$1046,0),COLUMN()),"")</f>
        <v/>
      </c>
      <c r="L936" t="str">
        <f>IFERROR(INDEX(装备库!$A$2:$Y$1047,MATCH(ROW()-1,装备库!$AO$2:$AO$1046,0),COLUMN()),"")</f>
        <v/>
      </c>
      <c r="M936" t="str">
        <f>IFERROR(INDEX(装备库!$A$2:$Y$1047,MATCH(ROW()-1,装备库!$AO$2:$AO$1046,0),COLUMN()),"")</f>
        <v/>
      </c>
      <c r="N936" t="str">
        <f>IFERROR(INDEX(装备库!$A$2:$Y$1047,MATCH(ROW()-1,装备库!$AO$2:$AO$1046,0),COLUMN()),"")</f>
        <v/>
      </c>
      <c r="O936" t="str">
        <f>IFERROR(INDEX(装备库!$A$2:$Y$1047,MATCH(ROW()-1,装备库!$AO$2:$AO$1046,0),COLUMN()),"")</f>
        <v/>
      </c>
      <c r="P936" t="str">
        <f>IFERROR(INDEX(装备库!$A$2:$Y$1047,MATCH(ROW()-1,装备库!$AO$2:$AO$1046,0),COLUMN()),"")</f>
        <v/>
      </c>
      <c r="Q936" t="str">
        <f>IFERROR(INDEX(装备库!$A$2:$Y$1047,MATCH(ROW()-1,装备库!$AO$2:$AO$1046,0),COLUMN()),"")</f>
        <v/>
      </c>
      <c r="R936" t="str">
        <f>IFERROR(INDEX(装备库!$A$2:$Y$1047,MATCH(ROW()-1,装备库!$AO$2:$AO$1046,0),COLUMN()),"")</f>
        <v/>
      </c>
      <c r="S936" t="str">
        <f>IFERROR(INDEX(装备库!$A$2:$Y$1047,MATCH(ROW()-1,装备库!$AO$2:$AO$1046,0),COLUMN()),"")</f>
        <v/>
      </c>
      <c r="T936" t="str">
        <f>IFERROR(INDEX(装备库!$A$2:$Y$1047,MATCH(ROW()-1,装备库!$AO$2:$AO$1046,0),COLUMN()),"")</f>
        <v/>
      </c>
      <c r="U936" t="str">
        <f>IFERROR(INDEX(装备库!$A$2:$Y$1047,MATCH(ROW()-1,装备库!$AO$2:$AO$1046,0),COLUMN()),"")</f>
        <v/>
      </c>
      <c r="V936" t="str">
        <f>IFERROR(INDEX(装备库!$A$2:$Y$1047,MATCH(ROW()-1,装备库!$AO$2:$AO$1046,0),COLUMN()),"")</f>
        <v/>
      </c>
      <c r="W936" t="str">
        <f>IFERROR(INDEX(装备库!$A$2:$Y$1047,MATCH(ROW()-1,装备库!$AO$2:$AO$1046,0),COLUMN()),"")</f>
        <v/>
      </c>
      <c r="X936" t="str">
        <f>IFERROR(INDEX(装备库!$A$2:$Y$1047,MATCH(ROW()-1,装备库!$AO$2:$AO$1046,0),COLUMN()),"")</f>
        <v/>
      </c>
      <c r="Y936" t="str">
        <f>IFERROR(INDEX(装备库!$A$2:$Y$1047,MATCH(ROW()-1,装备库!$AO$2:$AO$1046,0),COLUMN()),"")</f>
        <v/>
      </c>
    </row>
    <row r="937" spans="1:25" x14ac:dyDescent="0.35">
      <c r="A937" t="str">
        <f>IFERROR(INDEX(装备库!$A$2:$Y$1047,MATCH(ROW()-1,装备库!$AO$2:$AO$1046,0),COLUMN()),"")</f>
        <v/>
      </c>
      <c r="B937" t="str">
        <f>IFERROR(INDEX(装备库!$A$2:$Y$1047,MATCH(ROW()-1,装备库!$AO$2:$AO$1046,0),COLUMN()),"")</f>
        <v/>
      </c>
      <c r="C937" t="str">
        <f>IFERROR(INDEX(装备库!$A$2:$Y$1047,MATCH(ROW()-1,装备库!$AO$2:$AO$1046,0),COLUMN()),"")</f>
        <v/>
      </c>
      <c r="D937" t="str">
        <f>IFERROR(INDEX(装备库!$A$2:$Y$1047,MATCH(ROW()-1,装备库!$AO$2:$AO$1046,0),COLUMN()),"")</f>
        <v/>
      </c>
      <c r="E937" t="str">
        <f>IFERROR(INDEX(装备库!$A$2:$Y$1047,MATCH(ROW()-1,装备库!$AO$2:$AO$1046,0),COLUMN()),"")</f>
        <v/>
      </c>
      <c r="F937" t="str">
        <f>IFERROR(INDEX(装备库!$A$2:$Y$1047,MATCH(ROW()-1,装备库!$AO$2:$AO$1046,0),COLUMN()),"")</f>
        <v/>
      </c>
      <c r="G937" t="str">
        <f>IFERROR(INDEX(装备库!$A$2:$Y$1047,MATCH(ROW()-1,装备库!$AO$2:$AO$1046,0),COLUMN()),"")</f>
        <v/>
      </c>
      <c r="H937" t="str">
        <f>IFERROR(INDEX(装备库!$A$2:$Y$1047,MATCH(ROW()-1,装备库!$AO$2:$AO$1046,0),COLUMN()),"")</f>
        <v/>
      </c>
      <c r="I937" t="str">
        <f>IFERROR(INDEX(装备库!$A$2:$Y$1047,MATCH(ROW()-1,装备库!$AO$2:$AO$1046,0),COLUMN()),"")</f>
        <v/>
      </c>
      <c r="J937" t="str">
        <f>IFERROR(INDEX(装备库!$A$2:$Y$1047,MATCH(ROW()-1,装备库!$AO$2:$AO$1046,0),COLUMN()),"")</f>
        <v/>
      </c>
      <c r="K937" t="str">
        <f>IFERROR(INDEX(装备库!$A$2:$Y$1047,MATCH(ROW()-1,装备库!$AO$2:$AO$1046,0),COLUMN()),"")</f>
        <v/>
      </c>
      <c r="L937" t="str">
        <f>IFERROR(INDEX(装备库!$A$2:$Y$1047,MATCH(ROW()-1,装备库!$AO$2:$AO$1046,0),COLUMN()),"")</f>
        <v/>
      </c>
      <c r="M937" t="str">
        <f>IFERROR(INDEX(装备库!$A$2:$Y$1047,MATCH(ROW()-1,装备库!$AO$2:$AO$1046,0),COLUMN()),"")</f>
        <v/>
      </c>
      <c r="N937" t="str">
        <f>IFERROR(INDEX(装备库!$A$2:$Y$1047,MATCH(ROW()-1,装备库!$AO$2:$AO$1046,0),COLUMN()),"")</f>
        <v/>
      </c>
      <c r="O937" t="str">
        <f>IFERROR(INDEX(装备库!$A$2:$Y$1047,MATCH(ROW()-1,装备库!$AO$2:$AO$1046,0),COLUMN()),"")</f>
        <v/>
      </c>
      <c r="P937" t="str">
        <f>IFERROR(INDEX(装备库!$A$2:$Y$1047,MATCH(ROW()-1,装备库!$AO$2:$AO$1046,0),COLUMN()),"")</f>
        <v/>
      </c>
      <c r="Q937" t="str">
        <f>IFERROR(INDEX(装备库!$A$2:$Y$1047,MATCH(ROW()-1,装备库!$AO$2:$AO$1046,0),COLUMN()),"")</f>
        <v/>
      </c>
      <c r="R937" t="str">
        <f>IFERROR(INDEX(装备库!$A$2:$Y$1047,MATCH(ROW()-1,装备库!$AO$2:$AO$1046,0),COLUMN()),"")</f>
        <v/>
      </c>
      <c r="S937" t="str">
        <f>IFERROR(INDEX(装备库!$A$2:$Y$1047,MATCH(ROW()-1,装备库!$AO$2:$AO$1046,0),COLUMN()),"")</f>
        <v/>
      </c>
      <c r="T937" t="str">
        <f>IFERROR(INDEX(装备库!$A$2:$Y$1047,MATCH(ROW()-1,装备库!$AO$2:$AO$1046,0),COLUMN()),"")</f>
        <v/>
      </c>
      <c r="U937" t="str">
        <f>IFERROR(INDEX(装备库!$A$2:$Y$1047,MATCH(ROW()-1,装备库!$AO$2:$AO$1046,0),COLUMN()),"")</f>
        <v/>
      </c>
      <c r="V937" t="str">
        <f>IFERROR(INDEX(装备库!$A$2:$Y$1047,MATCH(ROW()-1,装备库!$AO$2:$AO$1046,0),COLUMN()),"")</f>
        <v/>
      </c>
      <c r="W937" t="str">
        <f>IFERROR(INDEX(装备库!$A$2:$Y$1047,MATCH(ROW()-1,装备库!$AO$2:$AO$1046,0),COLUMN()),"")</f>
        <v/>
      </c>
      <c r="X937" t="str">
        <f>IFERROR(INDEX(装备库!$A$2:$Y$1047,MATCH(ROW()-1,装备库!$AO$2:$AO$1046,0),COLUMN()),"")</f>
        <v/>
      </c>
      <c r="Y937" t="str">
        <f>IFERROR(INDEX(装备库!$A$2:$Y$1047,MATCH(ROW()-1,装备库!$AO$2:$AO$1046,0),COLUMN()),"")</f>
        <v/>
      </c>
    </row>
    <row r="938" spans="1:25" x14ac:dyDescent="0.35">
      <c r="A938" t="str">
        <f>IFERROR(INDEX(装备库!$A$2:$Y$1047,MATCH(ROW()-1,装备库!$AO$2:$AO$1046,0),COLUMN()),"")</f>
        <v/>
      </c>
      <c r="B938" t="str">
        <f>IFERROR(INDEX(装备库!$A$2:$Y$1047,MATCH(ROW()-1,装备库!$AO$2:$AO$1046,0),COLUMN()),"")</f>
        <v/>
      </c>
      <c r="C938" t="str">
        <f>IFERROR(INDEX(装备库!$A$2:$Y$1047,MATCH(ROW()-1,装备库!$AO$2:$AO$1046,0),COLUMN()),"")</f>
        <v/>
      </c>
      <c r="D938" t="str">
        <f>IFERROR(INDEX(装备库!$A$2:$Y$1047,MATCH(ROW()-1,装备库!$AO$2:$AO$1046,0),COLUMN()),"")</f>
        <v/>
      </c>
      <c r="E938" t="str">
        <f>IFERROR(INDEX(装备库!$A$2:$Y$1047,MATCH(ROW()-1,装备库!$AO$2:$AO$1046,0),COLUMN()),"")</f>
        <v/>
      </c>
      <c r="F938" t="str">
        <f>IFERROR(INDEX(装备库!$A$2:$Y$1047,MATCH(ROW()-1,装备库!$AO$2:$AO$1046,0),COLUMN()),"")</f>
        <v/>
      </c>
      <c r="G938" t="str">
        <f>IFERROR(INDEX(装备库!$A$2:$Y$1047,MATCH(ROW()-1,装备库!$AO$2:$AO$1046,0),COLUMN()),"")</f>
        <v/>
      </c>
      <c r="H938" t="str">
        <f>IFERROR(INDEX(装备库!$A$2:$Y$1047,MATCH(ROW()-1,装备库!$AO$2:$AO$1046,0),COLUMN()),"")</f>
        <v/>
      </c>
      <c r="I938" t="str">
        <f>IFERROR(INDEX(装备库!$A$2:$Y$1047,MATCH(ROW()-1,装备库!$AO$2:$AO$1046,0),COLUMN()),"")</f>
        <v/>
      </c>
      <c r="J938" t="str">
        <f>IFERROR(INDEX(装备库!$A$2:$Y$1047,MATCH(ROW()-1,装备库!$AO$2:$AO$1046,0),COLUMN()),"")</f>
        <v/>
      </c>
      <c r="K938" t="str">
        <f>IFERROR(INDEX(装备库!$A$2:$Y$1047,MATCH(ROW()-1,装备库!$AO$2:$AO$1046,0),COLUMN()),"")</f>
        <v/>
      </c>
      <c r="L938" t="str">
        <f>IFERROR(INDEX(装备库!$A$2:$Y$1047,MATCH(ROW()-1,装备库!$AO$2:$AO$1046,0),COLUMN()),"")</f>
        <v/>
      </c>
      <c r="M938" t="str">
        <f>IFERROR(INDEX(装备库!$A$2:$Y$1047,MATCH(ROW()-1,装备库!$AO$2:$AO$1046,0),COLUMN()),"")</f>
        <v/>
      </c>
      <c r="N938" t="str">
        <f>IFERROR(INDEX(装备库!$A$2:$Y$1047,MATCH(ROW()-1,装备库!$AO$2:$AO$1046,0),COLUMN()),"")</f>
        <v/>
      </c>
      <c r="O938" t="str">
        <f>IFERROR(INDEX(装备库!$A$2:$Y$1047,MATCH(ROW()-1,装备库!$AO$2:$AO$1046,0),COLUMN()),"")</f>
        <v/>
      </c>
      <c r="P938" t="str">
        <f>IFERROR(INDEX(装备库!$A$2:$Y$1047,MATCH(ROW()-1,装备库!$AO$2:$AO$1046,0),COLUMN()),"")</f>
        <v/>
      </c>
      <c r="Q938" t="str">
        <f>IFERROR(INDEX(装备库!$A$2:$Y$1047,MATCH(ROW()-1,装备库!$AO$2:$AO$1046,0),COLUMN()),"")</f>
        <v/>
      </c>
      <c r="R938" t="str">
        <f>IFERROR(INDEX(装备库!$A$2:$Y$1047,MATCH(ROW()-1,装备库!$AO$2:$AO$1046,0),COLUMN()),"")</f>
        <v/>
      </c>
      <c r="S938" t="str">
        <f>IFERROR(INDEX(装备库!$A$2:$Y$1047,MATCH(ROW()-1,装备库!$AO$2:$AO$1046,0),COLUMN()),"")</f>
        <v/>
      </c>
      <c r="T938" t="str">
        <f>IFERROR(INDEX(装备库!$A$2:$Y$1047,MATCH(ROW()-1,装备库!$AO$2:$AO$1046,0),COLUMN()),"")</f>
        <v/>
      </c>
      <c r="U938" t="str">
        <f>IFERROR(INDEX(装备库!$A$2:$Y$1047,MATCH(ROW()-1,装备库!$AO$2:$AO$1046,0),COLUMN()),"")</f>
        <v/>
      </c>
      <c r="V938" t="str">
        <f>IFERROR(INDEX(装备库!$A$2:$Y$1047,MATCH(ROW()-1,装备库!$AO$2:$AO$1046,0),COLUMN()),"")</f>
        <v/>
      </c>
      <c r="W938" t="str">
        <f>IFERROR(INDEX(装备库!$A$2:$Y$1047,MATCH(ROW()-1,装备库!$AO$2:$AO$1046,0),COLUMN()),"")</f>
        <v/>
      </c>
      <c r="X938" t="str">
        <f>IFERROR(INDEX(装备库!$A$2:$Y$1047,MATCH(ROW()-1,装备库!$AO$2:$AO$1046,0),COLUMN()),"")</f>
        <v/>
      </c>
      <c r="Y938" t="str">
        <f>IFERROR(INDEX(装备库!$A$2:$Y$1047,MATCH(ROW()-1,装备库!$AO$2:$AO$1046,0),COLUMN()),"")</f>
        <v/>
      </c>
    </row>
    <row r="939" spans="1:25" x14ac:dyDescent="0.35">
      <c r="A939" t="str">
        <f>IFERROR(INDEX(装备库!$A$2:$Y$1047,MATCH(ROW()-1,装备库!$AO$2:$AO$1046,0),COLUMN()),"")</f>
        <v/>
      </c>
      <c r="B939" t="str">
        <f>IFERROR(INDEX(装备库!$A$2:$Y$1047,MATCH(ROW()-1,装备库!$AO$2:$AO$1046,0),COLUMN()),"")</f>
        <v/>
      </c>
      <c r="C939" t="str">
        <f>IFERROR(INDEX(装备库!$A$2:$Y$1047,MATCH(ROW()-1,装备库!$AO$2:$AO$1046,0),COLUMN()),"")</f>
        <v/>
      </c>
      <c r="D939" t="str">
        <f>IFERROR(INDEX(装备库!$A$2:$Y$1047,MATCH(ROW()-1,装备库!$AO$2:$AO$1046,0),COLUMN()),"")</f>
        <v/>
      </c>
      <c r="E939" t="str">
        <f>IFERROR(INDEX(装备库!$A$2:$Y$1047,MATCH(ROW()-1,装备库!$AO$2:$AO$1046,0),COLUMN()),"")</f>
        <v/>
      </c>
      <c r="F939" t="str">
        <f>IFERROR(INDEX(装备库!$A$2:$Y$1047,MATCH(ROW()-1,装备库!$AO$2:$AO$1046,0),COLUMN()),"")</f>
        <v/>
      </c>
      <c r="G939" t="str">
        <f>IFERROR(INDEX(装备库!$A$2:$Y$1047,MATCH(ROW()-1,装备库!$AO$2:$AO$1046,0),COLUMN()),"")</f>
        <v/>
      </c>
      <c r="H939" t="str">
        <f>IFERROR(INDEX(装备库!$A$2:$Y$1047,MATCH(ROW()-1,装备库!$AO$2:$AO$1046,0),COLUMN()),"")</f>
        <v/>
      </c>
      <c r="I939" t="str">
        <f>IFERROR(INDEX(装备库!$A$2:$Y$1047,MATCH(ROW()-1,装备库!$AO$2:$AO$1046,0),COLUMN()),"")</f>
        <v/>
      </c>
      <c r="J939" t="str">
        <f>IFERROR(INDEX(装备库!$A$2:$Y$1047,MATCH(ROW()-1,装备库!$AO$2:$AO$1046,0),COLUMN()),"")</f>
        <v/>
      </c>
      <c r="K939" t="str">
        <f>IFERROR(INDEX(装备库!$A$2:$Y$1047,MATCH(ROW()-1,装备库!$AO$2:$AO$1046,0),COLUMN()),"")</f>
        <v/>
      </c>
      <c r="L939" t="str">
        <f>IFERROR(INDEX(装备库!$A$2:$Y$1047,MATCH(ROW()-1,装备库!$AO$2:$AO$1046,0),COLUMN()),"")</f>
        <v/>
      </c>
      <c r="M939" t="str">
        <f>IFERROR(INDEX(装备库!$A$2:$Y$1047,MATCH(ROW()-1,装备库!$AO$2:$AO$1046,0),COLUMN()),"")</f>
        <v/>
      </c>
      <c r="N939" t="str">
        <f>IFERROR(INDEX(装备库!$A$2:$Y$1047,MATCH(ROW()-1,装备库!$AO$2:$AO$1046,0),COLUMN()),"")</f>
        <v/>
      </c>
      <c r="O939" t="str">
        <f>IFERROR(INDEX(装备库!$A$2:$Y$1047,MATCH(ROW()-1,装备库!$AO$2:$AO$1046,0),COLUMN()),"")</f>
        <v/>
      </c>
      <c r="P939" t="str">
        <f>IFERROR(INDEX(装备库!$A$2:$Y$1047,MATCH(ROW()-1,装备库!$AO$2:$AO$1046,0),COLUMN()),"")</f>
        <v/>
      </c>
      <c r="Q939" t="str">
        <f>IFERROR(INDEX(装备库!$A$2:$Y$1047,MATCH(ROW()-1,装备库!$AO$2:$AO$1046,0),COLUMN()),"")</f>
        <v/>
      </c>
      <c r="R939" t="str">
        <f>IFERROR(INDEX(装备库!$A$2:$Y$1047,MATCH(ROW()-1,装备库!$AO$2:$AO$1046,0),COLUMN()),"")</f>
        <v/>
      </c>
      <c r="S939" t="str">
        <f>IFERROR(INDEX(装备库!$A$2:$Y$1047,MATCH(ROW()-1,装备库!$AO$2:$AO$1046,0),COLUMN()),"")</f>
        <v/>
      </c>
      <c r="T939" t="str">
        <f>IFERROR(INDEX(装备库!$A$2:$Y$1047,MATCH(ROW()-1,装备库!$AO$2:$AO$1046,0),COLUMN()),"")</f>
        <v/>
      </c>
      <c r="U939" t="str">
        <f>IFERROR(INDEX(装备库!$A$2:$Y$1047,MATCH(ROW()-1,装备库!$AO$2:$AO$1046,0),COLUMN()),"")</f>
        <v/>
      </c>
      <c r="V939" t="str">
        <f>IFERROR(INDEX(装备库!$A$2:$Y$1047,MATCH(ROW()-1,装备库!$AO$2:$AO$1046,0),COLUMN()),"")</f>
        <v/>
      </c>
      <c r="W939" t="str">
        <f>IFERROR(INDEX(装备库!$A$2:$Y$1047,MATCH(ROW()-1,装备库!$AO$2:$AO$1046,0),COLUMN()),"")</f>
        <v/>
      </c>
      <c r="X939" t="str">
        <f>IFERROR(INDEX(装备库!$A$2:$Y$1047,MATCH(ROW()-1,装备库!$AO$2:$AO$1046,0),COLUMN()),"")</f>
        <v/>
      </c>
      <c r="Y939" t="str">
        <f>IFERROR(INDEX(装备库!$A$2:$Y$1047,MATCH(ROW()-1,装备库!$AO$2:$AO$1046,0),COLUMN()),"")</f>
        <v/>
      </c>
    </row>
    <row r="940" spans="1:25" x14ac:dyDescent="0.35">
      <c r="A940" t="str">
        <f>IFERROR(INDEX(装备库!$A$2:$Y$1047,MATCH(ROW()-1,装备库!$AO$2:$AO$1046,0),COLUMN()),"")</f>
        <v/>
      </c>
      <c r="B940" t="str">
        <f>IFERROR(INDEX(装备库!$A$2:$Y$1047,MATCH(ROW()-1,装备库!$AO$2:$AO$1046,0),COLUMN()),"")</f>
        <v/>
      </c>
      <c r="C940" t="str">
        <f>IFERROR(INDEX(装备库!$A$2:$Y$1047,MATCH(ROW()-1,装备库!$AO$2:$AO$1046,0),COLUMN()),"")</f>
        <v/>
      </c>
      <c r="D940" t="str">
        <f>IFERROR(INDEX(装备库!$A$2:$Y$1047,MATCH(ROW()-1,装备库!$AO$2:$AO$1046,0),COLUMN()),"")</f>
        <v/>
      </c>
      <c r="E940" t="str">
        <f>IFERROR(INDEX(装备库!$A$2:$Y$1047,MATCH(ROW()-1,装备库!$AO$2:$AO$1046,0),COLUMN()),"")</f>
        <v/>
      </c>
      <c r="F940" t="str">
        <f>IFERROR(INDEX(装备库!$A$2:$Y$1047,MATCH(ROW()-1,装备库!$AO$2:$AO$1046,0),COLUMN()),"")</f>
        <v/>
      </c>
      <c r="G940" t="str">
        <f>IFERROR(INDEX(装备库!$A$2:$Y$1047,MATCH(ROW()-1,装备库!$AO$2:$AO$1046,0),COLUMN()),"")</f>
        <v/>
      </c>
      <c r="H940" t="str">
        <f>IFERROR(INDEX(装备库!$A$2:$Y$1047,MATCH(ROW()-1,装备库!$AO$2:$AO$1046,0),COLUMN()),"")</f>
        <v/>
      </c>
      <c r="I940" t="str">
        <f>IFERROR(INDEX(装备库!$A$2:$Y$1047,MATCH(ROW()-1,装备库!$AO$2:$AO$1046,0),COLUMN()),"")</f>
        <v/>
      </c>
      <c r="J940" t="str">
        <f>IFERROR(INDEX(装备库!$A$2:$Y$1047,MATCH(ROW()-1,装备库!$AO$2:$AO$1046,0),COLUMN()),"")</f>
        <v/>
      </c>
      <c r="K940" t="str">
        <f>IFERROR(INDEX(装备库!$A$2:$Y$1047,MATCH(ROW()-1,装备库!$AO$2:$AO$1046,0),COLUMN()),"")</f>
        <v/>
      </c>
      <c r="L940" t="str">
        <f>IFERROR(INDEX(装备库!$A$2:$Y$1047,MATCH(ROW()-1,装备库!$AO$2:$AO$1046,0),COLUMN()),"")</f>
        <v/>
      </c>
      <c r="M940" t="str">
        <f>IFERROR(INDEX(装备库!$A$2:$Y$1047,MATCH(ROW()-1,装备库!$AO$2:$AO$1046,0),COLUMN()),"")</f>
        <v/>
      </c>
      <c r="N940" t="str">
        <f>IFERROR(INDEX(装备库!$A$2:$Y$1047,MATCH(ROW()-1,装备库!$AO$2:$AO$1046,0),COLUMN()),"")</f>
        <v/>
      </c>
      <c r="O940" t="str">
        <f>IFERROR(INDEX(装备库!$A$2:$Y$1047,MATCH(ROW()-1,装备库!$AO$2:$AO$1046,0),COLUMN()),"")</f>
        <v/>
      </c>
      <c r="P940" t="str">
        <f>IFERROR(INDEX(装备库!$A$2:$Y$1047,MATCH(ROW()-1,装备库!$AO$2:$AO$1046,0),COLUMN()),"")</f>
        <v/>
      </c>
      <c r="Q940" t="str">
        <f>IFERROR(INDEX(装备库!$A$2:$Y$1047,MATCH(ROW()-1,装备库!$AO$2:$AO$1046,0),COLUMN()),"")</f>
        <v/>
      </c>
      <c r="R940" t="str">
        <f>IFERROR(INDEX(装备库!$A$2:$Y$1047,MATCH(ROW()-1,装备库!$AO$2:$AO$1046,0),COLUMN()),"")</f>
        <v/>
      </c>
      <c r="S940" t="str">
        <f>IFERROR(INDEX(装备库!$A$2:$Y$1047,MATCH(ROW()-1,装备库!$AO$2:$AO$1046,0),COLUMN()),"")</f>
        <v/>
      </c>
      <c r="T940" t="str">
        <f>IFERROR(INDEX(装备库!$A$2:$Y$1047,MATCH(ROW()-1,装备库!$AO$2:$AO$1046,0),COLUMN()),"")</f>
        <v/>
      </c>
      <c r="U940" t="str">
        <f>IFERROR(INDEX(装备库!$A$2:$Y$1047,MATCH(ROW()-1,装备库!$AO$2:$AO$1046,0),COLUMN()),"")</f>
        <v/>
      </c>
      <c r="V940" t="str">
        <f>IFERROR(INDEX(装备库!$A$2:$Y$1047,MATCH(ROW()-1,装备库!$AO$2:$AO$1046,0),COLUMN()),"")</f>
        <v/>
      </c>
      <c r="W940" t="str">
        <f>IFERROR(INDEX(装备库!$A$2:$Y$1047,MATCH(ROW()-1,装备库!$AO$2:$AO$1046,0),COLUMN()),"")</f>
        <v/>
      </c>
      <c r="X940" t="str">
        <f>IFERROR(INDEX(装备库!$A$2:$Y$1047,MATCH(ROW()-1,装备库!$AO$2:$AO$1046,0),COLUMN()),"")</f>
        <v/>
      </c>
      <c r="Y940" t="str">
        <f>IFERROR(INDEX(装备库!$A$2:$Y$1047,MATCH(ROW()-1,装备库!$AO$2:$AO$1046,0),COLUMN()),"")</f>
        <v/>
      </c>
    </row>
    <row r="941" spans="1:25" x14ac:dyDescent="0.35">
      <c r="A941" t="str">
        <f>IFERROR(INDEX(装备库!$A$2:$Y$1047,MATCH(ROW()-1,装备库!$AO$2:$AO$1046,0),COLUMN()),"")</f>
        <v/>
      </c>
      <c r="B941" t="str">
        <f>IFERROR(INDEX(装备库!$A$2:$Y$1047,MATCH(ROW()-1,装备库!$AO$2:$AO$1046,0),COLUMN()),"")</f>
        <v/>
      </c>
      <c r="C941" t="str">
        <f>IFERROR(INDEX(装备库!$A$2:$Y$1047,MATCH(ROW()-1,装备库!$AO$2:$AO$1046,0),COLUMN()),"")</f>
        <v/>
      </c>
      <c r="D941" t="str">
        <f>IFERROR(INDEX(装备库!$A$2:$Y$1047,MATCH(ROW()-1,装备库!$AO$2:$AO$1046,0),COLUMN()),"")</f>
        <v/>
      </c>
      <c r="E941" t="str">
        <f>IFERROR(INDEX(装备库!$A$2:$Y$1047,MATCH(ROW()-1,装备库!$AO$2:$AO$1046,0),COLUMN()),"")</f>
        <v/>
      </c>
      <c r="F941" t="str">
        <f>IFERROR(INDEX(装备库!$A$2:$Y$1047,MATCH(ROW()-1,装备库!$AO$2:$AO$1046,0),COLUMN()),"")</f>
        <v/>
      </c>
      <c r="G941" t="str">
        <f>IFERROR(INDEX(装备库!$A$2:$Y$1047,MATCH(ROW()-1,装备库!$AO$2:$AO$1046,0),COLUMN()),"")</f>
        <v/>
      </c>
      <c r="H941" t="str">
        <f>IFERROR(INDEX(装备库!$A$2:$Y$1047,MATCH(ROW()-1,装备库!$AO$2:$AO$1046,0),COLUMN()),"")</f>
        <v/>
      </c>
      <c r="I941" t="str">
        <f>IFERROR(INDEX(装备库!$A$2:$Y$1047,MATCH(ROW()-1,装备库!$AO$2:$AO$1046,0),COLUMN()),"")</f>
        <v/>
      </c>
      <c r="J941" t="str">
        <f>IFERROR(INDEX(装备库!$A$2:$Y$1047,MATCH(ROW()-1,装备库!$AO$2:$AO$1046,0),COLUMN()),"")</f>
        <v/>
      </c>
      <c r="K941" t="str">
        <f>IFERROR(INDEX(装备库!$A$2:$Y$1047,MATCH(ROW()-1,装备库!$AO$2:$AO$1046,0),COLUMN()),"")</f>
        <v/>
      </c>
      <c r="L941" t="str">
        <f>IFERROR(INDEX(装备库!$A$2:$Y$1047,MATCH(ROW()-1,装备库!$AO$2:$AO$1046,0),COLUMN()),"")</f>
        <v/>
      </c>
      <c r="M941" t="str">
        <f>IFERROR(INDEX(装备库!$A$2:$Y$1047,MATCH(ROW()-1,装备库!$AO$2:$AO$1046,0),COLUMN()),"")</f>
        <v/>
      </c>
      <c r="N941" t="str">
        <f>IFERROR(INDEX(装备库!$A$2:$Y$1047,MATCH(ROW()-1,装备库!$AO$2:$AO$1046,0),COLUMN()),"")</f>
        <v/>
      </c>
      <c r="O941" t="str">
        <f>IFERROR(INDEX(装备库!$A$2:$Y$1047,MATCH(ROW()-1,装备库!$AO$2:$AO$1046,0),COLUMN()),"")</f>
        <v/>
      </c>
      <c r="P941" t="str">
        <f>IFERROR(INDEX(装备库!$A$2:$Y$1047,MATCH(ROW()-1,装备库!$AO$2:$AO$1046,0),COLUMN()),"")</f>
        <v/>
      </c>
      <c r="Q941" t="str">
        <f>IFERROR(INDEX(装备库!$A$2:$Y$1047,MATCH(ROW()-1,装备库!$AO$2:$AO$1046,0),COLUMN()),"")</f>
        <v/>
      </c>
      <c r="R941" t="str">
        <f>IFERROR(INDEX(装备库!$A$2:$Y$1047,MATCH(ROW()-1,装备库!$AO$2:$AO$1046,0),COLUMN()),"")</f>
        <v/>
      </c>
      <c r="S941" t="str">
        <f>IFERROR(INDEX(装备库!$A$2:$Y$1047,MATCH(ROW()-1,装备库!$AO$2:$AO$1046,0),COLUMN()),"")</f>
        <v/>
      </c>
      <c r="T941" t="str">
        <f>IFERROR(INDEX(装备库!$A$2:$Y$1047,MATCH(ROW()-1,装备库!$AO$2:$AO$1046,0),COLUMN()),"")</f>
        <v/>
      </c>
      <c r="U941" t="str">
        <f>IFERROR(INDEX(装备库!$A$2:$Y$1047,MATCH(ROW()-1,装备库!$AO$2:$AO$1046,0),COLUMN()),"")</f>
        <v/>
      </c>
      <c r="V941" t="str">
        <f>IFERROR(INDEX(装备库!$A$2:$Y$1047,MATCH(ROW()-1,装备库!$AO$2:$AO$1046,0),COLUMN()),"")</f>
        <v/>
      </c>
      <c r="W941" t="str">
        <f>IFERROR(INDEX(装备库!$A$2:$Y$1047,MATCH(ROW()-1,装备库!$AO$2:$AO$1046,0),COLUMN()),"")</f>
        <v/>
      </c>
      <c r="X941" t="str">
        <f>IFERROR(INDEX(装备库!$A$2:$Y$1047,MATCH(ROW()-1,装备库!$AO$2:$AO$1046,0),COLUMN()),"")</f>
        <v/>
      </c>
      <c r="Y941" t="str">
        <f>IFERROR(INDEX(装备库!$A$2:$Y$1047,MATCH(ROW()-1,装备库!$AO$2:$AO$1046,0),COLUMN()),"")</f>
        <v/>
      </c>
    </row>
    <row r="942" spans="1:25" x14ac:dyDescent="0.35">
      <c r="A942" t="str">
        <f>IFERROR(INDEX(装备库!$A$2:$Y$1047,MATCH(ROW()-1,装备库!$AO$2:$AO$1046,0),COLUMN()),"")</f>
        <v/>
      </c>
      <c r="B942" t="str">
        <f>IFERROR(INDEX(装备库!$A$2:$Y$1047,MATCH(ROW()-1,装备库!$AO$2:$AO$1046,0),COLUMN()),"")</f>
        <v/>
      </c>
      <c r="C942" t="str">
        <f>IFERROR(INDEX(装备库!$A$2:$Y$1047,MATCH(ROW()-1,装备库!$AO$2:$AO$1046,0),COLUMN()),"")</f>
        <v/>
      </c>
      <c r="D942" t="str">
        <f>IFERROR(INDEX(装备库!$A$2:$Y$1047,MATCH(ROW()-1,装备库!$AO$2:$AO$1046,0),COLUMN()),"")</f>
        <v/>
      </c>
      <c r="E942" t="str">
        <f>IFERROR(INDEX(装备库!$A$2:$Y$1047,MATCH(ROW()-1,装备库!$AO$2:$AO$1046,0),COLUMN()),"")</f>
        <v/>
      </c>
      <c r="F942" t="str">
        <f>IFERROR(INDEX(装备库!$A$2:$Y$1047,MATCH(ROW()-1,装备库!$AO$2:$AO$1046,0),COLUMN()),"")</f>
        <v/>
      </c>
      <c r="G942" t="str">
        <f>IFERROR(INDEX(装备库!$A$2:$Y$1047,MATCH(ROW()-1,装备库!$AO$2:$AO$1046,0),COLUMN()),"")</f>
        <v/>
      </c>
      <c r="H942" t="str">
        <f>IFERROR(INDEX(装备库!$A$2:$Y$1047,MATCH(ROW()-1,装备库!$AO$2:$AO$1046,0),COLUMN()),"")</f>
        <v/>
      </c>
      <c r="I942" t="str">
        <f>IFERROR(INDEX(装备库!$A$2:$Y$1047,MATCH(ROW()-1,装备库!$AO$2:$AO$1046,0),COLUMN()),"")</f>
        <v/>
      </c>
      <c r="J942" t="str">
        <f>IFERROR(INDEX(装备库!$A$2:$Y$1047,MATCH(ROW()-1,装备库!$AO$2:$AO$1046,0),COLUMN()),"")</f>
        <v/>
      </c>
      <c r="K942" t="str">
        <f>IFERROR(INDEX(装备库!$A$2:$Y$1047,MATCH(ROW()-1,装备库!$AO$2:$AO$1046,0),COLUMN()),"")</f>
        <v/>
      </c>
      <c r="L942" t="str">
        <f>IFERROR(INDEX(装备库!$A$2:$Y$1047,MATCH(ROW()-1,装备库!$AO$2:$AO$1046,0),COLUMN()),"")</f>
        <v/>
      </c>
      <c r="M942" t="str">
        <f>IFERROR(INDEX(装备库!$A$2:$Y$1047,MATCH(ROW()-1,装备库!$AO$2:$AO$1046,0),COLUMN()),"")</f>
        <v/>
      </c>
      <c r="N942" t="str">
        <f>IFERROR(INDEX(装备库!$A$2:$Y$1047,MATCH(ROW()-1,装备库!$AO$2:$AO$1046,0),COLUMN()),"")</f>
        <v/>
      </c>
      <c r="O942" t="str">
        <f>IFERROR(INDEX(装备库!$A$2:$Y$1047,MATCH(ROW()-1,装备库!$AO$2:$AO$1046,0),COLUMN()),"")</f>
        <v/>
      </c>
      <c r="P942" t="str">
        <f>IFERROR(INDEX(装备库!$A$2:$Y$1047,MATCH(ROW()-1,装备库!$AO$2:$AO$1046,0),COLUMN()),"")</f>
        <v/>
      </c>
      <c r="Q942" t="str">
        <f>IFERROR(INDEX(装备库!$A$2:$Y$1047,MATCH(ROW()-1,装备库!$AO$2:$AO$1046,0),COLUMN()),"")</f>
        <v/>
      </c>
      <c r="R942" t="str">
        <f>IFERROR(INDEX(装备库!$A$2:$Y$1047,MATCH(ROW()-1,装备库!$AO$2:$AO$1046,0),COLUMN()),"")</f>
        <v/>
      </c>
      <c r="S942" t="str">
        <f>IFERROR(INDEX(装备库!$A$2:$Y$1047,MATCH(ROW()-1,装备库!$AO$2:$AO$1046,0),COLUMN()),"")</f>
        <v/>
      </c>
      <c r="T942" t="str">
        <f>IFERROR(INDEX(装备库!$A$2:$Y$1047,MATCH(ROW()-1,装备库!$AO$2:$AO$1046,0),COLUMN()),"")</f>
        <v/>
      </c>
      <c r="U942" t="str">
        <f>IFERROR(INDEX(装备库!$A$2:$Y$1047,MATCH(ROW()-1,装备库!$AO$2:$AO$1046,0),COLUMN()),"")</f>
        <v/>
      </c>
      <c r="V942" t="str">
        <f>IFERROR(INDEX(装备库!$A$2:$Y$1047,MATCH(ROW()-1,装备库!$AO$2:$AO$1046,0),COLUMN()),"")</f>
        <v/>
      </c>
      <c r="W942" t="str">
        <f>IFERROR(INDEX(装备库!$A$2:$Y$1047,MATCH(ROW()-1,装备库!$AO$2:$AO$1046,0),COLUMN()),"")</f>
        <v/>
      </c>
      <c r="X942" t="str">
        <f>IFERROR(INDEX(装备库!$A$2:$Y$1047,MATCH(ROW()-1,装备库!$AO$2:$AO$1046,0),COLUMN()),"")</f>
        <v/>
      </c>
      <c r="Y942" t="str">
        <f>IFERROR(INDEX(装备库!$A$2:$Y$1047,MATCH(ROW()-1,装备库!$AO$2:$AO$1046,0),COLUMN()),"")</f>
        <v/>
      </c>
    </row>
    <row r="943" spans="1:25" x14ac:dyDescent="0.35">
      <c r="A943" t="str">
        <f>IFERROR(INDEX(装备库!$A$2:$Y$1047,MATCH(ROW()-1,装备库!$AO$2:$AO$1046,0),COLUMN()),"")</f>
        <v/>
      </c>
      <c r="B943" t="str">
        <f>IFERROR(INDEX(装备库!$A$2:$Y$1047,MATCH(ROW()-1,装备库!$AO$2:$AO$1046,0),COLUMN()),"")</f>
        <v/>
      </c>
      <c r="C943" t="str">
        <f>IFERROR(INDEX(装备库!$A$2:$Y$1047,MATCH(ROW()-1,装备库!$AO$2:$AO$1046,0),COLUMN()),"")</f>
        <v/>
      </c>
      <c r="D943" t="str">
        <f>IFERROR(INDEX(装备库!$A$2:$Y$1047,MATCH(ROW()-1,装备库!$AO$2:$AO$1046,0),COLUMN()),"")</f>
        <v/>
      </c>
      <c r="E943" t="str">
        <f>IFERROR(INDEX(装备库!$A$2:$Y$1047,MATCH(ROW()-1,装备库!$AO$2:$AO$1046,0),COLUMN()),"")</f>
        <v/>
      </c>
      <c r="F943" t="str">
        <f>IFERROR(INDEX(装备库!$A$2:$Y$1047,MATCH(ROW()-1,装备库!$AO$2:$AO$1046,0),COLUMN()),"")</f>
        <v/>
      </c>
      <c r="G943" t="str">
        <f>IFERROR(INDEX(装备库!$A$2:$Y$1047,MATCH(ROW()-1,装备库!$AO$2:$AO$1046,0),COLUMN()),"")</f>
        <v/>
      </c>
      <c r="H943" t="str">
        <f>IFERROR(INDEX(装备库!$A$2:$Y$1047,MATCH(ROW()-1,装备库!$AO$2:$AO$1046,0),COLUMN()),"")</f>
        <v/>
      </c>
      <c r="I943" t="str">
        <f>IFERROR(INDEX(装备库!$A$2:$Y$1047,MATCH(ROW()-1,装备库!$AO$2:$AO$1046,0),COLUMN()),"")</f>
        <v/>
      </c>
      <c r="J943" t="str">
        <f>IFERROR(INDEX(装备库!$A$2:$Y$1047,MATCH(ROW()-1,装备库!$AO$2:$AO$1046,0),COLUMN()),"")</f>
        <v/>
      </c>
      <c r="K943" t="str">
        <f>IFERROR(INDEX(装备库!$A$2:$Y$1047,MATCH(ROW()-1,装备库!$AO$2:$AO$1046,0),COLUMN()),"")</f>
        <v/>
      </c>
      <c r="L943" t="str">
        <f>IFERROR(INDEX(装备库!$A$2:$Y$1047,MATCH(ROW()-1,装备库!$AO$2:$AO$1046,0),COLUMN()),"")</f>
        <v/>
      </c>
      <c r="M943" t="str">
        <f>IFERROR(INDEX(装备库!$A$2:$Y$1047,MATCH(ROW()-1,装备库!$AO$2:$AO$1046,0),COLUMN()),"")</f>
        <v/>
      </c>
      <c r="N943" t="str">
        <f>IFERROR(INDEX(装备库!$A$2:$Y$1047,MATCH(ROW()-1,装备库!$AO$2:$AO$1046,0),COLUMN()),"")</f>
        <v/>
      </c>
      <c r="O943" t="str">
        <f>IFERROR(INDEX(装备库!$A$2:$Y$1047,MATCH(ROW()-1,装备库!$AO$2:$AO$1046,0),COLUMN()),"")</f>
        <v/>
      </c>
      <c r="P943" t="str">
        <f>IFERROR(INDEX(装备库!$A$2:$Y$1047,MATCH(ROW()-1,装备库!$AO$2:$AO$1046,0),COLUMN()),"")</f>
        <v/>
      </c>
      <c r="Q943" t="str">
        <f>IFERROR(INDEX(装备库!$A$2:$Y$1047,MATCH(ROW()-1,装备库!$AO$2:$AO$1046,0),COLUMN()),"")</f>
        <v/>
      </c>
      <c r="R943" t="str">
        <f>IFERROR(INDEX(装备库!$A$2:$Y$1047,MATCH(ROW()-1,装备库!$AO$2:$AO$1046,0),COLUMN()),"")</f>
        <v/>
      </c>
      <c r="S943" t="str">
        <f>IFERROR(INDEX(装备库!$A$2:$Y$1047,MATCH(ROW()-1,装备库!$AO$2:$AO$1046,0),COLUMN()),"")</f>
        <v/>
      </c>
      <c r="T943" t="str">
        <f>IFERROR(INDEX(装备库!$A$2:$Y$1047,MATCH(ROW()-1,装备库!$AO$2:$AO$1046,0),COLUMN()),"")</f>
        <v/>
      </c>
      <c r="U943" t="str">
        <f>IFERROR(INDEX(装备库!$A$2:$Y$1047,MATCH(ROW()-1,装备库!$AO$2:$AO$1046,0),COLUMN()),"")</f>
        <v/>
      </c>
      <c r="V943" t="str">
        <f>IFERROR(INDEX(装备库!$A$2:$Y$1047,MATCH(ROW()-1,装备库!$AO$2:$AO$1046,0),COLUMN()),"")</f>
        <v/>
      </c>
      <c r="W943" t="str">
        <f>IFERROR(INDEX(装备库!$A$2:$Y$1047,MATCH(ROW()-1,装备库!$AO$2:$AO$1046,0),COLUMN()),"")</f>
        <v/>
      </c>
      <c r="X943" t="str">
        <f>IFERROR(INDEX(装备库!$A$2:$Y$1047,MATCH(ROW()-1,装备库!$AO$2:$AO$1046,0),COLUMN()),"")</f>
        <v/>
      </c>
      <c r="Y943" t="str">
        <f>IFERROR(INDEX(装备库!$A$2:$Y$1047,MATCH(ROW()-1,装备库!$AO$2:$AO$1046,0),COLUMN()),"")</f>
        <v/>
      </c>
    </row>
    <row r="944" spans="1:25" x14ac:dyDescent="0.35">
      <c r="A944" t="str">
        <f>IFERROR(INDEX(装备库!$A$2:$Y$1047,MATCH(ROW()-1,装备库!$AO$2:$AO$1046,0),COLUMN()),"")</f>
        <v/>
      </c>
      <c r="B944" t="str">
        <f>IFERROR(INDEX(装备库!$A$2:$Y$1047,MATCH(ROW()-1,装备库!$AO$2:$AO$1046,0),COLUMN()),"")</f>
        <v/>
      </c>
      <c r="C944" t="str">
        <f>IFERROR(INDEX(装备库!$A$2:$Y$1047,MATCH(ROW()-1,装备库!$AO$2:$AO$1046,0),COLUMN()),"")</f>
        <v/>
      </c>
      <c r="D944" t="str">
        <f>IFERROR(INDEX(装备库!$A$2:$Y$1047,MATCH(ROW()-1,装备库!$AO$2:$AO$1046,0),COLUMN()),"")</f>
        <v/>
      </c>
      <c r="E944" t="str">
        <f>IFERROR(INDEX(装备库!$A$2:$Y$1047,MATCH(ROW()-1,装备库!$AO$2:$AO$1046,0),COLUMN()),"")</f>
        <v/>
      </c>
      <c r="F944" t="str">
        <f>IFERROR(INDEX(装备库!$A$2:$Y$1047,MATCH(ROW()-1,装备库!$AO$2:$AO$1046,0),COLUMN()),"")</f>
        <v/>
      </c>
      <c r="G944" t="str">
        <f>IFERROR(INDEX(装备库!$A$2:$Y$1047,MATCH(ROW()-1,装备库!$AO$2:$AO$1046,0),COLUMN()),"")</f>
        <v/>
      </c>
      <c r="H944" t="str">
        <f>IFERROR(INDEX(装备库!$A$2:$Y$1047,MATCH(ROW()-1,装备库!$AO$2:$AO$1046,0),COLUMN()),"")</f>
        <v/>
      </c>
      <c r="I944" t="str">
        <f>IFERROR(INDEX(装备库!$A$2:$Y$1047,MATCH(ROW()-1,装备库!$AO$2:$AO$1046,0),COLUMN()),"")</f>
        <v/>
      </c>
      <c r="J944" t="str">
        <f>IFERROR(INDEX(装备库!$A$2:$Y$1047,MATCH(ROW()-1,装备库!$AO$2:$AO$1046,0),COLUMN()),"")</f>
        <v/>
      </c>
      <c r="K944" t="str">
        <f>IFERROR(INDEX(装备库!$A$2:$Y$1047,MATCH(ROW()-1,装备库!$AO$2:$AO$1046,0),COLUMN()),"")</f>
        <v/>
      </c>
      <c r="L944" t="str">
        <f>IFERROR(INDEX(装备库!$A$2:$Y$1047,MATCH(ROW()-1,装备库!$AO$2:$AO$1046,0),COLUMN()),"")</f>
        <v/>
      </c>
      <c r="M944" t="str">
        <f>IFERROR(INDEX(装备库!$A$2:$Y$1047,MATCH(ROW()-1,装备库!$AO$2:$AO$1046,0),COLUMN()),"")</f>
        <v/>
      </c>
      <c r="N944" t="str">
        <f>IFERROR(INDEX(装备库!$A$2:$Y$1047,MATCH(ROW()-1,装备库!$AO$2:$AO$1046,0),COLUMN()),"")</f>
        <v/>
      </c>
      <c r="O944" t="str">
        <f>IFERROR(INDEX(装备库!$A$2:$Y$1047,MATCH(ROW()-1,装备库!$AO$2:$AO$1046,0),COLUMN()),"")</f>
        <v/>
      </c>
      <c r="P944" t="str">
        <f>IFERROR(INDEX(装备库!$A$2:$Y$1047,MATCH(ROW()-1,装备库!$AO$2:$AO$1046,0),COLUMN()),"")</f>
        <v/>
      </c>
      <c r="Q944" t="str">
        <f>IFERROR(INDEX(装备库!$A$2:$Y$1047,MATCH(ROW()-1,装备库!$AO$2:$AO$1046,0),COLUMN()),"")</f>
        <v/>
      </c>
      <c r="R944" t="str">
        <f>IFERROR(INDEX(装备库!$A$2:$Y$1047,MATCH(ROW()-1,装备库!$AO$2:$AO$1046,0),COLUMN()),"")</f>
        <v/>
      </c>
      <c r="S944" t="str">
        <f>IFERROR(INDEX(装备库!$A$2:$Y$1047,MATCH(ROW()-1,装备库!$AO$2:$AO$1046,0),COLUMN()),"")</f>
        <v/>
      </c>
      <c r="T944" t="str">
        <f>IFERROR(INDEX(装备库!$A$2:$Y$1047,MATCH(ROW()-1,装备库!$AO$2:$AO$1046,0),COLUMN()),"")</f>
        <v/>
      </c>
      <c r="U944" t="str">
        <f>IFERROR(INDEX(装备库!$A$2:$Y$1047,MATCH(ROW()-1,装备库!$AO$2:$AO$1046,0),COLUMN()),"")</f>
        <v/>
      </c>
      <c r="V944" t="str">
        <f>IFERROR(INDEX(装备库!$A$2:$Y$1047,MATCH(ROW()-1,装备库!$AO$2:$AO$1046,0),COLUMN()),"")</f>
        <v/>
      </c>
      <c r="W944" t="str">
        <f>IFERROR(INDEX(装备库!$A$2:$Y$1047,MATCH(ROW()-1,装备库!$AO$2:$AO$1046,0),COLUMN()),"")</f>
        <v/>
      </c>
      <c r="X944" t="str">
        <f>IFERROR(INDEX(装备库!$A$2:$Y$1047,MATCH(ROW()-1,装备库!$AO$2:$AO$1046,0),COLUMN()),"")</f>
        <v/>
      </c>
      <c r="Y944" t="str">
        <f>IFERROR(INDEX(装备库!$A$2:$Y$1047,MATCH(ROW()-1,装备库!$AO$2:$AO$1046,0),COLUMN()),"")</f>
        <v/>
      </c>
    </row>
    <row r="945" spans="1:25" x14ac:dyDescent="0.35">
      <c r="A945" t="str">
        <f>IFERROR(INDEX(装备库!$A$2:$Y$1047,MATCH(ROW()-1,装备库!$AO$2:$AO$1046,0),COLUMN()),"")</f>
        <v/>
      </c>
      <c r="B945" t="str">
        <f>IFERROR(INDEX(装备库!$A$2:$Y$1047,MATCH(ROW()-1,装备库!$AO$2:$AO$1046,0),COLUMN()),"")</f>
        <v/>
      </c>
      <c r="C945" t="str">
        <f>IFERROR(INDEX(装备库!$A$2:$Y$1047,MATCH(ROW()-1,装备库!$AO$2:$AO$1046,0),COLUMN()),"")</f>
        <v/>
      </c>
      <c r="D945" t="str">
        <f>IFERROR(INDEX(装备库!$A$2:$Y$1047,MATCH(ROW()-1,装备库!$AO$2:$AO$1046,0),COLUMN()),"")</f>
        <v/>
      </c>
      <c r="E945" t="str">
        <f>IFERROR(INDEX(装备库!$A$2:$Y$1047,MATCH(ROW()-1,装备库!$AO$2:$AO$1046,0),COLUMN()),"")</f>
        <v/>
      </c>
      <c r="F945" t="str">
        <f>IFERROR(INDEX(装备库!$A$2:$Y$1047,MATCH(ROW()-1,装备库!$AO$2:$AO$1046,0),COLUMN()),"")</f>
        <v/>
      </c>
      <c r="G945" t="str">
        <f>IFERROR(INDEX(装备库!$A$2:$Y$1047,MATCH(ROW()-1,装备库!$AO$2:$AO$1046,0),COLUMN()),"")</f>
        <v/>
      </c>
      <c r="H945" t="str">
        <f>IFERROR(INDEX(装备库!$A$2:$Y$1047,MATCH(ROW()-1,装备库!$AO$2:$AO$1046,0),COLUMN()),"")</f>
        <v/>
      </c>
      <c r="I945" t="str">
        <f>IFERROR(INDEX(装备库!$A$2:$Y$1047,MATCH(ROW()-1,装备库!$AO$2:$AO$1046,0),COLUMN()),"")</f>
        <v/>
      </c>
      <c r="J945" t="str">
        <f>IFERROR(INDEX(装备库!$A$2:$Y$1047,MATCH(ROW()-1,装备库!$AO$2:$AO$1046,0),COLUMN()),"")</f>
        <v/>
      </c>
      <c r="K945" t="str">
        <f>IFERROR(INDEX(装备库!$A$2:$Y$1047,MATCH(ROW()-1,装备库!$AO$2:$AO$1046,0),COLUMN()),"")</f>
        <v/>
      </c>
      <c r="L945" t="str">
        <f>IFERROR(INDEX(装备库!$A$2:$Y$1047,MATCH(ROW()-1,装备库!$AO$2:$AO$1046,0),COLUMN()),"")</f>
        <v/>
      </c>
      <c r="M945" t="str">
        <f>IFERROR(INDEX(装备库!$A$2:$Y$1047,MATCH(ROW()-1,装备库!$AO$2:$AO$1046,0),COLUMN()),"")</f>
        <v/>
      </c>
      <c r="N945" t="str">
        <f>IFERROR(INDEX(装备库!$A$2:$Y$1047,MATCH(ROW()-1,装备库!$AO$2:$AO$1046,0),COLUMN()),"")</f>
        <v/>
      </c>
      <c r="O945" t="str">
        <f>IFERROR(INDEX(装备库!$A$2:$Y$1047,MATCH(ROW()-1,装备库!$AO$2:$AO$1046,0),COLUMN()),"")</f>
        <v/>
      </c>
      <c r="P945" t="str">
        <f>IFERROR(INDEX(装备库!$A$2:$Y$1047,MATCH(ROW()-1,装备库!$AO$2:$AO$1046,0),COLUMN()),"")</f>
        <v/>
      </c>
      <c r="Q945" t="str">
        <f>IFERROR(INDEX(装备库!$A$2:$Y$1047,MATCH(ROW()-1,装备库!$AO$2:$AO$1046,0),COLUMN()),"")</f>
        <v/>
      </c>
      <c r="R945" t="str">
        <f>IFERROR(INDEX(装备库!$A$2:$Y$1047,MATCH(ROW()-1,装备库!$AO$2:$AO$1046,0),COLUMN()),"")</f>
        <v/>
      </c>
      <c r="S945" t="str">
        <f>IFERROR(INDEX(装备库!$A$2:$Y$1047,MATCH(ROW()-1,装备库!$AO$2:$AO$1046,0),COLUMN()),"")</f>
        <v/>
      </c>
      <c r="T945" t="str">
        <f>IFERROR(INDEX(装备库!$A$2:$Y$1047,MATCH(ROW()-1,装备库!$AO$2:$AO$1046,0),COLUMN()),"")</f>
        <v/>
      </c>
      <c r="U945" t="str">
        <f>IFERROR(INDEX(装备库!$A$2:$Y$1047,MATCH(ROW()-1,装备库!$AO$2:$AO$1046,0),COLUMN()),"")</f>
        <v/>
      </c>
      <c r="V945" t="str">
        <f>IFERROR(INDEX(装备库!$A$2:$Y$1047,MATCH(ROW()-1,装备库!$AO$2:$AO$1046,0),COLUMN()),"")</f>
        <v/>
      </c>
      <c r="W945" t="str">
        <f>IFERROR(INDEX(装备库!$A$2:$Y$1047,MATCH(ROW()-1,装备库!$AO$2:$AO$1046,0),COLUMN()),"")</f>
        <v/>
      </c>
      <c r="X945" t="str">
        <f>IFERROR(INDEX(装备库!$A$2:$Y$1047,MATCH(ROW()-1,装备库!$AO$2:$AO$1046,0),COLUMN()),"")</f>
        <v/>
      </c>
      <c r="Y945" t="str">
        <f>IFERROR(INDEX(装备库!$A$2:$Y$1047,MATCH(ROW()-1,装备库!$AO$2:$AO$1046,0),COLUMN()),"")</f>
        <v/>
      </c>
    </row>
    <row r="946" spans="1:25" x14ac:dyDescent="0.35">
      <c r="A946" t="str">
        <f>IFERROR(INDEX(装备库!$A$2:$Y$1047,MATCH(ROW()-1,装备库!$AO$2:$AO$1046,0),COLUMN()),"")</f>
        <v/>
      </c>
      <c r="B946" t="str">
        <f>IFERROR(INDEX(装备库!$A$2:$Y$1047,MATCH(ROW()-1,装备库!$AO$2:$AO$1046,0),COLUMN()),"")</f>
        <v/>
      </c>
      <c r="C946" t="str">
        <f>IFERROR(INDEX(装备库!$A$2:$Y$1047,MATCH(ROW()-1,装备库!$AO$2:$AO$1046,0),COLUMN()),"")</f>
        <v/>
      </c>
      <c r="D946" t="str">
        <f>IFERROR(INDEX(装备库!$A$2:$Y$1047,MATCH(ROW()-1,装备库!$AO$2:$AO$1046,0),COLUMN()),"")</f>
        <v/>
      </c>
      <c r="E946" t="str">
        <f>IFERROR(INDEX(装备库!$A$2:$Y$1047,MATCH(ROW()-1,装备库!$AO$2:$AO$1046,0),COLUMN()),"")</f>
        <v/>
      </c>
      <c r="F946" t="str">
        <f>IFERROR(INDEX(装备库!$A$2:$Y$1047,MATCH(ROW()-1,装备库!$AO$2:$AO$1046,0),COLUMN()),"")</f>
        <v/>
      </c>
      <c r="G946" t="str">
        <f>IFERROR(INDEX(装备库!$A$2:$Y$1047,MATCH(ROW()-1,装备库!$AO$2:$AO$1046,0),COLUMN()),"")</f>
        <v/>
      </c>
      <c r="H946" t="str">
        <f>IFERROR(INDEX(装备库!$A$2:$Y$1047,MATCH(ROW()-1,装备库!$AO$2:$AO$1046,0),COLUMN()),"")</f>
        <v/>
      </c>
      <c r="I946" t="str">
        <f>IFERROR(INDEX(装备库!$A$2:$Y$1047,MATCH(ROW()-1,装备库!$AO$2:$AO$1046,0),COLUMN()),"")</f>
        <v/>
      </c>
      <c r="J946" t="str">
        <f>IFERROR(INDEX(装备库!$A$2:$Y$1047,MATCH(ROW()-1,装备库!$AO$2:$AO$1046,0),COLUMN()),"")</f>
        <v/>
      </c>
      <c r="K946" t="str">
        <f>IFERROR(INDEX(装备库!$A$2:$Y$1047,MATCH(ROW()-1,装备库!$AO$2:$AO$1046,0),COLUMN()),"")</f>
        <v/>
      </c>
      <c r="L946" t="str">
        <f>IFERROR(INDEX(装备库!$A$2:$Y$1047,MATCH(ROW()-1,装备库!$AO$2:$AO$1046,0),COLUMN()),"")</f>
        <v/>
      </c>
      <c r="M946" t="str">
        <f>IFERROR(INDEX(装备库!$A$2:$Y$1047,MATCH(ROW()-1,装备库!$AO$2:$AO$1046,0),COLUMN()),"")</f>
        <v/>
      </c>
      <c r="N946" t="str">
        <f>IFERROR(INDEX(装备库!$A$2:$Y$1047,MATCH(ROW()-1,装备库!$AO$2:$AO$1046,0),COLUMN()),"")</f>
        <v/>
      </c>
      <c r="O946" t="str">
        <f>IFERROR(INDEX(装备库!$A$2:$Y$1047,MATCH(ROW()-1,装备库!$AO$2:$AO$1046,0),COLUMN()),"")</f>
        <v/>
      </c>
      <c r="P946" t="str">
        <f>IFERROR(INDEX(装备库!$A$2:$Y$1047,MATCH(ROW()-1,装备库!$AO$2:$AO$1046,0),COLUMN()),"")</f>
        <v/>
      </c>
      <c r="Q946" t="str">
        <f>IFERROR(INDEX(装备库!$A$2:$Y$1047,MATCH(ROW()-1,装备库!$AO$2:$AO$1046,0),COLUMN()),"")</f>
        <v/>
      </c>
      <c r="R946" t="str">
        <f>IFERROR(INDEX(装备库!$A$2:$Y$1047,MATCH(ROW()-1,装备库!$AO$2:$AO$1046,0),COLUMN()),"")</f>
        <v/>
      </c>
      <c r="S946" t="str">
        <f>IFERROR(INDEX(装备库!$A$2:$Y$1047,MATCH(ROW()-1,装备库!$AO$2:$AO$1046,0),COLUMN()),"")</f>
        <v/>
      </c>
      <c r="T946" t="str">
        <f>IFERROR(INDEX(装备库!$A$2:$Y$1047,MATCH(ROW()-1,装备库!$AO$2:$AO$1046,0),COLUMN()),"")</f>
        <v/>
      </c>
      <c r="U946" t="str">
        <f>IFERROR(INDEX(装备库!$A$2:$Y$1047,MATCH(ROW()-1,装备库!$AO$2:$AO$1046,0),COLUMN()),"")</f>
        <v/>
      </c>
      <c r="V946" t="str">
        <f>IFERROR(INDEX(装备库!$A$2:$Y$1047,MATCH(ROW()-1,装备库!$AO$2:$AO$1046,0),COLUMN()),"")</f>
        <v/>
      </c>
      <c r="W946" t="str">
        <f>IFERROR(INDEX(装备库!$A$2:$Y$1047,MATCH(ROW()-1,装备库!$AO$2:$AO$1046,0),COLUMN()),"")</f>
        <v/>
      </c>
      <c r="X946" t="str">
        <f>IFERROR(INDEX(装备库!$A$2:$Y$1047,MATCH(ROW()-1,装备库!$AO$2:$AO$1046,0),COLUMN()),"")</f>
        <v/>
      </c>
      <c r="Y946" t="str">
        <f>IFERROR(INDEX(装备库!$A$2:$Y$1047,MATCH(ROW()-1,装备库!$AO$2:$AO$1046,0),COLUMN()),"")</f>
        <v/>
      </c>
    </row>
    <row r="947" spans="1:25" x14ac:dyDescent="0.35">
      <c r="A947" t="str">
        <f>IFERROR(INDEX(装备库!$A$2:$Y$1047,MATCH(ROW()-1,装备库!$AO$2:$AO$1046,0),COLUMN()),"")</f>
        <v/>
      </c>
      <c r="B947" t="str">
        <f>IFERROR(INDEX(装备库!$A$2:$Y$1047,MATCH(ROW()-1,装备库!$AO$2:$AO$1046,0),COLUMN()),"")</f>
        <v/>
      </c>
      <c r="C947" t="str">
        <f>IFERROR(INDEX(装备库!$A$2:$Y$1047,MATCH(ROW()-1,装备库!$AO$2:$AO$1046,0),COLUMN()),"")</f>
        <v/>
      </c>
      <c r="D947" t="str">
        <f>IFERROR(INDEX(装备库!$A$2:$Y$1047,MATCH(ROW()-1,装备库!$AO$2:$AO$1046,0),COLUMN()),"")</f>
        <v/>
      </c>
      <c r="E947" t="str">
        <f>IFERROR(INDEX(装备库!$A$2:$Y$1047,MATCH(ROW()-1,装备库!$AO$2:$AO$1046,0),COLUMN()),"")</f>
        <v/>
      </c>
      <c r="F947" t="str">
        <f>IFERROR(INDEX(装备库!$A$2:$Y$1047,MATCH(ROW()-1,装备库!$AO$2:$AO$1046,0),COLUMN()),"")</f>
        <v/>
      </c>
      <c r="G947" t="str">
        <f>IFERROR(INDEX(装备库!$A$2:$Y$1047,MATCH(ROW()-1,装备库!$AO$2:$AO$1046,0),COLUMN()),"")</f>
        <v/>
      </c>
      <c r="H947" t="str">
        <f>IFERROR(INDEX(装备库!$A$2:$Y$1047,MATCH(ROW()-1,装备库!$AO$2:$AO$1046,0),COLUMN()),"")</f>
        <v/>
      </c>
      <c r="I947" t="str">
        <f>IFERROR(INDEX(装备库!$A$2:$Y$1047,MATCH(ROW()-1,装备库!$AO$2:$AO$1046,0),COLUMN()),"")</f>
        <v/>
      </c>
      <c r="J947" t="str">
        <f>IFERROR(INDEX(装备库!$A$2:$Y$1047,MATCH(ROW()-1,装备库!$AO$2:$AO$1046,0),COLUMN()),"")</f>
        <v/>
      </c>
      <c r="K947" t="str">
        <f>IFERROR(INDEX(装备库!$A$2:$Y$1047,MATCH(ROW()-1,装备库!$AO$2:$AO$1046,0),COLUMN()),"")</f>
        <v/>
      </c>
      <c r="L947" t="str">
        <f>IFERROR(INDEX(装备库!$A$2:$Y$1047,MATCH(ROW()-1,装备库!$AO$2:$AO$1046,0),COLUMN()),"")</f>
        <v/>
      </c>
      <c r="M947" t="str">
        <f>IFERROR(INDEX(装备库!$A$2:$Y$1047,MATCH(ROW()-1,装备库!$AO$2:$AO$1046,0),COLUMN()),"")</f>
        <v/>
      </c>
      <c r="N947" t="str">
        <f>IFERROR(INDEX(装备库!$A$2:$Y$1047,MATCH(ROW()-1,装备库!$AO$2:$AO$1046,0),COLUMN()),"")</f>
        <v/>
      </c>
      <c r="O947" t="str">
        <f>IFERROR(INDEX(装备库!$A$2:$Y$1047,MATCH(ROW()-1,装备库!$AO$2:$AO$1046,0),COLUMN()),"")</f>
        <v/>
      </c>
      <c r="P947" t="str">
        <f>IFERROR(INDEX(装备库!$A$2:$Y$1047,MATCH(ROW()-1,装备库!$AO$2:$AO$1046,0),COLUMN()),"")</f>
        <v/>
      </c>
      <c r="Q947" t="str">
        <f>IFERROR(INDEX(装备库!$A$2:$Y$1047,MATCH(ROW()-1,装备库!$AO$2:$AO$1046,0),COLUMN()),"")</f>
        <v/>
      </c>
      <c r="R947" t="str">
        <f>IFERROR(INDEX(装备库!$A$2:$Y$1047,MATCH(ROW()-1,装备库!$AO$2:$AO$1046,0),COLUMN()),"")</f>
        <v/>
      </c>
      <c r="S947" t="str">
        <f>IFERROR(INDEX(装备库!$A$2:$Y$1047,MATCH(ROW()-1,装备库!$AO$2:$AO$1046,0),COLUMN()),"")</f>
        <v/>
      </c>
      <c r="T947" t="str">
        <f>IFERROR(INDEX(装备库!$A$2:$Y$1047,MATCH(ROW()-1,装备库!$AO$2:$AO$1046,0),COLUMN()),"")</f>
        <v/>
      </c>
      <c r="U947" t="str">
        <f>IFERROR(INDEX(装备库!$A$2:$Y$1047,MATCH(ROW()-1,装备库!$AO$2:$AO$1046,0),COLUMN()),"")</f>
        <v/>
      </c>
      <c r="V947" t="str">
        <f>IFERROR(INDEX(装备库!$A$2:$Y$1047,MATCH(ROW()-1,装备库!$AO$2:$AO$1046,0),COLUMN()),"")</f>
        <v/>
      </c>
      <c r="W947" t="str">
        <f>IFERROR(INDEX(装备库!$A$2:$Y$1047,MATCH(ROW()-1,装备库!$AO$2:$AO$1046,0),COLUMN()),"")</f>
        <v/>
      </c>
      <c r="X947" t="str">
        <f>IFERROR(INDEX(装备库!$A$2:$Y$1047,MATCH(ROW()-1,装备库!$AO$2:$AO$1046,0),COLUMN()),"")</f>
        <v/>
      </c>
      <c r="Y947" t="str">
        <f>IFERROR(INDEX(装备库!$A$2:$Y$1047,MATCH(ROW()-1,装备库!$AO$2:$AO$1046,0),COLUMN()),"")</f>
        <v/>
      </c>
    </row>
    <row r="948" spans="1:25" x14ac:dyDescent="0.35">
      <c r="A948" t="str">
        <f>IFERROR(INDEX(装备库!$A$2:$Y$1047,MATCH(ROW()-1,装备库!$AO$2:$AO$1046,0),COLUMN()),"")</f>
        <v/>
      </c>
      <c r="B948" t="str">
        <f>IFERROR(INDEX(装备库!$A$2:$Y$1047,MATCH(ROW()-1,装备库!$AO$2:$AO$1046,0),COLUMN()),"")</f>
        <v/>
      </c>
      <c r="C948" t="str">
        <f>IFERROR(INDEX(装备库!$A$2:$Y$1047,MATCH(ROW()-1,装备库!$AO$2:$AO$1046,0),COLUMN()),"")</f>
        <v/>
      </c>
      <c r="D948" t="str">
        <f>IFERROR(INDEX(装备库!$A$2:$Y$1047,MATCH(ROW()-1,装备库!$AO$2:$AO$1046,0),COLUMN()),"")</f>
        <v/>
      </c>
      <c r="E948" t="str">
        <f>IFERROR(INDEX(装备库!$A$2:$Y$1047,MATCH(ROW()-1,装备库!$AO$2:$AO$1046,0),COLUMN()),"")</f>
        <v/>
      </c>
      <c r="F948" t="str">
        <f>IFERROR(INDEX(装备库!$A$2:$Y$1047,MATCH(ROW()-1,装备库!$AO$2:$AO$1046,0),COLUMN()),"")</f>
        <v/>
      </c>
      <c r="G948" t="str">
        <f>IFERROR(INDEX(装备库!$A$2:$Y$1047,MATCH(ROW()-1,装备库!$AO$2:$AO$1046,0),COLUMN()),"")</f>
        <v/>
      </c>
      <c r="H948" t="str">
        <f>IFERROR(INDEX(装备库!$A$2:$Y$1047,MATCH(ROW()-1,装备库!$AO$2:$AO$1046,0),COLUMN()),"")</f>
        <v/>
      </c>
      <c r="I948" t="str">
        <f>IFERROR(INDEX(装备库!$A$2:$Y$1047,MATCH(ROW()-1,装备库!$AO$2:$AO$1046,0),COLUMN()),"")</f>
        <v/>
      </c>
      <c r="J948" t="str">
        <f>IFERROR(INDEX(装备库!$A$2:$Y$1047,MATCH(ROW()-1,装备库!$AO$2:$AO$1046,0),COLUMN()),"")</f>
        <v/>
      </c>
      <c r="K948" t="str">
        <f>IFERROR(INDEX(装备库!$A$2:$Y$1047,MATCH(ROW()-1,装备库!$AO$2:$AO$1046,0),COLUMN()),"")</f>
        <v/>
      </c>
      <c r="L948" t="str">
        <f>IFERROR(INDEX(装备库!$A$2:$Y$1047,MATCH(ROW()-1,装备库!$AO$2:$AO$1046,0),COLUMN()),"")</f>
        <v/>
      </c>
      <c r="M948" t="str">
        <f>IFERROR(INDEX(装备库!$A$2:$Y$1047,MATCH(ROW()-1,装备库!$AO$2:$AO$1046,0),COLUMN()),"")</f>
        <v/>
      </c>
      <c r="N948" t="str">
        <f>IFERROR(INDEX(装备库!$A$2:$Y$1047,MATCH(ROW()-1,装备库!$AO$2:$AO$1046,0),COLUMN()),"")</f>
        <v/>
      </c>
      <c r="O948" t="str">
        <f>IFERROR(INDEX(装备库!$A$2:$Y$1047,MATCH(ROW()-1,装备库!$AO$2:$AO$1046,0),COLUMN()),"")</f>
        <v/>
      </c>
      <c r="P948" t="str">
        <f>IFERROR(INDEX(装备库!$A$2:$Y$1047,MATCH(ROW()-1,装备库!$AO$2:$AO$1046,0),COLUMN()),"")</f>
        <v/>
      </c>
      <c r="Q948" t="str">
        <f>IFERROR(INDEX(装备库!$A$2:$Y$1047,MATCH(ROW()-1,装备库!$AO$2:$AO$1046,0),COLUMN()),"")</f>
        <v/>
      </c>
      <c r="R948" t="str">
        <f>IFERROR(INDEX(装备库!$A$2:$Y$1047,MATCH(ROW()-1,装备库!$AO$2:$AO$1046,0),COLUMN()),"")</f>
        <v/>
      </c>
      <c r="S948" t="str">
        <f>IFERROR(INDEX(装备库!$A$2:$Y$1047,MATCH(ROW()-1,装备库!$AO$2:$AO$1046,0),COLUMN()),"")</f>
        <v/>
      </c>
      <c r="T948" t="str">
        <f>IFERROR(INDEX(装备库!$A$2:$Y$1047,MATCH(ROW()-1,装备库!$AO$2:$AO$1046,0),COLUMN()),"")</f>
        <v/>
      </c>
      <c r="U948" t="str">
        <f>IFERROR(INDEX(装备库!$A$2:$Y$1047,MATCH(ROW()-1,装备库!$AO$2:$AO$1046,0),COLUMN()),"")</f>
        <v/>
      </c>
      <c r="V948" t="str">
        <f>IFERROR(INDEX(装备库!$A$2:$Y$1047,MATCH(ROW()-1,装备库!$AO$2:$AO$1046,0),COLUMN()),"")</f>
        <v/>
      </c>
      <c r="W948" t="str">
        <f>IFERROR(INDEX(装备库!$A$2:$Y$1047,MATCH(ROW()-1,装备库!$AO$2:$AO$1046,0),COLUMN()),"")</f>
        <v/>
      </c>
      <c r="X948" t="str">
        <f>IFERROR(INDEX(装备库!$A$2:$Y$1047,MATCH(ROW()-1,装备库!$AO$2:$AO$1046,0),COLUMN()),"")</f>
        <v/>
      </c>
      <c r="Y948" t="str">
        <f>IFERROR(INDEX(装备库!$A$2:$Y$1047,MATCH(ROW()-1,装备库!$AO$2:$AO$1046,0),COLUMN()),"")</f>
        <v/>
      </c>
    </row>
    <row r="949" spans="1:25" x14ac:dyDescent="0.35">
      <c r="A949" t="str">
        <f>IFERROR(INDEX(装备库!$A$2:$Y$1047,MATCH(ROW()-1,装备库!$AO$2:$AO$1046,0),COLUMN()),"")</f>
        <v/>
      </c>
      <c r="B949" t="str">
        <f>IFERROR(INDEX(装备库!$A$2:$Y$1047,MATCH(ROW()-1,装备库!$AO$2:$AO$1046,0),COLUMN()),"")</f>
        <v/>
      </c>
      <c r="C949" t="str">
        <f>IFERROR(INDEX(装备库!$A$2:$Y$1047,MATCH(ROW()-1,装备库!$AO$2:$AO$1046,0),COLUMN()),"")</f>
        <v/>
      </c>
      <c r="D949" t="str">
        <f>IFERROR(INDEX(装备库!$A$2:$Y$1047,MATCH(ROW()-1,装备库!$AO$2:$AO$1046,0),COLUMN()),"")</f>
        <v/>
      </c>
      <c r="E949" t="str">
        <f>IFERROR(INDEX(装备库!$A$2:$Y$1047,MATCH(ROW()-1,装备库!$AO$2:$AO$1046,0),COLUMN()),"")</f>
        <v/>
      </c>
      <c r="F949" t="str">
        <f>IFERROR(INDEX(装备库!$A$2:$Y$1047,MATCH(ROW()-1,装备库!$AO$2:$AO$1046,0),COLUMN()),"")</f>
        <v/>
      </c>
      <c r="G949" t="str">
        <f>IFERROR(INDEX(装备库!$A$2:$Y$1047,MATCH(ROW()-1,装备库!$AO$2:$AO$1046,0),COLUMN()),"")</f>
        <v/>
      </c>
      <c r="H949" t="str">
        <f>IFERROR(INDEX(装备库!$A$2:$Y$1047,MATCH(ROW()-1,装备库!$AO$2:$AO$1046,0),COLUMN()),"")</f>
        <v/>
      </c>
      <c r="I949" t="str">
        <f>IFERROR(INDEX(装备库!$A$2:$Y$1047,MATCH(ROW()-1,装备库!$AO$2:$AO$1046,0),COLUMN()),"")</f>
        <v/>
      </c>
      <c r="J949" t="str">
        <f>IFERROR(INDEX(装备库!$A$2:$Y$1047,MATCH(ROW()-1,装备库!$AO$2:$AO$1046,0),COLUMN()),"")</f>
        <v/>
      </c>
      <c r="K949" t="str">
        <f>IFERROR(INDEX(装备库!$A$2:$Y$1047,MATCH(ROW()-1,装备库!$AO$2:$AO$1046,0),COLUMN()),"")</f>
        <v/>
      </c>
      <c r="L949" t="str">
        <f>IFERROR(INDEX(装备库!$A$2:$Y$1047,MATCH(ROW()-1,装备库!$AO$2:$AO$1046,0),COLUMN()),"")</f>
        <v/>
      </c>
      <c r="M949" t="str">
        <f>IFERROR(INDEX(装备库!$A$2:$Y$1047,MATCH(ROW()-1,装备库!$AO$2:$AO$1046,0),COLUMN()),"")</f>
        <v/>
      </c>
      <c r="N949" t="str">
        <f>IFERROR(INDEX(装备库!$A$2:$Y$1047,MATCH(ROW()-1,装备库!$AO$2:$AO$1046,0),COLUMN()),"")</f>
        <v/>
      </c>
      <c r="O949" t="str">
        <f>IFERROR(INDEX(装备库!$A$2:$Y$1047,MATCH(ROW()-1,装备库!$AO$2:$AO$1046,0),COLUMN()),"")</f>
        <v/>
      </c>
      <c r="P949" t="str">
        <f>IFERROR(INDEX(装备库!$A$2:$Y$1047,MATCH(ROW()-1,装备库!$AO$2:$AO$1046,0),COLUMN()),"")</f>
        <v/>
      </c>
      <c r="Q949" t="str">
        <f>IFERROR(INDEX(装备库!$A$2:$Y$1047,MATCH(ROW()-1,装备库!$AO$2:$AO$1046,0),COLUMN()),"")</f>
        <v/>
      </c>
      <c r="R949" t="str">
        <f>IFERROR(INDEX(装备库!$A$2:$Y$1047,MATCH(ROW()-1,装备库!$AO$2:$AO$1046,0),COLUMN()),"")</f>
        <v/>
      </c>
      <c r="S949" t="str">
        <f>IFERROR(INDEX(装备库!$A$2:$Y$1047,MATCH(ROW()-1,装备库!$AO$2:$AO$1046,0),COLUMN()),"")</f>
        <v/>
      </c>
      <c r="T949" t="str">
        <f>IFERROR(INDEX(装备库!$A$2:$Y$1047,MATCH(ROW()-1,装备库!$AO$2:$AO$1046,0),COLUMN()),"")</f>
        <v/>
      </c>
      <c r="U949" t="str">
        <f>IFERROR(INDEX(装备库!$A$2:$Y$1047,MATCH(ROW()-1,装备库!$AO$2:$AO$1046,0),COLUMN()),"")</f>
        <v/>
      </c>
      <c r="V949" t="str">
        <f>IFERROR(INDEX(装备库!$A$2:$Y$1047,MATCH(ROW()-1,装备库!$AO$2:$AO$1046,0),COLUMN()),"")</f>
        <v/>
      </c>
      <c r="W949" t="str">
        <f>IFERROR(INDEX(装备库!$A$2:$Y$1047,MATCH(ROW()-1,装备库!$AO$2:$AO$1046,0),COLUMN()),"")</f>
        <v/>
      </c>
      <c r="X949" t="str">
        <f>IFERROR(INDEX(装备库!$A$2:$Y$1047,MATCH(ROW()-1,装备库!$AO$2:$AO$1046,0),COLUMN()),"")</f>
        <v/>
      </c>
      <c r="Y949" t="str">
        <f>IFERROR(INDEX(装备库!$A$2:$Y$1047,MATCH(ROW()-1,装备库!$AO$2:$AO$1046,0),COLUMN()),"")</f>
        <v/>
      </c>
    </row>
    <row r="950" spans="1:25" x14ac:dyDescent="0.35">
      <c r="A950" t="str">
        <f>IFERROR(INDEX(装备库!$A$2:$Y$1047,MATCH(ROW()-1,装备库!$AO$2:$AO$1046,0),COLUMN()),"")</f>
        <v/>
      </c>
      <c r="B950" t="str">
        <f>IFERROR(INDEX(装备库!$A$2:$Y$1047,MATCH(ROW()-1,装备库!$AO$2:$AO$1046,0),COLUMN()),"")</f>
        <v/>
      </c>
      <c r="C950" t="str">
        <f>IFERROR(INDEX(装备库!$A$2:$Y$1047,MATCH(ROW()-1,装备库!$AO$2:$AO$1046,0),COLUMN()),"")</f>
        <v/>
      </c>
      <c r="D950" t="str">
        <f>IFERROR(INDEX(装备库!$A$2:$Y$1047,MATCH(ROW()-1,装备库!$AO$2:$AO$1046,0),COLUMN()),"")</f>
        <v/>
      </c>
      <c r="E950" t="str">
        <f>IFERROR(INDEX(装备库!$A$2:$Y$1047,MATCH(ROW()-1,装备库!$AO$2:$AO$1046,0),COLUMN()),"")</f>
        <v/>
      </c>
      <c r="F950" t="str">
        <f>IFERROR(INDEX(装备库!$A$2:$Y$1047,MATCH(ROW()-1,装备库!$AO$2:$AO$1046,0),COLUMN()),"")</f>
        <v/>
      </c>
      <c r="G950" t="str">
        <f>IFERROR(INDEX(装备库!$A$2:$Y$1047,MATCH(ROW()-1,装备库!$AO$2:$AO$1046,0),COLUMN()),"")</f>
        <v/>
      </c>
      <c r="H950" t="str">
        <f>IFERROR(INDEX(装备库!$A$2:$Y$1047,MATCH(ROW()-1,装备库!$AO$2:$AO$1046,0),COLUMN()),"")</f>
        <v/>
      </c>
      <c r="I950" t="str">
        <f>IFERROR(INDEX(装备库!$A$2:$Y$1047,MATCH(ROW()-1,装备库!$AO$2:$AO$1046,0),COLUMN()),"")</f>
        <v/>
      </c>
      <c r="J950" t="str">
        <f>IFERROR(INDEX(装备库!$A$2:$Y$1047,MATCH(ROW()-1,装备库!$AO$2:$AO$1046,0),COLUMN()),"")</f>
        <v/>
      </c>
      <c r="K950" t="str">
        <f>IFERROR(INDEX(装备库!$A$2:$Y$1047,MATCH(ROW()-1,装备库!$AO$2:$AO$1046,0),COLUMN()),"")</f>
        <v/>
      </c>
      <c r="L950" t="str">
        <f>IFERROR(INDEX(装备库!$A$2:$Y$1047,MATCH(ROW()-1,装备库!$AO$2:$AO$1046,0),COLUMN()),"")</f>
        <v/>
      </c>
      <c r="M950" t="str">
        <f>IFERROR(INDEX(装备库!$A$2:$Y$1047,MATCH(ROW()-1,装备库!$AO$2:$AO$1046,0),COLUMN()),"")</f>
        <v/>
      </c>
      <c r="N950" t="str">
        <f>IFERROR(INDEX(装备库!$A$2:$Y$1047,MATCH(ROW()-1,装备库!$AO$2:$AO$1046,0),COLUMN()),"")</f>
        <v/>
      </c>
      <c r="O950" t="str">
        <f>IFERROR(INDEX(装备库!$A$2:$Y$1047,MATCH(ROW()-1,装备库!$AO$2:$AO$1046,0),COLUMN()),"")</f>
        <v/>
      </c>
      <c r="P950" t="str">
        <f>IFERROR(INDEX(装备库!$A$2:$Y$1047,MATCH(ROW()-1,装备库!$AO$2:$AO$1046,0),COLUMN()),"")</f>
        <v/>
      </c>
      <c r="Q950" t="str">
        <f>IFERROR(INDEX(装备库!$A$2:$Y$1047,MATCH(ROW()-1,装备库!$AO$2:$AO$1046,0),COLUMN()),"")</f>
        <v/>
      </c>
      <c r="R950" t="str">
        <f>IFERROR(INDEX(装备库!$A$2:$Y$1047,MATCH(ROW()-1,装备库!$AO$2:$AO$1046,0),COLUMN()),"")</f>
        <v/>
      </c>
      <c r="S950" t="str">
        <f>IFERROR(INDEX(装备库!$A$2:$Y$1047,MATCH(ROW()-1,装备库!$AO$2:$AO$1046,0),COLUMN()),"")</f>
        <v/>
      </c>
      <c r="T950" t="str">
        <f>IFERROR(INDEX(装备库!$A$2:$Y$1047,MATCH(ROW()-1,装备库!$AO$2:$AO$1046,0),COLUMN()),"")</f>
        <v/>
      </c>
      <c r="U950" t="str">
        <f>IFERROR(INDEX(装备库!$A$2:$Y$1047,MATCH(ROW()-1,装备库!$AO$2:$AO$1046,0),COLUMN()),"")</f>
        <v/>
      </c>
      <c r="V950" t="str">
        <f>IFERROR(INDEX(装备库!$A$2:$Y$1047,MATCH(ROW()-1,装备库!$AO$2:$AO$1046,0),COLUMN()),"")</f>
        <v/>
      </c>
      <c r="W950" t="str">
        <f>IFERROR(INDEX(装备库!$A$2:$Y$1047,MATCH(ROW()-1,装备库!$AO$2:$AO$1046,0),COLUMN()),"")</f>
        <v/>
      </c>
      <c r="X950" t="str">
        <f>IFERROR(INDEX(装备库!$A$2:$Y$1047,MATCH(ROW()-1,装备库!$AO$2:$AO$1046,0),COLUMN()),"")</f>
        <v/>
      </c>
      <c r="Y950" t="str">
        <f>IFERROR(INDEX(装备库!$A$2:$Y$1047,MATCH(ROW()-1,装备库!$AO$2:$AO$1046,0),COLUMN()),"")</f>
        <v/>
      </c>
    </row>
    <row r="951" spans="1:25" x14ac:dyDescent="0.35">
      <c r="A951" t="str">
        <f>IFERROR(INDEX(装备库!$A$2:$Y$1047,MATCH(ROW()-1,装备库!$AO$2:$AO$1046,0),COLUMN()),"")</f>
        <v/>
      </c>
      <c r="B951" t="str">
        <f>IFERROR(INDEX(装备库!$A$2:$Y$1047,MATCH(ROW()-1,装备库!$AO$2:$AO$1046,0),COLUMN()),"")</f>
        <v/>
      </c>
      <c r="C951" t="str">
        <f>IFERROR(INDEX(装备库!$A$2:$Y$1047,MATCH(ROW()-1,装备库!$AO$2:$AO$1046,0),COLUMN()),"")</f>
        <v/>
      </c>
      <c r="D951" t="str">
        <f>IFERROR(INDEX(装备库!$A$2:$Y$1047,MATCH(ROW()-1,装备库!$AO$2:$AO$1046,0),COLUMN()),"")</f>
        <v/>
      </c>
      <c r="E951" t="str">
        <f>IFERROR(INDEX(装备库!$A$2:$Y$1047,MATCH(ROW()-1,装备库!$AO$2:$AO$1046,0),COLUMN()),"")</f>
        <v/>
      </c>
      <c r="F951" t="str">
        <f>IFERROR(INDEX(装备库!$A$2:$Y$1047,MATCH(ROW()-1,装备库!$AO$2:$AO$1046,0),COLUMN()),"")</f>
        <v/>
      </c>
      <c r="G951" t="str">
        <f>IFERROR(INDEX(装备库!$A$2:$Y$1047,MATCH(ROW()-1,装备库!$AO$2:$AO$1046,0),COLUMN()),"")</f>
        <v/>
      </c>
      <c r="H951" t="str">
        <f>IFERROR(INDEX(装备库!$A$2:$Y$1047,MATCH(ROW()-1,装备库!$AO$2:$AO$1046,0),COLUMN()),"")</f>
        <v/>
      </c>
      <c r="I951" t="str">
        <f>IFERROR(INDEX(装备库!$A$2:$Y$1047,MATCH(ROW()-1,装备库!$AO$2:$AO$1046,0),COLUMN()),"")</f>
        <v/>
      </c>
      <c r="J951" t="str">
        <f>IFERROR(INDEX(装备库!$A$2:$Y$1047,MATCH(ROW()-1,装备库!$AO$2:$AO$1046,0),COLUMN()),"")</f>
        <v/>
      </c>
      <c r="K951" t="str">
        <f>IFERROR(INDEX(装备库!$A$2:$Y$1047,MATCH(ROW()-1,装备库!$AO$2:$AO$1046,0),COLUMN()),"")</f>
        <v/>
      </c>
      <c r="L951" t="str">
        <f>IFERROR(INDEX(装备库!$A$2:$Y$1047,MATCH(ROW()-1,装备库!$AO$2:$AO$1046,0),COLUMN()),"")</f>
        <v/>
      </c>
      <c r="M951" t="str">
        <f>IFERROR(INDEX(装备库!$A$2:$Y$1047,MATCH(ROW()-1,装备库!$AO$2:$AO$1046,0),COLUMN()),"")</f>
        <v/>
      </c>
      <c r="N951" t="str">
        <f>IFERROR(INDEX(装备库!$A$2:$Y$1047,MATCH(ROW()-1,装备库!$AO$2:$AO$1046,0),COLUMN()),"")</f>
        <v/>
      </c>
      <c r="O951" t="str">
        <f>IFERROR(INDEX(装备库!$A$2:$Y$1047,MATCH(ROW()-1,装备库!$AO$2:$AO$1046,0),COLUMN()),"")</f>
        <v/>
      </c>
      <c r="P951" t="str">
        <f>IFERROR(INDEX(装备库!$A$2:$Y$1047,MATCH(ROW()-1,装备库!$AO$2:$AO$1046,0),COLUMN()),"")</f>
        <v/>
      </c>
      <c r="Q951" t="str">
        <f>IFERROR(INDEX(装备库!$A$2:$Y$1047,MATCH(ROW()-1,装备库!$AO$2:$AO$1046,0),COLUMN()),"")</f>
        <v/>
      </c>
      <c r="R951" t="str">
        <f>IFERROR(INDEX(装备库!$A$2:$Y$1047,MATCH(ROW()-1,装备库!$AO$2:$AO$1046,0),COLUMN()),"")</f>
        <v/>
      </c>
      <c r="S951" t="str">
        <f>IFERROR(INDEX(装备库!$A$2:$Y$1047,MATCH(ROW()-1,装备库!$AO$2:$AO$1046,0),COLUMN()),"")</f>
        <v/>
      </c>
      <c r="T951" t="str">
        <f>IFERROR(INDEX(装备库!$A$2:$Y$1047,MATCH(ROW()-1,装备库!$AO$2:$AO$1046,0),COLUMN()),"")</f>
        <v/>
      </c>
      <c r="U951" t="str">
        <f>IFERROR(INDEX(装备库!$A$2:$Y$1047,MATCH(ROW()-1,装备库!$AO$2:$AO$1046,0),COLUMN()),"")</f>
        <v/>
      </c>
      <c r="V951" t="str">
        <f>IFERROR(INDEX(装备库!$A$2:$Y$1047,MATCH(ROW()-1,装备库!$AO$2:$AO$1046,0),COLUMN()),"")</f>
        <v/>
      </c>
      <c r="W951" t="str">
        <f>IFERROR(INDEX(装备库!$A$2:$Y$1047,MATCH(ROW()-1,装备库!$AO$2:$AO$1046,0),COLUMN()),"")</f>
        <v/>
      </c>
      <c r="X951" t="str">
        <f>IFERROR(INDEX(装备库!$A$2:$Y$1047,MATCH(ROW()-1,装备库!$AO$2:$AO$1046,0),COLUMN()),"")</f>
        <v/>
      </c>
      <c r="Y951" t="str">
        <f>IFERROR(INDEX(装备库!$A$2:$Y$1047,MATCH(ROW()-1,装备库!$AO$2:$AO$1046,0),COLUMN()),"")</f>
        <v/>
      </c>
    </row>
    <row r="952" spans="1:25" x14ac:dyDescent="0.35">
      <c r="A952" t="str">
        <f>IFERROR(INDEX(装备库!$A$2:$Y$1047,MATCH(ROW()-1,装备库!$AO$2:$AO$1046,0),COLUMN()),"")</f>
        <v/>
      </c>
      <c r="B952" t="str">
        <f>IFERROR(INDEX(装备库!$A$2:$Y$1047,MATCH(ROW()-1,装备库!$AO$2:$AO$1046,0),COLUMN()),"")</f>
        <v/>
      </c>
      <c r="C952" t="str">
        <f>IFERROR(INDEX(装备库!$A$2:$Y$1047,MATCH(ROW()-1,装备库!$AO$2:$AO$1046,0),COLUMN()),"")</f>
        <v/>
      </c>
      <c r="D952" t="str">
        <f>IFERROR(INDEX(装备库!$A$2:$Y$1047,MATCH(ROW()-1,装备库!$AO$2:$AO$1046,0),COLUMN()),"")</f>
        <v/>
      </c>
      <c r="E952" t="str">
        <f>IFERROR(INDEX(装备库!$A$2:$Y$1047,MATCH(ROW()-1,装备库!$AO$2:$AO$1046,0),COLUMN()),"")</f>
        <v/>
      </c>
      <c r="F952" t="str">
        <f>IFERROR(INDEX(装备库!$A$2:$Y$1047,MATCH(ROW()-1,装备库!$AO$2:$AO$1046,0),COLUMN()),"")</f>
        <v/>
      </c>
      <c r="G952" t="str">
        <f>IFERROR(INDEX(装备库!$A$2:$Y$1047,MATCH(ROW()-1,装备库!$AO$2:$AO$1046,0),COLUMN()),"")</f>
        <v/>
      </c>
      <c r="H952" t="str">
        <f>IFERROR(INDEX(装备库!$A$2:$Y$1047,MATCH(ROW()-1,装备库!$AO$2:$AO$1046,0),COLUMN()),"")</f>
        <v/>
      </c>
      <c r="I952" t="str">
        <f>IFERROR(INDEX(装备库!$A$2:$Y$1047,MATCH(ROW()-1,装备库!$AO$2:$AO$1046,0),COLUMN()),"")</f>
        <v/>
      </c>
      <c r="J952" t="str">
        <f>IFERROR(INDEX(装备库!$A$2:$Y$1047,MATCH(ROW()-1,装备库!$AO$2:$AO$1046,0),COLUMN()),"")</f>
        <v/>
      </c>
      <c r="K952" t="str">
        <f>IFERROR(INDEX(装备库!$A$2:$Y$1047,MATCH(ROW()-1,装备库!$AO$2:$AO$1046,0),COLUMN()),"")</f>
        <v/>
      </c>
      <c r="L952" t="str">
        <f>IFERROR(INDEX(装备库!$A$2:$Y$1047,MATCH(ROW()-1,装备库!$AO$2:$AO$1046,0),COLUMN()),"")</f>
        <v/>
      </c>
      <c r="M952" t="str">
        <f>IFERROR(INDEX(装备库!$A$2:$Y$1047,MATCH(ROW()-1,装备库!$AO$2:$AO$1046,0),COLUMN()),"")</f>
        <v/>
      </c>
      <c r="N952" t="str">
        <f>IFERROR(INDEX(装备库!$A$2:$Y$1047,MATCH(ROW()-1,装备库!$AO$2:$AO$1046,0),COLUMN()),"")</f>
        <v/>
      </c>
      <c r="O952" t="str">
        <f>IFERROR(INDEX(装备库!$A$2:$Y$1047,MATCH(ROW()-1,装备库!$AO$2:$AO$1046,0),COLUMN()),"")</f>
        <v/>
      </c>
      <c r="P952" t="str">
        <f>IFERROR(INDEX(装备库!$A$2:$Y$1047,MATCH(ROW()-1,装备库!$AO$2:$AO$1046,0),COLUMN()),"")</f>
        <v/>
      </c>
      <c r="Q952" t="str">
        <f>IFERROR(INDEX(装备库!$A$2:$Y$1047,MATCH(ROW()-1,装备库!$AO$2:$AO$1046,0),COLUMN()),"")</f>
        <v/>
      </c>
      <c r="R952" t="str">
        <f>IFERROR(INDEX(装备库!$A$2:$Y$1047,MATCH(ROW()-1,装备库!$AO$2:$AO$1046,0),COLUMN()),"")</f>
        <v/>
      </c>
      <c r="S952" t="str">
        <f>IFERROR(INDEX(装备库!$A$2:$Y$1047,MATCH(ROW()-1,装备库!$AO$2:$AO$1046,0),COLUMN()),"")</f>
        <v/>
      </c>
      <c r="T952" t="str">
        <f>IFERROR(INDEX(装备库!$A$2:$Y$1047,MATCH(ROW()-1,装备库!$AO$2:$AO$1046,0),COLUMN()),"")</f>
        <v/>
      </c>
      <c r="U952" t="str">
        <f>IFERROR(INDEX(装备库!$A$2:$Y$1047,MATCH(ROW()-1,装备库!$AO$2:$AO$1046,0),COLUMN()),"")</f>
        <v/>
      </c>
      <c r="V952" t="str">
        <f>IFERROR(INDEX(装备库!$A$2:$Y$1047,MATCH(ROW()-1,装备库!$AO$2:$AO$1046,0),COLUMN()),"")</f>
        <v/>
      </c>
      <c r="W952" t="str">
        <f>IFERROR(INDEX(装备库!$A$2:$Y$1047,MATCH(ROW()-1,装备库!$AO$2:$AO$1046,0),COLUMN()),"")</f>
        <v/>
      </c>
      <c r="X952" t="str">
        <f>IFERROR(INDEX(装备库!$A$2:$Y$1047,MATCH(ROW()-1,装备库!$AO$2:$AO$1046,0),COLUMN()),"")</f>
        <v/>
      </c>
      <c r="Y952" t="str">
        <f>IFERROR(INDEX(装备库!$A$2:$Y$1047,MATCH(ROW()-1,装备库!$AO$2:$AO$1046,0),COLUMN()),"")</f>
        <v/>
      </c>
    </row>
    <row r="953" spans="1:25" x14ac:dyDescent="0.35">
      <c r="A953" t="str">
        <f>IFERROR(INDEX(装备库!$A$2:$Y$1047,MATCH(ROW()-1,装备库!$AO$2:$AO$1046,0),COLUMN()),"")</f>
        <v/>
      </c>
      <c r="B953" t="str">
        <f>IFERROR(INDEX(装备库!$A$2:$Y$1047,MATCH(ROW()-1,装备库!$AO$2:$AO$1046,0),COLUMN()),"")</f>
        <v/>
      </c>
      <c r="C953" t="str">
        <f>IFERROR(INDEX(装备库!$A$2:$Y$1047,MATCH(ROW()-1,装备库!$AO$2:$AO$1046,0),COLUMN()),"")</f>
        <v/>
      </c>
      <c r="D953" t="str">
        <f>IFERROR(INDEX(装备库!$A$2:$Y$1047,MATCH(ROW()-1,装备库!$AO$2:$AO$1046,0),COLUMN()),"")</f>
        <v/>
      </c>
      <c r="E953" t="str">
        <f>IFERROR(INDEX(装备库!$A$2:$Y$1047,MATCH(ROW()-1,装备库!$AO$2:$AO$1046,0),COLUMN()),"")</f>
        <v/>
      </c>
      <c r="F953" t="str">
        <f>IFERROR(INDEX(装备库!$A$2:$Y$1047,MATCH(ROW()-1,装备库!$AO$2:$AO$1046,0),COLUMN()),"")</f>
        <v/>
      </c>
      <c r="G953" t="str">
        <f>IFERROR(INDEX(装备库!$A$2:$Y$1047,MATCH(ROW()-1,装备库!$AO$2:$AO$1046,0),COLUMN()),"")</f>
        <v/>
      </c>
      <c r="H953" t="str">
        <f>IFERROR(INDEX(装备库!$A$2:$Y$1047,MATCH(ROW()-1,装备库!$AO$2:$AO$1046,0),COLUMN()),"")</f>
        <v/>
      </c>
      <c r="I953" t="str">
        <f>IFERROR(INDEX(装备库!$A$2:$Y$1047,MATCH(ROW()-1,装备库!$AO$2:$AO$1046,0),COLUMN()),"")</f>
        <v/>
      </c>
      <c r="J953" t="str">
        <f>IFERROR(INDEX(装备库!$A$2:$Y$1047,MATCH(ROW()-1,装备库!$AO$2:$AO$1046,0),COLUMN()),"")</f>
        <v/>
      </c>
      <c r="K953" t="str">
        <f>IFERROR(INDEX(装备库!$A$2:$Y$1047,MATCH(ROW()-1,装备库!$AO$2:$AO$1046,0),COLUMN()),"")</f>
        <v/>
      </c>
      <c r="L953" t="str">
        <f>IFERROR(INDEX(装备库!$A$2:$Y$1047,MATCH(ROW()-1,装备库!$AO$2:$AO$1046,0),COLUMN()),"")</f>
        <v/>
      </c>
      <c r="M953" t="str">
        <f>IFERROR(INDEX(装备库!$A$2:$Y$1047,MATCH(ROW()-1,装备库!$AO$2:$AO$1046,0),COLUMN()),"")</f>
        <v/>
      </c>
      <c r="N953" t="str">
        <f>IFERROR(INDEX(装备库!$A$2:$Y$1047,MATCH(ROW()-1,装备库!$AO$2:$AO$1046,0),COLUMN()),"")</f>
        <v/>
      </c>
      <c r="O953" t="str">
        <f>IFERROR(INDEX(装备库!$A$2:$Y$1047,MATCH(ROW()-1,装备库!$AO$2:$AO$1046,0),COLUMN()),"")</f>
        <v/>
      </c>
      <c r="P953" t="str">
        <f>IFERROR(INDEX(装备库!$A$2:$Y$1047,MATCH(ROW()-1,装备库!$AO$2:$AO$1046,0),COLUMN()),"")</f>
        <v/>
      </c>
      <c r="Q953" t="str">
        <f>IFERROR(INDEX(装备库!$A$2:$Y$1047,MATCH(ROW()-1,装备库!$AO$2:$AO$1046,0),COLUMN()),"")</f>
        <v/>
      </c>
      <c r="R953" t="str">
        <f>IFERROR(INDEX(装备库!$A$2:$Y$1047,MATCH(ROW()-1,装备库!$AO$2:$AO$1046,0),COLUMN()),"")</f>
        <v/>
      </c>
      <c r="S953" t="str">
        <f>IFERROR(INDEX(装备库!$A$2:$Y$1047,MATCH(ROW()-1,装备库!$AO$2:$AO$1046,0),COLUMN()),"")</f>
        <v/>
      </c>
      <c r="T953" t="str">
        <f>IFERROR(INDEX(装备库!$A$2:$Y$1047,MATCH(ROW()-1,装备库!$AO$2:$AO$1046,0),COLUMN()),"")</f>
        <v/>
      </c>
      <c r="U953" t="str">
        <f>IFERROR(INDEX(装备库!$A$2:$Y$1047,MATCH(ROW()-1,装备库!$AO$2:$AO$1046,0),COLUMN()),"")</f>
        <v/>
      </c>
      <c r="V953" t="str">
        <f>IFERROR(INDEX(装备库!$A$2:$Y$1047,MATCH(ROW()-1,装备库!$AO$2:$AO$1046,0),COLUMN()),"")</f>
        <v/>
      </c>
      <c r="W953" t="str">
        <f>IFERROR(INDEX(装备库!$A$2:$Y$1047,MATCH(ROW()-1,装备库!$AO$2:$AO$1046,0),COLUMN()),"")</f>
        <v/>
      </c>
      <c r="X953" t="str">
        <f>IFERROR(INDEX(装备库!$A$2:$Y$1047,MATCH(ROW()-1,装备库!$AO$2:$AO$1046,0),COLUMN()),"")</f>
        <v/>
      </c>
      <c r="Y953" t="str">
        <f>IFERROR(INDEX(装备库!$A$2:$Y$1047,MATCH(ROW()-1,装备库!$AO$2:$AO$1046,0),COLUMN()),"")</f>
        <v/>
      </c>
    </row>
    <row r="954" spans="1:25" x14ac:dyDescent="0.35">
      <c r="A954" t="str">
        <f>IFERROR(INDEX(装备库!$A$2:$Y$1047,MATCH(ROW()-1,装备库!$AO$2:$AO$1046,0),COLUMN()),"")</f>
        <v/>
      </c>
      <c r="B954" t="str">
        <f>IFERROR(INDEX(装备库!$A$2:$Y$1047,MATCH(ROW()-1,装备库!$AO$2:$AO$1046,0),COLUMN()),"")</f>
        <v/>
      </c>
      <c r="C954" t="str">
        <f>IFERROR(INDEX(装备库!$A$2:$Y$1047,MATCH(ROW()-1,装备库!$AO$2:$AO$1046,0),COLUMN()),"")</f>
        <v/>
      </c>
      <c r="D954" t="str">
        <f>IFERROR(INDEX(装备库!$A$2:$Y$1047,MATCH(ROW()-1,装备库!$AO$2:$AO$1046,0),COLUMN()),"")</f>
        <v/>
      </c>
      <c r="E954" t="str">
        <f>IFERROR(INDEX(装备库!$A$2:$Y$1047,MATCH(ROW()-1,装备库!$AO$2:$AO$1046,0),COLUMN()),"")</f>
        <v/>
      </c>
      <c r="F954" t="str">
        <f>IFERROR(INDEX(装备库!$A$2:$Y$1047,MATCH(ROW()-1,装备库!$AO$2:$AO$1046,0),COLUMN()),"")</f>
        <v/>
      </c>
      <c r="G954" t="str">
        <f>IFERROR(INDEX(装备库!$A$2:$Y$1047,MATCH(ROW()-1,装备库!$AO$2:$AO$1046,0),COLUMN()),"")</f>
        <v/>
      </c>
      <c r="H954" t="str">
        <f>IFERROR(INDEX(装备库!$A$2:$Y$1047,MATCH(ROW()-1,装备库!$AO$2:$AO$1046,0),COLUMN()),"")</f>
        <v/>
      </c>
      <c r="I954" t="str">
        <f>IFERROR(INDEX(装备库!$A$2:$Y$1047,MATCH(ROW()-1,装备库!$AO$2:$AO$1046,0),COLUMN()),"")</f>
        <v/>
      </c>
      <c r="J954" t="str">
        <f>IFERROR(INDEX(装备库!$A$2:$Y$1047,MATCH(ROW()-1,装备库!$AO$2:$AO$1046,0),COLUMN()),"")</f>
        <v/>
      </c>
      <c r="K954" t="str">
        <f>IFERROR(INDEX(装备库!$A$2:$Y$1047,MATCH(ROW()-1,装备库!$AO$2:$AO$1046,0),COLUMN()),"")</f>
        <v/>
      </c>
      <c r="L954" t="str">
        <f>IFERROR(INDEX(装备库!$A$2:$Y$1047,MATCH(ROW()-1,装备库!$AO$2:$AO$1046,0),COLUMN()),"")</f>
        <v/>
      </c>
      <c r="M954" t="str">
        <f>IFERROR(INDEX(装备库!$A$2:$Y$1047,MATCH(ROW()-1,装备库!$AO$2:$AO$1046,0),COLUMN()),"")</f>
        <v/>
      </c>
      <c r="N954" t="str">
        <f>IFERROR(INDEX(装备库!$A$2:$Y$1047,MATCH(ROW()-1,装备库!$AO$2:$AO$1046,0),COLUMN()),"")</f>
        <v/>
      </c>
      <c r="O954" t="str">
        <f>IFERROR(INDEX(装备库!$A$2:$Y$1047,MATCH(ROW()-1,装备库!$AO$2:$AO$1046,0),COLUMN()),"")</f>
        <v/>
      </c>
      <c r="P954" t="str">
        <f>IFERROR(INDEX(装备库!$A$2:$Y$1047,MATCH(ROW()-1,装备库!$AO$2:$AO$1046,0),COLUMN()),"")</f>
        <v/>
      </c>
      <c r="Q954" t="str">
        <f>IFERROR(INDEX(装备库!$A$2:$Y$1047,MATCH(ROW()-1,装备库!$AO$2:$AO$1046,0),COLUMN()),"")</f>
        <v/>
      </c>
      <c r="R954" t="str">
        <f>IFERROR(INDEX(装备库!$A$2:$Y$1047,MATCH(ROW()-1,装备库!$AO$2:$AO$1046,0),COLUMN()),"")</f>
        <v/>
      </c>
      <c r="S954" t="str">
        <f>IFERROR(INDEX(装备库!$A$2:$Y$1047,MATCH(ROW()-1,装备库!$AO$2:$AO$1046,0),COLUMN()),"")</f>
        <v/>
      </c>
      <c r="T954" t="str">
        <f>IFERROR(INDEX(装备库!$A$2:$Y$1047,MATCH(ROW()-1,装备库!$AO$2:$AO$1046,0),COLUMN()),"")</f>
        <v/>
      </c>
      <c r="U954" t="str">
        <f>IFERROR(INDEX(装备库!$A$2:$Y$1047,MATCH(ROW()-1,装备库!$AO$2:$AO$1046,0),COLUMN()),"")</f>
        <v/>
      </c>
      <c r="V954" t="str">
        <f>IFERROR(INDEX(装备库!$A$2:$Y$1047,MATCH(ROW()-1,装备库!$AO$2:$AO$1046,0),COLUMN()),"")</f>
        <v/>
      </c>
      <c r="W954" t="str">
        <f>IFERROR(INDEX(装备库!$A$2:$Y$1047,MATCH(ROW()-1,装备库!$AO$2:$AO$1046,0),COLUMN()),"")</f>
        <v/>
      </c>
      <c r="X954" t="str">
        <f>IFERROR(INDEX(装备库!$A$2:$Y$1047,MATCH(ROW()-1,装备库!$AO$2:$AO$1046,0),COLUMN()),"")</f>
        <v/>
      </c>
      <c r="Y954" t="str">
        <f>IFERROR(INDEX(装备库!$A$2:$Y$1047,MATCH(ROW()-1,装备库!$AO$2:$AO$1046,0),COLUMN()),"")</f>
        <v/>
      </c>
    </row>
    <row r="955" spans="1:25" x14ac:dyDescent="0.35">
      <c r="A955" t="str">
        <f>IFERROR(INDEX(装备库!$A$2:$Y$1047,MATCH(ROW()-1,装备库!$AO$2:$AO$1046,0),COLUMN()),"")</f>
        <v/>
      </c>
      <c r="B955" t="str">
        <f>IFERROR(INDEX(装备库!$A$2:$Y$1047,MATCH(ROW()-1,装备库!$AO$2:$AO$1046,0),COLUMN()),"")</f>
        <v/>
      </c>
      <c r="C955" t="str">
        <f>IFERROR(INDEX(装备库!$A$2:$Y$1047,MATCH(ROW()-1,装备库!$AO$2:$AO$1046,0),COLUMN()),"")</f>
        <v/>
      </c>
      <c r="D955" t="str">
        <f>IFERROR(INDEX(装备库!$A$2:$Y$1047,MATCH(ROW()-1,装备库!$AO$2:$AO$1046,0),COLUMN()),"")</f>
        <v/>
      </c>
      <c r="E955" t="str">
        <f>IFERROR(INDEX(装备库!$A$2:$Y$1047,MATCH(ROW()-1,装备库!$AO$2:$AO$1046,0),COLUMN()),"")</f>
        <v/>
      </c>
      <c r="F955" t="str">
        <f>IFERROR(INDEX(装备库!$A$2:$Y$1047,MATCH(ROW()-1,装备库!$AO$2:$AO$1046,0),COLUMN()),"")</f>
        <v/>
      </c>
      <c r="G955" t="str">
        <f>IFERROR(INDEX(装备库!$A$2:$Y$1047,MATCH(ROW()-1,装备库!$AO$2:$AO$1046,0),COLUMN()),"")</f>
        <v/>
      </c>
      <c r="H955" t="str">
        <f>IFERROR(INDEX(装备库!$A$2:$Y$1047,MATCH(ROW()-1,装备库!$AO$2:$AO$1046,0),COLUMN()),"")</f>
        <v/>
      </c>
      <c r="I955" t="str">
        <f>IFERROR(INDEX(装备库!$A$2:$Y$1047,MATCH(ROW()-1,装备库!$AO$2:$AO$1046,0),COLUMN()),"")</f>
        <v/>
      </c>
      <c r="J955" t="str">
        <f>IFERROR(INDEX(装备库!$A$2:$Y$1047,MATCH(ROW()-1,装备库!$AO$2:$AO$1046,0),COLUMN()),"")</f>
        <v/>
      </c>
      <c r="K955" t="str">
        <f>IFERROR(INDEX(装备库!$A$2:$Y$1047,MATCH(ROW()-1,装备库!$AO$2:$AO$1046,0),COLUMN()),"")</f>
        <v/>
      </c>
      <c r="L955" t="str">
        <f>IFERROR(INDEX(装备库!$A$2:$Y$1047,MATCH(ROW()-1,装备库!$AO$2:$AO$1046,0),COLUMN()),"")</f>
        <v/>
      </c>
      <c r="M955" t="str">
        <f>IFERROR(INDEX(装备库!$A$2:$Y$1047,MATCH(ROW()-1,装备库!$AO$2:$AO$1046,0),COLUMN()),"")</f>
        <v/>
      </c>
      <c r="N955" t="str">
        <f>IFERROR(INDEX(装备库!$A$2:$Y$1047,MATCH(ROW()-1,装备库!$AO$2:$AO$1046,0),COLUMN()),"")</f>
        <v/>
      </c>
      <c r="O955" t="str">
        <f>IFERROR(INDEX(装备库!$A$2:$Y$1047,MATCH(ROW()-1,装备库!$AO$2:$AO$1046,0),COLUMN()),"")</f>
        <v/>
      </c>
      <c r="P955" t="str">
        <f>IFERROR(INDEX(装备库!$A$2:$Y$1047,MATCH(ROW()-1,装备库!$AO$2:$AO$1046,0),COLUMN()),"")</f>
        <v/>
      </c>
      <c r="Q955" t="str">
        <f>IFERROR(INDEX(装备库!$A$2:$Y$1047,MATCH(ROW()-1,装备库!$AO$2:$AO$1046,0),COLUMN()),"")</f>
        <v/>
      </c>
      <c r="R955" t="str">
        <f>IFERROR(INDEX(装备库!$A$2:$Y$1047,MATCH(ROW()-1,装备库!$AO$2:$AO$1046,0),COLUMN()),"")</f>
        <v/>
      </c>
      <c r="S955" t="str">
        <f>IFERROR(INDEX(装备库!$A$2:$Y$1047,MATCH(ROW()-1,装备库!$AO$2:$AO$1046,0),COLUMN()),"")</f>
        <v/>
      </c>
      <c r="T955" t="str">
        <f>IFERROR(INDEX(装备库!$A$2:$Y$1047,MATCH(ROW()-1,装备库!$AO$2:$AO$1046,0),COLUMN()),"")</f>
        <v/>
      </c>
      <c r="U955" t="str">
        <f>IFERROR(INDEX(装备库!$A$2:$Y$1047,MATCH(ROW()-1,装备库!$AO$2:$AO$1046,0),COLUMN()),"")</f>
        <v/>
      </c>
      <c r="V955" t="str">
        <f>IFERROR(INDEX(装备库!$A$2:$Y$1047,MATCH(ROW()-1,装备库!$AO$2:$AO$1046,0),COLUMN()),"")</f>
        <v/>
      </c>
      <c r="W955" t="str">
        <f>IFERROR(INDEX(装备库!$A$2:$Y$1047,MATCH(ROW()-1,装备库!$AO$2:$AO$1046,0),COLUMN()),"")</f>
        <v/>
      </c>
      <c r="X955" t="str">
        <f>IFERROR(INDEX(装备库!$A$2:$Y$1047,MATCH(ROW()-1,装备库!$AO$2:$AO$1046,0),COLUMN()),"")</f>
        <v/>
      </c>
      <c r="Y955" t="str">
        <f>IFERROR(INDEX(装备库!$A$2:$Y$1047,MATCH(ROW()-1,装备库!$AO$2:$AO$1046,0),COLUMN()),"")</f>
        <v/>
      </c>
    </row>
    <row r="956" spans="1:25" x14ac:dyDescent="0.35">
      <c r="A956" t="str">
        <f>IFERROR(INDEX(装备库!$A$2:$Y$1047,MATCH(ROW()-1,装备库!$AO$2:$AO$1046,0),COLUMN()),"")</f>
        <v/>
      </c>
      <c r="B956" t="str">
        <f>IFERROR(INDEX(装备库!$A$2:$Y$1047,MATCH(ROW()-1,装备库!$AO$2:$AO$1046,0),COLUMN()),"")</f>
        <v/>
      </c>
      <c r="C956" t="str">
        <f>IFERROR(INDEX(装备库!$A$2:$Y$1047,MATCH(ROW()-1,装备库!$AO$2:$AO$1046,0),COLUMN()),"")</f>
        <v/>
      </c>
      <c r="D956" t="str">
        <f>IFERROR(INDEX(装备库!$A$2:$Y$1047,MATCH(ROW()-1,装备库!$AO$2:$AO$1046,0),COLUMN()),"")</f>
        <v/>
      </c>
      <c r="E956" t="str">
        <f>IFERROR(INDEX(装备库!$A$2:$Y$1047,MATCH(ROW()-1,装备库!$AO$2:$AO$1046,0),COLUMN()),"")</f>
        <v/>
      </c>
      <c r="F956" t="str">
        <f>IFERROR(INDEX(装备库!$A$2:$Y$1047,MATCH(ROW()-1,装备库!$AO$2:$AO$1046,0),COLUMN()),"")</f>
        <v/>
      </c>
      <c r="G956" t="str">
        <f>IFERROR(INDEX(装备库!$A$2:$Y$1047,MATCH(ROW()-1,装备库!$AO$2:$AO$1046,0),COLUMN()),"")</f>
        <v/>
      </c>
      <c r="H956" t="str">
        <f>IFERROR(INDEX(装备库!$A$2:$Y$1047,MATCH(ROW()-1,装备库!$AO$2:$AO$1046,0),COLUMN()),"")</f>
        <v/>
      </c>
      <c r="I956" t="str">
        <f>IFERROR(INDEX(装备库!$A$2:$Y$1047,MATCH(ROW()-1,装备库!$AO$2:$AO$1046,0),COLUMN()),"")</f>
        <v/>
      </c>
      <c r="J956" t="str">
        <f>IFERROR(INDEX(装备库!$A$2:$Y$1047,MATCH(ROW()-1,装备库!$AO$2:$AO$1046,0),COLUMN()),"")</f>
        <v/>
      </c>
      <c r="K956" t="str">
        <f>IFERROR(INDEX(装备库!$A$2:$Y$1047,MATCH(ROW()-1,装备库!$AO$2:$AO$1046,0),COLUMN()),"")</f>
        <v/>
      </c>
      <c r="L956" t="str">
        <f>IFERROR(INDEX(装备库!$A$2:$Y$1047,MATCH(ROW()-1,装备库!$AO$2:$AO$1046,0),COLUMN()),"")</f>
        <v/>
      </c>
      <c r="M956" t="str">
        <f>IFERROR(INDEX(装备库!$A$2:$Y$1047,MATCH(ROW()-1,装备库!$AO$2:$AO$1046,0),COLUMN()),"")</f>
        <v/>
      </c>
      <c r="N956" t="str">
        <f>IFERROR(INDEX(装备库!$A$2:$Y$1047,MATCH(ROW()-1,装备库!$AO$2:$AO$1046,0),COLUMN()),"")</f>
        <v/>
      </c>
      <c r="O956" t="str">
        <f>IFERROR(INDEX(装备库!$A$2:$Y$1047,MATCH(ROW()-1,装备库!$AO$2:$AO$1046,0),COLUMN()),"")</f>
        <v/>
      </c>
      <c r="P956" t="str">
        <f>IFERROR(INDEX(装备库!$A$2:$Y$1047,MATCH(ROW()-1,装备库!$AO$2:$AO$1046,0),COLUMN()),"")</f>
        <v/>
      </c>
      <c r="Q956" t="str">
        <f>IFERROR(INDEX(装备库!$A$2:$Y$1047,MATCH(ROW()-1,装备库!$AO$2:$AO$1046,0),COLUMN()),"")</f>
        <v/>
      </c>
      <c r="R956" t="str">
        <f>IFERROR(INDEX(装备库!$A$2:$Y$1047,MATCH(ROW()-1,装备库!$AO$2:$AO$1046,0),COLUMN()),"")</f>
        <v/>
      </c>
      <c r="S956" t="str">
        <f>IFERROR(INDEX(装备库!$A$2:$Y$1047,MATCH(ROW()-1,装备库!$AO$2:$AO$1046,0),COLUMN()),"")</f>
        <v/>
      </c>
      <c r="T956" t="str">
        <f>IFERROR(INDEX(装备库!$A$2:$Y$1047,MATCH(ROW()-1,装备库!$AO$2:$AO$1046,0),COLUMN()),"")</f>
        <v/>
      </c>
      <c r="U956" t="str">
        <f>IFERROR(INDEX(装备库!$A$2:$Y$1047,MATCH(ROW()-1,装备库!$AO$2:$AO$1046,0),COLUMN()),"")</f>
        <v/>
      </c>
      <c r="V956" t="str">
        <f>IFERROR(INDEX(装备库!$A$2:$Y$1047,MATCH(ROW()-1,装备库!$AO$2:$AO$1046,0),COLUMN()),"")</f>
        <v/>
      </c>
      <c r="W956" t="str">
        <f>IFERROR(INDEX(装备库!$A$2:$Y$1047,MATCH(ROW()-1,装备库!$AO$2:$AO$1046,0),COLUMN()),"")</f>
        <v/>
      </c>
      <c r="X956" t="str">
        <f>IFERROR(INDEX(装备库!$A$2:$Y$1047,MATCH(ROW()-1,装备库!$AO$2:$AO$1046,0),COLUMN()),"")</f>
        <v/>
      </c>
      <c r="Y956" t="str">
        <f>IFERROR(INDEX(装备库!$A$2:$Y$1047,MATCH(ROW()-1,装备库!$AO$2:$AO$1046,0),COLUMN()),"")</f>
        <v/>
      </c>
    </row>
    <row r="957" spans="1:25" x14ac:dyDescent="0.35">
      <c r="A957" t="str">
        <f>IFERROR(INDEX(装备库!$A$2:$Y$1047,MATCH(ROW()-1,装备库!$AO$2:$AO$1046,0),COLUMN()),"")</f>
        <v/>
      </c>
      <c r="B957" t="str">
        <f>IFERROR(INDEX(装备库!$A$2:$Y$1047,MATCH(ROW()-1,装备库!$AO$2:$AO$1046,0),COLUMN()),"")</f>
        <v/>
      </c>
      <c r="C957" t="str">
        <f>IFERROR(INDEX(装备库!$A$2:$Y$1047,MATCH(ROW()-1,装备库!$AO$2:$AO$1046,0),COLUMN()),"")</f>
        <v/>
      </c>
      <c r="D957" t="str">
        <f>IFERROR(INDEX(装备库!$A$2:$Y$1047,MATCH(ROW()-1,装备库!$AO$2:$AO$1046,0),COLUMN()),"")</f>
        <v/>
      </c>
      <c r="E957" t="str">
        <f>IFERROR(INDEX(装备库!$A$2:$Y$1047,MATCH(ROW()-1,装备库!$AO$2:$AO$1046,0),COLUMN()),"")</f>
        <v/>
      </c>
      <c r="F957" t="str">
        <f>IFERROR(INDEX(装备库!$A$2:$Y$1047,MATCH(ROW()-1,装备库!$AO$2:$AO$1046,0),COLUMN()),"")</f>
        <v/>
      </c>
      <c r="G957" t="str">
        <f>IFERROR(INDEX(装备库!$A$2:$Y$1047,MATCH(ROW()-1,装备库!$AO$2:$AO$1046,0),COLUMN()),"")</f>
        <v/>
      </c>
      <c r="H957" t="str">
        <f>IFERROR(INDEX(装备库!$A$2:$Y$1047,MATCH(ROW()-1,装备库!$AO$2:$AO$1046,0),COLUMN()),"")</f>
        <v/>
      </c>
      <c r="I957" t="str">
        <f>IFERROR(INDEX(装备库!$A$2:$Y$1047,MATCH(ROW()-1,装备库!$AO$2:$AO$1046,0),COLUMN()),"")</f>
        <v/>
      </c>
      <c r="J957" t="str">
        <f>IFERROR(INDEX(装备库!$A$2:$Y$1047,MATCH(ROW()-1,装备库!$AO$2:$AO$1046,0),COLUMN()),"")</f>
        <v/>
      </c>
      <c r="K957" t="str">
        <f>IFERROR(INDEX(装备库!$A$2:$Y$1047,MATCH(ROW()-1,装备库!$AO$2:$AO$1046,0),COLUMN()),"")</f>
        <v/>
      </c>
      <c r="L957" t="str">
        <f>IFERROR(INDEX(装备库!$A$2:$Y$1047,MATCH(ROW()-1,装备库!$AO$2:$AO$1046,0),COLUMN()),"")</f>
        <v/>
      </c>
      <c r="M957" t="str">
        <f>IFERROR(INDEX(装备库!$A$2:$Y$1047,MATCH(ROW()-1,装备库!$AO$2:$AO$1046,0),COLUMN()),"")</f>
        <v/>
      </c>
      <c r="N957" t="str">
        <f>IFERROR(INDEX(装备库!$A$2:$Y$1047,MATCH(ROW()-1,装备库!$AO$2:$AO$1046,0),COLUMN()),"")</f>
        <v/>
      </c>
      <c r="O957" t="str">
        <f>IFERROR(INDEX(装备库!$A$2:$Y$1047,MATCH(ROW()-1,装备库!$AO$2:$AO$1046,0),COLUMN()),"")</f>
        <v/>
      </c>
      <c r="P957" t="str">
        <f>IFERROR(INDEX(装备库!$A$2:$Y$1047,MATCH(ROW()-1,装备库!$AO$2:$AO$1046,0),COLUMN()),"")</f>
        <v/>
      </c>
      <c r="Q957" t="str">
        <f>IFERROR(INDEX(装备库!$A$2:$Y$1047,MATCH(ROW()-1,装备库!$AO$2:$AO$1046,0),COLUMN()),"")</f>
        <v/>
      </c>
      <c r="R957" t="str">
        <f>IFERROR(INDEX(装备库!$A$2:$Y$1047,MATCH(ROW()-1,装备库!$AO$2:$AO$1046,0),COLUMN()),"")</f>
        <v/>
      </c>
      <c r="S957" t="str">
        <f>IFERROR(INDEX(装备库!$A$2:$Y$1047,MATCH(ROW()-1,装备库!$AO$2:$AO$1046,0),COLUMN()),"")</f>
        <v/>
      </c>
      <c r="T957" t="str">
        <f>IFERROR(INDEX(装备库!$A$2:$Y$1047,MATCH(ROW()-1,装备库!$AO$2:$AO$1046,0),COLUMN()),"")</f>
        <v/>
      </c>
      <c r="U957" t="str">
        <f>IFERROR(INDEX(装备库!$A$2:$Y$1047,MATCH(ROW()-1,装备库!$AO$2:$AO$1046,0),COLUMN()),"")</f>
        <v/>
      </c>
      <c r="V957" t="str">
        <f>IFERROR(INDEX(装备库!$A$2:$Y$1047,MATCH(ROW()-1,装备库!$AO$2:$AO$1046,0),COLUMN()),"")</f>
        <v/>
      </c>
      <c r="W957" t="str">
        <f>IFERROR(INDEX(装备库!$A$2:$Y$1047,MATCH(ROW()-1,装备库!$AO$2:$AO$1046,0),COLUMN()),"")</f>
        <v/>
      </c>
      <c r="X957" t="str">
        <f>IFERROR(INDEX(装备库!$A$2:$Y$1047,MATCH(ROW()-1,装备库!$AO$2:$AO$1046,0),COLUMN()),"")</f>
        <v/>
      </c>
      <c r="Y957" t="str">
        <f>IFERROR(INDEX(装备库!$A$2:$Y$1047,MATCH(ROW()-1,装备库!$AO$2:$AO$1046,0),COLUMN()),"")</f>
        <v/>
      </c>
    </row>
    <row r="958" spans="1:25" x14ac:dyDescent="0.35">
      <c r="A958" t="str">
        <f>IFERROR(INDEX(装备库!$A$2:$Y$1047,MATCH(ROW()-1,装备库!$AO$2:$AO$1046,0),COLUMN()),"")</f>
        <v/>
      </c>
      <c r="B958" t="str">
        <f>IFERROR(INDEX(装备库!$A$2:$Y$1047,MATCH(ROW()-1,装备库!$AO$2:$AO$1046,0),COLUMN()),"")</f>
        <v/>
      </c>
      <c r="C958" t="str">
        <f>IFERROR(INDEX(装备库!$A$2:$Y$1047,MATCH(ROW()-1,装备库!$AO$2:$AO$1046,0),COLUMN()),"")</f>
        <v/>
      </c>
      <c r="D958" t="str">
        <f>IFERROR(INDEX(装备库!$A$2:$Y$1047,MATCH(ROW()-1,装备库!$AO$2:$AO$1046,0),COLUMN()),"")</f>
        <v/>
      </c>
      <c r="E958" t="str">
        <f>IFERROR(INDEX(装备库!$A$2:$Y$1047,MATCH(ROW()-1,装备库!$AO$2:$AO$1046,0),COLUMN()),"")</f>
        <v/>
      </c>
      <c r="F958" t="str">
        <f>IFERROR(INDEX(装备库!$A$2:$Y$1047,MATCH(ROW()-1,装备库!$AO$2:$AO$1046,0),COLUMN()),"")</f>
        <v/>
      </c>
      <c r="G958" t="str">
        <f>IFERROR(INDEX(装备库!$A$2:$Y$1047,MATCH(ROW()-1,装备库!$AO$2:$AO$1046,0),COLUMN()),"")</f>
        <v/>
      </c>
      <c r="H958" t="str">
        <f>IFERROR(INDEX(装备库!$A$2:$Y$1047,MATCH(ROW()-1,装备库!$AO$2:$AO$1046,0),COLUMN()),"")</f>
        <v/>
      </c>
      <c r="I958" t="str">
        <f>IFERROR(INDEX(装备库!$A$2:$Y$1047,MATCH(ROW()-1,装备库!$AO$2:$AO$1046,0),COLUMN()),"")</f>
        <v/>
      </c>
      <c r="J958" t="str">
        <f>IFERROR(INDEX(装备库!$A$2:$Y$1047,MATCH(ROW()-1,装备库!$AO$2:$AO$1046,0),COLUMN()),"")</f>
        <v/>
      </c>
      <c r="K958" t="str">
        <f>IFERROR(INDEX(装备库!$A$2:$Y$1047,MATCH(ROW()-1,装备库!$AO$2:$AO$1046,0),COLUMN()),"")</f>
        <v/>
      </c>
      <c r="L958" t="str">
        <f>IFERROR(INDEX(装备库!$A$2:$Y$1047,MATCH(ROW()-1,装备库!$AO$2:$AO$1046,0),COLUMN()),"")</f>
        <v/>
      </c>
      <c r="M958" t="str">
        <f>IFERROR(INDEX(装备库!$A$2:$Y$1047,MATCH(ROW()-1,装备库!$AO$2:$AO$1046,0),COLUMN()),"")</f>
        <v/>
      </c>
      <c r="N958" t="str">
        <f>IFERROR(INDEX(装备库!$A$2:$Y$1047,MATCH(ROW()-1,装备库!$AO$2:$AO$1046,0),COLUMN()),"")</f>
        <v/>
      </c>
      <c r="O958" t="str">
        <f>IFERROR(INDEX(装备库!$A$2:$Y$1047,MATCH(ROW()-1,装备库!$AO$2:$AO$1046,0),COLUMN()),"")</f>
        <v/>
      </c>
      <c r="P958" t="str">
        <f>IFERROR(INDEX(装备库!$A$2:$Y$1047,MATCH(ROW()-1,装备库!$AO$2:$AO$1046,0),COLUMN()),"")</f>
        <v/>
      </c>
      <c r="Q958" t="str">
        <f>IFERROR(INDEX(装备库!$A$2:$Y$1047,MATCH(ROW()-1,装备库!$AO$2:$AO$1046,0),COLUMN()),"")</f>
        <v/>
      </c>
      <c r="R958" t="str">
        <f>IFERROR(INDEX(装备库!$A$2:$Y$1047,MATCH(ROW()-1,装备库!$AO$2:$AO$1046,0),COLUMN()),"")</f>
        <v/>
      </c>
      <c r="S958" t="str">
        <f>IFERROR(INDEX(装备库!$A$2:$Y$1047,MATCH(ROW()-1,装备库!$AO$2:$AO$1046,0),COLUMN()),"")</f>
        <v/>
      </c>
      <c r="T958" t="str">
        <f>IFERROR(INDEX(装备库!$A$2:$Y$1047,MATCH(ROW()-1,装备库!$AO$2:$AO$1046,0),COLUMN()),"")</f>
        <v/>
      </c>
      <c r="U958" t="str">
        <f>IFERROR(INDEX(装备库!$A$2:$Y$1047,MATCH(ROW()-1,装备库!$AO$2:$AO$1046,0),COLUMN()),"")</f>
        <v/>
      </c>
      <c r="V958" t="str">
        <f>IFERROR(INDEX(装备库!$A$2:$Y$1047,MATCH(ROW()-1,装备库!$AO$2:$AO$1046,0),COLUMN()),"")</f>
        <v/>
      </c>
      <c r="W958" t="str">
        <f>IFERROR(INDEX(装备库!$A$2:$Y$1047,MATCH(ROW()-1,装备库!$AO$2:$AO$1046,0),COLUMN()),"")</f>
        <v/>
      </c>
      <c r="X958" t="str">
        <f>IFERROR(INDEX(装备库!$A$2:$Y$1047,MATCH(ROW()-1,装备库!$AO$2:$AO$1046,0),COLUMN()),"")</f>
        <v/>
      </c>
      <c r="Y958" t="str">
        <f>IFERROR(INDEX(装备库!$A$2:$Y$1047,MATCH(ROW()-1,装备库!$AO$2:$AO$1046,0),COLUMN()),"")</f>
        <v/>
      </c>
    </row>
    <row r="959" spans="1:25" x14ac:dyDescent="0.35">
      <c r="A959" t="str">
        <f>IFERROR(INDEX(装备库!$A$2:$Y$1047,MATCH(ROW()-1,装备库!$AO$2:$AO$1046,0),COLUMN()),"")</f>
        <v/>
      </c>
      <c r="B959" t="str">
        <f>IFERROR(INDEX(装备库!$A$2:$Y$1047,MATCH(ROW()-1,装备库!$AO$2:$AO$1046,0),COLUMN()),"")</f>
        <v/>
      </c>
      <c r="C959" t="str">
        <f>IFERROR(INDEX(装备库!$A$2:$Y$1047,MATCH(ROW()-1,装备库!$AO$2:$AO$1046,0),COLUMN()),"")</f>
        <v/>
      </c>
      <c r="D959" t="str">
        <f>IFERROR(INDEX(装备库!$A$2:$Y$1047,MATCH(ROW()-1,装备库!$AO$2:$AO$1046,0),COLUMN()),"")</f>
        <v/>
      </c>
      <c r="E959" t="str">
        <f>IFERROR(INDEX(装备库!$A$2:$Y$1047,MATCH(ROW()-1,装备库!$AO$2:$AO$1046,0),COLUMN()),"")</f>
        <v/>
      </c>
      <c r="F959" t="str">
        <f>IFERROR(INDEX(装备库!$A$2:$Y$1047,MATCH(ROW()-1,装备库!$AO$2:$AO$1046,0),COLUMN()),"")</f>
        <v/>
      </c>
      <c r="G959" t="str">
        <f>IFERROR(INDEX(装备库!$A$2:$Y$1047,MATCH(ROW()-1,装备库!$AO$2:$AO$1046,0),COLUMN()),"")</f>
        <v/>
      </c>
      <c r="H959" t="str">
        <f>IFERROR(INDEX(装备库!$A$2:$Y$1047,MATCH(ROW()-1,装备库!$AO$2:$AO$1046,0),COLUMN()),"")</f>
        <v/>
      </c>
      <c r="I959" t="str">
        <f>IFERROR(INDEX(装备库!$A$2:$Y$1047,MATCH(ROW()-1,装备库!$AO$2:$AO$1046,0),COLUMN()),"")</f>
        <v/>
      </c>
      <c r="J959" t="str">
        <f>IFERROR(INDEX(装备库!$A$2:$Y$1047,MATCH(ROW()-1,装备库!$AO$2:$AO$1046,0),COLUMN()),"")</f>
        <v/>
      </c>
      <c r="K959" t="str">
        <f>IFERROR(INDEX(装备库!$A$2:$Y$1047,MATCH(ROW()-1,装备库!$AO$2:$AO$1046,0),COLUMN()),"")</f>
        <v/>
      </c>
      <c r="L959" t="str">
        <f>IFERROR(INDEX(装备库!$A$2:$Y$1047,MATCH(ROW()-1,装备库!$AO$2:$AO$1046,0),COLUMN()),"")</f>
        <v/>
      </c>
      <c r="M959" t="str">
        <f>IFERROR(INDEX(装备库!$A$2:$Y$1047,MATCH(ROW()-1,装备库!$AO$2:$AO$1046,0),COLUMN()),"")</f>
        <v/>
      </c>
      <c r="N959" t="str">
        <f>IFERROR(INDEX(装备库!$A$2:$Y$1047,MATCH(ROW()-1,装备库!$AO$2:$AO$1046,0),COLUMN()),"")</f>
        <v/>
      </c>
      <c r="O959" t="str">
        <f>IFERROR(INDEX(装备库!$A$2:$Y$1047,MATCH(ROW()-1,装备库!$AO$2:$AO$1046,0),COLUMN()),"")</f>
        <v/>
      </c>
      <c r="P959" t="str">
        <f>IFERROR(INDEX(装备库!$A$2:$Y$1047,MATCH(ROW()-1,装备库!$AO$2:$AO$1046,0),COLUMN()),"")</f>
        <v/>
      </c>
      <c r="Q959" t="str">
        <f>IFERROR(INDEX(装备库!$A$2:$Y$1047,MATCH(ROW()-1,装备库!$AO$2:$AO$1046,0),COLUMN()),"")</f>
        <v/>
      </c>
      <c r="R959" t="str">
        <f>IFERROR(INDEX(装备库!$A$2:$Y$1047,MATCH(ROW()-1,装备库!$AO$2:$AO$1046,0),COLUMN()),"")</f>
        <v/>
      </c>
      <c r="S959" t="str">
        <f>IFERROR(INDEX(装备库!$A$2:$Y$1047,MATCH(ROW()-1,装备库!$AO$2:$AO$1046,0),COLUMN()),"")</f>
        <v/>
      </c>
      <c r="T959" t="str">
        <f>IFERROR(INDEX(装备库!$A$2:$Y$1047,MATCH(ROW()-1,装备库!$AO$2:$AO$1046,0),COLUMN()),"")</f>
        <v/>
      </c>
      <c r="U959" t="str">
        <f>IFERROR(INDEX(装备库!$A$2:$Y$1047,MATCH(ROW()-1,装备库!$AO$2:$AO$1046,0),COLUMN()),"")</f>
        <v/>
      </c>
      <c r="V959" t="str">
        <f>IFERROR(INDEX(装备库!$A$2:$Y$1047,MATCH(ROW()-1,装备库!$AO$2:$AO$1046,0),COLUMN()),"")</f>
        <v/>
      </c>
      <c r="W959" t="str">
        <f>IFERROR(INDEX(装备库!$A$2:$Y$1047,MATCH(ROW()-1,装备库!$AO$2:$AO$1046,0),COLUMN()),"")</f>
        <v/>
      </c>
      <c r="X959" t="str">
        <f>IFERROR(INDEX(装备库!$A$2:$Y$1047,MATCH(ROW()-1,装备库!$AO$2:$AO$1046,0),COLUMN()),"")</f>
        <v/>
      </c>
      <c r="Y959" t="str">
        <f>IFERROR(INDEX(装备库!$A$2:$Y$1047,MATCH(ROW()-1,装备库!$AO$2:$AO$1046,0),COLUMN()),"")</f>
        <v/>
      </c>
    </row>
    <row r="960" spans="1:25" x14ac:dyDescent="0.35">
      <c r="A960" t="str">
        <f>IFERROR(INDEX(装备库!$A$2:$Y$1047,MATCH(ROW()-1,装备库!$AO$2:$AO$1046,0),COLUMN()),"")</f>
        <v/>
      </c>
      <c r="B960" t="str">
        <f>IFERROR(INDEX(装备库!$A$2:$Y$1047,MATCH(ROW()-1,装备库!$AO$2:$AO$1046,0),COLUMN()),"")</f>
        <v/>
      </c>
      <c r="C960" t="str">
        <f>IFERROR(INDEX(装备库!$A$2:$Y$1047,MATCH(ROW()-1,装备库!$AO$2:$AO$1046,0),COLUMN()),"")</f>
        <v/>
      </c>
      <c r="D960" t="str">
        <f>IFERROR(INDEX(装备库!$A$2:$Y$1047,MATCH(ROW()-1,装备库!$AO$2:$AO$1046,0),COLUMN()),"")</f>
        <v/>
      </c>
      <c r="E960" t="str">
        <f>IFERROR(INDEX(装备库!$A$2:$Y$1047,MATCH(ROW()-1,装备库!$AO$2:$AO$1046,0),COLUMN()),"")</f>
        <v/>
      </c>
      <c r="F960" t="str">
        <f>IFERROR(INDEX(装备库!$A$2:$Y$1047,MATCH(ROW()-1,装备库!$AO$2:$AO$1046,0),COLUMN()),"")</f>
        <v/>
      </c>
      <c r="G960" t="str">
        <f>IFERROR(INDEX(装备库!$A$2:$Y$1047,MATCH(ROW()-1,装备库!$AO$2:$AO$1046,0),COLUMN()),"")</f>
        <v/>
      </c>
      <c r="H960" t="str">
        <f>IFERROR(INDEX(装备库!$A$2:$Y$1047,MATCH(ROW()-1,装备库!$AO$2:$AO$1046,0),COLUMN()),"")</f>
        <v/>
      </c>
      <c r="I960" t="str">
        <f>IFERROR(INDEX(装备库!$A$2:$Y$1047,MATCH(ROW()-1,装备库!$AO$2:$AO$1046,0),COLUMN()),"")</f>
        <v/>
      </c>
      <c r="J960" t="str">
        <f>IFERROR(INDEX(装备库!$A$2:$Y$1047,MATCH(ROW()-1,装备库!$AO$2:$AO$1046,0),COLUMN()),"")</f>
        <v/>
      </c>
      <c r="K960" t="str">
        <f>IFERROR(INDEX(装备库!$A$2:$Y$1047,MATCH(ROW()-1,装备库!$AO$2:$AO$1046,0),COLUMN()),"")</f>
        <v/>
      </c>
      <c r="L960" t="str">
        <f>IFERROR(INDEX(装备库!$A$2:$Y$1047,MATCH(ROW()-1,装备库!$AO$2:$AO$1046,0),COLUMN()),"")</f>
        <v/>
      </c>
      <c r="M960" t="str">
        <f>IFERROR(INDEX(装备库!$A$2:$Y$1047,MATCH(ROW()-1,装备库!$AO$2:$AO$1046,0),COLUMN()),"")</f>
        <v/>
      </c>
      <c r="N960" t="str">
        <f>IFERROR(INDEX(装备库!$A$2:$Y$1047,MATCH(ROW()-1,装备库!$AO$2:$AO$1046,0),COLUMN()),"")</f>
        <v/>
      </c>
      <c r="O960" t="str">
        <f>IFERROR(INDEX(装备库!$A$2:$Y$1047,MATCH(ROW()-1,装备库!$AO$2:$AO$1046,0),COLUMN()),"")</f>
        <v/>
      </c>
      <c r="P960" t="str">
        <f>IFERROR(INDEX(装备库!$A$2:$Y$1047,MATCH(ROW()-1,装备库!$AO$2:$AO$1046,0),COLUMN()),"")</f>
        <v/>
      </c>
      <c r="Q960" t="str">
        <f>IFERROR(INDEX(装备库!$A$2:$Y$1047,MATCH(ROW()-1,装备库!$AO$2:$AO$1046,0),COLUMN()),"")</f>
        <v/>
      </c>
      <c r="R960" t="str">
        <f>IFERROR(INDEX(装备库!$A$2:$Y$1047,MATCH(ROW()-1,装备库!$AO$2:$AO$1046,0),COLUMN()),"")</f>
        <v/>
      </c>
      <c r="S960" t="str">
        <f>IFERROR(INDEX(装备库!$A$2:$Y$1047,MATCH(ROW()-1,装备库!$AO$2:$AO$1046,0),COLUMN()),"")</f>
        <v/>
      </c>
      <c r="T960" t="str">
        <f>IFERROR(INDEX(装备库!$A$2:$Y$1047,MATCH(ROW()-1,装备库!$AO$2:$AO$1046,0),COLUMN()),"")</f>
        <v/>
      </c>
      <c r="U960" t="str">
        <f>IFERROR(INDEX(装备库!$A$2:$Y$1047,MATCH(ROW()-1,装备库!$AO$2:$AO$1046,0),COLUMN()),"")</f>
        <v/>
      </c>
      <c r="V960" t="str">
        <f>IFERROR(INDEX(装备库!$A$2:$Y$1047,MATCH(ROW()-1,装备库!$AO$2:$AO$1046,0),COLUMN()),"")</f>
        <v/>
      </c>
      <c r="W960" t="str">
        <f>IFERROR(INDEX(装备库!$A$2:$Y$1047,MATCH(ROW()-1,装备库!$AO$2:$AO$1046,0),COLUMN()),"")</f>
        <v/>
      </c>
      <c r="X960" t="str">
        <f>IFERROR(INDEX(装备库!$A$2:$Y$1047,MATCH(ROW()-1,装备库!$AO$2:$AO$1046,0),COLUMN()),"")</f>
        <v/>
      </c>
      <c r="Y960" t="str">
        <f>IFERROR(INDEX(装备库!$A$2:$Y$1047,MATCH(ROW()-1,装备库!$AO$2:$AO$1046,0),COLUMN()),"")</f>
        <v/>
      </c>
    </row>
    <row r="961" spans="1:25" x14ac:dyDescent="0.35">
      <c r="A961" t="str">
        <f>IFERROR(INDEX(装备库!$A$2:$Y$1047,MATCH(ROW()-1,装备库!$AO$2:$AO$1046,0),COLUMN()),"")</f>
        <v/>
      </c>
      <c r="B961" t="str">
        <f>IFERROR(INDEX(装备库!$A$2:$Y$1047,MATCH(ROW()-1,装备库!$AO$2:$AO$1046,0),COLUMN()),"")</f>
        <v/>
      </c>
      <c r="C961" t="str">
        <f>IFERROR(INDEX(装备库!$A$2:$Y$1047,MATCH(ROW()-1,装备库!$AO$2:$AO$1046,0),COLUMN()),"")</f>
        <v/>
      </c>
      <c r="D961" t="str">
        <f>IFERROR(INDEX(装备库!$A$2:$Y$1047,MATCH(ROW()-1,装备库!$AO$2:$AO$1046,0),COLUMN()),"")</f>
        <v/>
      </c>
      <c r="E961" t="str">
        <f>IFERROR(INDEX(装备库!$A$2:$Y$1047,MATCH(ROW()-1,装备库!$AO$2:$AO$1046,0),COLUMN()),"")</f>
        <v/>
      </c>
      <c r="F961" t="str">
        <f>IFERROR(INDEX(装备库!$A$2:$Y$1047,MATCH(ROW()-1,装备库!$AO$2:$AO$1046,0),COLUMN()),"")</f>
        <v/>
      </c>
      <c r="G961" t="str">
        <f>IFERROR(INDEX(装备库!$A$2:$Y$1047,MATCH(ROW()-1,装备库!$AO$2:$AO$1046,0),COLUMN()),"")</f>
        <v/>
      </c>
      <c r="H961" t="str">
        <f>IFERROR(INDEX(装备库!$A$2:$Y$1047,MATCH(ROW()-1,装备库!$AO$2:$AO$1046,0),COLUMN()),"")</f>
        <v/>
      </c>
      <c r="I961" t="str">
        <f>IFERROR(INDEX(装备库!$A$2:$Y$1047,MATCH(ROW()-1,装备库!$AO$2:$AO$1046,0),COLUMN()),"")</f>
        <v/>
      </c>
      <c r="J961" t="str">
        <f>IFERROR(INDEX(装备库!$A$2:$Y$1047,MATCH(ROW()-1,装备库!$AO$2:$AO$1046,0),COLUMN()),"")</f>
        <v/>
      </c>
      <c r="K961" t="str">
        <f>IFERROR(INDEX(装备库!$A$2:$Y$1047,MATCH(ROW()-1,装备库!$AO$2:$AO$1046,0),COLUMN()),"")</f>
        <v/>
      </c>
      <c r="L961" t="str">
        <f>IFERROR(INDEX(装备库!$A$2:$Y$1047,MATCH(ROW()-1,装备库!$AO$2:$AO$1046,0),COLUMN()),"")</f>
        <v/>
      </c>
      <c r="M961" t="str">
        <f>IFERROR(INDEX(装备库!$A$2:$Y$1047,MATCH(ROW()-1,装备库!$AO$2:$AO$1046,0),COLUMN()),"")</f>
        <v/>
      </c>
      <c r="N961" t="str">
        <f>IFERROR(INDEX(装备库!$A$2:$Y$1047,MATCH(ROW()-1,装备库!$AO$2:$AO$1046,0),COLUMN()),"")</f>
        <v/>
      </c>
      <c r="O961" t="str">
        <f>IFERROR(INDEX(装备库!$A$2:$Y$1047,MATCH(ROW()-1,装备库!$AO$2:$AO$1046,0),COLUMN()),"")</f>
        <v/>
      </c>
      <c r="P961" t="str">
        <f>IFERROR(INDEX(装备库!$A$2:$Y$1047,MATCH(ROW()-1,装备库!$AO$2:$AO$1046,0),COLUMN()),"")</f>
        <v/>
      </c>
      <c r="Q961" t="str">
        <f>IFERROR(INDEX(装备库!$A$2:$Y$1047,MATCH(ROW()-1,装备库!$AO$2:$AO$1046,0),COLUMN()),"")</f>
        <v/>
      </c>
      <c r="R961" t="str">
        <f>IFERROR(INDEX(装备库!$A$2:$Y$1047,MATCH(ROW()-1,装备库!$AO$2:$AO$1046,0),COLUMN()),"")</f>
        <v/>
      </c>
      <c r="S961" t="str">
        <f>IFERROR(INDEX(装备库!$A$2:$Y$1047,MATCH(ROW()-1,装备库!$AO$2:$AO$1046,0),COLUMN()),"")</f>
        <v/>
      </c>
      <c r="T961" t="str">
        <f>IFERROR(INDEX(装备库!$A$2:$Y$1047,MATCH(ROW()-1,装备库!$AO$2:$AO$1046,0),COLUMN()),"")</f>
        <v/>
      </c>
      <c r="U961" t="str">
        <f>IFERROR(INDEX(装备库!$A$2:$Y$1047,MATCH(ROW()-1,装备库!$AO$2:$AO$1046,0),COLUMN()),"")</f>
        <v/>
      </c>
      <c r="V961" t="str">
        <f>IFERROR(INDEX(装备库!$A$2:$Y$1047,MATCH(ROW()-1,装备库!$AO$2:$AO$1046,0),COLUMN()),"")</f>
        <v/>
      </c>
      <c r="W961" t="str">
        <f>IFERROR(INDEX(装备库!$A$2:$Y$1047,MATCH(ROW()-1,装备库!$AO$2:$AO$1046,0),COLUMN()),"")</f>
        <v/>
      </c>
      <c r="X961" t="str">
        <f>IFERROR(INDEX(装备库!$A$2:$Y$1047,MATCH(ROW()-1,装备库!$AO$2:$AO$1046,0),COLUMN()),"")</f>
        <v/>
      </c>
      <c r="Y961" t="str">
        <f>IFERROR(INDEX(装备库!$A$2:$Y$1047,MATCH(ROW()-1,装备库!$AO$2:$AO$1046,0),COLUMN()),"")</f>
        <v/>
      </c>
    </row>
    <row r="962" spans="1:25" x14ac:dyDescent="0.35">
      <c r="A962" t="str">
        <f>IFERROR(INDEX(装备库!$A$2:$Y$1047,MATCH(ROW()-1,装备库!$AO$2:$AO$1046,0),COLUMN()),"")</f>
        <v/>
      </c>
      <c r="B962" t="str">
        <f>IFERROR(INDEX(装备库!$A$2:$Y$1047,MATCH(ROW()-1,装备库!$AO$2:$AO$1046,0),COLUMN()),"")</f>
        <v/>
      </c>
      <c r="C962" t="str">
        <f>IFERROR(INDEX(装备库!$A$2:$Y$1047,MATCH(ROW()-1,装备库!$AO$2:$AO$1046,0),COLUMN()),"")</f>
        <v/>
      </c>
      <c r="D962" t="str">
        <f>IFERROR(INDEX(装备库!$A$2:$Y$1047,MATCH(ROW()-1,装备库!$AO$2:$AO$1046,0),COLUMN()),"")</f>
        <v/>
      </c>
      <c r="E962" t="str">
        <f>IFERROR(INDEX(装备库!$A$2:$Y$1047,MATCH(ROW()-1,装备库!$AO$2:$AO$1046,0),COLUMN()),"")</f>
        <v/>
      </c>
      <c r="F962" t="str">
        <f>IFERROR(INDEX(装备库!$A$2:$Y$1047,MATCH(ROW()-1,装备库!$AO$2:$AO$1046,0),COLUMN()),"")</f>
        <v/>
      </c>
      <c r="G962" t="str">
        <f>IFERROR(INDEX(装备库!$A$2:$Y$1047,MATCH(ROW()-1,装备库!$AO$2:$AO$1046,0),COLUMN()),"")</f>
        <v/>
      </c>
      <c r="H962" t="str">
        <f>IFERROR(INDEX(装备库!$A$2:$Y$1047,MATCH(ROW()-1,装备库!$AO$2:$AO$1046,0),COLUMN()),"")</f>
        <v/>
      </c>
      <c r="I962" t="str">
        <f>IFERROR(INDEX(装备库!$A$2:$Y$1047,MATCH(ROW()-1,装备库!$AO$2:$AO$1046,0),COLUMN()),"")</f>
        <v/>
      </c>
      <c r="J962" t="str">
        <f>IFERROR(INDEX(装备库!$A$2:$Y$1047,MATCH(ROW()-1,装备库!$AO$2:$AO$1046,0),COLUMN()),"")</f>
        <v/>
      </c>
      <c r="K962" t="str">
        <f>IFERROR(INDEX(装备库!$A$2:$Y$1047,MATCH(ROW()-1,装备库!$AO$2:$AO$1046,0),COLUMN()),"")</f>
        <v/>
      </c>
      <c r="L962" t="str">
        <f>IFERROR(INDEX(装备库!$A$2:$Y$1047,MATCH(ROW()-1,装备库!$AO$2:$AO$1046,0),COLUMN()),"")</f>
        <v/>
      </c>
      <c r="M962" t="str">
        <f>IFERROR(INDEX(装备库!$A$2:$Y$1047,MATCH(ROW()-1,装备库!$AO$2:$AO$1046,0),COLUMN()),"")</f>
        <v/>
      </c>
      <c r="N962" t="str">
        <f>IFERROR(INDEX(装备库!$A$2:$Y$1047,MATCH(ROW()-1,装备库!$AO$2:$AO$1046,0),COLUMN()),"")</f>
        <v/>
      </c>
      <c r="O962" t="str">
        <f>IFERROR(INDEX(装备库!$A$2:$Y$1047,MATCH(ROW()-1,装备库!$AO$2:$AO$1046,0),COLUMN()),"")</f>
        <v/>
      </c>
      <c r="P962" t="str">
        <f>IFERROR(INDEX(装备库!$A$2:$Y$1047,MATCH(ROW()-1,装备库!$AO$2:$AO$1046,0),COLUMN()),"")</f>
        <v/>
      </c>
      <c r="Q962" t="str">
        <f>IFERROR(INDEX(装备库!$A$2:$Y$1047,MATCH(ROW()-1,装备库!$AO$2:$AO$1046,0),COLUMN()),"")</f>
        <v/>
      </c>
      <c r="R962" t="str">
        <f>IFERROR(INDEX(装备库!$A$2:$Y$1047,MATCH(ROW()-1,装备库!$AO$2:$AO$1046,0),COLUMN()),"")</f>
        <v/>
      </c>
      <c r="S962" t="str">
        <f>IFERROR(INDEX(装备库!$A$2:$Y$1047,MATCH(ROW()-1,装备库!$AO$2:$AO$1046,0),COLUMN()),"")</f>
        <v/>
      </c>
      <c r="T962" t="str">
        <f>IFERROR(INDEX(装备库!$A$2:$Y$1047,MATCH(ROW()-1,装备库!$AO$2:$AO$1046,0),COLUMN()),"")</f>
        <v/>
      </c>
      <c r="U962" t="str">
        <f>IFERROR(INDEX(装备库!$A$2:$Y$1047,MATCH(ROW()-1,装备库!$AO$2:$AO$1046,0),COLUMN()),"")</f>
        <v/>
      </c>
      <c r="V962" t="str">
        <f>IFERROR(INDEX(装备库!$A$2:$Y$1047,MATCH(ROW()-1,装备库!$AO$2:$AO$1046,0),COLUMN()),"")</f>
        <v/>
      </c>
      <c r="W962" t="str">
        <f>IFERROR(INDEX(装备库!$A$2:$Y$1047,MATCH(ROW()-1,装备库!$AO$2:$AO$1046,0),COLUMN()),"")</f>
        <v/>
      </c>
      <c r="X962" t="str">
        <f>IFERROR(INDEX(装备库!$A$2:$Y$1047,MATCH(ROW()-1,装备库!$AO$2:$AO$1046,0),COLUMN()),"")</f>
        <v/>
      </c>
      <c r="Y962" t="str">
        <f>IFERROR(INDEX(装备库!$A$2:$Y$1047,MATCH(ROW()-1,装备库!$AO$2:$AO$1046,0),COLUMN()),"")</f>
        <v/>
      </c>
    </row>
    <row r="963" spans="1:25" x14ac:dyDescent="0.35">
      <c r="A963" t="str">
        <f>IFERROR(INDEX(装备库!$A$2:$Y$1047,MATCH(ROW()-1,装备库!$AO$2:$AO$1046,0),COLUMN()),"")</f>
        <v/>
      </c>
      <c r="B963" t="str">
        <f>IFERROR(INDEX(装备库!$A$2:$Y$1047,MATCH(ROW()-1,装备库!$AO$2:$AO$1046,0),COLUMN()),"")</f>
        <v/>
      </c>
      <c r="C963" t="str">
        <f>IFERROR(INDEX(装备库!$A$2:$Y$1047,MATCH(ROW()-1,装备库!$AO$2:$AO$1046,0),COLUMN()),"")</f>
        <v/>
      </c>
      <c r="D963" t="str">
        <f>IFERROR(INDEX(装备库!$A$2:$Y$1047,MATCH(ROW()-1,装备库!$AO$2:$AO$1046,0),COLUMN()),"")</f>
        <v/>
      </c>
      <c r="E963" t="str">
        <f>IFERROR(INDEX(装备库!$A$2:$Y$1047,MATCH(ROW()-1,装备库!$AO$2:$AO$1046,0),COLUMN()),"")</f>
        <v/>
      </c>
      <c r="F963" t="str">
        <f>IFERROR(INDEX(装备库!$A$2:$Y$1047,MATCH(ROW()-1,装备库!$AO$2:$AO$1046,0),COLUMN()),"")</f>
        <v/>
      </c>
      <c r="G963" t="str">
        <f>IFERROR(INDEX(装备库!$A$2:$Y$1047,MATCH(ROW()-1,装备库!$AO$2:$AO$1046,0),COLUMN()),"")</f>
        <v/>
      </c>
      <c r="H963" t="str">
        <f>IFERROR(INDEX(装备库!$A$2:$Y$1047,MATCH(ROW()-1,装备库!$AO$2:$AO$1046,0),COLUMN()),"")</f>
        <v/>
      </c>
      <c r="I963" t="str">
        <f>IFERROR(INDEX(装备库!$A$2:$Y$1047,MATCH(ROW()-1,装备库!$AO$2:$AO$1046,0),COLUMN()),"")</f>
        <v/>
      </c>
      <c r="J963" t="str">
        <f>IFERROR(INDEX(装备库!$A$2:$Y$1047,MATCH(ROW()-1,装备库!$AO$2:$AO$1046,0),COLUMN()),"")</f>
        <v/>
      </c>
      <c r="K963" t="str">
        <f>IFERROR(INDEX(装备库!$A$2:$Y$1047,MATCH(ROW()-1,装备库!$AO$2:$AO$1046,0),COLUMN()),"")</f>
        <v/>
      </c>
      <c r="L963" t="str">
        <f>IFERROR(INDEX(装备库!$A$2:$Y$1047,MATCH(ROW()-1,装备库!$AO$2:$AO$1046,0),COLUMN()),"")</f>
        <v/>
      </c>
      <c r="M963" t="str">
        <f>IFERROR(INDEX(装备库!$A$2:$Y$1047,MATCH(ROW()-1,装备库!$AO$2:$AO$1046,0),COLUMN()),"")</f>
        <v/>
      </c>
      <c r="N963" t="str">
        <f>IFERROR(INDEX(装备库!$A$2:$Y$1047,MATCH(ROW()-1,装备库!$AO$2:$AO$1046,0),COLUMN()),"")</f>
        <v/>
      </c>
      <c r="O963" t="str">
        <f>IFERROR(INDEX(装备库!$A$2:$Y$1047,MATCH(ROW()-1,装备库!$AO$2:$AO$1046,0),COLUMN()),"")</f>
        <v/>
      </c>
      <c r="P963" t="str">
        <f>IFERROR(INDEX(装备库!$A$2:$Y$1047,MATCH(ROW()-1,装备库!$AO$2:$AO$1046,0),COLUMN()),"")</f>
        <v/>
      </c>
      <c r="Q963" t="str">
        <f>IFERROR(INDEX(装备库!$A$2:$Y$1047,MATCH(ROW()-1,装备库!$AO$2:$AO$1046,0),COLUMN()),"")</f>
        <v/>
      </c>
      <c r="R963" t="str">
        <f>IFERROR(INDEX(装备库!$A$2:$Y$1047,MATCH(ROW()-1,装备库!$AO$2:$AO$1046,0),COLUMN()),"")</f>
        <v/>
      </c>
      <c r="S963" t="str">
        <f>IFERROR(INDEX(装备库!$A$2:$Y$1047,MATCH(ROW()-1,装备库!$AO$2:$AO$1046,0),COLUMN()),"")</f>
        <v/>
      </c>
      <c r="T963" t="str">
        <f>IFERROR(INDEX(装备库!$A$2:$Y$1047,MATCH(ROW()-1,装备库!$AO$2:$AO$1046,0),COLUMN()),"")</f>
        <v/>
      </c>
      <c r="U963" t="str">
        <f>IFERROR(INDEX(装备库!$A$2:$Y$1047,MATCH(ROW()-1,装备库!$AO$2:$AO$1046,0),COLUMN()),"")</f>
        <v/>
      </c>
      <c r="V963" t="str">
        <f>IFERROR(INDEX(装备库!$A$2:$Y$1047,MATCH(ROW()-1,装备库!$AO$2:$AO$1046,0),COLUMN()),"")</f>
        <v/>
      </c>
      <c r="W963" t="str">
        <f>IFERROR(INDEX(装备库!$A$2:$Y$1047,MATCH(ROW()-1,装备库!$AO$2:$AO$1046,0),COLUMN()),"")</f>
        <v/>
      </c>
      <c r="X963" t="str">
        <f>IFERROR(INDEX(装备库!$A$2:$Y$1047,MATCH(ROW()-1,装备库!$AO$2:$AO$1046,0),COLUMN()),"")</f>
        <v/>
      </c>
      <c r="Y963" t="str">
        <f>IFERROR(INDEX(装备库!$A$2:$Y$1047,MATCH(ROW()-1,装备库!$AO$2:$AO$1046,0),COLUMN()),"")</f>
        <v/>
      </c>
    </row>
    <row r="964" spans="1:25" x14ac:dyDescent="0.35">
      <c r="A964" t="str">
        <f>IFERROR(INDEX(装备库!$A$2:$Y$1047,MATCH(ROW()-1,装备库!$AO$2:$AO$1046,0),COLUMN()),"")</f>
        <v/>
      </c>
      <c r="B964" t="str">
        <f>IFERROR(INDEX(装备库!$A$2:$Y$1047,MATCH(ROW()-1,装备库!$AO$2:$AO$1046,0),COLUMN()),"")</f>
        <v/>
      </c>
      <c r="C964" t="str">
        <f>IFERROR(INDEX(装备库!$A$2:$Y$1047,MATCH(ROW()-1,装备库!$AO$2:$AO$1046,0),COLUMN()),"")</f>
        <v/>
      </c>
      <c r="D964" t="str">
        <f>IFERROR(INDEX(装备库!$A$2:$Y$1047,MATCH(ROW()-1,装备库!$AO$2:$AO$1046,0),COLUMN()),"")</f>
        <v/>
      </c>
      <c r="E964" t="str">
        <f>IFERROR(INDEX(装备库!$A$2:$Y$1047,MATCH(ROW()-1,装备库!$AO$2:$AO$1046,0),COLUMN()),"")</f>
        <v/>
      </c>
      <c r="F964" t="str">
        <f>IFERROR(INDEX(装备库!$A$2:$Y$1047,MATCH(ROW()-1,装备库!$AO$2:$AO$1046,0),COLUMN()),"")</f>
        <v/>
      </c>
      <c r="G964" t="str">
        <f>IFERROR(INDEX(装备库!$A$2:$Y$1047,MATCH(ROW()-1,装备库!$AO$2:$AO$1046,0),COLUMN()),"")</f>
        <v/>
      </c>
      <c r="H964" t="str">
        <f>IFERROR(INDEX(装备库!$A$2:$Y$1047,MATCH(ROW()-1,装备库!$AO$2:$AO$1046,0),COLUMN()),"")</f>
        <v/>
      </c>
      <c r="I964" t="str">
        <f>IFERROR(INDEX(装备库!$A$2:$Y$1047,MATCH(ROW()-1,装备库!$AO$2:$AO$1046,0),COLUMN()),"")</f>
        <v/>
      </c>
      <c r="J964" t="str">
        <f>IFERROR(INDEX(装备库!$A$2:$Y$1047,MATCH(ROW()-1,装备库!$AO$2:$AO$1046,0),COLUMN()),"")</f>
        <v/>
      </c>
      <c r="K964" t="str">
        <f>IFERROR(INDEX(装备库!$A$2:$Y$1047,MATCH(ROW()-1,装备库!$AO$2:$AO$1046,0),COLUMN()),"")</f>
        <v/>
      </c>
      <c r="L964" t="str">
        <f>IFERROR(INDEX(装备库!$A$2:$Y$1047,MATCH(ROW()-1,装备库!$AO$2:$AO$1046,0),COLUMN()),"")</f>
        <v/>
      </c>
      <c r="M964" t="str">
        <f>IFERROR(INDEX(装备库!$A$2:$Y$1047,MATCH(ROW()-1,装备库!$AO$2:$AO$1046,0),COLUMN()),"")</f>
        <v/>
      </c>
      <c r="N964" t="str">
        <f>IFERROR(INDEX(装备库!$A$2:$Y$1047,MATCH(ROW()-1,装备库!$AO$2:$AO$1046,0),COLUMN()),"")</f>
        <v/>
      </c>
      <c r="O964" t="str">
        <f>IFERROR(INDEX(装备库!$A$2:$Y$1047,MATCH(ROW()-1,装备库!$AO$2:$AO$1046,0),COLUMN()),"")</f>
        <v/>
      </c>
      <c r="P964" t="str">
        <f>IFERROR(INDEX(装备库!$A$2:$Y$1047,MATCH(ROW()-1,装备库!$AO$2:$AO$1046,0),COLUMN()),"")</f>
        <v/>
      </c>
      <c r="Q964" t="str">
        <f>IFERROR(INDEX(装备库!$A$2:$Y$1047,MATCH(ROW()-1,装备库!$AO$2:$AO$1046,0),COLUMN()),"")</f>
        <v/>
      </c>
      <c r="R964" t="str">
        <f>IFERROR(INDEX(装备库!$A$2:$Y$1047,MATCH(ROW()-1,装备库!$AO$2:$AO$1046,0),COLUMN()),"")</f>
        <v/>
      </c>
      <c r="S964" t="str">
        <f>IFERROR(INDEX(装备库!$A$2:$Y$1047,MATCH(ROW()-1,装备库!$AO$2:$AO$1046,0),COLUMN()),"")</f>
        <v/>
      </c>
      <c r="T964" t="str">
        <f>IFERROR(INDEX(装备库!$A$2:$Y$1047,MATCH(ROW()-1,装备库!$AO$2:$AO$1046,0),COLUMN()),"")</f>
        <v/>
      </c>
      <c r="U964" t="str">
        <f>IFERROR(INDEX(装备库!$A$2:$Y$1047,MATCH(ROW()-1,装备库!$AO$2:$AO$1046,0),COLUMN()),"")</f>
        <v/>
      </c>
      <c r="V964" t="str">
        <f>IFERROR(INDEX(装备库!$A$2:$Y$1047,MATCH(ROW()-1,装备库!$AO$2:$AO$1046,0),COLUMN()),"")</f>
        <v/>
      </c>
      <c r="W964" t="str">
        <f>IFERROR(INDEX(装备库!$A$2:$Y$1047,MATCH(ROW()-1,装备库!$AO$2:$AO$1046,0),COLUMN()),"")</f>
        <v/>
      </c>
      <c r="X964" t="str">
        <f>IFERROR(INDEX(装备库!$A$2:$Y$1047,MATCH(ROW()-1,装备库!$AO$2:$AO$1046,0),COLUMN()),"")</f>
        <v/>
      </c>
      <c r="Y964" t="str">
        <f>IFERROR(INDEX(装备库!$A$2:$Y$1047,MATCH(ROW()-1,装备库!$AO$2:$AO$1046,0),COLUMN()),"")</f>
        <v/>
      </c>
    </row>
    <row r="965" spans="1:25" x14ac:dyDescent="0.35">
      <c r="A965" t="str">
        <f>IFERROR(INDEX(装备库!$A$2:$Y$1047,MATCH(ROW()-1,装备库!$AO$2:$AO$1046,0),COLUMN()),"")</f>
        <v/>
      </c>
      <c r="B965" t="str">
        <f>IFERROR(INDEX(装备库!$A$2:$Y$1047,MATCH(ROW()-1,装备库!$AO$2:$AO$1046,0),COLUMN()),"")</f>
        <v/>
      </c>
      <c r="C965" t="str">
        <f>IFERROR(INDEX(装备库!$A$2:$Y$1047,MATCH(ROW()-1,装备库!$AO$2:$AO$1046,0),COLUMN()),"")</f>
        <v/>
      </c>
      <c r="D965" t="str">
        <f>IFERROR(INDEX(装备库!$A$2:$Y$1047,MATCH(ROW()-1,装备库!$AO$2:$AO$1046,0),COLUMN()),"")</f>
        <v/>
      </c>
      <c r="E965" t="str">
        <f>IFERROR(INDEX(装备库!$A$2:$Y$1047,MATCH(ROW()-1,装备库!$AO$2:$AO$1046,0),COLUMN()),"")</f>
        <v/>
      </c>
      <c r="F965" t="str">
        <f>IFERROR(INDEX(装备库!$A$2:$Y$1047,MATCH(ROW()-1,装备库!$AO$2:$AO$1046,0),COLUMN()),"")</f>
        <v/>
      </c>
      <c r="G965" t="str">
        <f>IFERROR(INDEX(装备库!$A$2:$Y$1047,MATCH(ROW()-1,装备库!$AO$2:$AO$1046,0),COLUMN()),"")</f>
        <v/>
      </c>
      <c r="H965" t="str">
        <f>IFERROR(INDEX(装备库!$A$2:$Y$1047,MATCH(ROW()-1,装备库!$AO$2:$AO$1046,0),COLUMN()),"")</f>
        <v/>
      </c>
      <c r="I965" t="str">
        <f>IFERROR(INDEX(装备库!$A$2:$Y$1047,MATCH(ROW()-1,装备库!$AO$2:$AO$1046,0),COLUMN()),"")</f>
        <v/>
      </c>
      <c r="J965" t="str">
        <f>IFERROR(INDEX(装备库!$A$2:$Y$1047,MATCH(ROW()-1,装备库!$AO$2:$AO$1046,0),COLUMN()),"")</f>
        <v/>
      </c>
      <c r="K965" t="str">
        <f>IFERROR(INDEX(装备库!$A$2:$Y$1047,MATCH(ROW()-1,装备库!$AO$2:$AO$1046,0),COLUMN()),"")</f>
        <v/>
      </c>
      <c r="L965" t="str">
        <f>IFERROR(INDEX(装备库!$A$2:$Y$1047,MATCH(ROW()-1,装备库!$AO$2:$AO$1046,0),COLUMN()),"")</f>
        <v/>
      </c>
      <c r="M965" t="str">
        <f>IFERROR(INDEX(装备库!$A$2:$Y$1047,MATCH(ROW()-1,装备库!$AO$2:$AO$1046,0),COLUMN()),"")</f>
        <v/>
      </c>
      <c r="N965" t="str">
        <f>IFERROR(INDEX(装备库!$A$2:$Y$1047,MATCH(ROW()-1,装备库!$AO$2:$AO$1046,0),COLUMN()),"")</f>
        <v/>
      </c>
      <c r="O965" t="str">
        <f>IFERROR(INDEX(装备库!$A$2:$Y$1047,MATCH(ROW()-1,装备库!$AO$2:$AO$1046,0),COLUMN()),"")</f>
        <v/>
      </c>
      <c r="P965" t="str">
        <f>IFERROR(INDEX(装备库!$A$2:$Y$1047,MATCH(ROW()-1,装备库!$AO$2:$AO$1046,0),COLUMN()),"")</f>
        <v/>
      </c>
      <c r="Q965" t="str">
        <f>IFERROR(INDEX(装备库!$A$2:$Y$1047,MATCH(ROW()-1,装备库!$AO$2:$AO$1046,0),COLUMN()),"")</f>
        <v/>
      </c>
      <c r="R965" t="str">
        <f>IFERROR(INDEX(装备库!$A$2:$Y$1047,MATCH(ROW()-1,装备库!$AO$2:$AO$1046,0),COLUMN()),"")</f>
        <v/>
      </c>
      <c r="S965" t="str">
        <f>IFERROR(INDEX(装备库!$A$2:$Y$1047,MATCH(ROW()-1,装备库!$AO$2:$AO$1046,0),COLUMN()),"")</f>
        <v/>
      </c>
      <c r="T965" t="str">
        <f>IFERROR(INDEX(装备库!$A$2:$Y$1047,MATCH(ROW()-1,装备库!$AO$2:$AO$1046,0),COLUMN()),"")</f>
        <v/>
      </c>
      <c r="U965" t="str">
        <f>IFERROR(INDEX(装备库!$A$2:$Y$1047,MATCH(ROW()-1,装备库!$AO$2:$AO$1046,0),COLUMN()),"")</f>
        <v/>
      </c>
      <c r="V965" t="str">
        <f>IFERROR(INDEX(装备库!$A$2:$Y$1047,MATCH(ROW()-1,装备库!$AO$2:$AO$1046,0),COLUMN()),"")</f>
        <v/>
      </c>
      <c r="W965" t="str">
        <f>IFERROR(INDEX(装备库!$A$2:$Y$1047,MATCH(ROW()-1,装备库!$AO$2:$AO$1046,0),COLUMN()),"")</f>
        <v/>
      </c>
      <c r="X965" t="str">
        <f>IFERROR(INDEX(装备库!$A$2:$Y$1047,MATCH(ROW()-1,装备库!$AO$2:$AO$1046,0),COLUMN()),"")</f>
        <v/>
      </c>
      <c r="Y965" t="str">
        <f>IFERROR(INDEX(装备库!$A$2:$Y$1047,MATCH(ROW()-1,装备库!$AO$2:$AO$1046,0),COLUMN()),"")</f>
        <v/>
      </c>
    </row>
    <row r="966" spans="1:25" x14ac:dyDescent="0.35">
      <c r="A966" t="str">
        <f>IFERROR(INDEX(装备库!$A$2:$Y$1047,MATCH(ROW()-1,装备库!$AO$2:$AO$1046,0),COLUMN()),"")</f>
        <v/>
      </c>
      <c r="B966" t="str">
        <f>IFERROR(INDEX(装备库!$A$2:$Y$1047,MATCH(ROW()-1,装备库!$AO$2:$AO$1046,0),COLUMN()),"")</f>
        <v/>
      </c>
      <c r="C966" t="str">
        <f>IFERROR(INDEX(装备库!$A$2:$Y$1047,MATCH(ROW()-1,装备库!$AO$2:$AO$1046,0),COLUMN()),"")</f>
        <v/>
      </c>
      <c r="D966" t="str">
        <f>IFERROR(INDEX(装备库!$A$2:$Y$1047,MATCH(ROW()-1,装备库!$AO$2:$AO$1046,0),COLUMN()),"")</f>
        <v/>
      </c>
      <c r="E966" t="str">
        <f>IFERROR(INDEX(装备库!$A$2:$Y$1047,MATCH(ROW()-1,装备库!$AO$2:$AO$1046,0),COLUMN()),"")</f>
        <v/>
      </c>
      <c r="F966" t="str">
        <f>IFERROR(INDEX(装备库!$A$2:$Y$1047,MATCH(ROW()-1,装备库!$AO$2:$AO$1046,0),COLUMN()),"")</f>
        <v/>
      </c>
      <c r="G966" t="str">
        <f>IFERROR(INDEX(装备库!$A$2:$Y$1047,MATCH(ROW()-1,装备库!$AO$2:$AO$1046,0),COLUMN()),"")</f>
        <v/>
      </c>
      <c r="H966" t="str">
        <f>IFERROR(INDEX(装备库!$A$2:$Y$1047,MATCH(ROW()-1,装备库!$AO$2:$AO$1046,0),COLUMN()),"")</f>
        <v/>
      </c>
      <c r="I966" t="str">
        <f>IFERROR(INDEX(装备库!$A$2:$Y$1047,MATCH(ROW()-1,装备库!$AO$2:$AO$1046,0),COLUMN()),"")</f>
        <v/>
      </c>
      <c r="J966" t="str">
        <f>IFERROR(INDEX(装备库!$A$2:$Y$1047,MATCH(ROW()-1,装备库!$AO$2:$AO$1046,0),COLUMN()),"")</f>
        <v/>
      </c>
      <c r="K966" t="str">
        <f>IFERROR(INDEX(装备库!$A$2:$Y$1047,MATCH(ROW()-1,装备库!$AO$2:$AO$1046,0),COLUMN()),"")</f>
        <v/>
      </c>
      <c r="L966" t="str">
        <f>IFERROR(INDEX(装备库!$A$2:$Y$1047,MATCH(ROW()-1,装备库!$AO$2:$AO$1046,0),COLUMN()),"")</f>
        <v/>
      </c>
      <c r="M966" t="str">
        <f>IFERROR(INDEX(装备库!$A$2:$Y$1047,MATCH(ROW()-1,装备库!$AO$2:$AO$1046,0),COLUMN()),"")</f>
        <v/>
      </c>
      <c r="N966" t="str">
        <f>IFERROR(INDEX(装备库!$A$2:$Y$1047,MATCH(ROW()-1,装备库!$AO$2:$AO$1046,0),COLUMN()),"")</f>
        <v/>
      </c>
      <c r="O966" t="str">
        <f>IFERROR(INDEX(装备库!$A$2:$Y$1047,MATCH(ROW()-1,装备库!$AO$2:$AO$1046,0),COLUMN()),"")</f>
        <v/>
      </c>
      <c r="P966" t="str">
        <f>IFERROR(INDEX(装备库!$A$2:$Y$1047,MATCH(ROW()-1,装备库!$AO$2:$AO$1046,0),COLUMN()),"")</f>
        <v/>
      </c>
      <c r="Q966" t="str">
        <f>IFERROR(INDEX(装备库!$A$2:$Y$1047,MATCH(ROW()-1,装备库!$AO$2:$AO$1046,0),COLUMN()),"")</f>
        <v/>
      </c>
      <c r="R966" t="str">
        <f>IFERROR(INDEX(装备库!$A$2:$Y$1047,MATCH(ROW()-1,装备库!$AO$2:$AO$1046,0),COLUMN()),"")</f>
        <v/>
      </c>
      <c r="S966" t="str">
        <f>IFERROR(INDEX(装备库!$A$2:$Y$1047,MATCH(ROW()-1,装备库!$AO$2:$AO$1046,0),COLUMN()),"")</f>
        <v/>
      </c>
      <c r="T966" t="str">
        <f>IFERROR(INDEX(装备库!$A$2:$Y$1047,MATCH(ROW()-1,装备库!$AO$2:$AO$1046,0),COLUMN()),"")</f>
        <v/>
      </c>
      <c r="U966" t="str">
        <f>IFERROR(INDEX(装备库!$A$2:$Y$1047,MATCH(ROW()-1,装备库!$AO$2:$AO$1046,0),COLUMN()),"")</f>
        <v/>
      </c>
      <c r="V966" t="str">
        <f>IFERROR(INDEX(装备库!$A$2:$Y$1047,MATCH(ROW()-1,装备库!$AO$2:$AO$1046,0),COLUMN()),"")</f>
        <v/>
      </c>
      <c r="W966" t="str">
        <f>IFERROR(INDEX(装备库!$A$2:$Y$1047,MATCH(ROW()-1,装备库!$AO$2:$AO$1046,0),COLUMN()),"")</f>
        <v/>
      </c>
      <c r="X966" t="str">
        <f>IFERROR(INDEX(装备库!$A$2:$Y$1047,MATCH(ROW()-1,装备库!$AO$2:$AO$1046,0),COLUMN()),"")</f>
        <v/>
      </c>
      <c r="Y966" t="str">
        <f>IFERROR(INDEX(装备库!$A$2:$Y$1047,MATCH(ROW()-1,装备库!$AO$2:$AO$1046,0),COLUMN()),"")</f>
        <v/>
      </c>
    </row>
    <row r="967" spans="1:25" x14ac:dyDescent="0.35">
      <c r="A967" t="str">
        <f>IFERROR(INDEX(装备库!$A$2:$Y$1047,MATCH(ROW()-1,装备库!$AO$2:$AO$1046,0),COLUMN()),"")</f>
        <v/>
      </c>
      <c r="B967" t="str">
        <f>IFERROR(INDEX(装备库!$A$2:$Y$1047,MATCH(ROW()-1,装备库!$AO$2:$AO$1046,0),COLUMN()),"")</f>
        <v/>
      </c>
      <c r="C967" t="str">
        <f>IFERROR(INDEX(装备库!$A$2:$Y$1047,MATCH(ROW()-1,装备库!$AO$2:$AO$1046,0),COLUMN()),"")</f>
        <v/>
      </c>
      <c r="D967" t="str">
        <f>IFERROR(INDEX(装备库!$A$2:$Y$1047,MATCH(ROW()-1,装备库!$AO$2:$AO$1046,0),COLUMN()),"")</f>
        <v/>
      </c>
      <c r="E967" t="str">
        <f>IFERROR(INDEX(装备库!$A$2:$Y$1047,MATCH(ROW()-1,装备库!$AO$2:$AO$1046,0),COLUMN()),"")</f>
        <v/>
      </c>
      <c r="F967" t="str">
        <f>IFERROR(INDEX(装备库!$A$2:$Y$1047,MATCH(ROW()-1,装备库!$AO$2:$AO$1046,0),COLUMN()),"")</f>
        <v/>
      </c>
      <c r="G967" t="str">
        <f>IFERROR(INDEX(装备库!$A$2:$Y$1047,MATCH(ROW()-1,装备库!$AO$2:$AO$1046,0),COLUMN()),"")</f>
        <v/>
      </c>
      <c r="H967" t="str">
        <f>IFERROR(INDEX(装备库!$A$2:$Y$1047,MATCH(ROW()-1,装备库!$AO$2:$AO$1046,0),COLUMN()),"")</f>
        <v/>
      </c>
      <c r="I967" t="str">
        <f>IFERROR(INDEX(装备库!$A$2:$Y$1047,MATCH(ROW()-1,装备库!$AO$2:$AO$1046,0),COLUMN()),"")</f>
        <v/>
      </c>
      <c r="J967" t="str">
        <f>IFERROR(INDEX(装备库!$A$2:$Y$1047,MATCH(ROW()-1,装备库!$AO$2:$AO$1046,0),COLUMN()),"")</f>
        <v/>
      </c>
      <c r="K967" t="str">
        <f>IFERROR(INDEX(装备库!$A$2:$Y$1047,MATCH(ROW()-1,装备库!$AO$2:$AO$1046,0),COLUMN()),"")</f>
        <v/>
      </c>
      <c r="L967" t="str">
        <f>IFERROR(INDEX(装备库!$A$2:$Y$1047,MATCH(ROW()-1,装备库!$AO$2:$AO$1046,0),COLUMN()),"")</f>
        <v/>
      </c>
      <c r="M967" t="str">
        <f>IFERROR(INDEX(装备库!$A$2:$Y$1047,MATCH(ROW()-1,装备库!$AO$2:$AO$1046,0),COLUMN()),"")</f>
        <v/>
      </c>
      <c r="N967" t="str">
        <f>IFERROR(INDEX(装备库!$A$2:$Y$1047,MATCH(ROW()-1,装备库!$AO$2:$AO$1046,0),COLUMN()),"")</f>
        <v/>
      </c>
      <c r="O967" t="str">
        <f>IFERROR(INDEX(装备库!$A$2:$Y$1047,MATCH(ROW()-1,装备库!$AO$2:$AO$1046,0),COLUMN()),"")</f>
        <v/>
      </c>
      <c r="P967" t="str">
        <f>IFERROR(INDEX(装备库!$A$2:$Y$1047,MATCH(ROW()-1,装备库!$AO$2:$AO$1046,0),COLUMN()),"")</f>
        <v/>
      </c>
      <c r="Q967" t="str">
        <f>IFERROR(INDEX(装备库!$A$2:$Y$1047,MATCH(ROW()-1,装备库!$AO$2:$AO$1046,0),COLUMN()),"")</f>
        <v/>
      </c>
      <c r="R967" t="str">
        <f>IFERROR(INDEX(装备库!$A$2:$Y$1047,MATCH(ROW()-1,装备库!$AO$2:$AO$1046,0),COLUMN()),"")</f>
        <v/>
      </c>
      <c r="S967" t="str">
        <f>IFERROR(INDEX(装备库!$A$2:$Y$1047,MATCH(ROW()-1,装备库!$AO$2:$AO$1046,0),COLUMN()),"")</f>
        <v/>
      </c>
      <c r="T967" t="str">
        <f>IFERROR(INDEX(装备库!$A$2:$Y$1047,MATCH(ROW()-1,装备库!$AO$2:$AO$1046,0),COLUMN()),"")</f>
        <v/>
      </c>
      <c r="U967" t="str">
        <f>IFERROR(INDEX(装备库!$A$2:$Y$1047,MATCH(ROW()-1,装备库!$AO$2:$AO$1046,0),COLUMN()),"")</f>
        <v/>
      </c>
      <c r="V967" t="str">
        <f>IFERROR(INDEX(装备库!$A$2:$Y$1047,MATCH(ROW()-1,装备库!$AO$2:$AO$1046,0),COLUMN()),"")</f>
        <v/>
      </c>
      <c r="W967" t="str">
        <f>IFERROR(INDEX(装备库!$A$2:$Y$1047,MATCH(ROW()-1,装备库!$AO$2:$AO$1046,0),COLUMN()),"")</f>
        <v/>
      </c>
      <c r="X967" t="str">
        <f>IFERROR(INDEX(装备库!$A$2:$Y$1047,MATCH(ROW()-1,装备库!$AO$2:$AO$1046,0),COLUMN()),"")</f>
        <v/>
      </c>
      <c r="Y967" t="str">
        <f>IFERROR(INDEX(装备库!$A$2:$Y$1047,MATCH(ROW()-1,装备库!$AO$2:$AO$1046,0),COLUMN()),"")</f>
        <v/>
      </c>
    </row>
    <row r="968" spans="1:25" x14ac:dyDescent="0.35">
      <c r="A968" t="str">
        <f>IFERROR(INDEX(装备库!$A$2:$Y$1047,MATCH(ROW()-1,装备库!$AO$2:$AO$1046,0),COLUMN()),"")</f>
        <v/>
      </c>
      <c r="B968" t="str">
        <f>IFERROR(INDEX(装备库!$A$2:$Y$1047,MATCH(ROW()-1,装备库!$AO$2:$AO$1046,0),COLUMN()),"")</f>
        <v/>
      </c>
      <c r="C968" t="str">
        <f>IFERROR(INDEX(装备库!$A$2:$Y$1047,MATCH(ROW()-1,装备库!$AO$2:$AO$1046,0),COLUMN()),"")</f>
        <v/>
      </c>
      <c r="D968" t="str">
        <f>IFERROR(INDEX(装备库!$A$2:$Y$1047,MATCH(ROW()-1,装备库!$AO$2:$AO$1046,0),COLUMN()),"")</f>
        <v/>
      </c>
      <c r="E968" t="str">
        <f>IFERROR(INDEX(装备库!$A$2:$Y$1047,MATCH(ROW()-1,装备库!$AO$2:$AO$1046,0),COLUMN()),"")</f>
        <v/>
      </c>
      <c r="F968" t="str">
        <f>IFERROR(INDEX(装备库!$A$2:$Y$1047,MATCH(ROW()-1,装备库!$AO$2:$AO$1046,0),COLUMN()),"")</f>
        <v/>
      </c>
      <c r="G968" t="str">
        <f>IFERROR(INDEX(装备库!$A$2:$Y$1047,MATCH(ROW()-1,装备库!$AO$2:$AO$1046,0),COLUMN()),"")</f>
        <v/>
      </c>
      <c r="H968" t="str">
        <f>IFERROR(INDEX(装备库!$A$2:$Y$1047,MATCH(ROW()-1,装备库!$AO$2:$AO$1046,0),COLUMN()),"")</f>
        <v/>
      </c>
      <c r="I968" t="str">
        <f>IFERROR(INDEX(装备库!$A$2:$Y$1047,MATCH(ROW()-1,装备库!$AO$2:$AO$1046,0),COLUMN()),"")</f>
        <v/>
      </c>
      <c r="J968" t="str">
        <f>IFERROR(INDEX(装备库!$A$2:$Y$1047,MATCH(ROW()-1,装备库!$AO$2:$AO$1046,0),COLUMN()),"")</f>
        <v/>
      </c>
      <c r="K968" t="str">
        <f>IFERROR(INDEX(装备库!$A$2:$Y$1047,MATCH(ROW()-1,装备库!$AO$2:$AO$1046,0),COLUMN()),"")</f>
        <v/>
      </c>
      <c r="L968" t="str">
        <f>IFERROR(INDEX(装备库!$A$2:$Y$1047,MATCH(ROW()-1,装备库!$AO$2:$AO$1046,0),COLUMN()),"")</f>
        <v/>
      </c>
      <c r="M968" t="str">
        <f>IFERROR(INDEX(装备库!$A$2:$Y$1047,MATCH(ROW()-1,装备库!$AO$2:$AO$1046,0),COLUMN()),"")</f>
        <v/>
      </c>
      <c r="N968" t="str">
        <f>IFERROR(INDEX(装备库!$A$2:$Y$1047,MATCH(ROW()-1,装备库!$AO$2:$AO$1046,0),COLUMN()),"")</f>
        <v/>
      </c>
      <c r="O968" t="str">
        <f>IFERROR(INDEX(装备库!$A$2:$Y$1047,MATCH(ROW()-1,装备库!$AO$2:$AO$1046,0),COLUMN()),"")</f>
        <v/>
      </c>
      <c r="P968" t="str">
        <f>IFERROR(INDEX(装备库!$A$2:$Y$1047,MATCH(ROW()-1,装备库!$AO$2:$AO$1046,0),COLUMN()),"")</f>
        <v/>
      </c>
      <c r="Q968" t="str">
        <f>IFERROR(INDEX(装备库!$A$2:$Y$1047,MATCH(ROW()-1,装备库!$AO$2:$AO$1046,0),COLUMN()),"")</f>
        <v/>
      </c>
      <c r="R968" t="str">
        <f>IFERROR(INDEX(装备库!$A$2:$Y$1047,MATCH(ROW()-1,装备库!$AO$2:$AO$1046,0),COLUMN()),"")</f>
        <v/>
      </c>
      <c r="S968" t="str">
        <f>IFERROR(INDEX(装备库!$A$2:$Y$1047,MATCH(ROW()-1,装备库!$AO$2:$AO$1046,0),COLUMN()),"")</f>
        <v/>
      </c>
      <c r="T968" t="str">
        <f>IFERROR(INDEX(装备库!$A$2:$Y$1047,MATCH(ROW()-1,装备库!$AO$2:$AO$1046,0),COLUMN()),"")</f>
        <v/>
      </c>
      <c r="U968" t="str">
        <f>IFERROR(INDEX(装备库!$A$2:$Y$1047,MATCH(ROW()-1,装备库!$AO$2:$AO$1046,0),COLUMN()),"")</f>
        <v/>
      </c>
      <c r="V968" t="str">
        <f>IFERROR(INDEX(装备库!$A$2:$Y$1047,MATCH(ROW()-1,装备库!$AO$2:$AO$1046,0),COLUMN()),"")</f>
        <v/>
      </c>
      <c r="W968" t="str">
        <f>IFERROR(INDEX(装备库!$A$2:$Y$1047,MATCH(ROW()-1,装备库!$AO$2:$AO$1046,0),COLUMN()),"")</f>
        <v/>
      </c>
      <c r="X968" t="str">
        <f>IFERROR(INDEX(装备库!$A$2:$Y$1047,MATCH(ROW()-1,装备库!$AO$2:$AO$1046,0),COLUMN()),"")</f>
        <v/>
      </c>
      <c r="Y968" t="str">
        <f>IFERROR(INDEX(装备库!$A$2:$Y$1047,MATCH(ROW()-1,装备库!$AO$2:$AO$1046,0),COLUMN()),"")</f>
        <v/>
      </c>
    </row>
    <row r="969" spans="1:25" x14ac:dyDescent="0.35">
      <c r="A969" t="str">
        <f>IFERROR(INDEX(装备库!$A$2:$Y$1047,MATCH(ROW()-1,装备库!$AO$2:$AO$1046,0),COLUMN()),"")</f>
        <v/>
      </c>
      <c r="B969" t="str">
        <f>IFERROR(INDEX(装备库!$A$2:$Y$1047,MATCH(ROW()-1,装备库!$AO$2:$AO$1046,0),COLUMN()),"")</f>
        <v/>
      </c>
      <c r="C969" t="str">
        <f>IFERROR(INDEX(装备库!$A$2:$Y$1047,MATCH(ROW()-1,装备库!$AO$2:$AO$1046,0),COLUMN()),"")</f>
        <v/>
      </c>
      <c r="D969" t="str">
        <f>IFERROR(INDEX(装备库!$A$2:$Y$1047,MATCH(ROW()-1,装备库!$AO$2:$AO$1046,0),COLUMN()),"")</f>
        <v/>
      </c>
      <c r="E969" t="str">
        <f>IFERROR(INDEX(装备库!$A$2:$Y$1047,MATCH(ROW()-1,装备库!$AO$2:$AO$1046,0),COLUMN()),"")</f>
        <v/>
      </c>
      <c r="F969" t="str">
        <f>IFERROR(INDEX(装备库!$A$2:$Y$1047,MATCH(ROW()-1,装备库!$AO$2:$AO$1046,0),COLUMN()),"")</f>
        <v/>
      </c>
      <c r="G969" t="str">
        <f>IFERROR(INDEX(装备库!$A$2:$Y$1047,MATCH(ROW()-1,装备库!$AO$2:$AO$1046,0),COLUMN()),"")</f>
        <v/>
      </c>
      <c r="H969" t="str">
        <f>IFERROR(INDEX(装备库!$A$2:$Y$1047,MATCH(ROW()-1,装备库!$AO$2:$AO$1046,0),COLUMN()),"")</f>
        <v/>
      </c>
      <c r="I969" t="str">
        <f>IFERROR(INDEX(装备库!$A$2:$Y$1047,MATCH(ROW()-1,装备库!$AO$2:$AO$1046,0),COLUMN()),"")</f>
        <v/>
      </c>
      <c r="J969" t="str">
        <f>IFERROR(INDEX(装备库!$A$2:$Y$1047,MATCH(ROW()-1,装备库!$AO$2:$AO$1046,0),COLUMN()),"")</f>
        <v/>
      </c>
      <c r="K969" t="str">
        <f>IFERROR(INDEX(装备库!$A$2:$Y$1047,MATCH(ROW()-1,装备库!$AO$2:$AO$1046,0),COLUMN()),"")</f>
        <v/>
      </c>
      <c r="L969" t="str">
        <f>IFERROR(INDEX(装备库!$A$2:$Y$1047,MATCH(ROW()-1,装备库!$AO$2:$AO$1046,0),COLUMN()),"")</f>
        <v/>
      </c>
      <c r="M969" t="str">
        <f>IFERROR(INDEX(装备库!$A$2:$Y$1047,MATCH(ROW()-1,装备库!$AO$2:$AO$1046,0),COLUMN()),"")</f>
        <v/>
      </c>
      <c r="N969" t="str">
        <f>IFERROR(INDEX(装备库!$A$2:$Y$1047,MATCH(ROW()-1,装备库!$AO$2:$AO$1046,0),COLUMN()),"")</f>
        <v/>
      </c>
      <c r="O969" t="str">
        <f>IFERROR(INDEX(装备库!$A$2:$Y$1047,MATCH(ROW()-1,装备库!$AO$2:$AO$1046,0),COLUMN()),"")</f>
        <v/>
      </c>
      <c r="P969" t="str">
        <f>IFERROR(INDEX(装备库!$A$2:$Y$1047,MATCH(ROW()-1,装备库!$AO$2:$AO$1046,0),COLUMN()),"")</f>
        <v/>
      </c>
      <c r="Q969" t="str">
        <f>IFERROR(INDEX(装备库!$A$2:$Y$1047,MATCH(ROW()-1,装备库!$AO$2:$AO$1046,0),COLUMN()),"")</f>
        <v/>
      </c>
      <c r="R969" t="str">
        <f>IFERROR(INDEX(装备库!$A$2:$Y$1047,MATCH(ROW()-1,装备库!$AO$2:$AO$1046,0),COLUMN()),"")</f>
        <v/>
      </c>
      <c r="S969" t="str">
        <f>IFERROR(INDEX(装备库!$A$2:$Y$1047,MATCH(ROW()-1,装备库!$AO$2:$AO$1046,0),COLUMN()),"")</f>
        <v/>
      </c>
      <c r="T969" t="str">
        <f>IFERROR(INDEX(装备库!$A$2:$Y$1047,MATCH(ROW()-1,装备库!$AO$2:$AO$1046,0),COLUMN()),"")</f>
        <v/>
      </c>
      <c r="U969" t="str">
        <f>IFERROR(INDEX(装备库!$A$2:$Y$1047,MATCH(ROW()-1,装备库!$AO$2:$AO$1046,0),COLUMN()),"")</f>
        <v/>
      </c>
      <c r="V969" t="str">
        <f>IFERROR(INDEX(装备库!$A$2:$Y$1047,MATCH(ROW()-1,装备库!$AO$2:$AO$1046,0),COLUMN()),"")</f>
        <v/>
      </c>
      <c r="W969" t="str">
        <f>IFERROR(INDEX(装备库!$A$2:$Y$1047,MATCH(ROW()-1,装备库!$AO$2:$AO$1046,0),COLUMN()),"")</f>
        <v/>
      </c>
      <c r="X969" t="str">
        <f>IFERROR(INDEX(装备库!$A$2:$Y$1047,MATCH(ROW()-1,装备库!$AO$2:$AO$1046,0),COLUMN()),"")</f>
        <v/>
      </c>
      <c r="Y969" t="str">
        <f>IFERROR(INDEX(装备库!$A$2:$Y$1047,MATCH(ROW()-1,装备库!$AO$2:$AO$1046,0),COLUMN()),"")</f>
        <v/>
      </c>
    </row>
    <row r="970" spans="1:25" x14ac:dyDescent="0.35">
      <c r="A970" t="str">
        <f>IFERROR(INDEX(装备库!$A$2:$Y$1047,MATCH(ROW()-1,装备库!$AO$2:$AO$1046,0),COLUMN()),"")</f>
        <v/>
      </c>
      <c r="B970" t="str">
        <f>IFERROR(INDEX(装备库!$A$2:$Y$1047,MATCH(ROW()-1,装备库!$AO$2:$AO$1046,0),COLUMN()),"")</f>
        <v/>
      </c>
      <c r="C970" t="str">
        <f>IFERROR(INDEX(装备库!$A$2:$Y$1047,MATCH(ROW()-1,装备库!$AO$2:$AO$1046,0),COLUMN()),"")</f>
        <v/>
      </c>
      <c r="D970" t="str">
        <f>IFERROR(INDEX(装备库!$A$2:$Y$1047,MATCH(ROW()-1,装备库!$AO$2:$AO$1046,0),COLUMN()),"")</f>
        <v/>
      </c>
      <c r="E970" t="str">
        <f>IFERROR(INDEX(装备库!$A$2:$Y$1047,MATCH(ROW()-1,装备库!$AO$2:$AO$1046,0),COLUMN()),"")</f>
        <v/>
      </c>
      <c r="F970" t="str">
        <f>IFERROR(INDEX(装备库!$A$2:$Y$1047,MATCH(ROW()-1,装备库!$AO$2:$AO$1046,0),COLUMN()),"")</f>
        <v/>
      </c>
      <c r="G970" t="str">
        <f>IFERROR(INDEX(装备库!$A$2:$Y$1047,MATCH(ROW()-1,装备库!$AO$2:$AO$1046,0),COLUMN()),"")</f>
        <v/>
      </c>
      <c r="H970" t="str">
        <f>IFERROR(INDEX(装备库!$A$2:$Y$1047,MATCH(ROW()-1,装备库!$AO$2:$AO$1046,0),COLUMN()),"")</f>
        <v/>
      </c>
      <c r="I970" t="str">
        <f>IFERROR(INDEX(装备库!$A$2:$Y$1047,MATCH(ROW()-1,装备库!$AO$2:$AO$1046,0),COLUMN()),"")</f>
        <v/>
      </c>
      <c r="J970" t="str">
        <f>IFERROR(INDEX(装备库!$A$2:$Y$1047,MATCH(ROW()-1,装备库!$AO$2:$AO$1046,0),COLUMN()),"")</f>
        <v/>
      </c>
      <c r="K970" t="str">
        <f>IFERROR(INDEX(装备库!$A$2:$Y$1047,MATCH(ROW()-1,装备库!$AO$2:$AO$1046,0),COLUMN()),"")</f>
        <v/>
      </c>
      <c r="L970" t="str">
        <f>IFERROR(INDEX(装备库!$A$2:$Y$1047,MATCH(ROW()-1,装备库!$AO$2:$AO$1046,0),COLUMN()),"")</f>
        <v/>
      </c>
      <c r="M970" t="str">
        <f>IFERROR(INDEX(装备库!$A$2:$Y$1047,MATCH(ROW()-1,装备库!$AO$2:$AO$1046,0),COLUMN()),"")</f>
        <v/>
      </c>
      <c r="N970" t="str">
        <f>IFERROR(INDEX(装备库!$A$2:$Y$1047,MATCH(ROW()-1,装备库!$AO$2:$AO$1046,0),COLUMN()),"")</f>
        <v/>
      </c>
      <c r="O970" t="str">
        <f>IFERROR(INDEX(装备库!$A$2:$Y$1047,MATCH(ROW()-1,装备库!$AO$2:$AO$1046,0),COLUMN()),"")</f>
        <v/>
      </c>
      <c r="P970" t="str">
        <f>IFERROR(INDEX(装备库!$A$2:$Y$1047,MATCH(ROW()-1,装备库!$AO$2:$AO$1046,0),COLUMN()),"")</f>
        <v/>
      </c>
      <c r="Q970" t="str">
        <f>IFERROR(INDEX(装备库!$A$2:$Y$1047,MATCH(ROW()-1,装备库!$AO$2:$AO$1046,0),COLUMN()),"")</f>
        <v/>
      </c>
      <c r="R970" t="str">
        <f>IFERROR(INDEX(装备库!$A$2:$Y$1047,MATCH(ROW()-1,装备库!$AO$2:$AO$1046,0),COLUMN()),"")</f>
        <v/>
      </c>
      <c r="S970" t="str">
        <f>IFERROR(INDEX(装备库!$A$2:$Y$1047,MATCH(ROW()-1,装备库!$AO$2:$AO$1046,0),COLUMN()),"")</f>
        <v/>
      </c>
      <c r="T970" t="str">
        <f>IFERROR(INDEX(装备库!$A$2:$Y$1047,MATCH(ROW()-1,装备库!$AO$2:$AO$1046,0),COLUMN()),"")</f>
        <v/>
      </c>
      <c r="U970" t="str">
        <f>IFERROR(INDEX(装备库!$A$2:$Y$1047,MATCH(ROW()-1,装备库!$AO$2:$AO$1046,0),COLUMN()),"")</f>
        <v/>
      </c>
      <c r="V970" t="str">
        <f>IFERROR(INDEX(装备库!$A$2:$Y$1047,MATCH(ROW()-1,装备库!$AO$2:$AO$1046,0),COLUMN()),"")</f>
        <v/>
      </c>
      <c r="W970" t="str">
        <f>IFERROR(INDEX(装备库!$A$2:$Y$1047,MATCH(ROW()-1,装备库!$AO$2:$AO$1046,0),COLUMN()),"")</f>
        <v/>
      </c>
      <c r="X970" t="str">
        <f>IFERROR(INDEX(装备库!$A$2:$Y$1047,MATCH(ROW()-1,装备库!$AO$2:$AO$1046,0),COLUMN()),"")</f>
        <v/>
      </c>
      <c r="Y970" t="str">
        <f>IFERROR(INDEX(装备库!$A$2:$Y$1047,MATCH(ROW()-1,装备库!$AO$2:$AO$1046,0),COLUMN()),"")</f>
        <v/>
      </c>
    </row>
    <row r="971" spans="1:25" x14ac:dyDescent="0.35">
      <c r="A971" t="str">
        <f>IFERROR(INDEX(装备库!$A$2:$Y$1047,MATCH(ROW()-1,装备库!$AO$2:$AO$1046,0),COLUMN()),"")</f>
        <v/>
      </c>
      <c r="B971" t="str">
        <f>IFERROR(INDEX(装备库!$A$2:$Y$1047,MATCH(ROW()-1,装备库!$AO$2:$AO$1046,0),COLUMN()),"")</f>
        <v/>
      </c>
      <c r="C971" t="str">
        <f>IFERROR(INDEX(装备库!$A$2:$Y$1047,MATCH(ROW()-1,装备库!$AO$2:$AO$1046,0),COLUMN()),"")</f>
        <v/>
      </c>
      <c r="D971" t="str">
        <f>IFERROR(INDEX(装备库!$A$2:$Y$1047,MATCH(ROW()-1,装备库!$AO$2:$AO$1046,0),COLUMN()),"")</f>
        <v/>
      </c>
      <c r="E971" t="str">
        <f>IFERROR(INDEX(装备库!$A$2:$Y$1047,MATCH(ROW()-1,装备库!$AO$2:$AO$1046,0),COLUMN()),"")</f>
        <v/>
      </c>
      <c r="F971" t="str">
        <f>IFERROR(INDEX(装备库!$A$2:$Y$1047,MATCH(ROW()-1,装备库!$AO$2:$AO$1046,0),COLUMN()),"")</f>
        <v/>
      </c>
      <c r="G971" t="str">
        <f>IFERROR(INDEX(装备库!$A$2:$Y$1047,MATCH(ROW()-1,装备库!$AO$2:$AO$1046,0),COLUMN()),"")</f>
        <v/>
      </c>
      <c r="H971" t="str">
        <f>IFERROR(INDEX(装备库!$A$2:$Y$1047,MATCH(ROW()-1,装备库!$AO$2:$AO$1046,0),COLUMN()),"")</f>
        <v/>
      </c>
      <c r="I971" t="str">
        <f>IFERROR(INDEX(装备库!$A$2:$Y$1047,MATCH(ROW()-1,装备库!$AO$2:$AO$1046,0),COLUMN()),"")</f>
        <v/>
      </c>
      <c r="J971" t="str">
        <f>IFERROR(INDEX(装备库!$A$2:$Y$1047,MATCH(ROW()-1,装备库!$AO$2:$AO$1046,0),COLUMN()),"")</f>
        <v/>
      </c>
      <c r="K971" t="str">
        <f>IFERROR(INDEX(装备库!$A$2:$Y$1047,MATCH(ROW()-1,装备库!$AO$2:$AO$1046,0),COLUMN()),"")</f>
        <v/>
      </c>
      <c r="L971" t="str">
        <f>IFERROR(INDEX(装备库!$A$2:$Y$1047,MATCH(ROW()-1,装备库!$AO$2:$AO$1046,0),COLUMN()),"")</f>
        <v/>
      </c>
      <c r="M971" t="str">
        <f>IFERROR(INDEX(装备库!$A$2:$Y$1047,MATCH(ROW()-1,装备库!$AO$2:$AO$1046,0),COLUMN()),"")</f>
        <v/>
      </c>
      <c r="N971" t="str">
        <f>IFERROR(INDEX(装备库!$A$2:$Y$1047,MATCH(ROW()-1,装备库!$AO$2:$AO$1046,0),COLUMN()),"")</f>
        <v/>
      </c>
      <c r="O971" t="str">
        <f>IFERROR(INDEX(装备库!$A$2:$Y$1047,MATCH(ROW()-1,装备库!$AO$2:$AO$1046,0),COLUMN()),"")</f>
        <v/>
      </c>
      <c r="P971" t="str">
        <f>IFERROR(INDEX(装备库!$A$2:$Y$1047,MATCH(ROW()-1,装备库!$AO$2:$AO$1046,0),COLUMN()),"")</f>
        <v/>
      </c>
      <c r="Q971" t="str">
        <f>IFERROR(INDEX(装备库!$A$2:$Y$1047,MATCH(ROW()-1,装备库!$AO$2:$AO$1046,0),COLUMN()),"")</f>
        <v/>
      </c>
      <c r="R971" t="str">
        <f>IFERROR(INDEX(装备库!$A$2:$Y$1047,MATCH(ROW()-1,装备库!$AO$2:$AO$1046,0),COLUMN()),"")</f>
        <v/>
      </c>
      <c r="S971" t="str">
        <f>IFERROR(INDEX(装备库!$A$2:$Y$1047,MATCH(ROW()-1,装备库!$AO$2:$AO$1046,0),COLUMN()),"")</f>
        <v/>
      </c>
      <c r="T971" t="str">
        <f>IFERROR(INDEX(装备库!$A$2:$Y$1047,MATCH(ROW()-1,装备库!$AO$2:$AO$1046,0),COLUMN()),"")</f>
        <v/>
      </c>
      <c r="U971" t="str">
        <f>IFERROR(INDEX(装备库!$A$2:$Y$1047,MATCH(ROW()-1,装备库!$AO$2:$AO$1046,0),COLUMN()),"")</f>
        <v/>
      </c>
      <c r="V971" t="str">
        <f>IFERROR(INDEX(装备库!$A$2:$Y$1047,MATCH(ROW()-1,装备库!$AO$2:$AO$1046,0),COLUMN()),"")</f>
        <v/>
      </c>
      <c r="W971" t="str">
        <f>IFERROR(INDEX(装备库!$A$2:$Y$1047,MATCH(ROW()-1,装备库!$AO$2:$AO$1046,0),COLUMN()),"")</f>
        <v/>
      </c>
      <c r="X971" t="str">
        <f>IFERROR(INDEX(装备库!$A$2:$Y$1047,MATCH(ROW()-1,装备库!$AO$2:$AO$1046,0),COLUMN()),"")</f>
        <v/>
      </c>
      <c r="Y971" t="str">
        <f>IFERROR(INDEX(装备库!$A$2:$Y$1047,MATCH(ROW()-1,装备库!$AO$2:$AO$1046,0),COLUMN()),"")</f>
        <v/>
      </c>
    </row>
    <row r="972" spans="1:25" x14ac:dyDescent="0.35">
      <c r="A972" t="str">
        <f>IFERROR(INDEX(装备库!$A$2:$Y$1047,MATCH(ROW()-1,装备库!$AO$2:$AO$1046,0),COLUMN()),"")</f>
        <v/>
      </c>
      <c r="B972" t="str">
        <f>IFERROR(INDEX(装备库!$A$2:$Y$1047,MATCH(ROW()-1,装备库!$AO$2:$AO$1046,0),COLUMN()),"")</f>
        <v/>
      </c>
      <c r="C972" t="str">
        <f>IFERROR(INDEX(装备库!$A$2:$Y$1047,MATCH(ROW()-1,装备库!$AO$2:$AO$1046,0),COLUMN()),"")</f>
        <v/>
      </c>
      <c r="D972" t="str">
        <f>IFERROR(INDEX(装备库!$A$2:$Y$1047,MATCH(ROW()-1,装备库!$AO$2:$AO$1046,0),COLUMN()),"")</f>
        <v/>
      </c>
      <c r="E972" t="str">
        <f>IFERROR(INDEX(装备库!$A$2:$Y$1047,MATCH(ROW()-1,装备库!$AO$2:$AO$1046,0),COLUMN()),"")</f>
        <v/>
      </c>
      <c r="F972" t="str">
        <f>IFERROR(INDEX(装备库!$A$2:$Y$1047,MATCH(ROW()-1,装备库!$AO$2:$AO$1046,0),COLUMN()),"")</f>
        <v/>
      </c>
      <c r="G972" t="str">
        <f>IFERROR(INDEX(装备库!$A$2:$Y$1047,MATCH(ROW()-1,装备库!$AO$2:$AO$1046,0),COLUMN()),"")</f>
        <v/>
      </c>
      <c r="H972" t="str">
        <f>IFERROR(INDEX(装备库!$A$2:$Y$1047,MATCH(ROW()-1,装备库!$AO$2:$AO$1046,0),COLUMN()),"")</f>
        <v/>
      </c>
      <c r="I972" t="str">
        <f>IFERROR(INDEX(装备库!$A$2:$Y$1047,MATCH(ROW()-1,装备库!$AO$2:$AO$1046,0),COLUMN()),"")</f>
        <v/>
      </c>
      <c r="J972" t="str">
        <f>IFERROR(INDEX(装备库!$A$2:$Y$1047,MATCH(ROW()-1,装备库!$AO$2:$AO$1046,0),COLUMN()),"")</f>
        <v/>
      </c>
      <c r="K972" t="str">
        <f>IFERROR(INDEX(装备库!$A$2:$Y$1047,MATCH(ROW()-1,装备库!$AO$2:$AO$1046,0),COLUMN()),"")</f>
        <v/>
      </c>
      <c r="L972" t="str">
        <f>IFERROR(INDEX(装备库!$A$2:$Y$1047,MATCH(ROW()-1,装备库!$AO$2:$AO$1046,0),COLUMN()),"")</f>
        <v/>
      </c>
      <c r="M972" t="str">
        <f>IFERROR(INDEX(装备库!$A$2:$Y$1047,MATCH(ROW()-1,装备库!$AO$2:$AO$1046,0),COLUMN()),"")</f>
        <v/>
      </c>
      <c r="N972" t="str">
        <f>IFERROR(INDEX(装备库!$A$2:$Y$1047,MATCH(ROW()-1,装备库!$AO$2:$AO$1046,0),COLUMN()),"")</f>
        <v/>
      </c>
      <c r="O972" t="str">
        <f>IFERROR(INDEX(装备库!$A$2:$Y$1047,MATCH(ROW()-1,装备库!$AO$2:$AO$1046,0),COLUMN()),"")</f>
        <v/>
      </c>
      <c r="P972" t="str">
        <f>IFERROR(INDEX(装备库!$A$2:$Y$1047,MATCH(ROW()-1,装备库!$AO$2:$AO$1046,0),COLUMN()),"")</f>
        <v/>
      </c>
      <c r="Q972" t="str">
        <f>IFERROR(INDEX(装备库!$A$2:$Y$1047,MATCH(ROW()-1,装备库!$AO$2:$AO$1046,0),COLUMN()),"")</f>
        <v/>
      </c>
      <c r="R972" t="str">
        <f>IFERROR(INDEX(装备库!$A$2:$Y$1047,MATCH(ROW()-1,装备库!$AO$2:$AO$1046,0),COLUMN()),"")</f>
        <v/>
      </c>
      <c r="S972" t="str">
        <f>IFERROR(INDEX(装备库!$A$2:$Y$1047,MATCH(ROW()-1,装备库!$AO$2:$AO$1046,0),COLUMN()),"")</f>
        <v/>
      </c>
      <c r="T972" t="str">
        <f>IFERROR(INDEX(装备库!$A$2:$Y$1047,MATCH(ROW()-1,装备库!$AO$2:$AO$1046,0),COLUMN()),"")</f>
        <v/>
      </c>
      <c r="U972" t="str">
        <f>IFERROR(INDEX(装备库!$A$2:$Y$1047,MATCH(ROW()-1,装备库!$AO$2:$AO$1046,0),COLUMN()),"")</f>
        <v/>
      </c>
      <c r="V972" t="str">
        <f>IFERROR(INDEX(装备库!$A$2:$Y$1047,MATCH(ROW()-1,装备库!$AO$2:$AO$1046,0),COLUMN()),"")</f>
        <v/>
      </c>
      <c r="W972" t="str">
        <f>IFERROR(INDEX(装备库!$A$2:$Y$1047,MATCH(ROW()-1,装备库!$AO$2:$AO$1046,0),COLUMN()),"")</f>
        <v/>
      </c>
      <c r="X972" t="str">
        <f>IFERROR(INDEX(装备库!$A$2:$Y$1047,MATCH(ROW()-1,装备库!$AO$2:$AO$1046,0),COLUMN()),"")</f>
        <v/>
      </c>
      <c r="Y972" t="str">
        <f>IFERROR(INDEX(装备库!$A$2:$Y$1047,MATCH(ROW()-1,装备库!$AO$2:$AO$1046,0),COLUMN()),"")</f>
        <v/>
      </c>
    </row>
    <row r="973" spans="1:25" x14ac:dyDescent="0.35">
      <c r="A973" t="str">
        <f>IFERROR(INDEX(装备库!$A$2:$Y$1047,MATCH(ROW()-1,装备库!$AO$2:$AO$1046,0),COLUMN()),"")</f>
        <v/>
      </c>
      <c r="B973" t="str">
        <f>IFERROR(INDEX(装备库!$A$2:$Y$1047,MATCH(ROW()-1,装备库!$AO$2:$AO$1046,0),COLUMN()),"")</f>
        <v/>
      </c>
      <c r="C973" t="str">
        <f>IFERROR(INDEX(装备库!$A$2:$Y$1047,MATCH(ROW()-1,装备库!$AO$2:$AO$1046,0),COLUMN()),"")</f>
        <v/>
      </c>
      <c r="D973" t="str">
        <f>IFERROR(INDEX(装备库!$A$2:$Y$1047,MATCH(ROW()-1,装备库!$AO$2:$AO$1046,0),COLUMN()),"")</f>
        <v/>
      </c>
      <c r="E973" t="str">
        <f>IFERROR(INDEX(装备库!$A$2:$Y$1047,MATCH(ROW()-1,装备库!$AO$2:$AO$1046,0),COLUMN()),"")</f>
        <v/>
      </c>
      <c r="F973" t="str">
        <f>IFERROR(INDEX(装备库!$A$2:$Y$1047,MATCH(ROW()-1,装备库!$AO$2:$AO$1046,0),COLUMN()),"")</f>
        <v/>
      </c>
      <c r="G973" t="str">
        <f>IFERROR(INDEX(装备库!$A$2:$Y$1047,MATCH(ROW()-1,装备库!$AO$2:$AO$1046,0),COLUMN()),"")</f>
        <v/>
      </c>
      <c r="H973" t="str">
        <f>IFERROR(INDEX(装备库!$A$2:$Y$1047,MATCH(ROW()-1,装备库!$AO$2:$AO$1046,0),COLUMN()),"")</f>
        <v/>
      </c>
      <c r="I973" t="str">
        <f>IFERROR(INDEX(装备库!$A$2:$Y$1047,MATCH(ROW()-1,装备库!$AO$2:$AO$1046,0),COLUMN()),"")</f>
        <v/>
      </c>
      <c r="J973" t="str">
        <f>IFERROR(INDEX(装备库!$A$2:$Y$1047,MATCH(ROW()-1,装备库!$AO$2:$AO$1046,0),COLUMN()),"")</f>
        <v/>
      </c>
      <c r="K973" t="str">
        <f>IFERROR(INDEX(装备库!$A$2:$Y$1047,MATCH(ROW()-1,装备库!$AO$2:$AO$1046,0),COLUMN()),"")</f>
        <v/>
      </c>
      <c r="L973" t="str">
        <f>IFERROR(INDEX(装备库!$A$2:$Y$1047,MATCH(ROW()-1,装备库!$AO$2:$AO$1046,0),COLUMN()),"")</f>
        <v/>
      </c>
      <c r="M973" t="str">
        <f>IFERROR(INDEX(装备库!$A$2:$Y$1047,MATCH(ROW()-1,装备库!$AO$2:$AO$1046,0),COLUMN()),"")</f>
        <v/>
      </c>
      <c r="N973" t="str">
        <f>IFERROR(INDEX(装备库!$A$2:$Y$1047,MATCH(ROW()-1,装备库!$AO$2:$AO$1046,0),COLUMN()),"")</f>
        <v/>
      </c>
      <c r="O973" t="str">
        <f>IFERROR(INDEX(装备库!$A$2:$Y$1047,MATCH(ROW()-1,装备库!$AO$2:$AO$1046,0),COLUMN()),"")</f>
        <v/>
      </c>
      <c r="P973" t="str">
        <f>IFERROR(INDEX(装备库!$A$2:$Y$1047,MATCH(ROW()-1,装备库!$AO$2:$AO$1046,0),COLUMN()),"")</f>
        <v/>
      </c>
      <c r="Q973" t="str">
        <f>IFERROR(INDEX(装备库!$A$2:$Y$1047,MATCH(ROW()-1,装备库!$AO$2:$AO$1046,0),COLUMN()),"")</f>
        <v/>
      </c>
      <c r="R973" t="str">
        <f>IFERROR(INDEX(装备库!$A$2:$Y$1047,MATCH(ROW()-1,装备库!$AO$2:$AO$1046,0),COLUMN()),"")</f>
        <v/>
      </c>
      <c r="S973" t="str">
        <f>IFERROR(INDEX(装备库!$A$2:$Y$1047,MATCH(ROW()-1,装备库!$AO$2:$AO$1046,0),COLUMN()),"")</f>
        <v/>
      </c>
      <c r="T973" t="str">
        <f>IFERROR(INDEX(装备库!$A$2:$Y$1047,MATCH(ROW()-1,装备库!$AO$2:$AO$1046,0),COLUMN()),"")</f>
        <v/>
      </c>
      <c r="U973" t="str">
        <f>IFERROR(INDEX(装备库!$A$2:$Y$1047,MATCH(ROW()-1,装备库!$AO$2:$AO$1046,0),COLUMN()),"")</f>
        <v/>
      </c>
      <c r="V973" t="str">
        <f>IFERROR(INDEX(装备库!$A$2:$Y$1047,MATCH(ROW()-1,装备库!$AO$2:$AO$1046,0),COLUMN()),"")</f>
        <v/>
      </c>
      <c r="W973" t="str">
        <f>IFERROR(INDEX(装备库!$A$2:$Y$1047,MATCH(ROW()-1,装备库!$AO$2:$AO$1046,0),COLUMN()),"")</f>
        <v/>
      </c>
      <c r="X973" t="str">
        <f>IFERROR(INDEX(装备库!$A$2:$Y$1047,MATCH(ROW()-1,装备库!$AO$2:$AO$1046,0),COLUMN()),"")</f>
        <v/>
      </c>
      <c r="Y973" t="str">
        <f>IFERROR(INDEX(装备库!$A$2:$Y$1047,MATCH(ROW()-1,装备库!$AO$2:$AO$1046,0),COLUMN()),"")</f>
        <v/>
      </c>
    </row>
    <row r="974" spans="1:25" x14ac:dyDescent="0.35">
      <c r="A974" t="str">
        <f>IFERROR(INDEX(装备库!$A$2:$Y$1047,MATCH(ROW()-1,装备库!$AO$2:$AO$1046,0),COLUMN()),"")</f>
        <v/>
      </c>
      <c r="B974" t="str">
        <f>IFERROR(INDEX(装备库!$A$2:$Y$1047,MATCH(ROW()-1,装备库!$AO$2:$AO$1046,0),COLUMN()),"")</f>
        <v/>
      </c>
      <c r="C974" t="str">
        <f>IFERROR(INDEX(装备库!$A$2:$Y$1047,MATCH(ROW()-1,装备库!$AO$2:$AO$1046,0),COLUMN()),"")</f>
        <v/>
      </c>
      <c r="D974" t="str">
        <f>IFERROR(INDEX(装备库!$A$2:$Y$1047,MATCH(ROW()-1,装备库!$AO$2:$AO$1046,0),COLUMN()),"")</f>
        <v/>
      </c>
      <c r="E974" t="str">
        <f>IFERROR(INDEX(装备库!$A$2:$Y$1047,MATCH(ROW()-1,装备库!$AO$2:$AO$1046,0),COLUMN()),"")</f>
        <v/>
      </c>
      <c r="F974" t="str">
        <f>IFERROR(INDEX(装备库!$A$2:$Y$1047,MATCH(ROW()-1,装备库!$AO$2:$AO$1046,0),COLUMN()),"")</f>
        <v/>
      </c>
      <c r="G974" t="str">
        <f>IFERROR(INDEX(装备库!$A$2:$Y$1047,MATCH(ROW()-1,装备库!$AO$2:$AO$1046,0),COLUMN()),"")</f>
        <v/>
      </c>
      <c r="H974" t="str">
        <f>IFERROR(INDEX(装备库!$A$2:$Y$1047,MATCH(ROW()-1,装备库!$AO$2:$AO$1046,0),COLUMN()),"")</f>
        <v/>
      </c>
      <c r="I974" t="str">
        <f>IFERROR(INDEX(装备库!$A$2:$Y$1047,MATCH(ROW()-1,装备库!$AO$2:$AO$1046,0),COLUMN()),"")</f>
        <v/>
      </c>
      <c r="J974" t="str">
        <f>IFERROR(INDEX(装备库!$A$2:$Y$1047,MATCH(ROW()-1,装备库!$AO$2:$AO$1046,0),COLUMN()),"")</f>
        <v/>
      </c>
      <c r="K974" t="str">
        <f>IFERROR(INDEX(装备库!$A$2:$Y$1047,MATCH(ROW()-1,装备库!$AO$2:$AO$1046,0),COLUMN()),"")</f>
        <v/>
      </c>
      <c r="L974" t="str">
        <f>IFERROR(INDEX(装备库!$A$2:$Y$1047,MATCH(ROW()-1,装备库!$AO$2:$AO$1046,0),COLUMN()),"")</f>
        <v/>
      </c>
      <c r="M974" t="str">
        <f>IFERROR(INDEX(装备库!$A$2:$Y$1047,MATCH(ROW()-1,装备库!$AO$2:$AO$1046,0),COLUMN()),"")</f>
        <v/>
      </c>
      <c r="N974" t="str">
        <f>IFERROR(INDEX(装备库!$A$2:$Y$1047,MATCH(ROW()-1,装备库!$AO$2:$AO$1046,0),COLUMN()),"")</f>
        <v/>
      </c>
      <c r="O974" t="str">
        <f>IFERROR(INDEX(装备库!$A$2:$Y$1047,MATCH(ROW()-1,装备库!$AO$2:$AO$1046,0),COLUMN()),"")</f>
        <v/>
      </c>
      <c r="P974" t="str">
        <f>IFERROR(INDEX(装备库!$A$2:$Y$1047,MATCH(ROW()-1,装备库!$AO$2:$AO$1046,0),COLUMN()),"")</f>
        <v/>
      </c>
      <c r="Q974" t="str">
        <f>IFERROR(INDEX(装备库!$A$2:$Y$1047,MATCH(ROW()-1,装备库!$AO$2:$AO$1046,0),COLUMN()),"")</f>
        <v/>
      </c>
      <c r="R974" t="str">
        <f>IFERROR(INDEX(装备库!$A$2:$Y$1047,MATCH(ROW()-1,装备库!$AO$2:$AO$1046,0),COLUMN()),"")</f>
        <v/>
      </c>
      <c r="S974" t="str">
        <f>IFERROR(INDEX(装备库!$A$2:$Y$1047,MATCH(ROW()-1,装备库!$AO$2:$AO$1046,0),COLUMN()),"")</f>
        <v/>
      </c>
      <c r="T974" t="str">
        <f>IFERROR(INDEX(装备库!$A$2:$Y$1047,MATCH(ROW()-1,装备库!$AO$2:$AO$1046,0),COLUMN()),"")</f>
        <v/>
      </c>
      <c r="U974" t="str">
        <f>IFERROR(INDEX(装备库!$A$2:$Y$1047,MATCH(ROW()-1,装备库!$AO$2:$AO$1046,0),COLUMN()),"")</f>
        <v/>
      </c>
      <c r="V974" t="str">
        <f>IFERROR(INDEX(装备库!$A$2:$Y$1047,MATCH(ROW()-1,装备库!$AO$2:$AO$1046,0),COLUMN()),"")</f>
        <v/>
      </c>
      <c r="W974" t="str">
        <f>IFERROR(INDEX(装备库!$A$2:$Y$1047,MATCH(ROW()-1,装备库!$AO$2:$AO$1046,0),COLUMN()),"")</f>
        <v/>
      </c>
      <c r="X974" t="str">
        <f>IFERROR(INDEX(装备库!$A$2:$Y$1047,MATCH(ROW()-1,装备库!$AO$2:$AO$1046,0),COLUMN()),"")</f>
        <v/>
      </c>
      <c r="Y974" t="str">
        <f>IFERROR(INDEX(装备库!$A$2:$Y$1047,MATCH(ROW()-1,装备库!$AO$2:$AO$1046,0),COLUMN()),"")</f>
        <v/>
      </c>
    </row>
    <row r="975" spans="1:25" x14ac:dyDescent="0.35">
      <c r="A975" t="str">
        <f>IFERROR(INDEX(装备库!$A$2:$Y$1047,MATCH(ROW()-1,装备库!$AO$2:$AO$1046,0),COLUMN()),"")</f>
        <v/>
      </c>
      <c r="B975" t="str">
        <f>IFERROR(INDEX(装备库!$A$2:$Y$1047,MATCH(ROW()-1,装备库!$AO$2:$AO$1046,0),COLUMN()),"")</f>
        <v/>
      </c>
      <c r="C975" t="str">
        <f>IFERROR(INDEX(装备库!$A$2:$Y$1047,MATCH(ROW()-1,装备库!$AO$2:$AO$1046,0),COLUMN()),"")</f>
        <v/>
      </c>
      <c r="D975" t="str">
        <f>IFERROR(INDEX(装备库!$A$2:$Y$1047,MATCH(ROW()-1,装备库!$AO$2:$AO$1046,0),COLUMN()),"")</f>
        <v/>
      </c>
      <c r="E975" t="str">
        <f>IFERROR(INDEX(装备库!$A$2:$Y$1047,MATCH(ROW()-1,装备库!$AO$2:$AO$1046,0),COLUMN()),"")</f>
        <v/>
      </c>
      <c r="F975" t="str">
        <f>IFERROR(INDEX(装备库!$A$2:$Y$1047,MATCH(ROW()-1,装备库!$AO$2:$AO$1046,0),COLUMN()),"")</f>
        <v/>
      </c>
      <c r="G975" t="str">
        <f>IFERROR(INDEX(装备库!$A$2:$Y$1047,MATCH(ROW()-1,装备库!$AO$2:$AO$1046,0),COLUMN()),"")</f>
        <v/>
      </c>
      <c r="H975" t="str">
        <f>IFERROR(INDEX(装备库!$A$2:$Y$1047,MATCH(ROW()-1,装备库!$AO$2:$AO$1046,0),COLUMN()),"")</f>
        <v/>
      </c>
      <c r="I975" t="str">
        <f>IFERROR(INDEX(装备库!$A$2:$Y$1047,MATCH(ROW()-1,装备库!$AO$2:$AO$1046,0),COLUMN()),"")</f>
        <v/>
      </c>
      <c r="J975" t="str">
        <f>IFERROR(INDEX(装备库!$A$2:$Y$1047,MATCH(ROW()-1,装备库!$AO$2:$AO$1046,0),COLUMN()),"")</f>
        <v/>
      </c>
      <c r="K975" t="str">
        <f>IFERROR(INDEX(装备库!$A$2:$Y$1047,MATCH(ROW()-1,装备库!$AO$2:$AO$1046,0),COLUMN()),"")</f>
        <v/>
      </c>
      <c r="L975" t="str">
        <f>IFERROR(INDEX(装备库!$A$2:$Y$1047,MATCH(ROW()-1,装备库!$AO$2:$AO$1046,0),COLUMN()),"")</f>
        <v/>
      </c>
      <c r="M975" t="str">
        <f>IFERROR(INDEX(装备库!$A$2:$Y$1047,MATCH(ROW()-1,装备库!$AO$2:$AO$1046,0),COLUMN()),"")</f>
        <v/>
      </c>
      <c r="N975" t="str">
        <f>IFERROR(INDEX(装备库!$A$2:$Y$1047,MATCH(ROW()-1,装备库!$AO$2:$AO$1046,0),COLUMN()),"")</f>
        <v/>
      </c>
      <c r="O975" t="str">
        <f>IFERROR(INDEX(装备库!$A$2:$Y$1047,MATCH(ROW()-1,装备库!$AO$2:$AO$1046,0),COLUMN()),"")</f>
        <v/>
      </c>
      <c r="P975" t="str">
        <f>IFERROR(INDEX(装备库!$A$2:$Y$1047,MATCH(ROW()-1,装备库!$AO$2:$AO$1046,0),COLUMN()),"")</f>
        <v/>
      </c>
      <c r="Q975" t="str">
        <f>IFERROR(INDEX(装备库!$A$2:$Y$1047,MATCH(ROW()-1,装备库!$AO$2:$AO$1046,0),COLUMN()),"")</f>
        <v/>
      </c>
      <c r="R975" t="str">
        <f>IFERROR(INDEX(装备库!$A$2:$Y$1047,MATCH(ROW()-1,装备库!$AO$2:$AO$1046,0),COLUMN()),"")</f>
        <v/>
      </c>
      <c r="S975" t="str">
        <f>IFERROR(INDEX(装备库!$A$2:$Y$1047,MATCH(ROW()-1,装备库!$AO$2:$AO$1046,0),COLUMN()),"")</f>
        <v/>
      </c>
      <c r="T975" t="str">
        <f>IFERROR(INDEX(装备库!$A$2:$Y$1047,MATCH(ROW()-1,装备库!$AO$2:$AO$1046,0),COLUMN()),"")</f>
        <v/>
      </c>
      <c r="U975" t="str">
        <f>IFERROR(INDEX(装备库!$A$2:$Y$1047,MATCH(ROW()-1,装备库!$AO$2:$AO$1046,0),COLUMN()),"")</f>
        <v/>
      </c>
      <c r="V975" t="str">
        <f>IFERROR(INDEX(装备库!$A$2:$Y$1047,MATCH(ROW()-1,装备库!$AO$2:$AO$1046,0),COLUMN()),"")</f>
        <v/>
      </c>
      <c r="W975" t="str">
        <f>IFERROR(INDEX(装备库!$A$2:$Y$1047,MATCH(ROW()-1,装备库!$AO$2:$AO$1046,0),COLUMN()),"")</f>
        <v/>
      </c>
      <c r="X975" t="str">
        <f>IFERROR(INDEX(装备库!$A$2:$Y$1047,MATCH(ROW()-1,装备库!$AO$2:$AO$1046,0),COLUMN()),"")</f>
        <v/>
      </c>
      <c r="Y975" t="str">
        <f>IFERROR(INDEX(装备库!$A$2:$Y$1047,MATCH(ROW()-1,装备库!$AO$2:$AO$1046,0),COLUMN()),"")</f>
        <v/>
      </c>
    </row>
    <row r="976" spans="1:25" x14ac:dyDescent="0.35">
      <c r="A976" t="str">
        <f>IFERROR(INDEX(装备库!$A$2:$Y$1047,MATCH(ROW()-1,装备库!$AO$2:$AO$1046,0),COLUMN()),"")</f>
        <v/>
      </c>
      <c r="B976" t="str">
        <f>IFERROR(INDEX(装备库!$A$2:$Y$1047,MATCH(ROW()-1,装备库!$AO$2:$AO$1046,0),COLUMN()),"")</f>
        <v/>
      </c>
      <c r="C976" t="str">
        <f>IFERROR(INDEX(装备库!$A$2:$Y$1047,MATCH(ROW()-1,装备库!$AO$2:$AO$1046,0),COLUMN()),"")</f>
        <v/>
      </c>
      <c r="D976" t="str">
        <f>IFERROR(INDEX(装备库!$A$2:$Y$1047,MATCH(ROW()-1,装备库!$AO$2:$AO$1046,0),COLUMN()),"")</f>
        <v/>
      </c>
      <c r="E976" t="str">
        <f>IFERROR(INDEX(装备库!$A$2:$Y$1047,MATCH(ROW()-1,装备库!$AO$2:$AO$1046,0),COLUMN()),"")</f>
        <v/>
      </c>
      <c r="F976" t="str">
        <f>IFERROR(INDEX(装备库!$A$2:$Y$1047,MATCH(ROW()-1,装备库!$AO$2:$AO$1046,0),COLUMN()),"")</f>
        <v/>
      </c>
      <c r="G976" t="str">
        <f>IFERROR(INDEX(装备库!$A$2:$Y$1047,MATCH(ROW()-1,装备库!$AO$2:$AO$1046,0),COLUMN()),"")</f>
        <v/>
      </c>
      <c r="H976" t="str">
        <f>IFERROR(INDEX(装备库!$A$2:$Y$1047,MATCH(ROW()-1,装备库!$AO$2:$AO$1046,0),COLUMN()),"")</f>
        <v/>
      </c>
      <c r="I976" t="str">
        <f>IFERROR(INDEX(装备库!$A$2:$Y$1047,MATCH(ROW()-1,装备库!$AO$2:$AO$1046,0),COLUMN()),"")</f>
        <v/>
      </c>
      <c r="J976" t="str">
        <f>IFERROR(INDEX(装备库!$A$2:$Y$1047,MATCH(ROW()-1,装备库!$AO$2:$AO$1046,0),COLUMN()),"")</f>
        <v/>
      </c>
      <c r="K976" t="str">
        <f>IFERROR(INDEX(装备库!$A$2:$Y$1047,MATCH(ROW()-1,装备库!$AO$2:$AO$1046,0),COLUMN()),"")</f>
        <v/>
      </c>
      <c r="L976" t="str">
        <f>IFERROR(INDEX(装备库!$A$2:$Y$1047,MATCH(ROW()-1,装备库!$AO$2:$AO$1046,0),COLUMN()),"")</f>
        <v/>
      </c>
      <c r="M976" t="str">
        <f>IFERROR(INDEX(装备库!$A$2:$Y$1047,MATCH(ROW()-1,装备库!$AO$2:$AO$1046,0),COLUMN()),"")</f>
        <v/>
      </c>
      <c r="N976" t="str">
        <f>IFERROR(INDEX(装备库!$A$2:$Y$1047,MATCH(ROW()-1,装备库!$AO$2:$AO$1046,0),COLUMN()),"")</f>
        <v/>
      </c>
      <c r="O976" t="str">
        <f>IFERROR(INDEX(装备库!$A$2:$Y$1047,MATCH(ROW()-1,装备库!$AO$2:$AO$1046,0),COLUMN()),"")</f>
        <v/>
      </c>
      <c r="P976" t="str">
        <f>IFERROR(INDEX(装备库!$A$2:$Y$1047,MATCH(ROW()-1,装备库!$AO$2:$AO$1046,0),COLUMN()),"")</f>
        <v/>
      </c>
      <c r="Q976" t="str">
        <f>IFERROR(INDEX(装备库!$A$2:$Y$1047,MATCH(ROW()-1,装备库!$AO$2:$AO$1046,0),COLUMN()),"")</f>
        <v/>
      </c>
      <c r="R976" t="str">
        <f>IFERROR(INDEX(装备库!$A$2:$Y$1047,MATCH(ROW()-1,装备库!$AO$2:$AO$1046,0),COLUMN()),"")</f>
        <v/>
      </c>
      <c r="S976" t="str">
        <f>IFERROR(INDEX(装备库!$A$2:$Y$1047,MATCH(ROW()-1,装备库!$AO$2:$AO$1046,0),COLUMN()),"")</f>
        <v/>
      </c>
      <c r="T976" t="str">
        <f>IFERROR(INDEX(装备库!$A$2:$Y$1047,MATCH(ROW()-1,装备库!$AO$2:$AO$1046,0),COLUMN()),"")</f>
        <v/>
      </c>
      <c r="U976" t="str">
        <f>IFERROR(INDEX(装备库!$A$2:$Y$1047,MATCH(ROW()-1,装备库!$AO$2:$AO$1046,0),COLUMN()),"")</f>
        <v/>
      </c>
      <c r="V976" t="str">
        <f>IFERROR(INDEX(装备库!$A$2:$Y$1047,MATCH(ROW()-1,装备库!$AO$2:$AO$1046,0),COLUMN()),"")</f>
        <v/>
      </c>
      <c r="W976" t="str">
        <f>IFERROR(INDEX(装备库!$A$2:$Y$1047,MATCH(ROW()-1,装备库!$AO$2:$AO$1046,0),COLUMN()),"")</f>
        <v/>
      </c>
      <c r="X976" t="str">
        <f>IFERROR(INDEX(装备库!$A$2:$Y$1047,MATCH(ROW()-1,装备库!$AO$2:$AO$1046,0),COLUMN()),"")</f>
        <v/>
      </c>
      <c r="Y976" t="str">
        <f>IFERROR(INDEX(装备库!$A$2:$Y$1047,MATCH(ROW()-1,装备库!$AO$2:$AO$1046,0),COLUMN()),"")</f>
        <v/>
      </c>
    </row>
    <row r="977" spans="1:25" x14ac:dyDescent="0.35">
      <c r="A977" t="str">
        <f>IFERROR(INDEX(装备库!$A$2:$Y$1047,MATCH(ROW()-1,装备库!$AO$2:$AO$1046,0),COLUMN()),"")</f>
        <v/>
      </c>
      <c r="B977" t="str">
        <f>IFERROR(INDEX(装备库!$A$2:$Y$1047,MATCH(ROW()-1,装备库!$AO$2:$AO$1046,0),COLUMN()),"")</f>
        <v/>
      </c>
      <c r="C977" t="str">
        <f>IFERROR(INDEX(装备库!$A$2:$Y$1047,MATCH(ROW()-1,装备库!$AO$2:$AO$1046,0),COLUMN()),"")</f>
        <v/>
      </c>
      <c r="D977" t="str">
        <f>IFERROR(INDEX(装备库!$A$2:$Y$1047,MATCH(ROW()-1,装备库!$AO$2:$AO$1046,0),COLUMN()),"")</f>
        <v/>
      </c>
      <c r="E977" t="str">
        <f>IFERROR(INDEX(装备库!$A$2:$Y$1047,MATCH(ROW()-1,装备库!$AO$2:$AO$1046,0),COLUMN()),"")</f>
        <v/>
      </c>
      <c r="F977" t="str">
        <f>IFERROR(INDEX(装备库!$A$2:$Y$1047,MATCH(ROW()-1,装备库!$AO$2:$AO$1046,0),COLUMN()),"")</f>
        <v/>
      </c>
      <c r="G977" t="str">
        <f>IFERROR(INDEX(装备库!$A$2:$Y$1047,MATCH(ROW()-1,装备库!$AO$2:$AO$1046,0),COLUMN()),"")</f>
        <v/>
      </c>
      <c r="H977" t="str">
        <f>IFERROR(INDEX(装备库!$A$2:$Y$1047,MATCH(ROW()-1,装备库!$AO$2:$AO$1046,0),COLUMN()),"")</f>
        <v/>
      </c>
      <c r="I977" t="str">
        <f>IFERROR(INDEX(装备库!$A$2:$Y$1047,MATCH(ROW()-1,装备库!$AO$2:$AO$1046,0),COLUMN()),"")</f>
        <v/>
      </c>
      <c r="J977" t="str">
        <f>IFERROR(INDEX(装备库!$A$2:$Y$1047,MATCH(ROW()-1,装备库!$AO$2:$AO$1046,0),COLUMN()),"")</f>
        <v/>
      </c>
      <c r="K977" t="str">
        <f>IFERROR(INDEX(装备库!$A$2:$Y$1047,MATCH(ROW()-1,装备库!$AO$2:$AO$1046,0),COLUMN()),"")</f>
        <v/>
      </c>
      <c r="L977" t="str">
        <f>IFERROR(INDEX(装备库!$A$2:$Y$1047,MATCH(ROW()-1,装备库!$AO$2:$AO$1046,0),COLUMN()),"")</f>
        <v/>
      </c>
      <c r="M977" t="str">
        <f>IFERROR(INDEX(装备库!$A$2:$Y$1047,MATCH(ROW()-1,装备库!$AO$2:$AO$1046,0),COLUMN()),"")</f>
        <v/>
      </c>
      <c r="N977" t="str">
        <f>IFERROR(INDEX(装备库!$A$2:$Y$1047,MATCH(ROW()-1,装备库!$AO$2:$AO$1046,0),COLUMN()),"")</f>
        <v/>
      </c>
      <c r="O977" t="str">
        <f>IFERROR(INDEX(装备库!$A$2:$Y$1047,MATCH(ROW()-1,装备库!$AO$2:$AO$1046,0),COLUMN()),"")</f>
        <v/>
      </c>
      <c r="P977" t="str">
        <f>IFERROR(INDEX(装备库!$A$2:$Y$1047,MATCH(ROW()-1,装备库!$AO$2:$AO$1046,0),COLUMN()),"")</f>
        <v/>
      </c>
      <c r="Q977" t="str">
        <f>IFERROR(INDEX(装备库!$A$2:$Y$1047,MATCH(ROW()-1,装备库!$AO$2:$AO$1046,0),COLUMN()),"")</f>
        <v/>
      </c>
      <c r="R977" t="str">
        <f>IFERROR(INDEX(装备库!$A$2:$Y$1047,MATCH(ROW()-1,装备库!$AO$2:$AO$1046,0),COLUMN()),"")</f>
        <v/>
      </c>
      <c r="S977" t="str">
        <f>IFERROR(INDEX(装备库!$A$2:$Y$1047,MATCH(ROW()-1,装备库!$AO$2:$AO$1046,0),COLUMN()),"")</f>
        <v/>
      </c>
      <c r="T977" t="str">
        <f>IFERROR(INDEX(装备库!$A$2:$Y$1047,MATCH(ROW()-1,装备库!$AO$2:$AO$1046,0),COLUMN()),"")</f>
        <v/>
      </c>
      <c r="U977" t="str">
        <f>IFERROR(INDEX(装备库!$A$2:$Y$1047,MATCH(ROW()-1,装备库!$AO$2:$AO$1046,0),COLUMN()),"")</f>
        <v/>
      </c>
      <c r="V977" t="str">
        <f>IFERROR(INDEX(装备库!$A$2:$Y$1047,MATCH(ROW()-1,装备库!$AO$2:$AO$1046,0),COLUMN()),"")</f>
        <v/>
      </c>
      <c r="W977" t="str">
        <f>IFERROR(INDEX(装备库!$A$2:$Y$1047,MATCH(ROW()-1,装备库!$AO$2:$AO$1046,0),COLUMN()),"")</f>
        <v/>
      </c>
      <c r="X977" t="str">
        <f>IFERROR(INDEX(装备库!$A$2:$Y$1047,MATCH(ROW()-1,装备库!$AO$2:$AO$1046,0),COLUMN()),"")</f>
        <v/>
      </c>
      <c r="Y977" t="str">
        <f>IFERROR(INDEX(装备库!$A$2:$Y$1047,MATCH(ROW()-1,装备库!$AO$2:$AO$1046,0),COLUMN()),"")</f>
        <v/>
      </c>
    </row>
    <row r="978" spans="1:25" x14ac:dyDescent="0.35">
      <c r="A978" t="str">
        <f>IFERROR(INDEX(装备库!$A$2:$Y$1047,MATCH(ROW()-1,装备库!$AO$2:$AO$1046,0),COLUMN()),"")</f>
        <v/>
      </c>
      <c r="B978" t="str">
        <f>IFERROR(INDEX(装备库!$A$2:$Y$1047,MATCH(ROW()-1,装备库!$AO$2:$AO$1046,0),COLUMN()),"")</f>
        <v/>
      </c>
      <c r="C978" t="str">
        <f>IFERROR(INDEX(装备库!$A$2:$Y$1047,MATCH(ROW()-1,装备库!$AO$2:$AO$1046,0),COLUMN()),"")</f>
        <v/>
      </c>
      <c r="D978" t="str">
        <f>IFERROR(INDEX(装备库!$A$2:$Y$1047,MATCH(ROW()-1,装备库!$AO$2:$AO$1046,0),COLUMN()),"")</f>
        <v/>
      </c>
      <c r="E978" t="str">
        <f>IFERROR(INDEX(装备库!$A$2:$Y$1047,MATCH(ROW()-1,装备库!$AO$2:$AO$1046,0),COLUMN()),"")</f>
        <v/>
      </c>
      <c r="F978" t="str">
        <f>IFERROR(INDEX(装备库!$A$2:$Y$1047,MATCH(ROW()-1,装备库!$AO$2:$AO$1046,0),COLUMN()),"")</f>
        <v/>
      </c>
      <c r="G978" t="str">
        <f>IFERROR(INDEX(装备库!$A$2:$Y$1047,MATCH(ROW()-1,装备库!$AO$2:$AO$1046,0),COLUMN()),"")</f>
        <v/>
      </c>
      <c r="H978" t="str">
        <f>IFERROR(INDEX(装备库!$A$2:$Y$1047,MATCH(ROW()-1,装备库!$AO$2:$AO$1046,0),COLUMN()),"")</f>
        <v/>
      </c>
      <c r="I978" t="str">
        <f>IFERROR(INDEX(装备库!$A$2:$Y$1047,MATCH(ROW()-1,装备库!$AO$2:$AO$1046,0),COLUMN()),"")</f>
        <v/>
      </c>
      <c r="J978" t="str">
        <f>IFERROR(INDEX(装备库!$A$2:$Y$1047,MATCH(ROW()-1,装备库!$AO$2:$AO$1046,0),COLUMN()),"")</f>
        <v/>
      </c>
      <c r="K978" t="str">
        <f>IFERROR(INDEX(装备库!$A$2:$Y$1047,MATCH(ROW()-1,装备库!$AO$2:$AO$1046,0),COLUMN()),"")</f>
        <v/>
      </c>
      <c r="L978" t="str">
        <f>IFERROR(INDEX(装备库!$A$2:$Y$1047,MATCH(ROW()-1,装备库!$AO$2:$AO$1046,0),COLUMN()),"")</f>
        <v/>
      </c>
      <c r="M978" t="str">
        <f>IFERROR(INDEX(装备库!$A$2:$Y$1047,MATCH(ROW()-1,装备库!$AO$2:$AO$1046,0),COLUMN()),"")</f>
        <v/>
      </c>
      <c r="N978" t="str">
        <f>IFERROR(INDEX(装备库!$A$2:$Y$1047,MATCH(ROW()-1,装备库!$AO$2:$AO$1046,0),COLUMN()),"")</f>
        <v/>
      </c>
      <c r="O978" t="str">
        <f>IFERROR(INDEX(装备库!$A$2:$Y$1047,MATCH(ROW()-1,装备库!$AO$2:$AO$1046,0),COLUMN()),"")</f>
        <v/>
      </c>
      <c r="P978" t="str">
        <f>IFERROR(INDEX(装备库!$A$2:$Y$1047,MATCH(ROW()-1,装备库!$AO$2:$AO$1046,0),COLUMN()),"")</f>
        <v/>
      </c>
      <c r="Q978" t="str">
        <f>IFERROR(INDEX(装备库!$A$2:$Y$1047,MATCH(ROW()-1,装备库!$AO$2:$AO$1046,0),COLUMN()),"")</f>
        <v/>
      </c>
      <c r="R978" t="str">
        <f>IFERROR(INDEX(装备库!$A$2:$Y$1047,MATCH(ROW()-1,装备库!$AO$2:$AO$1046,0),COLUMN()),"")</f>
        <v/>
      </c>
      <c r="S978" t="str">
        <f>IFERROR(INDEX(装备库!$A$2:$Y$1047,MATCH(ROW()-1,装备库!$AO$2:$AO$1046,0),COLUMN()),"")</f>
        <v/>
      </c>
      <c r="T978" t="str">
        <f>IFERROR(INDEX(装备库!$A$2:$Y$1047,MATCH(ROW()-1,装备库!$AO$2:$AO$1046,0),COLUMN()),"")</f>
        <v/>
      </c>
      <c r="U978" t="str">
        <f>IFERROR(INDEX(装备库!$A$2:$Y$1047,MATCH(ROW()-1,装备库!$AO$2:$AO$1046,0),COLUMN()),"")</f>
        <v/>
      </c>
      <c r="V978" t="str">
        <f>IFERROR(INDEX(装备库!$A$2:$Y$1047,MATCH(ROW()-1,装备库!$AO$2:$AO$1046,0),COLUMN()),"")</f>
        <v/>
      </c>
      <c r="W978" t="str">
        <f>IFERROR(INDEX(装备库!$A$2:$Y$1047,MATCH(ROW()-1,装备库!$AO$2:$AO$1046,0),COLUMN()),"")</f>
        <v/>
      </c>
      <c r="X978" t="str">
        <f>IFERROR(INDEX(装备库!$A$2:$Y$1047,MATCH(ROW()-1,装备库!$AO$2:$AO$1046,0),COLUMN()),"")</f>
        <v/>
      </c>
      <c r="Y978" t="str">
        <f>IFERROR(INDEX(装备库!$A$2:$Y$1047,MATCH(ROW()-1,装备库!$AO$2:$AO$1046,0),COLUMN()),"")</f>
        <v/>
      </c>
    </row>
    <row r="979" spans="1:25" x14ac:dyDescent="0.35">
      <c r="A979" t="str">
        <f>IFERROR(INDEX(装备库!$A$2:$Y$1047,MATCH(ROW()-1,装备库!$AO$2:$AO$1046,0),COLUMN()),"")</f>
        <v/>
      </c>
      <c r="B979" t="str">
        <f>IFERROR(INDEX(装备库!$A$2:$Y$1047,MATCH(ROW()-1,装备库!$AO$2:$AO$1046,0),COLUMN()),"")</f>
        <v/>
      </c>
      <c r="C979" t="str">
        <f>IFERROR(INDEX(装备库!$A$2:$Y$1047,MATCH(ROW()-1,装备库!$AO$2:$AO$1046,0),COLUMN()),"")</f>
        <v/>
      </c>
      <c r="D979" t="str">
        <f>IFERROR(INDEX(装备库!$A$2:$Y$1047,MATCH(ROW()-1,装备库!$AO$2:$AO$1046,0),COLUMN()),"")</f>
        <v/>
      </c>
      <c r="E979" t="str">
        <f>IFERROR(INDEX(装备库!$A$2:$Y$1047,MATCH(ROW()-1,装备库!$AO$2:$AO$1046,0),COLUMN()),"")</f>
        <v/>
      </c>
      <c r="F979" t="str">
        <f>IFERROR(INDEX(装备库!$A$2:$Y$1047,MATCH(ROW()-1,装备库!$AO$2:$AO$1046,0),COLUMN()),"")</f>
        <v/>
      </c>
      <c r="G979" t="str">
        <f>IFERROR(INDEX(装备库!$A$2:$Y$1047,MATCH(ROW()-1,装备库!$AO$2:$AO$1046,0),COLUMN()),"")</f>
        <v/>
      </c>
      <c r="H979" t="str">
        <f>IFERROR(INDEX(装备库!$A$2:$Y$1047,MATCH(ROW()-1,装备库!$AO$2:$AO$1046,0),COLUMN()),"")</f>
        <v/>
      </c>
      <c r="I979" t="str">
        <f>IFERROR(INDEX(装备库!$A$2:$Y$1047,MATCH(ROW()-1,装备库!$AO$2:$AO$1046,0),COLUMN()),"")</f>
        <v/>
      </c>
      <c r="J979" t="str">
        <f>IFERROR(INDEX(装备库!$A$2:$Y$1047,MATCH(ROW()-1,装备库!$AO$2:$AO$1046,0),COLUMN()),"")</f>
        <v/>
      </c>
      <c r="K979" t="str">
        <f>IFERROR(INDEX(装备库!$A$2:$Y$1047,MATCH(ROW()-1,装备库!$AO$2:$AO$1046,0),COLUMN()),"")</f>
        <v/>
      </c>
      <c r="L979" t="str">
        <f>IFERROR(INDEX(装备库!$A$2:$Y$1047,MATCH(ROW()-1,装备库!$AO$2:$AO$1046,0),COLUMN()),"")</f>
        <v/>
      </c>
      <c r="M979" t="str">
        <f>IFERROR(INDEX(装备库!$A$2:$Y$1047,MATCH(ROW()-1,装备库!$AO$2:$AO$1046,0),COLUMN()),"")</f>
        <v/>
      </c>
      <c r="N979" t="str">
        <f>IFERROR(INDEX(装备库!$A$2:$Y$1047,MATCH(ROW()-1,装备库!$AO$2:$AO$1046,0),COLUMN()),"")</f>
        <v/>
      </c>
      <c r="O979" t="str">
        <f>IFERROR(INDEX(装备库!$A$2:$Y$1047,MATCH(ROW()-1,装备库!$AO$2:$AO$1046,0),COLUMN()),"")</f>
        <v/>
      </c>
      <c r="P979" t="str">
        <f>IFERROR(INDEX(装备库!$A$2:$Y$1047,MATCH(ROW()-1,装备库!$AO$2:$AO$1046,0),COLUMN()),"")</f>
        <v/>
      </c>
      <c r="Q979" t="str">
        <f>IFERROR(INDEX(装备库!$A$2:$Y$1047,MATCH(ROW()-1,装备库!$AO$2:$AO$1046,0),COLUMN()),"")</f>
        <v/>
      </c>
      <c r="R979" t="str">
        <f>IFERROR(INDEX(装备库!$A$2:$Y$1047,MATCH(ROW()-1,装备库!$AO$2:$AO$1046,0),COLUMN()),"")</f>
        <v/>
      </c>
      <c r="S979" t="str">
        <f>IFERROR(INDEX(装备库!$A$2:$Y$1047,MATCH(ROW()-1,装备库!$AO$2:$AO$1046,0),COLUMN()),"")</f>
        <v/>
      </c>
      <c r="T979" t="str">
        <f>IFERROR(INDEX(装备库!$A$2:$Y$1047,MATCH(ROW()-1,装备库!$AO$2:$AO$1046,0),COLUMN()),"")</f>
        <v/>
      </c>
      <c r="U979" t="str">
        <f>IFERROR(INDEX(装备库!$A$2:$Y$1047,MATCH(ROW()-1,装备库!$AO$2:$AO$1046,0),COLUMN()),"")</f>
        <v/>
      </c>
      <c r="V979" t="str">
        <f>IFERROR(INDEX(装备库!$A$2:$Y$1047,MATCH(ROW()-1,装备库!$AO$2:$AO$1046,0),COLUMN()),"")</f>
        <v/>
      </c>
      <c r="W979" t="str">
        <f>IFERROR(INDEX(装备库!$A$2:$Y$1047,MATCH(ROW()-1,装备库!$AO$2:$AO$1046,0),COLUMN()),"")</f>
        <v/>
      </c>
      <c r="X979" t="str">
        <f>IFERROR(INDEX(装备库!$A$2:$Y$1047,MATCH(ROW()-1,装备库!$AO$2:$AO$1046,0),COLUMN()),"")</f>
        <v/>
      </c>
      <c r="Y979" t="str">
        <f>IFERROR(INDEX(装备库!$A$2:$Y$1047,MATCH(ROW()-1,装备库!$AO$2:$AO$1046,0),COLUMN()),"")</f>
        <v/>
      </c>
    </row>
    <row r="980" spans="1:25" x14ac:dyDescent="0.35">
      <c r="A980" t="str">
        <f>IFERROR(INDEX(装备库!$A$2:$Y$1047,MATCH(ROW()-1,装备库!$AO$2:$AO$1046,0),COLUMN()),"")</f>
        <v/>
      </c>
      <c r="B980" t="str">
        <f>IFERROR(INDEX(装备库!$A$2:$Y$1047,MATCH(ROW()-1,装备库!$AO$2:$AO$1046,0),COLUMN()),"")</f>
        <v/>
      </c>
      <c r="C980" t="str">
        <f>IFERROR(INDEX(装备库!$A$2:$Y$1047,MATCH(ROW()-1,装备库!$AO$2:$AO$1046,0),COLUMN()),"")</f>
        <v/>
      </c>
      <c r="D980" t="str">
        <f>IFERROR(INDEX(装备库!$A$2:$Y$1047,MATCH(ROW()-1,装备库!$AO$2:$AO$1046,0),COLUMN()),"")</f>
        <v/>
      </c>
      <c r="E980" t="str">
        <f>IFERROR(INDEX(装备库!$A$2:$Y$1047,MATCH(ROW()-1,装备库!$AO$2:$AO$1046,0),COLUMN()),"")</f>
        <v/>
      </c>
      <c r="F980" t="str">
        <f>IFERROR(INDEX(装备库!$A$2:$Y$1047,MATCH(ROW()-1,装备库!$AO$2:$AO$1046,0),COLUMN()),"")</f>
        <v/>
      </c>
      <c r="G980" t="str">
        <f>IFERROR(INDEX(装备库!$A$2:$Y$1047,MATCH(ROW()-1,装备库!$AO$2:$AO$1046,0),COLUMN()),"")</f>
        <v/>
      </c>
      <c r="H980" t="str">
        <f>IFERROR(INDEX(装备库!$A$2:$Y$1047,MATCH(ROW()-1,装备库!$AO$2:$AO$1046,0),COLUMN()),"")</f>
        <v/>
      </c>
      <c r="I980" t="str">
        <f>IFERROR(INDEX(装备库!$A$2:$Y$1047,MATCH(ROW()-1,装备库!$AO$2:$AO$1046,0),COLUMN()),"")</f>
        <v/>
      </c>
      <c r="J980" t="str">
        <f>IFERROR(INDEX(装备库!$A$2:$Y$1047,MATCH(ROW()-1,装备库!$AO$2:$AO$1046,0),COLUMN()),"")</f>
        <v/>
      </c>
      <c r="K980" t="str">
        <f>IFERROR(INDEX(装备库!$A$2:$Y$1047,MATCH(ROW()-1,装备库!$AO$2:$AO$1046,0),COLUMN()),"")</f>
        <v/>
      </c>
      <c r="L980" t="str">
        <f>IFERROR(INDEX(装备库!$A$2:$Y$1047,MATCH(ROW()-1,装备库!$AO$2:$AO$1046,0),COLUMN()),"")</f>
        <v/>
      </c>
      <c r="M980" t="str">
        <f>IFERROR(INDEX(装备库!$A$2:$Y$1047,MATCH(ROW()-1,装备库!$AO$2:$AO$1046,0),COLUMN()),"")</f>
        <v/>
      </c>
      <c r="N980" t="str">
        <f>IFERROR(INDEX(装备库!$A$2:$Y$1047,MATCH(ROW()-1,装备库!$AO$2:$AO$1046,0),COLUMN()),"")</f>
        <v/>
      </c>
      <c r="O980" t="str">
        <f>IFERROR(INDEX(装备库!$A$2:$Y$1047,MATCH(ROW()-1,装备库!$AO$2:$AO$1046,0),COLUMN()),"")</f>
        <v/>
      </c>
      <c r="P980" t="str">
        <f>IFERROR(INDEX(装备库!$A$2:$Y$1047,MATCH(ROW()-1,装备库!$AO$2:$AO$1046,0),COLUMN()),"")</f>
        <v/>
      </c>
      <c r="Q980" t="str">
        <f>IFERROR(INDEX(装备库!$A$2:$Y$1047,MATCH(ROW()-1,装备库!$AO$2:$AO$1046,0),COLUMN()),"")</f>
        <v/>
      </c>
      <c r="R980" t="str">
        <f>IFERROR(INDEX(装备库!$A$2:$Y$1047,MATCH(ROW()-1,装备库!$AO$2:$AO$1046,0),COLUMN()),"")</f>
        <v/>
      </c>
      <c r="S980" t="str">
        <f>IFERROR(INDEX(装备库!$A$2:$Y$1047,MATCH(ROW()-1,装备库!$AO$2:$AO$1046,0),COLUMN()),"")</f>
        <v/>
      </c>
      <c r="T980" t="str">
        <f>IFERROR(INDEX(装备库!$A$2:$Y$1047,MATCH(ROW()-1,装备库!$AO$2:$AO$1046,0),COLUMN()),"")</f>
        <v/>
      </c>
      <c r="U980" t="str">
        <f>IFERROR(INDEX(装备库!$A$2:$Y$1047,MATCH(ROW()-1,装备库!$AO$2:$AO$1046,0),COLUMN()),"")</f>
        <v/>
      </c>
      <c r="V980" t="str">
        <f>IFERROR(INDEX(装备库!$A$2:$Y$1047,MATCH(ROW()-1,装备库!$AO$2:$AO$1046,0),COLUMN()),"")</f>
        <v/>
      </c>
      <c r="W980" t="str">
        <f>IFERROR(INDEX(装备库!$A$2:$Y$1047,MATCH(ROW()-1,装备库!$AO$2:$AO$1046,0),COLUMN()),"")</f>
        <v/>
      </c>
      <c r="X980" t="str">
        <f>IFERROR(INDEX(装备库!$A$2:$Y$1047,MATCH(ROW()-1,装备库!$AO$2:$AO$1046,0),COLUMN()),"")</f>
        <v/>
      </c>
      <c r="Y980" t="str">
        <f>IFERROR(INDEX(装备库!$A$2:$Y$1047,MATCH(ROW()-1,装备库!$AO$2:$AO$1046,0),COLUMN()),"")</f>
        <v/>
      </c>
    </row>
    <row r="981" spans="1:25" x14ac:dyDescent="0.35">
      <c r="A981" t="str">
        <f>IFERROR(INDEX(装备库!$A$2:$Y$1047,MATCH(ROW()-1,装备库!$AO$2:$AO$1046,0),COLUMN()),"")</f>
        <v/>
      </c>
      <c r="B981" t="str">
        <f>IFERROR(INDEX(装备库!$A$2:$Y$1047,MATCH(ROW()-1,装备库!$AO$2:$AO$1046,0),COLUMN()),"")</f>
        <v/>
      </c>
      <c r="C981" t="str">
        <f>IFERROR(INDEX(装备库!$A$2:$Y$1047,MATCH(ROW()-1,装备库!$AO$2:$AO$1046,0),COLUMN()),"")</f>
        <v/>
      </c>
      <c r="D981" t="str">
        <f>IFERROR(INDEX(装备库!$A$2:$Y$1047,MATCH(ROW()-1,装备库!$AO$2:$AO$1046,0),COLUMN()),"")</f>
        <v/>
      </c>
      <c r="E981" t="str">
        <f>IFERROR(INDEX(装备库!$A$2:$Y$1047,MATCH(ROW()-1,装备库!$AO$2:$AO$1046,0),COLUMN()),"")</f>
        <v/>
      </c>
      <c r="F981" t="str">
        <f>IFERROR(INDEX(装备库!$A$2:$Y$1047,MATCH(ROW()-1,装备库!$AO$2:$AO$1046,0),COLUMN()),"")</f>
        <v/>
      </c>
      <c r="G981" t="str">
        <f>IFERROR(INDEX(装备库!$A$2:$Y$1047,MATCH(ROW()-1,装备库!$AO$2:$AO$1046,0),COLUMN()),"")</f>
        <v/>
      </c>
      <c r="H981" t="str">
        <f>IFERROR(INDEX(装备库!$A$2:$Y$1047,MATCH(ROW()-1,装备库!$AO$2:$AO$1046,0),COLUMN()),"")</f>
        <v/>
      </c>
      <c r="I981" t="str">
        <f>IFERROR(INDEX(装备库!$A$2:$Y$1047,MATCH(ROW()-1,装备库!$AO$2:$AO$1046,0),COLUMN()),"")</f>
        <v/>
      </c>
      <c r="J981" t="str">
        <f>IFERROR(INDEX(装备库!$A$2:$Y$1047,MATCH(ROW()-1,装备库!$AO$2:$AO$1046,0),COLUMN()),"")</f>
        <v/>
      </c>
      <c r="K981" t="str">
        <f>IFERROR(INDEX(装备库!$A$2:$Y$1047,MATCH(ROW()-1,装备库!$AO$2:$AO$1046,0),COLUMN()),"")</f>
        <v/>
      </c>
      <c r="L981" t="str">
        <f>IFERROR(INDEX(装备库!$A$2:$Y$1047,MATCH(ROW()-1,装备库!$AO$2:$AO$1046,0),COLUMN()),"")</f>
        <v/>
      </c>
      <c r="M981" t="str">
        <f>IFERROR(INDEX(装备库!$A$2:$Y$1047,MATCH(ROW()-1,装备库!$AO$2:$AO$1046,0),COLUMN()),"")</f>
        <v/>
      </c>
      <c r="N981" t="str">
        <f>IFERROR(INDEX(装备库!$A$2:$Y$1047,MATCH(ROW()-1,装备库!$AO$2:$AO$1046,0),COLUMN()),"")</f>
        <v/>
      </c>
      <c r="O981" t="str">
        <f>IFERROR(INDEX(装备库!$A$2:$Y$1047,MATCH(ROW()-1,装备库!$AO$2:$AO$1046,0),COLUMN()),"")</f>
        <v/>
      </c>
      <c r="P981" t="str">
        <f>IFERROR(INDEX(装备库!$A$2:$Y$1047,MATCH(ROW()-1,装备库!$AO$2:$AO$1046,0),COLUMN()),"")</f>
        <v/>
      </c>
      <c r="Q981" t="str">
        <f>IFERROR(INDEX(装备库!$A$2:$Y$1047,MATCH(ROW()-1,装备库!$AO$2:$AO$1046,0),COLUMN()),"")</f>
        <v/>
      </c>
      <c r="R981" t="str">
        <f>IFERROR(INDEX(装备库!$A$2:$Y$1047,MATCH(ROW()-1,装备库!$AO$2:$AO$1046,0),COLUMN()),"")</f>
        <v/>
      </c>
      <c r="S981" t="str">
        <f>IFERROR(INDEX(装备库!$A$2:$Y$1047,MATCH(ROW()-1,装备库!$AO$2:$AO$1046,0),COLUMN()),"")</f>
        <v/>
      </c>
      <c r="T981" t="str">
        <f>IFERROR(INDEX(装备库!$A$2:$Y$1047,MATCH(ROW()-1,装备库!$AO$2:$AO$1046,0),COLUMN()),"")</f>
        <v/>
      </c>
      <c r="U981" t="str">
        <f>IFERROR(INDEX(装备库!$A$2:$Y$1047,MATCH(ROW()-1,装备库!$AO$2:$AO$1046,0),COLUMN()),"")</f>
        <v/>
      </c>
      <c r="V981" t="str">
        <f>IFERROR(INDEX(装备库!$A$2:$Y$1047,MATCH(ROW()-1,装备库!$AO$2:$AO$1046,0),COLUMN()),"")</f>
        <v/>
      </c>
      <c r="W981" t="str">
        <f>IFERROR(INDEX(装备库!$A$2:$Y$1047,MATCH(ROW()-1,装备库!$AO$2:$AO$1046,0),COLUMN()),"")</f>
        <v/>
      </c>
      <c r="X981" t="str">
        <f>IFERROR(INDEX(装备库!$A$2:$Y$1047,MATCH(ROW()-1,装备库!$AO$2:$AO$1046,0),COLUMN()),"")</f>
        <v/>
      </c>
      <c r="Y981" t="str">
        <f>IFERROR(INDEX(装备库!$A$2:$Y$1047,MATCH(ROW()-1,装备库!$AO$2:$AO$1046,0),COLUMN()),"")</f>
        <v/>
      </c>
    </row>
    <row r="982" spans="1:25" x14ac:dyDescent="0.35">
      <c r="A982" t="str">
        <f>IFERROR(INDEX(装备库!$A$2:$Y$1047,MATCH(ROW()-1,装备库!$AO$2:$AO$1046,0),COLUMN()),"")</f>
        <v/>
      </c>
      <c r="B982" t="str">
        <f>IFERROR(INDEX(装备库!$A$2:$Y$1047,MATCH(ROW()-1,装备库!$AO$2:$AO$1046,0),COLUMN()),"")</f>
        <v/>
      </c>
      <c r="C982" t="str">
        <f>IFERROR(INDEX(装备库!$A$2:$Y$1047,MATCH(ROW()-1,装备库!$AO$2:$AO$1046,0),COLUMN()),"")</f>
        <v/>
      </c>
      <c r="D982" t="str">
        <f>IFERROR(INDEX(装备库!$A$2:$Y$1047,MATCH(ROW()-1,装备库!$AO$2:$AO$1046,0),COLUMN()),"")</f>
        <v/>
      </c>
      <c r="E982" t="str">
        <f>IFERROR(INDEX(装备库!$A$2:$Y$1047,MATCH(ROW()-1,装备库!$AO$2:$AO$1046,0),COLUMN()),"")</f>
        <v/>
      </c>
      <c r="F982" t="str">
        <f>IFERROR(INDEX(装备库!$A$2:$Y$1047,MATCH(ROW()-1,装备库!$AO$2:$AO$1046,0),COLUMN()),"")</f>
        <v/>
      </c>
      <c r="G982" t="str">
        <f>IFERROR(INDEX(装备库!$A$2:$Y$1047,MATCH(ROW()-1,装备库!$AO$2:$AO$1046,0),COLUMN()),"")</f>
        <v/>
      </c>
      <c r="H982" t="str">
        <f>IFERROR(INDEX(装备库!$A$2:$Y$1047,MATCH(ROW()-1,装备库!$AO$2:$AO$1046,0),COLUMN()),"")</f>
        <v/>
      </c>
      <c r="I982" t="str">
        <f>IFERROR(INDEX(装备库!$A$2:$Y$1047,MATCH(ROW()-1,装备库!$AO$2:$AO$1046,0),COLUMN()),"")</f>
        <v/>
      </c>
      <c r="J982" t="str">
        <f>IFERROR(INDEX(装备库!$A$2:$Y$1047,MATCH(ROW()-1,装备库!$AO$2:$AO$1046,0),COLUMN()),"")</f>
        <v/>
      </c>
      <c r="K982" t="str">
        <f>IFERROR(INDEX(装备库!$A$2:$Y$1047,MATCH(ROW()-1,装备库!$AO$2:$AO$1046,0),COLUMN()),"")</f>
        <v/>
      </c>
      <c r="L982" t="str">
        <f>IFERROR(INDEX(装备库!$A$2:$Y$1047,MATCH(ROW()-1,装备库!$AO$2:$AO$1046,0),COLUMN()),"")</f>
        <v/>
      </c>
      <c r="M982" t="str">
        <f>IFERROR(INDEX(装备库!$A$2:$Y$1047,MATCH(ROW()-1,装备库!$AO$2:$AO$1046,0),COLUMN()),"")</f>
        <v/>
      </c>
      <c r="N982" t="str">
        <f>IFERROR(INDEX(装备库!$A$2:$Y$1047,MATCH(ROW()-1,装备库!$AO$2:$AO$1046,0),COLUMN()),"")</f>
        <v/>
      </c>
      <c r="O982" t="str">
        <f>IFERROR(INDEX(装备库!$A$2:$Y$1047,MATCH(ROW()-1,装备库!$AO$2:$AO$1046,0),COLUMN()),"")</f>
        <v/>
      </c>
      <c r="P982" t="str">
        <f>IFERROR(INDEX(装备库!$A$2:$Y$1047,MATCH(ROW()-1,装备库!$AO$2:$AO$1046,0),COLUMN()),"")</f>
        <v/>
      </c>
      <c r="Q982" t="str">
        <f>IFERROR(INDEX(装备库!$A$2:$Y$1047,MATCH(ROW()-1,装备库!$AO$2:$AO$1046,0),COLUMN()),"")</f>
        <v/>
      </c>
      <c r="R982" t="str">
        <f>IFERROR(INDEX(装备库!$A$2:$Y$1047,MATCH(ROW()-1,装备库!$AO$2:$AO$1046,0),COLUMN()),"")</f>
        <v/>
      </c>
      <c r="S982" t="str">
        <f>IFERROR(INDEX(装备库!$A$2:$Y$1047,MATCH(ROW()-1,装备库!$AO$2:$AO$1046,0),COLUMN()),"")</f>
        <v/>
      </c>
      <c r="T982" t="str">
        <f>IFERROR(INDEX(装备库!$A$2:$Y$1047,MATCH(ROW()-1,装备库!$AO$2:$AO$1046,0),COLUMN()),"")</f>
        <v/>
      </c>
      <c r="U982" t="str">
        <f>IFERROR(INDEX(装备库!$A$2:$Y$1047,MATCH(ROW()-1,装备库!$AO$2:$AO$1046,0),COLUMN()),"")</f>
        <v/>
      </c>
      <c r="V982" t="str">
        <f>IFERROR(INDEX(装备库!$A$2:$Y$1047,MATCH(ROW()-1,装备库!$AO$2:$AO$1046,0),COLUMN()),"")</f>
        <v/>
      </c>
      <c r="W982" t="str">
        <f>IFERROR(INDEX(装备库!$A$2:$Y$1047,MATCH(ROW()-1,装备库!$AO$2:$AO$1046,0),COLUMN()),"")</f>
        <v/>
      </c>
      <c r="X982" t="str">
        <f>IFERROR(INDEX(装备库!$A$2:$Y$1047,MATCH(ROW()-1,装备库!$AO$2:$AO$1046,0),COLUMN()),"")</f>
        <v/>
      </c>
      <c r="Y982" t="str">
        <f>IFERROR(INDEX(装备库!$A$2:$Y$1047,MATCH(ROW()-1,装备库!$AO$2:$AO$1046,0),COLUMN()),"")</f>
        <v/>
      </c>
    </row>
    <row r="983" spans="1:25" x14ac:dyDescent="0.35">
      <c r="A983" t="str">
        <f>IFERROR(INDEX(装备库!$A$2:$Y$1047,MATCH(ROW()-1,装备库!$AO$2:$AO$1046,0),COLUMN()),"")</f>
        <v/>
      </c>
      <c r="B983" t="str">
        <f>IFERROR(INDEX(装备库!$A$2:$Y$1047,MATCH(ROW()-1,装备库!$AO$2:$AO$1046,0),COLUMN()),"")</f>
        <v/>
      </c>
      <c r="C983" t="str">
        <f>IFERROR(INDEX(装备库!$A$2:$Y$1047,MATCH(ROW()-1,装备库!$AO$2:$AO$1046,0),COLUMN()),"")</f>
        <v/>
      </c>
      <c r="D983" t="str">
        <f>IFERROR(INDEX(装备库!$A$2:$Y$1047,MATCH(ROW()-1,装备库!$AO$2:$AO$1046,0),COLUMN()),"")</f>
        <v/>
      </c>
      <c r="E983" t="str">
        <f>IFERROR(INDEX(装备库!$A$2:$Y$1047,MATCH(ROW()-1,装备库!$AO$2:$AO$1046,0),COLUMN()),"")</f>
        <v/>
      </c>
      <c r="F983" t="str">
        <f>IFERROR(INDEX(装备库!$A$2:$Y$1047,MATCH(ROW()-1,装备库!$AO$2:$AO$1046,0),COLUMN()),"")</f>
        <v/>
      </c>
      <c r="G983" t="str">
        <f>IFERROR(INDEX(装备库!$A$2:$Y$1047,MATCH(ROW()-1,装备库!$AO$2:$AO$1046,0),COLUMN()),"")</f>
        <v/>
      </c>
      <c r="H983" t="str">
        <f>IFERROR(INDEX(装备库!$A$2:$Y$1047,MATCH(ROW()-1,装备库!$AO$2:$AO$1046,0),COLUMN()),"")</f>
        <v/>
      </c>
      <c r="I983" t="str">
        <f>IFERROR(INDEX(装备库!$A$2:$Y$1047,MATCH(ROW()-1,装备库!$AO$2:$AO$1046,0),COLUMN()),"")</f>
        <v/>
      </c>
      <c r="J983" t="str">
        <f>IFERROR(INDEX(装备库!$A$2:$Y$1047,MATCH(ROW()-1,装备库!$AO$2:$AO$1046,0),COLUMN()),"")</f>
        <v/>
      </c>
      <c r="K983" t="str">
        <f>IFERROR(INDEX(装备库!$A$2:$Y$1047,MATCH(ROW()-1,装备库!$AO$2:$AO$1046,0),COLUMN()),"")</f>
        <v/>
      </c>
      <c r="L983" t="str">
        <f>IFERROR(INDEX(装备库!$A$2:$Y$1047,MATCH(ROW()-1,装备库!$AO$2:$AO$1046,0),COLUMN()),"")</f>
        <v/>
      </c>
      <c r="M983" t="str">
        <f>IFERROR(INDEX(装备库!$A$2:$Y$1047,MATCH(ROW()-1,装备库!$AO$2:$AO$1046,0),COLUMN()),"")</f>
        <v/>
      </c>
      <c r="N983" t="str">
        <f>IFERROR(INDEX(装备库!$A$2:$Y$1047,MATCH(ROW()-1,装备库!$AO$2:$AO$1046,0),COLUMN()),"")</f>
        <v/>
      </c>
      <c r="O983" t="str">
        <f>IFERROR(INDEX(装备库!$A$2:$Y$1047,MATCH(ROW()-1,装备库!$AO$2:$AO$1046,0),COLUMN()),"")</f>
        <v/>
      </c>
      <c r="P983" t="str">
        <f>IFERROR(INDEX(装备库!$A$2:$Y$1047,MATCH(ROW()-1,装备库!$AO$2:$AO$1046,0),COLUMN()),"")</f>
        <v/>
      </c>
      <c r="Q983" t="str">
        <f>IFERROR(INDEX(装备库!$A$2:$Y$1047,MATCH(ROW()-1,装备库!$AO$2:$AO$1046,0),COLUMN()),"")</f>
        <v/>
      </c>
      <c r="R983" t="str">
        <f>IFERROR(INDEX(装备库!$A$2:$Y$1047,MATCH(ROW()-1,装备库!$AO$2:$AO$1046,0),COLUMN()),"")</f>
        <v/>
      </c>
      <c r="S983" t="str">
        <f>IFERROR(INDEX(装备库!$A$2:$Y$1047,MATCH(ROW()-1,装备库!$AO$2:$AO$1046,0),COLUMN()),"")</f>
        <v/>
      </c>
      <c r="T983" t="str">
        <f>IFERROR(INDEX(装备库!$A$2:$Y$1047,MATCH(ROW()-1,装备库!$AO$2:$AO$1046,0),COLUMN()),"")</f>
        <v/>
      </c>
      <c r="U983" t="str">
        <f>IFERROR(INDEX(装备库!$A$2:$Y$1047,MATCH(ROW()-1,装备库!$AO$2:$AO$1046,0),COLUMN()),"")</f>
        <v/>
      </c>
      <c r="V983" t="str">
        <f>IFERROR(INDEX(装备库!$A$2:$Y$1047,MATCH(ROW()-1,装备库!$AO$2:$AO$1046,0),COLUMN()),"")</f>
        <v/>
      </c>
      <c r="W983" t="str">
        <f>IFERROR(INDEX(装备库!$A$2:$Y$1047,MATCH(ROW()-1,装备库!$AO$2:$AO$1046,0),COLUMN()),"")</f>
        <v/>
      </c>
      <c r="X983" t="str">
        <f>IFERROR(INDEX(装备库!$A$2:$Y$1047,MATCH(ROW()-1,装备库!$AO$2:$AO$1046,0),COLUMN()),"")</f>
        <v/>
      </c>
      <c r="Y983" t="str">
        <f>IFERROR(INDEX(装备库!$A$2:$Y$1047,MATCH(ROW()-1,装备库!$AO$2:$AO$1046,0),COLUMN()),"")</f>
        <v/>
      </c>
    </row>
    <row r="984" spans="1:25" x14ac:dyDescent="0.35">
      <c r="A984" t="str">
        <f>IFERROR(INDEX(装备库!$A$2:$Y$1047,MATCH(ROW()-1,装备库!$AO$2:$AO$1046,0),COLUMN()),"")</f>
        <v/>
      </c>
      <c r="B984" t="str">
        <f>IFERROR(INDEX(装备库!$A$2:$Y$1047,MATCH(ROW()-1,装备库!$AO$2:$AO$1046,0),COLUMN()),"")</f>
        <v/>
      </c>
      <c r="C984" t="str">
        <f>IFERROR(INDEX(装备库!$A$2:$Y$1047,MATCH(ROW()-1,装备库!$AO$2:$AO$1046,0),COLUMN()),"")</f>
        <v/>
      </c>
      <c r="D984" t="str">
        <f>IFERROR(INDEX(装备库!$A$2:$Y$1047,MATCH(ROW()-1,装备库!$AO$2:$AO$1046,0),COLUMN()),"")</f>
        <v/>
      </c>
      <c r="E984" t="str">
        <f>IFERROR(INDEX(装备库!$A$2:$Y$1047,MATCH(ROW()-1,装备库!$AO$2:$AO$1046,0),COLUMN()),"")</f>
        <v/>
      </c>
      <c r="F984" t="str">
        <f>IFERROR(INDEX(装备库!$A$2:$Y$1047,MATCH(ROW()-1,装备库!$AO$2:$AO$1046,0),COLUMN()),"")</f>
        <v/>
      </c>
      <c r="G984" t="str">
        <f>IFERROR(INDEX(装备库!$A$2:$Y$1047,MATCH(ROW()-1,装备库!$AO$2:$AO$1046,0),COLUMN()),"")</f>
        <v/>
      </c>
      <c r="H984" t="str">
        <f>IFERROR(INDEX(装备库!$A$2:$Y$1047,MATCH(ROW()-1,装备库!$AO$2:$AO$1046,0),COLUMN()),"")</f>
        <v/>
      </c>
      <c r="I984" t="str">
        <f>IFERROR(INDEX(装备库!$A$2:$Y$1047,MATCH(ROW()-1,装备库!$AO$2:$AO$1046,0),COLUMN()),"")</f>
        <v/>
      </c>
      <c r="J984" t="str">
        <f>IFERROR(INDEX(装备库!$A$2:$Y$1047,MATCH(ROW()-1,装备库!$AO$2:$AO$1046,0),COLUMN()),"")</f>
        <v/>
      </c>
      <c r="K984" t="str">
        <f>IFERROR(INDEX(装备库!$A$2:$Y$1047,MATCH(ROW()-1,装备库!$AO$2:$AO$1046,0),COLUMN()),"")</f>
        <v/>
      </c>
      <c r="L984" t="str">
        <f>IFERROR(INDEX(装备库!$A$2:$Y$1047,MATCH(ROW()-1,装备库!$AO$2:$AO$1046,0),COLUMN()),"")</f>
        <v/>
      </c>
      <c r="M984" t="str">
        <f>IFERROR(INDEX(装备库!$A$2:$Y$1047,MATCH(ROW()-1,装备库!$AO$2:$AO$1046,0),COLUMN()),"")</f>
        <v/>
      </c>
      <c r="N984" t="str">
        <f>IFERROR(INDEX(装备库!$A$2:$Y$1047,MATCH(ROW()-1,装备库!$AO$2:$AO$1046,0),COLUMN()),"")</f>
        <v/>
      </c>
      <c r="O984" t="str">
        <f>IFERROR(INDEX(装备库!$A$2:$Y$1047,MATCH(ROW()-1,装备库!$AO$2:$AO$1046,0),COLUMN()),"")</f>
        <v/>
      </c>
      <c r="P984" t="str">
        <f>IFERROR(INDEX(装备库!$A$2:$Y$1047,MATCH(ROW()-1,装备库!$AO$2:$AO$1046,0),COLUMN()),"")</f>
        <v/>
      </c>
      <c r="Q984" t="str">
        <f>IFERROR(INDEX(装备库!$A$2:$Y$1047,MATCH(ROW()-1,装备库!$AO$2:$AO$1046,0),COLUMN()),"")</f>
        <v/>
      </c>
      <c r="R984" t="str">
        <f>IFERROR(INDEX(装备库!$A$2:$Y$1047,MATCH(ROW()-1,装备库!$AO$2:$AO$1046,0),COLUMN()),"")</f>
        <v/>
      </c>
      <c r="S984" t="str">
        <f>IFERROR(INDEX(装备库!$A$2:$Y$1047,MATCH(ROW()-1,装备库!$AO$2:$AO$1046,0),COLUMN()),"")</f>
        <v/>
      </c>
      <c r="T984" t="str">
        <f>IFERROR(INDEX(装备库!$A$2:$Y$1047,MATCH(ROW()-1,装备库!$AO$2:$AO$1046,0),COLUMN()),"")</f>
        <v/>
      </c>
      <c r="U984" t="str">
        <f>IFERROR(INDEX(装备库!$A$2:$Y$1047,MATCH(ROW()-1,装备库!$AO$2:$AO$1046,0),COLUMN()),"")</f>
        <v/>
      </c>
      <c r="V984" t="str">
        <f>IFERROR(INDEX(装备库!$A$2:$Y$1047,MATCH(ROW()-1,装备库!$AO$2:$AO$1046,0),COLUMN()),"")</f>
        <v/>
      </c>
      <c r="W984" t="str">
        <f>IFERROR(INDEX(装备库!$A$2:$Y$1047,MATCH(ROW()-1,装备库!$AO$2:$AO$1046,0),COLUMN()),"")</f>
        <v/>
      </c>
      <c r="X984" t="str">
        <f>IFERROR(INDEX(装备库!$A$2:$Y$1047,MATCH(ROW()-1,装备库!$AO$2:$AO$1046,0),COLUMN()),"")</f>
        <v/>
      </c>
      <c r="Y984" t="str">
        <f>IFERROR(INDEX(装备库!$A$2:$Y$1047,MATCH(ROW()-1,装备库!$AO$2:$AO$1046,0),COLUMN()),"")</f>
        <v/>
      </c>
    </row>
    <row r="985" spans="1:25" x14ac:dyDescent="0.35">
      <c r="A985" t="str">
        <f>IFERROR(INDEX(装备库!$A$2:$Y$1047,MATCH(ROW()-1,装备库!$AO$2:$AO$1046,0),COLUMN()),"")</f>
        <v/>
      </c>
      <c r="B985" t="str">
        <f>IFERROR(INDEX(装备库!$A$2:$Y$1047,MATCH(ROW()-1,装备库!$AO$2:$AO$1046,0),COLUMN()),"")</f>
        <v/>
      </c>
      <c r="C985" t="str">
        <f>IFERROR(INDEX(装备库!$A$2:$Y$1047,MATCH(ROW()-1,装备库!$AO$2:$AO$1046,0),COLUMN()),"")</f>
        <v/>
      </c>
      <c r="D985" t="str">
        <f>IFERROR(INDEX(装备库!$A$2:$Y$1047,MATCH(ROW()-1,装备库!$AO$2:$AO$1046,0),COLUMN()),"")</f>
        <v/>
      </c>
      <c r="E985" t="str">
        <f>IFERROR(INDEX(装备库!$A$2:$Y$1047,MATCH(ROW()-1,装备库!$AO$2:$AO$1046,0),COLUMN()),"")</f>
        <v/>
      </c>
      <c r="F985" t="str">
        <f>IFERROR(INDEX(装备库!$A$2:$Y$1047,MATCH(ROW()-1,装备库!$AO$2:$AO$1046,0),COLUMN()),"")</f>
        <v/>
      </c>
      <c r="G985" t="str">
        <f>IFERROR(INDEX(装备库!$A$2:$Y$1047,MATCH(ROW()-1,装备库!$AO$2:$AO$1046,0),COLUMN()),"")</f>
        <v/>
      </c>
      <c r="H985" t="str">
        <f>IFERROR(INDEX(装备库!$A$2:$Y$1047,MATCH(ROW()-1,装备库!$AO$2:$AO$1046,0),COLUMN()),"")</f>
        <v/>
      </c>
      <c r="I985" t="str">
        <f>IFERROR(INDEX(装备库!$A$2:$Y$1047,MATCH(ROW()-1,装备库!$AO$2:$AO$1046,0),COLUMN()),"")</f>
        <v/>
      </c>
      <c r="J985" t="str">
        <f>IFERROR(INDEX(装备库!$A$2:$Y$1047,MATCH(ROW()-1,装备库!$AO$2:$AO$1046,0),COLUMN()),"")</f>
        <v/>
      </c>
      <c r="K985" t="str">
        <f>IFERROR(INDEX(装备库!$A$2:$Y$1047,MATCH(ROW()-1,装备库!$AO$2:$AO$1046,0),COLUMN()),"")</f>
        <v/>
      </c>
      <c r="L985" t="str">
        <f>IFERROR(INDEX(装备库!$A$2:$Y$1047,MATCH(ROW()-1,装备库!$AO$2:$AO$1046,0),COLUMN()),"")</f>
        <v/>
      </c>
      <c r="M985" t="str">
        <f>IFERROR(INDEX(装备库!$A$2:$Y$1047,MATCH(ROW()-1,装备库!$AO$2:$AO$1046,0),COLUMN()),"")</f>
        <v/>
      </c>
      <c r="N985" t="str">
        <f>IFERROR(INDEX(装备库!$A$2:$Y$1047,MATCH(ROW()-1,装备库!$AO$2:$AO$1046,0),COLUMN()),"")</f>
        <v/>
      </c>
      <c r="O985" t="str">
        <f>IFERROR(INDEX(装备库!$A$2:$Y$1047,MATCH(ROW()-1,装备库!$AO$2:$AO$1046,0),COLUMN()),"")</f>
        <v/>
      </c>
      <c r="P985" t="str">
        <f>IFERROR(INDEX(装备库!$A$2:$Y$1047,MATCH(ROW()-1,装备库!$AO$2:$AO$1046,0),COLUMN()),"")</f>
        <v/>
      </c>
      <c r="Q985" t="str">
        <f>IFERROR(INDEX(装备库!$A$2:$Y$1047,MATCH(ROW()-1,装备库!$AO$2:$AO$1046,0),COLUMN()),"")</f>
        <v/>
      </c>
      <c r="R985" t="str">
        <f>IFERROR(INDEX(装备库!$A$2:$Y$1047,MATCH(ROW()-1,装备库!$AO$2:$AO$1046,0),COLUMN()),"")</f>
        <v/>
      </c>
      <c r="S985" t="str">
        <f>IFERROR(INDEX(装备库!$A$2:$Y$1047,MATCH(ROW()-1,装备库!$AO$2:$AO$1046,0),COLUMN()),"")</f>
        <v/>
      </c>
      <c r="T985" t="str">
        <f>IFERROR(INDEX(装备库!$A$2:$Y$1047,MATCH(ROW()-1,装备库!$AO$2:$AO$1046,0),COLUMN()),"")</f>
        <v/>
      </c>
      <c r="U985" t="str">
        <f>IFERROR(INDEX(装备库!$A$2:$Y$1047,MATCH(ROW()-1,装备库!$AO$2:$AO$1046,0),COLUMN()),"")</f>
        <v/>
      </c>
      <c r="V985" t="str">
        <f>IFERROR(INDEX(装备库!$A$2:$Y$1047,MATCH(ROW()-1,装备库!$AO$2:$AO$1046,0),COLUMN()),"")</f>
        <v/>
      </c>
      <c r="W985" t="str">
        <f>IFERROR(INDEX(装备库!$A$2:$Y$1047,MATCH(ROW()-1,装备库!$AO$2:$AO$1046,0),COLUMN()),"")</f>
        <v/>
      </c>
      <c r="X985" t="str">
        <f>IFERROR(INDEX(装备库!$A$2:$Y$1047,MATCH(ROW()-1,装备库!$AO$2:$AO$1046,0),COLUMN()),"")</f>
        <v/>
      </c>
      <c r="Y985" t="str">
        <f>IFERROR(INDEX(装备库!$A$2:$Y$1047,MATCH(ROW()-1,装备库!$AO$2:$AO$1046,0),COLUMN()),"")</f>
        <v/>
      </c>
    </row>
    <row r="986" spans="1:25" x14ac:dyDescent="0.35">
      <c r="A986" t="str">
        <f>IFERROR(INDEX(装备库!$A$2:$Y$1047,MATCH(ROW()-1,装备库!$AO$2:$AO$1046,0),COLUMN()),"")</f>
        <v/>
      </c>
      <c r="B986" t="str">
        <f>IFERROR(INDEX(装备库!$A$2:$Y$1047,MATCH(ROW()-1,装备库!$AO$2:$AO$1046,0),COLUMN()),"")</f>
        <v/>
      </c>
      <c r="C986" t="str">
        <f>IFERROR(INDEX(装备库!$A$2:$Y$1047,MATCH(ROW()-1,装备库!$AO$2:$AO$1046,0),COLUMN()),"")</f>
        <v/>
      </c>
      <c r="D986" t="str">
        <f>IFERROR(INDEX(装备库!$A$2:$Y$1047,MATCH(ROW()-1,装备库!$AO$2:$AO$1046,0),COLUMN()),"")</f>
        <v/>
      </c>
      <c r="E986" t="str">
        <f>IFERROR(INDEX(装备库!$A$2:$Y$1047,MATCH(ROW()-1,装备库!$AO$2:$AO$1046,0),COLUMN()),"")</f>
        <v/>
      </c>
      <c r="F986" t="str">
        <f>IFERROR(INDEX(装备库!$A$2:$Y$1047,MATCH(ROW()-1,装备库!$AO$2:$AO$1046,0),COLUMN()),"")</f>
        <v/>
      </c>
      <c r="G986" t="str">
        <f>IFERROR(INDEX(装备库!$A$2:$Y$1047,MATCH(ROW()-1,装备库!$AO$2:$AO$1046,0),COLUMN()),"")</f>
        <v/>
      </c>
      <c r="H986" t="str">
        <f>IFERROR(INDEX(装备库!$A$2:$Y$1047,MATCH(ROW()-1,装备库!$AO$2:$AO$1046,0),COLUMN()),"")</f>
        <v/>
      </c>
      <c r="I986" t="str">
        <f>IFERROR(INDEX(装备库!$A$2:$Y$1047,MATCH(ROW()-1,装备库!$AO$2:$AO$1046,0),COLUMN()),"")</f>
        <v/>
      </c>
      <c r="J986" t="str">
        <f>IFERROR(INDEX(装备库!$A$2:$Y$1047,MATCH(ROW()-1,装备库!$AO$2:$AO$1046,0),COLUMN()),"")</f>
        <v/>
      </c>
      <c r="K986" t="str">
        <f>IFERROR(INDEX(装备库!$A$2:$Y$1047,MATCH(ROW()-1,装备库!$AO$2:$AO$1046,0),COLUMN()),"")</f>
        <v/>
      </c>
      <c r="L986" t="str">
        <f>IFERROR(INDEX(装备库!$A$2:$Y$1047,MATCH(ROW()-1,装备库!$AO$2:$AO$1046,0),COLUMN()),"")</f>
        <v/>
      </c>
      <c r="M986" t="str">
        <f>IFERROR(INDEX(装备库!$A$2:$Y$1047,MATCH(ROW()-1,装备库!$AO$2:$AO$1046,0),COLUMN()),"")</f>
        <v/>
      </c>
      <c r="N986" t="str">
        <f>IFERROR(INDEX(装备库!$A$2:$Y$1047,MATCH(ROW()-1,装备库!$AO$2:$AO$1046,0),COLUMN()),"")</f>
        <v/>
      </c>
      <c r="O986" t="str">
        <f>IFERROR(INDEX(装备库!$A$2:$Y$1047,MATCH(ROW()-1,装备库!$AO$2:$AO$1046,0),COLUMN()),"")</f>
        <v/>
      </c>
      <c r="P986" t="str">
        <f>IFERROR(INDEX(装备库!$A$2:$Y$1047,MATCH(ROW()-1,装备库!$AO$2:$AO$1046,0),COLUMN()),"")</f>
        <v/>
      </c>
      <c r="Q986" t="str">
        <f>IFERROR(INDEX(装备库!$A$2:$Y$1047,MATCH(ROW()-1,装备库!$AO$2:$AO$1046,0),COLUMN()),"")</f>
        <v/>
      </c>
      <c r="R986" t="str">
        <f>IFERROR(INDEX(装备库!$A$2:$Y$1047,MATCH(ROW()-1,装备库!$AO$2:$AO$1046,0),COLUMN()),"")</f>
        <v/>
      </c>
      <c r="S986" t="str">
        <f>IFERROR(INDEX(装备库!$A$2:$Y$1047,MATCH(ROW()-1,装备库!$AO$2:$AO$1046,0),COLUMN()),"")</f>
        <v/>
      </c>
      <c r="T986" t="str">
        <f>IFERROR(INDEX(装备库!$A$2:$Y$1047,MATCH(ROW()-1,装备库!$AO$2:$AO$1046,0),COLUMN()),"")</f>
        <v/>
      </c>
      <c r="U986" t="str">
        <f>IFERROR(INDEX(装备库!$A$2:$Y$1047,MATCH(ROW()-1,装备库!$AO$2:$AO$1046,0),COLUMN()),"")</f>
        <v/>
      </c>
      <c r="V986" t="str">
        <f>IFERROR(INDEX(装备库!$A$2:$Y$1047,MATCH(ROW()-1,装备库!$AO$2:$AO$1046,0),COLUMN()),"")</f>
        <v/>
      </c>
      <c r="W986" t="str">
        <f>IFERROR(INDEX(装备库!$A$2:$Y$1047,MATCH(ROW()-1,装备库!$AO$2:$AO$1046,0),COLUMN()),"")</f>
        <v/>
      </c>
      <c r="X986" t="str">
        <f>IFERROR(INDEX(装备库!$A$2:$Y$1047,MATCH(ROW()-1,装备库!$AO$2:$AO$1046,0),COLUMN()),"")</f>
        <v/>
      </c>
      <c r="Y986" t="str">
        <f>IFERROR(INDEX(装备库!$A$2:$Y$1047,MATCH(ROW()-1,装备库!$AO$2:$AO$1046,0),COLUMN()),"")</f>
        <v/>
      </c>
    </row>
    <row r="987" spans="1:25" x14ac:dyDescent="0.35">
      <c r="A987" t="str">
        <f>IFERROR(INDEX(装备库!$A$2:$Y$1047,MATCH(ROW()-1,装备库!$AO$2:$AO$1046,0),COLUMN()),"")</f>
        <v/>
      </c>
      <c r="B987" t="str">
        <f>IFERROR(INDEX(装备库!$A$2:$Y$1047,MATCH(ROW()-1,装备库!$AO$2:$AO$1046,0),COLUMN()),"")</f>
        <v/>
      </c>
      <c r="C987" t="str">
        <f>IFERROR(INDEX(装备库!$A$2:$Y$1047,MATCH(ROW()-1,装备库!$AO$2:$AO$1046,0),COLUMN()),"")</f>
        <v/>
      </c>
      <c r="D987" t="str">
        <f>IFERROR(INDEX(装备库!$A$2:$Y$1047,MATCH(ROW()-1,装备库!$AO$2:$AO$1046,0),COLUMN()),"")</f>
        <v/>
      </c>
      <c r="E987" t="str">
        <f>IFERROR(INDEX(装备库!$A$2:$Y$1047,MATCH(ROW()-1,装备库!$AO$2:$AO$1046,0),COLUMN()),"")</f>
        <v/>
      </c>
      <c r="F987" t="str">
        <f>IFERROR(INDEX(装备库!$A$2:$Y$1047,MATCH(ROW()-1,装备库!$AO$2:$AO$1046,0),COLUMN()),"")</f>
        <v/>
      </c>
      <c r="G987" t="str">
        <f>IFERROR(INDEX(装备库!$A$2:$Y$1047,MATCH(ROW()-1,装备库!$AO$2:$AO$1046,0),COLUMN()),"")</f>
        <v/>
      </c>
      <c r="H987" t="str">
        <f>IFERROR(INDEX(装备库!$A$2:$Y$1047,MATCH(ROW()-1,装备库!$AO$2:$AO$1046,0),COLUMN()),"")</f>
        <v/>
      </c>
      <c r="I987" t="str">
        <f>IFERROR(INDEX(装备库!$A$2:$Y$1047,MATCH(ROW()-1,装备库!$AO$2:$AO$1046,0),COLUMN()),"")</f>
        <v/>
      </c>
      <c r="J987" t="str">
        <f>IFERROR(INDEX(装备库!$A$2:$Y$1047,MATCH(ROW()-1,装备库!$AO$2:$AO$1046,0),COLUMN()),"")</f>
        <v/>
      </c>
      <c r="K987" t="str">
        <f>IFERROR(INDEX(装备库!$A$2:$Y$1047,MATCH(ROW()-1,装备库!$AO$2:$AO$1046,0),COLUMN()),"")</f>
        <v/>
      </c>
      <c r="L987" t="str">
        <f>IFERROR(INDEX(装备库!$A$2:$Y$1047,MATCH(ROW()-1,装备库!$AO$2:$AO$1046,0),COLUMN()),"")</f>
        <v/>
      </c>
      <c r="M987" t="str">
        <f>IFERROR(INDEX(装备库!$A$2:$Y$1047,MATCH(ROW()-1,装备库!$AO$2:$AO$1046,0),COLUMN()),"")</f>
        <v/>
      </c>
      <c r="N987" t="str">
        <f>IFERROR(INDEX(装备库!$A$2:$Y$1047,MATCH(ROW()-1,装备库!$AO$2:$AO$1046,0),COLUMN()),"")</f>
        <v/>
      </c>
      <c r="O987" t="str">
        <f>IFERROR(INDEX(装备库!$A$2:$Y$1047,MATCH(ROW()-1,装备库!$AO$2:$AO$1046,0),COLUMN()),"")</f>
        <v/>
      </c>
      <c r="P987" t="str">
        <f>IFERROR(INDEX(装备库!$A$2:$Y$1047,MATCH(ROW()-1,装备库!$AO$2:$AO$1046,0),COLUMN()),"")</f>
        <v/>
      </c>
      <c r="Q987" t="str">
        <f>IFERROR(INDEX(装备库!$A$2:$Y$1047,MATCH(ROW()-1,装备库!$AO$2:$AO$1046,0),COLUMN()),"")</f>
        <v/>
      </c>
      <c r="R987" t="str">
        <f>IFERROR(INDEX(装备库!$A$2:$Y$1047,MATCH(ROW()-1,装备库!$AO$2:$AO$1046,0),COLUMN()),"")</f>
        <v/>
      </c>
      <c r="S987" t="str">
        <f>IFERROR(INDEX(装备库!$A$2:$Y$1047,MATCH(ROW()-1,装备库!$AO$2:$AO$1046,0),COLUMN()),"")</f>
        <v/>
      </c>
      <c r="T987" t="str">
        <f>IFERROR(INDEX(装备库!$A$2:$Y$1047,MATCH(ROW()-1,装备库!$AO$2:$AO$1046,0),COLUMN()),"")</f>
        <v/>
      </c>
      <c r="U987" t="str">
        <f>IFERROR(INDEX(装备库!$A$2:$Y$1047,MATCH(ROW()-1,装备库!$AO$2:$AO$1046,0),COLUMN()),"")</f>
        <v/>
      </c>
      <c r="V987" t="str">
        <f>IFERROR(INDEX(装备库!$A$2:$Y$1047,MATCH(ROW()-1,装备库!$AO$2:$AO$1046,0),COLUMN()),"")</f>
        <v/>
      </c>
      <c r="W987" t="str">
        <f>IFERROR(INDEX(装备库!$A$2:$Y$1047,MATCH(ROW()-1,装备库!$AO$2:$AO$1046,0),COLUMN()),"")</f>
        <v/>
      </c>
      <c r="X987" t="str">
        <f>IFERROR(INDEX(装备库!$A$2:$Y$1047,MATCH(ROW()-1,装备库!$AO$2:$AO$1046,0),COLUMN()),"")</f>
        <v/>
      </c>
      <c r="Y987" t="str">
        <f>IFERROR(INDEX(装备库!$A$2:$Y$1047,MATCH(ROW()-1,装备库!$AO$2:$AO$1046,0),COLUMN()),"")</f>
        <v/>
      </c>
    </row>
    <row r="988" spans="1:25" x14ac:dyDescent="0.35">
      <c r="A988" t="str">
        <f>IFERROR(INDEX(装备库!$A$2:$Y$1047,MATCH(ROW()-1,装备库!$AO$2:$AO$1046,0),COLUMN()),"")</f>
        <v/>
      </c>
      <c r="B988" t="str">
        <f>IFERROR(INDEX(装备库!$A$2:$Y$1047,MATCH(ROW()-1,装备库!$AO$2:$AO$1046,0),COLUMN()),"")</f>
        <v/>
      </c>
      <c r="C988" t="str">
        <f>IFERROR(INDEX(装备库!$A$2:$Y$1047,MATCH(ROW()-1,装备库!$AO$2:$AO$1046,0),COLUMN()),"")</f>
        <v/>
      </c>
      <c r="D988" t="str">
        <f>IFERROR(INDEX(装备库!$A$2:$Y$1047,MATCH(ROW()-1,装备库!$AO$2:$AO$1046,0),COLUMN()),"")</f>
        <v/>
      </c>
      <c r="E988" t="str">
        <f>IFERROR(INDEX(装备库!$A$2:$Y$1047,MATCH(ROW()-1,装备库!$AO$2:$AO$1046,0),COLUMN()),"")</f>
        <v/>
      </c>
      <c r="F988" t="str">
        <f>IFERROR(INDEX(装备库!$A$2:$Y$1047,MATCH(ROW()-1,装备库!$AO$2:$AO$1046,0),COLUMN()),"")</f>
        <v/>
      </c>
      <c r="G988" t="str">
        <f>IFERROR(INDEX(装备库!$A$2:$Y$1047,MATCH(ROW()-1,装备库!$AO$2:$AO$1046,0),COLUMN()),"")</f>
        <v/>
      </c>
      <c r="H988" t="str">
        <f>IFERROR(INDEX(装备库!$A$2:$Y$1047,MATCH(ROW()-1,装备库!$AO$2:$AO$1046,0),COLUMN()),"")</f>
        <v/>
      </c>
      <c r="I988" t="str">
        <f>IFERROR(INDEX(装备库!$A$2:$Y$1047,MATCH(ROW()-1,装备库!$AO$2:$AO$1046,0),COLUMN()),"")</f>
        <v/>
      </c>
      <c r="J988" t="str">
        <f>IFERROR(INDEX(装备库!$A$2:$Y$1047,MATCH(ROW()-1,装备库!$AO$2:$AO$1046,0),COLUMN()),"")</f>
        <v/>
      </c>
      <c r="K988" t="str">
        <f>IFERROR(INDEX(装备库!$A$2:$Y$1047,MATCH(ROW()-1,装备库!$AO$2:$AO$1046,0),COLUMN()),"")</f>
        <v/>
      </c>
      <c r="L988" t="str">
        <f>IFERROR(INDEX(装备库!$A$2:$Y$1047,MATCH(ROW()-1,装备库!$AO$2:$AO$1046,0),COLUMN()),"")</f>
        <v/>
      </c>
      <c r="M988" t="str">
        <f>IFERROR(INDEX(装备库!$A$2:$Y$1047,MATCH(ROW()-1,装备库!$AO$2:$AO$1046,0),COLUMN()),"")</f>
        <v/>
      </c>
      <c r="N988" t="str">
        <f>IFERROR(INDEX(装备库!$A$2:$Y$1047,MATCH(ROW()-1,装备库!$AO$2:$AO$1046,0),COLUMN()),"")</f>
        <v/>
      </c>
      <c r="O988" t="str">
        <f>IFERROR(INDEX(装备库!$A$2:$Y$1047,MATCH(ROW()-1,装备库!$AO$2:$AO$1046,0),COLUMN()),"")</f>
        <v/>
      </c>
      <c r="P988" t="str">
        <f>IFERROR(INDEX(装备库!$A$2:$Y$1047,MATCH(ROW()-1,装备库!$AO$2:$AO$1046,0),COLUMN()),"")</f>
        <v/>
      </c>
      <c r="Q988" t="str">
        <f>IFERROR(INDEX(装备库!$A$2:$Y$1047,MATCH(ROW()-1,装备库!$AO$2:$AO$1046,0),COLUMN()),"")</f>
        <v/>
      </c>
      <c r="R988" t="str">
        <f>IFERROR(INDEX(装备库!$A$2:$Y$1047,MATCH(ROW()-1,装备库!$AO$2:$AO$1046,0),COLUMN()),"")</f>
        <v/>
      </c>
      <c r="S988" t="str">
        <f>IFERROR(INDEX(装备库!$A$2:$Y$1047,MATCH(ROW()-1,装备库!$AO$2:$AO$1046,0),COLUMN()),"")</f>
        <v/>
      </c>
      <c r="T988" t="str">
        <f>IFERROR(INDEX(装备库!$A$2:$Y$1047,MATCH(ROW()-1,装备库!$AO$2:$AO$1046,0),COLUMN()),"")</f>
        <v/>
      </c>
      <c r="U988" t="str">
        <f>IFERROR(INDEX(装备库!$A$2:$Y$1047,MATCH(ROW()-1,装备库!$AO$2:$AO$1046,0),COLUMN()),"")</f>
        <v/>
      </c>
      <c r="V988" t="str">
        <f>IFERROR(INDEX(装备库!$A$2:$Y$1047,MATCH(ROW()-1,装备库!$AO$2:$AO$1046,0),COLUMN()),"")</f>
        <v/>
      </c>
      <c r="W988" t="str">
        <f>IFERROR(INDEX(装备库!$A$2:$Y$1047,MATCH(ROW()-1,装备库!$AO$2:$AO$1046,0),COLUMN()),"")</f>
        <v/>
      </c>
      <c r="X988" t="str">
        <f>IFERROR(INDEX(装备库!$A$2:$Y$1047,MATCH(ROW()-1,装备库!$AO$2:$AO$1046,0),COLUMN()),"")</f>
        <v/>
      </c>
      <c r="Y988" t="str">
        <f>IFERROR(INDEX(装备库!$A$2:$Y$1047,MATCH(ROW()-1,装备库!$AO$2:$AO$1046,0),COLUMN()),"")</f>
        <v/>
      </c>
    </row>
    <row r="989" spans="1:25" x14ac:dyDescent="0.35">
      <c r="A989" t="str">
        <f>IFERROR(INDEX(装备库!$A$2:$Y$1047,MATCH(ROW()-1,装备库!$AO$2:$AO$1046,0),COLUMN()),"")</f>
        <v/>
      </c>
      <c r="B989" t="str">
        <f>IFERROR(INDEX(装备库!$A$2:$Y$1047,MATCH(ROW()-1,装备库!$AO$2:$AO$1046,0),COLUMN()),"")</f>
        <v/>
      </c>
      <c r="C989" t="str">
        <f>IFERROR(INDEX(装备库!$A$2:$Y$1047,MATCH(ROW()-1,装备库!$AO$2:$AO$1046,0),COLUMN()),"")</f>
        <v/>
      </c>
      <c r="D989" t="str">
        <f>IFERROR(INDEX(装备库!$A$2:$Y$1047,MATCH(ROW()-1,装备库!$AO$2:$AO$1046,0),COLUMN()),"")</f>
        <v/>
      </c>
      <c r="E989" t="str">
        <f>IFERROR(INDEX(装备库!$A$2:$Y$1047,MATCH(ROW()-1,装备库!$AO$2:$AO$1046,0),COLUMN()),"")</f>
        <v/>
      </c>
      <c r="F989" t="str">
        <f>IFERROR(INDEX(装备库!$A$2:$Y$1047,MATCH(ROW()-1,装备库!$AO$2:$AO$1046,0),COLUMN()),"")</f>
        <v/>
      </c>
      <c r="G989" t="str">
        <f>IFERROR(INDEX(装备库!$A$2:$Y$1047,MATCH(ROW()-1,装备库!$AO$2:$AO$1046,0),COLUMN()),"")</f>
        <v/>
      </c>
      <c r="H989" t="str">
        <f>IFERROR(INDEX(装备库!$A$2:$Y$1047,MATCH(ROW()-1,装备库!$AO$2:$AO$1046,0),COLUMN()),"")</f>
        <v/>
      </c>
      <c r="I989" t="str">
        <f>IFERROR(INDEX(装备库!$A$2:$Y$1047,MATCH(ROW()-1,装备库!$AO$2:$AO$1046,0),COLUMN()),"")</f>
        <v/>
      </c>
      <c r="J989" t="str">
        <f>IFERROR(INDEX(装备库!$A$2:$Y$1047,MATCH(ROW()-1,装备库!$AO$2:$AO$1046,0),COLUMN()),"")</f>
        <v/>
      </c>
      <c r="K989" t="str">
        <f>IFERROR(INDEX(装备库!$A$2:$Y$1047,MATCH(ROW()-1,装备库!$AO$2:$AO$1046,0),COLUMN()),"")</f>
        <v/>
      </c>
      <c r="L989" t="str">
        <f>IFERROR(INDEX(装备库!$A$2:$Y$1047,MATCH(ROW()-1,装备库!$AO$2:$AO$1046,0),COLUMN()),"")</f>
        <v/>
      </c>
      <c r="M989" t="str">
        <f>IFERROR(INDEX(装备库!$A$2:$Y$1047,MATCH(ROW()-1,装备库!$AO$2:$AO$1046,0),COLUMN()),"")</f>
        <v/>
      </c>
      <c r="N989" t="str">
        <f>IFERROR(INDEX(装备库!$A$2:$Y$1047,MATCH(ROW()-1,装备库!$AO$2:$AO$1046,0),COLUMN()),"")</f>
        <v/>
      </c>
      <c r="O989" t="str">
        <f>IFERROR(INDEX(装备库!$A$2:$Y$1047,MATCH(ROW()-1,装备库!$AO$2:$AO$1046,0),COLUMN()),"")</f>
        <v/>
      </c>
      <c r="P989" t="str">
        <f>IFERROR(INDEX(装备库!$A$2:$Y$1047,MATCH(ROW()-1,装备库!$AO$2:$AO$1046,0),COLUMN()),"")</f>
        <v/>
      </c>
      <c r="Q989" t="str">
        <f>IFERROR(INDEX(装备库!$A$2:$Y$1047,MATCH(ROW()-1,装备库!$AO$2:$AO$1046,0),COLUMN()),"")</f>
        <v/>
      </c>
      <c r="R989" t="str">
        <f>IFERROR(INDEX(装备库!$A$2:$Y$1047,MATCH(ROW()-1,装备库!$AO$2:$AO$1046,0),COLUMN()),"")</f>
        <v/>
      </c>
      <c r="S989" t="str">
        <f>IFERROR(INDEX(装备库!$A$2:$Y$1047,MATCH(ROW()-1,装备库!$AO$2:$AO$1046,0),COLUMN()),"")</f>
        <v/>
      </c>
      <c r="T989" t="str">
        <f>IFERROR(INDEX(装备库!$A$2:$Y$1047,MATCH(ROW()-1,装备库!$AO$2:$AO$1046,0),COLUMN()),"")</f>
        <v/>
      </c>
      <c r="U989" t="str">
        <f>IFERROR(INDEX(装备库!$A$2:$Y$1047,MATCH(ROW()-1,装备库!$AO$2:$AO$1046,0),COLUMN()),"")</f>
        <v/>
      </c>
      <c r="V989" t="str">
        <f>IFERROR(INDEX(装备库!$A$2:$Y$1047,MATCH(ROW()-1,装备库!$AO$2:$AO$1046,0),COLUMN()),"")</f>
        <v/>
      </c>
      <c r="W989" t="str">
        <f>IFERROR(INDEX(装备库!$A$2:$Y$1047,MATCH(ROW()-1,装备库!$AO$2:$AO$1046,0),COLUMN()),"")</f>
        <v/>
      </c>
      <c r="X989" t="str">
        <f>IFERROR(INDEX(装备库!$A$2:$Y$1047,MATCH(ROW()-1,装备库!$AO$2:$AO$1046,0),COLUMN()),"")</f>
        <v/>
      </c>
      <c r="Y989" t="str">
        <f>IFERROR(INDEX(装备库!$A$2:$Y$1047,MATCH(ROW()-1,装备库!$AO$2:$AO$1046,0),COLUMN()),"")</f>
        <v/>
      </c>
    </row>
    <row r="990" spans="1:25" x14ac:dyDescent="0.35">
      <c r="A990" t="str">
        <f>IFERROR(INDEX(装备库!$A$2:$Y$1047,MATCH(ROW()-1,装备库!$AO$2:$AO$1046,0),COLUMN()),"")</f>
        <v/>
      </c>
      <c r="B990" t="str">
        <f>IFERROR(INDEX(装备库!$A$2:$Y$1047,MATCH(ROW()-1,装备库!$AO$2:$AO$1046,0),COLUMN()),"")</f>
        <v/>
      </c>
      <c r="C990" t="str">
        <f>IFERROR(INDEX(装备库!$A$2:$Y$1047,MATCH(ROW()-1,装备库!$AO$2:$AO$1046,0),COLUMN()),"")</f>
        <v/>
      </c>
      <c r="D990" t="str">
        <f>IFERROR(INDEX(装备库!$A$2:$Y$1047,MATCH(ROW()-1,装备库!$AO$2:$AO$1046,0),COLUMN()),"")</f>
        <v/>
      </c>
      <c r="E990" t="str">
        <f>IFERROR(INDEX(装备库!$A$2:$Y$1047,MATCH(ROW()-1,装备库!$AO$2:$AO$1046,0),COLUMN()),"")</f>
        <v/>
      </c>
      <c r="F990" t="str">
        <f>IFERROR(INDEX(装备库!$A$2:$Y$1047,MATCH(ROW()-1,装备库!$AO$2:$AO$1046,0),COLUMN()),"")</f>
        <v/>
      </c>
      <c r="G990" t="str">
        <f>IFERROR(INDEX(装备库!$A$2:$Y$1047,MATCH(ROW()-1,装备库!$AO$2:$AO$1046,0),COLUMN()),"")</f>
        <v/>
      </c>
      <c r="H990" t="str">
        <f>IFERROR(INDEX(装备库!$A$2:$Y$1047,MATCH(ROW()-1,装备库!$AO$2:$AO$1046,0),COLUMN()),"")</f>
        <v/>
      </c>
      <c r="I990" t="str">
        <f>IFERROR(INDEX(装备库!$A$2:$Y$1047,MATCH(ROW()-1,装备库!$AO$2:$AO$1046,0),COLUMN()),"")</f>
        <v/>
      </c>
      <c r="J990" t="str">
        <f>IFERROR(INDEX(装备库!$A$2:$Y$1047,MATCH(ROW()-1,装备库!$AO$2:$AO$1046,0),COLUMN()),"")</f>
        <v/>
      </c>
      <c r="K990" t="str">
        <f>IFERROR(INDEX(装备库!$A$2:$Y$1047,MATCH(ROW()-1,装备库!$AO$2:$AO$1046,0),COLUMN()),"")</f>
        <v/>
      </c>
      <c r="L990" t="str">
        <f>IFERROR(INDEX(装备库!$A$2:$Y$1047,MATCH(ROW()-1,装备库!$AO$2:$AO$1046,0),COLUMN()),"")</f>
        <v/>
      </c>
      <c r="M990" t="str">
        <f>IFERROR(INDEX(装备库!$A$2:$Y$1047,MATCH(ROW()-1,装备库!$AO$2:$AO$1046,0),COLUMN()),"")</f>
        <v/>
      </c>
      <c r="N990" t="str">
        <f>IFERROR(INDEX(装备库!$A$2:$Y$1047,MATCH(ROW()-1,装备库!$AO$2:$AO$1046,0),COLUMN()),"")</f>
        <v/>
      </c>
      <c r="O990" t="str">
        <f>IFERROR(INDEX(装备库!$A$2:$Y$1047,MATCH(ROW()-1,装备库!$AO$2:$AO$1046,0),COLUMN()),"")</f>
        <v/>
      </c>
      <c r="P990" t="str">
        <f>IFERROR(INDEX(装备库!$A$2:$Y$1047,MATCH(ROW()-1,装备库!$AO$2:$AO$1046,0),COLUMN()),"")</f>
        <v/>
      </c>
      <c r="Q990" t="str">
        <f>IFERROR(INDEX(装备库!$A$2:$Y$1047,MATCH(ROW()-1,装备库!$AO$2:$AO$1046,0),COLUMN()),"")</f>
        <v/>
      </c>
      <c r="R990" t="str">
        <f>IFERROR(INDEX(装备库!$A$2:$Y$1047,MATCH(ROW()-1,装备库!$AO$2:$AO$1046,0),COLUMN()),"")</f>
        <v/>
      </c>
      <c r="S990" t="str">
        <f>IFERROR(INDEX(装备库!$A$2:$Y$1047,MATCH(ROW()-1,装备库!$AO$2:$AO$1046,0),COLUMN()),"")</f>
        <v/>
      </c>
      <c r="T990" t="str">
        <f>IFERROR(INDEX(装备库!$A$2:$Y$1047,MATCH(ROW()-1,装备库!$AO$2:$AO$1046,0),COLUMN()),"")</f>
        <v/>
      </c>
      <c r="U990" t="str">
        <f>IFERROR(INDEX(装备库!$A$2:$Y$1047,MATCH(ROW()-1,装备库!$AO$2:$AO$1046,0),COLUMN()),"")</f>
        <v/>
      </c>
      <c r="V990" t="str">
        <f>IFERROR(INDEX(装备库!$A$2:$Y$1047,MATCH(ROW()-1,装备库!$AO$2:$AO$1046,0),COLUMN()),"")</f>
        <v/>
      </c>
      <c r="W990" t="str">
        <f>IFERROR(INDEX(装备库!$A$2:$Y$1047,MATCH(ROW()-1,装备库!$AO$2:$AO$1046,0),COLUMN()),"")</f>
        <v/>
      </c>
      <c r="X990" t="str">
        <f>IFERROR(INDEX(装备库!$A$2:$Y$1047,MATCH(ROW()-1,装备库!$AO$2:$AO$1046,0),COLUMN()),"")</f>
        <v/>
      </c>
      <c r="Y990" t="str">
        <f>IFERROR(INDEX(装备库!$A$2:$Y$1047,MATCH(ROW()-1,装备库!$AO$2:$AO$1046,0),COLUMN()),"")</f>
        <v/>
      </c>
    </row>
    <row r="991" spans="1:25" x14ac:dyDescent="0.35">
      <c r="A991" t="str">
        <f>IFERROR(INDEX(装备库!$A$2:$Y$1047,MATCH(ROW()-1,装备库!$AO$2:$AO$1046,0),COLUMN()),"")</f>
        <v/>
      </c>
      <c r="B991" t="str">
        <f>IFERROR(INDEX(装备库!$A$2:$Y$1047,MATCH(ROW()-1,装备库!$AO$2:$AO$1046,0),COLUMN()),"")</f>
        <v/>
      </c>
      <c r="C991" t="str">
        <f>IFERROR(INDEX(装备库!$A$2:$Y$1047,MATCH(ROW()-1,装备库!$AO$2:$AO$1046,0),COLUMN()),"")</f>
        <v/>
      </c>
      <c r="D991" t="str">
        <f>IFERROR(INDEX(装备库!$A$2:$Y$1047,MATCH(ROW()-1,装备库!$AO$2:$AO$1046,0),COLUMN()),"")</f>
        <v/>
      </c>
      <c r="E991" t="str">
        <f>IFERROR(INDEX(装备库!$A$2:$Y$1047,MATCH(ROW()-1,装备库!$AO$2:$AO$1046,0),COLUMN()),"")</f>
        <v/>
      </c>
      <c r="F991" t="str">
        <f>IFERROR(INDEX(装备库!$A$2:$Y$1047,MATCH(ROW()-1,装备库!$AO$2:$AO$1046,0),COLUMN()),"")</f>
        <v/>
      </c>
      <c r="G991" t="str">
        <f>IFERROR(INDEX(装备库!$A$2:$Y$1047,MATCH(ROW()-1,装备库!$AO$2:$AO$1046,0),COLUMN()),"")</f>
        <v/>
      </c>
      <c r="H991" t="str">
        <f>IFERROR(INDEX(装备库!$A$2:$Y$1047,MATCH(ROW()-1,装备库!$AO$2:$AO$1046,0),COLUMN()),"")</f>
        <v/>
      </c>
      <c r="I991" t="str">
        <f>IFERROR(INDEX(装备库!$A$2:$Y$1047,MATCH(ROW()-1,装备库!$AO$2:$AO$1046,0),COLUMN()),"")</f>
        <v/>
      </c>
      <c r="J991" t="str">
        <f>IFERROR(INDEX(装备库!$A$2:$Y$1047,MATCH(ROW()-1,装备库!$AO$2:$AO$1046,0),COLUMN()),"")</f>
        <v/>
      </c>
      <c r="K991" t="str">
        <f>IFERROR(INDEX(装备库!$A$2:$Y$1047,MATCH(ROW()-1,装备库!$AO$2:$AO$1046,0),COLUMN()),"")</f>
        <v/>
      </c>
      <c r="L991" t="str">
        <f>IFERROR(INDEX(装备库!$A$2:$Y$1047,MATCH(ROW()-1,装备库!$AO$2:$AO$1046,0),COLUMN()),"")</f>
        <v/>
      </c>
      <c r="M991" t="str">
        <f>IFERROR(INDEX(装备库!$A$2:$Y$1047,MATCH(ROW()-1,装备库!$AO$2:$AO$1046,0),COLUMN()),"")</f>
        <v/>
      </c>
      <c r="N991" t="str">
        <f>IFERROR(INDEX(装备库!$A$2:$Y$1047,MATCH(ROW()-1,装备库!$AO$2:$AO$1046,0),COLUMN()),"")</f>
        <v/>
      </c>
      <c r="O991" t="str">
        <f>IFERROR(INDEX(装备库!$A$2:$Y$1047,MATCH(ROW()-1,装备库!$AO$2:$AO$1046,0),COLUMN()),"")</f>
        <v/>
      </c>
      <c r="P991" t="str">
        <f>IFERROR(INDEX(装备库!$A$2:$Y$1047,MATCH(ROW()-1,装备库!$AO$2:$AO$1046,0),COLUMN()),"")</f>
        <v/>
      </c>
      <c r="Q991" t="str">
        <f>IFERROR(INDEX(装备库!$A$2:$Y$1047,MATCH(ROW()-1,装备库!$AO$2:$AO$1046,0),COLUMN()),"")</f>
        <v/>
      </c>
      <c r="R991" t="str">
        <f>IFERROR(INDEX(装备库!$A$2:$Y$1047,MATCH(ROW()-1,装备库!$AO$2:$AO$1046,0),COLUMN()),"")</f>
        <v/>
      </c>
      <c r="S991" t="str">
        <f>IFERROR(INDEX(装备库!$A$2:$Y$1047,MATCH(ROW()-1,装备库!$AO$2:$AO$1046,0),COLUMN()),"")</f>
        <v/>
      </c>
      <c r="T991" t="str">
        <f>IFERROR(INDEX(装备库!$A$2:$Y$1047,MATCH(ROW()-1,装备库!$AO$2:$AO$1046,0),COLUMN()),"")</f>
        <v/>
      </c>
      <c r="U991" t="str">
        <f>IFERROR(INDEX(装备库!$A$2:$Y$1047,MATCH(ROW()-1,装备库!$AO$2:$AO$1046,0),COLUMN()),"")</f>
        <v/>
      </c>
      <c r="V991" t="str">
        <f>IFERROR(INDEX(装备库!$A$2:$Y$1047,MATCH(ROW()-1,装备库!$AO$2:$AO$1046,0),COLUMN()),"")</f>
        <v/>
      </c>
      <c r="W991" t="str">
        <f>IFERROR(INDEX(装备库!$A$2:$Y$1047,MATCH(ROW()-1,装备库!$AO$2:$AO$1046,0),COLUMN()),"")</f>
        <v/>
      </c>
      <c r="X991" t="str">
        <f>IFERROR(INDEX(装备库!$A$2:$Y$1047,MATCH(ROW()-1,装备库!$AO$2:$AO$1046,0),COLUMN()),"")</f>
        <v/>
      </c>
      <c r="Y991" t="str">
        <f>IFERROR(INDEX(装备库!$A$2:$Y$1047,MATCH(ROW()-1,装备库!$AO$2:$AO$1046,0),COLUMN()),"")</f>
        <v/>
      </c>
    </row>
    <row r="992" spans="1:25" x14ac:dyDescent="0.35">
      <c r="A992" t="str">
        <f>IFERROR(INDEX(装备库!$A$2:$Y$1047,MATCH(ROW()-1,装备库!$AO$2:$AO$1046,0),COLUMN()),"")</f>
        <v/>
      </c>
      <c r="B992" t="str">
        <f>IFERROR(INDEX(装备库!$A$2:$Y$1047,MATCH(ROW()-1,装备库!$AO$2:$AO$1046,0),COLUMN()),"")</f>
        <v/>
      </c>
      <c r="C992" t="str">
        <f>IFERROR(INDEX(装备库!$A$2:$Y$1047,MATCH(ROW()-1,装备库!$AO$2:$AO$1046,0),COLUMN()),"")</f>
        <v/>
      </c>
      <c r="D992" t="str">
        <f>IFERROR(INDEX(装备库!$A$2:$Y$1047,MATCH(ROW()-1,装备库!$AO$2:$AO$1046,0),COLUMN()),"")</f>
        <v/>
      </c>
      <c r="E992" t="str">
        <f>IFERROR(INDEX(装备库!$A$2:$Y$1047,MATCH(ROW()-1,装备库!$AO$2:$AO$1046,0),COLUMN()),"")</f>
        <v/>
      </c>
      <c r="F992" t="str">
        <f>IFERROR(INDEX(装备库!$A$2:$Y$1047,MATCH(ROW()-1,装备库!$AO$2:$AO$1046,0),COLUMN()),"")</f>
        <v/>
      </c>
      <c r="G992" t="str">
        <f>IFERROR(INDEX(装备库!$A$2:$Y$1047,MATCH(ROW()-1,装备库!$AO$2:$AO$1046,0),COLUMN()),"")</f>
        <v/>
      </c>
      <c r="H992" t="str">
        <f>IFERROR(INDEX(装备库!$A$2:$Y$1047,MATCH(ROW()-1,装备库!$AO$2:$AO$1046,0),COLUMN()),"")</f>
        <v/>
      </c>
      <c r="I992" t="str">
        <f>IFERROR(INDEX(装备库!$A$2:$Y$1047,MATCH(ROW()-1,装备库!$AO$2:$AO$1046,0),COLUMN()),"")</f>
        <v/>
      </c>
      <c r="J992" t="str">
        <f>IFERROR(INDEX(装备库!$A$2:$Y$1047,MATCH(ROW()-1,装备库!$AO$2:$AO$1046,0),COLUMN()),"")</f>
        <v/>
      </c>
      <c r="K992" t="str">
        <f>IFERROR(INDEX(装备库!$A$2:$Y$1047,MATCH(ROW()-1,装备库!$AO$2:$AO$1046,0),COLUMN()),"")</f>
        <v/>
      </c>
      <c r="L992" t="str">
        <f>IFERROR(INDEX(装备库!$A$2:$Y$1047,MATCH(ROW()-1,装备库!$AO$2:$AO$1046,0),COLUMN()),"")</f>
        <v/>
      </c>
      <c r="M992" t="str">
        <f>IFERROR(INDEX(装备库!$A$2:$Y$1047,MATCH(ROW()-1,装备库!$AO$2:$AO$1046,0),COLUMN()),"")</f>
        <v/>
      </c>
      <c r="N992" t="str">
        <f>IFERROR(INDEX(装备库!$A$2:$Y$1047,MATCH(ROW()-1,装备库!$AO$2:$AO$1046,0),COLUMN()),"")</f>
        <v/>
      </c>
      <c r="O992" t="str">
        <f>IFERROR(INDEX(装备库!$A$2:$Y$1047,MATCH(ROW()-1,装备库!$AO$2:$AO$1046,0),COLUMN()),"")</f>
        <v/>
      </c>
      <c r="P992" t="str">
        <f>IFERROR(INDEX(装备库!$A$2:$Y$1047,MATCH(ROW()-1,装备库!$AO$2:$AO$1046,0),COLUMN()),"")</f>
        <v/>
      </c>
      <c r="Q992" t="str">
        <f>IFERROR(INDEX(装备库!$A$2:$Y$1047,MATCH(ROW()-1,装备库!$AO$2:$AO$1046,0),COLUMN()),"")</f>
        <v/>
      </c>
      <c r="R992" t="str">
        <f>IFERROR(INDEX(装备库!$A$2:$Y$1047,MATCH(ROW()-1,装备库!$AO$2:$AO$1046,0),COLUMN()),"")</f>
        <v/>
      </c>
      <c r="S992" t="str">
        <f>IFERROR(INDEX(装备库!$A$2:$Y$1047,MATCH(ROW()-1,装备库!$AO$2:$AO$1046,0),COLUMN()),"")</f>
        <v/>
      </c>
      <c r="T992" t="str">
        <f>IFERROR(INDEX(装备库!$A$2:$Y$1047,MATCH(ROW()-1,装备库!$AO$2:$AO$1046,0),COLUMN()),"")</f>
        <v/>
      </c>
      <c r="U992" t="str">
        <f>IFERROR(INDEX(装备库!$A$2:$Y$1047,MATCH(ROW()-1,装备库!$AO$2:$AO$1046,0),COLUMN()),"")</f>
        <v/>
      </c>
      <c r="V992" t="str">
        <f>IFERROR(INDEX(装备库!$A$2:$Y$1047,MATCH(ROW()-1,装备库!$AO$2:$AO$1046,0),COLUMN()),"")</f>
        <v/>
      </c>
      <c r="W992" t="str">
        <f>IFERROR(INDEX(装备库!$A$2:$Y$1047,MATCH(ROW()-1,装备库!$AO$2:$AO$1046,0),COLUMN()),"")</f>
        <v/>
      </c>
      <c r="X992" t="str">
        <f>IFERROR(INDEX(装备库!$A$2:$Y$1047,MATCH(ROW()-1,装备库!$AO$2:$AO$1046,0),COLUMN()),"")</f>
        <v/>
      </c>
      <c r="Y992" t="str">
        <f>IFERROR(INDEX(装备库!$A$2:$Y$1047,MATCH(ROW()-1,装备库!$AO$2:$AO$1046,0),COLUMN()),"")</f>
        <v/>
      </c>
    </row>
    <row r="993" spans="1:25" x14ac:dyDescent="0.35">
      <c r="A993" t="str">
        <f>IFERROR(INDEX(装备库!$A$2:$Y$1047,MATCH(ROW()-1,装备库!$AO$2:$AO$1046,0),COLUMN()),"")</f>
        <v/>
      </c>
      <c r="B993" t="str">
        <f>IFERROR(INDEX(装备库!$A$2:$Y$1047,MATCH(ROW()-1,装备库!$AO$2:$AO$1046,0),COLUMN()),"")</f>
        <v/>
      </c>
      <c r="C993" t="str">
        <f>IFERROR(INDEX(装备库!$A$2:$Y$1047,MATCH(ROW()-1,装备库!$AO$2:$AO$1046,0),COLUMN()),"")</f>
        <v/>
      </c>
      <c r="D993" t="str">
        <f>IFERROR(INDEX(装备库!$A$2:$Y$1047,MATCH(ROW()-1,装备库!$AO$2:$AO$1046,0),COLUMN()),"")</f>
        <v/>
      </c>
      <c r="E993" t="str">
        <f>IFERROR(INDEX(装备库!$A$2:$Y$1047,MATCH(ROW()-1,装备库!$AO$2:$AO$1046,0),COLUMN()),"")</f>
        <v/>
      </c>
      <c r="F993" t="str">
        <f>IFERROR(INDEX(装备库!$A$2:$Y$1047,MATCH(ROW()-1,装备库!$AO$2:$AO$1046,0),COLUMN()),"")</f>
        <v/>
      </c>
      <c r="G993" t="str">
        <f>IFERROR(INDEX(装备库!$A$2:$Y$1047,MATCH(ROW()-1,装备库!$AO$2:$AO$1046,0),COLUMN()),"")</f>
        <v/>
      </c>
      <c r="H993" t="str">
        <f>IFERROR(INDEX(装备库!$A$2:$Y$1047,MATCH(ROW()-1,装备库!$AO$2:$AO$1046,0),COLUMN()),"")</f>
        <v/>
      </c>
      <c r="I993" t="str">
        <f>IFERROR(INDEX(装备库!$A$2:$Y$1047,MATCH(ROW()-1,装备库!$AO$2:$AO$1046,0),COLUMN()),"")</f>
        <v/>
      </c>
      <c r="J993" t="str">
        <f>IFERROR(INDEX(装备库!$A$2:$Y$1047,MATCH(ROW()-1,装备库!$AO$2:$AO$1046,0),COLUMN()),"")</f>
        <v/>
      </c>
      <c r="K993" t="str">
        <f>IFERROR(INDEX(装备库!$A$2:$Y$1047,MATCH(ROW()-1,装备库!$AO$2:$AO$1046,0),COLUMN()),"")</f>
        <v/>
      </c>
      <c r="L993" t="str">
        <f>IFERROR(INDEX(装备库!$A$2:$Y$1047,MATCH(ROW()-1,装备库!$AO$2:$AO$1046,0),COLUMN()),"")</f>
        <v/>
      </c>
      <c r="M993" t="str">
        <f>IFERROR(INDEX(装备库!$A$2:$Y$1047,MATCH(ROW()-1,装备库!$AO$2:$AO$1046,0),COLUMN()),"")</f>
        <v/>
      </c>
      <c r="N993" t="str">
        <f>IFERROR(INDEX(装备库!$A$2:$Y$1047,MATCH(ROW()-1,装备库!$AO$2:$AO$1046,0),COLUMN()),"")</f>
        <v/>
      </c>
      <c r="O993" t="str">
        <f>IFERROR(INDEX(装备库!$A$2:$Y$1047,MATCH(ROW()-1,装备库!$AO$2:$AO$1046,0),COLUMN()),"")</f>
        <v/>
      </c>
      <c r="P993" t="str">
        <f>IFERROR(INDEX(装备库!$A$2:$Y$1047,MATCH(ROW()-1,装备库!$AO$2:$AO$1046,0),COLUMN()),"")</f>
        <v/>
      </c>
      <c r="Q993" t="str">
        <f>IFERROR(INDEX(装备库!$A$2:$Y$1047,MATCH(ROW()-1,装备库!$AO$2:$AO$1046,0),COLUMN()),"")</f>
        <v/>
      </c>
      <c r="R993" t="str">
        <f>IFERROR(INDEX(装备库!$A$2:$Y$1047,MATCH(ROW()-1,装备库!$AO$2:$AO$1046,0),COLUMN()),"")</f>
        <v/>
      </c>
      <c r="S993" t="str">
        <f>IFERROR(INDEX(装备库!$A$2:$Y$1047,MATCH(ROW()-1,装备库!$AO$2:$AO$1046,0),COLUMN()),"")</f>
        <v/>
      </c>
      <c r="T993" t="str">
        <f>IFERROR(INDEX(装备库!$A$2:$Y$1047,MATCH(ROW()-1,装备库!$AO$2:$AO$1046,0),COLUMN()),"")</f>
        <v/>
      </c>
      <c r="U993" t="str">
        <f>IFERROR(INDEX(装备库!$A$2:$Y$1047,MATCH(ROW()-1,装备库!$AO$2:$AO$1046,0),COLUMN()),"")</f>
        <v/>
      </c>
      <c r="V993" t="str">
        <f>IFERROR(INDEX(装备库!$A$2:$Y$1047,MATCH(ROW()-1,装备库!$AO$2:$AO$1046,0),COLUMN()),"")</f>
        <v/>
      </c>
      <c r="W993" t="str">
        <f>IFERROR(INDEX(装备库!$A$2:$Y$1047,MATCH(ROW()-1,装备库!$AO$2:$AO$1046,0),COLUMN()),"")</f>
        <v/>
      </c>
      <c r="X993" t="str">
        <f>IFERROR(INDEX(装备库!$A$2:$Y$1047,MATCH(ROW()-1,装备库!$AO$2:$AO$1046,0),COLUMN()),"")</f>
        <v/>
      </c>
      <c r="Y993" t="str">
        <f>IFERROR(INDEX(装备库!$A$2:$Y$1047,MATCH(ROW()-1,装备库!$AO$2:$AO$1046,0),COLUMN()),"")</f>
        <v/>
      </c>
    </row>
    <row r="994" spans="1:25" x14ac:dyDescent="0.35">
      <c r="A994" t="str">
        <f>IFERROR(INDEX(装备库!$A$2:$Y$1047,MATCH(ROW()-1,装备库!$AO$2:$AO$1046,0),COLUMN()),"")</f>
        <v/>
      </c>
      <c r="B994" t="str">
        <f>IFERROR(INDEX(装备库!$A$2:$Y$1047,MATCH(ROW()-1,装备库!$AO$2:$AO$1046,0),COLUMN()),"")</f>
        <v/>
      </c>
      <c r="C994" t="str">
        <f>IFERROR(INDEX(装备库!$A$2:$Y$1047,MATCH(ROW()-1,装备库!$AO$2:$AO$1046,0),COLUMN()),"")</f>
        <v/>
      </c>
      <c r="D994" t="str">
        <f>IFERROR(INDEX(装备库!$A$2:$Y$1047,MATCH(ROW()-1,装备库!$AO$2:$AO$1046,0),COLUMN()),"")</f>
        <v/>
      </c>
      <c r="E994" t="str">
        <f>IFERROR(INDEX(装备库!$A$2:$Y$1047,MATCH(ROW()-1,装备库!$AO$2:$AO$1046,0),COLUMN()),"")</f>
        <v/>
      </c>
      <c r="F994" t="str">
        <f>IFERROR(INDEX(装备库!$A$2:$Y$1047,MATCH(ROW()-1,装备库!$AO$2:$AO$1046,0),COLUMN()),"")</f>
        <v/>
      </c>
      <c r="G994" t="str">
        <f>IFERROR(INDEX(装备库!$A$2:$Y$1047,MATCH(ROW()-1,装备库!$AO$2:$AO$1046,0),COLUMN()),"")</f>
        <v/>
      </c>
      <c r="H994" t="str">
        <f>IFERROR(INDEX(装备库!$A$2:$Y$1047,MATCH(ROW()-1,装备库!$AO$2:$AO$1046,0),COLUMN()),"")</f>
        <v/>
      </c>
      <c r="I994" t="str">
        <f>IFERROR(INDEX(装备库!$A$2:$Y$1047,MATCH(ROW()-1,装备库!$AO$2:$AO$1046,0),COLUMN()),"")</f>
        <v/>
      </c>
      <c r="J994" t="str">
        <f>IFERROR(INDEX(装备库!$A$2:$Y$1047,MATCH(ROW()-1,装备库!$AO$2:$AO$1046,0),COLUMN()),"")</f>
        <v/>
      </c>
      <c r="K994" t="str">
        <f>IFERROR(INDEX(装备库!$A$2:$Y$1047,MATCH(ROW()-1,装备库!$AO$2:$AO$1046,0),COLUMN()),"")</f>
        <v/>
      </c>
      <c r="L994" t="str">
        <f>IFERROR(INDEX(装备库!$A$2:$Y$1047,MATCH(ROW()-1,装备库!$AO$2:$AO$1046,0),COLUMN()),"")</f>
        <v/>
      </c>
      <c r="M994" t="str">
        <f>IFERROR(INDEX(装备库!$A$2:$Y$1047,MATCH(ROW()-1,装备库!$AO$2:$AO$1046,0),COLUMN()),"")</f>
        <v/>
      </c>
      <c r="N994" t="str">
        <f>IFERROR(INDEX(装备库!$A$2:$Y$1047,MATCH(ROW()-1,装备库!$AO$2:$AO$1046,0),COLUMN()),"")</f>
        <v/>
      </c>
      <c r="O994" t="str">
        <f>IFERROR(INDEX(装备库!$A$2:$Y$1047,MATCH(ROW()-1,装备库!$AO$2:$AO$1046,0),COLUMN()),"")</f>
        <v/>
      </c>
      <c r="P994" t="str">
        <f>IFERROR(INDEX(装备库!$A$2:$Y$1047,MATCH(ROW()-1,装备库!$AO$2:$AO$1046,0),COLUMN()),"")</f>
        <v/>
      </c>
      <c r="Q994" t="str">
        <f>IFERROR(INDEX(装备库!$A$2:$Y$1047,MATCH(ROW()-1,装备库!$AO$2:$AO$1046,0),COLUMN()),"")</f>
        <v/>
      </c>
      <c r="R994" t="str">
        <f>IFERROR(INDEX(装备库!$A$2:$Y$1047,MATCH(ROW()-1,装备库!$AO$2:$AO$1046,0),COLUMN()),"")</f>
        <v/>
      </c>
      <c r="S994" t="str">
        <f>IFERROR(INDEX(装备库!$A$2:$Y$1047,MATCH(ROW()-1,装备库!$AO$2:$AO$1046,0),COLUMN()),"")</f>
        <v/>
      </c>
      <c r="T994" t="str">
        <f>IFERROR(INDEX(装备库!$A$2:$Y$1047,MATCH(ROW()-1,装备库!$AO$2:$AO$1046,0),COLUMN()),"")</f>
        <v/>
      </c>
      <c r="U994" t="str">
        <f>IFERROR(INDEX(装备库!$A$2:$Y$1047,MATCH(ROW()-1,装备库!$AO$2:$AO$1046,0),COLUMN()),"")</f>
        <v/>
      </c>
      <c r="V994" t="str">
        <f>IFERROR(INDEX(装备库!$A$2:$Y$1047,MATCH(ROW()-1,装备库!$AO$2:$AO$1046,0),COLUMN()),"")</f>
        <v/>
      </c>
      <c r="W994" t="str">
        <f>IFERROR(INDEX(装备库!$A$2:$Y$1047,MATCH(ROW()-1,装备库!$AO$2:$AO$1046,0),COLUMN()),"")</f>
        <v/>
      </c>
      <c r="X994" t="str">
        <f>IFERROR(INDEX(装备库!$A$2:$Y$1047,MATCH(ROW()-1,装备库!$AO$2:$AO$1046,0),COLUMN()),"")</f>
        <v/>
      </c>
      <c r="Y994" t="str">
        <f>IFERROR(INDEX(装备库!$A$2:$Y$1047,MATCH(ROW()-1,装备库!$AO$2:$AO$1046,0),COLUMN()),"")</f>
        <v/>
      </c>
    </row>
    <row r="995" spans="1:25" x14ac:dyDescent="0.35">
      <c r="A995" t="str">
        <f>IFERROR(INDEX(装备库!$A$2:$Y$1047,MATCH(ROW()-1,装备库!$AO$2:$AO$1046,0),COLUMN()),"")</f>
        <v/>
      </c>
      <c r="B995" t="str">
        <f>IFERROR(INDEX(装备库!$A$2:$Y$1047,MATCH(ROW()-1,装备库!$AO$2:$AO$1046,0),COLUMN()),"")</f>
        <v/>
      </c>
      <c r="C995" t="str">
        <f>IFERROR(INDEX(装备库!$A$2:$Y$1047,MATCH(ROW()-1,装备库!$AO$2:$AO$1046,0),COLUMN()),"")</f>
        <v/>
      </c>
      <c r="D995" t="str">
        <f>IFERROR(INDEX(装备库!$A$2:$Y$1047,MATCH(ROW()-1,装备库!$AO$2:$AO$1046,0),COLUMN()),"")</f>
        <v/>
      </c>
      <c r="E995" t="str">
        <f>IFERROR(INDEX(装备库!$A$2:$Y$1047,MATCH(ROW()-1,装备库!$AO$2:$AO$1046,0),COLUMN()),"")</f>
        <v/>
      </c>
      <c r="F995" t="str">
        <f>IFERROR(INDEX(装备库!$A$2:$Y$1047,MATCH(ROW()-1,装备库!$AO$2:$AO$1046,0),COLUMN()),"")</f>
        <v/>
      </c>
      <c r="G995" t="str">
        <f>IFERROR(INDEX(装备库!$A$2:$Y$1047,MATCH(ROW()-1,装备库!$AO$2:$AO$1046,0),COLUMN()),"")</f>
        <v/>
      </c>
      <c r="H995" t="str">
        <f>IFERROR(INDEX(装备库!$A$2:$Y$1047,MATCH(ROW()-1,装备库!$AO$2:$AO$1046,0),COLUMN()),"")</f>
        <v/>
      </c>
      <c r="I995" t="str">
        <f>IFERROR(INDEX(装备库!$A$2:$Y$1047,MATCH(ROW()-1,装备库!$AO$2:$AO$1046,0),COLUMN()),"")</f>
        <v/>
      </c>
      <c r="J995" t="str">
        <f>IFERROR(INDEX(装备库!$A$2:$Y$1047,MATCH(ROW()-1,装备库!$AO$2:$AO$1046,0),COLUMN()),"")</f>
        <v/>
      </c>
      <c r="K995" t="str">
        <f>IFERROR(INDEX(装备库!$A$2:$Y$1047,MATCH(ROW()-1,装备库!$AO$2:$AO$1046,0),COLUMN()),"")</f>
        <v/>
      </c>
      <c r="L995" t="str">
        <f>IFERROR(INDEX(装备库!$A$2:$Y$1047,MATCH(ROW()-1,装备库!$AO$2:$AO$1046,0),COLUMN()),"")</f>
        <v/>
      </c>
      <c r="M995" t="str">
        <f>IFERROR(INDEX(装备库!$A$2:$Y$1047,MATCH(ROW()-1,装备库!$AO$2:$AO$1046,0),COLUMN()),"")</f>
        <v/>
      </c>
      <c r="N995" t="str">
        <f>IFERROR(INDEX(装备库!$A$2:$Y$1047,MATCH(ROW()-1,装备库!$AO$2:$AO$1046,0),COLUMN()),"")</f>
        <v/>
      </c>
      <c r="O995" t="str">
        <f>IFERROR(INDEX(装备库!$A$2:$Y$1047,MATCH(ROW()-1,装备库!$AO$2:$AO$1046,0),COLUMN()),"")</f>
        <v/>
      </c>
      <c r="P995" t="str">
        <f>IFERROR(INDEX(装备库!$A$2:$Y$1047,MATCH(ROW()-1,装备库!$AO$2:$AO$1046,0),COLUMN()),"")</f>
        <v/>
      </c>
      <c r="Q995" t="str">
        <f>IFERROR(INDEX(装备库!$A$2:$Y$1047,MATCH(ROW()-1,装备库!$AO$2:$AO$1046,0),COLUMN()),"")</f>
        <v/>
      </c>
      <c r="R995" t="str">
        <f>IFERROR(INDEX(装备库!$A$2:$Y$1047,MATCH(ROW()-1,装备库!$AO$2:$AO$1046,0),COLUMN()),"")</f>
        <v/>
      </c>
      <c r="S995" t="str">
        <f>IFERROR(INDEX(装备库!$A$2:$Y$1047,MATCH(ROW()-1,装备库!$AO$2:$AO$1046,0),COLUMN()),"")</f>
        <v/>
      </c>
      <c r="T995" t="str">
        <f>IFERROR(INDEX(装备库!$A$2:$Y$1047,MATCH(ROW()-1,装备库!$AO$2:$AO$1046,0),COLUMN()),"")</f>
        <v/>
      </c>
      <c r="U995" t="str">
        <f>IFERROR(INDEX(装备库!$A$2:$Y$1047,MATCH(ROW()-1,装备库!$AO$2:$AO$1046,0),COLUMN()),"")</f>
        <v/>
      </c>
      <c r="V995" t="str">
        <f>IFERROR(INDEX(装备库!$A$2:$Y$1047,MATCH(ROW()-1,装备库!$AO$2:$AO$1046,0),COLUMN()),"")</f>
        <v/>
      </c>
      <c r="W995" t="str">
        <f>IFERROR(INDEX(装备库!$A$2:$Y$1047,MATCH(ROW()-1,装备库!$AO$2:$AO$1046,0),COLUMN()),"")</f>
        <v/>
      </c>
      <c r="X995" t="str">
        <f>IFERROR(INDEX(装备库!$A$2:$Y$1047,MATCH(ROW()-1,装备库!$AO$2:$AO$1046,0),COLUMN()),"")</f>
        <v/>
      </c>
      <c r="Y995" t="str">
        <f>IFERROR(INDEX(装备库!$A$2:$Y$1047,MATCH(ROW()-1,装备库!$AO$2:$AO$1046,0),COLUMN()),"")</f>
        <v/>
      </c>
    </row>
    <row r="996" spans="1:25" x14ac:dyDescent="0.35">
      <c r="A996" t="str">
        <f>IFERROR(INDEX(装备库!$A$2:$Y$1047,MATCH(ROW()-1,装备库!$AO$2:$AO$1046,0),COLUMN()),"")</f>
        <v/>
      </c>
      <c r="B996" t="str">
        <f>IFERROR(INDEX(装备库!$A$2:$Y$1047,MATCH(ROW()-1,装备库!$AO$2:$AO$1046,0),COLUMN()),"")</f>
        <v/>
      </c>
      <c r="C996" t="str">
        <f>IFERROR(INDEX(装备库!$A$2:$Y$1047,MATCH(ROW()-1,装备库!$AO$2:$AO$1046,0),COLUMN()),"")</f>
        <v/>
      </c>
      <c r="D996" t="str">
        <f>IFERROR(INDEX(装备库!$A$2:$Y$1047,MATCH(ROW()-1,装备库!$AO$2:$AO$1046,0),COLUMN()),"")</f>
        <v/>
      </c>
      <c r="E996" t="str">
        <f>IFERROR(INDEX(装备库!$A$2:$Y$1047,MATCH(ROW()-1,装备库!$AO$2:$AO$1046,0),COLUMN()),"")</f>
        <v/>
      </c>
      <c r="F996" t="str">
        <f>IFERROR(INDEX(装备库!$A$2:$Y$1047,MATCH(ROW()-1,装备库!$AO$2:$AO$1046,0),COLUMN()),"")</f>
        <v/>
      </c>
      <c r="G996" t="str">
        <f>IFERROR(INDEX(装备库!$A$2:$Y$1047,MATCH(ROW()-1,装备库!$AO$2:$AO$1046,0),COLUMN()),"")</f>
        <v/>
      </c>
      <c r="H996" t="str">
        <f>IFERROR(INDEX(装备库!$A$2:$Y$1047,MATCH(ROW()-1,装备库!$AO$2:$AO$1046,0),COLUMN()),"")</f>
        <v/>
      </c>
      <c r="I996" t="str">
        <f>IFERROR(INDEX(装备库!$A$2:$Y$1047,MATCH(ROW()-1,装备库!$AO$2:$AO$1046,0),COLUMN()),"")</f>
        <v/>
      </c>
      <c r="J996" t="str">
        <f>IFERROR(INDEX(装备库!$A$2:$Y$1047,MATCH(ROW()-1,装备库!$AO$2:$AO$1046,0),COLUMN()),"")</f>
        <v/>
      </c>
      <c r="K996" t="str">
        <f>IFERROR(INDEX(装备库!$A$2:$Y$1047,MATCH(ROW()-1,装备库!$AO$2:$AO$1046,0),COLUMN()),"")</f>
        <v/>
      </c>
      <c r="L996" t="str">
        <f>IFERROR(INDEX(装备库!$A$2:$Y$1047,MATCH(ROW()-1,装备库!$AO$2:$AO$1046,0),COLUMN()),"")</f>
        <v/>
      </c>
      <c r="M996" t="str">
        <f>IFERROR(INDEX(装备库!$A$2:$Y$1047,MATCH(ROW()-1,装备库!$AO$2:$AO$1046,0),COLUMN()),"")</f>
        <v/>
      </c>
      <c r="N996" t="str">
        <f>IFERROR(INDEX(装备库!$A$2:$Y$1047,MATCH(ROW()-1,装备库!$AO$2:$AO$1046,0),COLUMN()),"")</f>
        <v/>
      </c>
      <c r="O996" t="str">
        <f>IFERROR(INDEX(装备库!$A$2:$Y$1047,MATCH(ROW()-1,装备库!$AO$2:$AO$1046,0),COLUMN()),"")</f>
        <v/>
      </c>
      <c r="P996" t="str">
        <f>IFERROR(INDEX(装备库!$A$2:$Y$1047,MATCH(ROW()-1,装备库!$AO$2:$AO$1046,0),COLUMN()),"")</f>
        <v/>
      </c>
      <c r="Q996" t="str">
        <f>IFERROR(INDEX(装备库!$A$2:$Y$1047,MATCH(ROW()-1,装备库!$AO$2:$AO$1046,0),COLUMN()),"")</f>
        <v/>
      </c>
      <c r="R996" t="str">
        <f>IFERROR(INDEX(装备库!$A$2:$Y$1047,MATCH(ROW()-1,装备库!$AO$2:$AO$1046,0),COLUMN()),"")</f>
        <v/>
      </c>
      <c r="S996" t="str">
        <f>IFERROR(INDEX(装备库!$A$2:$Y$1047,MATCH(ROW()-1,装备库!$AO$2:$AO$1046,0),COLUMN()),"")</f>
        <v/>
      </c>
      <c r="T996" t="str">
        <f>IFERROR(INDEX(装备库!$A$2:$Y$1047,MATCH(ROW()-1,装备库!$AO$2:$AO$1046,0),COLUMN()),"")</f>
        <v/>
      </c>
      <c r="U996" t="str">
        <f>IFERROR(INDEX(装备库!$A$2:$Y$1047,MATCH(ROW()-1,装备库!$AO$2:$AO$1046,0),COLUMN()),"")</f>
        <v/>
      </c>
      <c r="V996" t="str">
        <f>IFERROR(INDEX(装备库!$A$2:$Y$1047,MATCH(ROW()-1,装备库!$AO$2:$AO$1046,0),COLUMN()),"")</f>
        <v/>
      </c>
      <c r="W996" t="str">
        <f>IFERROR(INDEX(装备库!$A$2:$Y$1047,MATCH(ROW()-1,装备库!$AO$2:$AO$1046,0),COLUMN()),"")</f>
        <v/>
      </c>
      <c r="X996" t="str">
        <f>IFERROR(INDEX(装备库!$A$2:$Y$1047,MATCH(ROW()-1,装备库!$AO$2:$AO$1046,0),COLUMN()),"")</f>
        <v/>
      </c>
      <c r="Y996" t="str">
        <f>IFERROR(INDEX(装备库!$A$2:$Y$1047,MATCH(ROW()-1,装备库!$AO$2:$AO$1046,0),COLUMN()),"")</f>
        <v/>
      </c>
    </row>
    <row r="997" spans="1:25" x14ac:dyDescent="0.35">
      <c r="A997" t="str">
        <f>IFERROR(INDEX(装备库!$A$2:$Y$1047,MATCH(ROW()-1,装备库!$AO$2:$AO$1046,0),COLUMN()),"")</f>
        <v/>
      </c>
      <c r="B997" t="str">
        <f>IFERROR(INDEX(装备库!$A$2:$Y$1047,MATCH(ROW()-1,装备库!$AO$2:$AO$1046,0),COLUMN()),"")</f>
        <v/>
      </c>
      <c r="C997" t="str">
        <f>IFERROR(INDEX(装备库!$A$2:$Y$1047,MATCH(ROW()-1,装备库!$AO$2:$AO$1046,0),COLUMN()),"")</f>
        <v/>
      </c>
      <c r="D997" t="str">
        <f>IFERROR(INDEX(装备库!$A$2:$Y$1047,MATCH(ROW()-1,装备库!$AO$2:$AO$1046,0),COLUMN()),"")</f>
        <v/>
      </c>
      <c r="E997" t="str">
        <f>IFERROR(INDEX(装备库!$A$2:$Y$1047,MATCH(ROW()-1,装备库!$AO$2:$AO$1046,0),COLUMN()),"")</f>
        <v/>
      </c>
      <c r="F997" t="str">
        <f>IFERROR(INDEX(装备库!$A$2:$Y$1047,MATCH(ROW()-1,装备库!$AO$2:$AO$1046,0),COLUMN()),"")</f>
        <v/>
      </c>
      <c r="G997" t="str">
        <f>IFERROR(INDEX(装备库!$A$2:$Y$1047,MATCH(ROW()-1,装备库!$AO$2:$AO$1046,0),COLUMN()),"")</f>
        <v/>
      </c>
      <c r="H997" t="str">
        <f>IFERROR(INDEX(装备库!$A$2:$Y$1047,MATCH(ROW()-1,装备库!$AO$2:$AO$1046,0),COLUMN()),"")</f>
        <v/>
      </c>
      <c r="I997" t="str">
        <f>IFERROR(INDEX(装备库!$A$2:$Y$1047,MATCH(ROW()-1,装备库!$AO$2:$AO$1046,0),COLUMN()),"")</f>
        <v/>
      </c>
      <c r="J997" t="str">
        <f>IFERROR(INDEX(装备库!$A$2:$Y$1047,MATCH(ROW()-1,装备库!$AO$2:$AO$1046,0),COLUMN()),"")</f>
        <v/>
      </c>
      <c r="K997" t="str">
        <f>IFERROR(INDEX(装备库!$A$2:$Y$1047,MATCH(ROW()-1,装备库!$AO$2:$AO$1046,0),COLUMN()),"")</f>
        <v/>
      </c>
      <c r="L997" t="str">
        <f>IFERROR(INDEX(装备库!$A$2:$Y$1047,MATCH(ROW()-1,装备库!$AO$2:$AO$1046,0),COLUMN()),"")</f>
        <v/>
      </c>
      <c r="M997" t="str">
        <f>IFERROR(INDEX(装备库!$A$2:$Y$1047,MATCH(ROW()-1,装备库!$AO$2:$AO$1046,0),COLUMN()),"")</f>
        <v/>
      </c>
      <c r="N997" t="str">
        <f>IFERROR(INDEX(装备库!$A$2:$Y$1047,MATCH(ROW()-1,装备库!$AO$2:$AO$1046,0),COLUMN()),"")</f>
        <v/>
      </c>
      <c r="O997" t="str">
        <f>IFERROR(INDEX(装备库!$A$2:$Y$1047,MATCH(ROW()-1,装备库!$AO$2:$AO$1046,0),COLUMN()),"")</f>
        <v/>
      </c>
      <c r="P997" t="str">
        <f>IFERROR(INDEX(装备库!$A$2:$Y$1047,MATCH(ROW()-1,装备库!$AO$2:$AO$1046,0),COLUMN()),"")</f>
        <v/>
      </c>
      <c r="Q997" t="str">
        <f>IFERROR(INDEX(装备库!$A$2:$Y$1047,MATCH(ROW()-1,装备库!$AO$2:$AO$1046,0),COLUMN()),"")</f>
        <v/>
      </c>
      <c r="R997" t="str">
        <f>IFERROR(INDEX(装备库!$A$2:$Y$1047,MATCH(ROW()-1,装备库!$AO$2:$AO$1046,0),COLUMN()),"")</f>
        <v/>
      </c>
      <c r="S997" t="str">
        <f>IFERROR(INDEX(装备库!$A$2:$Y$1047,MATCH(ROW()-1,装备库!$AO$2:$AO$1046,0),COLUMN()),"")</f>
        <v/>
      </c>
      <c r="T997" t="str">
        <f>IFERROR(INDEX(装备库!$A$2:$Y$1047,MATCH(ROW()-1,装备库!$AO$2:$AO$1046,0),COLUMN()),"")</f>
        <v/>
      </c>
      <c r="U997" t="str">
        <f>IFERROR(INDEX(装备库!$A$2:$Y$1047,MATCH(ROW()-1,装备库!$AO$2:$AO$1046,0),COLUMN()),"")</f>
        <v/>
      </c>
      <c r="V997" t="str">
        <f>IFERROR(INDEX(装备库!$A$2:$Y$1047,MATCH(ROW()-1,装备库!$AO$2:$AO$1046,0),COLUMN()),"")</f>
        <v/>
      </c>
      <c r="W997" t="str">
        <f>IFERROR(INDEX(装备库!$A$2:$Y$1047,MATCH(ROW()-1,装备库!$AO$2:$AO$1046,0),COLUMN()),"")</f>
        <v/>
      </c>
      <c r="X997" t="str">
        <f>IFERROR(INDEX(装备库!$A$2:$Y$1047,MATCH(ROW()-1,装备库!$AO$2:$AO$1046,0),COLUMN()),"")</f>
        <v/>
      </c>
      <c r="Y997" t="str">
        <f>IFERROR(INDEX(装备库!$A$2:$Y$1047,MATCH(ROW()-1,装备库!$AO$2:$AO$1046,0),COLUMN()),"")</f>
        <v/>
      </c>
    </row>
    <row r="998" spans="1:25" x14ac:dyDescent="0.35">
      <c r="A998" t="str">
        <f>IFERROR(INDEX(装备库!$A$2:$Y$1047,MATCH(ROW()-1,装备库!$AO$2:$AO$1046,0),COLUMN()),"")</f>
        <v/>
      </c>
      <c r="B998" t="str">
        <f>IFERROR(INDEX(装备库!$A$2:$Y$1047,MATCH(ROW()-1,装备库!$AO$2:$AO$1046,0),COLUMN()),"")</f>
        <v/>
      </c>
      <c r="C998" t="str">
        <f>IFERROR(INDEX(装备库!$A$2:$Y$1047,MATCH(ROW()-1,装备库!$AO$2:$AO$1046,0),COLUMN()),"")</f>
        <v/>
      </c>
      <c r="D998" t="str">
        <f>IFERROR(INDEX(装备库!$A$2:$Y$1047,MATCH(ROW()-1,装备库!$AO$2:$AO$1046,0),COLUMN()),"")</f>
        <v/>
      </c>
      <c r="E998" t="str">
        <f>IFERROR(INDEX(装备库!$A$2:$Y$1047,MATCH(ROW()-1,装备库!$AO$2:$AO$1046,0),COLUMN()),"")</f>
        <v/>
      </c>
      <c r="F998" t="str">
        <f>IFERROR(INDEX(装备库!$A$2:$Y$1047,MATCH(ROW()-1,装备库!$AO$2:$AO$1046,0),COLUMN()),"")</f>
        <v/>
      </c>
      <c r="G998" t="str">
        <f>IFERROR(INDEX(装备库!$A$2:$Y$1047,MATCH(ROW()-1,装备库!$AO$2:$AO$1046,0),COLUMN()),"")</f>
        <v/>
      </c>
      <c r="H998" t="str">
        <f>IFERROR(INDEX(装备库!$A$2:$Y$1047,MATCH(ROW()-1,装备库!$AO$2:$AO$1046,0),COLUMN()),"")</f>
        <v/>
      </c>
      <c r="I998" t="str">
        <f>IFERROR(INDEX(装备库!$A$2:$Y$1047,MATCH(ROW()-1,装备库!$AO$2:$AO$1046,0),COLUMN()),"")</f>
        <v/>
      </c>
      <c r="J998" t="str">
        <f>IFERROR(INDEX(装备库!$A$2:$Y$1047,MATCH(ROW()-1,装备库!$AO$2:$AO$1046,0),COLUMN()),"")</f>
        <v/>
      </c>
      <c r="K998" t="str">
        <f>IFERROR(INDEX(装备库!$A$2:$Y$1047,MATCH(ROW()-1,装备库!$AO$2:$AO$1046,0),COLUMN()),"")</f>
        <v/>
      </c>
      <c r="L998" t="str">
        <f>IFERROR(INDEX(装备库!$A$2:$Y$1047,MATCH(ROW()-1,装备库!$AO$2:$AO$1046,0),COLUMN()),"")</f>
        <v/>
      </c>
      <c r="M998" t="str">
        <f>IFERROR(INDEX(装备库!$A$2:$Y$1047,MATCH(ROW()-1,装备库!$AO$2:$AO$1046,0),COLUMN()),"")</f>
        <v/>
      </c>
      <c r="N998" t="str">
        <f>IFERROR(INDEX(装备库!$A$2:$Y$1047,MATCH(ROW()-1,装备库!$AO$2:$AO$1046,0),COLUMN()),"")</f>
        <v/>
      </c>
      <c r="O998" t="str">
        <f>IFERROR(INDEX(装备库!$A$2:$Y$1047,MATCH(ROW()-1,装备库!$AO$2:$AO$1046,0),COLUMN()),"")</f>
        <v/>
      </c>
      <c r="P998" t="str">
        <f>IFERROR(INDEX(装备库!$A$2:$Y$1047,MATCH(ROW()-1,装备库!$AO$2:$AO$1046,0),COLUMN()),"")</f>
        <v/>
      </c>
      <c r="Q998" t="str">
        <f>IFERROR(INDEX(装备库!$A$2:$Y$1047,MATCH(ROW()-1,装备库!$AO$2:$AO$1046,0),COLUMN()),"")</f>
        <v/>
      </c>
      <c r="R998" t="str">
        <f>IFERROR(INDEX(装备库!$A$2:$Y$1047,MATCH(ROW()-1,装备库!$AO$2:$AO$1046,0),COLUMN()),"")</f>
        <v/>
      </c>
      <c r="S998" t="str">
        <f>IFERROR(INDEX(装备库!$A$2:$Y$1047,MATCH(ROW()-1,装备库!$AO$2:$AO$1046,0),COLUMN()),"")</f>
        <v/>
      </c>
      <c r="T998" t="str">
        <f>IFERROR(INDEX(装备库!$A$2:$Y$1047,MATCH(ROW()-1,装备库!$AO$2:$AO$1046,0),COLUMN()),"")</f>
        <v/>
      </c>
      <c r="U998" t="str">
        <f>IFERROR(INDEX(装备库!$A$2:$Y$1047,MATCH(ROW()-1,装备库!$AO$2:$AO$1046,0),COLUMN()),"")</f>
        <v/>
      </c>
      <c r="V998" t="str">
        <f>IFERROR(INDEX(装备库!$A$2:$Y$1047,MATCH(ROW()-1,装备库!$AO$2:$AO$1046,0),COLUMN()),"")</f>
        <v/>
      </c>
      <c r="W998" t="str">
        <f>IFERROR(INDEX(装备库!$A$2:$Y$1047,MATCH(ROW()-1,装备库!$AO$2:$AO$1046,0),COLUMN()),"")</f>
        <v/>
      </c>
      <c r="X998" t="str">
        <f>IFERROR(INDEX(装备库!$A$2:$Y$1047,MATCH(ROW()-1,装备库!$AO$2:$AO$1046,0),COLUMN()),"")</f>
        <v/>
      </c>
      <c r="Y998" t="str">
        <f>IFERROR(INDEX(装备库!$A$2:$Y$1047,MATCH(ROW()-1,装备库!$AO$2:$AO$1046,0),COLUMN()),"")</f>
        <v/>
      </c>
    </row>
    <row r="999" spans="1:25" x14ac:dyDescent="0.35">
      <c r="A999" t="str">
        <f>IFERROR(INDEX(装备库!$A$2:$Y$1047,MATCH(ROW()-1,装备库!$AO$2:$AO$1046,0),COLUMN()),"")</f>
        <v/>
      </c>
      <c r="B999" t="str">
        <f>IFERROR(INDEX(装备库!$A$2:$Y$1047,MATCH(ROW()-1,装备库!$AO$2:$AO$1046,0),COLUMN()),"")</f>
        <v/>
      </c>
      <c r="C999" t="str">
        <f>IFERROR(INDEX(装备库!$A$2:$Y$1047,MATCH(ROW()-1,装备库!$AO$2:$AO$1046,0),COLUMN()),"")</f>
        <v/>
      </c>
      <c r="D999" t="str">
        <f>IFERROR(INDEX(装备库!$A$2:$Y$1047,MATCH(ROW()-1,装备库!$AO$2:$AO$1046,0),COLUMN()),"")</f>
        <v/>
      </c>
      <c r="E999" t="str">
        <f>IFERROR(INDEX(装备库!$A$2:$Y$1047,MATCH(ROW()-1,装备库!$AO$2:$AO$1046,0),COLUMN()),"")</f>
        <v/>
      </c>
      <c r="F999" t="str">
        <f>IFERROR(INDEX(装备库!$A$2:$Y$1047,MATCH(ROW()-1,装备库!$AO$2:$AO$1046,0),COLUMN()),"")</f>
        <v/>
      </c>
      <c r="G999" t="str">
        <f>IFERROR(INDEX(装备库!$A$2:$Y$1047,MATCH(ROW()-1,装备库!$AO$2:$AO$1046,0),COLUMN()),"")</f>
        <v/>
      </c>
      <c r="H999" t="str">
        <f>IFERROR(INDEX(装备库!$A$2:$Y$1047,MATCH(ROW()-1,装备库!$AO$2:$AO$1046,0),COLUMN()),"")</f>
        <v/>
      </c>
      <c r="I999" t="str">
        <f>IFERROR(INDEX(装备库!$A$2:$Y$1047,MATCH(ROW()-1,装备库!$AO$2:$AO$1046,0),COLUMN()),"")</f>
        <v/>
      </c>
      <c r="J999" t="str">
        <f>IFERROR(INDEX(装备库!$A$2:$Y$1047,MATCH(ROW()-1,装备库!$AO$2:$AO$1046,0),COLUMN()),"")</f>
        <v/>
      </c>
      <c r="K999" t="str">
        <f>IFERROR(INDEX(装备库!$A$2:$Y$1047,MATCH(ROW()-1,装备库!$AO$2:$AO$1046,0),COLUMN()),"")</f>
        <v/>
      </c>
      <c r="L999" t="str">
        <f>IFERROR(INDEX(装备库!$A$2:$Y$1047,MATCH(ROW()-1,装备库!$AO$2:$AO$1046,0),COLUMN()),"")</f>
        <v/>
      </c>
      <c r="M999" t="str">
        <f>IFERROR(INDEX(装备库!$A$2:$Y$1047,MATCH(ROW()-1,装备库!$AO$2:$AO$1046,0),COLUMN()),"")</f>
        <v/>
      </c>
      <c r="N999" t="str">
        <f>IFERROR(INDEX(装备库!$A$2:$Y$1047,MATCH(ROW()-1,装备库!$AO$2:$AO$1046,0),COLUMN()),"")</f>
        <v/>
      </c>
      <c r="O999" t="str">
        <f>IFERROR(INDEX(装备库!$A$2:$Y$1047,MATCH(ROW()-1,装备库!$AO$2:$AO$1046,0),COLUMN()),"")</f>
        <v/>
      </c>
      <c r="P999" t="str">
        <f>IFERROR(INDEX(装备库!$A$2:$Y$1047,MATCH(ROW()-1,装备库!$AO$2:$AO$1046,0),COLUMN()),"")</f>
        <v/>
      </c>
      <c r="Q999" t="str">
        <f>IFERROR(INDEX(装备库!$A$2:$Y$1047,MATCH(ROW()-1,装备库!$AO$2:$AO$1046,0),COLUMN()),"")</f>
        <v/>
      </c>
      <c r="R999" t="str">
        <f>IFERROR(INDEX(装备库!$A$2:$Y$1047,MATCH(ROW()-1,装备库!$AO$2:$AO$1046,0),COLUMN()),"")</f>
        <v/>
      </c>
      <c r="S999" t="str">
        <f>IFERROR(INDEX(装备库!$A$2:$Y$1047,MATCH(ROW()-1,装备库!$AO$2:$AO$1046,0),COLUMN()),"")</f>
        <v/>
      </c>
      <c r="T999" t="str">
        <f>IFERROR(INDEX(装备库!$A$2:$Y$1047,MATCH(ROW()-1,装备库!$AO$2:$AO$1046,0),COLUMN()),"")</f>
        <v/>
      </c>
      <c r="U999" t="str">
        <f>IFERROR(INDEX(装备库!$A$2:$Y$1047,MATCH(ROW()-1,装备库!$AO$2:$AO$1046,0),COLUMN()),"")</f>
        <v/>
      </c>
      <c r="V999" t="str">
        <f>IFERROR(INDEX(装备库!$A$2:$Y$1047,MATCH(ROW()-1,装备库!$AO$2:$AO$1046,0),COLUMN()),"")</f>
        <v/>
      </c>
      <c r="W999" t="str">
        <f>IFERROR(INDEX(装备库!$A$2:$Y$1047,MATCH(ROW()-1,装备库!$AO$2:$AO$1046,0),COLUMN()),"")</f>
        <v/>
      </c>
      <c r="X999" t="str">
        <f>IFERROR(INDEX(装备库!$A$2:$Y$1047,MATCH(ROW()-1,装备库!$AO$2:$AO$1046,0),COLUMN()),"")</f>
        <v/>
      </c>
      <c r="Y999" t="str">
        <f>IFERROR(INDEX(装备库!$A$2:$Y$1047,MATCH(ROW()-1,装备库!$AO$2:$AO$1046,0),COLUMN()),"")</f>
        <v/>
      </c>
    </row>
    <row r="1000" spans="1:25" x14ac:dyDescent="0.35">
      <c r="A1000" t="str">
        <f>IFERROR(INDEX(装备库!$A$2:$Y$1047,MATCH(ROW()-1,装备库!$AO$2:$AO$1046,0),COLUMN()),"")</f>
        <v/>
      </c>
      <c r="B1000" t="str">
        <f>IFERROR(INDEX(装备库!$A$2:$Y$1047,MATCH(ROW()-1,装备库!$AO$2:$AO$1046,0),COLUMN()),"")</f>
        <v/>
      </c>
      <c r="C1000" t="str">
        <f>IFERROR(INDEX(装备库!$A$2:$Y$1047,MATCH(ROW()-1,装备库!$AO$2:$AO$1046,0),COLUMN()),"")</f>
        <v/>
      </c>
      <c r="D1000" t="str">
        <f>IFERROR(INDEX(装备库!$A$2:$Y$1047,MATCH(ROW()-1,装备库!$AO$2:$AO$1046,0),COLUMN()),"")</f>
        <v/>
      </c>
      <c r="E1000" t="str">
        <f>IFERROR(INDEX(装备库!$A$2:$Y$1047,MATCH(ROW()-1,装备库!$AO$2:$AO$1046,0),COLUMN()),"")</f>
        <v/>
      </c>
      <c r="F1000" t="str">
        <f>IFERROR(INDEX(装备库!$A$2:$Y$1047,MATCH(ROW()-1,装备库!$AO$2:$AO$1046,0),COLUMN()),"")</f>
        <v/>
      </c>
      <c r="G1000" t="str">
        <f>IFERROR(INDEX(装备库!$A$2:$Y$1047,MATCH(ROW()-1,装备库!$AO$2:$AO$1046,0),COLUMN()),"")</f>
        <v/>
      </c>
      <c r="H1000" t="str">
        <f>IFERROR(INDEX(装备库!$A$2:$Y$1047,MATCH(ROW()-1,装备库!$AO$2:$AO$1046,0),COLUMN()),"")</f>
        <v/>
      </c>
      <c r="I1000" t="str">
        <f>IFERROR(INDEX(装备库!$A$2:$Y$1047,MATCH(ROW()-1,装备库!$AO$2:$AO$1046,0),COLUMN()),"")</f>
        <v/>
      </c>
      <c r="J1000" t="str">
        <f>IFERROR(INDEX(装备库!$A$2:$Y$1047,MATCH(ROW()-1,装备库!$AO$2:$AO$1046,0),COLUMN()),"")</f>
        <v/>
      </c>
      <c r="K1000" t="str">
        <f>IFERROR(INDEX(装备库!$A$2:$Y$1047,MATCH(ROW()-1,装备库!$AO$2:$AO$1046,0),COLUMN()),"")</f>
        <v/>
      </c>
      <c r="L1000" t="str">
        <f>IFERROR(INDEX(装备库!$A$2:$Y$1047,MATCH(ROW()-1,装备库!$AO$2:$AO$1046,0),COLUMN()),"")</f>
        <v/>
      </c>
      <c r="M1000" t="str">
        <f>IFERROR(INDEX(装备库!$A$2:$Y$1047,MATCH(ROW()-1,装备库!$AO$2:$AO$1046,0),COLUMN()),"")</f>
        <v/>
      </c>
      <c r="N1000" t="str">
        <f>IFERROR(INDEX(装备库!$A$2:$Y$1047,MATCH(ROW()-1,装备库!$AO$2:$AO$1046,0),COLUMN()),"")</f>
        <v/>
      </c>
      <c r="O1000" t="str">
        <f>IFERROR(INDEX(装备库!$A$2:$Y$1047,MATCH(ROW()-1,装备库!$AO$2:$AO$1046,0),COLUMN()),"")</f>
        <v/>
      </c>
      <c r="P1000" t="str">
        <f>IFERROR(INDEX(装备库!$A$2:$Y$1047,MATCH(ROW()-1,装备库!$AO$2:$AO$1046,0),COLUMN()),"")</f>
        <v/>
      </c>
      <c r="Q1000" t="str">
        <f>IFERROR(INDEX(装备库!$A$2:$Y$1047,MATCH(ROW()-1,装备库!$AO$2:$AO$1046,0),COLUMN()),"")</f>
        <v/>
      </c>
      <c r="R1000" t="str">
        <f>IFERROR(INDEX(装备库!$A$2:$Y$1047,MATCH(ROW()-1,装备库!$AO$2:$AO$1046,0),COLUMN()),"")</f>
        <v/>
      </c>
      <c r="S1000" t="str">
        <f>IFERROR(INDEX(装备库!$A$2:$Y$1047,MATCH(ROW()-1,装备库!$AO$2:$AO$1046,0),COLUMN()),"")</f>
        <v/>
      </c>
      <c r="T1000" t="str">
        <f>IFERROR(INDEX(装备库!$A$2:$Y$1047,MATCH(ROW()-1,装备库!$AO$2:$AO$1046,0),COLUMN()),"")</f>
        <v/>
      </c>
      <c r="U1000" t="str">
        <f>IFERROR(INDEX(装备库!$A$2:$Y$1047,MATCH(ROW()-1,装备库!$AO$2:$AO$1046,0),COLUMN()),"")</f>
        <v/>
      </c>
      <c r="V1000" t="str">
        <f>IFERROR(INDEX(装备库!$A$2:$Y$1047,MATCH(ROW()-1,装备库!$AO$2:$AO$1046,0),COLUMN()),"")</f>
        <v/>
      </c>
      <c r="W1000" t="str">
        <f>IFERROR(INDEX(装备库!$A$2:$Y$1047,MATCH(ROW()-1,装备库!$AO$2:$AO$1046,0),COLUMN()),"")</f>
        <v/>
      </c>
      <c r="X1000" t="str">
        <f>IFERROR(INDEX(装备库!$A$2:$Y$1047,MATCH(ROW()-1,装备库!$AO$2:$AO$1046,0),COLUMN()),"")</f>
        <v/>
      </c>
      <c r="Y1000" t="str">
        <f>IFERROR(INDEX(装备库!$A$2:$Y$1047,MATCH(ROW()-1,装备库!$AO$2:$AO$1046,0),COLUMN()),"")</f>
        <v/>
      </c>
    </row>
    <row r="1001" spans="1:25" x14ac:dyDescent="0.35">
      <c r="A1001" t="str">
        <f>IFERROR(INDEX(装备库!$A$2:$Y$1047,MATCH(ROW()-1,装备库!$AO$2:$AO$1046,0),COLUMN()),"")</f>
        <v/>
      </c>
      <c r="B1001" t="str">
        <f>IFERROR(INDEX(装备库!$A$2:$Y$1047,MATCH(ROW()-1,装备库!$AO$2:$AO$1046,0),COLUMN()),"")</f>
        <v/>
      </c>
      <c r="C1001" t="str">
        <f>IFERROR(INDEX(装备库!$A$2:$Y$1047,MATCH(ROW()-1,装备库!$AO$2:$AO$1046,0),COLUMN()),"")</f>
        <v/>
      </c>
      <c r="D1001" t="str">
        <f>IFERROR(INDEX(装备库!$A$2:$Y$1047,MATCH(ROW()-1,装备库!$AO$2:$AO$1046,0),COLUMN()),"")</f>
        <v/>
      </c>
      <c r="E1001" t="str">
        <f>IFERROR(INDEX(装备库!$A$2:$Y$1047,MATCH(ROW()-1,装备库!$AO$2:$AO$1046,0),COLUMN()),"")</f>
        <v/>
      </c>
      <c r="F1001" t="str">
        <f>IFERROR(INDEX(装备库!$A$2:$Y$1047,MATCH(ROW()-1,装备库!$AO$2:$AO$1046,0),COLUMN()),"")</f>
        <v/>
      </c>
      <c r="G1001" t="str">
        <f>IFERROR(INDEX(装备库!$A$2:$Y$1047,MATCH(ROW()-1,装备库!$AO$2:$AO$1046,0),COLUMN()),"")</f>
        <v/>
      </c>
      <c r="H1001" t="str">
        <f>IFERROR(INDEX(装备库!$A$2:$Y$1047,MATCH(ROW()-1,装备库!$AO$2:$AO$1046,0),COLUMN()),"")</f>
        <v/>
      </c>
      <c r="I1001" t="str">
        <f>IFERROR(INDEX(装备库!$A$2:$Y$1047,MATCH(ROW()-1,装备库!$AO$2:$AO$1046,0),COLUMN()),"")</f>
        <v/>
      </c>
      <c r="J1001" t="str">
        <f>IFERROR(INDEX(装备库!$A$2:$Y$1047,MATCH(ROW()-1,装备库!$AO$2:$AO$1046,0),COLUMN()),"")</f>
        <v/>
      </c>
      <c r="K1001" t="str">
        <f>IFERROR(INDEX(装备库!$A$2:$Y$1047,MATCH(ROW()-1,装备库!$AO$2:$AO$1046,0),COLUMN()),"")</f>
        <v/>
      </c>
      <c r="L1001" t="str">
        <f>IFERROR(INDEX(装备库!$A$2:$Y$1047,MATCH(ROW()-1,装备库!$AO$2:$AO$1046,0),COLUMN()),"")</f>
        <v/>
      </c>
      <c r="M1001" t="str">
        <f>IFERROR(INDEX(装备库!$A$2:$Y$1047,MATCH(ROW()-1,装备库!$AO$2:$AO$1046,0),COLUMN()),"")</f>
        <v/>
      </c>
      <c r="N1001" t="str">
        <f>IFERROR(INDEX(装备库!$A$2:$Y$1047,MATCH(ROW()-1,装备库!$AO$2:$AO$1046,0),COLUMN()),"")</f>
        <v/>
      </c>
      <c r="O1001" t="str">
        <f>IFERROR(INDEX(装备库!$A$2:$Y$1047,MATCH(ROW()-1,装备库!$AO$2:$AO$1046,0),COLUMN()),"")</f>
        <v/>
      </c>
      <c r="P1001" t="str">
        <f>IFERROR(INDEX(装备库!$A$2:$Y$1047,MATCH(ROW()-1,装备库!$AO$2:$AO$1046,0),COLUMN()),"")</f>
        <v/>
      </c>
      <c r="Q1001" t="str">
        <f>IFERROR(INDEX(装备库!$A$2:$Y$1047,MATCH(ROW()-1,装备库!$AO$2:$AO$1046,0),COLUMN()),"")</f>
        <v/>
      </c>
      <c r="R1001" t="str">
        <f>IFERROR(INDEX(装备库!$A$2:$Y$1047,MATCH(ROW()-1,装备库!$AO$2:$AO$1046,0),COLUMN()),"")</f>
        <v/>
      </c>
      <c r="S1001" t="str">
        <f>IFERROR(INDEX(装备库!$A$2:$Y$1047,MATCH(ROW()-1,装备库!$AO$2:$AO$1046,0),COLUMN()),"")</f>
        <v/>
      </c>
      <c r="T1001" t="str">
        <f>IFERROR(INDEX(装备库!$A$2:$Y$1047,MATCH(ROW()-1,装备库!$AO$2:$AO$1046,0),COLUMN()),"")</f>
        <v/>
      </c>
      <c r="U1001" t="str">
        <f>IFERROR(INDEX(装备库!$A$2:$Y$1047,MATCH(ROW()-1,装备库!$AO$2:$AO$1046,0),COLUMN()),"")</f>
        <v/>
      </c>
      <c r="V1001" t="str">
        <f>IFERROR(INDEX(装备库!$A$2:$Y$1047,MATCH(ROW()-1,装备库!$AO$2:$AO$1046,0),COLUMN()),"")</f>
        <v/>
      </c>
      <c r="W1001" t="str">
        <f>IFERROR(INDEX(装备库!$A$2:$Y$1047,MATCH(ROW()-1,装备库!$AO$2:$AO$1046,0),COLUMN()),"")</f>
        <v/>
      </c>
      <c r="X1001" t="str">
        <f>IFERROR(INDEX(装备库!$A$2:$Y$1047,MATCH(ROW()-1,装备库!$AO$2:$AO$1046,0),COLUMN()),"")</f>
        <v/>
      </c>
      <c r="Y1001" t="str">
        <f>IFERROR(INDEX(装备库!$A$2:$Y$1047,MATCH(ROW()-1,装备库!$AO$2:$AO$1046,0),COLUMN()),"")</f>
        <v/>
      </c>
    </row>
    <row r="1002" spans="1:25" x14ac:dyDescent="0.35">
      <c r="A1002" t="str">
        <f>IFERROR(INDEX(装备库!$A$2:$Y$1047,MATCH(ROW()-1,装备库!$AO$2:$AO$1046,0),COLUMN()),"")</f>
        <v/>
      </c>
      <c r="B1002" t="str">
        <f>IFERROR(INDEX(装备库!$A$2:$Y$1047,MATCH(ROW()-1,装备库!$AO$2:$AO$1046,0),COLUMN()),"")</f>
        <v/>
      </c>
      <c r="C1002" t="str">
        <f>IFERROR(INDEX(装备库!$A$2:$Y$1047,MATCH(ROW()-1,装备库!$AO$2:$AO$1046,0),COLUMN()),"")</f>
        <v/>
      </c>
      <c r="D1002" t="str">
        <f>IFERROR(INDEX(装备库!$A$2:$Y$1047,MATCH(ROW()-1,装备库!$AO$2:$AO$1046,0),COLUMN()),"")</f>
        <v/>
      </c>
      <c r="E1002" t="str">
        <f>IFERROR(INDEX(装备库!$A$2:$Y$1047,MATCH(ROW()-1,装备库!$AO$2:$AO$1046,0),COLUMN()),"")</f>
        <v/>
      </c>
      <c r="F1002" t="str">
        <f>IFERROR(INDEX(装备库!$A$2:$Y$1047,MATCH(ROW()-1,装备库!$AO$2:$AO$1046,0),COLUMN()),"")</f>
        <v/>
      </c>
      <c r="G1002" t="str">
        <f>IFERROR(INDEX(装备库!$A$2:$Y$1047,MATCH(ROW()-1,装备库!$AO$2:$AO$1046,0),COLUMN()),"")</f>
        <v/>
      </c>
      <c r="H1002" t="str">
        <f>IFERROR(INDEX(装备库!$A$2:$Y$1047,MATCH(ROW()-1,装备库!$AO$2:$AO$1046,0),COLUMN()),"")</f>
        <v/>
      </c>
      <c r="I1002" t="str">
        <f>IFERROR(INDEX(装备库!$A$2:$Y$1047,MATCH(ROW()-1,装备库!$AO$2:$AO$1046,0),COLUMN()),"")</f>
        <v/>
      </c>
      <c r="J1002" t="str">
        <f>IFERROR(INDEX(装备库!$A$2:$Y$1047,MATCH(ROW()-1,装备库!$AO$2:$AO$1046,0),COLUMN()),"")</f>
        <v/>
      </c>
      <c r="K1002" t="str">
        <f>IFERROR(INDEX(装备库!$A$2:$Y$1047,MATCH(ROW()-1,装备库!$AO$2:$AO$1046,0),COLUMN()),"")</f>
        <v/>
      </c>
      <c r="L1002" t="str">
        <f>IFERROR(INDEX(装备库!$A$2:$Y$1047,MATCH(ROW()-1,装备库!$AO$2:$AO$1046,0),COLUMN()),"")</f>
        <v/>
      </c>
      <c r="M1002" t="str">
        <f>IFERROR(INDEX(装备库!$A$2:$Y$1047,MATCH(ROW()-1,装备库!$AO$2:$AO$1046,0),COLUMN()),"")</f>
        <v/>
      </c>
      <c r="N1002" t="str">
        <f>IFERROR(INDEX(装备库!$A$2:$Y$1047,MATCH(ROW()-1,装备库!$AO$2:$AO$1046,0),COLUMN()),"")</f>
        <v/>
      </c>
      <c r="O1002" t="str">
        <f>IFERROR(INDEX(装备库!$A$2:$Y$1047,MATCH(ROW()-1,装备库!$AO$2:$AO$1046,0),COLUMN()),"")</f>
        <v/>
      </c>
      <c r="P1002" t="str">
        <f>IFERROR(INDEX(装备库!$A$2:$Y$1047,MATCH(ROW()-1,装备库!$AO$2:$AO$1046,0),COLUMN()),"")</f>
        <v/>
      </c>
      <c r="Q1002" t="str">
        <f>IFERROR(INDEX(装备库!$A$2:$Y$1047,MATCH(ROW()-1,装备库!$AO$2:$AO$1046,0),COLUMN()),"")</f>
        <v/>
      </c>
      <c r="R1002" t="str">
        <f>IFERROR(INDEX(装备库!$A$2:$Y$1047,MATCH(ROW()-1,装备库!$AO$2:$AO$1046,0),COLUMN()),"")</f>
        <v/>
      </c>
      <c r="S1002" t="str">
        <f>IFERROR(INDEX(装备库!$A$2:$Y$1047,MATCH(ROW()-1,装备库!$AO$2:$AO$1046,0),COLUMN()),"")</f>
        <v/>
      </c>
      <c r="T1002" t="str">
        <f>IFERROR(INDEX(装备库!$A$2:$Y$1047,MATCH(ROW()-1,装备库!$AO$2:$AO$1046,0),COLUMN()),"")</f>
        <v/>
      </c>
      <c r="U1002" t="str">
        <f>IFERROR(INDEX(装备库!$A$2:$Y$1047,MATCH(ROW()-1,装备库!$AO$2:$AO$1046,0),COLUMN()),"")</f>
        <v/>
      </c>
      <c r="V1002" t="str">
        <f>IFERROR(INDEX(装备库!$A$2:$Y$1047,MATCH(ROW()-1,装备库!$AO$2:$AO$1046,0),COLUMN()),"")</f>
        <v/>
      </c>
      <c r="W1002" t="str">
        <f>IFERROR(INDEX(装备库!$A$2:$Y$1047,MATCH(ROW()-1,装备库!$AO$2:$AO$1046,0),COLUMN()),"")</f>
        <v/>
      </c>
      <c r="X1002" t="str">
        <f>IFERROR(INDEX(装备库!$A$2:$Y$1047,MATCH(ROW()-1,装备库!$AO$2:$AO$1046,0),COLUMN()),"")</f>
        <v/>
      </c>
      <c r="Y1002" t="str">
        <f>IFERROR(INDEX(装备库!$A$2:$Y$1047,MATCH(ROW()-1,装备库!$AO$2:$AO$1046,0),COLUMN()),"")</f>
        <v/>
      </c>
    </row>
    <row r="1003" spans="1:25" x14ac:dyDescent="0.35">
      <c r="A1003" t="str">
        <f>IFERROR(INDEX(装备库!$A$2:$Y$1047,MATCH(ROW()-1,装备库!$AO$2:$AO$1046,0),COLUMN()),"")</f>
        <v/>
      </c>
      <c r="B1003" t="str">
        <f>IFERROR(INDEX(装备库!$A$2:$Y$1047,MATCH(ROW()-1,装备库!$AO$2:$AO$1046,0),COLUMN()),"")</f>
        <v/>
      </c>
      <c r="C1003" t="str">
        <f>IFERROR(INDEX(装备库!$A$2:$Y$1047,MATCH(ROW()-1,装备库!$AO$2:$AO$1046,0),COLUMN()),"")</f>
        <v/>
      </c>
      <c r="D1003" t="str">
        <f>IFERROR(INDEX(装备库!$A$2:$Y$1047,MATCH(ROW()-1,装备库!$AO$2:$AO$1046,0),COLUMN()),"")</f>
        <v/>
      </c>
      <c r="E1003" t="str">
        <f>IFERROR(INDEX(装备库!$A$2:$Y$1047,MATCH(ROW()-1,装备库!$AO$2:$AO$1046,0),COLUMN()),"")</f>
        <v/>
      </c>
      <c r="F1003" t="str">
        <f>IFERROR(INDEX(装备库!$A$2:$Y$1047,MATCH(ROW()-1,装备库!$AO$2:$AO$1046,0),COLUMN()),"")</f>
        <v/>
      </c>
      <c r="G1003" t="str">
        <f>IFERROR(INDEX(装备库!$A$2:$Y$1047,MATCH(ROW()-1,装备库!$AO$2:$AO$1046,0),COLUMN()),"")</f>
        <v/>
      </c>
      <c r="H1003" t="str">
        <f>IFERROR(INDEX(装备库!$A$2:$Y$1047,MATCH(ROW()-1,装备库!$AO$2:$AO$1046,0),COLUMN()),"")</f>
        <v/>
      </c>
      <c r="I1003" t="str">
        <f>IFERROR(INDEX(装备库!$A$2:$Y$1047,MATCH(ROW()-1,装备库!$AO$2:$AO$1046,0),COLUMN()),"")</f>
        <v/>
      </c>
      <c r="J1003" t="str">
        <f>IFERROR(INDEX(装备库!$A$2:$Y$1047,MATCH(ROW()-1,装备库!$AO$2:$AO$1046,0),COLUMN()),"")</f>
        <v/>
      </c>
      <c r="K1003" t="str">
        <f>IFERROR(INDEX(装备库!$A$2:$Y$1047,MATCH(ROW()-1,装备库!$AO$2:$AO$1046,0),COLUMN()),"")</f>
        <v/>
      </c>
      <c r="L1003" t="str">
        <f>IFERROR(INDEX(装备库!$A$2:$Y$1047,MATCH(ROW()-1,装备库!$AO$2:$AO$1046,0),COLUMN()),"")</f>
        <v/>
      </c>
      <c r="M1003" t="str">
        <f>IFERROR(INDEX(装备库!$A$2:$Y$1047,MATCH(ROW()-1,装备库!$AO$2:$AO$1046,0),COLUMN()),"")</f>
        <v/>
      </c>
      <c r="N1003" t="str">
        <f>IFERROR(INDEX(装备库!$A$2:$Y$1047,MATCH(ROW()-1,装备库!$AO$2:$AO$1046,0),COLUMN()),"")</f>
        <v/>
      </c>
      <c r="O1003" t="str">
        <f>IFERROR(INDEX(装备库!$A$2:$Y$1047,MATCH(ROW()-1,装备库!$AO$2:$AO$1046,0),COLUMN()),"")</f>
        <v/>
      </c>
      <c r="P1003" t="str">
        <f>IFERROR(INDEX(装备库!$A$2:$Y$1047,MATCH(ROW()-1,装备库!$AO$2:$AO$1046,0),COLUMN()),"")</f>
        <v/>
      </c>
      <c r="Q1003" t="str">
        <f>IFERROR(INDEX(装备库!$A$2:$Y$1047,MATCH(ROW()-1,装备库!$AO$2:$AO$1046,0),COLUMN()),"")</f>
        <v/>
      </c>
      <c r="R1003" t="str">
        <f>IFERROR(INDEX(装备库!$A$2:$Y$1047,MATCH(ROW()-1,装备库!$AO$2:$AO$1046,0),COLUMN()),"")</f>
        <v/>
      </c>
      <c r="S1003" t="str">
        <f>IFERROR(INDEX(装备库!$A$2:$Y$1047,MATCH(ROW()-1,装备库!$AO$2:$AO$1046,0),COLUMN()),"")</f>
        <v/>
      </c>
      <c r="T1003" t="str">
        <f>IFERROR(INDEX(装备库!$A$2:$Y$1047,MATCH(ROW()-1,装备库!$AO$2:$AO$1046,0),COLUMN()),"")</f>
        <v/>
      </c>
      <c r="U1003" t="str">
        <f>IFERROR(INDEX(装备库!$A$2:$Y$1047,MATCH(ROW()-1,装备库!$AO$2:$AO$1046,0),COLUMN()),"")</f>
        <v/>
      </c>
      <c r="V1003" t="str">
        <f>IFERROR(INDEX(装备库!$A$2:$Y$1047,MATCH(ROW()-1,装备库!$AO$2:$AO$1046,0),COLUMN()),"")</f>
        <v/>
      </c>
      <c r="W1003" t="str">
        <f>IFERROR(INDEX(装备库!$A$2:$Y$1047,MATCH(ROW()-1,装备库!$AO$2:$AO$1046,0),COLUMN()),"")</f>
        <v/>
      </c>
      <c r="X1003" t="str">
        <f>IFERROR(INDEX(装备库!$A$2:$Y$1047,MATCH(ROW()-1,装备库!$AO$2:$AO$1046,0),COLUMN()),"")</f>
        <v/>
      </c>
      <c r="Y1003" t="str">
        <f>IFERROR(INDEX(装备库!$A$2:$Y$1047,MATCH(ROW()-1,装备库!$AO$2:$AO$1046,0),COLUMN()),"")</f>
        <v/>
      </c>
    </row>
    <row r="1004" spans="1:25" x14ac:dyDescent="0.35">
      <c r="A1004" t="str">
        <f>IFERROR(INDEX(装备库!$A$2:$Y$1047,MATCH(ROW()-1,装备库!$AO$2:$AO$1046,0),COLUMN()),"")</f>
        <v/>
      </c>
      <c r="B1004" t="str">
        <f>IFERROR(INDEX(装备库!$A$2:$Y$1047,MATCH(ROW()-1,装备库!$AO$2:$AO$1046,0),COLUMN()),"")</f>
        <v/>
      </c>
      <c r="C1004" t="str">
        <f>IFERROR(INDEX(装备库!$A$2:$Y$1047,MATCH(ROW()-1,装备库!$AO$2:$AO$1046,0),COLUMN()),"")</f>
        <v/>
      </c>
      <c r="D1004" t="str">
        <f>IFERROR(INDEX(装备库!$A$2:$Y$1047,MATCH(ROW()-1,装备库!$AO$2:$AO$1046,0),COLUMN()),"")</f>
        <v/>
      </c>
      <c r="E1004" t="str">
        <f>IFERROR(INDEX(装备库!$A$2:$Y$1047,MATCH(ROW()-1,装备库!$AO$2:$AO$1046,0),COLUMN()),"")</f>
        <v/>
      </c>
      <c r="F1004" t="str">
        <f>IFERROR(INDEX(装备库!$A$2:$Y$1047,MATCH(ROW()-1,装备库!$AO$2:$AO$1046,0),COLUMN()),"")</f>
        <v/>
      </c>
      <c r="G1004" t="str">
        <f>IFERROR(INDEX(装备库!$A$2:$Y$1047,MATCH(ROW()-1,装备库!$AO$2:$AO$1046,0),COLUMN()),"")</f>
        <v/>
      </c>
      <c r="H1004" t="str">
        <f>IFERROR(INDEX(装备库!$A$2:$Y$1047,MATCH(ROW()-1,装备库!$AO$2:$AO$1046,0),COLUMN()),"")</f>
        <v/>
      </c>
      <c r="I1004" t="str">
        <f>IFERROR(INDEX(装备库!$A$2:$Y$1047,MATCH(ROW()-1,装备库!$AO$2:$AO$1046,0),COLUMN()),"")</f>
        <v/>
      </c>
      <c r="J1004" t="str">
        <f>IFERROR(INDEX(装备库!$A$2:$Y$1047,MATCH(ROW()-1,装备库!$AO$2:$AO$1046,0),COLUMN()),"")</f>
        <v/>
      </c>
      <c r="K1004" t="str">
        <f>IFERROR(INDEX(装备库!$A$2:$Y$1047,MATCH(ROW()-1,装备库!$AO$2:$AO$1046,0),COLUMN()),"")</f>
        <v/>
      </c>
      <c r="L1004" t="str">
        <f>IFERROR(INDEX(装备库!$A$2:$Y$1047,MATCH(ROW()-1,装备库!$AO$2:$AO$1046,0),COLUMN()),"")</f>
        <v/>
      </c>
      <c r="M1004" t="str">
        <f>IFERROR(INDEX(装备库!$A$2:$Y$1047,MATCH(ROW()-1,装备库!$AO$2:$AO$1046,0),COLUMN()),"")</f>
        <v/>
      </c>
      <c r="N1004" t="str">
        <f>IFERROR(INDEX(装备库!$A$2:$Y$1047,MATCH(ROW()-1,装备库!$AO$2:$AO$1046,0),COLUMN()),"")</f>
        <v/>
      </c>
      <c r="O1004" t="str">
        <f>IFERROR(INDEX(装备库!$A$2:$Y$1047,MATCH(ROW()-1,装备库!$AO$2:$AO$1046,0),COLUMN()),"")</f>
        <v/>
      </c>
      <c r="P1004" t="str">
        <f>IFERROR(INDEX(装备库!$A$2:$Y$1047,MATCH(ROW()-1,装备库!$AO$2:$AO$1046,0),COLUMN()),"")</f>
        <v/>
      </c>
      <c r="Q1004" t="str">
        <f>IFERROR(INDEX(装备库!$A$2:$Y$1047,MATCH(ROW()-1,装备库!$AO$2:$AO$1046,0),COLUMN()),"")</f>
        <v/>
      </c>
      <c r="R1004" t="str">
        <f>IFERROR(INDEX(装备库!$A$2:$Y$1047,MATCH(ROW()-1,装备库!$AO$2:$AO$1046,0),COLUMN()),"")</f>
        <v/>
      </c>
      <c r="S1004" t="str">
        <f>IFERROR(INDEX(装备库!$A$2:$Y$1047,MATCH(ROW()-1,装备库!$AO$2:$AO$1046,0),COLUMN()),"")</f>
        <v/>
      </c>
      <c r="T1004" t="str">
        <f>IFERROR(INDEX(装备库!$A$2:$Y$1047,MATCH(ROW()-1,装备库!$AO$2:$AO$1046,0),COLUMN()),"")</f>
        <v/>
      </c>
      <c r="U1004" t="str">
        <f>IFERROR(INDEX(装备库!$A$2:$Y$1047,MATCH(ROW()-1,装备库!$AO$2:$AO$1046,0),COLUMN()),"")</f>
        <v/>
      </c>
      <c r="V1004" t="str">
        <f>IFERROR(INDEX(装备库!$A$2:$Y$1047,MATCH(ROW()-1,装备库!$AO$2:$AO$1046,0),COLUMN()),"")</f>
        <v/>
      </c>
      <c r="W1004" t="str">
        <f>IFERROR(INDEX(装备库!$A$2:$Y$1047,MATCH(ROW()-1,装备库!$AO$2:$AO$1046,0),COLUMN()),"")</f>
        <v/>
      </c>
      <c r="X1004" t="str">
        <f>IFERROR(INDEX(装备库!$A$2:$Y$1047,MATCH(ROW()-1,装备库!$AO$2:$AO$1046,0),COLUMN()),"")</f>
        <v/>
      </c>
      <c r="Y1004" t="str">
        <f>IFERROR(INDEX(装备库!$A$2:$Y$1047,MATCH(ROW()-1,装备库!$AO$2:$AO$1046,0),COLUMN()),"")</f>
        <v/>
      </c>
    </row>
    <row r="1005" spans="1:25" x14ac:dyDescent="0.35">
      <c r="A1005" t="str">
        <f>IFERROR(INDEX(装备库!$A$2:$Y$1047,MATCH(ROW()-1,装备库!$AO$2:$AO$1046,0),COLUMN()),"")</f>
        <v/>
      </c>
      <c r="B1005" t="str">
        <f>IFERROR(INDEX(装备库!$A$2:$Y$1047,MATCH(ROW()-1,装备库!$AO$2:$AO$1046,0),COLUMN()),"")</f>
        <v/>
      </c>
      <c r="C1005" t="str">
        <f>IFERROR(INDEX(装备库!$A$2:$Y$1047,MATCH(ROW()-1,装备库!$AO$2:$AO$1046,0),COLUMN()),"")</f>
        <v/>
      </c>
      <c r="D1005" t="str">
        <f>IFERROR(INDEX(装备库!$A$2:$Y$1047,MATCH(ROW()-1,装备库!$AO$2:$AO$1046,0),COLUMN()),"")</f>
        <v/>
      </c>
      <c r="E1005" t="str">
        <f>IFERROR(INDEX(装备库!$A$2:$Y$1047,MATCH(ROW()-1,装备库!$AO$2:$AO$1046,0),COLUMN()),"")</f>
        <v/>
      </c>
      <c r="F1005" t="str">
        <f>IFERROR(INDEX(装备库!$A$2:$Y$1047,MATCH(ROW()-1,装备库!$AO$2:$AO$1046,0),COLUMN()),"")</f>
        <v/>
      </c>
      <c r="G1005" t="str">
        <f>IFERROR(INDEX(装备库!$A$2:$Y$1047,MATCH(ROW()-1,装备库!$AO$2:$AO$1046,0),COLUMN()),"")</f>
        <v/>
      </c>
      <c r="H1005" t="str">
        <f>IFERROR(INDEX(装备库!$A$2:$Y$1047,MATCH(ROW()-1,装备库!$AO$2:$AO$1046,0),COLUMN()),"")</f>
        <v/>
      </c>
      <c r="I1005" t="str">
        <f>IFERROR(INDEX(装备库!$A$2:$Y$1047,MATCH(ROW()-1,装备库!$AO$2:$AO$1046,0),COLUMN()),"")</f>
        <v/>
      </c>
      <c r="J1005" t="str">
        <f>IFERROR(INDEX(装备库!$A$2:$Y$1047,MATCH(ROW()-1,装备库!$AO$2:$AO$1046,0),COLUMN()),"")</f>
        <v/>
      </c>
      <c r="K1005" t="str">
        <f>IFERROR(INDEX(装备库!$A$2:$Y$1047,MATCH(ROW()-1,装备库!$AO$2:$AO$1046,0),COLUMN()),"")</f>
        <v/>
      </c>
      <c r="L1005" t="str">
        <f>IFERROR(INDEX(装备库!$A$2:$Y$1047,MATCH(ROW()-1,装备库!$AO$2:$AO$1046,0),COLUMN()),"")</f>
        <v/>
      </c>
      <c r="M1005" t="str">
        <f>IFERROR(INDEX(装备库!$A$2:$Y$1047,MATCH(ROW()-1,装备库!$AO$2:$AO$1046,0),COLUMN()),"")</f>
        <v/>
      </c>
      <c r="N1005" t="str">
        <f>IFERROR(INDEX(装备库!$A$2:$Y$1047,MATCH(ROW()-1,装备库!$AO$2:$AO$1046,0),COLUMN()),"")</f>
        <v/>
      </c>
      <c r="O1005" t="str">
        <f>IFERROR(INDEX(装备库!$A$2:$Y$1047,MATCH(ROW()-1,装备库!$AO$2:$AO$1046,0),COLUMN()),"")</f>
        <v/>
      </c>
      <c r="P1005" t="str">
        <f>IFERROR(INDEX(装备库!$A$2:$Y$1047,MATCH(ROW()-1,装备库!$AO$2:$AO$1046,0),COLUMN()),"")</f>
        <v/>
      </c>
      <c r="Q1005" t="str">
        <f>IFERROR(INDEX(装备库!$A$2:$Y$1047,MATCH(ROW()-1,装备库!$AO$2:$AO$1046,0),COLUMN()),"")</f>
        <v/>
      </c>
      <c r="R1005" t="str">
        <f>IFERROR(INDEX(装备库!$A$2:$Y$1047,MATCH(ROW()-1,装备库!$AO$2:$AO$1046,0),COLUMN()),"")</f>
        <v/>
      </c>
      <c r="S1005" t="str">
        <f>IFERROR(INDEX(装备库!$A$2:$Y$1047,MATCH(ROW()-1,装备库!$AO$2:$AO$1046,0),COLUMN()),"")</f>
        <v/>
      </c>
      <c r="T1005" t="str">
        <f>IFERROR(INDEX(装备库!$A$2:$Y$1047,MATCH(ROW()-1,装备库!$AO$2:$AO$1046,0),COLUMN()),"")</f>
        <v/>
      </c>
      <c r="U1005" t="str">
        <f>IFERROR(INDEX(装备库!$A$2:$Y$1047,MATCH(ROW()-1,装备库!$AO$2:$AO$1046,0),COLUMN()),"")</f>
        <v/>
      </c>
      <c r="V1005" t="str">
        <f>IFERROR(INDEX(装备库!$A$2:$Y$1047,MATCH(ROW()-1,装备库!$AO$2:$AO$1046,0),COLUMN()),"")</f>
        <v/>
      </c>
      <c r="W1005" t="str">
        <f>IFERROR(INDEX(装备库!$A$2:$Y$1047,MATCH(ROW()-1,装备库!$AO$2:$AO$1046,0),COLUMN()),"")</f>
        <v/>
      </c>
      <c r="X1005" t="str">
        <f>IFERROR(INDEX(装备库!$A$2:$Y$1047,MATCH(ROW()-1,装备库!$AO$2:$AO$1046,0),COLUMN()),"")</f>
        <v/>
      </c>
      <c r="Y1005" t="str">
        <f>IFERROR(INDEX(装备库!$A$2:$Y$1047,MATCH(ROW()-1,装备库!$AO$2:$AO$1046,0),COLUMN()),"")</f>
        <v/>
      </c>
    </row>
    <row r="1006" spans="1:25" x14ac:dyDescent="0.35">
      <c r="A1006" t="str">
        <f>IFERROR(INDEX(装备库!$A$2:$Y$1047,MATCH(ROW()-1,装备库!$AO$2:$AO$1046,0),COLUMN()),"")</f>
        <v/>
      </c>
      <c r="B1006" t="str">
        <f>IFERROR(INDEX(装备库!$A$2:$Y$1047,MATCH(ROW()-1,装备库!$AO$2:$AO$1046,0),COLUMN()),"")</f>
        <v/>
      </c>
      <c r="C1006" t="str">
        <f>IFERROR(INDEX(装备库!$A$2:$Y$1047,MATCH(ROW()-1,装备库!$AO$2:$AO$1046,0),COLUMN()),"")</f>
        <v/>
      </c>
      <c r="D1006" t="str">
        <f>IFERROR(INDEX(装备库!$A$2:$Y$1047,MATCH(ROW()-1,装备库!$AO$2:$AO$1046,0),COLUMN()),"")</f>
        <v/>
      </c>
      <c r="E1006" t="str">
        <f>IFERROR(INDEX(装备库!$A$2:$Y$1047,MATCH(ROW()-1,装备库!$AO$2:$AO$1046,0),COLUMN()),"")</f>
        <v/>
      </c>
      <c r="F1006" t="str">
        <f>IFERROR(INDEX(装备库!$A$2:$Y$1047,MATCH(ROW()-1,装备库!$AO$2:$AO$1046,0),COLUMN()),"")</f>
        <v/>
      </c>
      <c r="G1006" t="str">
        <f>IFERROR(INDEX(装备库!$A$2:$Y$1047,MATCH(ROW()-1,装备库!$AO$2:$AO$1046,0),COLUMN()),"")</f>
        <v/>
      </c>
      <c r="H1006" t="str">
        <f>IFERROR(INDEX(装备库!$A$2:$Y$1047,MATCH(ROW()-1,装备库!$AO$2:$AO$1046,0),COLUMN()),"")</f>
        <v/>
      </c>
      <c r="I1006" t="str">
        <f>IFERROR(INDEX(装备库!$A$2:$Y$1047,MATCH(ROW()-1,装备库!$AO$2:$AO$1046,0),COLUMN()),"")</f>
        <v/>
      </c>
      <c r="J1006" t="str">
        <f>IFERROR(INDEX(装备库!$A$2:$Y$1047,MATCH(ROW()-1,装备库!$AO$2:$AO$1046,0),COLUMN()),"")</f>
        <v/>
      </c>
      <c r="K1006" t="str">
        <f>IFERROR(INDEX(装备库!$A$2:$Y$1047,MATCH(ROW()-1,装备库!$AO$2:$AO$1046,0),COLUMN()),"")</f>
        <v/>
      </c>
      <c r="L1006" t="str">
        <f>IFERROR(INDEX(装备库!$A$2:$Y$1047,MATCH(ROW()-1,装备库!$AO$2:$AO$1046,0),COLUMN()),"")</f>
        <v/>
      </c>
      <c r="M1006" t="str">
        <f>IFERROR(INDEX(装备库!$A$2:$Y$1047,MATCH(ROW()-1,装备库!$AO$2:$AO$1046,0),COLUMN()),"")</f>
        <v/>
      </c>
      <c r="N1006" t="str">
        <f>IFERROR(INDEX(装备库!$A$2:$Y$1047,MATCH(ROW()-1,装备库!$AO$2:$AO$1046,0),COLUMN()),"")</f>
        <v/>
      </c>
      <c r="O1006" t="str">
        <f>IFERROR(INDEX(装备库!$A$2:$Y$1047,MATCH(ROW()-1,装备库!$AO$2:$AO$1046,0),COLUMN()),"")</f>
        <v/>
      </c>
      <c r="P1006" t="str">
        <f>IFERROR(INDEX(装备库!$A$2:$Y$1047,MATCH(ROW()-1,装备库!$AO$2:$AO$1046,0),COLUMN()),"")</f>
        <v/>
      </c>
      <c r="Q1006" t="str">
        <f>IFERROR(INDEX(装备库!$A$2:$Y$1047,MATCH(ROW()-1,装备库!$AO$2:$AO$1046,0),COLUMN()),"")</f>
        <v/>
      </c>
      <c r="R1006" t="str">
        <f>IFERROR(INDEX(装备库!$A$2:$Y$1047,MATCH(ROW()-1,装备库!$AO$2:$AO$1046,0),COLUMN()),"")</f>
        <v/>
      </c>
      <c r="S1006" t="str">
        <f>IFERROR(INDEX(装备库!$A$2:$Y$1047,MATCH(ROW()-1,装备库!$AO$2:$AO$1046,0),COLUMN()),"")</f>
        <v/>
      </c>
      <c r="T1006" t="str">
        <f>IFERROR(INDEX(装备库!$A$2:$Y$1047,MATCH(ROW()-1,装备库!$AO$2:$AO$1046,0),COLUMN()),"")</f>
        <v/>
      </c>
      <c r="U1006" t="str">
        <f>IFERROR(INDEX(装备库!$A$2:$Y$1047,MATCH(ROW()-1,装备库!$AO$2:$AO$1046,0),COLUMN()),"")</f>
        <v/>
      </c>
      <c r="V1006" t="str">
        <f>IFERROR(INDEX(装备库!$A$2:$Y$1047,MATCH(ROW()-1,装备库!$AO$2:$AO$1046,0),COLUMN()),"")</f>
        <v/>
      </c>
      <c r="W1006" t="str">
        <f>IFERROR(INDEX(装备库!$A$2:$Y$1047,MATCH(ROW()-1,装备库!$AO$2:$AO$1046,0),COLUMN()),"")</f>
        <v/>
      </c>
      <c r="X1006" t="str">
        <f>IFERROR(INDEX(装备库!$A$2:$Y$1047,MATCH(ROW()-1,装备库!$AO$2:$AO$1046,0),COLUMN()),"")</f>
        <v/>
      </c>
      <c r="Y1006" t="str">
        <f>IFERROR(INDEX(装备库!$A$2:$Y$1047,MATCH(ROW()-1,装备库!$AO$2:$AO$1046,0),COLUMN()),"")</f>
        <v/>
      </c>
    </row>
    <row r="1007" spans="1:25" x14ac:dyDescent="0.35">
      <c r="A1007" t="str">
        <f>IFERROR(INDEX(装备库!$A$2:$Y$1047,MATCH(ROW()-1,装备库!$AO$2:$AO$1046,0),COLUMN()),"")</f>
        <v/>
      </c>
      <c r="B1007" t="str">
        <f>IFERROR(INDEX(装备库!$A$2:$Y$1047,MATCH(ROW()-1,装备库!$AO$2:$AO$1046,0),COLUMN()),"")</f>
        <v/>
      </c>
      <c r="C1007" t="str">
        <f>IFERROR(INDEX(装备库!$A$2:$Y$1047,MATCH(ROW()-1,装备库!$AO$2:$AO$1046,0),COLUMN()),"")</f>
        <v/>
      </c>
      <c r="D1007" t="str">
        <f>IFERROR(INDEX(装备库!$A$2:$Y$1047,MATCH(ROW()-1,装备库!$AO$2:$AO$1046,0),COLUMN()),"")</f>
        <v/>
      </c>
      <c r="E1007" t="str">
        <f>IFERROR(INDEX(装备库!$A$2:$Y$1047,MATCH(ROW()-1,装备库!$AO$2:$AO$1046,0),COLUMN()),"")</f>
        <v/>
      </c>
      <c r="F1007" t="str">
        <f>IFERROR(INDEX(装备库!$A$2:$Y$1047,MATCH(ROW()-1,装备库!$AO$2:$AO$1046,0),COLUMN()),"")</f>
        <v/>
      </c>
      <c r="G1007" t="str">
        <f>IFERROR(INDEX(装备库!$A$2:$Y$1047,MATCH(ROW()-1,装备库!$AO$2:$AO$1046,0),COLUMN()),"")</f>
        <v/>
      </c>
      <c r="H1007" t="str">
        <f>IFERROR(INDEX(装备库!$A$2:$Y$1047,MATCH(ROW()-1,装备库!$AO$2:$AO$1046,0),COLUMN()),"")</f>
        <v/>
      </c>
      <c r="I1007" t="str">
        <f>IFERROR(INDEX(装备库!$A$2:$Y$1047,MATCH(ROW()-1,装备库!$AO$2:$AO$1046,0),COLUMN()),"")</f>
        <v/>
      </c>
      <c r="J1007" t="str">
        <f>IFERROR(INDEX(装备库!$A$2:$Y$1047,MATCH(ROW()-1,装备库!$AO$2:$AO$1046,0),COLUMN()),"")</f>
        <v/>
      </c>
      <c r="K1007" t="str">
        <f>IFERROR(INDEX(装备库!$A$2:$Y$1047,MATCH(ROW()-1,装备库!$AO$2:$AO$1046,0),COLUMN()),"")</f>
        <v/>
      </c>
      <c r="L1007" t="str">
        <f>IFERROR(INDEX(装备库!$A$2:$Y$1047,MATCH(ROW()-1,装备库!$AO$2:$AO$1046,0),COLUMN()),"")</f>
        <v/>
      </c>
      <c r="M1007" t="str">
        <f>IFERROR(INDEX(装备库!$A$2:$Y$1047,MATCH(ROW()-1,装备库!$AO$2:$AO$1046,0),COLUMN()),"")</f>
        <v/>
      </c>
      <c r="N1007" t="str">
        <f>IFERROR(INDEX(装备库!$A$2:$Y$1047,MATCH(ROW()-1,装备库!$AO$2:$AO$1046,0),COLUMN()),"")</f>
        <v/>
      </c>
      <c r="O1007" t="str">
        <f>IFERROR(INDEX(装备库!$A$2:$Y$1047,MATCH(ROW()-1,装备库!$AO$2:$AO$1046,0),COLUMN()),"")</f>
        <v/>
      </c>
      <c r="P1007" t="str">
        <f>IFERROR(INDEX(装备库!$A$2:$Y$1047,MATCH(ROW()-1,装备库!$AO$2:$AO$1046,0),COLUMN()),"")</f>
        <v/>
      </c>
      <c r="Q1007" t="str">
        <f>IFERROR(INDEX(装备库!$A$2:$Y$1047,MATCH(ROW()-1,装备库!$AO$2:$AO$1046,0),COLUMN()),"")</f>
        <v/>
      </c>
      <c r="R1007" t="str">
        <f>IFERROR(INDEX(装备库!$A$2:$Y$1047,MATCH(ROW()-1,装备库!$AO$2:$AO$1046,0),COLUMN()),"")</f>
        <v/>
      </c>
      <c r="S1007" t="str">
        <f>IFERROR(INDEX(装备库!$A$2:$Y$1047,MATCH(ROW()-1,装备库!$AO$2:$AO$1046,0),COLUMN()),"")</f>
        <v/>
      </c>
      <c r="T1007" t="str">
        <f>IFERROR(INDEX(装备库!$A$2:$Y$1047,MATCH(ROW()-1,装备库!$AO$2:$AO$1046,0),COLUMN()),"")</f>
        <v/>
      </c>
      <c r="U1007" t="str">
        <f>IFERROR(INDEX(装备库!$A$2:$Y$1047,MATCH(ROW()-1,装备库!$AO$2:$AO$1046,0),COLUMN()),"")</f>
        <v/>
      </c>
      <c r="V1007" t="str">
        <f>IFERROR(INDEX(装备库!$A$2:$Y$1047,MATCH(ROW()-1,装备库!$AO$2:$AO$1046,0),COLUMN()),"")</f>
        <v/>
      </c>
      <c r="W1007" t="str">
        <f>IFERROR(INDEX(装备库!$A$2:$Y$1047,MATCH(ROW()-1,装备库!$AO$2:$AO$1046,0),COLUMN()),"")</f>
        <v/>
      </c>
      <c r="X1007" t="str">
        <f>IFERROR(INDEX(装备库!$A$2:$Y$1047,MATCH(ROW()-1,装备库!$AO$2:$AO$1046,0),COLUMN()),"")</f>
        <v/>
      </c>
      <c r="Y1007" t="str">
        <f>IFERROR(INDEX(装备库!$A$2:$Y$1047,MATCH(ROW()-1,装备库!$AO$2:$AO$1046,0),COLUMN()),"")</f>
        <v/>
      </c>
    </row>
    <row r="1008" spans="1:25" x14ac:dyDescent="0.35">
      <c r="A1008" t="str">
        <f>IFERROR(INDEX(装备库!$A$2:$Y$1047,MATCH(ROW()-1,装备库!$AO$2:$AO$1046,0),COLUMN()),"")</f>
        <v/>
      </c>
      <c r="B1008" t="str">
        <f>IFERROR(INDEX(装备库!$A$2:$Y$1047,MATCH(ROW()-1,装备库!$AO$2:$AO$1046,0),COLUMN()),"")</f>
        <v/>
      </c>
      <c r="C1008" t="str">
        <f>IFERROR(INDEX(装备库!$A$2:$Y$1047,MATCH(ROW()-1,装备库!$AO$2:$AO$1046,0),COLUMN()),"")</f>
        <v/>
      </c>
      <c r="D1008" t="str">
        <f>IFERROR(INDEX(装备库!$A$2:$Y$1047,MATCH(ROW()-1,装备库!$AO$2:$AO$1046,0),COLUMN()),"")</f>
        <v/>
      </c>
      <c r="E1008" t="str">
        <f>IFERROR(INDEX(装备库!$A$2:$Y$1047,MATCH(ROW()-1,装备库!$AO$2:$AO$1046,0),COLUMN()),"")</f>
        <v/>
      </c>
      <c r="F1008" t="str">
        <f>IFERROR(INDEX(装备库!$A$2:$Y$1047,MATCH(ROW()-1,装备库!$AO$2:$AO$1046,0),COLUMN()),"")</f>
        <v/>
      </c>
      <c r="G1008" t="str">
        <f>IFERROR(INDEX(装备库!$A$2:$Y$1047,MATCH(ROW()-1,装备库!$AO$2:$AO$1046,0),COLUMN()),"")</f>
        <v/>
      </c>
      <c r="H1008" t="str">
        <f>IFERROR(INDEX(装备库!$A$2:$Y$1047,MATCH(ROW()-1,装备库!$AO$2:$AO$1046,0),COLUMN()),"")</f>
        <v/>
      </c>
      <c r="I1008" t="str">
        <f>IFERROR(INDEX(装备库!$A$2:$Y$1047,MATCH(ROW()-1,装备库!$AO$2:$AO$1046,0),COLUMN()),"")</f>
        <v/>
      </c>
      <c r="J1008" t="str">
        <f>IFERROR(INDEX(装备库!$A$2:$Y$1047,MATCH(ROW()-1,装备库!$AO$2:$AO$1046,0),COLUMN()),"")</f>
        <v/>
      </c>
      <c r="K1008" t="str">
        <f>IFERROR(INDEX(装备库!$A$2:$Y$1047,MATCH(ROW()-1,装备库!$AO$2:$AO$1046,0),COLUMN()),"")</f>
        <v/>
      </c>
      <c r="L1008" t="str">
        <f>IFERROR(INDEX(装备库!$A$2:$Y$1047,MATCH(ROW()-1,装备库!$AO$2:$AO$1046,0),COLUMN()),"")</f>
        <v/>
      </c>
      <c r="M1008" t="str">
        <f>IFERROR(INDEX(装备库!$A$2:$Y$1047,MATCH(ROW()-1,装备库!$AO$2:$AO$1046,0),COLUMN()),"")</f>
        <v/>
      </c>
      <c r="N1008" t="str">
        <f>IFERROR(INDEX(装备库!$A$2:$Y$1047,MATCH(ROW()-1,装备库!$AO$2:$AO$1046,0),COLUMN()),"")</f>
        <v/>
      </c>
      <c r="O1008" t="str">
        <f>IFERROR(INDEX(装备库!$A$2:$Y$1047,MATCH(ROW()-1,装备库!$AO$2:$AO$1046,0),COLUMN()),"")</f>
        <v/>
      </c>
      <c r="P1008" t="str">
        <f>IFERROR(INDEX(装备库!$A$2:$Y$1047,MATCH(ROW()-1,装备库!$AO$2:$AO$1046,0),COLUMN()),"")</f>
        <v/>
      </c>
      <c r="Q1008" t="str">
        <f>IFERROR(INDEX(装备库!$A$2:$Y$1047,MATCH(ROW()-1,装备库!$AO$2:$AO$1046,0),COLUMN()),"")</f>
        <v/>
      </c>
      <c r="R1008" t="str">
        <f>IFERROR(INDEX(装备库!$A$2:$Y$1047,MATCH(ROW()-1,装备库!$AO$2:$AO$1046,0),COLUMN()),"")</f>
        <v/>
      </c>
      <c r="S1008" t="str">
        <f>IFERROR(INDEX(装备库!$A$2:$Y$1047,MATCH(ROW()-1,装备库!$AO$2:$AO$1046,0),COLUMN()),"")</f>
        <v/>
      </c>
      <c r="T1008" t="str">
        <f>IFERROR(INDEX(装备库!$A$2:$Y$1047,MATCH(ROW()-1,装备库!$AO$2:$AO$1046,0),COLUMN()),"")</f>
        <v/>
      </c>
      <c r="U1008" t="str">
        <f>IFERROR(INDEX(装备库!$A$2:$Y$1047,MATCH(ROW()-1,装备库!$AO$2:$AO$1046,0),COLUMN()),"")</f>
        <v/>
      </c>
      <c r="V1008" t="str">
        <f>IFERROR(INDEX(装备库!$A$2:$Y$1047,MATCH(ROW()-1,装备库!$AO$2:$AO$1046,0),COLUMN()),"")</f>
        <v/>
      </c>
      <c r="W1008" t="str">
        <f>IFERROR(INDEX(装备库!$A$2:$Y$1047,MATCH(ROW()-1,装备库!$AO$2:$AO$1046,0),COLUMN()),"")</f>
        <v/>
      </c>
      <c r="X1008" t="str">
        <f>IFERROR(INDEX(装备库!$A$2:$Y$1047,MATCH(ROW()-1,装备库!$AO$2:$AO$1046,0),COLUMN()),"")</f>
        <v/>
      </c>
      <c r="Y1008" t="str">
        <f>IFERROR(INDEX(装备库!$A$2:$Y$1047,MATCH(ROW()-1,装备库!$AO$2:$AO$1046,0),COLUMN()),"")</f>
        <v/>
      </c>
    </row>
    <row r="1009" spans="1:25" x14ac:dyDescent="0.35">
      <c r="A1009" t="str">
        <f>IFERROR(INDEX(装备库!$A$2:$Y$1047,MATCH(ROW()-1,装备库!$AO$2:$AO$1046,0),COLUMN()),"")</f>
        <v/>
      </c>
      <c r="B1009" t="str">
        <f>IFERROR(INDEX(装备库!$A$2:$Y$1047,MATCH(ROW()-1,装备库!$AO$2:$AO$1046,0),COLUMN()),"")</f>
        <v/>
      </c>
      <c r="C1009" t="str">
        <f>IFERROR(INDEX(装备库!$A$2:$Y$1047,MATCH(ROW()-1,装备库!$AO$2:$AO$1046,0),COLUMN()),"")</f>
        <v/>
      </c>
      <c r="D1009" t="str">
        <f>IFERROR(INDEX(装备库!$A$2:$Y$1047,MATCH(ROW()-1,装备库!$AO$2:$AO$1046,0),COLUMN()),"")</f>
        <v/>
      </c>
      <c r="E1009" t="str">
        <f>IFERROR(INDEX(装备库!$A$2:$Y$1047,MATCH(ROW()-1,装备库!$AO$2:$AO$1046,0),COLUMN()),"")</f>
        <v/>
      </c>
      <c r="F1009" t="str">
        <f>IFERROR(INDEX(装备库!$A$2:$Y$1047,MATCH(ROW()-1,装备库!$AO$2:$AO$1046,0),COLUMN()),"")</f>
        <v/>
      </c>
      <c r="G1009" t="str">
        <f>IFERROR(INDEX(装备库!$A$2:$Y$1047,MATCH(ROW()-1,装备库!$AO$2:$AO$1046,0),COLUMN()),"")</f>
        <v/>
      </c>
      <c r="H1009" t="str">
        <f>IFERROR(INDEX(装备库!$A$2:$Y$1047,MATCH(ROW()-1,装备库!$AO$2:$AO$1046,0),COLUMN()),"")</f>
        <v/>
      </c>
      <c r="I1009" t="str">
        <f>IFERROR(INDEX(装备库!$A$2:$Y$1047,MATCH(ROW()-1,装备库!$AO$2:$AO$1046,0),COLUMN()),"")</f>
        <v/>
      </c>
      <c r="J1009" t="str">
        <f>IFERROR(INDEX(装备库!$A$2:$Y$1047,MATCH(ROW()-1,装备库!$AO$2:$AO$1046,0),COLUMN()),"")</f>
        <v/>
      </c>
      <c r="K1009" t="str">
        <f>IFERROR(INDEX(装备库!$A$2:$Y$1047,MATCH(ROW()-1,装备库!$AO$2:$AO$1046,0),COLUMN()),"")</f>
        <v/>
      </c>
      <c r="L1009" t="str">
        <f>IFERROR(INDEX(装备库!$A$2:$Y$1047,MATCH(ROW()-1,装备库!$AO$2:$AO$1046,0),COLUMN()),"")</f>
        <v/>
      </c>
      <c r="M1009" t="str">
        <f>IFERROR(INDEX(装备库!$A$2:$Y$1047,MATCH(ROW()-1,装备库!$AO$2:$AO$1046,0),COLUMN()),"")</f>
        <v/>
      </c>
      <c r="N1009" t="str">
        <f>IFERROR(INDEX(装备库!$A$2:$Y$1047,MATCH(ROW()-1,装备库!$AO$2:$AO$1046,0),COLUMN()),"")</f>
        <v/>
      </c>
      <c r="O1009" t="str">
        <f>IFERROR(INDEX(装备库!$A$2:$Y$1047,MATCH(ROW()-1,装备库!$AO$2:$AO$1046,0),COLUMN()),"")</f>
        <v/>
      </c>
      <c r="P1009" t="str">
        <f>IFERROR(INDEX(装备库!$A$2:$Y$1047,MATCH(ROW()-1,装备库!$AO$2:$AO$1046,0),COLUMN()),"")</f>
        <v/>
      </c>
      <c r="Q1009" t="str">
        <f>IFERROR(INDEX(装备库!$A$2:$Y$1047,MATCH(ROW()-1,装备库!$AO$2:$AO$1046,0),COLUMN()),"")</f>
        <v/>
      </c>
      <c r="R1009" t="str">
        <f>IFERROR(INDEX(装备库!$A$2:$Y$1047,MATCH(ROW()-1,装备库!$AO$2:$AO$1046,0),COLUMN()),"")</f>
        <v/>
      </c>
      <c r="S1009" t="str">
        <f>IFERROR(INDEX(装备库!$A$2:$Y$1047,MATCH(ROW()-1,装备库!$AO$2:$AO$1046,0),COLUMN()),"")</f>
        <v/>
      </c>
      <c r="T1009" t="str">
        <f>IFERROR(INDEX(装备库!$A$2:$Y$1047,MATCH(ROW()-1,装备库!$AO$2:$AO$1046,0),COLUMN()),"")</f>
        <v/>
      </c>
      <c r="U1009" t="str">
        <f>IFERROR(INDEX(装备库!$A$2:$Y$1047,MATCH(ROW()-1,装备库!$AO$2:$AO$1046,0),COLUMN()),"")</f>
        <v/>
      </c>
      <c r="V1009" t="str">
        <f>IFERROR(INDEX(装备库!$A$2:$Y$1047,MATCH(ROW()-1,装备库!$AO$2:$AO$1046,0),COLUMN()),"")</f>
        <v/>
      </c>
      <c r="W1009" t="str">
        <f>IFERROR(INDEX(装备库!$A$2:$Y$1047,MATCH(ROW()-1,装备库!$AO$2:$AO$1046,0),COLUMN()),"")</f>
        <v/>
      </c>
      <c r="X1009" t="str">
        <f>IFERROR(INDEX(装备库!$A$2:$Y$1047,MATCH(ROW()-1,装备库!$AO$2:$AO$1046,0),COLUMN()),"")</f>
        <v/>
      </c>
      <c r="Y1009" t="str">
        <f>IFERROR(INDEX(装备库!$A$2:$Y$1047,MATCH(ROW()-1,装备库!$AO$2:$AO$1046,0),COLUMN()),"")</f>
        <v/>
      </c>
    </row>
    <row r="1010" spans="1:25" x14ac:dyDescent="0.35">
      <c r="A1010" t="str">
        <f>IFERROR(INDEX(装备库!$A$2:$Y$1047,MATCH(ROW()-1,装备库!$AO$2:$AO$1046,0),COLUMN()),"")</f>
        <v/>
      </c>
      <c r="B1010" t="str">
        <f>IFERROR(INDEX(装备库!$A$2:$Y$1047,MATCH(ROW()-1,装备库!$AO$2:$AO$1046,0),COLUMN()),"")</f>
        <v/>
      </c>
      <c r="C1010" t="str">
        <f>IFERROR(INDEX(装备库!$A$2:$Y$1047,MATCH(ROW()-1,装备库!$AO$2:$AO$1046,0),COLUMN()),"")</f>
        <v/>
      </c>
      <c r="D1010" t="str">
        <f>IFERROR(INDEX(装备库!$A$2:$Y$1047,MATCH(ROW()-1,装备库!$AO$2:$AO$1046,0),COLUMN()),"")</f>
        <v/>
      </c>
      <c r="E1010" t="str">
        <f>IFERROR(INDEX(装备库!$A$2:$Y$1047,MATCH(ROW()-1,装备库!$AO$2:$AO$1046,0),COLUMN()),"")</f>
        <v/>
      </c>
      <c r="F1010" t="str">
        <f>IFERROR(INDEX(装备库!$A$2:$Y$1047,MATCH(ROW()-1,装备库!$AO$2:$AO$1046,0),COLUMN()),"")</f>
        <v/>
      </c>
      <c r="G1010" t="str">
        <f>IFERROR(INDEX(装备库!$A$2:$Y$1047,MATCH(ROW()-1,装备库!$AO$2:$AO$1046,0),COLUMN()),"")</f>
        <v/>
      </c>
      <c r="H1010" t="str">
        <f>IFERROR(INDEX(装备库!$A$2:$Y$1047,MATCH(ROW()-1,装备库!$AO$2:$AO$1046,0),COLUMN()),"")</f>
        <v/>
      </c>
      <c r="I1010" t="str">
        <f>IFERROR(INDEX(装备库!$A$2:$Y$1047,MATCH(ROW()-1,装备库!$AO$2:$AO$1046,0),COLUMN()),"")</f>
        <v/>
      </c>
      <c r="J1010" t="str">
        <f>IFERROR(INDEX(装备库!$A$2:$Y$1047,MATCH(ROW()-1,装备库!$AO$2:$AO$1046,0),COLUMN()),"")</f>
        <v/>
      </c>
      <c r="K1010" t="str">
        <f>IFERROR(INDEX(装备库!$A$2:$Y$1047,MATCH(ROW()-1,装备库!$AO$2:$AO$1046,0),COLUMN()),"")</f>
        <v/>
      </c>
      <c r="L1010" t="str">
        <f>IFERROR(INDEX(装备库!$A$2:$Y$1047,MATCH(ROW()-1,装备库!$AO$2:$AO$1046,0),COLUMN()),"")</f>
        <v/>
      </c>
      <c r="M1010" t="str">
        <f>IFERROR(INDEX(装备库!$A$2:$Y$1047,MATCH(ROW()-1,装备库!$AO$2:$AO$1046,0),COLUMN()),"")</f>
        <v/>
      </c>
      <c r="N1010" t="str">
        <f>IFERROR(INDEX(装备库!$A$2:$Y$1047,MATCH(ROW()-1,装备库!$AO$2:$AO$1046,0),COLUMN()),"")</f>
        <v/>
      </c>
      <c r="O1010" t="str">
        <f>IFERROR(INDEX(装备库!$A$2:$Y$1047,MATCH(ROW()-1,装备库!$AO$2:$AO$1046,0),COLUMN()),"")</f>
        <v/>
      </c>
      <c r="P1010" t="str">
        <f>IFERROR(INDEX(装备库!$A$2:$Y$1047,MATCH(ROW()-1,装备库!$AO$2:$AO$1046,0),COLUMN()),"")</f>
        <v/>
      </c>
      <c r="Q1010" t="str">
        <f>IFERROR(INDEX(装备库!$A$2:$Y$1047,MATCH(ROW()-1,装备库!$AO$2:$AO$1046,0),COLUMN()),"")</f>
        <v/>
      </c>
      <c r="R1010" t="str">
        <f>IFERROR(INDEX(装备库!$A$2:$Y$1047,MATCH(ROW()-1,装备库!$AO$2:$AO$1046,0),COLUMN()),"")</f>
        <v/>
      </c>
      <c r="S1010" t="str">
        <f>IFERROR(INDEX(装备库!$A$2:$Y$1047,MATCH(ROW()-1,装备库!$AO$2:$AO$1046,0),COLUMN()),"")</f>
        <v/>
      </c>
      <c r="T1010" t="str">
        <f>IFERROR(INDEX(装备库!$A$2:$Y$1047,MATCH(ROW()-1,装备库!$AO$2:$AO$1046,0),COLUMN()),"")</f>
        <v/>
      </c>
      <c r="U1010" t="str">
        <f>IFERROR(INDEX(装备库!$A$2:$Y$1047,MATCH(ROW()-1,装备库!$AO$2:$AO$1046,0),COLUMN()),"")</f>
        <v/>
      </c>
      <c r="V1010" t="str">
        <f>IFERROR(INDEX(装备库!$A$2:$Y$1047,MATCH(ROW()-1,装备库!$AO$2:$AO$1046,0),COLUMN()),"")</f>
        <v/>
      </c>
      <c r="W1010" t="str">
        <f>IFERROR(INDEX(装备库!$A$2:$Y$1047,MATCH(ROW()-1,装备库!$AO$2:$AO$1046,0),COLUMN()),"")</f>
        <v/>
      </c>
      <c r="X1010" t="str">
        <f>IFERROR(INDEX(装备库!$A$2:$Y$1047,MATCH(ROW()-1,装备库!$AO$2:$AO$1046,0),COLUMN()),"")</f>
        <v/>
      </c>
      <c r="Y1010" t="str">
        <f>IFERROR(INDEX(装备库!$A$2:$Y$1047,MATCH(ROW()-1,装备库!$AO$2:$AO$1046,0),COLUMN()),"")</f>
        <v/>
      </c>
    </row>
    <row r="1011" spans="1:25" x14ac:dyDescent="0.35">
      <c r="A1011" t="str">
        <f>IFERROR(INDEX(装备库!$A$2:$Y$1047,MATCH(ROW()-1,装备库!$AO$2:$AO$1046,0),COLUMN()),"")</f>
        <v/>
      </c>
      <c r="B1011" t="str">
        <f>IFERROR(INDEX(装备库!$A$2:$Y$1047,MATCH(ROW()-1,装备库!$AO$2:$AO$1046,0),COLUMN()),"")</f>
        <v/>
      </c>
      <c r="C1011" t="str">
        <f>IFERROR(INDEX(装备库!$A$2:$Y$1047,MATCH(ROW()-1,装备库!$AO$2:$AO$1046,0),COLUMN()),"")</f>
        <v/>
      </c>
      <c r="D1011" t="str">
        <f>IFERROR(INDEX(装备库!$A$2:$Y$1047,MATCH(ROW()-1,装备库!$AO$2:$AO$1046,0),COLUMN()),"")</f>
        <v/>
      </c>
      <c r="E1011" t="str">
        <f>IFERROR(INDEX(装备库!$A$2:$Y$1047,MATCH(ROW()-1,装备库!$AO$2:$AO$1046,0),COLUMN()),"")</f>
        <v/>
      </c>
      <c r="F1011" t="str">
        <f>IFERROR(INDEX(装备库!$A$2:$Y$1047,MATCH(ROW()-1,装备库!$AO$2:$AO$1046,0),COLUMN()),"")</f>
        <v/>
      </c>
      <c r="G1011" t="str">
        <f>IFERROR(INDEX(装备库!$A$2:$Y$1047,MATCH(ROW()-1,装备库!$AO$2:$AO$1046,0),COLUMN()),"")</f>
        <v/>
      </c>
      <c r="H1011" t="str">
        <f>IFERROR(INDEX(装备库!$A$2:$Y$1047,MATCH(ROW()-1,装备库!$AO$2:$AO$1046,0),COLUMN()),"")</f>
        <v/>
      </c>
      <c r="I1011" t="str">
        <f>IFERROR(INDEX(装备库!$A$2:$Y$1047,MATCH(ROW()-1,装备库!$AO$2:$AO$1046,0),COLUMN()),"")</f>
        <v/>
      </c>
      <c r="J1011" t="str">
        <f>IFERROR(INDEX(装备库!$A$2:$Y$1047,MATCH(ROW()-1,装备库!$AO$2:$AO$1046,0),COLUMN()),"")</f>
        <v/>
      </c>
      <c r="K1011" t="str">
        <f>IFERROR(INDEX(装备库!$A$2:$Y$1047,MATCH(ROW()-1,装备库!$AO$2:$AO$1046,0),COLUMN()),"")</f>
        <v/>
      </c>
      <c r="L1011" t="str">
        <f>IFERROR(INDEX(装备库!$A$2:$Y$1047,MATCH(ROW()-1,装备库!$AO$2:$AO$1046,0),COLUMN()),"")</f>
        <v/>
      </c>
      <c r="M1011" t="str">
        <f>IFERROR(INDEX(装备库!$A$2:$Y$1047,MATCH(ROW()-1,装备库!$AO$2:$AO$1046,0),COLUMN()),"")</f>
        <v/>
      </c>
      <c r="N1011" t="str">
        <f>IFERROR(INDEX(装备库!$A$2:$Y$1047,MATCH(ROW()-1,装备库!$AO$2:$AO$1046,0),COLUMN()),"")</f>
        <v/>
      </c>
      <c r="O1011" t="str">
        <f>IFERROR(INDEX(装备库!$A$2:$Y$1047,MATCH(ROW()-1,装备库!$AO$2:$AO$1046,0),COLUMN()),"")</f>
        <v/>
      </c>
      <c r="P1011" t="str">
        <f>IFERROR(INDEX(装备库!$A$2:$Y$1047,MATCH(ROW()-1,装备库!$AO$2:$AO$1046,0),COLUMN()),"")</f>
        <v/>
      </c>
      <c r="Q1011" t="str">
        <f>IFERROR(INDEX(装备库!$A$2:$Y$1047,MATCH(ROW()-1,装备库!$AO$2:$AO$1046,0),COLUMN()),"")</f>
        <v/>
      </c>
      <c r="R1011" t="str">
        <f>IFERROR(INDEX(装备库!$A$2:$Y$1047,MATCH(ROW()-1,装备库!$AO$2:$AO$1046,0),COLUMN()),"")</f>
        <v/>
      </c>
      <c r="S1011" t="str">
        <f>IFERROR(INDEX(装备库!$A$2:$Y$1047,MATCH(ROW()-1,装备库!$AO$2:$AO$1046,0),COLUMN()),"")</f>
        <v/>
      </c>
      <c r="T1011" t="str">
        <f>IFERROR(INDEX(装备库!$A$2:$Y$1047,MATCH(ROW()-1,装备库!$AO$2:$AO$1046,0),COLUMN()),"")</f>
        <v/>
      </c>
      <c r="U1011" t="str">
        <f>IFERROR(INDEX(装备库!$A$2:$Y$1047,MATCH(ROW()-1,装备库!$AO$2:$AO$1046,0),COLUMN()),"")</f>
        <v/>
      </c>
      <c r="V1011" t="str">
        <f>IFERROR(INDEX(装备库!$A$2:$Y$1047,MATCH(ROW()-1,装备库!$AO$2:$AO$1046,0),COLUMN()),"")</f>
        <v/>
      </c>
      <c r="W1011" t="str">
        <f>IFERROR(INDEX(装备库!$A$2:$Y$1047,MATCH(ROW()-1,装备库!$AO$2:$AO$1046,0),COLUMN()),"")</f>
        <v/>
      </c>
      <c r="X1011" t="str">
        <f>IFERROR(INDEX(装备库!$A$2:$Y$1047,MATCH(ROW()-1,装备库!$AO$2:$AO$1046,0),COLUMN()),"")</f>
        <v/>
      </c>
      <c r="Y1011" t="str">
        <f>IFERROR(INDEX(装备库!$A$2:$Y$1047,MATCH(ROW()-1,装备库!$AO$2:$AO$1046,0),COLUMN()),"")</f>
        <v/>
      </c>
    </row>
    <row r="1012" spans="1:25" x14ac:dyDescent="0.35">
      <c r="A1012" t="str">
        <f>IFERROR(INDEX(装备库!$A$2:$Y$1047,MATCH(ROW()-1,装备库!$AO$2:$AO$1046,0),COLUMN()),"")</f>
        <v/>
      </c>
      <c r="B1012" t="str">
        <f>IFERROR(INDEX(装备库!$A$2:$Y$1047,MATCH(ROW()-1,装备库!$AO$2:$AO$1046,0),COLUMN()),"")</f>
        <v/>
      </c>
      <c r="C1012" t="str">
        <f>IFERROR(INDEX(装备库!$A$2:$Y$1047,MATCH(ROW()-1,装备库!$AO$2:$AO$1046,0),COLUMN()),"")</f>
        <v/>
      </c>
      <c r="D1012" t="str">
        <f>IFERROR(INDEX(装备库!$A$2:$Y$1047,MATCH(ROW()-1,装备库!$AO$2:$AO$1046,0),COLUMN()),"")</f>
        <v/>
      </c>
      <c r="E1012" t="str">
        <f>IFERROR(INDEX(装备库!$A$2:$Y$1047,MATCH(ROW()-1,装备库!$AO$2:$AO$1046,0),COLUMN()),"")</f>
        <v/>
      </c>
      <c r="F1012" t="str">
        <f>IFERROR(INDEX(装备库!$A$2:$Y$1047,MATCH(ROW()-1,装备库!$AO$2:$AO$1046,0),COLUMN()),"")</f>
        <v/>
      </c>
      <c r="G1012" t="str">
        <f>IFERROR(INDEX(装备库!$A$2:$Y$1047,MATCH(ROW()-1,装备库!$AO$2:$AO$1046,0),COLUMN()),"")</f>
        <v/>
      </c>
      <c r="H1012" t="str">
        <f>IFERROR(INDEX(装备库!$A$2:$Y$1047,MATCH(ROW()-1,装备库!$AO$2:$AO$1046,0),COLUMN()),"")</f>
        <v/>
      </c>
      <c r="I1012" t="str">
        <f>IFERROR(INDEX(装备库!$A$2:$Y$1047,MATCH(ROW()-1,装备库!$AO$2:$AO$1046,0),COLUMN()),"")</f>
        <v/>
      </c>
      <c r="J1012" t="str">
        <f>IFERROR(INDEX(装备库!$A$2:$Y$1047,MATCH(ROW()-1,装备库!$AO$2:$AO$1046,0),COLUMN()),"")</f>
        <v/>
      </c>
      <c r="K1012" t="str">
        <f>IFERROR(INDEX(装备库!$A$2:$Y$1047,MATCH(ROW()-1,装备库!$AO$2:$AO$1046,0),COLUMN()),"")</f>
        <v/>
      </c>
      <c r="L1012" t="str">
        <f>IFERROR(INDEX(装备库!$A$2:$Y$1047,MATCH(ROW()-1,装备库!$AO$2:$AO$1046,0),COLUMN()),"")</f>
        <v/>
      </c>
      <c r="M1012" t="str">
        <f>IFERROR(INDEX(装备库!$A$2:$Y$1047,MATCH(ROW()-1,装备库!$AO$2:$AO$1046,0),COLUMN()),"")</f>
        <v/>
      </c>
      <c r="N1012" t="str">
        <f>IFERROR(INDEX(装备库!$A$2:$Y$1047,MATCH(ROW()-1,装备库!$AO$2:$AO$1046,0),COLUMN()),"")</f>
        <v/>
      </c>
      <c r="O1012" t="str">
        <f>IFERROR(INDEX(装备库!$A$2:$Y$1047,MATCH(ROW()-1,装备库!$AO$2:$AO$1046,0),COLUMN()),"")</f>
        <v/>
      </c>
      <c r="P1012" t="str">
        <f>IFERROR(INDEX(装备库!$A$2:$Y$1047,MATCH(ROW()-1,装备库!$AO$2:$AO$1046,0),COLUMN()),"")</f>
        <v/>
      </c>
      <c r="Q1012" t="str">
        <f>IFERROR(INDEX(装备库!$A$2:$Y$1047,MATCH(ROW()-1,装备库!$AO$2:$AO$1046,0),COLUMN()),"")</f>
        <v/>
      </c>
      <c r="R1012" t="str">
        <f>IFERROR(INDEX(装备库!$A$2:$Y$1047,MATCH(ROW()-1,装备库!$AO$2:$AO$1046,0),COLUMN()),"")</f>
        <v/>
      </c>
      <c r="S1012" t="str">
        <f>IFERROR(INDEX(装备库!$A$2:$Y$1047,MATCH(ROW()-1,装备库!$AO$2:$AO$1046,0),COLUMN()),"")</f>
        <v/>
      </c>
      <c r="T1012" t="str">
        <f>IFERROR(INDEX(装备库!$A$2:$Y$1047,MATCH(ROW()-1,装备库!$AO$2:$AO$1046,0),COLUMN()),"")</f>
        <v/>
      </c>
      <c r="U1012" t="str">
        <f>IFERROR(INDEX(装备库!$A$2:$Y$1047,MATCH(ROW()-1,装备库!$AO$2:$AO$1046,0),COLUMN()),"")</f>
        <v/>
      </c>
      <c r="V1012" t="str">
        <f>IFERROR(INDEX(装备库!$A$2:$Y$1047,MATCH(ROW()-1,装备库!$AO$2:$AO$1046,0),COLUMN()),"")</f>
        <v/>
      </c>
      <c r="W1012" t="str">
        <f>IFERROR(INDEX(装备库!$A$2:$Y$1047,MATCH(ROW()-1,装备库!$AO$2:$AO$1046,0),COLUMN()),"")</f>
        <v/>
      </c>
      <c r="X1012" t="str">
        <f>IFERROR(INDEX(装备库!$A$2:$Y$1047,MATCH(ROW()-1,装备库!$AO$2:$AO$1046,0),COLUMN()),"")</f>
        <v/>
      </c>
      <c r="Y1012" t="str">
        <f>IFERROR(INDEX(装备库!$A$2:$Y$1047,MATCH(ROW()-1,装备库!$AO$2:$AO$1046,0),COLUMN()),"")</f>
        <v/>
      </c>
    </row>
    <row r="1013" spans="1:25" x14ac:dyDescent="0.35">
      <c r="A1013" t="str">
        <f>IFERROR(INDEX(装备库!$A$2:$Y$1047,MATCH(ROW()-1,装备库!$AO$2:$AO$1046,0),COLUMN()),"")</f>
        <v/>
      </c>
      <c r="B1013" t="str">
        <f>IFERROR(INDEX(装备库!$A$2:$Y$1047,MATCH(ROW()-1,装备库!$AO$2:$AO$1046,0),COLUMN()),"")</f>
        <v/>
      </c>
      <c r="C1013" t="str">
        <f>IFERROR(INDEX(装备库!$A$2:$Y$1047,MATCH(ROW()-1,装备库!$AO$2:$AO$1046,0),COLUMN()),"")</f>
        <v/>
      </c>
      <c r="D1013" t="str">
        <f>IFERROR(INDEX(装备库!$A$2:$Y$1047,MATCH(ROW()-1,装备库!$AO$2:$AO$1046,0),COLUMN()),"")</f>
        <v/>
      </c>
      <c r="E1013" t="str">
        <f>IFERROR(INDEX(装备库!$A$2:$Y$1047,MATCH(ROW()-1,装备库!$AO$2:$AO$1046,0),COLUMN()),"")</f>
        <v/>
      </c>
      <c r="F1013" t="str">
        <f>IFERROR(INDEX(装备库!$A$2:$Y$1047,MATCH(ROW()-1,装备库!$AO$2:$AO$1046,0),COLUMN()),"")</f>
        <v/>
      </c>
      <c r="G1013" t="str">
        <f>IFERROR(INDEX(装备库!$A$2:$Y$1047,MATCH(ROW()-1,装备库!$AO$2:$AO$1046,0),COLUMN()),"")</f>
        <v/>
      </c>
      <c r="H1013" t="str">
        <f>IFERROR(INDEX(装备库!$A$2:$Y$1047,MATCH(ROW()-1,装备库!$AO$2:$AO$1046,0),COLUMN()),"")</f>
        <v/>
      </c>
      <c r="I1013" t="str">
        <f>IFERROR(INDEX(装备库!$A$2:$Y$1047,MATCH(ROW()-1,装备库!$AO$2:$AO$1046,0),COLUMN()),"")</f>
        <v/>
      </c>
      <c r="J1013" t="str">
        <f>IFERROR(INDEX(装备库!$A$2:$Y$1047,MATCH(ROW()-1,装备库!$AO$2:$AO$1046,0),COLUMN()),"")</f>
        <v/>
      </c>
      <c r="K1013" t="str">
        <f>IFERROR(INDEX(装备库!$A$2:$Y$1047,MATCH(ROW()-1,装备库!$AO$2:$AO$1046,0),COLUMN()),"")</f>
        <v/>
      </c>
      <c r="L1013" t="str">
        <f>IFERROR(INDEX(装备库!$A$2:$Y$1047,MATCH(ROW()-1,装备库!$AO$2:$AO$1046,0),COLUMN()),"")</f>
        <v/>
      </c>
      <c r="M1013" t="str">
        <f>IFERROR(INDEX(装备库!$A$2:$Y$1047,MATCH(ROW()-1,装备库!$AO$2:$AO$1046,0),COLUMN()),"")</f>
        <v/>
      </c>
      <c r="N1013" t="str">
        <f>IFERROR(INDEX(装备库!$A$2:$Y$1047,MATCH(ROW()-1,装备库!$AO$2:$AO$1046,0),COLUMN()),"")</f>
        <v/>
      </c>
      <c r="O1013" t="str">
        <f>IFERROR(INDEX(装备库!$A$2:$Y$1047,MATCH(ROW()-1,装备库!$AO$2:$AO$1046,0),COLUMN()),"")</f>
        <v/>
      </c>
      <c r="P1013" t="str">
        <f>IFERROR(INDEX(装备库!$A$2:$Y$1047,MATCH(ROW()-1,装备库!$AO$2:$AO$1046,0),COLUMN()),"")</f>
        <v/>
      </c>
      <c r="Q1013" t="str">
        <f>IFERROR(INDEX(装备库!$A$2:$Y$1047,MATCH(ROW()-1,装备库!$AO$2:$AO$1046,0),COLUMN()),"")</f>
        <v/>
      </c>
      <c r="R1013" t="str">
        <f>IFERROR(INDEX(装备库!$A$2:$Y$1047,MATCH(ROW()-1,装备库!$AO$2:$AO$1046,0),COLUMN()),"")</f>
        <v/>
      </c>
      <c r="S1013" t="str">
        <f>IFERROR(INDEX(装备库!$A$2:$Y$1047,MATCH(ROW()-1,装备库!$AO$2:$AO$1046,0),COLUMN()),"")</f>
        <v/>
      </c>
      <c r="T1013" t="str">
        <f>IFERROR(INDEX(装备库!$A$2:$Y$1047,MATCH(ROW()-1,装备库!$AO$2:$AO$1046,0),COLUMN()),"")</f>
        <v/>
      </c>
      <c r="U1013" t="str">
        <f>IFERROR(INDEX(装备库!$A$2:$Y$1047,MATCH(ROW()-1,装备库!$AO$2:$AO$1046,0),COLUMN()),"")</f>
        <v/>
      </c>
      <c r="V1013" t="str">
        <f>IFERROR(INDEX(装备库!$A$2:$Y$1047,MATCH(ROW()-1,装备库!$AO$2:$AO$1046,0),COLUMN()),"")</f>
        <v/>
      </c>
      <c r="W1013" t="str">
        <f>IFERROR(INDEX(装备库!$A$2:$Y$1047,MATCH(ROW()-1,装备库!$AO$2:$AO$1046,0),COLUMN()),"")</f>
        <v/>
      </c>
      <c r="X1013" t="str">
        <f>IFERROR(INDEX(装备库!$A$2:$Y$1047,MATCH(ROW()-1,装备库!$AO$2:$AO$1046,0),COLUMN()),"")</f>
        <v/>
      </c>
      <c r="Y1013" t="str">
        <f>IFERROR(INDEX(装备库!$A$2:$Y$1047,MATCH(ROW()-1,装备库!$AO$2:$AO$1046,0),COLUMN()),"")</f>
        <v/>
      </c>
    </row>
    <row r="1014" spans="1:25" x14ac:dyDescent="0.35">
      <c r="A1014" t="str">
        <f>IFERROR(INDEX(装备库!$A$2:$Y$1047,MATCH(ROW()-1,装备库!$AO$2:$AO$1046,0),COLUMN()),"")</f>
        <v/>
      </c>
      <c r="B1014" t="str">
        <f>IFERROR(INDEX(装备库!$A$2:$Y$1047,MATCH(ROW()-1,装备库!$AO$2:$AO$1046,0),COLUMN()),"")</f>
        <v/>
      </c>
      <c r="C1014" t="str">
        <f>IFERROR(INDEX(装备库!$A$2:$Y$1047,MATCH(ROW()-1,装备库!$AO$2:$AO$1046,0),COLUMN()),"")</f>
        <v/>
      </c>
      <c r="D1014" t="str">
        <f>IFERROR(INDEX(装备库!$A$2:$Y$1047,MATCH(ROW()-1,装备库!$AO$2:$AO$1046,0),COLUMN()),"")</f>
        <v/>
      </c>
      <c r="E1014" t="str">
        <f>IFERROR(INDEX(装备库!$A$2:$Y$1047,MATCH(ROW()-1,装备库!$AO$2:$AO$1046,0),COLUMN()),"")</f>
        <v/>
      </c>
      <c r="F1014" t="str">
        <f>IFERROR(INDEX(装备库!$A$2:$Y$1047,MATCH(ROW()-1,装备库!$AO$2:$AO$1046,0),COLUMN()),"")</f>
        <v/>
      </c>
      <c r="G1014" t="str">
        <f>IFERROR(INDEX(装备库!$A$2:$Y$1047,MATCH(ROW()-1,装备库!$AO$2:$AO$1046,0),COLUMN()),"")</f>
        <v/>
      </c>
      <c r="H1014" t="str">
        <f>IFERROR(INDEX(装备库!$A$2:$Y$1047,MATCH(ROW()-1,装备库!$AO$2:$AO$1046,0),COLUMN()),"")</f>
        <v/>
      </c>
      <c r="I1014" t="str">
        <f>IFERROR(INDEX(装备库!$A$2:$Y$1047,MATCH(ROW()-1,装备库!$AO$2:$AO$1046,0),COLUMN()),"")</f>
        <v/>
      </c>
      <c r="J1014" t="str">
        <f>IFERROR(INDEX(装备库!$A$2:$Y$1047,MATCH(ROW()-1,装备库!$AO$2:$AO$1046,0),COLUMN()),"")</f>
        <v/>
      </c>
      <c r="K1014" t="str">
        <f>IFERROR(INDEX(装备库!$A$2:$Y$1047,MATCH(ROW()-1,装备库!$AO$2:$AO$1046,0),COLUMN()),"")</f>
        <v/>
      </c>
      <c r="L1014" t="str">
        <f>IFERROR(INDEX(装备库!$A$2:$Y$1047,MATCH(ROW()-1,装备库!$AO$2:$AO$1046,0),COLUMN()),"")</f>
        <v/>
      </c>
      <c r="M1014" t="str">
        <f>IFERROR(INDEX(装备库!$A$2:$Y$1047,MATCH(ROW()-1,装备库!$AO$2:$AO$1046,0),COLUMN()),"")</f>
        <v/>
      </c>
      <c r="N1014" t="str">
        <f>IFERROR(INDEX(装备库!$A$2:$Y$1047,MATCH(ROW()-1,装备库!$AO$2:$AO$1046,0),COLUMN()),"")</f>
        <v/>
      </c>
      <c r="O1014" t="str">
        <f>IFERROR(INDEX(装备库!$A$2:$Y$1047,MATCH(ROW()-1,装备库!$AO$2:$AO$1046,0),COLUMN()),"")</f>
        <v/>
      </c>
      <c r="P1014" t="str">
        <f>IFERROR(INDEX(装备库!$A$2:$Y$1047,MATCH(ROW()-1,装备库!$AO$2:$AO$1046,0),COLUMN()),"")</f>
        <v/>
      </c>
      <c r="Q1014" t="str">
        <f>IFERROR(INDEX(装备库!$A$2:$Y$1047,MATCH(ROW()-1,装备库!$AO$2:$AO$1046,0),COLUMN()),"")</f>
        <v/>
      </c>
      <c r="R1014" t="str">
        <f>IFERROR(INDEX(装备库!$A$2:$Y$1047,MATCH(ROW()-1,装备库!$AO$2:$AO$1046,0),COLUMN()),"")</f>
        <v/>
      </c>
      <c r="S1014" t="str">
        <f>IFERROR(INDEX(装备库!$A$2:$Y$1047,MATCH(ROW()-1,装备库!$AO$2:$AO$1046,0),COLUMN()),"")</f>
        <v/>
      </c>
      <c r="T1014" t="str">
        <f>IFERROR(INDEX(装备库!$A$2:$Y$1047,MATCH(ROW()-1,装备库!$AO$2:$AO$1046,0),COLUMN()),"")</f>
        <v/>
      </c>
      <c r="U1014" t="str">
        <f>IFERROR(INDEX(装备库!$A$2:$Y$1047,MATCH(ROW()-1,装备库!$AO$2:$AO$1046,0),COLUMN()),"")</f>
        <v/>
      </c>
      <c r="V1014" t="str">
        <f>IFERROR(INDEX(装备库!$A$2:$Y$1047,MATCH(ROW()-1,装备库!$AO$2:$AO$1046,0),COLUMN()),"")</f>
        <v/>
      </c>
      <c r="W1014" t="str">
        <f>IFERROR(INDEX(装备库!$A$2:$Y$1047,MATCH(ROW()-1,装备库!$AO$2:$AO$1046,0),COLUMN()),"")</f>
        <v/>
      </c>
      <c r="X1014" t="str">
        <f>IFERROR(INDEX(装备库!$A$2:$Y$1047,MATCH(ROW()-1,装备库!$AO$2:$AO$1046,0),COLUMN()),"")</f>
        <v/>
      </c>
      <c r="Y1014" t="str">
        <f>IFERROR(INDEX(装备库!$A$2:$Y$1047,MATCH(ROW()-1,装备库!$AO$2:$AO$1046,0),COLUMN()),"")</f>
        <v/>
      </c>
    </row>
    <row r="1015" spans="1:25" x14ac:dyDescent="0.35">
      <c r="A1015" t="str">
        <f>IFERROR(INDEX(装备库!$A$2:$Y$1047,MATCH(ROW()-1,装备库!$AO$2:$AO$1046,0),COLUMN()),"")</f>
        <v/>
      </c>
      <c r="B1015" t="str">
        <f>IFERROR(INDEX(装备库!$A$2:$Y$1047,MATCH(ROW()-1,装备库!$AO$2:$AO$1046,0),COLUMN()),"")</f>
        <v/>
      </c>
      <c r="C1015" t="str">
        <f>IFERROR(INDEX(装备库!$A$2:$Y$1047,MATCH(ROW()-1,装备库!$AO$2:$AO$1046,0),COLUMN()),"")</f>
        <v/>
      </c>
      <c r="D1015" t="str">
        <f>IFERROR(INDEX(装备库!$A$2:$Y$1047,MATCH(ROW()-1,装备库!$AO$2:$AO$1046,0),COLUMN()),"")</f>
        <v/>
      </c>
      <c r="E1015" t="str">
        <f>IFERROR(INDEX(装备库!$A$2:$Y$1047,MATCH(ROW()-1,装备库!$AO$2:$AO$1046,0),COLUMN()),"")</f>
        <v/>
      </c>
      <c r="F1015" t="str">
        <f>IFERROR(INDEX(装备库!$A$2:$Y$1047,MATCH(ROW()-1,装备库!$AO$2:$AO$1046,0),COLUMN()),"")</f>
        <v/>
      </c>
      <c r="G1015" t="str">
        <f>IFERROR(INDEX(装备库!$A$2:$Y$1047,MATCH(ROW()-1,装备库!$AO$2:$AO$1046,0),COLUMN()),"")</f>
        <v/>
      </c>
      <c r="H1015" t="str">
        <f>IFERROR(INDEX(装备库!$A$2:$Y$1047,MATCH(ROW()-1,装备库!$AO$2:$AO$1046,0),COLUMN()),"")</f>
        <v/>
      </c>
      <c r="I1015" t="str">
        <f>IFERROR(INDEX(装备库!$A$2:$Y$1047,MATCH(ROW()-1,装备库!$AO$2:$AO$1046,0),COLUMN()),"")</f>
        <v/>
      </c>
      <c r="J1015" t="str">
        <f>IFERROR(INDEX(装备库!$A$2:$Y$1047,MATCH(ROW()-1,装备库!$AO$2:$AO$1046,0),COLUMN()),"")</f>
        <v/>
      </c>
      <c r="K1015" t="str">
        <f>IFERROR(INDEX(装备库!$A$2:$Y$1047,MATCH(ROW()-1,装备库!$AO$2:$AO$1046,0),COLUMN()),"")</f>
        <v/>
      </c>
      <c r="L1015" t="str">
        <f>IFERROR(INDEX(装备库!$A$2:$Y$1047,MATCH(ROW()-1,装备库!$AO$2:$AO$1046,0),COLUMN()),"")</f>
        <v/>
      </c>
      <c r="M1015" t="str">
        <f>IFERROR(INDEX(装备库!$A$2:$Y$1047,MATCH(ROW()-1,装备库!$AO$2:$AO$1046,0),COLUMN()),"")</f>
        <v/>
      </c>
      <c r="N1015" t="str">
        <f>IFERROR(INDEX(装备库!$A$2:$Y$1047,MATCH(ROW()-1,装备库!$AO$2:$AO$1046,0),COLUMN()),"")</f>
        <v/>
      </c>
      <c r="O1015" t="str">
        <f>IFERROR(INDEX(装备库!$A$2:$Y$1047,MATCH(ROW()-1,装备库!$AO$2:$AO$1046,0),COLUMN()),"")</f>
        <v/>
      </c>
      <c r="P1015" t="str">
        <f>IFERROR(INDEX(装备库!$A$2:$Y$1047,MATCH(ROW()-1,装备库!$AO$2:$AO$1046,0),COLUMN()),"")</f>
        <v/>
      </c>
      <c r="Q1015" t="str">
        <f>IFERROR(INDEX(装备库!$A$2:$Y$1047,MATCH(ROW()-1,装备库!$AO$2:$AO$1046,0),COLUMN()),"")</f>
        <v/>
      </c>
      <c r="R1015" t="str">
        <f>IFERROR(INDEX(装备库!$A$2:$Y$1047,MATCH(ROW()-1,装备库!$AO$2:$AO$1046,0),COLUMN()),"")</f>
        <v/>
      </c>
      <c r="S1015" t="str">
        <f>IFERROR(INDEX(装备库!$A$2:$Y$1047,MATCH(ROW()-1,装备库!$AO$2:$AO$1046,0),COLUMN()),"")</f>
        <v/>
      </c>
      <c r="T1015" t="str">
        <f>IFERROR(INDEX(装备库!$A$2:$Y$1047,MATCH(ROW()-1,装备库!$AO$2:$AO$1046,0),COLUMN()),"")</f>
        <v/>
      </c>
      <c r="U1015" t="str">
        <f>IFERROR(INDEX(装备库!$A$2:$Y$1047,MATCH(ROW()-1,装备库!$AO$2:$AO$1046,0),COLUMN()),"")</f>
        <v/>
      </c>
      <c r="V1015" t="str">
        <f>IFERROR(INDEX(装备库!$A$2:$Y$1047,MATCH(ROW()-1,装备库!$AO$2:$AO$1046,0),COLUMN()),"")</f>
        <v/>
      </c>
      <c r="W1015" t="str">
        <f>IFERROR(INDEX(装备库!$A$2:$Y$1047,MATCH(ROW()-1,装备库!$AO$2:$AO$1046,0),COLUMN()),"")</f>
        <v/>
      </c>
      <c r="X1015" t="str">
        <f>IFERROR(INDEX(装备库!$A$2:$Y$1047,MATCH(ROW()-1,装备库!$AO$2:$AO$1046,0),COLUMN()),"")</f>
        <v/>
      </c>
      <c r="Y1015" t="str">
        <f>IFERROR(INDEX(装备库!$A$2:$Y$1047,MATCH(ROW()-1,装备库!$AO$2:$AO$1046,0),COLUMN()),"")</f>
        <v/>
      </c>
    </row>
    <row r="1016" spans="1:25" x14ac:dyDescent="0.35">
      <c r="A1016" t="str">
        <f>IFERROR(INDEX(装备库!$A$2:$Y$1047,MATCH(ROW()-1,装备库!$AO$2:$AO$1046,0),COLUMN()),"")</f>
        <v/>
      </c>
      <c r="B1016" t="str">
        <f>IFERROR(INDEX(装备库!$A$2:$Y$1047,MATCH(ROW()-1,装备库!$AO$2:$AO$1046,0),COLUMN()),"")</f>
        <v/>
      </c>
      <c r="C1016" t="str">
        <f>IFERROR(INDEX(装备库!$A$2:$Y$1047,MATCH(ROW()-1,装备库!$AO$2:$AO$1046,0),COLUMN()),"")</f>
        <v/>
      </c>
      <c r="D1016" t="str">
        <f>IFERROR(INDEX(装备库!$A$2:$Y$1047,MATCH(ROW()-1,装备库!$AO$2:$AO$1046,0),COLUMN()),"")</f>
        <v/>
      </c>
      <c r="E1016" t="str">
        <f>IFERROR(INDEX(装备库!$A$2:$Y$1047,MATCH(ROW()-1,装备库!$AO$2:$AO$1046,0),COLUMN()),"")</f>
        <v/>
      </c>
      <c r="F1016" t="str">
        <f>IFERROR(INDEX(装备库!$A$2:$Y$1047,MATCH(ROW()-1,装备库!$AO$2:$AO$1046,0),COLUMN()),"")</f>
        <v/>
      </c>
      <c r="G1016" t="str">
        <f>IFERROR(INDEX(装备库!$A$2:$Y$1047,MATCH(ROW()-1,装备库!$AO$2:$AO$1046,0),COLUMN()),"")</f>
        <v/>
      </c>
      <c r="H1016" t="str">
        <f>IFERROR(INDEX(装备库!$A$2:$Y$1047,MATCH(ROW()-1,装备库!$AO$2:$AO$1046,0),COLUMN()),"")</f>
        <v/>
      </c>
      <c r="I1016" t="str">
        <f>IFERROR(INDEX(装备库!$A$2:$Y$1047,MATCH(ROW()-1,装备库!$AO$2:$AO$1046,0),COLUMN()),"")</f>
        <v/>
      </c>
      <c r="J1016" t="str">
        <f>IFERROR(INDEX(装备库!$A$2:$Y$1047,MATCH(ROW()-1,装备库!$AO$2:$AO$1046,0),COLUMN()),"")</f>
        <v/>
      </c>
      <c r="K1016" t="str">
        <f>IFERROR(INDEX(装备库!$A$2:$Y$1047,MATCH(ROW()-1,装备库!$AO$2:$AO$1046,0),COLUMN()),"")</f>
        <v/>
      </c>
      <c r="L1016" t="str">
        <f>IFERROR(INDEX(装备库!$A$2:$Y$1047,MATCH(ROW()-1,装备库!$AO$2:$AO$1046,0),COLUMN()),"")</f>
        <v/>
      </c>
      <c r="M1016" t="str">
        <f>IFERROR(INDEX(装备库!$A$2:$Y$1047,MATCH(ROW()-1,装备库!$AO$2:$AO$1046,0),COLUMN()),"")</f>
        <v/>
      </c>
      <c r="N1016" t="str">
        <f>IFERROR(INDEX(装备库!$A$2:$Y$1047,MATCH(ROW()-1,装备库!$AO$2:$AO$1046,0),COLUMN()),"")</f>
        <v/>
      </c>
      <c r="O1016" t="str">
        <f>IFERROR(INDEX(装备库!$A$2:$Y$1047,MATCH(ROW()-1,装备库!$AO$2:$AO$1046,0),COLUMN()),"")</f>
        <v/>
      </c>
      <c r="P1016" t="str">
        <f>IFERROR(INDEX(装备库!$A$2:$Y$1047,MATCH(ROW()-1,装备库!$AO$2:$AO$1046,0),COLUMN()),"")</f>
        <v/>
      </c>
      <c r="Q1016" t="str">
        <f>IFERROR(INDEX(装备库!$A$2:$Y$1047,MATCH(ROW()-1,装备库!$AO$2:$AO$1046,0),COLUMN()),"")</f>
        <v/>
      </c>
      <c r="R1016" t="str">
        <f>IFERROR(INDEX(装备库!$A$2:$Y$1047,MATCH(ROW()-1,装备库!$AO$2:$AO$1046,0),COLUMN()),"")</f>
        <v/>
      </c>
      <c r="S1016" t="str">
        <f>IFERROR(INDEX(装备库!$A$2:$Y$1047,MATCH(ROW()-1,装备库!$AO$2:$AO$1046,0),COLUMN()),"")</f>
        <v/>
      </c>
      <c r="T1016" t="str">
        <f>IFERROR(INDEX(装备库!$A$2:$Y$1047,MATCH(ROW()-1,装备库!$AO$2:$AO$1046,0),COLUMN()),"")</f>
        <v/>
      </c>
      <c r="U1016" t="str">
        <f>IFERROR(INDEX(装备库!$A$2:$Y$1047,MATCH(ROW()-1,装备库!$AO$2:$AO$1046,0),COLUMN()),"")</f>
        <v/>
      </c>
      <c r="V1016" t="str">
        <f>IFERROR(INDEX(装备库!$A$2:$Y$1047,MATCH(ROW()-1,装备库!$AO$2:$AO$1046,0),COLUMN()),"")</f>
        <v/>
      </c>
      <c r="W1016" t="str">
        <f>IFERROR(INDEX(装备库!$A$2:$Y$1047,MATCH(ROW()-1,装备库!$AO$2:$AO$1046,0),COLUMN()),"")</f>
        <v/>
      </c>
      <c r="X1016" t="str">
        <f>IFERROR(INDEX(装备库!$A$2:$Y$1047,MATCH(ROW()-1,装备库!$AO$2:$AO$1046,0),COLUMN()),"")</f>
        <v/>
      </c>
      <c r="Y1016" t="str">
        <f>IFERROR(INDEX(装备库!$A$2:$Y$1047,MATCH(ROW()-1,装备库!$AO$2:$AO$1046,0),COLUMN()),"")</f>
        <v/>
      </c>
    </row>
    <row r="1017" spans="1:25" x14ac:dyDescent="0.35">
      <c r="A1017" t="str">
        <f>IFERROR(INDEX(装备库!$A$2:$Y$1047,MATCH(ROW()-1,装备库!$AO$2:$AO$1046,0),COLUMN()),"")</f>
        <v/>
      </c>
      <c r="B1017" t="str">
        <f>IFERROR(INDEX(装备库!$A$2:$Y$1047,MATCH(ROW()-1,装备库!$AO$2:$AO$1046,0),COLUMN()),"")</f>
        <v/>
      </c>
      <c r="C1017" t="str">
        <f>IFERROR(INDEX(装备库!$A$2:$Y$1047,MATCH(ROW()-1,装备库!$AO$2:$AO$1046,0),COLUMN()),"")</f>
        <v/>
      </c>
      <c r="D1017" t="str">
        <f>IFERROR(INDEX(装备库!$A$2:$Y$1047,MATCH(ROW()-1,装备库!$AO$2:$AO$1046,0),COLUMN()),"")</f>
        <v/>
      </c>
      <c r="E1017" t="str">
        <f>IFERROR(INDEX(装备库!$A$2:$Y$1047,MATCH(ROW()-1,装备库!$AO$2:$AO$1046,0),COLUMN()),"")</f>
        <v/>
      </c>
      <c r="F1017" t="str">
        <f>IFERROR(INDEX(装备库!$A$2:$Y$1047,MATCH(ROW()-1,装备库!$AO$2:$AO$1046,0),COLUMN()),"")</f>
        <v/>
      </c>
      <c r="G1017" t="str">
        <f>IFERROR(INDEX(装备库!$A$2:$Y$1047,MATCH(ROW()-1,装备库!$AO$2:$AO$1046,0),COLUMN()),"")</f>
        <v/>
      </c>
      <c r="H1017" t="str">
        <f>IFERROR(INDEX(装备库!$A$2:$Y$1047,MATCH(ROW()-1,装备库!$AO$2:$AO$1046,0),COLUMN()),"")</f>
        <v/>
      </c>
      <c r="I1017" t="str">
        <f>IFERROR(INDEX(装备库!$A$2:$Y$1047,MATCH(ROW()-1,装备库!$AO$2:$AO$1046,0),COLUMN()),"")</f>
        <v/>
      </c>
      <c r="J1017" t="str">
        <f>IFERROR(INDEX(装备库!$A$2:$Y$1047,MATCH(ROW()-1,装备库!$AO$2:$AO$1046,0),COLUMN()),"")</f>
        <v/>
      </c>
      <c r="K1017" t="str">
        <f>IFERROR(INDEX(装备库!$A$2:$Y$1047,MATCH(ROW()-1,装备库!$AO$2:$AO$1046,0),COLUMN()),"")</f>
        <v/>
      </c>
      <c r="L1017" t="str">
        <f>IFERROR(INDEX(装备库!$A$2:$Y$1047,MATCH(ROW()-1,装备库!$AO$2:$AO$1046,0),COLUMN()),"")</f>
        <v/>
      </c>
      <c r="M1017" t="str">
        <f>IFERROR(INDEX(装备库!$A$2:$Y$1047,MATCH(ROW()-1,装备库!$AO$2:$AO$1046,0),COLUMN()),"")</f>
        <v/>
      </c>
      <c r="N1017" t="str">
        <f>IFERROR(INDEX(装备库!$A$2:$Y$1047,MATCH(ROW()-1,装备库!$AO$2:$AO$1046,0),COLUMN()),"")</f>
        <v/>
      </c>
      <c r="O1017" t="str">
        <f>IFERROR(INDEX(装备库!$A$2:$Y$1047,MATCH(ROW()-1,装备库!$AO$2:$AO$1046,0),COLUMN()),"")</f>
        <v/>
      </c>
      <c r="P1017" t="str">
        <f>IFERROR(INDEX(装备库!$A$2:$Y$1047,MATCH(ROW()-1,装备库!$AO$2:$AO$1046,0),COLUMN()),"")</f>
        <v/>
      </c>
      <c r="Q1017" t="str">
        <f>IFERROR(INDEX(装备库!$A$2:$Y$1047,MATCH(ROW()-1,装备库!$AO$2:$AO$1046,0),COLUMN()),"")</f>
        <v/>
      </c>
      <c r="R1017" t="str">
        <f>IFERROR(INDEX(装备库!$A$2:$Y$1047,MATCH(ROW()-1,装备库!$AO$2:$AO$1046,0),COLUMN()),"")</f>
        <v/>
      </c>
      <c r="S1017" t="str">
        <f>IFERROR(INDEX(装备库!$A$2:$Y$1047,MATCH(ROW()-1,装备库!$AO$2:$AO$1046,0),COLUMN()),"")</f>
        <v/>
      </c>
      <c r="T1017" t="str">
        <f>IFERROR(INDEX(装备库!$A$2:$Y$1047,MATCH(ROW()-1,装备库!$AO$2:$AO$1046,0),COLUMN()),"")</f>
        <v/>
      </c>
      <c r="U1017" t="str">
        <f>IFERROR(INDEX(装备库!$A$2:$Y$1047,MATCH(ROW()-1,装备库!$AO$2:$AO$1046,0),COLUMN()),"")</f>
        <v/>
      </c>
      <c r="V1017" t="str">
        <f>IFERROR(INDEX(装备库!$A$2:$Y$1047,MATCH(ROW()-1,装备库!$AO$2:$AO$1046,0),COLUMN()),"")</f>
        <v/>
      </c>
      <c r="W1017" t="str">
        <f>IFERROR(INDEX(装备库!$A$2:$Y$1047,MATCH(ROW()-1,装备库!$AO$2:$AO$1046,0),COLUMN()),"")</f>
        <v/>
      </c>
      <c r="X1017" t="str">
        <f>IFERROR(INDEX(装备库!$A$2:$Y$1047,MATCH(ROW()-1,装备库!$AO$2:$AO$1046,0),COLUMN()),"")</f>
        <v/>
      </c>
      <c r="Y1017" t="str">
        <f>IFERROR(INDEX(装备库!$A$2:$Y$1047,MATCH(ROW()-1,装备库!$AO$2:$AO$1046,0),COLUMN()),"")</f>
        <v/>
      </c>
    </row>
    <row r="1018" spans="1:25" x14ac:dyDescent="0.35">
      <c r="A1018" t="str">
        <f>IFERROR(INDEX(装备库!$A$2:$Y$1047,MATCH(ROW()-1,装备库!$AO$2:$AO$1046,0),COLUMN()),"")</f>
        <v/>
      </c>
      <c r="B1018" t="str">
        <f>IFERROR(INDEX(装备库!$A$2:$Y$1047,MATCH(ROW()-1,装备库!$AO$2:$AO$1046,0),COLUMN()),"")</f>
        <v/>
      </c>
      <c r="C1018" t="str">
        <f>IFERROR(INDEX(装备库!$A$2:$Y$1047,MATCH(ROW()-1,装备库!$AO$2:$AO$1046,0),COLUMN()),"")</f>
        <v/>
      </c>
      <c r="D1018" t="str">
        <f>IFERROR(INDEX(装备库!$A$2:$Y$1047,MATCH(ROW()-1,装备库!$AO$2:$AO$1046,0),COLUMN()),"")</f>
        <v/>
      </c>
      <c r="E1018" t="str">
        <f>IFERROR(INDEX(装备库!$A$2:$Y$1047,MATCH(ROW()-1,装备库!$AO$2:$AO$1046,0),COLUMN()),"")</f>
        <v/>
      </c>
      <c r="F1018" t="str">
        <f>IFERROR(INDEX(装备库!$A$2:$Y$1047,MATCH(ROW()-1,装备库!$AO$2:$AO$1046,0),COLUMN()),"")</f>
        <v/>
      </c>
      <c r="G1018" t="str">
        <f>IFERROR(INDEX(装备库!$A$2:$Y$1047,MATCH(ROW()-1,装备库!$AO$2:$AO$1046,0),COLUMN()),"")</f>
        <v/>
      </c>
      <c r="H1018" t="str">
        <f>IFERROR(INDEX(装备库!$A$2:$Y$1047,MATCH(ROW()-1,装备库!$AO$2:$AO$1046,0),COLUMN()),"")</f>
        <v/>
      </c>
      <c r="I1018" t="str">
        <f>IFERROR(INDEX(装备库!$A$2:$Y$1047,MATCH(ROW()-1,装备库!$AO$2:$AO$1046,0),COLUMN()),"")</f>
        <v/>
      </c>
      <c r="J1018" t="str">
        <f>IFERROR(INDEX(装备库!$A$2:$Y$1047,MATCH(ROW()-1,装备库!$AO$2:$AO$1046,0),COLUMN()),"")</f>
        <v/>
      </c>
      <c r="K1018" t="str">
        <f>IFERROR(INDEX(装备库!$A$2:$Y$1047,MATCH(ROW()-1,装备库!$AO$2:$AO$1046,0),COLUMN()),"")</f>
        <v/>
      </c>
      <c r="L1018" t="str">
        <f>IFERROR(INDEX(装备库!$A$2:$Y$1047,MATCH(ROW()-1,装备库!$AO$2:$AO$1046,0),COLUMN()),"")</f>
        <v/>
      </c>
      <c r="M1018" t="str">
        <f>IFERROR(INDEX(装备库!$A$2:$Y$1047,MATCH(ROW()-1,装备库!$AO$2:$AO$1046,0),COLUMN()),"")</f>
        <v/>
      </c>
      <c r="N1018" t="str">
        <f>IFERROR(INDEX(装备库!$A$2:$Y$1047,MATCH(ROW()-1,装备库!$AO$2:$AO$1046,0),COLUMN()),"")</f>
        <v/>
      </c>
      <c r="O1018" t="str">
        <f>IFERROR(INDEX(装备库!$A$2:$Y$1047,MATCH(ROW()-1,装备库!$AO$2:$AO$1046,0),COLUMN()),"")</f>
        <v/>
      </c>
      <c r="P1018" t="str">
        <f>IFERROR(INDEX(装备库!$A$2:$Y$1047,MATCH(ROW()-1,装备库!$AO$2:$AO$1046,0),COLUMN()),"")</f>
        <v/>
      </c>
      <c r="Q1018" t="str">
        <f>IFERROR(INDEX(装备库!$A$2:$Y$1047,MATCH(ROW()-1,装备库!$AO$2:$AO$1046,0),COLUMN()),"")</f>
        <v/>
      </c>
      <c r="R1018" t="str">
        <f>IFERROR(INDEX(装备库!$A$2:$Y$1047,MATCH(ROW()-1,装备库!$AO$2:$AO$1046,0),COLUMN()),"")</f>
        <v/>
      </c>
      <c r="S1018" t="str">
        <f>IFERROR(INDEX(装备库!$A$2:$Y$1047,MATCH(ROW()-1,装备库!$AO$2:$AO$1046,0),COLUMN()),"")</f>
        <v/>
      </c>
      <c r="T1018" t="str">
        <f>IFERROR(INDEX(装备库!$A$2:$Y$1047,MATCH(ROW()-1,装备库!$AO$2:$AO$1046,0),COLUMN()),"")</f>
        <v/>
      </c>
      <c r="U1018" t="str">
        <f>IFERROR(INDEX(装备库!$A$2:$Y$1047,MATCH(ROW()-1,装备库!$AO$2:$AO$1046,0),COLUMN()),"")</f>
        <v/>
      </c>
      <c r="V1018" t="str">
        <f>IFERROR(INDEX(装备库!$A$2:$Y$1047,MATCH(ROW()-1,装备库!$AO$2:$AO$1046,0),COLUMN()),"")</f>
        <v/>
      </c>
      <c r="W1018" t="str">
        <f>IFERROR(INDEX(装备库!$A$2:$Y$1047,MATCH(ROW()-1,装备库!$AO$2:$AO$1046,0),COLUMN()),"")</f>
        <v/>
      </c>
      <c r="X1018" t="str">
        <f>IFERROR(INDEX(装备库!$A$2:$Y$1047,MATCH(ROW()-1,装备库!$AO$2:$AO$1046,0),COLUMN()),"")</f>
        <v/>
      </c>
      <c r="Y1018" t="str">
        <f>IFERROR(INDEX(装备库!$A$2:$Y$1047,MATCH(ROW()-1,装备库!$AO$2:$AO$1046,0),COLUMN()),"")</f>
        <v/>
      </c>
    </row>
    <row r="1019" spans="1:25" x14ac:dyDescent="0.35">
      <c r="A1019" t="str">
        <f>IFERROR(INDEX(装备库!$A$2:$Y$1047,MATCH(ROW()-1,装备库!$AO$2:$AO$1046,0),COLUMN()),"")</f>
        <v/>
      </c>
      <c r="B1019" t="str">
        <f>IFERROR(INDEX(装备库!$A$2:$Y$1047,MATCH(ROW()-1,装备库!$AO$2:$AO$1046,0),COLUMN()),"")</f>
        <v/>
      </c>
      <c r="C1019" t="str">
        <f>IFERROR(INDEX(装备库!$A$2:$Y$1047,MATCH(ROW()-1,装备库!$AO$2:$AO$1046,0),COLUMN()),"")</f>
        <v/>
      </c>
      <c r="D1019" t="str">
        <f>IFERROR(INDEX(装备库!$A$2:$Y$1047,MATCH(ROW()-1,装备库!$AO$2:$AO$1046,0),COLUMN()),"")</f>
        <v/>
      </c>
      <c r="E1019" t="str">
        <f>IFERROR(INDEX(装备库!$A$2:$Y$1047,MATCH(ROW()-1,装备库!$AO$2:$AO$1046,0),COLUMN()),"")</f>
        <v/>
      </c>
      <c r="F1019" t="str">
        <f>IFERROR(INDEX(装备库!$A$2:$Y$1047,MATCH(ROW()-1,装备库!$AO$2:$AO$1046,0),COLUMN()),"")</f>
        <v/>
      </c>
      <c r="G1019" t="str">
        <f>IFERROR(INDEX(装备库!$A$2:$Y$1047,MATCH(ROW()-1,装备库!$AO$2:$AO$1046,0),COLUMN()),"")</f>
        <v/>
      </c>
      <c r="H1019" t="str">
        <f>IFERROR(INDEX(装备库!$A$2:$Y$1047,MATCH(ROW()-1,装备库!$AO$2:$AO$1046,0),COLUMN()),"")</f>
        <v/>
      </c>
      <c r="I1019" t="str">
        <f>IFERROR(INDEX(装备库!$A$2:$Y$1047,MATCH(ROW()-1,装备库!$AO$2:$AO$1046,0),COLUMN()),"")</f>
        <v/>
      </c>
      <c r="J1019" t="str">
        <f>IFERROR(INDEX(装备库!$A$2:$Y$1047,MATCH(ROW()-1,装备库!$AO$2:$AO$1046,0),COLUMN()),"")</f>
        <v/>
      </c>
      <c r="K1019" t="str">
        <f>IFERROR(INDEX(装备库!$A$2:$Y$1047,MATCH(ROW()-1,装备库!$AO$2:$AO$1046,0),COLUMN()),"")</f>
        <v/>
      </c>
      <c r="L1019" t="str">
        <f>IFERROR(INDEX(装备库!$A$2:$Y$1047,MATCH(ROW()-1,装备库!$AO$2:$AO$1046,0),COLUMN()),"")</f>
        <v/>
      </c>
      <c r="M1019" t="str">
        <f>IFERROR(INDEX(装备库!$A$2:$Y$1047,MATCH(ROW()-1,装备库!$AO$2:$AO$1046,0),COLUMN()),"")</f>
        <v/>
      </c>
      <c r="N1019" t="str">
        <f>IFERROR(INDEX(装备库!$A$2:$Y$1047,MATCH(ROW()-1,装备库!$AO$2:$AO$1046,0),COLUMN()),"")</f>
        <v/>
      </c>
      <c r="O1019" t="str">
        <f>IFERROR(INDEX(装备库!$A$2:$Y$1047,MATCH(ROW()-1,装备库!$AO$2:$AO$1046,0),COLUMN()),"")</f>
        <v/>
      </c>
      <c r="P1019" t="str">
        <f>IFERROR(INDEX(装备库!$A$2:$Y$1047,MATCH(ROW()-1,装备库!$AO$2:$AO$1046,0),COLUMN()),"")</f>
        <v/>
      </c>
      <c r="Q1019" t="str">
        <f>IFERROR(INDEX(装备库!$A$2:$Y$1047,MATCH(ROW()-1,装备库!$AO$2:$AO$1046,0),COLUMN()),"")</f>
        <v/>
      </c>
      <c r="R1019" t="str">
        <f>IFERROR(INDEX(装备库!$A$2:$Y$1047,MATCH(ROW()-1,装备库!$AO$2:$AO$1046,0),COLUMN()),"")</f>
        <v/>
      </c>
      <c r="S1019" t="str">
        <f>IFERROR(INDEX(装备库!$A$2:$Y$1047,MATCH(ROW()-1,装备库!$AO$2:$AO$1046,0),COLUMN()),"")</f>
        <v/>
      </c>
      <c r="T1019" t="str">
        <f>IFERROR(INDEX(装备库!$A$2:$Y$1047,MATCH(ROW()-1,装备库!$AO$2:$AO$1046,0),COLUMN()),"")</f>
        <v/>
      </c>
      <c r="U1019" t="str">
        <f>IFERROR(INDEX(装备库!$A$2:$Y$1047,MATCH(ROW()-1,装备库!$AO$2:$AO$1046,0),COLUMN()),"")</f>
        <v/>
      </c>
      <c r="V1019" t="str">
        <f>IFERROR(INDEX(装备库!$A$2:$Y$1047,MATCH(ROW()-1,装备库!$AO$2:$AO$1046,0),COLUMN()),"")</f>
        <v/>
      </c>
      <c r="W1019" t="str">
        <f>IFERROR(INDEX(装备库!$A$2:$Y$1047,MATCH(ROW()-1,装备库!$AO$2:$AO$1046,0),COLUMN()),"")</f>
        <v/>
      </c>
      <c r="X1019" t="str">
        <f>IFERROR(INDEX(装备库!$A$2:$Y$1047,MATCH(ROW()-1,装备库!$AO$2:$AO$1046,0),COLUMN()),"")</f>
        <v/>
      </c>
      <c r="Y1019" t="str">
        <f>IFERROR(INDEX(装备库!$A$2:$Y$1047,MATCH(ROW()-1,装备库!$AO$2:$AO$1046,0),COLUMN()),"")</f>
        <v/>
      </c>
    </row>
    <row r="1020" spans="1:25" x14ac:dyDescent="0.35">
      <c r="A1020" t="str">
        <f>IFERROR(INDEX(装备库!$A$2:$Y$1047,MATCH(ROW()-1,装备库!$AO$2:$AO$1046,0),COLUMN()),"")</f>
        <v/>
      </c>
      <c r="B1020" t="str">
        <f>IFERROR(INDEX(装备库!$A$2:$Y$1047,MATCH(ROW()-1,装备库!$AO$2:$AO$1046,0),COLUMN()),"")</f>
        <v/>
      </c>
      <c r="C1020" t="str">
        <f>IFERROR(INDEX(装备库!$A$2:$Y$1047,MATCH(ROW()-1,装备库!$AO$2:$AO$1046,0),COLUMN()),"")</f>
        <v/>
      </c>
      <c r="D1020" t="str">
        <f>IFERROR(INDEX(装备库!$A$2:$Y$1047,MATCH(ROW()-1,装备库!$AO$2:$AO$1046,0),COLUMN()),"")</f>
        <v/>
      </c>
      <c r="E1020" t="str">
        <f>IFERROR(INDEX(装备库!$A$2:$Y$1047,MATCH(ROW()-1,装备库!$AO$2:$AO$1046,0),COLUMN()),"")</f>
        <v/>
      </c>
      <c r="F1020" t="str">
        <f>IFERROR(INDEX(装备库!$A$2:$Y$1047,MATCH(ROW()-1,装备库!$AO$2:$AO$1046,0),COLUMN()),"")</f>
        <v/>
      </c>
      <c r="G1020" t="str">
        <f>IFERROR(INDEX(装备库!$A$2:$Y$1047,MATCH(ROW()-1,装备库!$AO$2:$AO$1046,0),COLUMN()),"")</f>
        <v/>
      </c>
      <c r="H1020" t="str">
        <f>IFERROR(INDEX(装备库!$A$2:$Y$1047,MATCH(ROW()-1,装备库!$AO$2:$AO$1046,0),COLUMN()),"")</f>
        <v/>
      </c>
      <c r="I1020" t="str">
        <f>IFERROR(INDEX(装备库!$A$2:$Y$1047,MATCH(ROW()-1,装备库!$AO$2:$AO$1046,0),COLUMN()),"")</f>
        <v/>
      </c>
      <c r="J1020" t="str">
        <f>IFERROR(INDEX(装备库!$A$2:$Y$1047,MATCH(ROW()-1,装备库!$AO$2:$AO$1046,0),COLUMN()),"")</f>
        <v/>
      </c>
      <c r="K1020" t="str">
        <f>IFERROR(INDEX(装备库!$A$2:$Y$1047,MATCH(ROW()-1,装备库!$AO$2:$AO$1046,0),COLUMN()),"")</f>
        <v/>
      </c>
      <c r="L1020" t="str">
        <f>IFERROR(INDEX(装备库!$A$2:$Y$1047,MATCH(ROW()-1,装备库!$AO$2:$AO$1046,0),COLUMN()),"")</f>
        <v/>
      </c>
      <c r="M1020" t="str">
        <f>IFERROR(INDEX(装备库!$A$2:$Y$1047,MATCH(ROW()-1,装备库!$AO$2:$AO$1046,0),COLUMN()),"")</f>
        <v/>
      </c>
      <c r="N1020" t="str">
        <f>IFERROR(INDEX(装备库!$A$2:$Y$1047,MATCH(ROW()-1,装备库!$AO$2:$AO$1046,0),COLUMN()),"")</f>
        <v/>
      </c>
      <c r="O1020" t="str">
        <f>IFERROR(INDEX(装备库!$A$2:$Y$1047,MATCH(ROW()-1,装备库!$AO$2:$AO$1046,0),COLUMN()),"")</f>
        <v/>
      </c>
      <c r="P1020" t="str">
        <f>IFERROR(INDEX(装备库!$A$2:$Y$1047,MATCH(ROW()-1,装备库!$AO$2:$AO$1046,0),COLUMN()),"")</f>
        <v/>
      </c>
      <c r="Q1020" t="str">
        <f>IFERROR(INDEX(装备库!$A$2:$Y$1047,MATCH(ROW()-1,装备库!$AO$2:$AO$1046,0),COLUMN()),"")</f>
        <v/>
      </c>
      <c r="R1020" t="str">
        <f>IFERROR(INDEX(装备库!$A$2:$Y$1047,MATCH(ROW()-1,装备库!$AO$2:$AO$1046,0),COLUMN()),"")</f>
        <v/>
      </c>
      <c r="S1020" t="str">
        <f>IFERROR(INDEX(装备库!$A$2:$Y$1047,MATCH(ROW()-1,装备库!$AO$2:$AO$1046,0),COLUMN()),"")</f>
        <v/>
      </c>
      <c r="T1020" t="str">
        <f>IFERROR(INDEX(装备库!$A$2:$Y$1047,MATCH(ROW()-1,装备库!$AO$2:$AO$1046,0),COLUMN()),"")</f>
        <v/>
      </c>
      <c r="U1020" t="str">
        <f>IFERROR(INDEX(装备库!$A$2:$Y$1047,MATCH(ROW()-1,装备库!$AO$2:$AO$1046,0),COLUMN()),"")</f>
        <v/>
      </c>
      <c r="V1020" t="str">
        <f>IFERROR(INDEX(装备库!$A$2:$Y$1047,MATCH(ROW()-1,装备库!$AO$2:$AO$1046,0),COLUMN()),"")</f>
        <v/>
      </c>
      <c r="W1020" t="str">
        <f>IFERROR(INDEX(装备库!$A$2:$Y$1047,MATCH(ROW()-1,装备库!$AO$2:$AO$1046,0),COLUMN()),"")</f>
        <v/>
      </c>
      <c r="X1020" t="str">
        <f>IFERROR(INDEX(装备库!$A$2:$Y$1047,MATCH(ROW()-1,装备库!$AO$2:$AO$1046,0),COLUMN()),"")</f>
        <v/>
      </c>
      <c r="Y1020" t="str">
        <f>IFERROR(INDEX(装备库!$A$2:$Y$1047,MATCH(ROW()-1,装备库!$AO$2:$AO$1046,0),COLUMN()),"")</f>
        <v/>
      </c>
    </row>
    <row r="1021" spans="1:25" x14ac:dyDescent="0.35">
      <c r="A1021" t="str">
        <f>IFERROR(INDEX(装备库!$A$2:$Y$1047,MATCH(ROW()-1,装备库!$AO$2:$AO$1046,0),COLUMN()),"")</f>
        <v/>
      </c>
      <c r="B1021" t="str">
        <f>IFERROR(INDEX(装备库!$A$2:$Y$1047,MATCH(ROW()-1,装备库!$AO$2:$AO$1046,0),COLUMN()),"")</f>
        <v/>
      </c>
      <c r="C1021" t="str">
        <f>IFERROR(INDEX(装备库!$A$2:$Y$1047,MATCH(ROW()-1,装备库!$AO$2:$AO$1046,0),COLUMN()),"")</f>
        <v/>
      </c>
      <c r="D1021" t="str">
        <f>IFERROR(INDEX(装备库!$A$2:$Y$1047,MATCH(ROW()-1,装备库!$AO$2:$AO$1046,0),COLUMN()),"")</f>
        <v/>
      </c>
      <c r="E1021" t="str">
        <f>IFERROR(INDEX(装备库!$A$2:$Y$1047,MATCH(ROW()-1,装备库!$AO$2:$AO$1046,0),COLUMN()),"")</f>
        <v/>
      </c>
      <c r="F1021" t="str">
        <f>IFERROR(INDEX(装备库!$A$2:$Y$1047,MATCH(ROW()-1,装备库!$AO$2:$AO$1046,0),COLUMN()),"")</f>
        <v/>
      </c>
      <c r="G1021" t="str">
        <f>IFERROR(INDEX(装备库!$A$2:$Y$1047,MATCH(ROW()-1,装备库!$AO$2:$AO$1046,0),COLUMN()),"")</f>
        <v/>
      </c>
      <c r="H1021" t="str">
        <f>IFERROR(INDEX(装备库!$A$2:$Y$1047,MATCH(ROW()-1,装备库!$AO$2:$AO$1046,0),COLUMN()),"")</f>
        <v/>
      </c>
      <c r="I1021" t="str">
        <f>IFERROR(INDEX(装备库!$A$2:$Y$1047,MATCH(ROW()-1,装备库!$AO$2:$AO$1046,0),COLUMN()),"")</f>
        <v/>
      </c>
      <c r="J1021" t="str">
        <f>IFERROR(INDEX(装备库!$A$2:$Y$1047,MATCH(ROW()-1,装备库!$AO$2:$AO$1046,0),COLUMN()),"")</f>
        <v/>
      </c>
      <c r="K1021" t="str">
        <f>IFERROR(INDEX(装备库!$A$2:$Y$1047,MATCH(ROW()-1,装备库!$AO$2:$AO$1046,0),COLUMN()),"")</f>
        <v/>
      </c>
      <c r="L1021" t="str">
        <f>IFERROR(INDEX(装备库!$A$2:$Y$1047,MATCH(ROW()-1,装备库!$AO$2:$AO$1046,0),COLUMN()),"")</f>
        <v/>
      </c>
      <c r="M1021" t="str">
        <f>IFERROR(INDEX(装备库!$A$2:$Y$1047,MATCH(ROW()-1,装备库!$AO$2:$AO$1046,0),COLUMN()),"")</f>
        <v/>
      </c>
      <c r="N1021" t="str">
        <f>IFERROR(INDEX(装备库!$A$2:$Y$1047,MATCH(ROW()-1,装备库!$AO$2:$AO$1046,0),COLUMN()),"")</f>
        <v/>
      </c>
      <c r="O1021" t="str">
        <f>IFERROR(INDEX(装备库!$A$2:$Y$1047,MATCH(ROW()-1,装备库!$AO$2:$AO$1046,0),COLUMN()),"")</f>
        <v/>
      </c>
      <c r="P1021" t="str">
        <f>IFERROR(INDEX(装备库!$A$2:$Y$1047,MATCH(ROW()-1,装备库!$AO$2:$AO$1046,0),COLUMN()),"")</f>
        <v/>
      </c>
      <c r="Q1021" t="str">
        <f>IFERROR(INDEX(装备库!$A$2:$Y$1047,MATCH(ROW()-1,装备库!$AO$2:$AO$1046,0),COLUMN()),"")</f>
        <v/>
      </c>
      <c r="R1021" t="str">
        <f>IFERROR(INDEX(装备库!$A$2:$Y$1047,MATCH(ROW()-1,装备库!$AO$2:$AO$1046,0),COLUMN()),"")</f>
        <v/>
      </c>
      <c r="S1021" t="str">
        <f>IFERROR(INDEX(装备库!$A$2:$Y$1047,MATCH(ROW()-1,装备库!$AO$2:$AO$1046,0),COLUMN()),"")</f>
        <v/>
      </c>
      <c r="T1021" t="str">
        <f>IFERROR(INDEX(装备库!$A$2:$Y$1047,MATCH(ROW()-1,装备库!$AO$2:$AO$1046,0),COLUMN()),"")</f>
        <v/>
      </c>
      <c r="U1021" t="str">
        <f>IFERROR(INDEX(装备库!$A$2:$Y$1047,MATCH(ROW()-1,装备库!$AO$2:$AO$1046,0),COLUMN()),"")</f>
        <v/>
      </c>
      <c r="V1021" t="str">
        <f>IFERROR(INDEX(装备库!$A$2:$Y$1047,MATCH(ROW()-1,装备库!$AO$2:$AO$1046,0),COLUMN()),"")</f>
        <v/>
      </c>
      <c r="W1021" t="str">
        <f>IFERROR(INDEX(装备库!$A$2:$Y$1047,MATCH(ROW()-1,装备库!$AO$2:$AO$1046,0),COLUMN()),"")</f>
        <v/>
      </c>
      <c r="X1021" t="str">
        <f>IFERROR(INDEX(装备库!$A$2:$Y$1047,MATCH(ROW()-1,装备库!$AO$2:$AO$1046,0),COLUMN()),"")</f>
        <v/>
      </c>
      <c r="Y1021" t="str">
        <f>IFERROR(INDEX(装备库!$A$2:$Y$1047,MATCH(ROW()-1,装备库!$AO$2:$AO$1046,0),COLUMN()),"")</f>
        <v/>
      </c>
    </row>
    <row r="1022" spans="1:25" x14ac:dyDescent="0.35">
      <c r="A1022" t="str">
        <f>IFERROR(INDEX(装备库!$A$2:$Y$1047,MATCH(ROW()-1,装备库!$AO$2:$AO$1046,0),COLUMN()),"")</f>
        <v/>
      </c>
      <c r="B1022" t="str">
        <f>IFERROR(INDEX(装备库!$A$2:$Y$1047,MATCH(ROW()-1,装备库!$AO$2:$AO$1046,0),COLUMN()),"")</f>
        <v/>
      </c>
      <c r="C1022" t="str">
        <f>IFERROR(INDEX(装备库!$A$2:$Y$1047,MATCH(ROW()-1,装备库!$AO$2:$AO$1046,0),COLUMN()),"")</f>
        <v/>
      </c>
      <c r="D1022" t="str">
        <f>IFERROR(INDEX(装备库!$A$2:$Y$1047,MATCH(ROW()-1,装备库!$AO$2:$AO$1046,0),COLUMN()),"")</f>
        <v/>
      </c>
      <c r="E1022" t="str">
        <f>IFERROR(INDEX(装备库!$A$2:$Y$1047,MATCH(ROW()-1,装备库!$AO$2:$AO$1046,0),COLUMN()),"")</f>
        <v/>
      </c>
      <c r="F1022" t="str">
        <f>IFERROR(INDEX(装备库!$A$2:$Y$1047,MATCH(ROW()-1,装备库!$AO$2:$AO$1046,0),COLUMN()),"")</f>
        <v/>
      </c>
      <c r="G1022" t="str">
        <f>IFERROR(INDEX(装备库!$A$2:$Y$1047,MATCH(ROW()-1,装备库!$AO$2:$AO$1046,0),COLUMN()),"")</f>
        <v/>
      </c>
      <c r="H1022" t="str">
        <f>IFERROR(INDEX(装备库!$A$2:$Y$1047,MATCH(ROW()-1,装备库!$AO$2:$AO$1046,0),COLUMN()),"")</f>
        <v/>
      </c>
      <c r="I1022" t="str">
        <f>IFERROR(INDEX(装备库!$A$2:$Y$1047,MATCH(ROW()-1,装备库!$AO$2:$AO$1046,0),COLUMN()),"")</f>
        <v/>
      </c>
      <c r="J1022" t="str">
        <f>IFERROR(INDEX(装备库!$A$2:$Y$1047,MATCH(ROW()-1,装备库!$AO$2:$AO$1046,0),COLUMN()),"")</f>
        <v/>
      </c>
      <c r="K1022" t="str">
        <f>IFERROR(INDEX(装备库!$A$2:$Y$1047,MATCH(ROW()-1,装备库!$AO$2:$AO$1046,0),COLUMN()),"")</f>
        <v/>
      </c>
      <c r="L1022" t="str">
        <f>IFERROR(INDEX(装备库!$A$2:$Y$1047,MATCH(ROW()-1,装备库!$AO$2:$AO$1046,0),COLUMN()),"")</f>
        <v/>
      </c>
      <c r="M1022" t="str">
        <f>IFERROR(INDEX(装备库!$A$2:$Y$1047,MATCH(ROW()-1,装备库!$AO$2:$AO$1046,0),COLUMN()),"")</f>
        <v/>
      </c>
      <c r="N1022" t="str">
        <f>IFERROR(INDEX(装备库!$A$2:$Y$1047,MATCH(ROW()-1,装备库!$AO$2:$AO$1046,0),COLUMN()),"")</f>
        <v/>
      </c>
      <c r="O1022" t="str">
        <f>IFERROR(INDEX(装备库!$A$2:$Y$1047,MATCH(ROW()-1,装备库!$AO$2:$AO$1046,0),COLUMN()),"")</f>
        <v/>
      </c>
      <c r="P1022" t="str">
        <f>IFERROR(INDEX(装备库!$A$2:$Y$1047,MATCH(ROW()-1,装备库!$AO$2:$AO$1046,0),COLUMN()),"")</f>
        <v/>
      </c>
      <c r="Q1022" t="str">
        <f>IFERROR(INDEX(装备库!$A$2:$Y$1047,MATCH(ROW()-1,装备库!$AO$2:$AO$1046,0),COLUMN()),"")</f>
        <v/>
      </c>
      <c r="R1022" t="str">
        <f>IFERROR(INDEX(装备库!$A$2:$Y$1047,MATCH(ROW()-1,装备库!$AO$2:$AO$1046,0),COLUMN()),"")</f>
        <v/>
      </c>
      <c r="S1022" t="str">
        <f>IFERROR(INDEX(装备库!$A$2:$Y$1047,MATCH(ROW()-1,装备库!$AO$2:$AO$1046,0),COLUMN()),"")</f>
        <v/>
      </c>
      <c r="T1022" t="str">
        <f>IFERROR(INDEX(装备库!$A$2:$Y$1047,MATCH(ROW()-1,装备库!$AO$2:$AO$1046,0),COLUMN()),"")</f>
        <v/>
      </c>
      <c r="U1022" t="str">
        <f>IFERROR(INDEX(装备库!$A$2:$Y$1047,MATCH(ROW()-1,装备库!$AO$2:$AO$1046,0),COLUMN()),"")</f>
        <v/>
      </c>
      <c r="V1022" t="str">
        <f>IFERROR(INDEX(装备库!$A$2:$Y$1047,MATCH(ROW()-1,装备库!$AO$2:$AO$1046,0),COLUMN()),"")</f>
        <v/>
      </c>
      <c r="W1022" t="str">
        <f>IFERROR(INDEX(装备库!$A$2:$Y$1047,MATCH(ROW()-1,装备库!$AO$2:$AO$1046,0),COLUMN()),"")</f>
        <v/>
      </c>
      <c r="X1022" t="str">
        <f>IFERROR(INDEX(装备库!$A$2:$Y$1047,MATCH(ROW()-1,装备库!$AO$2:$AO$1046,0),COLUMN()),"")</f>
        <v/>
      </c>
      <c r="Y1022" t="str">
        <f>IFERROR(INDEX(装备库!$A$2:$Y$1047,MATCH(ROW()-1,装备库!$AO$2:$AO$1046,0),COLUMN()),"")</f>
        <v/>
      </c>
    </row>
    <row r="1023" spans="1:25" x14ac:dyDescent="0.35">
      <c r="A1023" t="str">
        <f>IFERROR(INDEX(装备库!$A$2:$Y$1047,MATCH(ROW()-1,装备库!$AO$2:$AO$1046,0),COLUMN()),"")</f>
        <v/>
      </c>
      <c r="B1023" t="str">
        <f>IFERROR(INDEX(装备库!$A$2:$Y$1047,MATCH(ROW()-1,装备库!$AO$2:$AO$1046,0),COLUMN()),"")</f>
        <v/>
      </c>
      <c r="C1023" t="str">
        <f>IFERROR(INDEX(装备库!$A$2:$Y$1047,MATCH(ROW()-1,装备库!$AO$2:$AO$1046,0),COLUMN()),"")</f>
        <v/>
      </c>
      <c r="D1023" t="str">
        <f>IFERROR(INDEX(装备库!$A$2:$Y$1047,MATCH(ROW()-1,装备库!$AO$2:$AO$1046,0),COLUMN()),"")</f>
        <v/>
      </c>
      <c r="E1023" t="str">
        <f>IFERROR(INDEX(装备库!$A$2:$Y$1047,MATCH(ROW()-1,装备库!$AO$2:$AO$1046,0),COLUMN()),"")</f>
        <v/>
      </c>
      <c r="F1023" t="str">
        <f>IFERROR(INDEX(装备库!$A$2:$Y$1047,MATCH(ROW()-1,装备库!$AO$2:$AO$1046,0),COLUMN()),"")</f>
        <v/>
      </c>
      <c r="G1023" t="str">
        <f>IFERROR(INDEX(装备库!$A$2:$Y$1047,MATCH(ROW()-1,装备库!$AO$2:$AO$1046,0),COLUMN()),"")</f>
        <v/>
      </c>
      <c r="H1023" t="str">
        <f>IFERROR(INDEX(装备库!$A$2:$Y$1047,MATCH(ROW()-1,装备库!$AO$2:$AO$1046,0),COLUMN()),"")</f>
        <v/>
      </c>
      <c r="I1023" t="str">
        <f>IFERROR(INDEX(装备库!$A$2:$Y$1047,MATCH(ROW()-1,装备库!$AO$2:$AO$1046,0),COLUMN()),"")</f>
        <v/>
      </c>
      <c r="J1023" t="str">
        <f>IFERROR(INDEX(装备库!$A$2:$Y$1047,MATCH(ROW()-1,装备库!$AO$2:$AO$1046,0),COLUMN()),"")</f>
        <v/>
      </c>
      <c r="K1023" t="str">
        <f>IFERROR(INDEX(装备库!$A$2:$Y$1047,MATCH(ROW()-1,装备库!$AO$2:$AO$1046,0),COLUMN()),"")</f>
        <v/>
      </c>
      <c r="L1023" t="str">
        <f>IFERROR(INDEX(装备库!$A$2:$Y$1047,MATCH(ROW()-1,装备库!$AO$2:$AO$1046,0),COLUMN()),"")</f>
        <v/>
      </c>
      <c r="M1023" t="str">
        <f>IFERROR(INDEX(装备库!$A$2:$Y$1047,MATCH(ROW()-1,装备库!$AO$2:$AO$1046,0),COLUMN()),"")</f>
        <v/>
      </c>
      <c r="N1023" t="str">
        <f>IFERROR(INDEX(装备库!$A$2:$Y$1047,MATCH(ROW()-1,装备库!$AO$2:$AO$1046,0),COLUMN()),"")</f>
        <v/>
      </c>
      <c r="O1023" t="str">
        <f>IFERROR(INDEX(装备库!$A$2:$Y$1047,MATCH(ROW()-1,装备库!$AO$2:$AO$1046,0),COLUMN()),"")</f>
        <v/>
      </c>
      <c r="P1023" t="str">
        <f>IFERROR(INDEX(装备库!$A$2:$Y$1047,MATCH(ROW()-1,装备库!$AO$2:$AO$1046,0),COLUMN()),"")</f>
        <v/>
      </c>
      <c r="Q1023" t="str">
        <f>IFERROR(INDEX(装备库!$A$2:$Y$1047,MATCH(ROW()-1,装备库!$AO$2:$AO$1046,0),COLUMN()),"")</f>
        <v/>
      </c>
      <c r="R1023" t="str">
        <f>IFERROR(INDEX(装备库!$A$2:$Y$1047,MATCH(ROW()-1,装备库!$AO$2:$AO$1046,0),COLUMN()),"")</f>
        <v/>
      </c>
      <c r="S1023" t="str">
        <f>IFERROR(INDEX(装备库!$A$2:$Y$1047,MATCH(ROW()-1,装备库!$AO$2:$AO$1046,0),COLUMN()),"")</f>
        <v/>
      </c>
      <c r="T1023" t="str">
        <f>IFERROR(INDEX(装备库!$A$2:$Y$1047,MATCH(ROW()-1,装备库!$AO$2:$AO$1046,0),COLUMN()),"")</f>
        <v/>
      </c>
      <c r="U1023" t="str">
        <f>IFERROR(INDEX(装备库!$A$2:$Y$1047,MATCH(ROW()-1,装备库!$AO$2:$AO$1046,0),COLUMN()),"")</f>
        <v/>
      </c>
      <c r="V1023" t="str">
        <f>IFERROR(INDEX(装备库!$A$2:$Y$1047,MATCH(ROW()-1,装备库!$AO$2:$AO$1046,0),COLUMN()),"")</f>
        <v/>
      </c>
      <c r="W1023" t="str">
        <f>IFERROR(INDEX(装备库!$A$2:$Y$1047,MATCH(ROW()-1,装备库!$AO$2:$AO$1046,0),COLUMN()),"")</f>
        <v/>
      </c>
      <c r="X1023" t="str">
        <f>IFERROR(INDEX(装备库!$A$2:$Y$1047,MATCH(ROW()-1,装备库!$AO$2:$AO$1046,0),COLUMN()),"")</f>
        <v/>
      </c>
      <c r="Y1023" t="str">
        <f>IFERROR(INDEX(装备库!$A$2:$Y$1047,MATCH(ROW()-1,装备库!$AO$2:$AO$1046,0),COLUMN()),"")</f>
        <v/>
      </c>
    </row>
    <row r="1024" spans="1:25" x14ac:dyDescent="0.35">
      <c r="A1024" t="str">
        <f>IFERROR(INDEX(装备库!$A$2:$Y$1047,MATCH(ROW()-1,装备库!$AO$2:$AO$1046,0),COLUMN()),"")</f>
        <v/>
      </c>
      <c r="B1024" t="str">
        <f>IFERROR(INDEX(装备库!$A$2:$Y$1047,MATCH(ROW()-1,装备库!$AO$2:$AO$1046,0),COLUMN()),"")</f>
        <v/>
      </c>
      <c r="C1024" t="str">
        <f>IFERROR(INDEX(装备库!$A$2:$Y$1047,MATCH(ROW()-1,装备库!$AO$2:$AO$1046,0),COLUMN()),"")</f>
        <v/>
      </c>
      <c r="D1024" t="str">
        <f>IFERROR(INDEX(装备库!$A$2:$Y$1047,MATCH(ROW()-1,装备库!$AO$2:$AO$1046,0),COLUMN()),"")</f>
        <v/>
      </c>
      <c r="E1024" t="str">
        <f>IFERROR(INDEX(装备库!$A$2:$Y$1047,MATCH(ROW()-1,装备库!$AO$2:$AO$1046,0),COLUMN()),"")</f>
        <v/>
      </c>
      <c r="F1024" t="str">
        <f>IFERROR(INDEX(装备库!$A$2:$Y$1047,MATCH(ROW()-1,装备库!$AO$2:$AO$1046,0),COLUMN()),"")</f>
        <v/>
      </c>
      <c r="G1024" t="str">
        <f>IFERROR(INDEX(装备库!$A$2:$Y$1047,MATCH(ROW()-1,装备库!$AO$2:$AO$1046,0),COLUMN()),"")</f>
        <v/>
      </c>
      <c r="H1024" t="str">
        <f>IFERROR(INDEX(装备库!$A$2:$Y$1047,MATCH(ROW()-1,装备库!$AO$2:$AO$1046,0),COLUMN()),"")</f>
        <v/>
      </c>
      <c r="I1024" t="str">
        <f>IFERROR(INDEX(装备库!$A$2:$Y$1047,MATCH(ROW()-1,装备库!$AO$2:$AO$1046,0),COLUMN()),"")</f>
        <v/>
      </c>
      <c r="J1024" t="str">
        <f>IFERROR(INDEX(装备库!$A$2:$Y$1047,MATCH(ROW()-1,装备库!$AO$2:$AO$1046,0),COLUMN()),"")</f>
        <v/>
      </c>
      <c r="K1024" t="str">
        <f>IFERROR(INDEX(装备库!$A$2:$Y$1047,MATCH(ROW()-1,装备库!$AO$2:$AO$1046,0),COLUMN()),"")</f>
        <v/>
      </c>
      <c r="L1024" t="str">
        <f>IFERROR(INDEX(装备库!$A$2:$Y$1047,MATCH(ROW()-1,装备库!$AO$2:$AO$1046,0),COLUMN()),"")</f>
        <v/>
      </c>
      <c r="M1024" t="str">
        <f>IFERROR(INDEX(装备库!$A$2:$Y$1047,MATCH(ROW()-1,装备库!$AO$2:$AO$1046,0),COLUMN()),"")</f>
        <v/>
      </c>
      <c r="N1024" t="str">
        <f>IFERROR(INDEX(装备库!$A$2:$Y$1047,MATCH(ROW()-1,装备库!$AO$2:$AO$1046,0),COLUMN()),"")</f>
        <v/>
      </c>
      <c r="O1024" t="str">
        <f>IFERROR(INDEX(装备库!$A$2:$Y$1047,MATCH(ROW()-1,装备库!$AO$2:$AO$1046,0),COLUMN()),"")</f>
        <v/>
      </c>
      <c r="P1024" t="str">
        <f>IFERROR(INDEX(装备库!$A$2:$Y$1047,MATCH(ROW()-1,装备库!$AO$2:$AO$1046,0),COLUMN()),"")</f>
        <v/>
      </c>
      <c r="Q1024" t="str">
        <f>IFERROR(INDEX(装备库!$A$2:$Y$1047,MATCH(ROW()-1,装备库!$AO$2:$AO$1046,0),COLUMN()),"")</f>
        <v/>
      </c>
      <c r="R1024" t="str">
        <f>IFERROR(INDEX(装备库!$A$2:$Y$1047,MATCH(ROW()-1,装备库!$AO$2:$AO$1046,0),COLUMN()),"")</f>
        <v/>
      </c>
      <c r="S1024" t="str">
        <f>IFERROR(INDEX(装备库!$A$2:$Y$1047,MATCH(ROW()-1,装备库!$AO$2:$AO$1046,0),COLUMN()),"")</f>
        <v/>
      </c>
      <c r="T1024" t="str">
        <f>IFERROR(INDEX(装备库!$A$2:$Y$1047,MATCH(ROW()-1,装备库!$AO$2:$AO$1046,0),COLUMN()),"")</f>
        <v/>
      </c>
      <c r="U1024" t="str">
        <f>IFERROR(INDEX(装备库!$A$2:$Y$1047,MATCH(ROW()-1,装备库!$AO$2:$AO$1046,0),COLUMN()),"")</f>
        <v/>
      </c>
      <c r="V1024" t="str">
        <f>IFERROR(INDEX(装备库!$A$2:$Y$1047,MATCH(ROW()-1,装备库!$AO$2:$AO$1046,0),COLUMN()),"")</f>
        <v/>
      </c>
      <c r="W1024" t="str">
        <f>IFERROR(INDEX(装备库!$A$2:$Y$1047,MATCH(ROW()-1,装备库!$AO$2:$AO$1046,0),COLUMN()),"")</f>
        <v/>
      </c>
      <c r="X1024" t="str">
        <f>IFERROR(INDEX(装备库!$A$2:$Y$1047,MATCH(ROW()-1,装备库!$AO$2:$AO$1046,0),COLUMN()),"")</f>
        <v/>
      </c>
      <c r="Y1024" t="str">
        <f>IFERROR(INDEX(装备库!$A$2:$Y$1047,MATCH(ROW()-1,装备库!$AO$2:$AO$1046,0),COLUMN()),"")</f>
        <v/>
      </c>
    </row>
    <row r="1025" spans="1:25" x14ac:dyDescent="0.35">
      <c r="A1025" t="str">
        <f>IFERROR(INDEX(装备库!$A$2:$Y$1047,MATCH(ROW()-1,装备库!$AO$2:$AO$1046,0),COLUMN()),"")</f>
        <v/>
      </c>
      <c r="B1025" t="str">
        <f>IFERROR(INDEX(装备库!$A$2:$Y$1047,MATCH(ROW()-1,装备库!$AO$2:$AO$1046,0),COLUMN()),"")</f>
        <v/>
      </c>
      <c r="C1025" t="str">
        <f>IFERROR(INDEX(装备库!$A$2:$Y$1047,MATCH(ROW()-1,装备库!$AO$2:$AO$1046,0),COLUMN()),"")</f>
        <v/>
      </c>
      <c r="D1025" t="str">
        <f>IFERROR(INDEX(装备库!$A$2:$Y$1047,MATCH(ROW()-1,装备库!$AO$2:$AO$1046,0),COLUMN()),"")</f>
        <v/>
      </c>
      <c r="E1025" t="str">
        <f>IFERROR(INDEX(装备库!$A$2:$Y$1047,MATCH(ROW()-1,装备库!$AO$2:$AO$1046,0),COLUMN()),"")</f>
        <v/>
      </c>
      <c r="F1025" t="str">
        <f>IFERROR(INDEX(装备库!$A$2:$Y$1047,MATCH(ROW()-1,装备库!$AO$2:$AO$1046,0),COLUMN()),"")</f>
        <v/>
      </c>
      <c r="G1025" t="str">
        <f>IFERROR(INDEX(装备库!$A$2:$Y$1047,MATCH(ROW()-1,装备库!$AO$2:$AO$1046,0),COLUMN()),"")</f>
        <v/>
      </c>
      <c r="H1025" t="str">
        <f>IFERROR(INDEX(装备库!$A$2:$Y$1047,MATCH(ROW()-1,装备库!$AO$2:$AO$1046,0),COLUMN()),"")</f>
        <v/>
      </c>
      <c r="I1025" t="str">
        <f>IFERROR(INDEX(装备库!$A$2:$Y$1047,MATCH(ROW()-1,装备库!$AO$2:$AO$1046,0),COLUMN()),"")</f>
        <v/>
      </c>
      <c r="J1025" t="str">
        <f>IFERROR(INDEX(装备库!$A$2:$Y$1047,MATCH(ROW()-1,装备库!$AO$2:$AO$1046,0),COLUMN()),"")</f>
        <v/>
      </c>
      <c r="K1025" t="str">
        <f>IFERROR(INDEX(装备库!$A$2:$Y$1047,MATCH(ROW()-1,装备库!$AO$2:$AO$1046,0),COLUMN()),"")</f>
        <v/>
      </c>
      <c r="L1025" t="str">
        <f>IFERROR(INDEX(装备库!$A$2:$Y$1047,MATCH(ROW()-1,装备库!$AO$2:$AO$1046,0),COLUMN()),"")</f>
        <v/>
      </c>
      <c r="M1025" t="str">
        <f>IFERROR(INDEX(装备库!$A$2:$Y$1047,MATCH(ROW()-1,装备库!$AO$2:$AO$1046,0),COLUMN()),"")</f>
        <v/>
      </c>
      <c r="N1025" t="str">
        <f>IFERROR(INDEX(装备库!$A$2:$Y$1047,MATCH(ROW()-1,装备库!$AO$2:$AO$1046,0),COLUMN()),"")</f>
        <v/>
      </c>
      <c r="O1025" t="str">
        <f>IFERROR(INDEX(装备库!$A$2:$Y$1047,MATCH(ROW()-1,装备库!$AO$2:$AO$1046,0),COLUMN()),"")</f>
        <v/>
      </c>
      <c r="P1025" t="str">
        <f>IFERROR(INDEX(装备库!$A$2:$Y$1047,MATCH(ROW()-1,装备库!$AO$2:$AO$1046,0),COLUMN()),"")</f>
        <v/>
      </c>
      <c r="Q1025" t="str">
        <f>IFERROR(INDEX(装备库!$A$2:$Y$1047,MATCH(ROW()-1,装备库!$AO$2:$AO$1046,0),COLUMN()),"")</f>
        <v/>
      </c>
      <c r="R1025" t="str">
        <f>IFERROR(INDEX(装备库!$A$2:$Y$1047,MATCH(ROW()-1,装备库!$AO$2:$AO$1046,0),COLUMN()),"")</f>
        <v/>
      </c>
      <c r="S1025" t="str">
        <f>IFERROR(INDEX(装备库!$A$2:$Y$1047,MATCH(ROW()-1,装备库!$AO$2:$AO$1046,0),COLUMN()),"")</f>
        <v/>
      </c>
      <c r="T1025" t="str">
        <f>IFERROR(INDEX(装备库!$A$2:$Y$1047,MATCH(ROW()-1,装备库!$AO$2:$AO$1046,0),COLUMN()),"")</f>
        <v/>
      </c>
      <c r="U1025" t="str">
        <f>IFERROR(INDEX(装备库!$A$2:$Y$1047,MATCH(ROW()-1,装备库!$AO$2:$AO$1046,0),COLUMN()),"")</f>
        <v/>
      </c>
      <c r="V1025" t="str">
        <f>IFERROR(INDEX(装备库!$A$2:$Y$1047,MATCH(ROW()-1,装备库!$AO$2:$AO$1046,0),COLUMN()),"")</f>
        <v/>
      </c>
      <c r="W1025" t="str">
        <f>IFERROR(INDEX(装备库!$A$2:$Y$1047,MATCH(ROW()-1,装备库!$AO$2:$AO$1046,0),COLUMN()),"")</f>
        <v/>
      </c>
      <c r="X1025" t="str">
        <f>IFERROR(INDEX(装备库!$A$2:$Y$1047,MATCH(ROW()-1,装备库!$AO$2:$AO$1046,0),COLUMN()),"")</f>
        <v/>
      </c>
      <c r="Y1025" t="str">
        <f>IFERROR(INDEX(装备库!$A$2:$Y$1047,MATCH(ROW()-1,装备库!$AO$2:$AO$1046,0),COLUMN()),"")</f>
        <v/>
      </c>
    </row>
    <row r="1026" spans="1:25" x14ac:dyDescent="0.35">
      <c r="A1026" t="str">
        <f>IFERROR(INDEX(装备库!$A$2:$Y$1047,MATCH(ROW()-1,装备库!$AO$2:$AO$1046,0),COLUMN()),"")</f>
        <v/>
      </c>
      <c r="B1026" t="str">
        <f>IFERROR(INDEX(装备库!$A$2:$Y$1047,MATCH(ROW()-1,装备库!$AO$2:$AO$1046,0),COLUMN()),"")</f>
        <v/>
      </c>
      <c r="C1026" t="str">
        <f>IFERROR(INDEX(装备库!$A$2:$Y$1047,MATCH(ROW()-1,装备库!$AO$2:$AO$1046,0),COLUMN()),"")</f>
        <v/>
      </c>
      <c r="D1026" t="str">
        <f>IFERROR(INDEX(装备库!$A$2:$Y$1047,MATCH(ROW()-1,装备库!$AO$2:$AO$1046,0),COLUMN()),"")</f>
        <v/>
      </c>
      <c r="E1026" t="str">
        <f>IFERROR(INDEX(装备库!$A$2:$Y$1047,MATCH(ROW()-1,装备库!$AO$2:$AO$1046,0),COLUMN()),"")</f>
        <v/>
      </c>
      <c r="F1026" t="str">
        <f>IFERROR(INDEX(装备库!$A$2:$Y$1047,MATCH(ROW()-1,装备库!$AO$2:$AO$1046,0),COLUMN()),"")</f>
        <v/>
      </c>
      <c r="G1026" t="str">
        <f>IFERROR(INDEX(装备库!$A$2:$Y$1047,MATCH(ROW()-1,装备库!$AO$2:$AO$1046,0),COLUMN()),"")</f>
        <v/>
      </c>
      <c r="H1026" t="str">
        <f>IFERROR(INDEX(装备库!$A$2:$Y$1047,MATCH(ROW()-1,装备库!$AO$2:$AO$1046,0),COLUMN()),"")</f>
        <v/>
      </c>
      <c r="I1026" t="str">
        <f>IFERROR(INDEX(装备库!$A$2:$Y$1047,MATCH(ROW()-1,装备库!$AO$2:$AO$1046,0),COLUMN()),"")</f>
        <v/>
      </c>
      <c r="J1026" t="str">
        <f>IFERROR(INDEX(装备库!$A$2:$Y$1047,MATCH(ROW()-1,装备库!$AO$2:$AO$1046,0),COLUMN()),"")</f>
        <v/>
      </c>
      <c r="K1026" t="str">
        <f>IFERROR(INDEX(装备库!$A$2:$Y$1047,MATCH(ROW()-1,装备库!$AO$2:$AO$1046,0),COLUMN()),"")</f>
        <v/>
      </c>
      <c r="L1026" t="str">
        <f>IFERROR(INDEX(装备库!$A$2:$Y$1047,MATCH(ROW()-1,装备库!$AO$2:$AO$1046,0),COLUMN()),"")</f>
        <v/>
      </c>
      <c r="M1026" t="str">
        <f>IFERROR(INDEX(装备库!$A$2:$Y$1047,MATCH(ROW()-1,装备库!$AO$2:$AO$1046,0),COLUMN()),"")</f>
        <v/>
      </c>
      <c r="N1026" t="str">
        <f>IFERROR(INDEX(装备库!$A$2:$Y$1047,MATCH(ROW()-1,装备库!$AO$2:$AO$1046,0),COLUMN()),"")</f>
        <v/>
      </c>
      <c r="O1026" t="str">
        <f>IFERROR(INDEX(装备库!$A$2:$Y$1047,MATCH(ROW()-1,装备库!$AO$2:$AO$1046,0),COLUMN()),"")</f>
        <v/>
      </c>
      <c r="P1026" t="str">
        <f>IFERROR(INDEX(装备库!$A$2:$Y$1047,MATCH(ROW()-1,装备库!$AO$2:$AO$1046,0),COLUMN()),"")</f>
        <v/>
      </c>
      <c r="Q1026" t="str">
        <f>IFERROR(INDEX(装备库!$A$2:$Y$1047,MATCH(ROW()-1,装备库!$AO$2:$AO$1046,0),COLUMN()),"")</f>
        <v/>
      </c>
      <c r="R1026" t="str">
        <f>IFERROR(INDEX(装备库!$A$2:$Y$1047,MATCH(ROW()-1,装备库!$AO$2:$AO$1046,0),COLUMN()),"")</f>
        <v/>
      </c>
      <c r="S1026" t="str">
        <f>IFERROR(INDEX(装备库!$A$2:$Y$1047,MATCH(ROW()-1,装备库!$AO$2:$AO$1046,0),COLUMN()),"")</f>
        <v/>
      </c>
      <c r="T1026" t="str">
        <f>IFERROR(INDEX(装备库!$A$2:$Y$1047,MATCH(ROW()-1,装备库!$AO$2:$AO$1046,0),COLUMN()),"")</f>
        <v/>
      </c>
      <c r="U1026" t="str">
        <f>IFERROR(INDEX(装备库!$A$2:$Y$1047,MATCH(ROW()-1,装备库!$AO$2:$AO$1046,0),COLUMN()),"")</f>
        <v/>
      </c>
      <c r="V1026" t="str">
        <f>IFERROR(INDEX(装备库!$A$2:$Y$1047,MATCH(ROW()-1,装备库!$AO$2:$AO$1046,0),COLUMN()),"")</f>
        <v/>
      </c>
      <c r="W1026" t="str">
        <f>IFERROR(INDEX(装备库!$A$2:$Y$1047,MATCH(ROW()-1,装备库!$AO$2:$AO$1046,0),COLUMN()),"")</f>
        <v/>
      </c>
      <c r="X1026" t="str">
        <f>IFERROR(INDEX(装备库!$A$2:$Y$1047,MATCH(ROW()-1,装备库!$AO$2:$AO$1046,0),COLUMN()),"")</f>
        <v/>
      </c>
      <c r="Y1026" t="str">
        <f>IFERROR(INDEX(装备库!$A$2:$Y$1047,MATCH(ROW()-1,装备库!$AO$2:$AO$1046,0),COLUMN()),"")</f>
        <v/>
      </c>
    </row>
    <row r="1027" spans="1:25" x14ac:dyDescent="0.35">
      <c r="A1027" t="str">
        <f>IFERROR(INDEX(装备库!$A$2:$Y$1047,MATCH(ROW()-1,装备库!$AO$2:$AO$1046,0),COLUMN()),"")</f>
        <v/>
      </c>
      <c r="B1027" t="str">
        <f>IFERROR(INDEX(装备库!$A$2:$Y$1047,MATCH(ROW()-1,装备库!$AO$2:$AO$1046,0),COLUMN()),"")</f>
        <v/>
      </c>
      <c r="C1027" t="str">
        <f>IFERROR(INDEX(装备库!$A$2:$Y$1047,MATCH(ROW()-1,装备库!$AO$2:$AO$1046,0),COLUMN()),"")</f>
        <v/>
      </c>
      <c r="D1027" t="str">
        <f>IFERROR(INDEX(装备库!$A$2:$Y$1047,MATCH(ROW()-1,装备库!$AO$2:$AO$1046,0),COLUMN()),"")</f>
        <v/>
      </c>
      <c r="E1027" t="str">
        <f>IFERROR(INDEX(装备库!$A$2:$Y$1047,MATCH(ROW()-1,装备库!$AO$2:$AO$1046,0),COLUMN()),"")</f>
        <v/>
      </c>
      <c r="F1027" t="str">
        <f>IFERROR(INDEX(装备库!$A$2:$Y$1047,MATCH(ROW()-1,装备库!$AO$2:$AO$1046,0),COLUMN()),"")</f>
        <v/>
      </c>
      <c r="G1027" t="str">
        <f>IFERROR(INDEX(装备库!$A$2:$Y$1047,MATCH(ROW()-1,装备库!$AO$2:$AO$1046,0),COLUMN()),"")</f>
        <v/>
      </c>
      <c r="H1027" t="str">
        <f>IFERROR(INDEX(装备库!$A$2:$Y$1047,MATCH(ROW()-1,装备库!$AO$2:$AO$1046,0),COLUMN()),"")</f>
        <v/>
      </c>
      <c r="I1027" t="str">
        <f>IFERROR(INDEX(装备库!$A$2:$Y$1047,MATCH(ROW()-1,装备库!$AO$2:$AO$1046,0),COLUMN()),"")</f>
        <v/>
      </c>
      <c r="J1027" t="str">
        <f>IFERROR(INDEX(装备库!$A$2:$Y$1047,MATCH(ROW()-1,装备库!$AO$2:$AO$1046,0),COLUMN()),"")</f>
        <v/>
      </c>
      <c r="K1027" t="str">
        <f>IFERROR(INDEX(装备库!$A$2:$Y$1047,MATCH(ROW()-1,装备库!$AO$2:$AO$1046,0),COLUMN()),"")</f>
        <v/>
      </c>
      <c r="L1027" t="str">
        <f>IFERROR(INDEX(装备库!$A$2:$Y$1047,MATCH(ROW()-1,装备库!$AO$2:$AO$1046,0),COLUMN()),"")</f>
        <v/>
      </c>
      <c r="M1027" t="str">
        <f>IFERROR(INDEX(装备库!$A$2:$Y$1047,MATCH(ROW()-1,装备库!$AO$2:$AO$1046,0),COLUMN()),"")</f>
        <v/>
      </c>
      <c r="N1027" t="str">
        <f>IFERROR(INDEX(装备库!$A$2:$Y$1047,MATCH(ROW()-1,装备库!$AO$2:$AO$1046,0),COLUMN()),"")</f>
        <v/>
      </c>
      <c r="O1027" t="str">
        <f>IFERROR(INDEX(装备库!$A$2:$Y$1047,MATCH(ROW()-1,装备库!$AO$2:$AO$1046,0),COLUMN()),"")</f>
        <v/>
      </c>
      <c r="P1027" t="str">
        <f>IFERROR(INDEX(装备库!$A$2:$Y$1047,MATCH(ROW()-1,装备库!$AO$2:$AO$1046,0),COLUMN()),"")</f>
        <v/>
      </c>
      <c r="Q1027" t="str">
        <f>IFERROR(INDEX(装备库!$A$2:$Y$1047,MATCH(ROW()-1,装备库!$AO$2:$AO$1046,0),COLUMN()),"")</f>
        <v/>
      </c>
      <c r="R1027" t="str">
        <f>IFERROR(INDEX(装备库!$A$2:$Y$1047,MATCH(ROW()-1,装备库!$AO$2:$AO$1046,0),COLUMN()),"")</f>
        <v/>
      </c>
      <c r="S1027" t="str">
        <f>IFERROR(INDEX(装备库!$A$2:$Y$1047,MATCH(ROW()-1,装备库!$AO$2:$AO$1046,0),COLUMN()),"")</f>
        <v/>
      </c>
      <c r="T1027" t="str">
        <f>IFERROR(INDEX(装备库!$A$2:$Y$1047,MATCH(ROW()-1,装备库!$AO$2:$AO$1046,0),COLUMN()),"")</f>
        <v/>
      </c>
      <c r="U1027" t="str">
        <f>IFERROR(INDEX(装备库!$A$2:$Y$1047,MATCH(ROW()-1,装备库!$AO$2:$AO$1046,0),COLUMN()),"")</f>
        <v/>
      </c>
      <c r="V1027" t="str">
        <f>IFERROR(INDEX(装备库!$A$2:$Y$1047,MATCH(ROW()-1,装备库!$AO$2:$AO$1046,0),COLUMN()),"")</f>
        <v/>
      </c>
      <c r="W1027" t="str">
        <f>IFERROR(INDEX(装备库!$A$2:$Y$1047,MATCH(ROW()-1,装备库!$AO$2:$AO$1046,0),COLUMN()),"")</f>
        <v/>
      </c>
      <c r="X1027" t="str">
        <f>IFERROR(INDEX(装备库!$A$2:$Y$1047,MATCH(ROW()-1,装备库!$AO$2:$AO$1046,0),COLUMN()),"")</f>
        <v/>
      </c>
      <c r="Y1027" t="str">
        <f>IFERROR(INDEX(装备库!$A$2:$Y$1047,MATCH(ROW()-1,装备库!$AO$2:$AO$1046,0),COLUMN()),"")</f>
        <v/>
      </c>
    </row>
    <row r="1028" spans="1:25" x14ac:dyDescent="0.35">
      <c r="A1028" t="str">
        <f>IFERROR(INDEX(装备库!$A$2:$Y$1047,MATCH(ROW()-1,装备库!$AO$2:$AO$1046,0),COLUMN()),"")</f>
        <v/>
      </c>
      <c r="B1028" t="str">
        <f>IFERROR(INDEX(装备库!$A$2:$Y$1047,MATCH(ROW()-1,装备库!$AO$2:$AO$1046,0),COLUMN()),"")</f>
        <v/>
      </c>
      <c r="C1028" t="str">
        <f>IFERROR(INDEX(装备库!$A$2:$Y$1047,MATCH(ROW()-1,装备库!$AO$2:$AO$1046,0),COLUMN()),"")</f>
        <v/>
      </c>
      <c r="D1028" t="str">
        <f>IFERROR(INDEX(装备库!$A$2:$Y$1047,MATCH(ROW()-1,装备库!$AO$2:$AO$1046,0),COLUMN()),"")</f>
        <v/>
      </c>
      <c r="E1028" t="str">
        <f>IFERROR(INDEX(装备库!$A$2:$Y$1047,MATCH(ROW()-1,装备库!$AO$2:$AO$1046,0),COLUMN()),"")</f>
        <v/>
      </c>
      <c r="F1028" t="str">
        <f>IFERROR(INDEX(装备库!$A$2:$Y$1047,MATCH(ROW()-1,装备库!$AO$2:$AO$1046,0),COLUMN()),"")</f>
        <v/>
      </c>
      <c r="G1028" t="str">
        <f>IFERROR(INDEX(装备库!$A$2:$Y$1047,MATCH(ROW()-1,装备库!$AO$2:$AO$1046,0),COLUMN()),"")</f>
        <v/>
      </c>
      <c r="H1028" t="str">
        <f>IFERROR(INDEX(装备库!$A$2:$Y$1047,MATCH(ROW()-1,装备库!$AO$2:$AO$1046,0),COLUMN()),"")</f>
        <v/>
      </c>
      <c r="I1028" t="str">
        <f>IFERROR(INDEX(装备库!$A$2:$Y$1047,MATCH(ROW()-1,装备库!$AO$2:$AO$1046,0),COLUMN()),"")</f>
        <v/>
      </c>
      <c r="J1028" t="str">
        <f>IFERROR(INDEX(装备库!$A$2:$Y$1047,MATCH(ROW()-1,装备库!$AO$2:$AO$1046,0),COLUMN()),"")</f>
        <v/>
      </c>
      <c r="K1028" t="str">
        <f>IFERROR(INDEX(装备库!$A$2:$Y$1047,MATCH(ROW()-1,装备库!$AO$2:$AO$1046,0),COLUMN()),"")</f>
        <v/>
      </c>
      <c r="L1028" t="str">
        <f>IFERROR(INDEX(装备库!$A$2:$Y$1047,MATCH(ROW()-1,装备库!$AO$2:$AO$1046,0),COLUMN()),"")</f>
        <v/>
      </c>
      <c r="M1028" t="str">
        <f>IFERROR(INDEX(装备库!$A$2:$Y$1047,MATCH(ROW()-1,装备库!$AO$2:$AO$1046,0),COLUMN()),"")</f>
        <v/>
      </c>
      <c r="N1028" t="str">
        <f>IFERROR(INDEX(装备库!$A$2:$Y$1047,MATCH(ROW()-1,装备库!$AO$2:$AO$1046,0),COLUMN()),"")</f>
        <v/>
      </c>
      <c r="O1028" t="str">
        <f>IFERROR(INDEX(装备库!$A$2:$Y$1047,MATCH(ROW()-1,装备库!$AO$2:$AO$1046,0),COLUMN()),"")</f>
        <v/>
      </c>
      <c r="P1028" t="str">
        <f>IFERROR(INDEX(装备库!$A$2:$Y$1047,MATCH(ROW()-1,装备库!$AO$2:$AO$1046,0),COLUMN()),"")</f>
        <v/>
      </c>
      <c r="Q1028" t="str">
        <f>IFERROR(INDEX(装备库!$A$2:$Y$1047,MATCH(ROW()-1,装备库!$AO$2:$AO$1046,0),COLUMN()),"")</f>
        <v/>
      </c>
      <c r="R1028" t="str">
        <f>IFERROR(INDEX(装备库!$A$2:$Y$1047,MATCH(ROW()-1,装备库!$AO$2:$AO$1046,0),COLUMN()),"")</f>
        <v/>
      </c>
      <c r="S1028" t="str">
        <f>IFERROR(INDEX(装备库!$A$2:$Y$1047,MATCH(ROW()-1,装备库!$AO$2:$AO$1046,0),COLUMN()),"")</f>
        <v/>
      </c>
      <c r="T1028" t="str">
        <f>IFERROR(INDEX(装备库!$A$2:$Y$1047,MATCH(ROW()-1,装备库!$AO$2:$AO$1046,0),COLUMN()),"")</f>
        <v/>
      </c>
      <c r="U1028" t="str">
        <f>IFERROR(INDEX(装备库!$A$2:$Y$1047,MATCH(ROW()-1,装备库!$AO$2:$AO$1046,0),COLUMN()),"")</f>
        <v/>
      </c>
      <c r="V1028" t="str">
        <f>IFERROR(INDEX(装备库!$A$2:$Y$1047,MATCH(ROW()-1,装备库!$AO$2:$AO$1046,0),COLUMN()),"")</f>
        <v/>
      </c>
      <c r="W1028" t="str">
        <f>IFERROR(INDEX(装备库!$A$2:$Y$1047,MATCH(ROW()-1,装备库!$AO$2:$AO$1046,0),COLUMN()),"")</f>
        <v/>
      </c>
      <c r="X1028" t="str">
        <f>IFERROR(INDEX(装备库!$A$2:$Y$1047,MATCH(ROW()-1,装备库!$AO$2:$AO$1046,0),COLUMN()),"")</f>
        <v/>
      </c>
      <c r="Y1028" t="str">
        <f>IFERROR(INDEX(装备库!$A$2:$Y$1047,MATCH(ROW()-1,装备库!$AO$2:$AO$1046,0),COLUMN()),"")</f>
        <v/>
      </c>
    </row>
    <row r="1029" spans="1:25" x14ac:dyDescent="0.35">
      <c r="A1029" t="str">
        <f>IFERROR(INDEX(装备库!$A$2:$Y$1047,MATCH(ROW()-1,装备库!$AO$2:$AO$1046,0),COLUMN()),"")</f>
        <v/>
      </c>
      <c r="B1029" t="str">
        <f>IFERROR(INDEX(装备库!$A$2:$Y$1047,MATCH(ROW()-1,装备库!$AO$2:$AO$1046,0),COLUMN()),"")</f>
        <v/>
      </c>
      <c r="C1029" t="str">
        <f>IFERROR(INDEX(装备库!$A$2:$Y$1047,MATCH(ROW()-1,装备库!$AO$2:$AO$1046,0),COLUMN()),"")</f>
        <v/>
      </c>
      <c r="D1029" t="str">
        <f>IFERROR(INDEX(装备库!$A$2:$Y$1047,MATCH(ROW()-1,装备库!$AO$2:$AO$1046,0),COLUMN()),"")</f>
        <v/>
      </c>
      <c r="E1029" t="str">
        <f>IFERROR(INDEX(装备库!$A$2:$Y$1047,MATCH(ROW()-1,装备库!$AO$2:$AO$1046,0),COLUMN()),"")</f>
        <v/>
      </c>
      <c r="F1029" t="str">
        <f>IFERROR(INDEX(装备库!$A$2:$Y$1047,MATCH(ROW()-1,装备库!$AO$2:$AO$1046,0),COLUMN()),"")</f>
        <v/>
      </c>
      <c r="G1029" t="str">
        <f>IFERROR(INDEX(装备库!$A$2:$Y$1047,MATCH(ROW()-1,装备库!$AO$2:$AO$1046,0),COLUMN()),"")</f>
        <v/>
      </c>
      <c r="H1029" t="str">
        <f>IFERROR(INDEX(装备库!$A$2:$Y$1047,MATCH(ROW()-1,装备库!$AO$2:$AO$1046,0),COLUMN()),"")</f>
        <v/>
      </c>
      <c r="I1029" t="str">
        <f>IFERROR(INDEX(装备库!$A$2:$Y$1047,MATCH(ROW()-1,装备库!$AO$2:$AO$1046,0),COLUMN()),"")</f>
        <v/>
      </c>
      <c r="J1029" t="str">
        <f>IFERROR(INDEX(装备库!$A$2:$Y$1047,MATCH(ROW()-1,装备库!$AO$2:$AO$1046,0),COLUMN()),"")</f>
        <v/>
      </c>
      <c r="K1029" t="str">
        <f>IFERROR(INDEX(装备库!$A$2:$Y$1047,MATCH(ROW()-1,装备库!$AO$2:$AO$1046,0),COLUMN()),"")</f>
        <v/>
      </c>
      <c r="L1029" t="str">
        <f>IFERROR(INDEX(装备库!$A$2:$Y$1047,MATCH(ROW()-1,装备库!$AO$2:$AO$1046,0),COLUMN()),"")</f>
        <v/>
      </c>
      <c r="M1029" t="str">
        <f>IFERROR(INDEX(装备库!$A$2:$Y$1047,MATCH(ROW()-1,装备库!$AO$2:$AO$1046,0),COLUMN()),"")</f>
        <v/>
      </c>
      <c r="N1029" t="str">
        <f>IFERROR(INDEX(装备库!$A$2:$Y$1047,MATCH(ROW()-1,装备库!$AO$2:$AO$1046,0),COLUMN()),"")</f>
        <v/>
      </c>
      <c r="O1029" t="str">
        <f>IFERROR(INDEX(装备库!$A$2:$Y$1047,MATCH(ROW()-1,装备库!$AO$2:$AO$1046,0),COLUMN()),"")</f>
        <v/>
      </c>
      <c r="P1029" t="str">
        <f>IFERROR(INDEX(装备库!$A$2:$Y$1047,MATCH(ROW()-1,装备库!$AO$2:$AO$1046,0),COLUMN()),"")</f>
        <v/>
      </c>
      <c r="Q1029" t="str">
        <f>IFERROR(INDEX(装备库!$A$2:$Y$1047,MATCH(ROW()-1,装备库!$AO$2:$AO$1046,0),COLUMN()),"")</f>
        <v/>
      </c>
      <c r="R1029" t="str">
        <f>IFERROR(INDEX(装备库!$A$2:$Y$1047,MATCH(ROW()-1,装备库!$AO$2:$AO$1046,0),COLUMN()),"")</f>
        <v/>
      </c>
      <c r="S1029" t="str">
        <f>IFERROR(INDEX(装备库!$A$2:$Y$1047,MATCH(ROW()-1,装备库!$AO$2:$AO$1046,0),COLUMN()),"")</f>
        <v/>
      </c>
      <c r="T1029" t="str">
        <f>IFERROR(INDEX(装备库!$A$2:$Y$1047,MATCH(ROW()-1,装备库!$AO$2:$AO$1046,0),COLUMN()),"")</f>
        <v/>
      </c>
      <c r="U1029" t="str">
        <f>IFERROR(INDEX(装备库!$A$2:$Y$1047,MATCH(ROW()-1,装备库!$AO$2:$AO$1046,0),COLUMN()),"")</f>
        <v/>
      </c>
      <c r="V1029" t="str">
        <f>IFERROR(INDEX(装备库!$A$2:$Y$1047,MATCH(ROW()-1,装备库!$AO$2:$AO$1046,0),COLUMN()),"")</f>
        <v/>
      </c>
      <c r="W1029" t="str">
        <f>IFERROR(INDEX(装备库!$A$2:$Y$1047,MATCH(ROW()-1,装备库!$AO$2:$AO$1046,0),COLUMN()),"")</f>
        <v/>
      </c>
      <c r="X1029" t="str">
        <f>IFERROR(INDEX(装备库!$A$2:$Y$1047,MATCH(ROW()-1,装备库!$AO$2:$AO$1046,0),COLUMN()),"")</f>
        <v/>
      </c>
      <c r="Y1029" t="str">
        <f>IFERROR(INDEX(装备库!$A$2:$Y$1047,MATCH(ROW()-1,装备库!$AO$2:$AO$1046,0),COLUMN()),"")</f>
        <v/>
      </c>
    </row>
    <row r="1030" spans="1:25" x14ac:dyDescent="0.35">
      <c r="A1030" t="str">
        <f>IFERROR(INDEX(装备库!$A$2:$Y$1047,MATCH(ROW()-1,装备库!$AO$2:$AO$1046,0),COLUMN()),"")</f>
        <v/>
      </c>
      <c r="B1030" t="str">
        <f>IFERROR(INDEX(装备库!$A$2:$Y$1047,MATCH(ROW()-1,装备库!$AO$2:$AO$1046,0),COLUMN()),"")</f>
        <v/>
      </c>
      <c r="C1030" t="str">
        <f>IFERROR(INDEX(装备库!$A$2:$Y$1047,MATCH(ROW()-1,装备库!$AO$2:$AO$1046,0),COLUMN()),"")</f>
        <v/>
      </c>
      <c r="D1030" t="str">
        <f>IFERROR(INDEX(装备库!$A$2:$Y$1047,MATCH(ROW()-1,装备库!$AO$2:$AO$1046,0),COLUMN()),"")</f>
        <v/>
      </c>
      <c r="E1030" t="str">
        <f>IFERROR(INDEX(装备库!$A$2:$Y$1047,MATCH(ROW()-1,装备库!$AO$2:$AO$1046,0),COLUMN()),"")</f>
        <v/>
      </c>
      <c r="F1030" t="str">
        <f>IFERROR(INDEX(装备库!$A$2:$Y$1047,MATCH(ROW()-1,装备库!$AO$2:$AO$1046,0),COLUMN()),"")</f>
        <v/>
      </c>
      <c r="G1030" t="str">
        <f>IFERROR(INDEX(装备库!$A$2:$Y$1047,MATCH(ROW()-1,装备库!$AO$2:$AO$1046,0),COLUMN()),"")</f>
        <v/>
      </c>
      <c r="H1030" t="str">
        <f>IFERROR(INDEX(装备库!$A$2:$Y$1047,MATCH(ROW()-1,装备库!$AO$2:$AO$1046,0),COLUMN()),"")</f>
        <v/>
      </c>
      <c r="I1030" t="str">
        <f>IFERROR(INDEX(装备库!$A$2:$Y$1047,MATCH(ROW()-1,装备库!$AO$2:$AO$1046,0),COLUMN()),"")</f>
        <v/>
      </c>
      <c r="J1030" t="str">
        <f>IFERROR(INDEX(装备库!$A$2:$Y$1047,MATCH(ROW()-1,装备库!$AO$2:$AO$1046,0),COLUMN()),"")</f>
        <v/>
      </c>
      <c r="K1030" t="str">
        <f>IFERROR(INDEX(装备库!$A$2:$Y$1047,MATCH(ROW()-1,装备库!$AO$2:$AO$1046,0),COLUMN()),"")</f>
        <v/>
      </c>
      <c r="L1030" t="str">
        <f>IFERROR(INDEX(装备库!$A$2:$Y$1047,MATCH(ROW()-1,装备库!$AO$2:$AO$1046,0),COLUMN()),"")</f>
        <v/>
      </c>
      <c r="M1030" t="str">
        <f>IFERROR(INDEX(装备库!$A$2:$Y$1047,MATCH(ROW()-1,装备库!$AO$2:$AO$1046,0),COLUMN()),"")</f>
        <v/>
      </c>
      <c r="N1030" t="str">
        <f>IFERROR(INDEX(装备库!$A$2:$Y$1047,MATCH(ROW()-1,装备库!$AO$2:$AO$1046,0),COLUMN()),"")</f>
        <v/>
      </c>
      <c r="O1030" t="str">
        <f>IFERROR(INDEX(装备库!$A$2:$Y$1047,MATCH(ROW()-1,装备库!$AO$2:$AO$1046,0),COLUMN()),"")</f>
        <v/>
      </c>
      <c r="P1030" t="str">
        <f>IFERROR(INDEX(装备库!$A$2:$Y$1047,MATCH(ROW()-1,装备库!$AO$2:$AO$1046,0),COLUMN()),"")</f>
        <v/>
      </c>
      <c r="Q1030" t="str">
        <f>IFERROR(INDEX(装备库!$A$2:$Y$1047,MATCH(ROW()-1,装备库!$AO$2:$AO$1046,0),COLUMN()),"")</f>
        <v/>
      </c>
      <c r="R1030" t="str">
        <f>IFERROR(INDEX(装备库!$A$2:$Y$1047,MATCH(ROW()-1,装备库!$AO$2:$AO$1046,0),COLUMN()),"")</f>
        <v/>
      </c>
      <c r="S1030" t="str">
        <f>IFERROR(INDEX(装备库!$A$2:$Y$1047,MATCH(ROW()-1,装备库!$AO$2:$AO$1046,0),COLUMN()),"")</f>
        <v/>
      </c>
      <c r="T1030" t="str">
        <f>IFERROR(INDEX(装备库!$A$2:$Y$1047,MATCH(ROW()-1,装备库!$AO$2:$AO$1046,0),COLUMN()),"")</f>
        <v/>
      </c>
      <c r="U1030" t="str">
        <f>IFERROR(INDEX(装备库!$A$2:$Y$1047,MATCH(ROW()-1,装备库!$AO$2:$AO$1046,0),COLUMN()),"")</f>
        <v/>
      </c>
      <c r="V1030" t="str">
        <f>IFERROR(INDEX(装备库!$A$2:$Y$1047,MATCH(ROW()-1,装备库!$AO$2:$AO$1046,0),COLUMN()),"")</f>
        <v/>
      </c>
      <c r="W1030" t="str">
        <f>IFERROR(INDEX(装备库!$A$2:$Y$1047,MATCH(ROW()-1,装备库!$AO$2:$AO$1046,0),COLUMN()),"")</f>
        <v/>
      </c>
      <c r="X1030" t="str">
        <f>IFERROR(INDEX(装备库!$A$2:$Y$1047,MATCH(ROW()-1,装备库!$AO$2:$AO$1046,0),COLUMN()),"")</f>
        <v/>
      </c>
      <c r="Y1030" t="str">
        <f>IFERROR(INDEX(装备库!$A$2:$Y$1047,MATCH(ROW()-1,装备库!$AO$2:$AO$1046,0),COLUMN()),"")</f>
        <v/>
      </c>
    </row>
    <row r="1031" spans="1:25" x14ac:dyDescent="0.35">
      <c r="A1031" t="str">
        <f>IFERROR(INDEX(装备库!$A$2:$Y$1047,MATCH(ROW()-1,装备库!$AO$2:$AO$1046,0),COLUMN()),"")</f>
        <v/>
      </c>
      <c r="B1031" t="str">
        <f>IFERROR(INDEX(装备库!$A$2:$Y$1047,MATCH(ROW()-1,装备库!$AO$2:$AO$1046,0),COLUMN()),"")</f>
        <v/>
      </c>
      <c r="C1031" t="str">
        <f>IFERROR(INDEX(装备库!$A$2:$Y$1047,MATCH(ROW()-1,装备库!$AO$2:$AO$1046,0),COLUMN()),"")</f>
        <v/>
      </c>
      <c r="D1031" t="str">
        <f>IFERROR(INDEX(装备库!$A$2:$Y$1047,MATCH(ROW()-1,装备库!$AO$2:$AO$1046,0),COLUMN()),"")</f>
        <v/>
      </c>
      <c r="E1031" t="str">
        <f>IFERROR(INDEX(装备库!$A$2:$Y$1047,MATCH(ROW()-1,装备库!$AO$2:$AO$1046,0),COLUMN()),"")</f>
        <v/>
      </c>
      <c r="F1031" t="str">
        <f>IFERROR(INDEX(装备库!$A$2:$Y$1047,MATCH(ROW()-1,装备库!$AO$2:$AO$1046,0),COLUMN()),"")</f>
        <v/>
      </c>
      <c r="G1031" t="str">
        <f>IFERROR(INDEX(装备库!$A$2:$Y$1047,MATCH(ROW()-1,装备库!$AO$2:$AO$1046,0),COLUMN()),"")</f>
        <v/>
      </c>
      <c r="H1031" t="str">
        <f>IFERROR(INDEX(装备库!$A$2:$Y$1047,MATCH(ROW()-1,装备库!$AO$2:$AO$1046,0),COLUMN()),"")</f>
        <v/>
      </c>
      <c r="I1031" t="str">
        <f>IFERROR(INDEX(装备库!$A$2:$Y$1047,MATCH(ROW()-1,装备库!$AO$2:$AO$1046,0),COLUMN()),"")</f>
        <v/>
      </c>
      <c r="J1031" t="str">
        <f>IFERROR(INDEX(装备库!$A$2:$Y$1047,MATCH(ROW()-1,装备库!$AO$2:$AO$1046,0),COLUMN()),"")</f>
        <v/>
      </c>
      <c r="K1031" t="str">
        <f>IFERROR(INDEX(装备库!$A$2:$Y$1047,MATCH(ROW()-1,装备库!$AO$2:$AO$1046,0),COLUMN()),"")</f>
        <v/>
      </c>
      <c r="L1031" t="str">
        <f>IFERROR(INDEX(装备库!$A$2:$Y$1047,MATCH(ROW()-1,装备库!$AO$2:$AO$1046,0),COLUMN()),"")</f>
        <v/>
      </c>
      <c r="M1031" t="str">
        <f>IFERROR(INDEX(装备库!$A$2:$Y$1047,MATCH(ROW()-1,装备库!$AO$2:$AO$1046,0),COLUMN()),"")</f>
        <v/>
      </c>
      <c r="N1031" t="str">
        <f>IFERROR(INDEX(装备库!$A$2:$Y$1047,MATCH(ROW()-1,装备库!$AO$2:$AO$1046,0),COLUMN()),"")</f>
        <v/>
      </c>
      <c r="O1031" t="str">
        <f>IFERROR(INDEX(装备库!$A$2:$Y$1047,MATCH(ROW()-1,装备库!$AO$2:$AO$1046,0),COLUMN()),"")</f>
        <v/>
      </c>
      <c r="P1031" t="str">
        <f>IFERROR(INDEX(装备库!$A$2:$Y$1047,MATCH(ROW()-1,装备库!$AO$2:$AO$1046,0),COLUMN()),"")</f>
        <v/>
      </c>
      <c r="Q1031" t="str">
        <f>IFERROR(INDEX(装备库!$A$2:$Y$1047,MATCH(ROW()-1,装备库!$AO$2:$AO$1046,0),COLUMN()),"")</f>
        <v/>
      </c>
      <c r="R1031" t="str">
        <f>IFERROR(INDEX(装备库!$A$2:$Y$1047,MATCH(ROW()-1,装备库!$AO$2:$AO$1046,0),COLUMN()),"")</f>
        <v/>
      </c>
      <c r="S1031" t="str">
        <f>IFERROR(INDEX(装备库!$A$2:$Y$1047,MATCH(ROW()-1,装备库!$AO$2:$AO$1046,0),COLUMN()),"")</f>
        <v/>
      </c>
      <c r="T1031" t="str">
        <f>IFERROR(INDEX(装备库!$A$2:$Y$1047,MATCH(ROW()-1,装备库!$AO$2:$AO$1046,0),COLUMN()),"")</f>
        <v/>
      </c>
      <c r="U1031" t="str">
        <f>IFERROR(INDEX(装备库!$A$2:$Y$1047,MATCH(ROW()-1,装备库!$AO$2:$AO$1046,0),COLUMN()),"")</f>
        <v/>
      </c>
      <c r="V1031" t="str">
        <f>IFERROR(INDEX(装备库!$A$2:$Y$1047,MATCH(ROW()-1,装备库!$AO$2:$AO$1046,0),COLUMN()),"")</f>
        <v/>
      </c>
      <c r="W1031" t="str">
        <f>IFERROR(INDEX(装备库!$A$2:$Y$1047,MATCH(ROW()-1,装备库!$AO$2:$AO$1046,0),COLUMN()),"")</f>
        <v/>
      </c>
      <c r="X1031" t="str">
        <f>IFERROR(INDEX(装备库!$A$2:$Y$1047,MATCH(ROW()-1,装备库!$AO$2:$AO$1046,0),COLUMN()),"")</f>
        <v/>
      </c>
      <c r="Y1031" t="str">
        <f>IFERROR(INDEX(装备库!$A$2:$Y$1047,MATCH(ROW()-1,装备库!$AO$2:$AO$1046,0),COLUMN()),"")</f>
        <v/>
      </c>
    </row>
    <row r="1032" spans="1:25" x14ac:dyDescent="0.35">
      <c r="A1032" t="str">
        <f>IFERROR(INDEX(装备库!$A$2:$Y$1047,MATCH(ROW()-1,装备库!$AO$2:$AO$1046,0),COLUMN()),"")</f>
        <v/>
      </c>
      <c r="B1032" t="str">
        <f>IFERROR(INDEX(装备库!$A$2:$Y$1047,MATCH(ROW()-1,装备库!$AO$2:$AO$1046,0),COLUMN()),"")</f>
        <v/>
      </c>
      <c r="C1032" t="str">
        <f>IFERROR(INDEX(装备库!$A$2:$Y$1047,MATCH(ROW()-1,装备库!$AO$2:$AO$1046,0),COLUMN()),"")</f>
        <v/>
      </c>
      <c r="D1032" t="str">
        <f>IFERROR(INDEX(装备库!$A$2:$Y$1047,MATCH(ROW()-1,装备库!$AO$2:$AO$1046,0),COLUMN()),"")</f>
        <v/>
      </c>
      <c r="E1032" t="str">
        <f>IFERROR(INDEX(装备库!$A$2:$Y$1047,MATCH(ROW()-1,装备库!$AO$2:$AO$1046,0),COLUMN()),"")</f>
        <v/>
      </c>
      <c r="F1032" t="str">
        <f>IFERROR(INDEX(装备库!$A$2:$Y$1047,MATCH(ROW()-1,装备库!$AO$2:$AO$1046,0),COLUMN()),"")</f>
        <v/>
      </c>
      <c r="G1032" t="str">
        <f>IFERROR(INDEX(装备库!$A$2:$Y$1047,MATCH(ROW()-1,装备库!$AO$2:$AO$1046,0),COLUMN()),"")</f>
        <v/>
      </c>
      <c r="H1032" t="str">
        <f>IFERROR(INDEX(装备库!$A$2:$Y$1047,MATCH(ROW()-1,装备库!$AO$2:$AO$1046,0),COLUMN()),"")</f>
        <v/>
      </c>
      <c r="I1032" t="str">
        <f>IFERROR(INDEX(装备库!$A$2:$Y$1047,MATCH(ROW()-1,装备库!$AO$2:$AO$1046,0),COLUMN()),"")</f>
        <v/>
      </c>
      <c r="J1032" t="str">
        <f>IFERROR(INDEX(装备库!$A$2:$Y$1047,MATCH(ROW()-1,装备库!$AO$2:$AO$1046,0),COLUMN()),"")</f>
        <v/>
      </c>
      <c r="K1032" t="str">
        <f>IFERROR(INDEX(装备库!$A$2:$Y$1047,MATCH(ROW()-1,装备库!$AO$2:$AO$1046,0),COLUMN()),"")</f>
        <v/>
      </c>
      <c r="L1032" t="str">
        <f>IFERROR(INDEX(装备库!$A$2:$Y$1047,MATCH(ROW()-1,装备库!$AO$2:$AO$1046,0),COLUMN()),"")</f>
        <v/>
      </c>
      <c r="M1032" t="str">
        <f>IFERROR(INDEX(装备库!$A$2:$Y$1047,MATCH(ROW()-1,装备库!$AO$2:$AO$1046,0),COLUMN()),"")</f>
        <v/>
      </c>
      <c r="N1032" t="str">
        <f>IFERROR(INDEX(装备库!$A$2:$Y$1047,MATCH(ROW()-1,装备库!$AO$2:$AO$1046,0),COLUMN()),"")</f>
        <v/>
      </c>
      <c r="O1032" t="str">
        <f>IFERROR(INDEX(装备库!$A$2:$Y$1047,MATCH(ROW()-1,装备库!$AO$2:$AO$1046,0),COLUMN()),"")</f>
        <v/>
      </c>
      <c r="P1032" t="str">
        <f>IFERROR(INDEX(装备库!$A$2:$Y$1047,MATCH(ROW()-1,装备库!$AO$2:$AO$1046,0),COLUMN()),"")</f>
        <v/>
      </c>
      <c r="Q1032" t="str">
        <f>IFERROR(INDEX(装备库!$A$2:$Y$1047,MATCH(ROW()-1,装备库!$AO$2:$AO$1046,0),COLUMN()),"")</f>
        <v/>
      </c>
      <c r="R1032" t="str">
        <f>IFERROR(INDEX(装备库!$A$2:$Y$1047,MATCH(ROW()-1,装备库!$AO$2:$AO$1046,0),COLUMN()),"")</f>
        <v/>
      </c>
      <c r="S1032" t="str">
        <f>IFERROR(INDEX(装备库!$A$2:$Y$1047,MATCH(ROW()-1,装备库!$AO$2:$AO$1046,0),COLUMN()),"")</f>
        <v/>
      </c>
      <c r="T1032" t="str">
        <f>IFERROR(INDEX(装备库!$A$2:$Y$1047,MATCH(ROW()-1,装备库!$AO$2:$AO$1046,0),COLUMN()),"")</f>
        <v/>
      </c>
      <c r="U1032" t="str">
        <f>IFERROR(INDEX(装备库!$A$2:$Y$1047,MATCH(ROW()-1,装备库!$AO$2:$AO$1046,0),COLUMN()),"")</f>
        <v/>
      </c>
      <c r="V1032" t="str">
        <f>IFERROR(INDEX(装备库!$A$2:$Y$1047,MATCH(ROW()-1,装备库!$AO$2:$AO$1046,0),COLUMN()),"")</f>
        <v/>
      </c>
      <c r="W1032" t="str">
        <f>IFERROR(INDEX(装备库!$A$2:$Y$1047,MATCH(ROW()-1,装备库!$AO$2:$AO$1046,0),COLUMN()),"")</f>
        <v/>
      </c>
      <c r="X1032" t="str">
        <f>IFERROR(INDEX(装备库!$A$2:$Y$1047,MATCH(ROW()-1,装备库!$AO$2:$AO$1046,0),COLUMN()),"")</f>
        <v/>
      </c>
      <c r="Y1032" t="str">
        <f>IFERROR(INDEX(装备库!$A$2:$Y$1047,MATCH(ROW()-1,装备库!$AO$2:$AO$1046,0),COLUMN()),"")</f>
        <v/>
      </c>
    </row>
    <row r="1033" spans="1:25" x14ac:dyDescent="0.35">
      <c r="A1033" t="str">
        <f>IFERROR(INDEX(装备库!$A$2:$Y$1047,MATCH(ROW()-1,装备库!$AO$2:$AO$1046,0),COLUMN()),"")</f>
        <v/>
      </c>
      <c r="B1033" t="str">
        <f>IFERROR(INDEX(装备库!$A$2:$Y$1047,MATCH(ROW()-1,装备库!$AO$2:$AO$1046,0),COLUMN()),"")</f>
        <v/>
      </c>
      <c r="C1033" t="str">
        <f>IFERROR(INDEX(装备库!$A$2:$Y$1047,MATCH(ROW()-1,装备库!$AO$2:$AO$1046,0),COLUMN()),"")</f>
        <v/>
      </c>
      <c r="D1033" t="str">
        <f>IFERROR(INDEX(装备库!$A$2:$Y$1047,MATCH(ROW()-1,装备库!$AO$2:$AO$1046,0),COLUMN()),"")</f>
        <v/>
      </c>
      <c r="E1033" t="str">
        <f>IFERROR(INDEX(装备库!$A$2:$Y$1047,MATCH(ROW()-1,装备库!$AO$2:$AO$1046,0),COLUMN()),"")</f>
        <v/>
      </c>
      <c r="F1033" t="str">
        <f>IFERROR(INDEX(装备库!$A$2:$Y$1047,MATCH(ROW()-1,装备库!$AO$2:$AO$1046,0),COLUMN()),"")</f>
        <v/>
      </c>
      <c r="G1033" t="str">
        <f>IFERROR(INDEX(装备库!$A$2:$Y$1047,MATCH(ROW()-1,装备库!$AO$2:$AO$1046,0),COLUMN()),"")</f>
        <v/>
      </c>
      <c r="H1033" t="str">
        <f>IFERROR(INDEX(装备库!$A$2:$Y$1047,MATCH(ROW()-1,装备库!$AO$2:$AO$1046,0),COLUMN()),"")</f>
        <v/>
      </c>
      <c r="I1033" t="str">
        <f>IFERROR(INDEX(装备库!$A$2:$Y$1047,MATCH(ROW()-1,装备库!$AO$2:$AO$1046,0),COLUMN()),"")</f>
        <v/>
      </c>
      <c r="J1033" t="str">
        <f>IFERROR(INDEX(装备库!$A$2:$Y$1047,MATCH(ROW()-1,装备库!$AO$2:$AO$1046,0),COLUMN()),"")</f>
        <v/>
      </c>
      <c r="K1033" t="str">
        <f>IFERROR(INDEX(装备库!$A$2:$Y$1047,MATCH(ROW()-1,装备库!$AO$2:$AO$1046,0),COLUMN()),"")</f>
        <v/>
      </c>
      <c r="L1033" t="str">
        <f>IFERROR(INDEX(装备库!$A$2:$Y$1047,MATCH(ROW()-1,装备库!$AO$2:$AO$1046,0),COLUMN()),"")</f>
        <v/>
      </c>
      <c r="M1033" t="str">
        <f>IFERROR(INDEX(装备库!$A$2:$Y$1047,MATCH(ROW()-1,装备库!$AO$2:$AO$1046,0),COLUMN()),"")</f>
        <v/>
      </c>
      <c r="N1033" t="str">
        <f>IFERROR(INDEX(装备库!$A$2:$Y$1047,MATCH(ROW()-1,装备库!$AO$2:$AO$1046,0),COLUMN()),"")</f>
        <v/>
      </c>
      <c r="O1033" t="str">
        <f>IFERROR(INDEX(装备库!$A$2:$Y$1047,MATCH(ROW()-1,装备库!$AO$2:$AO$1046,0),COLUMN()),"")</f>
        <v/>
      </c>
      <c r="P1033" t="str">
        <f>IFERROR(INDEX(装备库!$A$2:$Y$1047,MATCH(ROW()-1,装备库!$AO$2:$AO$1046,0),COLUMN()),"")</f>
        <v/>
      </c>
      <c r="Q1033" t="str">
        <f>IFERROR(INDEX(装备库!$A$2:$Y$1047,MATCH(ROW()-1,装备库!$AO$2:$AO$1046,0),COLUMN()),"")</f>
        <v/>
      </c>
      <c r="R1033" t="str">
        <f>IFERROR(INDEX(装备库!$A$2:$Y$1047,MATCH(ROW()-1,装备库!$AO$2:$AO$1046,0),COLUMN()),"")</f>
        <v/>
      </c>
      <c r="S1033" t="str">
        <f>IFERROR(INDEX(装备库!$A$2:$Y$1047,MATCH(ROW()-1,装备库!$AO$2:$AO$1046,0),COLUMN()),"")</f>
        <v/>
      </c>
      <c r="T1033" t="str">
        <f>IFERROR(INDEX(装备库!$A$2:$Y$1047,MATCH(ROW()-1,装备库!$AO$2:$AO$1046,0),COLUMN()),"")</f>
        <v/>
      </c>
      <c r="U1033" t="str">
        <f>IFERROR(INDEX(装备库!$A$2:$Y$1047,MATCH(ROW()-1,装备库!$AO$2:$AO$1046,0),COLUMN()),"")</f>
        <v/>
      </c>
      <c r="V1033" t="str">
        <f>IFERROR(INDEX(装备库!$A$2:$Y$1047,MATCH(ROW()-1,装备库!$AO$2:$AO$1046,0),COLUMN()),"")</f>
        <v/>
      </c>
      <c r="W1033" t="str">
        <f>IFERROR(INDEX(装备库!$A$2:$Y$1047,MATCH(ROW()-1,装备库!$AO$2:$AO$1046,0),COLUMN()),"")</f>
        <v/>
      </c>
      <c r="X1033" t="str">
        <f>IFERROR(INDEX(装备库!$A$2:$Y$1047,MATCH(ROW()-1,装备库!$AO$2:$AO$1046,0),COLUMN()),"")</f>
        <v/>
      </c>
      <c r="Y1033" t="str">
        <f>IFERROR(INDEX(装备库!$A$2:$Y$1047,MATCH(ROW()-1,装备库!$AO$2:$AO$1046,0),COLUMN()),"")</f>
        <v/>
      </c>
    </row>
    <row r="1034" spans="1:25" x14ac:dyDescent="0.35">
      <c r="A1034" t="str">
        <f>IFERROR(INDEX(装备库!$A$2:$Y$1047,MATCH(ROW()-1,装备库!$AO$2:$AO$1046,0),COLUMN()),"")</f>
        <v/>
      </c>
      <c r="B1034" t="str">
        <f>IFERROR(INDEX(装备库!$A$2:$Y$1047,MATCH(ROW()-1,装备库!$AO$2:$AO$1046,0),COLUMN()),"")</f>
        <v/>
      </c>
      <c r="C1034" t="str">
        <f>IFERROR(INDEX(装备库!$A$2:$Y$1047,MATCH(ROW()-1,装备库!$AO$2:$AO$1046,0),COLUMN()),"")</f>
        <v/>
      </c>
      <c r="D1034" t="str">
        <f>IFERROR(INDEX(装备库!$A$2:$Y$1047,MATCH(ROW()-1,装备库!$AO$2:$AO$1046,0),COLUMN()),"")</f>
        <v/>
      </c>
      <c r="E1034" t="str">
        <f>IFERROR(INDEX(装备库!$A$2:$Y$1047,MATCH(ROW()-1,装备库!$AO$2:$AO$1046,0),COLUMN()),"")</f>
        <v/>
      </c>
      <c r="F1034" t="str">
        <f>IFERROR(INDEX(装备库!$A$2:$Y$1047,MATCH(ROW()-1,装备库!$AO$2:$AO$1046,0),COLUMN()),"")</f>
        <v/>
      </c>
      <c r="G1034" t="str">
        <f>IFERROR(INDEX(装备库!$A$2:$Y$1047,MATCH(ROW()-1,装备库!$AO$2:$AO$1046,0),COLUMN()),"")</f>
        <v/>
      </c>
      <c r="H1034" t="str">
        <f>IFERROR(INDEX(装备库!$A$2:$Y$1047,MATCH(ROW()-1,装备库!$AO$2:$AO$1046,0),COLUMN()),"")</f>
        <v/>
      </c>
      <c r="I1034" t="str">
        <f>IFERROR(INDEX(装备库!$A$2:$Y$1047,MATCH(ROW()-1,装备库!$AO$2:$AO$1046,0),COLUMN()),"")</f>
        <v/>
      </c>
      <c r="J1034" t="str">
        <f>IFERROR(INDEX(装备库!$A$2:$Y$1047,MATCH(ROW()-1,装备库!$AO$2:$AO$1046,0),COLUMN()),"")</f>
        <v/>
      </c>
      <c r="K1034" t="str">
        <f>IFERROR(INDEX(装备库!$A$2:$Y$1047,MATCH(ROW()-1,装备库!$AO$2:$AO$1046,0),COLUMN()),"")</f>
        <v/>
      </c>
      <c r="L1034" t="str">
        <f>IFERROR(INDEX(装备库!$A$2:$Y$1047,MATCH(ROW()-1,装备库!$AO$2:$AO$1046,0),COLUMN()),"")</f>
        <v/>
      </c>
      <c r="M1034" t="str">
        <f>IFERROR(INDEX(装备库!$A$2:$Y$1047,MATCH(ROW()-1,装备库!$AO$2:$AO$1046,0),COLUMN()),"")</f>
        <v/>
      </c>
      <c r="N1034" t="str">
        <f>IFERROR(INDEX(装备库!$A$2:$Y$1047,MATCH(ROW()-1,装备库!$AO$2:$AO$1046,0),COLUMN()),"")</f>
        <v/>
      </c>
      <c r="O1034" t="str">
        <f>IFERROR(INDEX(装备库!$A$2:$Y$1047,MATCH(ROW()-1,装备库!$AO$2:$AO$1046,0),COLUMN()),"")</f>
        <v/>
      </c>
      <c r="P1034" t="str">
        <f>IFERROR(INDEX(装备库!$A$2:$Y$1047,MATCH(ROW()-1,装备库!$AO$2:$AO$1046,0),COLUMN()),"")</f>
        <v/>
      </c>
      <c r="Q1034" t="str">
        <f>IFERROR(INDEX(装备库!$A$2:$Y$1047,MATCH(ROW()-1,装备库!$AO$2:$AO$1046,0),COLUMN()),"")</f>
        <v/>
      </c>
      <c r="R1034" t="str">
        <f>IFERROR(INDEX(装备库!$A$2:$Y$1047,MATCH(ROW()-1,装备库!$AO$2:$AO$1046,0),COLUMN()),"")</f>
        <v/>
      </c>
      <c r="S1034" t="str">
        <f>IFERROR(INDEX(装备库!$A$2:$Y$1047,MATCH(ROW()-1,装备库!$AO$2:$AO$1046,0),COLUMN()),"")</f>
        <v/>
      </c>
      <c r="T1034" t="str">
        <f>IFERROR(INDEX(装备库!$A$2:$Y$1047,MATCH(ROW()-1,装备库!$AO$2:$AO$1046,0),COLUMN()),"")</f>
        <v/>
      </c>
      <c r="U1034" t="str">
        <f>IFERROR(INDEX(装备库!$A$2:$Y$1047,MATCH(ROW()-1,装备库!$AO$2:$AO$1046,0),COLUMN()),"")</f>
        <v/>
      </c>
      <c r="V1034" t="str">
        <f>IFERROR(INDEX(装备库!$A$2:$Y$1047,MATCH(ROW()-1,装备库!$AO$2:$AO$1046,0),COLUMN()),"")</f>
        <v/>
      </c>
      <c r="W1034" t="str">
        <f>IFERROR(INDEX(装备库!$A$2:$Y$1047,MATCH(ROW()-1,装备库!$AO$2:$AO$1046,0),COLUMN()),"")</f>
        <v/>
      </c>
      <c r="X1034" t="str">
        <f>IFERROR(INDEX(装备库!$A$2:$Y$1047,MATCH(ROW()-1,装备库!$AO$2:$AO$1046,0),COLUMN()),"")</f>
        <v/>
      </c>
      <c r="Y1034" t="str">
        <f>IFERROR(INDEX(装备库!$A$2:$Y$1047,MATCH(ROW()-1,装备库!$AO$2:$AO$1046,0),COLUMN()),"")</f>
        <v/>
      </c>
    </row>
    <row r="1035" spans="1:25" x14ac:dyDescent="0.35">
      <c r="A1035" t="str">
        <f>IFERROR(INDEX(装备库!$A$2:$Y$1047,MATCH(ROW()-1,装备库!$AO$2:$AO$1046,0),COLUMN()),"")</f>
        <v/>
      </c>
      <c r="B1035" t="str">
        <f>IFERROR(INDEX(装备库!$A$2:$Y$1047,MATCH(ROW()-1,装备库!$AO$2:$AO$1046,0),COLUMN()),"")</f>
        <v/>
      </c>
      <c r="C1035" t="str">
        <f>IFERROR(INDEX(装备库!$A$2:$Y$1047,MATCH(ROW()-1,装备库!$AO$2:$AO$1046,0),COLUMN()),"")</f>
        <v/>
      </c>
      <c r="D1035" t="str">
        <f>IFERROR(INDEX(装备库!$A$2:$Y$1047,MATCH(ROW()-1,装备库!$AO$2:$AO$1046,0),COLUMN()),"")</f>
        <v/>
      </c>
      <c r="E1035" t="str">
        <f>IFERROR(INDEX(装备库!$A$2:$Y$1047,MATCH(ROW()-1,装备库!$AO$2:$AO$1046,0),COLUMN()),"")</f>
        <v/>
      </c>
      <c r="F1035" t="str">
        <f>IFERROR(INDEX(装备库!$A$2:$Y$1047,MATCH(ROW()-1,装备库!$AO$2:$AO$1046,0),COLUMN()),"")</f>
        <v/>
      </c>
      <c r="G1035" t="str">
        <f>IFERROR(INDEX(装备库!$A$2:$Y$1047,MATCH(ROW()-1,装备库!$AO$2:$AO$1046,0),COLUMN()),"")</f>
        <v/>
      </c>
      <c r="H1035" t="str">
        <f>IFERROR(INDEX(装备库!$A$2:$Y$1047,MATCH(ROW()-1,装备库!$AO$2:$AO$1046,0),COLUMN()),"")</f>
        <v/>
      </c>
      <c r="I1035" t="str">
        <f>IFERROR(INDEX(装备库!$A$2:$Y$1047,MATCH(ROW()-1,装备库!$AO$2:$AO$1046,0),COLUMN()),"")</f>
        <v/>
      </c>
      <c r="J1035" t="str">
        <f>IFERROR(INDEX(装备库!$A$2:$Y$1047,MATCH(ROW()-1,装备库!$AO$2:$AO$1046,0),COLUMN()),"")</f>
        <v/>
      </c>
      <c r="K1035" t="str">
        <f>IFERROR(INDEX(装备库!$A$2:$Y$1047,MATCH(ROW()-1,装备库!$AO$2:$AO$1046,0),COLUMN()),"")</f>
        <v/>
      </c>
      <c r="L1035" t="str">
        <f>IFERROR(INDEX(装备库!$A$2:$Y$1047,MATCH(ROW()-1,装备库!$AO$2:$AO$1046,0),COLUMN()),"")</f>
        <v/>
      </c>
      <c r="M1035" t="str">
        <f>IFERROR(INDEX(装备库!$A$2:$Y$1047,MATCH(ROW()-1,装备库!$AO$2:$AO$1046,0),COLUMN()),"")</f>
        <v/>
      </c>
      <c r="N1035" t="str">
        <f>IFERROR(INDEX(装备库!$A$2:$Y$1047,MATCH(ROW()-1,装备库!$AO$2:$AO$1046,0),COLUMN()),"")</f>
        <v/>
      </c>
      <c r="O1035" t="str">
        <f>IFERROR(INDEX(装备库!$A$2:$Y$1047,MATCH(ROW()-1,装备库!$AO$2:$AO$1046,0),COLUMN()),"")</f>
        <v/>
      </c>
      <c r="P1035" t="str">
        <f>IFERROR(INDEX(装备库!$A$2:$Y$1047,MATCH(ROW()-1,装备库!$AO$2:$AO$1046,0),COLUMN()),"")</f>
        <v/>
      </c>
      <c r="Q1035" t="str">
        <f>IFERROR(INDEX(装备库!$A$2:$Y$1047,MATCH(ROW()-1,装备库!$AO$2:$AO$1046,0),COLUMN()),"")</f>
        <v/>
      </c>
      <c r="R1035" t="str">
        <f>IFERROR(INDEX(装备库!$A$2:$Y$1047,MATCH(ROW()-1,装备库!$AO$2:$AO$1046,0),COLUMN()),"")</f>
        <v/>
      </c>
      <c r="S1035" t="str">
        <f>IFERROR(INDEX(装备库!$A$2:$Y$1047,MATCH(ROW()-1,装备库!$AO$2:$AO$1046,0),COLUMN()),"")</f>
        <v/>
      </c>
      <c r="T1035" t="str">
        <f>IFERROR(INDEX(装备库!$A$2:$Y$1047,MATCH(ROW()-1,装备库!$AO$2:$AO$1046,0),COLUMN()),"")</f>
        <v/>
      </c>
      <c r="U1035" t="str">
        <f>IFERROR(INDEX(装备库!$A$2:$Y$1047,MATCH(ROW()-1,装备库!$AO$2:$AO$1046,0),COLUMN()),"")</f>
        <v/>
      </c>
      <c r="V1035" t="str">
        <f>IFERROR(INDEX(装备库!$A$2:$Y$1047,MATCH(ROW()-1,装备库!$AO$2:$AO$1046,0),COLUMN()),"")</f>
        <v/>
      </c>
      <c r="W1035" t="str">
        <f>IFERROR(INDEX(装备库!$A$2:$Y$1047,MATCH(ROW()-1,装备库!$AO$2:$AO$1046,0),COLUMN()),"")</f>
        <v/>
      </c>
      <c r="X1035" t="str">
        <f>IFERROR(INDEX(装备库!$A$2:$Y$1047,MATCH(ROW()-1,装备库!$AO$2:$AO$1046,0),COLUMN()),"")</f>
        <v/>
      </c>
      <c r="Y1035" t="str">
        <f>IFERROR(INDEX(装备库!$A$2:$Y$1047,MATCH(ROW()-1,装备库!$AO$2:$AO$1046,0),COLUMN()),"")</f>
        <v/>
      </c>
    </row>
    <row r="1036" spans="1:25" x14ac:dyDescent="0.35">
      <c r="A1036" t="str">
        <f>IFERROR(INDEX(装备库!$A$2:$Y$1047,MATCH(ROW()-1,装备库!$AO$2:$AO$1046,0),COLUMN()),"")</f>
        <v/>
      </c>
      <c r="B1036" t="str">
        <f>IFERROR(INDEX(装备库!$A$2:$Y$1047,MATCH(ROW()-1,装备库!$AO$2:$AO$1046,0),COLUMN()),"")</f>
        <v/>
      </c>
      <c r="C1036" t="str">
        <f>IFERROR(INDEX(装备库!$A$2:$Y$1047,MATCH(ROW()-1,装备库!$AO$2:$AO$1046,0),COLUMN()),"")</f>
        <v/>
      </c>
      <c r="D1036" t="str">
        <f>IFERROR(INDEX(装备库!$A$2:$Y$1047,MATCH(ROW()-1,装备库!$AO$2:$AO$1046,0),COLUMN()),"")</f>
        <v/>
      </c>
      <c r="E1036" t="str">
        <f>IFERROR(INDEX(装备库!$A$2:$Y$1047,MATCH(ROW()-1,装备库!$AO$2:$AO$1046,0),COLUMN()),"")</f>
        <v/>
      </c>
      <c r="F1036" t="str">
        <f>IFERROR(INDEX(装备库!$A$2:$Y$1047,MATCH(ROW()-1,装备库!$AO$2:$AO$1046,0),COLUMN()),"")</f>
        <v/>
      </c>
      <c r="G1036" t="str">
        <f>IFERROR(INDEX(装备库!$A$2:$Y$1047,MATCH(ROW()-1,装备库!$AO$2:$AO$1046,0),COLUMN()),"")</f>
        <v/>
      </c>
      <c r="H1036" t="str">
        <f>IFERROR(INDEX(装备库!$A$2:$Y$1047,MATCH(ROW()-1,装备库!$AO$2:$AO$1046,0),COLUMN()),"")</f>
        <v/>
      </c>
      <c r="I1036" t="str">
        <f>IFERROR(INDEX(装备库!$A$2:$Y$1047,MATCH(ROW()-1,装备库!$AO$2:$AO$1046,0),COLUMN()),"")</f>
        <v/>
      </c>
      <c r="J1036" t="str">
        <f>IFERROR(INDEX(装备库!$A$2:$Y$1047,MATCH(ROW()-1,装备库!$AO$2:$AO$1046,0),COLUMN()),"")</f>
        <v/>
      </c>
      <c r="K1036" t="str">
        <f>IFERROR(INDEX(装备库!$A$2:$Y$1047,MATCH(ROW()-1,装备库!$AO$2:$AO$1046,0),COLUMN()),"")</f>
        <v/>
      </c>
      <c r="L1036" t="str">
        <f>IFERROR(INDEX(装备库!$A$2:$Y$1047,MATCH(ROW()-1,装备库!$AO$2:$AO$1046,0),COLUMN()),"")</f>
        <v/>
      </c>
      <c r="M1036" t="str">
        <f>IFERROR(INDEX(装备库!$A$2:$Y$1047,MATCH(ROW()-1,装备库!$AO$2:$AO$1046,0),COLUMN()),"")</f>
        <v/>
      </c>
      <c r="N1036" t="str">
        <f>IFERROR(INDEX(装备库!$A$2:$Y$1047,MATCH(ROW()-1,装备库!$AO$2:$AO$1046,0),COLUMN()),"")</f>
        <v/>
      </c>
      <c r="O1036" t="str">
        <f>IFERROR(INDEX(装备库!$A$2:$Y$1047,MATCH(ROW()-1,装备库!$AO$2:$AO$1046,0),COLUMN()),"")</f>
        <v/>
      </c>
      <c r="P1036" t="str">
        <f>IFERROR(INDEX(装备库!$A$2:$Y$1047,MATCH(ROW()-1,装备库!$AO$2:$AO$1046,0),COLUMN()),"")</f>
        <v/>
      </c>
      <c r="Q1036" t="str">
        <f>IFERROR(INDEX(装备库!$A$2:$Y$1047,MATCH(ROW()-1,装备库!$AO$2:$AO$1046,0),COLUMN()),"")</f>
        <v/>
      </c>
      <c r="R1036" t="str">
        <f>IFERROR(INDEX(装备库!$A$2:$Y$1047,MATCH(ROW()-1,装备库!$AO$2:$AO$1046,0),COLUMN()),"")</f>
        <v/>
      </c>
      <c r="S1036" t="str">
        <f>IFERROR(INDEX(装备库!$A$2:$Y$1047,MATCH(ROW()-1,装备库!$AO$2:$AO$1046,0),COLUMN()),"")</f>
        <v/>
      </c>
      <c r="T1036" t="str">
        <f>IFERROR(INDEX(装备库!$A$2:$Y$1047,MATCH(ROW()-1,装备库!$AO$2:$AO$1046,0),COLUMN()),"")</f>
        <v/>
      </c>
      <c r="U1036" t="str">
        <f>IFERROR(INDEX(装备库!$A$2:$Y$1047,MATCH(ROW()-1,装备库!$AO$2:$AO$1046,0),COLUMN()),"")</f>
        <v/>
      </c>
      <c r="V1036" t="str">
        <f>IFERROR(INDEX(装备库!$A$2:$Y$1047,MATCH(ROW()-1,装备库!$AO$2:$AO$1046,0),COLUMN()),"")</f>
        <v/>
      </c>
      <c r="W1036" t="str">
        <f>IFERROR(INDEX(装备库!$A$2:$Y$1047,MATCH(ROW()-1,装备库!$AO$2:$AO$1046,0),COLUMN()),"")</f>
        <v/>
      </c>
      <c r="X1036" t="str">
        <f>IFERROR(INDEX(装备库!$A$2:$Y$1047,MATCH(ROW()-1,装备库!$AO$2:$AO$1046,0),COLUMN()),"")</f>
        <v/>
      </c>
      <c r="Y1036" t="str">
        <f>IFERROR(INDEX(装备库!$A$2:$Y$1047,MATCH(ROW()-1,装备库!$AO$2:$AO$1046,0),COLUMN()),"")</f>
        <v/>
      </c>
    </row>
    <row r="1037" spans="1:25" x14ac:dyDescent="0.35">
      <c r="A1037" t="str">
        <f>IFERROR(INDEX(装备库!$A$2:$Y$1047,MATCH(ROW()-1,装备库!$AO$2:$AO$1046,0),COLUMN()),"")</f>
        <v/>
      </c>
      <c r="B1037" t="str">
        <f>IFERROR(INDEX(装备库!$A$2:$Y$1047,MATCH(ROW()-1,装备库!$AO$2:$AO$1046,0),COLUMN()),"")</f>
        <v/>
      </c>
      <c r="C1037" t="str">
        <f>IFERROR(INDEX(装备库!$A$2:$Y$1047,MATCH(ROW()-1,装备库!$AO$2:$AO$1046,0),COLUMN()),"")</f>
        <v/>
      </c>
      <c r="D1037" t="str">
        <f>IFERROR(INDEX(装备库!$A$2:$Y$1047,MATCH(ROW()-1,装备库!$AO$2:$AO$1046,0),COLUMN()),"")</f>
        <v/>
      </c>
      <c r="E1037" t="str">
        <f>IFERROR(INDEX(装备库!$A$2:$Y$1047,MATCH(ROW()-1,装备库!$AO$2:$AO$1046,0),COLUMN()),"")</f>
        <v/>
      </c>
      <c r="F1037" t="str">
        <f>IFERROR(INDEX(装备库!$A$2:$Y$1047,MATCH(ROW()-1,装备库!$AO$2:$AO$1046,0),COLUMN()),"")</f>
        <v/>
      </c>
      <c r="G1037" t="str">
        <f>IFERROR(INDEX(装备库!$A$2:$Y$1047,MATCH(ROW()-1,装备库!$AO$2:$AO$1046,0),COLUMN()),"")</f>
        <v/>
      </c>
      <c r="H1037" t="str">
        <f>IFERROR(INDEX(装备库!$A$2:$Y$1047,MATCH(ROW()-1,装备库!$AO$2:$AO$1046,0),COLUMN()),"")</f>
        <v/>
      </c>
      <c r="I1037" t="str">
        <f>IFERROR(INDEX(装备库!$A$2:$Y$1047,MATCH(ROW()-1,装备库!$AO$2:$AO$1046,0),COLUMN()),"")</f>
        <v/>
      </c>
      <c r="J1037" t="str">
        <f>IFERROR(INDEX(装备库!$A$2:$Y$1047,MATCH(ROW()-1,装备库!$AO$2:$AO$1046,0),COLUMN()),"")</f>
        <v/>
      </c>
      <c r="K1037" t="str">
        <f>IFERROR(INDEX(装备库!$A$2:$Y$1047,MATCH(ROW()-1,装备库!$AO$2:$AO$1046,0),COLUMN()),"")</f>
        <v/>
      </c>
      <c r="L1037" t="str">
        <f>IFERROR(INDEX(装备库!$A$2:$Y$1047,MATCH(ROW()-1,装备库!$AO$2:$AO$1046,0),COLUMN()),"")</f>
        <v/>
      </c>
      <c r="M1037" t="str">
        <f>IFERROR(INDEX(装备库!$A$2:$Y$1047,MATCH(ROW()-1,装备库!$AO$2:$AO$1046,0),COLUMN()),"")</f>
        <v/>
      </c>
      <c r="N1037" t="str">
        <f>IFERROR(INDEX(装备库!$A$2:$Y$1047,MATCH(ROW()-1,装备库!$AO$2:$AO$1046,0),COLUMN()),"")</f>
        <v/>
      </c>
      <c r="O1037" t="str">
        <f>IFERROR(INDEX(装备库!$A$2:$Y$1047,MATCH(ROW()-1,装备库!$AO$2:$AO$1046,0),COLUMN()),"")</f>
        <v/>
      </c>
      <c r="P1037" t="str">
        <f>IFERROR(INDEX(装备库!$A$2:$Y$1047,MATCH(ROW()-1,装备库!$AO$2:$AO$1046,0),COLUMN()),"")</f>
        <v/>
      </c>
      <c r="Q1037" t="str">
        <f>IFERROR(INDEX(装备库!$A$2:$Y$1047,MATCH(ROW()-1,装备库!$AO$2:$AO$1046,0),COLUMN()),"")</f>
        <v/>
      </c>
      <c r="R1037" t="str">
        <f>IFERROR(INDEX(装备库!$A$2:$Y$1047,MATCH(ROW()-1,装备库!$AO$2:$AO$1046,0),COLUMN()),"")</f>
        <v/>
      </c>
      <c r="S1037" t="str">
        <f>IFERROR(INDEX(装备库!$A$2:$Y$1047,MATCH(ROW()-1,装备库!$AO$2:$AO$1046,0),COLUMN()),"")</f>
        <v/>
      </c>
      <c r="T1037" t="str">
        <f>IFERROR(INDEX(装备库!$A$2:$Y$1047,MATCH(ROW()-1,装备库!$AO$2:$AO$1046,0),COLUMN()),"")</f>
        <v/>
      </c>
      <c r="U1037" t="str">
        <f>IFERROR(INDEX(装备库!$A$2:$Y$1047,MATCH(ROW()-1,装备库!$AO$2:$AO$1046,0),COLUMN()),"")</f>
        <v/>
      </c>
      <c r="V1037" t="str">
        <f>IFERROR(INDEX(装备库!$A$2:$Y$1047,MATCH(ROW()-1,装备库!$AO$2:$AO$1046,0),COLUMN()),"")</f>
        <v/>
      </c>
      <c r="W1037" t="str">
        <f>IFERROR(INDEX(装备库!$A$2:$Y$1047,MATCH(ROW()-1,装备库!$AO$2:$AO$1046,0),COLUMN()),"")</f>
        <v/>
      </c>
      <c r="X1037" t="str">
        <f>IFERROR(INDEX(装备库!$A$2:$Y$1047,MATCH(ROW()-1,装备库!$AO$2:$AO$1046,0),COLUMN()),"")</f>
        <v/>
      </c>
      <c r="Y1037" t="str">
        <f>IFERROR(INDEX(装备库!$A$2:$Y$1047,MATCH(ROW()-1,装备库!$AO$2:$AO$1046,0),COLUMN()),"")</f>
        <v/>
      </c>
    </row>
    <row r="1038" spans="1:25" x14ac:dyDescent="0.35">
      <c r="A1038" t="str">
        <f>IFERROR(INDEX(装备库!$A$2:$Y$1047,MATCH(ROW()-1,装备库!$AO$2:$AO$1046,0),COLUMN()),"")</f>
        <v/>
      </c>
      <c r="B1038" t="str">
        <f>IFERROR(INDEX(装备库!$A$2:$Y$1047,MATCH(ROW()-1,装备库!$AO$2:$AO$1046,0),COLUMN()),"")</f>
        <v/>
      </c>
      <c r="C1038" t="str">
        <f>IFERROR(INDEX(装备库!$A$2:$Y$1047,MATCH(ROW()-1,装备库!$AO$2:$AO$1046,0),COLUMN()),"")</f>
        <v/>
      </c>
      <c r="D1038" t="str">
        <f>IFERROR(INDEX(装备库!$A$2:$Y$1047,MATCH(ROW()-1,装备库!$AO$2:$AO$1046,0),COLUMN()),"")</f>
        <v/>
      </c>
      <c r="E1038" t="str">
        <f>IFERROR(INDEX(装备库!$A$2:$Y$1047,MATCH(ROW()-1,装备库!$AO$2:$AO$1046,0),COLUMN()),"")</f>
        <v/>
      </c>
      <c r="F1038" t="str">
        <f>IFERROR(INDEX(装备库!$A$2:$Y$1047,MATCH(ROW()-1,装备库!$AO$2:$AO$1046,0),COLUMN()),"")</f>
        <v/>
      </c>
      <c r="G1038" t="str">
        <f>IFERROR(INDEX(装备库!$A$2:$Y$1047,MATCH(ROW()-1,装备库!$AO$2:$AO$1046,0),COLUMN()),"")</f>
        <v/>
      </c>
      <c r="H1038" t="str">
        <f>IFERROR(INDEX(装备库!$A$2:$Y$1047,MATCH(ROW()-1,装备库!$AO$2:$AO$1046,0),COLUMN()),"")</f>
        <v/>
      </c>
      <c r="I1038" t="str">
        <f>IFERROR(INDEX(装备库!$A$2:$Y$1047,MATCH(ROW()-1,装备库!$AO$2:$AO$1046,0),COLUMN()),"")</f>
        <v/>
      </c>
      <c r="J1038" t="str">
        <f>IFERROR(INDEX(装备库!$A$2:$Y$1047,MATCH(ROW()-1,装备库!$AO$2:$AO$1046,0),COLUMN()),"")</f>
        <v/>
      </c>
      <c r="K1038" t="str">
        <f>IFERROR(INDEX(装备库!$A$2:$Y$1047,MATCH(ROW()-1,装备库!$AO$2:$AO$1046,0),COLUMN()),"")</f>
        <v/>
      </c>
      <c r="L1038" t="str">
        <f>IFERROR(INDEX(装备库!$A$2:$Y$1047,MATCH(ROW()-1,装备库!$AO$2:$AO$1046,0),COLUMN()),"")</f>
        <v/>
      </c>
      <c r="M1038" t="str">
        <f>IFERROR(INDEX(装备库!$A$2:$Y$1047,MATCH(ROW()-1,装备库!$AO$2:$AO$1046,0),COLUMN()),"")</f>
        <v/>
      </c>
      <c r="N1038" t="str">
        <f>IFERROR(INDEX(装备库!$A$2:$Y$1047,MATCH(ROW()-1,装备库!$AO$2:$AO$1046,0),COLUMN()),"")</f>
        <v/>
      </c>
      <c r="O1038" t="str">
        <f>IFERROR(INDEX(装备库!$A$2:$Y$1047,MATCH(ROW()-1,装备库!$AO$2:$AO$1046,0),COLUMN()),"")</f>
        <v/>
      </c>
      <c r="P1038" t="str">
        <f>IFERROR(INDEX(装备库!$A$2:$Y$1047,MATCH(ROW()-1,装备库!$AO$2:$AO$1046,0),COLUMN()),"")</f>
        <v/>
      </c>
      <c r="Q1038" t="str">
        <f>IFERROR(INDEX(装备库!$A$2:$Y$1047,MATCH(ROW()-1,装备库!$AO$2:$AO$1046,0),COLUMN()),"")</f>
        <v/>
      </c>
      <c r="R1038" t="str">
        <f>IFERROR(INDEX(装备库!$A$2:$Y$1047,MATCH(ROW()-1,装备库!$AO$2:$AO$1046,0),COLUMN()),"")</f>
        <v/>
      </c>
      <c r="S1038" t="str">
        <f>IFERROR(INDEX(装备库!$A$2:$Y$1047,MATCH(ROW()-1,装备库!$AO$2:$AO$1046,0),COLUMN()),"")</f>
        <v/>
      </c>
      <c r="T1038" t="str">
        <f>IFERROR(INDEX(装备库!$A$2:$Y$1047,MATCH(ROW()-1,装备库!$AO$2:$AO$1046,0),COLUMN()),"")</f>
        <v/>
      </c>
      <c r="U1038" t="str">
        <f>IFERROR(INDEX(装备库!$A$2:$Y$1047,MATCH(ROW()-1,装备库!$AO$2:$AO$1046,0),COLUMN()),"")</f>
        <v/>
      </c>
      <c r="V1038" t="str">
        <f>IFERROR(INDEX(装备库!$A$2:$Y$1047,MATCH(ROW()-1,装备库!$AO$2:$AO$1046,0),COLUMN()),"")</f>
        <v/>
      </c>
      <c r="W1038" t="str">
        <f>IFERROR(INDEX(装备库!$A$2:$Y$1047,MATCH(ROW()-1,装备库!$AO$2:$AO$1046,0),COLUMN()),"")</f>
        <v/>
      </c>
      <c r="X1038" t="str">
        <f>IFERROR(INDEX(装备库!$A$2:$Y$1047,MATCH(ROW()-1,装备库!$AO$2:$AO$1046,0),COLUMN()),"")</f>
        <v/>
      </c>
      <c r="Y1038" t="str">
        <f>IFERROR(INDEX(装备库!$A$2:$Y$1047,MATCH(ROW()-1,装备库!$AO$2:$AO$1046,0),COLUMN()),"")</f>
        <v/>
      </c>
    </row>
    <row r="1039" spans="1:25" x14ac:dyDescent="0.35">
      <c r="A1039" t="str">
        <f>IFERROR(INDEX(装备库!$A$2:$Y$1047,MATCH(ROW()-1,装备库!$AO$2:$AO$1046,0),COLUMN()),"")</f>
        <v/>
      </c>
      <c r="B1039" t="str">
        <f>IFERROR(INDEX(装备库!$A$2:$Y$1047,MATCH(ROW()-1,装备库!$AO$2:$AO$1046,0),COLUMN()),"")</f>
        <v/>
      </c>
      <c r="C1039" t="str">
        <f>IFERROR(INDEX(装备库!$A$2:$Y$1047,MATCH(ROW()-1,装备库!$AO$2:$AO$1046,0),COLUMN()),"")</f>
        <v/>
      </c>
      <c r="D1039" t="str">
        <f>IFERROR(INDEX(装备库!$A$2:$Y$1047,MATCH(ROW()-1,装备库!$AO$2:$AO$1046,0),COLUMN()),"")</f>
        <v/>
      </c>
      <c r="E1039" t="str">
        <f>IFERROR(INDEX(装备库!$A$2:$Y$1047,MATCH(ROW()-1,装备库!$AO$2:$AO$1046,0),COLUMN()),"")</f>
        <v/>
      </c>
      <c r="F1039" t="str">
        <f>IFERROR(INDEX(装备库!$A$2:$Y$1047,MATCH(ROW()-1,装备库!$AO$2:$AO$1046,0),COLUMN()),"")</f>
        <v/>
      </c>
      <c r="G1039" t="str">
        <f>IFERROR(INDEX(装备库!$A$2:$Y$1047,MATCH(ROW()-1,装备库!$AO$2:$AO$1046,0),COLUMN()),"")</f>
        <v/>
      </c>
      <c r="H1039" t="str">
        <f>IFERROR(INDEX(装备库!$A$2:$Y$1047,MATCH(ROW()-1,装备库!$AO$2:$AO$1046,0),COLUMN()),"")</f>
        <v/>
      </c>
      <c r="I1039" t="str">
        <f>IFERROR(INDEX(装备库!$A$2:$Y$1047,MATCH(ROW()-1,装备库!$AO$2:$AO$1046,0),COLUMN()),"")</f>
        <v/>
      </c>
      <c r="J1039" t="str">
        <f>IFERROR(INDEX(装备库!$A$2:$Y$1047,MATCH(ROW()-1,装备库!$AO$2:$AO$1046,0),COLUMN()),"")</f>
        <v/>
      </c>
      <c r="K1039" t="str">
        <f>IFERROR(INDEX(装备库!$A$2:$Y$1047,MATCH(ROW()-1,装备库!$AO$2:$AO$1046,0),COLUMN()),"")</f>
        <v/>
      </c>
      <c r="L1039" t="str">
        <f>IFERROR(INDEX(装备库!$A$2:$Y$1047,MATCH(ROW()-1,装备库!$AO$2:$AO$1046,0),COLUMN()),"")</f>
        <v/>
      </c>
      <c r="M1039" t="str">
        <f>IFERROR(INDEX(装备库!$A$2:$Y$1047,MATCH(ROW()-1,装备库!$AO$2:$AO$1046,0),COLUMN()),"")</f>
        <v/>
      </c>
      <c r="N1039" t="str">
        <f>IFERROR(INDEX(装备库!$A$2:$Y$1047,MATCH(ROW()-1,装备库!$AO$2:$AO$1046,0),COLUMN()),"")</f>
        <v/>
      </c>
      <c r="O1039" t="str">
        <f>IFERROR(INDEX(装备库!$A$2:$Y$1047,MATCH(ROW()-1,装备库!$AO$2:$AO$1046,0),COLUMN()),"")</f>
        <v/>
      </c>
      <c r="P1039" t="str">
        <f>IFERROR(INDEX(装备库!$A$2:$Y$1047,MATCH(ROW()-1,装备库!$AO$2:$AO$1046,0),COLUMN()),"")</f>
        <v/>
      </c>
      <c r="Q1039" t="str">
        <f>IFERROR(INDEX(装备库!$A$2:$Y$1047,MATCH(ROW()-1,装备库!$AO$2:$AO$1046,0),COLUMN()),"")</f>
        <v/>
      </c>
      <c r="R1039" t="str">
        <f>IFERROR(INDEX(装备库!$A$2:$Y$1047,MATCH(ROW()-1,装备库!$AO$2:$AO$1046,0),COLUMN()),"")</f>
        <v/>
      </c>
      <c r="S1039" t="str">
        <f>IFERROR(INDEX(装备库!$A$2:$Y$1047,MATCH(ROW()-1,装备库!$AO$2:$AO$1046,0),COLUMN()),"")</f>
        <v/>
      </c>
      <c r="T1039" t="str">
        <f>IFERROR(INDEX(装备库!$A$2:$Y$1047,MATCH(ROW()-1,装备库!$AO$2:$AO$1046,0),COLUMN()),"")</f>
        <v/>
      </c>
      <c r="U1039" t="str">
        <f>IFERROR(INDEX(装备库!$A$2:$Y$1047,MATCH(ROW()-1,装备库!$AO$2:$AO$1046,0),COLUMN()),"")</f>
        <v/>
      </c>
      <c r="V1039" t="str">
        <f>IFERROR(INDEX(装备库!$A$2:$Y$1047,MATCH(ROW()-1,装备库!$AO$2:$AO$1046,0),COLUMN()),"")</f>
        <v/>
      </c>
      <c r="W1039" t="str">
        <f>IFERROR(INDEX(装备库!$A$2:$Y$1047,MATCH(ROW()-1,装备库!$AO$2:$AO$1046,0),COLUMN()),"")</f>
        <v/>
      </c>
      <c r="X1039" t="str">
        <f>IFERROR(INDEX(装备库!$A$2:$Y$1047,MATCH(ROW()-1,装备库!$AO$2:$AO$1046,0),COLUMN()),"")</f>
        <v/>
      </c>
      <c r="Y1039" t="str">
        <f>IFERROR(INDEX(装备库!$A$2:$Y$1047,MATCH(ROW()-1,装备库!$AO$2:$AO$1046,0),COLUMN()),"")</f>
        <v/>
      </c>
    </row>
    <row r="1040" spans="1:25" x14ac:dyDescent="0.35">
      <c r="A1040" t="str">
        <f>IFERROR(INDEX(装备库!$A$2:$Y$1047,MATCH(ROW()-1,装备库!$AO$2:$AO$1046,0),COLUMN()),"")</f>
        <v/>
      </c>
      <c r="B1040" t="str">
        <f>IFERROR(INDEX(装备库!$A$2:$Y$1047,MATCH(ROW()-1,装备库!$AO$2:$AO$1046,0),COLUMN()),"")</f>
        <v/>
      </c>
      <c r="C1040" t="str">
        <f>IFERROR(INDEX(装备库!$A$2:$Y$1047,MATCH(ROW()-1,装备库!$AO$2:$AO$1046,0),COLUMN()),"")</f>
        <v/>
      </c>
      <c r="D1040" t="str">
        <f>IFERROR(INDEX(装备库!$A$2:$Y$1047,MATCH(ROW()-1,装备库!$AO$2:$AO$1046,0),COLUMN()),"")</f>
        <v/>
      </c>
      <c r="E1040" t="str">
        <f>IFERROR(INDEX(装备库!$A$2:$Y$1047,MATCH(ROW()-1,装备库!$AO$2:$AO$1046,0),COLUMN()),"")</f>
        <v/>
      </c>
      <c r="F1040" t="str">
        <f>IFERROR(INDEX(装备库!$A$2:$Y$1047,MATCH(ROW()-1,装备库!$AO$2:$AO$1046,0),COLUMN()),"")</f>
        <v/>
      </c>
      <c r="G1040" t="str">
        <f>IFERROR(INDEX(装备库!$A$2:$Y$1047,MATCH(ROW()-1,装备库!$AO$2:$AO$1046,0),COLUMN()),"")</f>
        <v/>
      </c>
      <c r="H1040" t="str">
        <f>IFERROR(INDEX(装备库!$A$2:$Y$1047,MATCH(ROW()-1,装备库!$AO$2:$AO$1046,0),COLUMN()),"")</f>
        <v/>
      </c>
      <c r="I1040" t="str">
        <f>IFERROR(INDEX(装备库!$A$2:$Y$1047,MATCH(ROW()-1,装备库!$AO$2:$AO$1046,0),COLUMN()),"")</f>
        <v/>
      </c>
      <c r="J1040" t="str">
        <f>IFERROR(INDEX(装备库!$A$2:$Y$1047,MATCH(ROW()-1,装备库!$AO$2:$AO$1046,0),COLUMN()),"")</f>
        <v/>
      </c>
      <c r="K1040" t="str">
        <f>IFERROR(INDEX(装备库!$A$2:$Y$1047,MATCH(ROW()-1,装备库!$AO$2:$AO$1046,0),COLUMN()),"")</f>
        <v/>
      </c>
      <c r="L1040" t="str">
        <f>IFERROR(INDEX(装备库!$A$2:$Y$1047,MATCH(ROW()-1,装备库!$AO$2:$AO$1046,0),COLUMN()),"")</f>
        <v/>
      </c>
      <c r="M1040" t="str">
        <f>IFERROR(INDEX(装备库!$A$2:$Y$1047,MATCH(ROW()-1,装备库!$AO$2:$AO$1046,0),COLUMN()),"")</f>
        <v/>
      </c>
      <c r="N1040" t="str">
        <f>IFERROR(INDEX(装备库!$A$2:$Y$1047,MATCH(ROW()-1,装备库!$AO$2:$AO$1046,0),COLUMN()),"")</f>
        <v/>
      </c>
      <c r="O1040" t="str">
        <f>IFERROR(INDEX(装备库!$A$2:$Y$1047,MATCH(ROW()-1,装备库!$AO$2:$AO$1046,0),COLUMN()),"")</f>
        <v/>
      </c>
      <c r="P1040" t="str">
        <f>IFERROR(INDEX(装备库!$A$2:$Y$1047,MATCH(ROW()-1,装备库!$AO$2:$AO$1046,0),COLUMN()),"")</f>
        <v/>
      </c>
      <c r="Q1040" t="str">
        <f>IFERROR(INDEX(装备库!$A$2:$Y$1047,MATCH(ROW()-1,装备库!$AO$2:$AO$1046,0),COLUMN()),"")</f>
        <v/>
      </c>
      <c r="R1040" t="str">
        <f>IFERROR(INDEX(装备库!$A$2:$Y$1047,MATCH(ROW()-1,装备库!$AO$2:$AO$1046,0),COLUMN()),"")</f>
        <v/>
      </c>
      <c r="S1040" t="str">
        <f>IFERROR(INDEX(装备库!$A$2:$Y$1047,MATCH(ROW()-1,装备库!$AO$2:$AO$1046,0),COLUMN()),"")</f>
        <v/>
      </c>
      <c r="T1040" t="str">
        <f>IFERROR(INDEX(装备库!$A$2:$Y$1047,MATCH(ROW()-1,装备库!$AO$2:$AO$1046,0),COLUMN()),"")</f>
        <v/>
      </c>
      <c r="U1040" t="str">
        <f>IFERROR(INDEX(装备库!$A$2:$Y$1047,MATCH(ROW()-1,装备库!$AO$2:$AO$1046,0),COLUMN()),"")</f>
        <v/>
      </c>
      <c r="V1040" t="str">
        <f>IFERROR(INDEX(装备库!$A$2:$Y$1047,MATCH(ROW()-1,装备库!$AO$2:$AO$1046,0),COLUMN()),"")</f>
        <v/>
      </c>
      <c r="W1040" t="str">
        <f>IFERROR(INDEX(装备库!$A$2:$Y$1047,MATCH(ROW()-1,装备库!$AO$2:$AO$1046,0),COLUMN()),"")</f>
        <v/>
      </c>
      <c r="X1040" t="str">
        <f>IFERROR(INDEX(装备库!$A$2:$Y$1047,MATCH(ROW()-1,装备库!$AO$2:$AO$1046,0),COLUMN()),"")</f>
        <v/>
      </c>
      <c r="Y1040" t="str">
        <f>IFERROR(INDEX(装备库!$A$2:$Y$1047,MATCH(ROW()-1,装备库!$AO$2:$AO$1046,0),COLUMN()),"")</f>
        <v/>
      </c>
    </row>
    <row r="1041" spans="1:25" x14ac:dyDescent="0.35">
      <c r="A1041" t="str">
        <f>IFERROR(INDEX(装备库!$A$2:$Y$1047,MATCH(ROW()-1,装备库!$AO$2:$AO$1046,0),COLUMN()),"")</f>
        <v/>
      </c>
      <c r="B1041" t="str">
        <f>IFERROR(INDEX(装备库!$A$2:$Y$1047,MATCH(ROW()-1,装备库!$AO$2:$AO$1046,0),COLUMN()),"")</f>
        <v/>
      </c>
      <c r="C1041" t="str">
        <f>IFERROR(INDEX(装备库!$A$2:$Y$1047,MATCH(ROW()-1,装备库!$AO$2:$AO$1046,0),COLUMN()),"")</f>
        <v/>
      </c>
      <c r="D1041" t="str">
        <f>IFERROR(INDEX(装备库!$A$2:$Y$1047,MATCH(ROW()-1,装备库!$AO$2:$AO$1046,0),COLUMN()),"")</f>
        <v/>
      </c>
      <c r="E1041" t="str">
        <f>IFERROR(INDEX(装备库!$A$2:$Y$1047,MATCH(ROW()-1,装备库!$AO$2:$AO$1046,0),COLUMN()),"")</f>
        <v/>
      </c>
      <c r="F1041" t="str">
        <f>IFERROR(INDEX(装备库!$A$2:$Y$1047,MATCH(ROW()-1,装备库!$AO$2:$AO$1046,0),COLUMN()),"")</f>
        <v/>
      </c>
      <c r="G1041" t="str">
        <f>IFERROR(INDEX(装备库!$A$2:$Y$1047,MATCH(ROW()-1,装备库!$AO$2:$AO$1046,0),COLUMN()),"")</f>
        <v/>
      </c>
      <c r="H1041" t="str">
        <f>IFERROR(INDEX(装备库!$A$2:$Y$1047,MATCH(ROW()-1,装备库!$AO$2:$AO$1046,0),COLUMN()),"")</f>
        <v/>
      </c>
      <c r="I1041" t="str">
        <f>IFERROR(INDEX(装备库!$A$2:$Y$1047,MATCH(ROW()-1,装备库!$AO$2:$AO$1046,0),COLUMN()),"")</f>
        <v/>
      </c>
      <c r="J1041" t="str">
        <f>IFERROR(INDEX(装备库!$A$2:$Y$1047,MATCH(ROW()-1,装备库!$AO$2:$AO$1046,0),COLUMN()),"")</f>
        <v/>
      </c>
      <c r="K1041" t="str">
        <f>IFERROR(INDEX(装备库!$A$2:$Y$1047,MATCH(ROW()-1,装备库!$AO$2:$AO$1046,0),COLUMN()),"")</f>
        <v/>
      </c>
      <c r="L1041" t="str">
        <f>IFERROR(INDEX(装备库!$A$2:$Y$1047,MATCH(ROW()-1,装备库!$AO$2:$AO$1046,0),COLUMN()),"")</f>
        <v/>
      </c>
      <c r="M1041" t="str">
        <f>IFERROR(INDEX(装备库!$A$2:$Y$1047,MATCH(ROW()-1,装备库!$AO$2:$AO$1046,0),COLUMN()),"")</f>
        <v/>
      </c>
      <c r="N1041" t="str">
        <f>IFERROR(INDEX(装备库!$A$2:$Y$1047,MATCH(ROW()-1,装备库!$AO$2:$AO$1046,0),COLUMN()),"")</f>
        <v/>
      </c>
      <c r="O1041" t="str">
        <f>IFERROR(INDEX(装备库!$A$2:$Y$1047,MATCH(ROW()-1,装备库!$AO$2:$AO$1046,0),COLUMN()),"")</f>
        <v/>
      </c>
      <c r="P1041" t="str">
        <f>IFERROR(INDEX(装备库!$A$2:$Y$1047,MATCH(ROW()-1,装备库!$AO$2:$AO$1046,0),COLUMN()),"")</f>
        <v/>
      </c>
      <c r="Q1041" t="str">
        <f>IFERROR(INDEX(装备库!$A$2:$Y$1047,MATCH(ROW()-1,装备库!$AO$2:$AO$1046,0),COLUMN()),"")</f>
        <v/>
      </c>
      <c r="R1041" t="str">
        <f>IFERROR(INDEX(装备库!$A$2:$Y$1047,MATCH(ROW()-1,装备库!$AO$2:$AO$1046,0),COLUMN()),"")</f>
        <v/>
      </c>
      <c r="S1041" t="str">
        <f>IFERROR(INDEX(装备库!$A$2:$Y$1047,MATCH(ROW()-1,装备库!$AO$2:$AO$1046,0),COLUMN()),"")</f>
        <v/>
      </c>
      <c r="T1041" t="str">
        <f>IFERROR(INDEX(装备库!$A$2:$Y$1047,MATCH(ROW()-1,装备库!$AO$2:$AO$1046,0),COLUMN()),"")</f>
        <v/>
      </c>
      <c r="U1041" t="str">
        <f>IFERROR(INDEX(装备库!$A$2:$Y$1047,MATCH(ROW()-1,装备库!$AO$2:$AO$1046,0),COLUMN()),"")</f>
        <v/>
      </c>
      <c r="V1041" t="str">
        <f>IFERROR(INDEX(装备库!$A$2:$Y$1047,MATCH(ROW()-1,装备库!$AO$2:$AO$1046,0),COLUMN()),"")</f>
        <v/>
      </c>
      <c r="W1041" t="str">
        <f>IFERROR(INDEX(装备库!$A$2:$Y$1047,MATCH(ROW()-1,装备库!$AO$2:$AO$1046,0),COLUMN()),"")</f>
        <v/>
      </c>
      <c r="X1041" t="str">
        <f>IFERROR(INDEX(装备库!$A$2:$Y$1047,MATCH(ROW()-1,装备库!$AO$2:$AO$1046,0),COLUMN()),"")</f>
        <v/>
      </c>
      <c r="Y1041" t="str">
        <f>IFERROR(INDEX(装备库!$A$2:$Y$1047,MATCH(ROW()-1,装备库!$AO$2:$AO$1046,0),COLUMN()),"")</f>
        <v/>
      </c>
    </row>
    <row r="1042" spans="1:25" x14ac:dyDescent="0.35">
      <c r="A1042" t="str">
        <f>IFERROR(INDEX(装备库!$A$2:$Y$1047,MATCH(ROW()-1,装备库!$AO$2:$AO$1046,0),COLUMN()),"")</f>
        <v/>
      </c>
      <c r="B1042" t="str">
        <f>IFERROR(INDEX(装备库!$A$2:$Y$1047,MATCH(ROW()-1,装备库!$AO$2:$AO$1046,0),COLUMN()),"")</f>
        <v/>
      </c>
      <c r="C1042" t="str">
        <f>IFERROR(INDEX(装备库!$A$2:$Y$1047,MATCH(ROW()-1,装备库!$AO$2:$AO$1046,0),COLUMN()),"")</f>
        <v/>
      </c>
      <c r="D1042" t="str">
        <f>IFERROR(INDEX(装备库!$A$2:$Y$1047,MATCH(ROW()-1,装备库!$AO$2:$AO$1046,0),COLUMN()),"")</f>
        <v/>
      </c>
      <c r="E1042" t="str">
        <f>IFERROR(INDEX(装备库!$A$2:$Y$1047,MATCH(ROW()-1,装备库!$AO$2:$AO$1046,0),COLUMN()),"")</f>
        <v/>
      </c>
      <c r="F1042" t="str">
        <f>IFERROR(INDEX(装备库!$A$2:$Y$1047,MATCH(ROW()-1,装备库!$AO$2:$AO$1046,0),COLUMN()),"")</f>
        <v/>
      </c>
      <c r="G1042" t="str">
        <f>IFERROR(INDEX(装备库!$A$2:$Y$1047,MATCH(ROW()-1,装备库!$AO$2:$AO$1046,0),COLUMN()),"")</f>
        <v/>
      </c>
      <c r="H1042" t="str">
        <f>IFERROR(INDEX(装备库!$A$2:$Y$1047,MATCH(ROW()-1,装备库!$AO$2:$AO$1046,0),COLUMN()),"")</f>
        <v/>
      </c>
      <c r="I1042" t="str">
        <f>IFERROR(INDEX(装备库!$A$2:$Y$1047,MATCH(ROW()-1,装备库!$AO$2:$AO$1046,0),COLUMN()),"")</f>
        <v/>
      </c>
      <c r="J1042" t="str">
        <f>IFERROR(INDEX(装备库!$A$2:$Y$1047,MATCH(ROW()-1,装备库!$AO$2:$AO$1046,0),COLUMN()),"")</f>
        <v/>
      </c>
      <c r="K1042" t="str">
        <f>IFERROR(INDEX(装备库!$A$2:$Y$1047,MATCH(ROW()-1,装备库!$AO$2:$AO$1046,0),COLUMN()),"")</f>
        <v/>
      </c>
      <c r="L1042" t="str">
        <f>IFERROR(INDEX(装备库!$A$2:$Y$1047,MATCH(ROW()-1,装备库!$AO$2:$AO$1046,0),COLUMN()),"")</f>
        <v/>
      </c>
      <c r="M1042" t="str">
        <f>IFERROR(INDEX(装备库!$A$2:$Y$1047,MATCH(ROW()-1,装备库!$AO$2:$AO$1046,0),COLUMN()),"")</f>
        <v/>
      </c>
      <c r="N1042" t="str">
        <f>IFERROR(INDEX(装备库!$A$2:$Y$1047,MATCH(ROW()-1,装备库!$AO$2:$AO$1046,0),COLUMN()),"")</f>
        <v/>
      </c>
      <c r="O1042" t="str">
        <f>IFERROR(INDEX(装备库!$A$2:$Y$1047,MATCH(ROW()-1,装备库!$AO$2:$AO$1046,0),COLUMN()),"")</f>
        <v/>
      </c>
      <c r="P1042" t="str">
        <f>IFERROR(INDEX(装备库!$A$2:$Y$1047,MATCH(ROW()-1,装备库!$AO$2:$AO$1046,0),COLUMN()),"")</f>
        <v/>
      </c>
      <c r="Q1042" t="str">
        <f>IFERROR(INDEX(装备库!$A$2:$Y$1047,MATCH(ROW()-1,装备库!$AO$2:$AO$1046,0),COLUMN()),"")</f>
        <v/>
      </c>
      <c r="R1042" t="str">
        <f>IFERROR(INDEX(装备库!$A$2:$Y$1047,MATCH(ROW()-1,装备库!$AO$2:$AO$1046,0),COLUMN()),"")</f>
        <v/>
      </c>
      <c r="S1042" t="str">
        <f>IFERROR(INDEX(装备库!$A$2:$Y$1047,MATCH(ROW()-1,装备库!$AO$2:$AO$1046,0),COLUMN()),"")</f>
        <v/>
      </c>
      <c r="T1042" t="str">
        <f>IFERROR(INDEX(装备库!$A$2:$Y$1047,MATCH(ROW()-1,装备库!$AO$2:$AO$1046,0),COLUMN()),"")</f>
        <v/>
      </c>
      <c r="U1042" t="str">
        <f>IFERROR(INDEX(装备库!$A$2:$Y$1047,MATCH(ROW()-1,装备库!$AO$2:$AO$1046,0),COLUMN()),"")</f>
        <v/>
      </c>
      <c r="V1042" t="str">
        <f>IFERROR(INDEX(装备库!$A$2:$Y$1047,MATCH(ROW()-1,装备库!$AO$2:$AO$1046,0),COLUMN()),"")</f>
        <v/>
      </c>
      <c r="W1042" t="str">
        <f>IFERROR(INDEX(装备库!$A$2:$Y$1047,MATCH(ROW()-1,装备库!$AO$2:$AO$1046,0),COLUMN()),"")</f>
        <v/>
      </c>
      <c r="X1042" t="str">
        <f>IFERROR(INDEX(装备库!$A$2:$Y$1047,MATCH(ROW()-1,装备库!$AO$2:$AO$1046,0),COLUMN()),"")</f>
        <v/>
      </c>
      <c r="Y1042" t="str">
        <f>IFERROR(INDEX(装备库!$A$2:$Y$1047,MATCH(ROW()-1,装备库!$AO$2:$AO$1046,0),COLUMN()),"")</f>
        <v/>
      </c>
    </row>
    <row r="1043" spans="1:25" x14ac:dyDescent="0.35">
      <c r="A1043" t="str">
        <f>IFERROR(INDEX(装备库!$A$2:$Y$1047,MATCH(ROW()-1,装备库!$AO$2:$AO$1046,0),COLUMN()),"")</f>
        <v/>
      </c>
      <c r="B1043" t="str">
        <f>IFERROR(INDEX(装备库!$A$2:$Y$1047,MATCH(ROW()-1,装备库!$AO$2:$AO$1046,0),COLUMN()),"")</f>
        <v/>
      </c>
      <c r="C1043" t="str">
        <f>IFERROR(INDEX(装备库!$A$2:$Y$1047,MATCH(ROW()-1,装备库!$AO$2:$AO$1046,0),COLUMN()),"")</f>
        <v/>
      </c>
      <c r="D1043" t="str">
        <f>IFERROR(INDEX(装备库!$A$2:$Y$1047,MATCH(ROW()-1,装备库!$AO$2:$AO$1046,0),COLUMN()),"")</f>
        <v/>
      </c>
      <c r="E1043" t="str">
        <f>IFERROR(INDEX(装备库!$A$2:$Y$1047,MATCH(ROW()-1,装备库!$AO$2:$AO$1046,0),COLUMN()),"")</f>
        <v/>
      </c>
      <c r="F1043" t="str">
        <f>IFERROR(INDEX(装备库!$A$2:$Y$1047,MATCH(ROW()-1,装备库!$AO$2:$AO$1046,0),COLUMN()),"")</f>
        <v/>
      </c>
      <c r="G1043" t="str">
        <f>IFERROR(INDEX(装备库!$A$2:$Y$1047,MATCH(ROW()-1,装备库!$AO$2:$AO$1046,0),COLUMN()),"")</f>
        <v/>
      </c>
      <c r="H1043" t="str">
        <f>IFERROR(INDEX(装备库!$A$2:$Y$1047,MATCH(ROW()-1,装备库!$AO$2:$AO$1046,0),COLUMN()),"")</f>
        <v/>
      </c>
      <c r="I1043" t="str">
        <f>IFERROR(INDEX(装备库!$A$2:$Y$1047,MATCH(ROW()-1,装备库!$AO$2:$AO$1046,0),COLUMN()),"")</f>
        <v/>
      </c>
      <c r="J1043" t="str">
        <f>IFERROR(INDEX(装备库!$A$2:$Y$1047,MATCH(ROW()-1,装备库!$AO$2:$AO$1046,0),COLUMN()),"")</f>
        <v/>
      </c>
      <c r="K1043" t="str">
        <f>IFERROR(INDEX(装备库!$A$2:$Y$1047,MATCH(ROW()-1,装备库!$AO$2:$AO$1046,0),COLUMN()),"")</f>
        <v/>
      </c>
      <c r="L1043" t="str">
        <f>IFERROR(INDEX(装备库!$A$2:$Y$1047,MATCH(ROW()-1,装备库!$AO$2:$AO$1046,0),COLUMN()),"")</f>
        <v/>
      </c>
      <c r="M1043" t="str">
        <f>IFERROR(INDEX(装备库!$A$2:$Y$1047,MATCH(ROW()-1,装备库!$AO$2:$AO$1046,0),COLUMN()),"")</f>
        <v/>
      </c>
      <c r="N1043" t="str">
        <f>IFERROR(INDEX(装备库!$A$2:$Y$1047,MATCH(ROW()-1,装备库!$AO$2:$AO$1046,0),COLUMN()),"")</f>
        <v/>
      </c>
      <c r="O1043" t="str">
        <f>IFERROR(INDEX(装备库!$A$2:$Y$1047,MATCH(ROW()-1,装备库!$AO$2:$AO$1046,0),COLUMN()),"")</f>
        <v/>
      </c>
      <c r="P1043" t="str">
        <f>IFERROR(INDEX(装备库!$A$2:$Y$1047,MATCH(ROW()-1,装备库!$AO$2:$AO$1046,0),COLUMN()),"")</f>
        <v/>
      </c>
      <c r="Q1043" t="str">
        <f>IFERROR(INDEX(装备库!$A$2:$Y$1047,MATCH(ROW()-1,装备库!$AO$2:$AO$1046,0),COLUMN()),"")</f>
        <v/>
      </c>
      <c r="R1043" t="str">
        <f>IFERROR(INDEX(装备库!$A$2:$Y$1047,MATCH(ROW()-1,装备库!$AO$2:$AO$1046,0),COLUMN()),"")</f>
        <v/>
      </c>
      <c r="S1043" t="str">
        <f>IFERROR(INDEX(装备库!$A$2:$Y$1047,MATCH(ROW()-1,装备库!$AO$2:$AO$1046,0),COLUMN()),"")</f>
        <v/>
      </c>
      <c r="T1043" t="str">
        <f>IFERROR(INDEX(装备库!$A$2:$Y$1047,MATCH(ROW()-1,装备库!$AO$2:$AO$1046,0),COLUMN()),"")</f>
        <v/>
      </c>
      <c r="U1043" t="str">
        <f>IFERROR(INDEX(装备库!$A$2:$Y$1047,MATCH(ROW()-1,装备库!$AO$2:$AO$1046,0),COLUMN()),"")</f>
        <v/>
      </c>
      <c r="V1043" t="str">
        <f>IFERROR(INDEX(装备库!$A$2:$Y$1047,MATCH(ROW()-1,装备库!$AO$2:$AO$1046,0),COLUMN()),"")</f>
        <v/>
      </c>
      <c r="W1043" t="str">
        <f>IFERROR(INDEX(装备库!$A$2:$Y$1047,MATCH(ROW()-1,装备库!$AO$2:$AO$1046,0),COLUMN()),"")</f>
        <v/>
      </c>
      <c r="X1043" t="str">
        <f>IFERROR(INDEX(装备库!$A$2:$Y$1047,MATCH(ROW()-1,装备库!$AO$2:$AO$1046,0),COLUMN()),"")</f>
        <v/>
      </c>
      <c r="Y1043" t="str">
        <f>IFERROR(INDEX(装备库!$A$2:$Y$1047,MATCH(ROW()-1,装备库!$AO$2:$AO$1046,0),COLUMN()),"")</f>
        <v/>
      </c>
    </row>
    <row r="1044" spans="1:25" x14ac:dyDescent="0.35">
      <c r="A1044" t="str">
        <f>IFERROR(INDEX(装备库!$A$2:$Y$1047,MATCH(ROW()-1,装备库!$AO$2:$AO$1046,0),COLUMN()),"")</f>
        <v/>
      </c>
      <c r="B1044" t="str">
        <f>IFERROR(INDEX(装备库!$A$2:$Y$1047,MATCH(ROW()-1,装备库!$AO$2:$AO$1046,0),COLUMN()),"")</f>
        <v/>
      </c>
      <c r="C1044" t="str">
        <f>IFERROR(INDEX(装备库!$A$2:$Y$1047,MATCH(ROW()-1,装备库!$AO$2:$AO$1046,0),COLUMN()),"")</f>
        <v/>
      </c>
      <c r="D1044" t="str">
        <f>IFERROR(INDEX(装备库!$A$2:$Y$1047,MATCH(ROW()-1,装备库!$AO$2:$AO$1046,0),COLUMN()),"")</f>
        <v/>
      </c>
      <c r="E1044" t="str">
        <f>IFERROR(INDEX(装备库!$A$2:$Y$1047,MATCH(ROW()-1,装备库!$AO$2:$AO$1046,0),COLUMN()),"")</f>
        <v/>
      </c>
      <c r="F1044" t="str">
        <f>IFERROR(INDEX(装备库!$A$2:$Y$1047,MATCH(ROW()-1,装备库!$AO$2:$AO$1046,0),COLUMN()),"")</f>
        <v/>
      </c>
      <c r="G1044" t="str">
        <f>IFERROR(INDEX(装备库!$A$2:$Y$1047,MATCH(ROW()-1,装备库!$AO$2:$AO$1046,0),COLUMN()),"")</f>
        <v/>
      </c>
      <c r="H1044" t="str">
        <f>IFERROR(INDEX(装备库!$A$2:$Y$1047,MATCH(ROW()-1,装备库!$AO$2:$AO$1046,0),COLUMN()),"")</f>
        <v/>
      </c>
      <c r="I1044" t="str">
        <f>IFERROR(INDEX(装备库!$A$2:$Y$1047,MATCH(ROW()-1,装备库!$AO$2:$AO$1046,0),COLUMN()),"")</f>
        <v/>
      </c>
      <c r="J1044" t="str">
        <f>IFERROR(INDEX(装备库!$A$2:$Y$1047,MATCH(ROW()-1,装备库!$AO$2:$AO$1046,0),COLUMN()),"")</f>
        <v/>
      </c>
      <c r="K1044" t="str">
        <f>IFERROR(INDEX(装备库!$A$2:$Y$1047,MATCH(ROW()-1,装备库!$AO$2:$AO$1046,0),COLUMN()),"")</f>
        <v/>
      </c>
      <c r="L1044" t="str">
        <f>IFERROR(INDEX(装备库!$A$2:$Y$1047,MATCH(ROW()-1,装备库!$AO$2:$AO$1046,0),COLUMN()),"")</f>
        <v/>
      </c>
      <c r="M1044" t="str">
        <f>IFERROR(INDEX(装备库!$A$2:$Y$1047,MATCH(ROW()-1,装备库!$AO$2:$AO$1046,0),COLUMN()),"")</f>
        <v/>
      </c>
      <c r="N1044" t="str">
        <f>IFERROR(INDEX(装备库!$A$2:$Y$1047,MATCH(ROW()-1,装备库!$AO$2:$AO$1046,0),COLUMN()),"")</f>
        <v/>
      </c>
      <c r="O1044" t="str">
        <f>IFERROR(INDEX(装备库!$A$2:$Y$1047,MATCH(ROW()-1,装备库!$AO$2:$AO$1046,0),COLUMN()),"")</f>
        <v/>
      </c>
      <c r="P1044" t="str">
        <f>IFERROR(INDEX(装备库!$A$2:$Y$1047,MATCH(ROW()-1,装备库!$AO$2:$AO$1046,0),COLUMN()),"")</f>
        <v/>
      </c>
      <c r="Q1044" t="str">
        <f>IFERROR(INDEX(装备库!$A$2:$Y$1047,MATCH(ROW()-1,装备库!$AO$2:$AO$1046,0),COLUMN()),"")</f>
        <v/>
      </c>
      <c r="R1044" t="str">
        <f>IFERROR(INDEX(装备库!$A$2:$Y$1047,MATCH(ROW()-1,装备库!$AO$2:$AO$1046,0),COLUMN()),"")</f>
        <v/>
      </c>
      <c r="S1044" t="str">
        <f>IFERROR(INDEX(装备库!$A$2:$Y$1047,MATCH(ROW()-1,装备库!$AO$2:$AO$1046,0),COLUMN()),"")</f>
        <v/>
      </c>
      <c r="T1044" t="str">
        <f>IFERROR(INDEX(装备库!$A$2:$Y$1047,MATCH(ROW()-1,装备库!$AO$2:$AO$1046,0),COLUMN()),"")</f>
        <v/>
      </c>
      <c r="U1044" t="str">
        <f>IFERROR(INDEX(装备库!$A$2:$Y$1047,MATCH(ROW()-1,装备库!$AO$2:$AO$1046,0),COLUMN()),"")</f>
        <v/>
      </c>
      <c r="V1044" t="str">
        <f>IFERROR(INDEX(装备库!$A$2:$Y$1047,MATCH(ROW()-1,装备库!$AO$2:$AO$1046,0),COLUMN()),"")</f>
        <v/>
      </c>
      <c r="W1044" t="str">
        <f>IFERROR(INDEX(装备库!$A$2:$Y$1047,MATCH(ROW()-1,装备库!$AO$2:$AO$1046,0),COLUMN()),"")</f>
        <v/>
      </c>
      <c r="X1044" t="str">
        <f>IFERROR(INDEX(装备库!$A$2:$Y$1047,MATCH(ROW()-1,装备库!$AO$2:$AO$1046,0),COLUMN()),"")</f>
        <v/>
      </c>
      <c r="Y1044" t="str">
        <f>IFERROR(INDEX(装备库!$A$2:$Y$1047,MATCH(ROW()-1,装备库!$AO$2:$AO$1046,0),COLUMN()),"")</f>
        <v/>
      </c>
    </row>
    <row r="1045" spans="1:25" x14ac:dyDescent="0.35">
      <c r="A1045" t="str">
        <f>IFERROR(INDEX(装备库!$A$2:$Y$1047,MATCH(ROW()-1,装备库!$AO$2:$AO$1046,0),COLUMN()),"")</f>
        <v/>
      </c>
      <c r="B1045" t="str">
        <f>IFERROR(INDEX(装备库!$A$2:$Y$1047,MATCH(ROW()-1,装备库!$AO$2:$AO$1046,0),COLUMN()),"")</f>
        <v/>
      </c>
      <c r="C1045" t="str">
        <f>IFERROR(INDEX(装备库!$A$2:$Y$1047,MATCH(ROW()-1,装备库!$AO$2:$AO$1046,0),COLUMN()),"")</f>
        <v/>
      </c>
      <c r="D1045" t="str">
        <f>IFERROR(INDEX(装备库!$A$2:$Y$1047,MATCH(ROW()-1,装备库!$AO$2:$AO$1046,0),COLUMN()),"")</f>
        <v/>
      </c>
      <c r="E1045" t="str">
        <f>IFERROR(INDEX(装备库!$A$2:$Y$1047,MATCH(ROW()-1,装备库!$AO$2:$AO$1046,0),COLUMN()),"")</f>
        <v/>
      </c>
      <c r="F1045" t="str">
        <f>IFERROR(INDEX(装备库!$A$2:$Y$1047,MATCH(ROW()-1,装备库!$AO$2:$AO$1046,0),COLUMN()),"")</f>
        <v/>
      </c>
      <c r="G1045" t="str">
        <f>IFERROR(INDEX(装备库!$A$2:$Y$1047,MATCH(ROW()-1,装备库!$AO$2:$AO$1046,0),COLUMN()),"")</f>
        <v/>
      </c>
      <c r="H1045" t="str">
        <f>IFERROR(INDEX(装备库!$A$2:$Y$1047,MATCH(ROW()-1,装备库!$AO$2:$AO$1046,0),COLUMN()),"")</f>
        <v/>
      </c>
      <c r="I1045" t="str">
        <f>IFERROR(INDEX(装备库!$A$2:$Y$1047,MATCH(ROW()-1,装备库!$AO$2:$AO$1046,0),COLUMN()),"")</f>
        <v/>
      </c>
      <c r="J1045" t="str">
        <f>IFERROR(INDEX(装备库!$A$2:$Y$1047,MATCH(ROW()-1,装备库!$AO$2:$AO$1046,0),COLUMN()),"")</f>
        <v/>
      </c>
      <c r="K1045" t="str">
        <f>IFERROR(INDEX(装备库!$A$2:$Y$1047,MATCH(ROW()-1,装备库!$AO$2:$AO$1046,0),COLUMN()),"")</f>
        <v/>
      </c>
      <c r="L1045" t="str">
        <f>IFERROR(INDEX(装备库!$A$2:$Y$1047,MATCH(ROW()-1,装备库!$AO$2:$AO$1046,0),COLUMN()),"")</f>
        <v/>
      </c>
      <c r="M1045" t="str">
        <f>IFERROR(INDEX(装备库!$A$2:$Y$1047,MATCH(ROW()-1,装备库!$AO$2:$AO$1046,0),COLUMN()),"")</f>
        <v/>
      </c>
      <c r="N1045" t="str">
        <f>IFERROR(INDEX(装备库!$A$2:$Y$1047,MATCH(ROW()-1,装备库!$AO$2:$AO$1046,0),COLUMN()),"")</f>
        <v/>
      </c>
      <c r="O1045" t="str">
        <f>IFERROR(INDEX(装备库!$A$2:$Y$1047,MATCH(ROW()-1,装备库!$AO$2:$AO$1046,0),COLUMN()),"")</f>
        <v/>
      </c>
      <c r="P1045" t="str">
        <f>IFERROR(INDEX(装备库!$A$2:$Y$1047,MATCH(ROW()-1,装备库!$AO$2:$AO$1046,0),COLUMN()),"")</f>
        <v/>
      </c>
      <c r="Q1045" t="str">
        <f>IFERROR(INDEX(装备库!$A$2:$Y$1047,MATCH(ROW()-1,装备库!$AO$2:$AO$1046,0),COLUMN()),"")</f>
        <v/>
      </c>
      <c r="R1045" t="str">
        <f>IFERROR(INDEX(装备库!$A$2:$Y$1047,MATCH(ROW()-1,装备库!$AO$2:$AO$1046,0),COLUMN()),"")</f>
        <v/>
      </c>
      <c r="S1045" t="str">
        <f>IFERROR(INDEX(装备库!$A$2:$Y$1047,MATCH(ROW()-1,装备库!$AO$2:$AO$1046,0),COLUMN()),"")</f>
        <v/>
      </c>
      <c r="T1045" t="str">
        <f>IFERROR(INDEX(装备库!$A$2:$Y$1047,MATCH(ROW()-1,装备库!$AO$2:$AO$1046,0),COLUMN()),"")</f>
        <v/>
      </c>
      <c r="U1045" t="str">
        <f>IFERROR(INDEX(装备库!$A$2:$Y$1047,MATCH(ROW()-1,装备库!$AO$2:$AO$1046,0),COLUMN()),"")</f>
        <v/>
      </c>
      <c r="V1045" t="str">
        <f>IFERROR(INDEX(装备库!$A$2:$Y$1047,MATCH(ROW()-1,装备库!$AO$2:$AO$1046,0),COLUMN()),"")</f>
        <v/>
      </c>
      <c r="W1045" t="str">
        <f>IFERROR(INDEX(装备库!$A$2:$Y$1047,MATCH(ROW()-1,装备库!$AO$2:$AO$1046,0),COLUMN()),"")</f>
        <v/>
      </c>
      <c r="X1045" t="str">
        <f>IFERROR(INDEX(装备库!$A$2:$Y$1047,MATCH(ROW()-1,装备库!$AO$2:$AO$1046,0),COLUMN()),"")</f>
        <v/>
      </c>
      <c r="Y1045" t="str">
        <f>IFERROR(INDEX(装备库!$A$2:$Y$1047,MATCH(ROW()-1,装备库!$AO$2:$AO$1046,0),COLUMN()),"")</f>
        <v/>
      </c>
    </row>
    <row r="1046" spans="1:25" x14ac:dyDescent="0.35">
      <c r="A1046" t="str">
        <f>IFERROR(INDEX(装备库!$A$2:$Y$1047,MATCH(ROW()-1,装备库!$AO$2:$AO$1046,0),COLUMN()),"")</f>
        <v/>
      </c>
      <c r="B1046" t="str">
        <f>IFERROR(INDEX(装备库!$A$2:$Y$1047,MATCH(ROW()-1,装备库!$AO$2:$AO$1046,0),COLUMN()),"")</f>
        <v/>
      </c>
      <c r="C1046" t="str">
        <f>IFERROR(INDEX(装备库!$A$2:$Y$1047,MATCH(ROW()-1,装备库!$AO$2:$AO$1046,0),COLUMN()),"")</f>
        <v/>
      </c>
      <c r="D1046" t="str">
        <f>IFERROR(INDEX(装备库!$A$2:$Y$1047,MATCH(ROW()-1,装备库!$AO$2:$AO$1046,0),COLUMN()),"")</f>
        <v/>
      </c>
      <c r="E1046" t="str">
        <f>IFERROR(INDEX(装备库!$A$2:$Y$1047,MATCH(ROW()-1,装备库!$AO$2:$AO$1046,0),COLUMN()),"")</f>
        <v/>
      </c>
      <c r="F1046" t="str">
        <f>IFERROR(INDEX(装备库!$A$2:$Y$1047,MATCH(ROW()-1,装备库!$AO$2:$AO$1046,0),COLUMN()),"")</f>
        <v/>
      </c>
      <c r="G1046" t="str">
        <f>IFERROR(INDEX(装备库!$A$2:$Y$1047,MATCH(ROW()-1,装备库!$AO$2:$AO$1046,0),COLUMN()),"")</f>
        <v/>
      </c>
      <c r="H1046" t="str">
        <f>IFERROR(INDEX(装备库!$A$2:$Y$1047,MATCH(ROW()-1,装备库!$AO$2:$AO$1046,0),COLUMN()),"")</f>
        <v/>
      </c>
      <c r="I1046" t="str">
        <f>IFERROR(INDEX(装备库!$A$2:$Y$1047,MATCH(ROW()-1,装备库!$AO$2:$AO$1046,0),COLUMN()),"")</f>
        <v/>
      </c>
      <c r="J1046" t="str">
        <f>IFERROR(INDEX(装备库!$A$2:$Y$1047,MATCH(ROW()-1,装备库!$AO$2:$AO$1046,0),COLUMN()),"")</f>
        <v/>
      </c>
      <c r="K1046" t="str">
        <f>IFERROR(INDEX(装备库!$A$2:$Y$1047,MATCH(ROW()-1,装备库!$AO$2:$AO$1046,0),COLUMN()),"")</f>
        <v/>
      </c>
      <c r="L1046" t="str">
        <f>IFERROR(INDEX(装备库!$A$2:$Y$1047,MATCH(ROW()-1,装备库!$AO$2:$AO$1046,0),COLUMN()),"")</f>
        <v/>
      </c>
      <c r="M1046" t="str">
        <f>IFERROR(INDEX(装备库!$A$2:$Y$1047,MATCH(ROW()-1,装备库!$AO$2:$AO$1046,0),COLUMN()),"")</f>
        <v/>
      </c>
      <c r="N1046" t="str">
        <f>IFERROR(INDEX(装备库!$A$2:$Y$1047,MATCH(ROW()-1,装备库!$AO$2:$AO$1046,0),COLUMN()),"")</f>
        <v/>
      </c>
      <c r="O1046" t="str">
        <f>IFERROR(INDEX(装备库!$A$2:$Y$1047,MATCH(ROW()-1,装备库!$AO$2:$AO$1046,0),COLUMN()),"")</f>
        <v/>
      </c>
      <c r="P1046" t="str">
        <f>IFERROR(INDEX(装备库!$A$2:$Y$1047,MATCH(ROW()-1,装备库!$AO$2:$AO$1046,0),COLUMN()),"")</f>
        <v/>
      </c>
      <c r="Q1046" t="str">
        <f>IFERROR(INDEX(装备库!$A$2:$Y$1047,MATCH(ROW()-1,装备库!$AO$2:$AO$1046,0),COLUMN()),"")</f>
        <v/>
      </c>
      <c r="R1046" t="str">
        <f>IFERROR(INDEX(装备库!$A$2:$Y$1047,MATCH(ROW()-1,装备库!$AO$2:$AO$1046,0),COLUMN()),"")</f>
        <v/>
      </c>
      <c r="S1046" t="str">
        <f>IFERROR(INDEX(装备库!$A$2:$Y$1047,MATCH(ROW()-1,装备库!$AO$2:$AO$1046,0),COLUMN()),"")</f>
        <v/>
      </c>
      <c r="T1046" t="str">
        <f>IFERROR(INDEX(装备库!$A$2:$Y$1047,MATCH(ROW()-1,装备库!$AO$2:$AO$1046,0),COLUMN()),"")</f>
        <v/>
      </c>
      <c r="U1046" t="str">
        <f>IFERROR(INDEX(装备库!$A$2:$Y$1047,MATCH(ROW()-1,装备库!$AO$2:$AO$1046,0),COLUMN()),"")</f>
        <v/>
      </c>
      <c r="V1046" t="str">
        <f>IFERROR(INDEX(装备库!$A$2:$Y$1047,MATCH(ROW()-1,装备库!$AO$2:$AO$1046,0),COLUMN()),"")</f>
        <v/>
      </c>
      <c r="W1046" t="str">
        <f>IFERROR(INDEX(装备库!$A$2:$Y$1047,MATCH(ROW()-1,装备库!$AO$2:$AO$1046,0),COLUMN()),"")</f>
        <v/>
      </c>
      <c r="X1046" t="str">
        <f>IFERROR(INDEX(装备库!$A$2:$Y$1047,MATCH(ROW()-1,装备库!$AO$2:$AO$1046,0),COLUMN()),"")</f>
        <v/>
      </c>
      <c r="Y1046" t="str">
        <f>IFERROR(INDEX(装备库!$A$2:$Y$1047,MATCH(ROW()-1,装备库!$AO$2:$AO$1046,0),COLUMN()),"")</f>
        <v/>
      </c>
    </row>
    <row r="1047" spans="1:25" x14ac:dyDescent="0.35">
      <c r="A1047" t="str">
        <f>IFERROR(INDEX(装备库!$A$2:$Y$1047,MATCH(ROW()-1,装备库!$AO$2:$AO$1046,0),COLUMN()),"")</f>
        <v/>
      </c>
      <c r="B1047" t="str">
        <f>IFERROR(INDEX(装备库!$A$2:$Y$1047,MATCH(ROW()-1,装备库!$AO$2:$AO$1046,0),COLUMN()),"")</f>
        <v/>
      </c>
      <c r="C1047" t="str">
        <f>IFERROR(INDEX(装备库!$A$2:$Y$1047,MATCH(ROW()-1,装备库!$AO$2:$AO$1046,0),COLUMN()),"")</f>
        <v/>
      </c>
      <c r="D1047" t="str">
        <f>IFERROR(INDEX(装备库!$A$2:$Y$1047,MATCH(ROW()-1,装备库!$AO$2:$AO$1046,0),COLUMN()),"")</f>
        <v/>
      </c>
      <c r="E1047" t="str">
        <f>IFERROR(INDEX(装备库!$A$2:$Y$1047,MATCH(ROW()-1,装备库!$AO$2:$AO$1046,0),COLUMN()),"")</f>
        <v/>
      </c>
      <c r="F1047" t="str">
        <f>IFERROR(INDEX(装备库!$A$2:$Y$1047,MATCH(ROW()-1,装备库!$AO$2:$AO$1046,0),COLUMN()),"")</f>
        <v/>
      </c>
      <c r="G1047" t="str">
        <f>IFERROR(INDEX(装备库!$A$2:$Y$1047,MATCH(ROW()-1,装备库!$AO$2:$AO$1046,0),COLUMN()),"")</f>
        <v/>
      </c>
      <c r="H1047" t="str">
        <f>IFERROR(INDEX(装备库!$A$2:$Y$1047,MATCH(ROW()-1,装备库!$AO$2:$AO$1046,0),COLUMN()),"")</f>
        <v/>
      </c>
      <c r="I1047" t="str">
        <f>IFERROR(INDEX(装备库!$A$2:$Y$1047,MATCH(ROW()-1,装备库!$AO$2:$AO$1046,0),COLUMN()),"")</f>
        <v/>
      </c>
      <c r="J1047" t="str">
        <f>IFERROR(INDEX(装备库!$A$2:$Y$1047,MATCH(ROW()-1,装备库!$AO$2:$AO$1046,0),COLUMN()),"")</f>
        <v/>
      </c>
      <c r="K1047" t="str">
        <f>IFERROR(INDEX(装备库!$A$2:$Y$1047,MATCH(ROW()-1,装备库!$AO$2:$AO$1046,0),COLUMN()),"")</f>
        <v/>
      </c>
      <c r="L1047" t="str">
        <f>IFERROR(INDEX(装备库!$A$2:$Y$1047,MATCH(ROW()-1,装备库!$AO$2:$AO$1046,0),COLUMN()),"")</f>
        <v/>
      </c>
      <c r="M1047" t="str">
        <f>IFERROR(INDEX(装备库!$A$2:$Y$1047,MATCH(ROW()-1,装备库!$AO$2:$AO$1046,0),COLUMN()),"")</f>
        <v/>
      </c>
      <c r="N1047" t="str">
        <f>IFERROR(INDEX(装备库!$A$2:$Y$1047,MATCH(ROW()-1,装备库!$AO$2:$AO$1046,0),COLUMN()),"")</f>
        <v/>
      </c>
      <c r="O1047" t="str">
        <f>IFERROR(INDEX(装备库!$A$2:$Y$1047,MATCH(ROW()-1,装备库!$AO$2:$AO$1046,0),COLUMN()),"")</f>
        <v/>
      </c>
      <c r="P1047" t="str">
        <f>IFERROR(INDEX(装备库!$A$2:$Y$1047,MATCH(ROW()-1,装备库!$AO$2:$AO$1046,0),COLUMN()),"")</f>
        <v/>
      </c>
      <c r="Q1047" t="str">
        <f>IFERROR(INDEX(装备库!$A$2:$Y$1047,MATCH(ROW()-1,装备库!$AO$2:$AO$1046,0),COLUMN()),"")</f>
        <v/>
      </c>
      <c r="R1047" t="str">
        <f>IFERROR(INDEX(装备库!$A$2:$Y$1047,MATCH(ROW()-1,装备库!$AO$2:$AO$1046,0),COLUMN()),"")</f>
        <v/>
      </c>
      <c r="S1047" t="str">
        <f>IFERROR(INDEX(装备库!$A$2:$Y$1047,MATCH(ROW()-1,装备库!$AO$2:$AO$1046,0),COLUMN()),"")</f>
        <v/>
      </c>
      <c r="T1047" t="str">
        <f>IFERROR(INDEX(装备库!$A$2:$Y$1047,MATCH(ROW()-1,装备库!$AO$2:$AO$1046,0),COLUMN()),"")</f>
        <v/>
      </c>
      <c r="U1047" t="str">
        <f>IFERROR(INDEX(装备库!$A$2:$Y$1047,MATCH(ROW()-1,装备库!$AO$2:$AO$1046,0),COLUMN()),"")</f>
        <v/>
      </c>
      <c r="V1047" t="str">
        <f>IFERROR(INDEX(装备库!$A$2:$Y$1047,MATCH(ROW()-1,装备库!$AO$2:$AO$1046,0),COLUMN()),"")</f>
        <v/>
      </c>
      <c r="W1047" t="str">
        <f>IFERROR(INDEX(装备库!$A$2:$Y$1047,MATCH(ROW()-1,装备库!$AO$2:$AO$1046,0),COLUMN()),"")</f>
        <v/>
      </c>
      <c r="X1047" t="str">
        <f>IFERROR(INDEX(装备库!$A$2:$Y$1047,MATCH(ROW()-1,装备库!$AO$2:$AO$1046,0),COLUMN()),"")</f>
        <v/>
      </c>
      <c r="Y1047" t="str">
        <f>IFERROR(INDEX(装备库!$A$2:$Y$1047,MATCH(ROW()-1,装备库!$AO$2:$AO$1046,0),COLUMN()),"")</f>
        <v/>
      </c>
    </row>
    <row r="1048" spans="1:25" x14ac:dyDescent="0.35">
      <c r="A1048" t="str">
        <f>IFERROR(INDEX(装备库!$A$2:$Y$1047,MATCH(ROW()-1,装备库!$AO$2:$AO$1046,0),COLUMN()),"")</f>
        <v/>
      </c>
      <c r="B1048" t="str">
        <f>IFERROR(INDEX(装备库!$A$2:$Y$1047,MATCH(ROW()-1,装备库!$AO$2:$AO$1046,0),COLUMN()),"")</f>
        <v/>
      </c>
      <c r="C1048" t="str">
        <f>IFERROR(INDEX(装备库!$A$2:$Y$1047,MATCH(ROW()-1,装备库!$AO$2:$AO$1046,0),COLUMN()),"")</f>
        <v/>
      </c>
      <c r="D1048" t="str">
        <f>IFERROR(INDEX(装备库!$A$2:$Y$1047,MATCH(ROW()-1,装备库!$AO$2:$AO$1046,0),COLUMN()),"")</f>
        <v/>
      </c>
      <c r="E1048" t="str">
        <f>IFERROR(INDEX(装备库!$A$2:$Y$1047,MATCH(ROW()-1,装备库!$AO$2:$AO$1046,0),COLUMN()),"")</f>
        <v/>
      </c>
      <c r="F1048" t="str">
        <f>IFERROR(INDEX(装备库!$A$2:$Y$1047,MATCH(ROW()-1,装备库!$AO$2:$AO$1046,0),COLUMN()),"")</f>
        <v/>
      </c>
      <c r="G1048" t="str">
        <f>IFERROR(INDEX(装备库!$A$2:$Y$1047,MATCH(ROW()-1,装备库!$AO$2:$AO$1046,0),COLUMN()),"")</f>
        <v/>
      </c>
      <c r="H1048" t="str">
        <f>IFERROR(INDEX(装备库!$A$2:$Y$1047,MATCH(ROW()-1,装备库!$AO$2:$AO$1046,0),COLUMN()),"")</f>
        <v/>
      </c>
      <c r="I1048" t="str">
        <f>IFERROR(INDEX(装备库!$A$2:$Y$1047,MATCH(ROW()-1,装备库!$AO$2:$AO$1046,0),COLUMN()),"")</f>
        <v/>
      </c>
      <c r="J1048" t="str">
        <f>IFERROR(INDEX(装备库!$A$2:$Y$1047,MATCH(ROW()-1,装备库!$AO$2:$AO$1046,0),COLUMN()),"")</f>
        <v/>
      </c>
      <c r="K1048" t="str">
        <f>IFERROR(INDEX(装备库!$A$2:$Y$1047,MATCH(ROW()-1,装备库!$AO$2:$AO$1046,0),COLUMN()),"")</f>
        <v/>
      </c>
      <c r="L1048" t="str">
        <f>IFERROR(INDEX(装备库!$A$2:$Y$1047,MATCH(ROW()-1,装备库!$AO$2:$AO$1046,0),COLUMN()),"")</f>
        <v/>
      </c>
      <c r="M1048" t="str">
        <f>IFERROR(INDEX(装备库!$A$2:$Y$1047,MATCH(ROW()-1,装备库!$AO$2:$AO$1046,0),COLUMN()),"")</f>
        <v/>
      </c>
      <c r="N1048" t="str">
        <f>IFERROR(INDEX(装备库!$A$2:$Y$1047,MATCH(ROW()-1,装备库!$AO$2:$AO$1046,0),COLUMN()),"")</f>
        <v/>
      </c>
      <c r="O1048" t="str">
        <f>IFERROR(INDEX(装备库!$A$2:$Y$1047,MATCH(ROW()-1,装备库!$AO$2:$AO$1046,0),COLUMN()),"")</f>
        <v/>
      </c>
      <c r="P1048" t="str">
        <f>IFERROR(INDEX(装备库!$A$2:$Y$1047,MATCH(ROW()-1,装备库!$AO$2:$AO$1046,0),COLUMN()),"")</f>
        <v/>
      </c>
      <c r="Q1048" t="str">
        <f>IFERROR(INDEX(装备库!$A$2:$Y$1047,MATCH(ROW()-1,装备库!$AO$2:$AO$1046,0),COLUMN()),"")</f>
        <v/>
      </c>
      <c r="R1048" t="str">
        <f>IFERROR(INDEX(装备库!$A$2:$Y$1047,MATCH(ROW()-1,装备库!$AO$2:$AO$1046,0),COLUMN()),"")</f>
        <v/>
      </c>
      <c r="S1048" t="str">
        <f>IFERROR(INDEX(装备库!$A$2:$Y$1047,MATCH(ROW()-1,装备库!$AO$2:$AO$1046,0),COLUMN()),"")</f>
        <v/>
      </c>
      <c r="T1048" t="str">
        <f>IFERROR(INDEX(装备库!$A$2:$Y$1047,MATCH(ROW()-1,装备库!$AO$2:$AO$1046,0),COLUMN()),"")</f>
        <v/>
      </c>
      <c r="U1048" t="str">
        <f>IFERROR(INDEX(装备库!$A$2:$Y$1047,MATCH(ROW()-1,装备库!$AO$2:$AO$1046,0),COLUMN()),"")</f>
        <v/>
      </c>
      <c r="V1048" t="str">
        <f>IFERROR(INDEX(装备库!$A$2:$Y$1047,MATCH(ROW()-1,装备库!$AO$2:$AO$1046,0),COLUMN()),"")</f>
        <v/>
      </c>
      <c r="W1048" t="str">
        <f>IFERROR(INDEX(装备库!$A$2:$Y$1047,MATCH(ROW()-1,装备库!$AO$2:$AO$1046,0),COLUMN()),"")</f>
        <v/>
      </c>
      <c r="X1048" t="str">
        <f>IFERROR(INDEX(装备库!$A$2:$Y$1047,MATCH(ROW()-1,装备库!$AO$2:$AO$1046,0),COLUMN()),"")</f>
        <v/>
      </c>
      <c r="Y1048" t="str">
        <f>IFERROR(INDEX(装备库!$A$2:$Y$1047,MATCH(ROW()-1,装备库!$AO$2:$AO$1046,0),COLUMN()),"")</f>
        <v/>
      </c>
    </row>
    <row r="1049" spans="1:25" x14ac:dyDescent="0.35">
      <c r="A1049" t="str">
        <f>IFERROR(INDEX(装备库!$A$2:$Y$1047,MATCH(ROW()-1,装备库!$AO$2:$AO$1046,0),COLUMN()),"")</f>
        <v/>
      </c>
      <c r="B1049" t="str">
        <f>IFERROR(INDEX(装备库!$A$2:$Y$1047,MATCH(ROW()-1,装备库!$AO$2:$AO$1046,0),COLUMN()),"")</f>
        <v/>
      </c>
      <c r="C1049" t="str">
        <f>IFERROR(INDEX(装备库!$A$2:$Y$1047,MATCH(ROW()-1,装备库!$AO$2:$AO$1046,0),COLUMN()),"")</f>
        <v/>
      </c>
      <c r="D1049" t="str">
        <f>IFERROR(INDEX(装备库!$A$2:$Y$1047,MATCH(ROW()-1,装备库!$AO$2:$AO$1046,0),COLUMN()),"")</f>
        <v/>
      </c>
      <c r="E1049" t="str">
        <f>IFERROR(INDEX(装备库!$A$2:$Y$1047,MATCH(ROW()-1,装备库!$AO$2:$AO$1046,0),COLUMN()),"")</f>
        <v/>
      </c>
      <c r="F1049" t="str">
        <f>IFERROR(INDEX(装备库!$A$2:$Y$1047,MATCH(ROW()-1,装备库!$AO$2:$AO$1046,0),COLUMN()),"")</f>
        <v/>
      </c>
      <c r="G1049" t="str">
        <f>IFERROR(INDEX(装备库!$A$2:$Y$1047,MATCH(ROW()-1,装备库!$AO$2:$AO$1046,0),COLUMN()),"")</f>
        <v/>
      </c>
      <c r="H1049" t="str">
        <f>IFERROR(INDEX(装备库!$A$2:$Y$1047,MATCH(ROW()-1,装备库!$AO$2:$AO$1046,0),COLUMN()),"")</f>
        <v/>
      </c>
      <c r="I1049" t="str">
        <f>IFERROR(INDEX(装备库!$A$2:$Y$1047,MATCH(ROW()-1,装备库!$AO$2:$AO$1046,0),COLUMN()),"")</f>
        <v/>
      </c>
      <c r="J1049" t="str">
        <f>IFERROR(INDEX(装备库!$A$2:$Y$1047,MATCH(ROW()-1,装备库!$AO$2:$AO$1046,0),COLUMN()),"")</f>
        <v/>
      </c>
      <c r="K1049" t="str">
        <f>IFERROR(INDEX(装备库!$A$2:$Y$1047,MATCH(ROW()-1,装备库!$AO$2:$AO$1046,0),COLUMN()),"")</f>
        <v/>
      </c>
      <c r="L1049" t="str">
        <f>IFERROR(INDEX(装备库!$A$2:$Y$1047,MATCH(ROW()-1,装备库!$AO$2:$AO$1046,0),COLUMN()),"")</f>
        <v/>
      </c>
      <c r="M1049" t="str">
        <f>IFERROR(INDEX(装备库!$A$2:$Y$1047,MATCH(ROW()-1,装备库!$AO$2:$AO$1046,0),COLUMN()),"")</f>
        <v/>
      </c>
      <c r="N1049" t="str">
        <f>IFERROR(INDEX(装备库!$A$2:$Y$1047,MATCH(ROW()-1,装备库!$AO$2:$AO$1046,0),COLUMN()),"")</f>
        <v/>
      </c>
      <c r="O1049" t="str">
        <f>IFERROR(INDEX(装备库!$A$2:$Y$1047,MATCH(ROW()-1,装备库!$AO$2:$AO$1046,0),COLUMN()),"")</f>
        <v/>
      </c>
      <c r="P1049" t="str">
        <f>IFERROR(INDEX(装备库!$A$2:$Y$1047,MATCH(ROW()-1,装备库!$AO$2:$AO$1046,0),COLUMN()),"")</f>
        <v/>
      </c>
      <c r="Q1049" t="str">
        <f>IFERROR(INDEX(装备库!$A$2:$Y$1047,MATCH(ROW()-1,装备库!$AO$2:$AO$1046,0),COLUMN()),"")</f>
        <v/>
      </c>
      <c r="R1049" t="str">
        <f>IFERROR(INDEX(装备库!$A$2:$Y$1047,MATCH(ROW()-1,装备库!$AO$2:$AO$1046,0),COLUMN()),"")</f>
        <v/>
      </c>
      <c r="S1049" t="str">
        <f>IFERROR(INDEX(装备库!$A$2:$Y$1047,MATCH(ROW()-1,装备库!$AO$2:$AO$1046,0),COLUMN()),"")</f>
        <v/>
      </c>
      <c r="T1049" t="str">
        <f>IFERROR(INDEX(装备库!$A$2:$Y$1047,MATCH(ROW()-1,装备库!$AO$2:$AO$1046,0),COLUMN()),"")</f>
        <v/>
      </c>
      <c r="U1049" t="str">
        <f>IFERROR(INDEX(装备库!$A$2:$Y$1047,MATCH(ROW()-1,装备库!$AO$2:$AO$1046,0),COLUMN()),"")</f>
        <v/>
      </c>
      <c r="V1049" t="str">
        <f>IFERROR(INDEX(装备库!$A$2:$Y$1047,MATCH(ROW()-1,装备库!$AO$2:$AO$1046,0),COLUMN()),"")</f>
        <v/>
      </c>
      <c r="W1049" t="str">
        <f>IFERROR(INDEX(装备库!$A$2:$Y$1047,MATCH(ROW()-1,装备库!$AO$2:$AO$1046,0),COLUMN()),"")</f>
        <v/>
      </c>
      <c r="X1049" t="str">
        <f>IFERROR(INDEX(装备库!$A$2:$Y$1047,MATCH(ROW()-1,装备库!$AO$2:$AO$1046,0),COLUMN()),"")</f>
        <v/>
      </c>
      <c r="Y1049" t="str">
        <f>IFERROR(INDEX(装备库!$A$2:$Y$1047,MATCH(ROW()-1,装备库!$AO$2:$AO$1046,0),COLUMN()),"")</f>
        <v/>
      </c>
    </row>
    <row r="1050" spans="1:25" x14ac:dyDescent="0.35">
      <c r="A1050" t="str">
        <f>IFERROR(INDEX(装备库!$A$2:$Y$1047,MATCH(ROW()-1,装备库!$AO$2:$AO$1046,0),COLUMN()),"")</f>
        <v/>
      </c>
      <c r="B1050" t="str">
        <f>IFERROR(INDEX(装备库!$A$2:$Y$1047,MATCH(ROW()-1,装备库!$AO$2:$AO$1046,0),COLUMN()),"")</f>
        <v/>
      </c>
      <c r="C1050" t="str">
        <f>IFERROR(INDEX(装备库!$A$2:$Y$1047,MATCH(ROW()-1,装备库!$AO$2:$AO$1046,0),COLUMN()),"")</f>
        <v/>
      </c>
      <c r="D1050" t="str">
        <f>IFERROR(INDEX(装备库!$A$2:$Y$1047,MATCH(ROW()-1,装备库!$AO$2:$AO$1046,0),COLUMN()),"")</f>
        <v/>
      </c>
      <c r="E1050" t="str">
        <f>IFERROR(INDEX(装备库!$A$2:$Y$1047,MATCH(ROW()-1,装备库!$AO$2:$AO$1046,0),COLUMN()),"")</f>
        <v/>
      </c>
      <c r="F1050" t="str">
        <f>IFERROR(INDEX(装备库!$A$2:$Y$1047,MATCH(ROW()-1,装备库!$AO$2:$AO$1046,0),COLUMN()),"")</f>
        <v/>
      </c>
      <c r="G1050" t="str">
        <f>IFERROR(INDEX(装备库!$A$2:$Y$1047,MATCH(ROW()-1,装备库!$AO$2:$AO$1046,0),COLUMN()),"")</f>
        <v/>
      </c>
      <c r="H1050" t="str">
        <f>IFERROR(INDEX(装备库!$A$2:$Y$1047,MATCH(ROW()-1,装备库!$AO$2:$AO$1046,0),COLUMN()),"")</f>
        <v/>
      </c>
      <c r="I1050" t="str">
        <f>IFERROR(INDEX(装备库!$A$2:$Y$1047,MATCH(ROW()-1,装备库!$AO$2:$AO$1046,0),COLUMN()),"")</f>
        <v/>
      </c>
      <c r="J1050" t="str">
        <f>IFERROR(INDEX(装备库!$A$2:$Y$1047,MATCH(ROW()-1,装备库!$AO$2:$AO$1046,0),COLUMN()),"")</f>
        <v/>
      </c>
      <c r="K1050" t="str">
        <f>IFERROR(INDEX(装备库!$A$2:$Y$1047,MATCH(ROW()-1,装备库!$AO$2:$AO$1046,0),COLUMN()),"")</f>
        <v/>
      </c>
      <c r="L1050" t="str">
        <f>IFERROR(INDEX(装备库!$A$2:$Y$1047,MATCH(ROW()-1,装备库!$AO$2:$AO$1046,0),COLUMN()),"")</f>
        <v/>
      </c>
      <c r="M1050" t="str">
        <f>IFERROR(INDEX(装备库!$A$2:$Y$1047,MATCH(ROW()-1,装备库!$AO$2:$AO$1046,0),COLUMN()),"")</f>
        <v/>
      </c>
      <c r="N1050" t="str">
        <f>IFERROR(INDEX(装备库!$A$2:$Y$1047,MATCH(ROW()-1,装备库!$AO$2:$AO$1046,0),COLUMN()),"")</f>
        <v/>
      </c>
      <c r="O1050" t="str">
        <f>IFERROR(INDEX(装备库!$A$2:$Y$1047,MATCH(ROW()-1,装备库!$AO$2:$AO$1046,0),COLUMN()),"")</f>
        <v/>
      </c>
      <c r="P1050" t="str">
        <f>IFERROR(INDEX(装备库!$A$2:$Y$1047,MATCH(ROW()-1,装备库!$AO$2:$AO$1046,0),COLUMN()),"")</f>
        <v/>
      </c>
      <c r="Q1050" t="str">
        <f>IFERROR(INDEX(装备库!$A$2:$Y$1047,MATCH(ROW()-1,装备库!$AO$2:$AO$1046,0),COLUMN()),"")</f>
        <v/>
      </c>
      <c r="R1050" t="str">
        <f>IFERROR(INDEX(装备库!$A$2:$Y$1047,MATCH(ROW()-1,装备库!$AO$2:$AO$1046,0),COLUMN()),"")</f>
        <v/>
      </c>
      <c r="S1050" t="str">
        <f>IFERROR(INDEX(装备库!$A$2:$Y$1047,MATCH(ROW()-1,装备库!$AO$2:$AO$1046,0),COLUMN()),"")</f>
        <v/>
      </c>
      <c r="T1050" t="str">
        <f>IFERROR(INDEX(装备库!$A$2:$Y$1047,MATCH(ROW()-1,装备库!$AO$2:$AO$1046,0),COLUMN()),"")</f>
        <v/>
      </c>
      <c r="U1050" t="str">
        <f>IFERROR(INDEX(装备库!$A$2:$Y$1047,MATCH(ROW()-1,装备库!$AO$2:$AO$1046,0),COLUMN()),"")</f>
        <v/>
      </c>
      <c r="V1050" t="str">
        <f>IFERROR(INDEX(装备库!$A$2:$Y$1047,MATCH(ROW()-1,装备库!$AO$2:$AO$1046,0),COLUMN()),"")</f>
        <v/>
      </c>
      <c r="W1050" t="str">
        <f>IFERROR(INDEX(装备库!$A$2:$Y$1047,MATCH(ROW()-1,装备库!$AO$2:$AO$1046,0),COLUMN()),"")</f>
        <v/>
      </c>
      <c r="X1050" t="str">
        <f>IFERROR(INDEX(装备库!$A$2:$Y$1047,MATCH(ROW()-1,装备库!$AO$2:$AO$1046,0),COLUMN()),"")</f>
        <v/>
      </c>
      <c r="Y1050" t="str">
        <f>IFERROR(INDEX(装备库!$A$2:$Y$1047,MATCH(ROW()-1,装备库!$AO$2:$AO$1046,0),COLUMN()),"")</f>
        <v/>
      </c>
    </row>
    <row r="1051" spans="1:25" x14ac:dyDescent="0.35">
      <c r="A1051" t="str">
        <f>IFERROR(INDEX(装备库!$A$2:$Y$1047,MATCH(ROW()-1,装备库!$AO$2:$AO$1046,0),COLUMN()),"")</f>
        <v/>
      </c>
      <c r="B1051" t="str">
        <f>IFERROR(INDEX(装备库!$A$2:$Y$1047,MATCH(ROW()-1,装备库!$AO$2:$AO$1046,0),COLUMN()),"")</f>
        <v/>
      </c>
      <c r="C1051" t="str">
        <f>IFERROR(INDEX(装备库!$A$2:$Y$1047,MATCH(ROW()-1,装备库!$AO$2:$AO$1046,0),COLUMN()),"")</f>
        <v/>
      </c>
      <c r="D1051" t="str">
        <f>IFERROR(INDEX(装备库!$A$2:$Y$1047,MATCH(ROW()-1,装备库!$AO$2:$AO$1046,0),COLUMN()),"")</f>
        <v/>
      </c>
      <c r="E1051" t="str">
        <f>IFERROR(INDEX(装备库!$A$2:$Y$1047,MATCH(ROW()-1,装备库!$AO$2:$AO$1046,0),COLUMN()),"")</f>
        <v/>
      </c>
      <c r="F1051" t="str">
        <f>IFERROR(INDEX(装备库!$A$2:$Y$1047,MATCH(ROW()-1,装备库!$AO$2:$AO$1046,0),COLUMN()),"")</f>
        <v/>
      </c>
      <c r="G1051" t="str">
        <f>IFERROR(INDEX(装备库!$A$2:$Y$1047,MATCH(ROW()-1,装备库!$AO$2:$AO$1046,0),COLUMN()),"")</f>
        <v/>
      </c>
      <c r="H1051" t="str">
        <f>IFERROR(INDEX(装备库!$A$2:$Y$1047,MATCH(ROW()-1,装备库!$AO$2:$AO$1046,0),COLUMN()),"")</f>
        <v/>
      </c>
      <c r="I1051" t="str">
        <f>IFERROR(INDEX(装备库!$A$2:$Y$1047,MATCH(ROW()-1,装备库!$AO$2:$AO$1046,0),COLUMN()),"")</f>
        <v/>
      </c>
      <c r="J1051" t="str">
        <f>IFERROR(INDEX(装备库!$A$2:$Y$1047,MATCH(ROW()-1,装备库!$AO$2:$AO$1046,0),COLUMN()),"")</f>
        <v/>
      </c>
      <c r="K1051" t="str">
        <f>IFERROR(INDEX(装备库!$A$2:$Y$1047,MATCH(ROW()-1,装备库!$AO$2:$AO$1046,0),COLUMN()),"")</f>
        <v/>
      </c>
      <c r="L1051" t="str">
        <f>IFERROR(INDEX(装备库!$A$2:$Y$1047,MATCH(ROW()-1,装备库!$AO$2:$AO$1046,0),COLUMN()),"")</f>
        <v/>
      </c>
      <c r="M1051" t="str">
        <f>IFERROR(INDEX(装备库!$A$2:$Y$1047,MATCH(ROW()-1,装备库!$AO$2:$AO$1046,0),COLUMN()),"")</f>
        <v/>
      </c>
      <c r="N1051" t="str">
        <f>IFERROR(INDEX(装备库!$A$2:$Y$1047,MATCH(ROW()-1,装备库!$AO$2:$AO$1046,0),COLUMN()),"")</f>
        <v/>
      </c>
      <c r="O1051" t="str">
        <f>IFERROR(INDEX(装备库!$A$2:$Y$1047,MATCH(ROW()-1,装备库!$AO$2:$AO$1046,0),COLUMN()),"")</f>
        <v/>
      </c>
      <c r="P1051" t="str">
        <f>IFERROR(INDEX(装备库!$A$2:$Y$1047,MATCH(ROW()-1,装备库!$AO$2:$AO$1046,0),COLUMN()),"")</f>
        <v/>
      </c>
      <c r="Q1051" t="str">
        <f>IFERROR(INDEX(装备库!$A$2:$Y$1047,MATCH(ROW()-1,装备库!$AO$2:$AO$1046,0),COLUMN()),"")</f>
        <v/>
      </c>
      <c r="R1051" t="str">
        <f>IFERROR(INDEX(装备库!$A$2:$Y$1047,MATCH(ROW()-1,装备库!$AO$2:$AO$1046,0),COLUMN()),"")</f>
        <v/>
      </c>
      <c r="S1051" t="str">
        <f>IFERROR(INDEX(装备库!$A$2:$Y$1047,MATCH(ROW()-1,装备库!$AO$2:$AO$1046,0),COLUMN()),"")</f>
        <v/>
      </c>
      <c r="T1051" t="str">
        <f>IFERROR(INDEX(装备库!$A$2:$Y$1047,MATCH(ROW()-1,装备库!$AO$2:$AO$1046,0),COLUMN()),"")</f>
        <v/>
      </c>
      <c r="U1051" t="str">
        <f>IFERROR(INDEX(装备库!$A$2:$Y$1047,MATCH(ROW()-1,装备库!$AO$2:$AO$1046,0),COLUMN()),"")</f>
        <v/>
      </c>
      <c r="V1051" t="str">
        <f>IFERROR(INDEX(装备库!$A$2:$Y$1047,MATCH(ROW()-1,装备库!$AO$2:$AO$1046,0),COLUMN()),"")</f>
        <v/>
      </c>
      <c r="W1051" t="str">
        <f>IFERROR(INDEX(装备库!$A$2:$Y$1047,MATCH(ROW()-1,装备库!$AO$2:$AO$1046,0),COLUMN()),"")</f>
        <v/>
      </c>
      <c r="X1051" t="str">
        <f>IFERROR(INDEX(装备库!$A$2:$Y$1047,MATCH(ROW()-1,装备库!$AO$2:$AO$1046,0),COLUMN()),"")</f>
        <v/>
      </c>
      <c r="Y1051" t="str">
        <f>IFERROR(INDEX(装备库!$A$2:$Y$1047,MATCH(ROW()-1,装备库!$AO$2:$AO$1046,0),COLUMN()),"")</f>
        <v/>
      </c>
    </row>
    <row r="1052" spans="1:25" x14ac:dyDescent="0.35">
      <c r="A1052" t="str">
        <f>IFERROR(INDEX(装备库!$A$2:$Y$1047,MATCH(ROW()-1,装备库!$AO$2:$AO$1046,0),COLUMN()),"")</f>
        <v/>
      </c>
      <c r="B1052" t="str">
        <f>IFERROR(INDEX(装备库!$A$2:$Y$1047,MATCH(ROW()-1,装备库!$AO$2:$AO$1046,0),COLUMN()),"")</f>
        <v/>
      </c>
      <c r="C1052" t="str">
        <f>IFERROR(INDEX(装备库!$A$2:$Y$1047,MATCH(ROW()-1,装备库!$AO$2:$AO$1046,0),COLUMN()),"")</f>
        <v/>
      </c>
      <c r="D1052" t="str">
        <f>IFERROR(INDEX(装备库!$A$2:$Y$1047,MATCH(ROW()-1,装备库!$AO$2:$AO$1046,0),COLUMN()),"")</f>
        <v/>
      </c>
      <c r="E1052" t="str">
        <f>IFERROR(INDEX(装备库!$A$2:$Y$1047,MATCH(ROW()-1,装备库!$AO$2:$AO$1046,0),COLUMN()),"")</f>
        <v/>
      </c>
      <c r="F1052" t="str">
        <f>IFERROR(INDEX(装备库!$A$2:$Y$1047,MATCH(ROW()-1,装备库!$AO$2:$AO$1046,0),COLUMN()),"")</f>
        <v/>
      </c>
      <c r="G1052" t="str">
        <f>IFERROR(INDEX(装备库!$A$2:$Y$1047,MATCH(ROW()-1,装备库!$AO$2:$AO$1046,0),COLUMN()),"")</f>
        <v/>
      </c>
      <c r="H1052" t="str">
        <f>IFERROR(INDEX(装备库!$A$2:$Y$1047,MATCH(ROW()-1,装备库!$AO$2:$AO$1046,0),COLUMN()),"")</f>
        <v/>
      </c>
      <c r="I1052" t="str">
        <f>IFERROR(INDEX(装备库!$A$2:$Y$1047,MATCH(ROW()-1,装备库!$AO$2:$AO$1046,0),COLUMN()),"")</f>
        <v/>
      </c>
      <c r="J1052" t="str">
        <f>IFERROR(INDEX(装备库!$A$2:$Y$1047,MATCH(ROW()-1,装备库!$AO$2:$AO$1046,0),COLUMN()),"")</f>
        <v/>
      </c>
      <c r="K1052" t="str">
        <f>IFERROR(INDEX(装备库!$A$2:$Y$1047,MATCH(ROW()-1,装备库!$AO$2:$AO$1046,0),COLUMN()),"")</f>
        <v/>
      </c>
      <c r="L1052" t="str">
        <f>IFERROR(INDEX(装备库!$A$2:$Y$1047,MATCH(ROW()-1,装备库!$AO$2:$AO$1046,0),COLUMN()),"")</f>
        <v/>
      </c>
      <c r="M1052" t="str">
        <f>IFERROR(INDEX(装备库!$A$2:$Y$1047,MATCH(ROW()-1,装备库!$AO$2:$AO$1046,0),COLUMN()),"")</f>
        <v/>
      </c>
      <c r="N1052" t="str">
        <f>IFERROR(INDEX(装备库!$A$2:$Y$1047,MATCH(ROW()-1,装备库!$AO$2:$AO$1046,0),COLUMN()),"")</f>
        <v/>
      </c>
      <c r="O1052" t="str">
        <f>IFERROR(INDEX(装备库!$A$2:$Y$1047,MATCH(ROW()-1,装备库!$AO$2:$AO$1046,0),COLUMN()),"")</f>
        <v/>
      </c>
      <c r="P1052" t="str">
        <f>IFERROR(INDEX(装备库!$A$2:$Y$1047,MATCH(ROW()-1,装备库!$AO$2:$AO$1046,0),COLUMN()),"")</f>
        <v/>
      </c>
      <c r="Q1052" t="str">
        <f>IFERROR(INDEX(装备库!$A$2:$Y$1047,MATCH(ROW()-1,装备库!$AO$2:$AO$1046,0),COLUMN()),"")</f>
        <v/>
      </c>
      <c r="R1052" t="str">
        <f>IFERROR(INDEX(装备库!$A$2:$Y$1047,MATCH(ROW()-1,装备库!$AO$2:$AO$1046,0),COLUMN()),"")</f>
        <v/>
      </c>
      <c r="S1052" t="str">
        <f>IFERROR(INDEX(装备库!$A$2:$Y$1047,MATCH(ROW()-1,装备库!$AO$2:$AO$1046,0),COLUMN()),"")</f>
        <v/>
      </c>
      <c r="T1052" t="str">
        <f>IFERROR(INDEX(装备库!$A$2:$Y$1047,MATCH(ROW()-1,装备库!$AO$2:$AO$1046,0),COLUMN()),"")</f>
        <v/>
      </c>
      <c r="U1052" t="str">
        <f>IFERROR(INDEX(装备库!$A$2:$Y$1047,MATCH(ROW()-1,装备库!$AO$2:$AO$1046,0),COLUMN()),"")</f>
        <v/>
      </c>
      <c r="V1052" t="str">
        <f>IFERROR(INDEX(装备库!$A$2:$Y$1047,MATCH(ROW()-1,装备库!$AO$2:$AO$1046,0),COLUMN()),"")</f>
        <v/>
      </c>
      <c r="W1052" t="str">
        <f>IFERROR(INDEX(装备库!$A$2:$Y$1047,MATCH(ROW()-1,装备库!$AO$2:$AO$1046,0),COLUMN()),"")</f>
        <v/>
      </c>
      <c r="X1052" t="str">
        <f>IFERROR(INDEX(装备库!$A$2:$Y$1047,MATCH(ROW()-1,装备库!$AO$2:$AO$1046,0),COLUMN()),"")</f>
        <v/>
      </c>
      <c r="Y1052" t="str">
        <f>IFERROR(INDEX(装备库!$A$2:$Y$1047,MATCH(ROW()-1,装备库!$AO$2:$AO$1046,0),COLUMN()),"")</f>
        <v/>
      </c>
    </row>
    <row r="1053" spans="1:25" x14ac:dyDescent="0.35">
      <c r="A1053" t="str">
        <f>IFERROR(INDEX(装备库!$A$2:$Y$1047,MATCH(ROW()-1,装备库!$AO$2:$AO$1046,0),COLUMN()),"")</f>
        <v/>
      </c>
      <c r="B1053" t="str">
        <f>IFERROR(INDEX(装备库!$A$2:$Y$1047,MATCH(ROW()-1,装备库!$AO$2:$AO$1046,0),COLUMN()),"")</f>
        <v/>
      </c>
      <c r="C1053" t="str">
        <f>IFERROR(INDEX(装备库!$A$2:$Y$1047,MATCH(ROW()-1,装备库!$AO$2:$AO$1046,0),COLUMN()),"")</f>
        <v/>
      </c>
      <c r="D1053" t="str">
        <f>IFERROR(INDEX(装备库!$A$2:$Y$1047,MATCH(ROW()-1,装备库!$AO$2:$AO$1046,0),COLUMN()),"")</f>
        <v/>
      </c>
      <c r="E1053" t="str">
        <f>IFERROR(INDEX(装备库!$A$2:$Y$1047,MATCH(ROW()-1,装备库!$AO$2:$AO$1046,0),COLUMN()),"")</f>
        <v/>
      </c>
      <c r="F1053" t="str">
        <f>IFERROR(INDEX(装备库!$A$2:$Y$1047,MATCH(ROW()-1,装备库!$AO$2:$AO$1046,0),COLUMN()),"")</f>
        <v/>
      </c>
      <c r="G1053" t="str">
        <f>IFERROR(INDEX(装备库!$A$2:$Y$1047,MATCH(ROW()-1,装备库!$AO$2:$AO$1046,0),COLUMN()),"")</f>
        <v/>
      </c>
      <c r="H1053" t="str">
        <f>IFERROR(INDEX(装备库!$A$2:$Y$1047,MATCH(ROW()-1,装备库!$AO$2:$AO$1046,0),COLUMN()),"")</f>
        <v/>
      </c>
      <c r="I1053" t="str">
        <f>IFERROR(INDEX(装备库!$A$2:$Y$1047,MATCH(ROW()-1,装备库!$AO$2:$AO$1046,0),COLUMN()),"")</f>
        <v/>
      </c>
      <c r="J1053" t="str">
        <f>IFERROR(INDEX(装备库!$A$2:$Y$1047,MATCH(ROW()-1,装备库!$AO$2:$AO$1046,0),COLUMN()),"")</f>
        <v/>
      </c>
      <c r="K1053" t="str">
        <f>IFERROR(INDEX(装备库!$A$2:$Y$1047,MATCH(ROW()-1,装备库!$AO$2:$AO$1046,0),COLUMN()),"")</f>
        <v/>
      </c>
      <c r="L1053" t="str">
        <f>IFERROR(INDEX(装备库!$A$2:$Y$1047,MATCH(ROW()-1,装备库!$AO$2:$AO$1046,0),COLUMN()),"")</f>
        <v/>
      </c>
      <c r="M1053" t="str">
        <f>IFERROR(INDEX(装备库!$A$2:$Y$1047,MATCH(ROW()-1,装备库!$AO$2:$AO$1046,0),COLUMN()),"")</f>
        <v/>
      </c>
      <c r="N1053" t="str">
        <f>IFERROR(INDEX(装备库!$A$2:$Y$1047,MATCH(ROW()-1,装备库!$AO$2:$AO$1046,0),COLUMN()),"")</f>
        <v/>
      </c>
      <c r="O1053" t="str">
        <f>IFERROR(INDEX(装备库!$A$2:$Y$1047,MATCH(ROW()-1,装备库!$AO$2:$AO$1046,0),COLUMN()),"")</f>
        <v/>
      </c>
      <c r="P1053" t="str">
        <f>IFERROR(INDEX(装备库!$A$2:$Y$1047,MATCH(ROW()-1,装备库!$AO$2:$AO$1046,0),COLUMN()),"")</f>
        <v/>
      </c>
      <c r="Q1053" t="str">
        <f>IFERROR(INDEX(装备库!$A$2:$Y$1047,MATCH(ROW()-1,装备库!$AO$2:$AO$1046,0),COLUMN()),"")</f>
        <v/>
      </c>
      <c r="R1053" t="str">
        <f>IFERROR(INDEX(装备库!$A$2:$Y$1047,MATCH(ROW()-1,装备库!$AO$2:$AO$1046,0),COLUMN()),"")</f>
        <v/>
      </c>
      <c r="S1053" t="str">
        <f>IFERROR(INDEX(装备库!$A$2:$Y$1047,MATCH(ROW()-1,装备库!$AO$2:$AO$1046,0),COLUMN()),"")</f>
        <v/>
      </c>
      <c r="T1053" t="str">
        <f>IFERROR(INDEX(装备库!$A$2:$Y$1047,MATCH(ROW()-1,装备库!$AO$2:$AO$1046,0),COLUMN()),"")</f>
        <v/>
      </c>
      <c r="U1053" t="str">
        <f>IFERROR(INDEX(装备库!$A$2:$Y$1047,MATCH(ROW()-1,装备库!$AO$2:$AO$1046,0),COLUMN()),"")</f>
        <v/>
      </c>
      <c r="V1053" t="str">
        <f>IFERROR(INDEX(装备库!$A$2:$Y$1047,MATCH(ROW()-1,装备库!$AO$2:$AO$1046,0),COLUMN()),"")</f>
        <v/>
      </c>
      <c r="W1053" t="str">
        <f>IFERROR(INDEX(装备库!$A$2:$Y$1047,MATCH(ROW()-1,装备库!$AO$2:$AO$1046,0),COLUMN()),"")</f>
        <v/>
      </c>
      <c r="X1053" t="str">
        <f>IFERROR(INDEX(装备库!$A$2:$Y$1047,MATCH(ROW()-1,装备库!$AO$2:$AO$1046,0),COLUMN()),"")</f>
        <v/>
      </c>
      <c r="Y1053" t="str">
        <f>IFERROR(INDEX(装备库!$A$2:$Y$1047,MATCH(ROW()-1,装备库!$AO$2:$AO$1046,0),COLUMN()),"")</f>
        <v/>
      </c>
    </row>
    <row r="1054" spans="1:25" x14ac:dyDescent="0.35">
      <c r="A1054" t="str">
        <f>IFERROR(INDEX(装备库!$A$2:$Y$1047,MATCH(ROW()-1,装备库!$AO$2:$AO$1046,0),COLUMN()),"")</f>
        <v/>
      </c>
      <c r="B1054" t="str">
        <f>IFERROR(INDEX(装备库!$A$2:$Y$1047,MATCH(ROW()-1,装备库!$AO$2:$AO$1046,0),COLUMN()),"")</f>
        <v/>
      </c>
      <c r="C1054" t="str">
        <f>IFERROR(INDEX(装备库!$A$2:$Y$1047,MATCH(ROW()-1,装备库!$AO$2:$AO$1046,0),COLUMN()),"")</f>
        <v/>
      </c>
      <c r="D1054" t="str">
        <f>IFERROR(INDEX(装备库!$A$2:$Y$1047,MATCH(ROW()-1,装备库!$AO$2:$AO$1046,0),COLUMN()),"")</f>
        <v/>
      </c>
      <c r="E1054" t="str">
        <f>IFERROR(INDEX(装备库!$A$2:$Y$1047,MATCH(ROW()-1,装备库!$AO$2:$AO$1046,0),COLUMN()),"")</f>
        <v/>
      </c>
      <c r="F1054" t="str">
        <f>IFERROR(INDEX(装备库!$A$2:$Y$1047,MATCH(ROW()-1,装备库!$AO$2:$AO$1046,0),COLUMN()),"")</f>
        <v/>
      </c>
      <c r="G1054" t="str">
        <f>IFERROR(INDEX(装备库!$A$2:$Y$1047,MATCH(ROW()-1,装备库!$AO$2:$AO$1046,0),COLUMN()),"")</f>
        <v/>
      </c>
      <c r="H1054" t="str">
        <f>IFERROR(INDEX(装备库!$A$2:$Y$1047,MATCH(ROW()-1,装备库!$AO$2:$AO$1046,0),COLUMN()),"")</f>
        <v/>
      </c>
      <c r="I1054" t="str">
        <f>IFERROR(INDEX(装备库!$A$2:$Y$1047,MATCH(ROW()-1,装备库!$AO$2:$AO$1046,0),COLUMN()),"")</f>
        <v/>
      </c>
      <c r="J1054" t="str">
        <f>IFERROR(INDEX(装备库!$A$2:$Y$1047,MATCH(ROW()-1,装备库!$AO$2:$AO$1046,0),COLUMN()),"")</f>
        <v/>
      </c>
      <c r="K1054" t="str">
        <f>IFERROR(INDEX(装备库!$A$2:$Y$1047,MATCH(ROW()-1,装备库!$AO$2:$AO$1046,0),COLUMN()),"")</f>
        <v/>
      </c>
      <c r="L1054" t="str">
        <f>IFERROR(INDEX(装备库!$A$2:$Y$1047,MATCH(ROW()-1,装备库!$AO$2:$AO$1046,0),COLUMN()),"")</f>
        <v/>
      </c>
      <c r="M1054" t="str">
        <f>IFERROR(INDEX(装备库!$A$2:$Y$1047,MATCH(ROW()-1,装备库!$AO$2:$AO$1046,0),COLUMN()),"")</f>
        <v/>
      </c>
      <c r="N1054" t="str">
        <f>IFERROR(INDEX(装备库!$A$2:$Y$1047,MATCH(ROW()-1,装备库!$AO$2:$AO$1046,0),COLUMN()),"")</f>
        <v/>
      </c>
      <c r="O1054" t="str">
        <f>IFERROR(INDEX(装备库!$A$2:$Y$1047,MATCH(ROW()-1,装备库!$AO$2:$AO$1046,0),COLUMN()),"")</f>
        <v/>
      </c>
      <c r="P1054" t="str">
        <f>IFERROR(INDEX(装备库!$A$2:$Y$1047,MATCH(ROW()-1,装备库!$AO$2:$AO$1046,0),COLUMN()),"")</f>
        <v/>
      </c>
      <c r="Q1054" t="str">
        <f>IFERROR(INDEX(装备库!$A$2:$Y$1047,MATCH(ROW()-1,装备库!$AO$2:$AO$1046,0),COLUMN()),"")</f>
        <v/>
      </c>
      <c r="R1054" t="str">
        <f>IFERROR(INDEX(装备库!$A$2:$Y$1047,MATCH(ROW()-1,装备库!$AO$2:$AO$1046,0),COLUMN()),"")</f>
        <v/>
      </c>
      <c r="S1054" t="str">
        <f>IFERROR(INDEX(装备库!$A$2:$Y$1047,MATCH(ROW()-1,装备库!$AO$2:$AO$1046,0),COLUMN()),"")</f>
        <v/>
      </c>
      <c r="T1054" t="str">
        <f>IFERROR(INDEX(装备库!$A$2:$Y$1047,MATCH(ROW()-1,装备库!$AO$2:$AO$1046,0),COLUMN()),"")</f>
        <v/>
      </c>
      <c r="U1054" t="str">
        <f>IFERROR(INDEX(装备库!$A$2:$Y$1047,MATCH(ROW()-1,装备库!$AO$2:$AO$1046,0),COLUMN()),"")</f>
        <v/>
      </c>
      <c r="V1054" t="str">
        <f>IFERROR(INDEX(装备库!$A$2:$Y$1047,MATCH(ROW()-1,装备库!$AO$2:$AO$1046,0),COLUMN()),"")</f>
        <v/>
      </c>
      <c r="W1054" t="str">
        <f>IFERROR(INDEX(装备库!$A$2:$Y$1047,MATCH(ROW()-1,装备库!$AO$2:$AO$1046,0),COLUMN()),"")</f>
        <v/>
      </c>
      <c r="X1054" t="str">
        <f>IFERROR(INDEX(装备库!$A$2:$Y$1047,MATCH(ROW()-1,装备库!$AO$2:$AO$1046,0),COLUMN()),"")</f>
        <v/>
      </c>
      <c r="Y1054" t="str">
        <f>IFERROR(INDEX(装备库!$A$2:$Y$1047,MATCH(ROW()-1,装备库!$AO$2:$AO$1046,0),COLUMN()),"")</f>
        <v/>
      </c>
    </row>
    <row r="1055" spans="1:25" x14ac:dyDescent="0.35">
      <c r="A1055" t="str">
        <f>IFERROR(INDEX(装备库!$A$2:$Y$1047,MATCH(ROW()-1,装备库!$AO$2:$AO$1046,0),COLUMN()),"")</f>
        <v/>
      </c>
      <c r="B1055" t="str">
        <f>IFERROR(INDEX(装备库!$A$2:$Y$1047,MATCH(ROW()-1,装备库!$AO$2:$AO$1046,0),COLUMN()),"")</f>
        <v/>
      </c>
      <c r="C1055" t="str">
        <f>IFERROR(INDEX(装备库!$A$2:$Y$1047,MATCH(ROW()-1,装备库!$AO$2:$AO$1046,0),COLUMN()),"")</f>
        <v/>
      </c>
      <c r="D1055" t="str">
        <f>IFERROR(INDEX(装备库!$A$2:$Y$1047,MATCH(ROW()-1,装备库!$AO$2:$AO$1046,0),COLUMN()),"")</f>
        <v/>
      </c>
      <c r="E1055" t="str">
        <f>IFERROR(INDEX(装备库!$A$2:$Y$1047,MATCH(ROW()-1,装备库!$AO$2:$AO$1046,0),COLUMN()),"")</f>
        <v/>
      </c>
      <c r="F1055" t="str">
        <f>IFERROR(INDEX(装备库!$A$2:$Y$1047,MATCH(ROW()-1,装备库!$AO$2:$AO$1046,0),COLUMN()),"")</f>
        <v/>
      </c>
      <c r="G1055" t="str">
        <f>IFERROR(INDEX(装备库!$A$2:$Y$1047,MATCH(ROW()-1,装备库!$AO$2:$AO$1046,0),COLUMN()),"")</f>
        <v/>
      </c>
      <c r="H1055" t="str">
        <f>IFERROR(INDEX(装备库!$A$2:$Y$1047,MATCH(ROW()-1,装备库!$AO$2:$AO$1046,0),COLUMN()),"")</f>
        <v/>
      </c>
      <c r="I1055" t="str">
        <f>IFERROR(INDEX(装备库!$A$2:$Y$1047,MATCH(ROW()-1,装备库!$AO$2:$AO$1046,0),COLUMN()),"")</f>
        <v/>
      </c>
      <c r="J1055" t="str">
        <f>IFERROR(INDEX(装备库!$A$2:$Y$1047,MATCH(ROW()-1,装备库!$AO$2:$AO$1046,0),COLUMN()),"")</f>
        <v/>
      </c>
      <c r="K1055" t="str">
        <f>IFERROR(INDEX(装备库!$A$2:$Y$1047,MATCH(ROW()-1,装备库!$AO$2:$AO$1046,0),COLUMN()),"")</f>
        <v/>
      </c>
      <c r="L1055" t="str">
        <f>IFERROR(INDEX(装备库!$A$2:$Y$1047,MATCH(ROW()-1,装备库!$AO$2:$AO$1046,0),COLUMN()),"")</f>
        <v/>
      </c>
      <c r="M1055" t="str">
        <f>IFERROR(INDEX(装备库!$A$2:$Y$1047,MATCH(ROW()-1,装备库!$AO$2:$AO$1046,0),COLUMN()),"")</f>
        <v/>
      </c>
      <c r="N1055" t="str">
        <f>IFERROR(INDEX(装备库!$A$2:$Y$1047,MATCH(ROW()-1,装备库!$AO$2:$AO$1046,0),COLUMN()),"")</f>
        <v/>
      </c>
      <c r="O1055" t="str">
        <f>IFERROR(INDEX(装备库!$A$2:$Y$1047,MATCH(ROW()-1,装备库!$AO$2:$AO$1046,0),COLUMN()),"")</f>
        <v/>
      </c>
      <c r="P1055" t="str">
        <f>IFERROR(INDEX(装备库!$A$2:$Y$1047,MATCH(ROW()-1,装备库!$AO$2:$AO$1046,0),COLUMN()),"")</f>
        <v/>
      </c>
      <c r="Q1055" t="str">
        <f>IFERROR(INDEX(装备库!$A$2:$Y$1047,MATCH(ROW()-1,装备库!$AO$2:$AO$1046,0),COLUMN()),"")</f>
        <v/>
      </c>
      <c r="R1055" t="str">
        <f>IFERROR(INDEX(装备库!$A$2:$Y$1047,MATCH(ROW()-1,装备库!$AO$2:$AO$1046,0),COLUMN()),"")</f>
        <v/>
      </c>
      <c r="S1055" t="str">
        <f>IFERROR(INDEX(装备库!$A$2:$Y$1047,MATCH(ROW()-1,装备库!$AO$2:$AO$1046,0),COLUMN()),"")</f>
        <v/>
      </c>
      <c r="T1055" t="str">
        <f>IFERROR(INDEX(装备库!$A$2:$Y$1047,MATCH(ROW()-1,装备库!$AO$2:$AO$1046,0),COLUMN()),"")</f>
        <v/>
      </c>
      <c r="U1055" t="str">
        <f>IFERROR(INDEX(装备库!$A$2:$Y$1047,MATCH(ROW()-1,装备库!$AO$2:$AO$1046,0),COLUMN()),"")</f>
        <v/>
      </c>
      <c r="V1055" t="str">
        <f>IFERROR(INDEX(装备库!$A$2:$Y$1047,MATCH(ROW()-1,装备库!$AO$2:$AO$1046,0),COLUMN()),"")</f>
        <v/>
      </c>
      <c r="W1055" t="str">
        <f>IFERROR(INDEX(装备库!$A$2:$Y$1047,MATCH(ROW()-1,装备库!$AO$2:$AO$1046,0),COLUMN()),"")</f>
        <v/>
      </c>
      <c r="X1055" t="str">
        <f>IFERROR(INDEX(装备库!$A$2:$Y$1047,MATCH(ROW()-1,装备库!$AO$2:$AO$1046,0),COLUMN()),"")</f>
        <v/>
      </c>
      <c r="Y1055" t="str">
        <f>IFERROR(INDEX(装备库!$A$2:$Y$1047,MATCH(ROW()-1,装备库!$AO$2:$AO$1046,0),COLUMN()),"")</f>
        <v/>
      </c>
    </row>
    <row r="1056" spans="1:25" x14ac:dyDescent="0.35">
      <c r="A1056" t="str">
        <f>IFERROR(INDEX(装备库!$A$2:$Y$1047,MATCH(ROW()-1,装备库!$AO$2:$AO$1046,0),COLUMN()),"")</f>
        <v/>
      </c>
      <c r="B1056" t="str">
        <f>IFERROR(INDEX(装备库!$A$2:$Y$1047,MATCH(ROW()-1,装备库!$AO$2:$AO$1046,0),COLUMN()),"")</f>
        <v/>
      </c>
      <c r="C1056" t="str">
        <f>IFERROR(INDEX(装备库!$A$2:$Y$1047,MATCH(ROW()-1,装备库!$AO$2:$AO$1046,0),COLUMN()),"")</f>
        <v/>
      </c>
      <c r="D1056" t="str">
        <f>IFERROR(INDEX(装备库!$A$2:$Y$1047,MATCH(ROW()-1,装备库!$AO$2:$AO$1046,0),COLUMN()),"")</f>
        <v/>
      </c>
      <c r="E1056" t="str">
        <f>IFERROR(INDEX(装备库!$A$2:$Y$1047,MATCH(ROW()-1,装备库!$AO$2:$AO$1046,0),COLUMN()),"")</f>
        <v/>
      </c>
      <c r="F1056" t="str">
        <f>IFERROR(INDEX(装备库!$A$2:$Y$1047,MATCH(ROW()-1,装备库!$AO$2:$AO$1046,0),COLUMN()),"")</f>
        <v/>
      </c>
      <c r="G1056" t="str">
        <f>IFERROR(INDEX(装备库!$A$2:$Y$1047,MATCH(ROW()-1,装备库!$AO$2:$AO$1046,0),COLUMN()),"")</f>
        <v/>
      </c>
      <c r="H1056" t="str">
        <f>IFERROR(INDEX(装备库!$A$2:$Y$1047,MATCH(ROW()-1,装备库!$AO$2:$AO$1046,0),COLUMN()),"")</f>
        <v/>
      </c>
      <c r="I1056" t="str">
        <f>IFERROR(INDEX(装备库!$A$2:$Y$1047,MATCH(ROW()-1,装备库!$AO$2:$AO$1046,0),COLUMN()),"")</f>
        <v/>
      </c>
      <c r="J1056" t="str">
        <f>IFERROR(INDEX(装备库!$A$2:$Y$1047,MATCH(ROW()-1,装备库!$AO$2:$AO$1046,0),COLUMN()),"")</f>
        <v/>
      </c>
      <c r="K1056" t="str">
        <f>IFERROR(INDEX(装备库!$A$2:$Y$1047,MATCH(ROW()-1,装备库!$AO$2:$AO$1046,0),COLUMN()),"")</f>
        <v/>
      </c>
      <c r="L1056" t="str">
        <f>IFERROR(INDEX(装备库!$A$2:$Y$1047,MATCH(ROW()-1,装备库!$AO$2:$AO$1046,0),COLUMN()),"")</f>
        <v/>
      </c>
      <c r="M1056" t="str">
        <f>IFERROR(INDEX(装备库!$A$2:$Y$1047,MATCH(ROW()-1,装备库!$AO$2:$AO$1046,0),COLUMN()),"")</f>
        <v/>
      </c>
      <c r="N1056" t="str">
        <f>IFERROR(INDEX(装备库!$A$2:$Y$1047,MATCH(ROW()-1,装备库!$AO$2:$AO$1046,0),COLUMN()),"")</f>
        <v/>
      </c>
      <c r="O1056" t="str">
        <f>IFERROR(INDEX(装备库!$A$2:$Y$1047,MATCH(ROW()-1,装备库!$AO$2:$AO$1046,0),COLUMN()),"")</f>
        <v/>
      </c>
      <c r="P1056" t="str">
        <f>IFERROR(INDEX(装备库!$A$2:$Y$1047,MATCH(ROW()-1,装备库!$AO$2:$AO$1046,0),COLUMN()),"")</f>
        <v/>
      </c>
      <c r="Q1056" t="str">
        <f>IFERROR(INDEX(装备库!$A$2:$Y$1047,MATCH(ROW()-1,装备库!$AO$2:$AO$1046,0),COLUMN()),"")</f>
        <v/>
      </c>
      <c r="R1056" t="str">
        <f>IFERROR(INDEX(装备库!$A$2:$Y$1047,MATCH(ROW()-1,装备库!$AO$2:$AO$1046,0),COLUMN()),"")</f>
        <v/>
      </c>
      <c r="S1056" t="str">
        <f>IFERROR(INDEX(装备库!$A$2:$Y$1047,MATCH(ROW()-1,装备库!$AO$2:$AO$1046,0),COLUMN()),"")</f>
        <v/>
      </c>
      <c r="T1056" t="str">
        <f>IFERROR(INDEX(装备库!$A$2:$Y$1047,MATCH(ROW()-1,装备库!$AO$2:$AO$1046,0),COLUMN()),"")</f>
        <v/>
      </c>
      <c r="U1056" t="str">
        <f>IFERROR(INDEX(装备库!$A$2:$Y$1047,MATCH(ROW()-1,装备库!$AO$2:$AO$1046,0),COLUMN()),"")</f>
        <v/>
      </c>
      <c r="V1056" t="str">
        <f>IFERROR(INDEX(装备库!$A$2:$Y$1047,MATCH(ROW()-1,装备库!$AO$2:$AO$1046,0),COLUMN()),"")</f>
        <v/>
      </c>
      <c r="W1056" t="str">
        <f>IFERROR(INDEX(装备库!$A$2:$Y$1047,MATCH(ROW()-1,装备库!$AO$2:$AO$1046,0),COLUMN()),"")</f>
        <v/>
      </c>
      <c r="X1056" t="str">
        <f>IFERROR(INDEX(装备库!$A$2:$Y$1047,MATCH(ROW()-1,装备库!$AO$2:$AO$1046,0),COLUMN()),"")</f>
        <v/>
      </c>
      <c r="Y1056" t="str">
        <f>IFERROR(INDEX(装备库!$A$2:$Y$1047,MATCH(ROW()-1,装备库!$AO$2:$AO$1046,0),COLUMN()),"")</f>
        <v/>
      </c>
    </row>
    <row r="1057" spans="1:25" x14ac:dyDescent="0.35">
      <c r="A1057" t="str">
        <f>IFERROR(INDEX(装备库!$A$2:$Y$1047,MATCH(ROW()-1,装备库!$AO$2:$AO$1046,0),COLUMN()),"")</f>
        <v/>
      </c>
      <c r="B1057" t="str">
        <f>IFERROR(INDEX(装备库!$A$2:$Y$1047,MATCH(ROW()-1,装备库!$AO$2:$AO$1046,0),COLUMN()),"")</f>
        <v/>
      </c>
      <c r="C1057" t="str">
        <f>IFERROR(INDEX(装备库!$A$2:$Y$1047,MATCH(ROW()-1,装备库!$AO$2:$AO$1046,0),COLUMN()),"")</f>
        <v/>
      </c>
      <c r="D1057" t="str">
        <f>IFERROR(INDEX(装备库!$A$2:$Y$1047,MATCH(ROW()-1,装备库!$AO$2:$AO$1046,0),COLUMN()),"")</f>
        <v/>
      </c>
      <c r="E1057" t="str">
        <f>IFERROR(INDEX(装备库!$A$2:$Y$1047,MATCH(ROW()-1,装备库!$AO$2:$AO$1046,0),COLUMN()),"")</f>
        <v/>
      </c>
      <c r="F1057" t="str">
        <f>IFERROR(INDEX(装备库!$A$2:$Y$1047,MATCH(ROW()-1,装备库!$AO$2:$AO$1046,0),COLUMN()),"")</f>
        <v/>
      </c>
      <c r="G1057" t="str">
        <f>IFERROR(INDEX(装备库!$A$2:$Y$1047,MATCH(ROW()-1,装备库!$AO$2:$AO$1046,0),COLUMN()),"")</f>
        <v/>
      </c>
      <c r="H1057" t="str">
        <f>IFERROR(INDEX(装备库!$A$2:$Y$1047,MATCH(ROW()-1,装备库!$AO$2:$AO$1046,0),COLUMN()),"")</f>
        <v/>
      </c>
      <c r="I1057" t="str">
        <f>IFERROR(INDEX(装备库!$A$2:$Y$1047,MATCH(ROW()-1,装备库!$AO$2:$AO$1046,0),COLUMN()),"")</f>
        <v/>
      </c>
      <c r="J1057" t="str">
        <f>IFERROR(INDEX(装备库!$A$2:$Y$1047,MATCH(ROW()-1,装备库!$AO$2:$AO$1046,0),COLUMN()),"")</f>
        <v/>
      </c>
      <c r="K1057" t="str">
        <f>IFERROR(INDEX(装备库!$A$2:$Y$1047,MATCH(ROW()-1,装备库!$AO$2:$AO$1046,0),COLUMN()),"")</f>
        <v/>
      </c>
      <c r="L1057" t="str">
        <f>IFERROR(INDEX(装备库!$A$2:$Y$1047,MATCH(ROW()-1,装备库!$AO$2:$AO$1046,0),COLUMN()),"")</f>
        <v/>
      </c>
      <c r="M1057" t="str">
        <f>IFERROR(INDEX(装备库!$A$2:$Y$1047,MATCH(ROW()-1,装备库!$AO$2:$AO$1046,0),COLUMN()),"")</f>
        <v/>
      </c>
      <c r="N1057" t="str">
        <f>IFERROR(INDEX(装备库!$A$2:$Y$1047,MATCH(ROW()-1,装备库!$AO$2:$AO$1046,0),COLUMN()),"")</f>
        <v/>
      </c>
      <c r="O1057" t="str">
        <f>IFERROR(INDEX(装备库!$A$2:$Y$1047,MATCH(ROW()-1,装备库!$AO$2:$AO$1046,0),COLUMN()),"")</f>
        <v/>
      </c>
      <c r="P1057" t="str">
        <f>IFERROR(INDEX(装备库!$A$2:$Y$1047,MATCH(ROW()-1,装备库!$AO$2:$AO$1046,0),COLUMN()),"")</f>
        <v/>
      </c>
      <c r="Q1057" t="str">
        <f>IFERROR(INDEX(装备库!$A$2:$Y$1047,MATCH(ROW()-1,装备库!$AO$2:$AO$1046,0),COLUMN()),"")</f>
        <v/>
      </c>
      <c r="R1057" t="str">
        <f>IFERROR(INDEX(装备库!$A$2:$Y$1047,MATCH(ROW()-1,装备库!$AO$2:$AO$1046,0),COLUMN()),"")</f>
        <v/>
      </c>
      <c r="S1057" t="str">
        <f>IFERROR(INDEX(装备库!$A$2:$Y$1047,MATCH(ROW()-1,装备库!$AO$2:$AO$1046,0),COLUMN()),"")</f>
        <v/>
      </c>
      <c r="T1057" t="str">
        <f>IFERROR(INDEX(装备库!$A$2:$Y$1047,MATCH(ROW()-1,装备库!$AO$2:$AO$1046,0),COLUMN()),"")</f>
        <v/>
      </c>
      <c r="U1057" t="str">
        <f>IFERROR(INDEX(装备库!$A$2:$Y$1047,MATCH(ROW()-1,装备库!$AO$2:$AO$1046,0),COLUMN()),"")</f>
        <v/>
      </c>
      <c r="V1057" t="str">
        <f>IFERROR(INDEX(装备库!$A$2:$Y$1047,MATCH(ROW()-1,装备库!$AO$2:$AO$1046,0),COLUMN()),"")</f>
        <v/>
      </c>
      <c r="W1057" t="str">
        <f>IFERROR(INDEX(装备库!$A$2:$Y$1047,MATCH(ROW()-1,装备库!$AO$2:$AO$1046,0),COLUMN()),"")</f>
        <v/>
      </c>
      <c r="X1057" t="str">
        <f>IFERROR(INDEX(装备库!$A$2:$Y$1047,MATCH(ROW()-1,装备库!$AO$2:$AO$1046,0),COLUMN()),"")</f>
        <v/>
      </c>
      <c r="Y1057" t="str">
        <f>IFERROR(INDEX(装备库!$A$2:$Y$1047,MATCH(ROW()-1,装备库!$AO$2:$AO$1046,0),COLUMN()),"")</f>
        <v/>
      </c>
    </row>
    <row r="1058" spans="1:25" x14ac:dyDescent="0.35">
      <c r="A1058" t="str">
        <f>IFERROR(INDEX(装备库!$A$2:$Y$1047,MATCH(ROW()-1,装备库!$AO$2:$AO$1046,0),COLUMN()),"")</f>
        <v/>
      </c>
      <c r="B1058" t="str">
        <f>IFERROR(INDEX(装备库!$A$2:$Y$1047,MATCH(ROW()-1,装备库!$AO$2:$AO$1046,0),COLUMN()),"")</f>
        <v/>
      </c>
      <c r="C1058" t="str">
        <f>IFERROR(INDEX(装备库!$A$2:$Y$1047,MATCH(ROW()-1,装备库!$AO$2:$AO$1046,0),COLUMN()),"")</f>
        <v/>
      </c>
      <c r="D1058" t="str">
        <f>IFERROR(INDEX(装备库!$A$2:$Y$1047,MATCH(ROW()-1,装备库!$AO$2:$AO$1046,0),COLUMN()),"")</f>
        <v/>
      </c>
      <c r="E1058" t="str">
        <f>IFERROR(INDEX(装备库!$A$2:$Y$1047,MATCH(ROW()-1,装备库!$AO$2:$AO$1046,0),COLUMN()),"")</f>
        <v/>
      </c>
      <c r="F1058" t="str">
        <f>IFERROR(INDEX(装备库!$A$2:$Y$1047,MATCH(ROW()-1,装备库!$AO$2:$AO$1046,0),COLUMN()),"")</f>
        <v/>
      </c>
      <c r="G1058" t="str">
        <f>IFERROR(INDEX(装备库!$A$2:$Y$1047,MATCH(ROW()-1,装备库!$AO$2:$AO$1046,0),COLUMN()),"")</f>
        <v/>
      </c>
      <c r="H1058" t="str">
        <f>IFERROR(INDEX(装备库!$A$2:$Y$1047,MATCH(ROW()-1,装备库!$AO$2:$AO$1046,0),COLUMN()),"")</f>
        <v/>
      </c>
      <c r="I1058" t="str">
        <f>IFERROR(INDEX(装备库!$A$2:$Y$1047,MATCH(ROW()-1,装备库!$AO$2:$AO$1046,0),COLUMN()),"")</f>
        <v/>
      </c>
      <c r="J1058" t="str">
        <f>IFERROR(INDEX(装备库!$A$2:$Y$1047,MATCH(ROW()-1,装备库!$AO$2:$AO$1046,0),COLUMN()),"")</f>
        <v/>
      </c>
      <c r="K1058" t="str">
        <f>IFERROR(INDEX(装备库!$A$2:$Y$1047,MATCH(ROW()-1,装备库!$AO$2:$AO$1046,0),COLUMN()),"")</f>
        <v/>
      </c>
      <c r="L1058" t="str">
        <f>IFERROR(INDEX(装备库!$A$2:$Y$1047,MATCH(ROW()-1,装备库!$AO$2:$AO$1046,0),COLUMN()),"")</f>
        <v/>
      </c>
      <c r="M1058" t="str">
        <f>IFERROR(INDEX(装备库!$A$2:$Y$1047,MATCH(ROW()-1,装备库!$AO$2:$AO$1046,0),COLUMN()),"")</f>
        <v/>
      </c>
      <c r="N1058" t="str">
        <f>IFERROR(INDEX(装备库!$A$2:$Y$1047,MATCH(ROW()-1,装备库!$AO$2:$AO$1046,0),COLUMN()),"")</f>
        <v/>
      </c>
      <c r="O1058" t="str">
        <f>IFERROR(INDEX(装备库!$A$2:$Y$1047,MATCH(ROW()-1,装备库!$AO$2:$AO$1046,0),COLUMN()),"")</f>
        <v/>
      </c>
      <c r="P1058" t="str">
        <f>IFERROR(INDEX(装备库!$A$2:$Y$1047,MATCH(ROW()-1,装备库!$AO$2:$AO$1046,0),COLUMN()),"")</f>
        <v/>
      </c>
      <c r="Q1058" t="str">
        <f>IFERROR(INDEX(装备库!$A$2:$Y$1047,MATCH(ROW()-1,装备库!$AO$2:$AO$1046,0),COLUMN()),"")</f>
        <v/>
      </c>
      <c r="R1058" t="str">
        <f>IFERROR(INDEX(装备库!$A$2:$Y$1047,MATCH(ROW()-1,装备库!$AO$2:$AO$1046,0),COLUMN()),"")</f>
        <v/>
      </c>
      <c r="S1058" t="str">
        <f>IFERROR(INDEX(装备库!$A$2:$Y$1047,MATCH(ROW()-1,装备库!$AO$2:$AO$1046,0),COLUMN()),"")</f>
        <v/>
      </c>
      <c r="T1058" t="str">
        <f>IFERROR(INDEX(装备库!$A$2:$Y$1047,MATCH(ROW()-1,装备库!$AO$2:$AO$1046,0),COLUMN()),"")</f>
        <v/>
      </c>
      <c r="U1058" t="str">
        <f>IFERROR(INDEX(装备库!$A$2:$Y$1047,MATCH(ROW()-1,装备库!$AO$2:$AO$1046,0),COLUMN()),"")</f>
        <v/>
      </c>
      <c r="V1058" t="str">
        <f>IFERROR(INDEX(装备库!$A$2:$Y$1047,MATCH(ROW()-1,装备库!$AO$2:$AO$1046,0),COLUMN()),"")</f>
        <v/>
      </c>
      <c r="W1058" t="str">
        <f>IFERROR(INDEX(装备库!$A$2:$Y$1047,MATCH(ROW()-1,装备库!$AO$2:$AO$1046,0),COLUMN()),"")</f>
        <v/>
      </c>
      <c r="X1058" t="str">
        <f>IFERROR(INDEX(装备库!$A$2:$Y$1047,MATCH(ROW()-1,装备库!$AO$2:$AO$1046,0),COLUMN()),"")</f>
        <v/>
      </c>
      <c r="Y1058" t="str">
        <f>IFERROR(INDEX(装备库!$A$2:$Y$1047,MATCH(ROW()-1,装备库!$AO$2:$AO$1046,0),COLUMN()),"")</f>
        <v/>
      </c>
    </row>
    <row r="1059" spans="1:25" x14ac:dyDescent="0.35">
      <c r="A1059" t="str">
        <f>IFERROR(INDEX(装备库!$A$2:$Y$1047,MATCH(ROW()-1,装备库!$AO$2:$AO$1046,0),COLUMN()),"")</f>
        <v/>
      </c>
      <c r="B1059" t="str">
        <f>IFERROR(INDEX(装备库!$A$2:$Y$1047,MATCH(ROW()-1,装备库!$AO$2:$AO$1046,0),COLUMN()),"")</f>
        <v/>
      </c>
      <c r="C1059" t="str">
        <f>IFERROR(INDEX(装备库!$A$2:$Y$1047,MATCH(ROW()-1,装备库!$AO$2:$AO$1046,0),COLUMN()),"")</f>
        <v/>
      </c>
      <c r="D1059" t="str">
        <f>IFERROR(INDEX(装备库!$A$2:$Y$1047,MATCH(ROW()-1,装备库!$AO$2:$AO$1046,0),COLUMN()),"")</f>
        <v/>
      </c>
      <c r="E1059" t="str">
        <f>IFERROR(INDEX(装备库!$A$2:$Y$1047,MATCH(ROW()-1,装备库!$AO$2:$AO$1046,0),COLUMN()),"")</f>
        <v/>
      </c>
      <c r="F1059" t="str">
        <f>IFERROR(INDEX(装备库!$A$2:$Y$1047,MATCH(ROW()-1,装备库!$AO$2:$AO$1046,0),COLUMN()),"")</f>
        <v/>
      </c>
      <c r="G1059" t="str">
        <f>IFERROR(INDEX(装备库!$A$2:$Y$1047,MATCH(ROW()-1,装备库!$AO$2:$AO$1046,0),COLUMN()),"")</f>
        <v/>
      </c>
      <c r="H1059" t="str">
        <f>IFERROR(INDEX(装备库!$A$2:$Y$1047,MATCH(ROW()-1,装备库!$AO$2:$AO$1046,0),COLUMN()),"")</f>
        <v/>
      </c>
      <c r="I1059" t="str">
        <f>IFERROR(INDEX(装备库!$A$2:$Y$1047,MATCH(ROW()-1,装备库!$AO$2:$AO$1046,0),COLUMN()),"")</f>
        <v/>
      </c>
      <c r="J1059" t="str">
        <f>IFERROR(INDEX(装备库!$A$2:$Y$1047,MATCH(ROW()-1,装备库!$AO$2:$AO$1046,0),COLUMN()),"")</f>
        <v/>
      </c>
      <c r="K1059" t="str">
        <f>IFERROR(INDEX(装备库!$A$2:$Y$1047,MATCH(ROW()-1,装备库!$AO$2:$AO$1046,0),COLUMN()),"")</f>
        <v/>
      </c>
      <c r="L1059" t="str">
        <f>IFERROR(INDEX(装备库!$A$2:$Y$1047,MATCH(ROW()-1,装备库!$AO$2:$AO$1046,0),COLUMN()),"")</f>
        <v/>
      </c>
      <c r="M1059" t="str">
        <f>IFERROR(INDEX(装备库!$A$2:$Y$1047,MATCH(ROW()-1,装备库!$AO$2:$AO$1046,0),COLUMN()),"")</f>
        <v/>
      </c>
      <c r="N1059" t="str">
        <f>IFERROR(INDEX(装备库!$A$2:$Y$1047,MATCH(ROW()-1,装备库!$AO$2:$AO$1046,0),COLUMN()),"")</f>
        <v/>
      </c>
      <c r="O1059" t="str">
        <f>IFERROR(INDEX(装备库!$A$2:$Y$1047,MATCH(ROW()-1,装备库!$AO$2:$AO$1046,0),COLUMN()),"")</f>
        <v/>
      </c>
      <c r="P1059" t="str">
        <f>IFERROR(INDEX(装备库!$A$2:$Y$1047,MATCH(ROW()-1,装备库!$AO$2:$AO$1046,0),COLUMN()),"")</f>
        <v/>
      </c>
      <c r="Q1059" t="str">
        <f>IFERROR(INDEX(装备库!$A$2:$Y$1047,MATCH(ROW()-1,装备库!$AO$2:$AO$1046,0),COLUMN()),"")</f>
        <v/>
      </c>
      <c r="R1059" t="str">
        <f>IFERROR(INDEX(装备库!$A$2:$Y$1047,MATCH(ROW()-1,装备库!$AO$2:$AO$1046,0),COLUMN()),"")</f>
        <v/>
      </c>
      <c r="S1059" t="str">
        <f>IFERROR(INDEX(装备库!$A$2:$Y$1047,MATCH(ROW()-1,装备库!$AO$2:$AO$1046,0),COLUMN()),"")</f>
        <v/>
      </c>
      <c r="T1059" t="str">
        <f>IFERROR(INDEX(装备库!$A$2:$Y$1047,MATCH(ROW()-1,装备库!$AO$2:$AO$1046,0),COLUMN()),"")</f>
        <v/>
      </c>
      <c r="U1059" t="str">
        <f>IFERROR(INDEX(装备库!$A$2:$Y$1047,MATCH(ROW()-1,装备库!$AO$2:$AO$1046,0),COLUMN()),"")</f>
        <v/>
      </c>
      <c r="V1059" t="str">
        <f>IFERROR(INDEX(装备库!$A$2:$Y$1047,MATCH(ROW()-1,装备库!$AO$2:$AO$1046,0),COLUMN()),"")</f>
        <v/>
      </c>
      <c r="W1059" t="str">
        <f>IFERROR(INDEX(装备库!$A$2:$Y$1047,MATCH(ROW()-1,装备库!$AO$2:$AO$1046,0),COLUMN()),"")</f>
        <v/>
      </c>
      <c r="X1059" t="str">
        <f>IFERROR(INDEX(装备库!$A$2:$Y$1047,MATCH(ROW()-1,装备库!$AO$2:$AO$1046,0),COLUMN()),"")</f>
        <v/>
      </c>
      <c r="Y1059" t="str">
        <f>IFERROR(INDEX(装备库!$A$2:$Y$1047,MATCH(ROW()-1,装备库!$AO$2:$AO$1046,0),COLUMN()),"")</f>
        <v/>
      </c>
    </row>
    <row r="1060" spans="1:25" x14ac:dyDescent="0.35">
      <c r="A1060" t="str">
        <f>IFERROR(INDEX(装备库!$A$2:$Y$1047,MATCH(ROW()-1,装备库!$AO$2:$AO$1046,0),COLUMN()),"")</f>
        <v/>
      </c>
      <c r="B1060" t="str">
        <f>IFERROR(INDEX(装备库!$A$2:$Y$1047,MATCH(ROW()-1,装备库!$AO$2:$AO$1046,0),COLUMN()),"")</f>
        <v/>
      </c>
      <c r="C1060" t="str">
        <f>IFERROR(INDEX(装备库!$A$2:$Y$1047,MATCH(ROW()-1,装备库!$AO$2:$AO$1046,0),COLUMN()),"")</f>
        <v/>
      </c>
      <c r="D1060" t="str">
        <f>IFERROR(INDEX(装备库!$A$2:$Y$1047,MATCH(ROW()-1,装备库!$AO$2:$AO$1046,0),COLUMN()),"")</f>
        <v/>
      </c>
      <c r="E1060" t="str">
        <f>IFERROR(INDEX(装备库!$A$2:$Y$1047,MATCH(ROW()-1,装备库!$AO$2:$AO$1046,0),COLUMN()),"")</f>
        <v/>
      </c>
      <c r="F1060" t="str">
        <f>IFERROR(INDEX(装备库!$A$2:$Y$1047,MATCH(ROW()-1,装备库!$AO$2:$AO$1046,0),COLUMN()),"")</f>
        <v/>
      </c>
      <c r="G1060" t="str">
        <f>IFERROR(INDEX(装备库!$A$2:$Y$1047,MATCH(ROW()-1,装备库!$AO$2:$AO$1046,0),COLUMN()),"")</f>
        <v/>
      </c>
      <c r="H1060" t="str">
        <f>IFERROR(INDEX(装备库!$A$2:$Y$1047,MATCH(ROW()-1,装备库!$AO$2:$AO$1046,0),COLUMN()),"")</f>
        <v/>
      </c>
      <c r="I1060" t="str">
        <f>IFERROR(INDEX(装备库!$A$2:$Y$1047,MATCH(ROW()-1,装备库!$AO$2:$AO$1046,0),COLUMN()),"")</f>
        <v/>
      </c>
      <c r="J1060" t="str">
        <f>IFERROR(INDEX(装备库!$A$2:$Y$1047,MATCH(ROW()-1,装备库!$AO$2:$AO$1046,0),COLUMN()),"")</f>
        <v/>
      </c>
      <c r="K1060" t="str">
        <f>IFERROR(INDEX(装备库!$A$2:$Y$1047,MATCH(ROW()-1,装备库!$AO$2:$AO$1046,0),COLUMN()),"")</f>
        <v/>
      </c>
      <c r="L1060" t="str">
        <f>IFERROR(INDEX(装备库!$A$2:$Y$1047,MATCH(ROW()-1,装备库!$AO$2:$AO$1046,0),COLUMN()),"")</f>
        <v/>
      </c>
      <c r="M1060" t="str">
        <f>IFERROR(INDEX(装备库!$A$2:$Y$1047,MATCH(ROW()-1,装备库!$AO$2:$AO$1046,0),COLUMN()),"")</f>
        <v/>
      </c>
      <c r="N1060" t="str">
        <f>IFERROR(INDEX(装备库!$A$2:$Y$1047,MATCH(ROW()-1,装备库!$AO$2:$AO$1046,0),COLUMN()),"")</f>
        <v/>
      </c>
      <c r="O1060" t="str">
        <f>IFERROR(INDEX(装备库!$A$2:$Y$1047,MATCH(ROW()-1,装备库!$AO$2:$AO$1046,0),COLUMN()),"")</f>
        <v/>
      </c>
      <c r="P1060" t="str">
        <f>IFERROR(INDEX(装备库!$A$2:$Y$1047,MATCH(ROW()-1,装备库!$AO$2:$AO$1046,0),COLUMN()),"")</f>
        <v/>
      </c>
      <c r="Q1060" t="str">
        <f>IFERROR(INDEX(装备库!$A$2:$Y$1047,MATCH(ROW()-1,装备库!$AO$2:$AO$1046,0),COLUMN()),"")</f>
        <v/>
      </c>
      <c r="R1060" t="str">
        <f>IFERROR(INDEX(装备库!$A$2:$Y$1047,MATCH(ROW()-1,装备库!$AO$2:$AO$1046,0),COLUMN()),"")</f>
        <v/>
      </c>
      <c r="S1060" t="str">
        <f>IFERROR(INDEX(装备库!$A$2:$Y$1047,MATCH(ROW()-1,装备库!$AO$2:$AO$1046,0),COLUMN()),"")</f>
        <v/>
      </c>
      <c r="T1060" t="str">
        <f>IFERROR(INDEX(装备库!$A$2:$Y$1047,MATCH(ROW()-1,装备库!$AO$2:$AO$1046,0),COLUMN()),"")</f>
        <v/>
      </c>
      <c r="U1060" t="str">
        <f>IFERROR(INDEX(装备库!$A$2:$Y$1047,MATCH(ROW()-1,装备库!$AO$2:$AO$1046,0),COLUMN()),"")</f>
        <v/>
      </c>
      <c r="V1060" t="str">
        <f>IFERROR(INDEX(装备库!$A$2:$Y$1047,MATCH(ROW()-1,装备库!$AO$2:$AO$1046,0),COLUMN()),"")</f>
        <v/>
      </c>
      <c r="W1060" t="str">
        <f>IFERROR(INDEX(装备库!$A$2:$Y$1047,MATCH(ROW()-1,装备库!$AO$2:$AO$1046,0),COLUMN()),"")</f>
        <v/>
      </c>
      <c r="X1060" t="str">
        <f>IFERROR(INDEX(装备库!$A$2:$Y$1047,MATCH(ROW()-1,装备库!$AO$2:$AO$1046,0),COLUMN()),"")</f>
        <v/>
      </c>
      <c r="Y1060" t="str">
        <f>IFERROR(INDEX(装备库!$A$2:$Y$1047,MATCH(ROW()-1,装备库!$AO$2:$AO$1046,0),COLUMN()),"")</f>
        <v/>
      </c>
    </row>
    <row r="1061" spans="1:25" x14ac:dyDescent="0.35">
      <c r="A1061" t="str">
        <f>IFERROR(INDEX(装备库!$A$2:$Y$1047,MATCH(ROW()-1,装备库!$AO$2:$AO$1046,0),COLUMN()),"")</f>
        <v/>
      </c>
      <c r="B1061" t="str">
        <f>IFERROR(INDEX(装备库!$A$2:$Y$1047,MATCH(ROW()-1,装备库!$AO$2:$AO$1046,0),COLUMN()),"")</f>
        <v/>
      </c>
      <c r="C1061" t="str">
        <f>IFERROR(INDEX(装备库!$A$2:$Y$1047,MATCH(ROW()-1,装备库!$AO$2:$AO$1046,0),COLUMN()),"")</f>
        <v/>
      </c>
      <c r="D1061" t="str">
        <f>IFERROR(INDEX(装备库!$A$2:$Y$1047,MATCH(ROW()-1,装备库!$AO$2:$AO$1046,0),COLUMN()),"")</f>
        <v/>
      </c>
      <c r="E1061" t="str">
        <f>IFERROR(INDEX(装备库!$A$2:$Y$1047,MATCH(ROW()-1,装备库!$AO$2:$AO$1046,0),COLUMN()),"")</f>
        <v/>
      </c>
      <c r="F1061" t="str">
        <f>IFERROR(INDEX(装备库!$A$2:$Y$1047,MATCH(ROW()-1,装备库!$AO$2:$AO$1046,0),COLUMN()),"")</f>
        <v/>
      </c>
      <c r="G1061" t="str">
        <f>IFERROR(INDEX(装备库!$A$2:$Y$1047,MATCH(ROW()-1,装备库!$AO$2:$AO$1046,0),COLUMN()),"")</f>
        <v/>
      </c>
      <c r="H1061" t="str">
        <f>IFERROR(INDEX(装备库!$A$2:$Y$1047,MATCH(ROW()-1,装备库!$AO$2:$AO$1046,0),COLUMN()),"")</f>
        <v/>
      </c>
      <c r="I1061" t="str">
        <f>IFERROR(INDEX(装备库!$A$2:$Y$1047,MATCH(ROW()-1,装备库!$AO$2:$AO$1046,0),COLUMN()),"")</f>
        <v/>
      </c>
      <c r="J1061" t="str">
        <f>IFERROR(INDEX(装备库!$A$2:$Y$1047,MATCH(ROW()-1,装备库!$AO$2:$AO$1046,0),COLUMN()),"")</f>
        <v/>
      </c>
      <c r="K1061" t="str">
        <f>IFERROR(INDEX(装备库!$A$2:$Y$1047,MATCH(ROW()-1,装备库!$AO$2:$AO$1046,0),COLUMN()),"")</f>
        <v/>
      </c>
      <c r="L1061" t="str">
        <f>IFERROR(INDEX(装备库!$A$2:$Y$1047,MATCH(ROW()-1,装备库!$AO$2:$AO$1046,0),COLUMN()),"")</f>
        <v/>
      </c>
      <c r="M1061" t="str">
        <f>IFERROR(INDEX(装备库!$A$2:$Y$1047,MATCH(ROW()-1,装备库!$AO$2:$AO$1046,0),COLUMN()),"")</f>
        <v/>
      </c>
      <c r="N1061" t="str">
        <f>IFERROR(INDEX(装备库!$A$2:$Y$1047,MATCH(ROW()-1,装备库!$AO$2:$AO$1046,0),COLUMN()),"")</f>
        <v/>
      </c>
      <c r="O1061" t="str">
        <f>IFERROR(INDEX(装备库!$A$2:$Y$1047,MATCH(ROW()-1,装备库!$AO$2:$AO$1046,0),COLUMN()),"")</f>
        <v/>
      </c>
      <c r="P1061" t="str">
        <f>IFERROR(INDEX(装备库!$A$2:$Y$1047,MATCH(ROW()-1,装备库!$AO$2:$AO$1046,0),COLUMN()),"")</f>
        <v/>
      </c>
      <c r="Q1061" t="str">
        <f>IFERROR(INDEX(装备库!$A$2:$Y$1047,MATCH(ROW()-1,装备库!$AO$2:$AO$1046,0),COLUMN()),"")</f>
        <v/>
      </c>
      <c r="R1061" t="str">
        <f>IFERROR(INDEX(装备库!$A$2:$Y$1047,MATCH(ROW()-1,装备库!$AO$2:$AO$1046,0),COLUMN()),"")</f>
        <v/>
      </c>
      <c r="S1061" t="str">
        <f>IFERROR(INDEX(装备库!$A$2:$Y$1047,MATCH(ROW()-1,装备库!$AO$2:$AO$1046,0),COLUMN()),"")</f>
        <v/>
      </c>
      <c r="T1061" t="str">
        <f>IFERROR(INDEX(装备库!$A$2:$Y$1047,MATCH(ROW()-1,装备库!$AO$2:$AO$1046,0),COLUMN()),"")</f>
        <v/>
      </c>
      <c r="U1061" t="str">
        <f>IFERROR(INDEX(装备库!$A$2:$Y$1047,MATCH(ROW()-1,装备库!$AO$2:$AO$1046,0),COLUMN()),"")</f>
        <v/>
      </c>
      <c r="V1061" t="str">
        <f>IFERROR(INDEX(装备库!$A$2:$Y$1047,MATCH(ROW()-1,装备库!$AO$2:$AO$1046,0),COLUMN()),"")</f>
        <v/>
      </c>
      <c r="W1061" t="str">
        <f>IFERROR(INDEX(装备库!$A$2:$Y$1047,MATCH(ROW()-1,装备库!$AO$2:$AO$1046,0),COLUMN()),"")</f>
        <v/>
      </c>
      <c r="X1061" t="str">
        <f>IFERROR(INDEX(装备库!$A$2:$Y$1047,MATCH(ROW()-1,装备库!$AO$2:$AO$1046,0),COLUMN()),"")</f>
        <v/>
      </c>
      <c r="Y1061" t="str">
        <f>IFERROR(INDEX(装备库!$A$2:$Y$1047,MATCH(ROW()-1,装备库!$AO$2:$AO$1046,0),COLUMN()),"")</f>
        <v/>
      </c>
    </row>
    <row r="1062" spans="1:25" x14ac:dyDescent="0.35">
      <c r="A1062" t="str">
        <f>IFERROR(INDEX(装备库!$A$2:$Y$1047,MATCH(ROW()-1,装备库!$AO$2:$AO$1046,0),COLUMN()),"")</f>
        <v/>
      </c>
      <c r="B1062" t="str">
        <f>IFERROR(INDEX(装备库!$A$2:$Y$1047,MATCH(ROW()-1,装备库!$AO$2:$AO$1046,0),COLUMN()),"")</f>
        <v/>
      </c>
      <c r="C1062" t="str">
        <f>IFERROR(INDEX(装备库!$A$2:$Y$1047,MATCH(ROW()-1,装备库!$AO$2:$AO$1046,0),COLUMN()),"")</f>
        <v/>
      </c>
      <c r="D1062" t="str">
        <f>IFERROR(INDEX(装备库!$A$2:$Y$1047,MATCH(ROW()-1,装备库!$AO$2:$AO$1046,0),COLUMN()),"")</f>
        <v/>
      </c>
      <c r="E1062" t="str">
        <f>IFERROR(INDEX(装备库!$A$2:$Y$1047,MATCH(ROW()-1,装备库!$AO$2:$AO$1046,0),COLUMN()),"")</f>
        <v/>
      </c>
      <c r="F1062" t="str">
        <f>IFERROR(INDEX(装备库!$A$2:$Y$1047,MATCH(ROW()-1,装备库!$AO$2:$AO$1046,0),COLUMN()),"")</f>
        <v/>
      </c>
      <c r="G1062" t="str">
        <f>IFERROR(INDEX(装备库!$A$2:$Y$1047,MATCH(ROW()-1,装备库!$AO$2:$AO$1046,0),COLUMN()),"")</f>
        <v/>
      </c>
      <c r="H1062" t="str">
        <f>IFERROR(INDEX(装备库!$A$2:$Y$1047,MATCH(ROW()-1,装备库!$AO$2:$AO$1046,0),COLUMN()),"")</f>
        <v/>
      </c>
      <c r="I1062" t="str">
        <f>IFERROR(INDEX(装备库!$A$2:$Y$1047,MATCH(ROW()-1,装备库!$AO$2:$AO$1046,0),COLUMN()),"")</f>
        <v/>
      </c>
      <c r="J1062" t="str">
        <f>IFERROR(INDEX(装备库!$A$2:$Y$1047,MATCH(ROW()-1,装备库!$AO$2:$AO$1046,0),COLUMN()),"")</f>
        <v/>
      </c>
      <c r="K1062" t="str">
        <f>IFERROR(INDEX(装备库!$A$2:$Y$1047,MATCH(ROW()-1,装备库!$AO$2:$AO$1046,0),COLUMN()),"")</f>
        <v/>
      </c>
      <c r="L1062" t="str">
        <f>IFERROR(INDEX(装备库!$A$2:$Y$1047,MATCH(ROW()-1,装备库!$AO$2:$AO$1046,0),COLUMN()),"")</f>
        <v/>
      </c>
      <c r="M1062" t="str">
        <f>IFERROR(INDEX(装备库!$A$2:$Y$1047,MATCH(ROW()-1,装备库!$AO$2:$AO$1046,0),COLUMN()),"")</f>
        <v/>
      </c>
      <c r="N1062" t="str">
        <f>IFERROR(INDEX(装备库!$A$2:$Y$1047,MATCH(ROW()-1,装备库!$AO$2:$AO$1046,0),COLUMN()),"")</f>
        <v/>
      </c>
      <c r="O1062" t="str">
        <f>IFERROR(INDEX(装备库!$A$2:$Y$1047,MATCH(ROW()-1,装备库!$AO$2:$AO$1046,0),COLUMN()),"")</f>
        <v/>
      </c>
      <c r="P1062" t="str">
        <f>IFERROR(INDEX(装备库!$A$2:$Y$1047,MATCH(ROW()-1,装备库!$AO$2:$AO$1046,0),COLUMN()),"")</f>
        <v/>
      </c>
      <c r="Q1062" t="str">
        <f>IFERROR(INDEX(装备库!$A$2:$Y$1047,MATCH(ROW()-1,装备库!$AO$2:$AO$1046,0),COLUMN()),"")</f>
        <v/>
      </c>
      <c r="R1062" t="str">
        <f>IFERROR(INDEX(装备库!$A$2:$Y$1047,MATCH(ROW()-1,装备库!$AO$2:$AO$1046,0),COLUMN()),"")</f>
        <v/>
      </c>
      <c r="S1062" t="str">
        <f>IFERROR(INDEX(装备库!$A$2:$Y$1047,MATCH(ROW()-1,装备库!$AO$2:$AO$1046,0),COLUMN()),"")</f>
        <v/>
      </c>
      <c r="T1062" t="str">
        <f>IFERROR(INDEX(装备库!$A$2:$Y$1047,MATCH(ROW()-1,装备库!$AO$2:$AO$1046,0),COLUMN()),"")</f>
        <v/>
      </c>
      <c r="U1062" t="str">
        <f>IFERROR(INDEX(装备库!$A$2:$Y$1047,MATCH(ROW()-1,装备库!$AO$2:$AO$1046,0),COLUMN()),"")</f>
        <v/>
      </c>
      <c r="V1062" t="str">
        <f>IFERROR(INDEX(装备库!$A$2:$Y$1047,MATCH(ROW()-1,装备库!$AO$2:$AO$1046,0),COLUMN()),"")</f>
        <v/>
      </c>
      <c r="W1062" t="str">
        <f>IFERROR(INDEX(装备库!$A$2:$Y$1047,MATCH(ROW()-1,装备库!$AO$2:$AO$1046,0),COLUMN()),"")</f>
        <v/>
      </c>
      <c r="X1062" t="str">
        <f>IFERROR(INDEX(装备库!$A$2:$Y$1047,MATCH(ROW()-1,装备库!$AO$2:$AO$1046,0),COLUMN()),"")</f>
        <v/>
      </c>
      <c r="Y1062" t="str">
        <f>IFERROR(INDEX(装备库!$A$2:$Y$1047,MATCH(ROW()-1,装备库!$AO$2:$AO$1046,0),COLUMN()),"")</f>
        <v/>
      </c>
    </row>
    <row r="1063" spans="1:25" x14ac:dyDescent="0.35">
      <c r="A1063" t="str">
        <f>IFERROR(INDEX(装备库!$A$2:$Y$1047,MATCH(ROW()-1,装备库!$AO$2:$AO$1046,0),COLUMN()),"")</f>
        <v/>
      </c>
      <c r="B1063" t="str">
        <f>IFERROR(INDEX(装备库!$A$2:$Y$1047,MATCH(ROW()-1,装备库!$AO$2:$AO$1046,0),COLUMN()),"")</f>
        <v/>
      </c>
      <c r="C1063" t="str">
        <f>IFERROR(INDEX(装备库!$A$2:$Y$1047,MATCH(ROW()-1,装备库!$AO$2:$AO$1046,0),COLUMN()),"")</f>
        <v/>
      </c>
      <c r="D1063" t="str">
        <f>IFERROR(INDEX(装备库!$A$2:$Y$1047,MATCH(ROW()-1,装备库!$AO$2:$AO$1046,0),COLUMN()),"")</f>
        <v/>
      </c>
      <c r="E1063" t="str">
        <f>IFERROR(INDEX(装备库!$A$2:$Y$1047,MATCH(ROW()-1,装备库!$AO$2:$AO$1046,0),COLUMN()),"")</f>
        <v/>
      </c>
      <c r="F1063" t="str">
        <f>IFERROR(INDEX(装备库!$A$2:$Y$1047,MATCH(ROW()-1,装备库!$AO$2:$AO$1046,0),COLUMN()),"")</f>
        <v/>
      </c>
      <c r="G1063" t="str">
        <f>IFERROR(INDEX(装备库!$A$2:$Y$1047,MATCH(ROW()-1,装备库!$AO$2:$AO$1046,0),COLUMN()),"")</f>
        <v/>
      </c>
      <c r="H1063" t="str">
        <f>IFERROR(INDEX(装备库!$A$2:$Y$1047,MATCH(ROW()-1,装备库!$AO$2:$AO$1046,0),COLUMN()),"")</f>
        <v/>
      </c>
      <c r="I1063" t="str">
        <f>IFERROR(INDEX(装备库!$A$2:$Y$1047,MATCH(ROW()-1,装备库!$AO$2:$AO$1046,0),COLUMN()),"")</f>
        <v/>
      </c>
      <c r="J1063" t="str">
        <f>IFERROR(INDEX(装备库!$A$2:$Y$1047,MATCH(ROW()-1,装备库!$AO$2:$AO$1046,0),COLUMN()),"")</f>
        <v/>
      </c>
      <c r="K1063" t="str">
        <f>IFERROR(INDEX(装备库!$A$2:$Y$1047,MATCH(ROW()-1,装备库!$AO$2:$AO$1046,0),COLUMN()),"")</f>
        <v/>
      </c>
      <c r="L1063" t="str">
        <f>IFERROR(INDEX(装备库!$A$2:$Y$1047,MATCH(ROW()-1,装备库!$AO$2:$AO$1046,0),COLUMN()),"")</f>
        <v/>
      </c>
      <c r="M1063" t="str">
        <f>IFERROR(INDEX(装备库!$A$2:$Y$1047,MATCH(ROW()-1,装备库!$AO$2:$AO$1046,0),COLUMN()),"")</f>
        <v/>
      </c>
      <c r="N1063" t="str">
        <f>IFERROR(INDEX(装备库!$A$2:$Y$1047,MATCH(ROW()-1,装备库!$AO$2:$AO$1046,0),COLUMN()),"")</f>
        <v/>
      </c>
      <c r="O1063" t="str">
        <f>IFERROR(INDEX(装备库!$A$2:$Y$1047,MATCH(ROW()-1,装备库!$AO$2:$AO$1046,0),COLUMN()),"")</f>
        <v/>
      </c>
      <c r="P1063" t="str">
        <f>IFERROR(INDEX(装备库!$A$2:$Y$1047,MATCH(ROW()-1,装备库!$AO$2:$AO$1046,0),COLUMN()),"")</f>
        <v/>
      </c>
      <c r="Q1063" t="str">
        <f>IFERROR(INDEX(装备库!$A$2:$Y$1047,MATCH(ROW()-1,装备库!$AO$2:$AO$1046,0),COLUMN()),"")</f>
        <v/>
      </c>
      <c r="R1063" t="str">
        <f>IFERROR(INDEX(装备库!$A$2:$Y$1047,MATCH(ROW()-1,装备库!$AO$2:$AO$1046,0),COLUMN()),"")</f>
        <v/>
      </c>
      <c r="S1063" t="str">
        <f>IFERROR(INDEX(装备库!$A$2:$Y$1047,MATCH(ROW()-1,装备库!$AO$2:$AO$1046,0),COLUMN()),"")</f>
        <v/>
      </c>
      <c r="T1063" t="str">
        <f>IFERROR(INDEX(装备库!$A$2:$Y$1047,MATCH(ROW()-1,装备库!$AO$2:$AO$1046,0),COLUMN()),"")</f>
        <v/>
      </c>
      <c r="U1063" t="str">
        <f>IFERROR(INDEX(装备库!$A$2:$Y$1047,MATCH(ROW()-1,装备库!$AO$2:$AO$1046,0),COLUMN()),"")</f>
        <v/>
      </c>
      <c r="V1063" t="str">
        <f>IFERROR(INDEX(装备库!$A$2:$Y$1047,MATCH(ROW()-1,装备库!$AO$2:$AO$1046,0),COLUMN()),"")</f>
        <v/>
      </c>
      <c r="W1063" t="str">
        <f>IFERROR(INDEX(装备库!$A$2:$Y$1047,MATCH(ROW()-1,装备库!$AO$2:$AO$1046,0),COLUMN()),"")</f>
        <v/>
      </c>
      <c r="X1063" t="str">
        <f>IFERROR(INDEX(装备库!$A$2:$Y$1047,MATCH(ROW()-1,装备库!$AO$2:$AO$1046,0),COLUMN()),"")</f>
        <v/>
      </c>
      <c r="Y1063" t="str">
        <f>IFERROR(INDEX(装备库!$A$2:$Y$1047,MATCH(ROW()-1,装备库!$AO$2:$AO$1046,0),COLUMN()),"")</f>
        <v/>
      </c>
    </row>
    <row r="1064" spans="1:25" x14ac:dyDescent="0.35">
      <c r="A1064" t="str">
        <f>IFERROR(INDEX(装备库!$A$2:$Y$1047,MATCH(ROW()-1,装备库!$AO$2:$AO$1046,0),COLUMN()),"")</f>
        <v/>
      </c>
      <c r="B1064" t="str">
        <f>IFERROR(INDEX(装备库!$A$2:$Y$1047,MATCH(ROW()-1,装备库!$AO$2:$AO$1046,0),COLUMN()),"")</f>
        <v/>
      </c>
      <c r="C1064" t="str">
        <f>IFERROR(INDEX(装备库!$A$2:$Y$1047,MATCH(ROW()-1,装备库!$AO$2:$AO$1046,0),COLUMN()),"")</f>
        <v/>
      </c>
      <c r="D1064" t="str">
        <f>IFERROR(INDEX(装备库!$A$2:$Y$1047,MATCH(ROW()-1,装备库!$AO$2:$AO$1046,0),COLUMN()),"")</f>
        <v/>
      </c>
      <c r="E1064" t="str">
        <f>IFERROR(INDEX(装备库!$A$2:$Y$1047,MATCH(ROW()-1,装备库!$AO$2:$AO$1046,0),COLUMN()),"")</f>
        <v/>
      </c>
      <c r="F1064" t="str">
        <f>IFERROR(INDEX(装备库!$A$2:$Y$1047,MATCH(ROW()-1,装备库!$AO$2:$AO$1046,0),COLUMN()),"")</f>
        <v/>
      </c>
      <c r="G1064" t="str">
        <f>IFERROR(INDEX(装备库!$A$2:$Y$1047,MATCH(ROW()-1,装备库!$AO$2:$AO$1046,0),COLUMN()),"")</f>
        <v/>
      </c>
      <c r="H1064" t="str">
        <f>IFERROR(INDEX(装备库!$A$2:$Y$1047,MATCH(ROW()-1,装备库!$AO$2:$AO$1046,0),COLUMN()),"")</f>
        <v/>
      </c>
      <c r="I1064" t="str">
        <f>IFERROR(INDEX(装备库!$A$2:$Y$1047,MATCH(ROW()-1,装备库!$AO$2:$AO$1046,0),COLUMN()),"")</f>
        <v/>
      </c>
      <c r="J1064" t="str">
        <f>IFERROR(INDEX(装备库!$A$2:$Y$1047,MATCH(ROW()-1,装备库!$AO$2:$AO$1046,0),COLUMN()),"")</f>
        <v/>
      </c>
      <c r="K1064" t="str">
        <f>IFERROR(INDEX(装备库!$A$2:$Y$1047,MATCH(ROW()-1,装备库!$AO$2:$AO$1046,0),COLUMN()),"")</f>
        <v/>
      </c>
      <c r="L1064" t="str">
        <f>IFERROR(INDEX(装备库!$A$2:$Y$1047,MATCH(ROW()-1,装备库!$AO$2:$AO$1046,0),COLUMN()),"")</f>
        <v/>
      </c>
      <c r="M1064" t="str">
        <f>IFERROR(INDEX(装备库!$A$2:$Y$1047,MATCH(ROW()-1,装备库!$AO$2:$AO$1046,0),COLUMN()),"")</f>
        <v/>
      </c>
      <c r="N1064" t="str">
        <f>IFERROR(INDEX(装备库!$A$2:$Y$1047,MATCH(ROW()-1,装备库!$AO$2:$AO$1046,0),COLUMN()),"")</f>
        <v/>
      </c>
      <c r="O1064" t="str">
        <f>IFERROR(INDEX(装备库!$A$2:$Y$1047,MATCH(ROW()-1,装备库!$AO$2:$AO$1046,0),COLUMN()),"")</f>
        <v/>
      </c>
      <c r="P1064" t="str">
        <f>IFERROR(INDEX(装备库!$A$2:$Y$1047,MATCH(ROW()-1,装备库!$AO$2:$AO$1046,0),COLUMN()),"")</f>
        <v/>
      </c>
      <c r="Q1064" t="str">
        <f>IFERROR(INDEX(装备库!$A$2:$Y$1047,MATCH(ROW()-1,装备库!$AO$2:$AO$1046,0),COLUMN()),"")</f>
        <v/>
      </c>
      <c r="R1064" t="str">
        <f>IFERROR(INDEX(装备库!$A$2:$Y$1047,MATCH(ROW()-1,装备库!$AO$2:$AO$1046,0),COLUMN()),"")</f>
        <v/>
      </c>
      <c r="S1064" t="str">
        <f>IFERROR(INDEX(装备库!$A$2:$Y$1047,MATCH(ROW()-1,装备库!$AO$2:$AO$1046,0),COLUMN()),"")</f>
        <v/>
      </c>
      <c r="T1064" t="str">
        <f>IFERROR(INDEX(装备库!$A$2:$Y$1047,MATCH(ROW()-1,装备库!$AO$2:$AO$1046,0),COLUMN()),"")</f>
        <v/>
      </c>
      <c r="U1064" t="str">
        <f>IFERROR(INDEX(装备库!$A$2:$Y$1047,MATCH(ROW()-1,装备库!$AO$2:$AO$1046,0),COLUMN()),"")</f>
        <v/>
      </c>
      <c r="V1064" t="str">
        <f>IFERROR(INDEX(装备库!$A$2:$Y$1047,MATCH(ROW()-1,装备库!$AO$2:$AO$1046,0),COLUMN()),"")</f>
        <v/>
      </c>
      <c r="W1064" t="str">
        <f>IFERROR(INDEX(装备库!$A$2:$Y$1047,MATCH(ROW()-1,装备库!$AO$2:$AO$1046,0),COLUMN()),"")</f>
        <v/>
      </c>
      <c r="X1064" t="str">
        <f>IFERROR(INDEX(装备库!$A$2:$Y$1047,MATCH(ROW()-1,装备库!$AO$2:$AO$1046,0),COLUMN()),"")</f>
        <v/>
      </c>
      <c r="Y1064" t="str">
        <f>IFERROR(INDEX(装备库!$A$2:$Y$1047,MATCH(ROW()-1,装备库!$AO$2:$AO$1046,0),COLUMN()),"")</f>
        <v/>
      </c>
    </row>
    <row r="1065" spans="1:25" x14ac:dyDescent="0.35">
      <c r="A1065" t="str">
        <f>IFERROR(INDEX(装备库!$A$2:$Y$1047,MATCH(ROW()-1,装备库!$AO$2:$AO$1046,0),COLUMN()),"")</f>
        <v/>
      </c>
      <c r="B1065" t="str">
        <f>IFERROR(INDEX(装备库!$A$2:$Y$1047,MATCH(ROW()-1,装备库!$AO$2:$AO$1046,0),COLUMN()),"")</f>
        <v/>
      </c>
      <c r="C1065" t="str">
        <f>IFERROR(INDEX(装备库!$A$2:$Y$1047,MATCH(ROW()-1,装备库!$AO$2:$AO$1046,0),COLUMN()),"")</f>
        <v/>
      </c>
      <c r="D1065" t="str">
        <f>IFERROR(INDEX(装备库!$A$2:$Y$1047,MATCH(ROW()-1,装备库!$AO$2:$AO$1046,0),COLUMN()),"")</f>
        <v/>
      </c>
      <c r="E1065" t="str">
        <f>IFERROR(INDEX(装备库!$A$2:$Y$1047,MATCH(ROW()-1,装备库!$AO$2:$AO$1046,0),COLUMN()),"")</f>
        <v/>
      </c>
      <c r="F1065" t="str">
        <f>IFERROR(INDEX(装备库!$A$2:$Y$1047,MATCH(ROW()-1,装备库!$AO$2:$AO$1046,0),COLUMN()),"")</f>
        <v/>
      </c>
      <c r="G1065" t="str">
        <f>IFERROR(INDEX(装备库!$A$2:$Y$1047,MATCH(ROW()-1,装备库!$AO$2:$AO$1046,0),COLUMN()),"")</f>
        <v/>
      </c>
      <c r="H1065" t="str">
        <f>IFERROR(INDEX(装备库!$A$2:$Y$1047,MATCH(ROW()-1,装备库!$AO$2:$AO$1046,0),COLUMN()),"")</f>
        <v/>
      </c>
      <c r="I1065" t="str">
        <f>IFERROR(INDEX(装备库!$A$2:$Y$1047,MATCH(ROW()-1,装备库!$AO$2:$AO$1046,0),COLUMN()),"")</f>
        <v/>
      </c>
      <c r="J1065" t="str">
        <f>IFERROR(INDEX(装备库!$A$2:$Y$1047,MATCH(ROW()-1,装备库!$AO$2:$AO$1046,0),COLUMN()),"")</f>
        <v/>
      </c>
      <c r="K1065" t="str">
        <f>IFERROR(INDEX(装备库!$A$2:$Y$1047,MATCH(ROW()-1,装备库!$AO$2:$AO$1046,0),COLUMN()),"")</f>
        <v/>
      </c>
      <c r="L1065" t="str">
        <f>IFERROR(INDEX(装备库!$A$2:$Y$1047,MATCH(ROW()-1,装备库!$AO$2:$AO$1046,0),COLUMN()),"")</f>
        <v/>
      </c>
      <c r="M1065" t="str">
        <f>IFERROR(INDEX(装备库!$A$2:$Y$1047,MATCH(ROW()-1,装备库!$AO$2:$AO$1046,0),COLUMN()),"")</f>
        <v/>
      </c>
      <c r="N1065" t="str">
        <f>IFERROR(INDEX(装备库!$A$2:$Y$1047,MATCH(ROW()-1,装备库!$AO$2:$AO$1046,0),COLUMN()),"")</f>
        <v/>
      </c>
      <c r="O1065" t="str">
        <f>IFERROR(INDEX(装备库!$A$2:$Y$1047,MATCH(ROW()-1,装备库!$AO$2:$AO$1046,0),COLUMN()),"")</f>
        <v/>
      </c>
      <c r="P1065" t="str">
        <f>IFERROR(INDEX(装备库!$A$2:$Y$1047,MATCH(ROW()-1,装备库!$AO$2:$AO$1046,0),COLUMN()),"")</f>
        <v/>
      </c>
      <c r="Q1065" t="str">
        <f>IFERROR(INDEX(装备库!$A$2:$Y$1047,MATCH(ROW()-1,装备库!$AO$2:$AO$1046,0),COLUMN()),"")</f>
        <v/>
      </c>
      <c r="R1065" t="str">
        <f>IFERROR(INDEX(装备库!$A$2:$Y$1047,MATCH(ROW()-1,装备库!$AO$2:$AO$1046,0),COLUMN()),"")</f>
        <v/>
      </c>
      <c r="S1065" t="str">
        <f>IFERROR(INDEX(装备库!$A$2:$Y$1047,MATCH(ROW()-1,装备库!$AO$2:$AO$1046,0),COLUMN()),"")</f>
        <v/>
      </c>
      <c r="T1065" t="str">
        <f>IFERROR(INDEX(装备库!$A$2:$Y$1047,MATCH(ROW()-1,装备库!$AO$2:$AO$1046,0),COLUMN()),"")</f>
        <v/>
      </c>
      <c r="U1065" t="str">
        <f>IFERROR(INDEX(装备库!$A$2:$Y$1047,MATCH(ROW()-1,装备库!$AO$2:$AO$1046,0),COLUMN()),"")</f>
        <v/>
      </c>
      <c r="V1065" t="str">
        <f>IFERROR(INDEX(装备库!$A$2:$Y$1047,MATCH(ROW()-1,装备库!$AO$2:$AO$1046,0),COLUMN()),"")</f>
        <v/>
      </c>
      <c r="W1065" t="str">
        <f>IFERROR(INDEX(装备库!$A$2:$Y$1047,MATCH(ROW()-1,装备库!$AO$2:$AO$1046,0),COLUMN()),"")</f>
        <v/>
      </c>
      <c r="X1065" t="str">
        <f>IFERROR(INDEX(装备库!$A$2:$Y$1047,MATCH(ROW()-1,装备库!$AO$2:$AO$1046,0),COLUMN()),"")</f>
        <v/>
      </c>
      <c r="Y1065" t="str">
        <f>IFERROR(INDEX(装备库!$A$2:$Y$1047,MATCH(ROW()-1,装备库!$AO$2:$AO$1046,0),COLUMN()),"")</f>
        <v/>
      </c>
    </row>
    <row r="1066" spans="1:25" x14ac:dyDescent="0.35">
      <c r="A1066" t="str">
        <f>IFERROR(INDEX(装备库!$A$2:$Y$1047,MATCH(ROW()-1,装备库!$AO$2:$AO$1046,0),COLUMN()),"")</f>
        <v/>
      </c>
      <c r="B1066" t="str">
        <f>IFERROR(INDEX(装备库!$A$2:$Y$1047,MATCH(ROW()-1,装备库!$AO$2:$AO$1046,0),COLUMN()),"")</f>
        <v/>
      </c>
      <c r="C1066" t="str">
        <f>IFERROR(INDEX(装备库!$A$2:$Y$1047,MATCH(ROW()-1,装备库!$AO$2:$AO$1046,0),COLUMN()),"")</f>
        <v/>
      </c>
      <c r="D1066" t="str">
        <f>IFERROR(INDEX(装备库!$A$2:$Y$1047,MATCH(ROW()-1,装备库!$AO$2:$AO$1046,0),COLUMN()),"")</f>
        <v/>
      </c>
      <c r="E1066" t="str">
        <f>IFERROR(INDEX(装备库!$A$2:$Y$1047,MATCH(ROW()-1,装备库!$AO$2:$AO$1046,0),COLUMN()),"")</f>
        <v/>
      </c>
      <c r="F1066" t="str">
        <f>IFERROR(INDEX(装备库!$A$2:$Y$1047,MATCH(ROW()-1,装备库!$AO$2:$AO$1046,0),COLUMN()),"")</f>
        <v/>
      </c>
      <c r="G1066" t="str">
        <f>IFERROR(INDEX(装备库!$A$2:$Y$1047,MATCH(ROW()-1,装备库!$AO$2:$AO$1046,0),COLUMN()),"")</f>
        <v/>
      </c>
      <c r="H1066" t="str">
        <f>IFERROR(INDEX(装备库!$A$2:$Y$1047,MATCH(ROW()-1,装备库!$AO$2:$AO$1046,0),COLUMN()),"")</f>
        <v/>
      </c>
      <c r="I1066" t="str">
        <f>IFERROR(INDEX(装备库!$A$2:$Y$1047,MATCH(ROW()-1,装备库!$AO$2:$AO$1046,0),COLUMN()),"")</f>
        <v/>
      </c>
      <c r="J1066" t="str">
        <f>IFERROR(INDEX(装备库!$A$2:$Y$1047,MATCH(ROW()-1,装备库!$AO$2:$AO$1046,0),COLUMN()),"")</f>
        <v/>
      </c>
      <c r="K1066" t="str">
        <f>IFERROR(INDEX(装备库!$A$2:$Y$1047,MATCH(ROW()-1,装备库!$AO$2:$AO$1046,0),COLUMN()),"")</f>
        <v/>
      </c>
      <c r="L1066" t="str">
        <f>IFERROR(INDEX(装备库!$A$2:$Y$1047,MATCH(ROW()-1,装备库!$AO$2:$AO$1046,0),COLUMN()),"")</f>
        <v/>
      </c>
      <c r="M1066" t="str">
        <f>IFERROR(INDEX(装备库!$A$2:$Y$1047,MATCH(ROW()-1,装备库!$AO$2:$AO$1046,0),COLUMN()),"")</f>
        <v/>
      </c>
      <c r="N1066" t="str">
        <f>IFERROR(INDEX(装备库!$A$2:$Y$1047,MATCH(ROW()-1,装备库!$AO$2:$AO$1046,0),COLUMN()),"")</f>
        <v/>
      </c>
      <c r="O1066" t="str">
        <f>IFERROR(INDEX(装备库!$A$2:$Y$1047,MATCH(ROW()-1,装备库!$AO$2:$AO$1046,0),COLUMN()),"")</f>
        <v/>
      </c>
      <c r="P1066" t="str">
        <f>IFERROR(INDEX(装备库!$A$2:$Y$1047,MATCH(ROW()-1,装备库!$AO$2:$AO$1046,0),COLUMN()),"")</f>
        <v/>
      </c>
      <c r="Q1066" t="str">
        <f>IFERROR(INDEX(装备库!$A$2:$Y$1047,MATCH(ROW()-1,装备库!$AO$2:$AO$1046,0),COLUMN()),"")</f>
        <v/>
      </c>
      <c r="R1066" t="str">
        <f>IFERROR(INDEX(装备库!$A$2:$Y$1047,MATCH(ROW()-1,装备库!$AO$2:$AO$1046,0),COLUMN()),"")</f>
        <v/>
      </c>
      <c r="S1066" t="str">
        <f>IFERROR(INDEX(装备库!$A$2:$Y$1047,MATCH(ROW()-1,装备库!$AO$2:$AO$1046,0),COLUMN()),"")</f>
        <v/>
      </c>
      <c r="T1066" t="str">
        <f>IFERROR(INDEX(装备库!$A$2:$Y$1047,MATCH(ROW()-1,装备库!$AO$2:$AO$1046,0),COLUMN()),"")</f>
        <v/>
      </c>
      <c r="U1066" t="str">
        <f>IFERROR(INDEX(装备库!$A$2:$Y$1047,MATCH(ROW()-1,装备库!$AO$2:$AO$1046,0),COLUMN()),"")</f>
        <v/>
      </c>
      <c r="V1066" t="str">
        <f>IFERROR(INDEX(装备库!$A$2:$Y$1047,MATCH(ROW()-1,装备库!$AO$2:$AO$1046,0),COLUMN()),"")</f>
        <v/>
      </c>
      <c r="W1066" t="str">
        <f>IFERROR(INDEX(装备库!$A$2:$Y$1047,MATCH(ROW()-1,装备库!$AO$2:$AO$1046,0),COLUMN()),"")</f>
        <v/>
      </c>
      <c r="X1066" t="str">
        <f>IFERROR(INDEX(装备库!$A$2:$Y$1047,MATCH(ROW()-1,装备库!$AO$2:$AO$1046,0),COLUMN()),"")</f>
        <v/>
      </c>
      <c r="Y1066" t="str">
        <f>IFERROR(INDEX(装备库!$A$2:$Y$1047,MATCH(ROW()-1,装备库!$AO$2:$AO$1046,0),COLUMN()),"")</f>
        <v/>
      </c>
    </row>
    <row r="1067" spans="1:25" x14ac:dyDescent="0.35">
      <c r="A1067" t="str">
        <f>IFERROR(INDEX(装备库!$A$2:$Y$1047,MATCH(ROW()-1,装备库!$AO$2:$AO$1046,0),COLUMN()),"")</f>
        <v/>
      </c>
      <c r="B1067" t="str">
        <f>IFERROR(INDEX(装备库!$A$2:$Y$1047,MATCH(ROW()-1,装备库!$AO$2:$AO$1046,0),COLUMN()),"")</f>
        <v/>
      </c>
      <c r="C1067" t="str">
        <f>IFERROR(INDEX(装备库!$A$2:$Y$1047,MATCH(ROW()-1,装备库!$AO$2:$AO$1046,0),COLUMN()),"")</f>
        <v/>
      </c>
      <c r="D1067" t="str">
        <f>IFERROR(INDEX(装备库!$A$2:$Y$1047,MATCH(ROW()-1,装备库!$AO$2:$AO$1046,0),COLUMN()),"")</f>
        <v/>
      </c>
      <c r="E1067" t="str">
        <f>IFERROR(INDEX(装备库!$A$2:$Y$1047,MATCH(ROW()-1,装备库!$AO$2:$AO$1046,0),COLUMN()),"")</f>
        <v/>
      </c>
      <c r="F1067" t="str">
        <f>IFERROR(INDEX(装备库!$A$2:$Y$1047,MATCH(ROW()-1,装备库!$AO$2:$AO$1046,0),COLUMN()),"")</f>
        <v/>
      </c>
      <c r="G1067" t="str">
        <f>IFERROR(INDEX(装备库!$A$2:$Y$1047,MATCH(ROW()-1,装备库!$AO$2:$AO$1046,0),COLUMN()),"")</f>
        <v/>
      </c>
      <c r="H1067" t="str">
        <f>IFERROR(INDEX(装备库!$A$2:$Y$1047,MATCH(ROW()-1,装备库!$AO$2:$AO$1046,0),COLUMN()),"")</f>
        <v/>
      </c>
      <c r="I1067" t="str">
        <f>IFERROR(INDEX(装备库!$A$2:$Y$1047,MATCH(ROW()-1,装备库!$AO$2:$AO$1046,0),COLUMN()),"")</f>
        <v/>
      </c>
      <c r="J1067" t="str">
        <f>IFERROR(INDEX(装备库!$A$2:$Y$1047,MATCH(ROW()-1,装备库!$AO$2:$AO$1046,0),COLUMN()),"")</f>
        <v/>
      </c>
      <c r="K1067" t="str">
        <f>IFERROR(INDEX(装备库!$A$2:$Y$1047,MATCH(ROW()-1,装备库!$AO$2:$AO$1046,0),COLUMN()),"")</f>
        <v/>
      </c>
      <c r="L1067" t="str">
        <f>IFERROR(INDEX(装备库!$A$2:$Y$1047,MATCH(ROW()-1,装备库!$AO$2:$AO$1046,0),COLUMN()),"")</f>
        <v/>
      </c>
      <c r="M1067" t="str">
        <f>IFERROR(INDEX(装备库!$A$2:$Y$1047,MATCH(ROW()-1,装备库!$AO$2:$AO$1046,0),COLUMN()),"")</f>
        <v/>
      </c>
      <c r="N1067" t="str">
        <f>IFERROR(INDEX(装备库!$A$2:$Y$1047,MATCH(ROW()-1,装备库!$AO$2:$AO$1046,0),COLUMN()),"")</f>
        <v/>
      </c>
      <c r="O1067" t="str">
        <f>IFERROR(INDEX(装备库!$A$2:$Y$1047,MATCH(ROW()-1,装备库!$AO$2:$AO$1046,0),COLUMN()),"")</f>
        <v/>
      </c>
      <c r="P1067" t="str">
        <f>IFERROR(INDEX(装备库!$A$2:$Y$1047,MATCH(ROW()-1,装备库!$AO$2:$AO$1046,0),COLUMN()),"")</f>
        <v/>
      </c>
      <c r="Q1067" t="str">
        <f>IFERROR(INDEX(装备库!$A$2:$Y$1047,MATCH(ROW()-1,装备库!$AO$2:$AO$1046,0),COLUMN()),"")</f>
        <v/>
      </c>
      <c r="R1067" t="str">
        <f>IFERROR(INDEX(装备库!$A$2:$Y$1047,MATCH(ROW()-1,装备库!$AO$2:$AO$1046,0),COLUMN()),"")</f>
        <v/>
      </c>
      <c r="S1067" t="str">
        <f>IFERROR(INDEX(装备库!$A$2:$Y$1047,MATCH(ROW()-1,装备库!$AO$2:$AO$1046,0),COLUMN()),"")</f>
        <v/>
      </c>
      <c r="T1067" t="str">
        <f>IFERROR(INDEX(装备库!$A$2:$Y$1047,MATCH(ROW()-1,装备库!$AO$2:$AO$1046,0),COLUMN()),"")</f>
        <v/>
      </c>
      <c r="U1067" t="str">
        <f>IFERROR(INDEX(装备库!$A$2:$Y$1047,MATCH(ROW()-1,装备库!$AO$2:$AO$1046,0),COLUMN()),"")</f>
        <v/>
      </c>
      <c r="V1067" t="str">
        <f>IFERROR(INDEX(装备库!$A$2:$Y$1047,MATCH(ROW()-1,装备库!$AO$2:$AO$1046,0),COLUMN()),"")</f>
        <v/>
      </c>
      <c r="W1067" t="str">
        <f>IFERROR(INDEX(装备库!$A$2:$Y$1047,MATCH(ROW()-1,装备库!$AO$2:$AO$1046,0),COLUMN()),"")</f>
        <v/>
      </c>
      <c r="X1067" t="str">
        <f>IFERROR(INDEX(装备库!$A$2:$Y$1047,MATCH(ROW()-1,装备库!$AO$2:$AO$1046,0),COLUMN()),"")</f>
        <v/>
      </c>
      <c r="Y1067" t="str">
        <f>IFERROR(INDEX(装备库!$A$2:$Y$1047,MATCH(ROW()-1,装备库!$AO$2:$AO$1046,0),COLUMN()),"")</f>
        <v/>
      </c>
    </row>
    <row r="1068" spans="1:25" x14ac:dyDescent="0.35">
      <c r="A1068" t="str">
        <f>IFERROR(INDEX(装备库!$A$2:$Y$1047,MATCH(ROW()-1,装备库!$AO$2:$AO$1046,0),COLUMN()),"")</f>
        <v/>
      </c>
      <c r="B1068" t="str">
        <f>IFERROR(INDEX(装备库!$A$2:$Y$1047,MATCH(ROW()-1,装备库!$AO$2:$AO$1046,0),COLUMN()),"")</f>
        <v/>
      </c>
      <c r="C1068" t="str">
        <f>IFERROR(INDEX(装备库!$A$2:$Y$1047,MATCH(ROW()-1,装备库!$AO$2:$AO$1046,0),COLUMN()),"")</f>
        <v/>
      </c>
      <c r="D1068" t="str">
        <f>IFERROR(INDEX(装备库!$A$2:$Y$1047,MATCH(ROW()-1,装备库!$AO$2:$AO$1046,0),COLUMN()),"")</f>
        <v/>
      </c>
      <c r="E1068" t="str">
        <f>IFERROR(INDEX(装备库!$A$2:$Y$1047,MATCH(ROW()-1,装备库!$AO$2:$AO$1046,0),COLUMN()),"")</f>
        <v/>
      </c>
      <c r="F1068" t="str">
        <f>IFERROR(INDEX(装备库!$A$2:$Y$1047,MATCH(ROW()-1,装备库!$AO$2:$AO$1046,0),COLUMN()),"")</f>
        <v/>
      </c>
      <c r="G1068" t="str">
        <f>IFERROR(INDEX(装备库!$A$2:$Y$1047,MATCH(ROW()-1,装备库!$AO$2:$AO$1046,0),COLUMN()),"")</f>
        <v/>
      </c>
      <c r="H1068" t="str">
        <f>IFERROR(INDEX(装备库!$A$2:$Y$1047,MATCH(ROW()-1,装备库!$AO$2:$AO$1046,0),COLUMN()),"")</f>
        <v/>
      </c>
      <c r="I1068" t="str">
        <f>IFERROR(INDEX(装备库!$A$2:$Y$1047,MATCH(ROW()-1,装备库!$AO$2:$AO$1046,0),COLUMN()),"")</f>
        <v/>
      </c>
      <c r="J1068" t="str">
        <f>IFERROR(INDEX(装备库!$A$2:$Y$1047,MATCH(ROW()-1,装备库!$AO$2:$AO$1046,0),COLUMN()),"")</f>
        <v/>
      </c>
      <c r="K1068" t="str">
        <f>IFERROR(INDEX(装备库!$A$2:$Y$1047,MATCH(ROW()-1,装备库!$AO$2:$AO$1046,0),COLUMN()),"")</f>
        <v/>
      </c>
      <c r="L1068" t="str">
        <f>IFERROR(INDEX(装备库!$A$2:$Y$1047,MATCH(ROW()-1,装备库!$AO$2:$AO$1046,0),COLUMN()),"")</f>
        <v/>
      </c>
      <c r="M1068" t="str">
        <f>IFERROR(INDEX(装备库!$A$2:$Y$1047,MATCH(ROW()-1,装备库!$AO$2:$AO$1046,0),COLUMN()),"")</f>
        <v/>
      </c>
      <c r="N1068" t="str">
        <f>IFERROR(INDEX(装备库!$A$2:$Y$1047,MATCH(ROW()-1,装备库!$AO$2:$AO$1046,0),COLUMN()),"")</f>
        <v/>
      </c>
      <c r="O1068" t="str">
        <f>IFERROR(INDEX(装备库!$A$2:$Y$1047,MATCH(ROW()-1,装备库!$AO$2:$AO$1046,0),COLUMN()),"")</f>
        <v/>
      </c>
      <c r="P1068" t="str">
        <f>IFERROR(INDEX(装备库!$A$2:$Y$1047,MATCH(ROW()-1,装备库!$AO$2:$AO$1046,0),COLUMN()),"")</f>
        <v/>
      </c>
      <c r="Q1068" t="str">
        <f>IFERROR(INDEX(装备库!$A$2:$Y$1047,MATCH(ROW()-1,装备库!$AO$2:$AO$1046,0),COLUMN()),"")</f>
        <v/>
      </c>
      <c r="R1068" t="str">
        <f>IFERROR(INDEX(装备库!$A$2:$Y$1047,MATCH(ROW()-1,装备库!$AO$2:$AO$1046,0),COLUMN()),"")</f>
        <v/>
      </c>
      <c r="S1068" t="str">
        <f>IFERROR(INDEX(装备库!$A$2:$Y$1047,MATCH(ROW()-1,装备库!$AO$2:$AO$1046,0),COLUMN()),"")</f>
        <v/>
      </c>
      <c r="T1068" t="str">
        <f>IFERROR(INDEX(装备库!$A$2:$Y$1047,MATCH(ROW()-1,装备库!$AO$2:$AO$1046,0),COLUMN()),"")</f>
        <v/>
      </c>
      <c r="U1068" t="str">
        <f>IFERROR(INDEX(装备库!$A$2:$Y$1047,MATCH(ROW()-1,装备库!$AO$2:$AO$1046,0),COLUMN()),"")</f>
        <v/>
      </c>
      <c r="V1068" t="str">
        <f>IFERROR(INDEX(装备库!$A$2:$Y$1047,MATCH(ROW()-1,装备库!$AO$2:$AO$1046,0),COLUMN()),"")</f>
        <v/>
      </c>
      <c r="W1068" t="str">
        <f>IFERROR(INDEX(装备库!$A$2:$Y$1047,MATCH(ROW()-1,装备库!$AO$2:$AO$1046,0),COLUMN()),"")</f>
        <v/>
      </c>
      <c r="X1068" t="str">
        <f>IFERROR(INDEX(装备库!$A$2:$Y$1047,MATCH(ROW()-1,装备库!$AO$2:$AO$1046,0),COLUMN()),"")</f>
        <v/>
      </c>
      <c r="Y1068" t="str">
        <f>IFERROR(INDEX(装备库!$A$2:$Y$1047,MATCH(ROW()-1,装备库!$AO$2:$AO$1046,0),COLUMN()),"")</f>
        <v/>
      </c>
    </row>
    <row r="1069" spans="1:25" x14ac:dyDescent="0.35">
      <c r="A1069" t="str">
        <f>IFERROR(INDEX(装备库!$A$2:$Y$1047,MATCH(ROW()-1,装备库!$AO$2:$AO$1046,0),COLUMN()),"")</f>
        <v/>
      </c>
      <c r="B1069" t="str">
        <f>IFERROR(INDEX(装备库!$A$2:$Y$1047,MATCH(ROW()-1,装备库!$AO$2:$AO$1046,0),COLUMN()),"")</f>
        <v/>
      </c>
      <c r="C1069" t="str">
        <f>IFERROR(INDEX(装备库!$A$2:$Y$1047,MATCH(ROW()-1,装备库!$AO$2:$AO$1046,0),COLUMN()),"")</f>
        <v/>
      </c>
      <c r="D1069" t="str">
        <f>IFERROR(INDEX(装备库!$A$2:$Y$1047,MATCH(ROW()-1,装备库!$AO$2:$AO$1046,0),COLUMN()),"")</f>
        <v/>
      </c>
      <c r="E1069" t="str">
        <f>IFERROR(INDEX(装备库!$A$2:$Y$1047,MATCH(ROW()-1,装备库!$AO$2:$AO$1046,0),COLUMN()),"")</f>
        <v/>
      </c>
      <c r="F1069" t="str">
        <f>IFERROR(INDEX(装备库!$A$2:$Y$1047,MATCH(ROW()-1,装备库!$AO$2:$AO$1046,0),COLUMN()),"")</f>
        <v/>
      </c>
      <c r="G1069" t="str">
        <f>IFERROR(INDEX(装备库!$A$2:$Y$1047,MATCH(ROW()-1,装备库!$AO$2:$AO$1046,0),COLUMN()),"")</f>
        <v/>
      </c>
      <c r="H1069" t="str">
        <f>IFERROR(INDEX(装备库!$A$2:$Y$1047,MATCH(ROW()-1,装备库!$AO$2:$AO$1046,0),COLUMN()),"")</f>
        <v/>
      </c>
      <c r="I1069" t="str">
        <f>IFERROR(INDEX(装备库!$A$2:$Y$1047,MATCH(ROW()-1,装备库!$AO$2:$AO$1046,0),COLUMN()),"")</f>
        <v/>
      </c>
      <c r="J1069" t="str">
        <f>IFERROR(INDEX(装备库!$A$2:$Y$1047,MATCH(ROW()-1,装备库!$AO$2:$AO$1046,0),COLUMN()),"")</f>
        <v/>
      </c>
      <c r="K1069" t="str">
        <f>IFERROR(INDEX(装备库!$A$2:$Y$1047,MATCH(ROW()-1,装备库!$AO$2:$AO$1046,0),COLUMN()),"")</f>
        <v/>
      </c>
      <c r="L1069" t="str">
        <f>IFERROR(INDEX(装备库!$A$2:$Y$1047,MATCH(ROW()-1,装备库!$AO$2:$AO$1046,0),COLUMN()),"")</f>
        <v/>
      </c>
      <c r="M1069" t="str">
        <f>IFERROR(INDEX(装备库!$A$2:$Y$1047,MATCH(ROW()-1,装备库!$AO$2:$AO$1046,0),COLUMN()),"")</f>
        <v/>
      </c>
      <c r="N1069" t="str">
        <f>IFERROR(INDEX(装备库!$A$2:$Y$1047,MATCH(ROW()-1,装备库!$AO$2:$AO$1046,0),COLUMN()),"")</f>
        <v/>
      </c>
      <c r="O1069" t="str">
        <f>IFERROR(INDEX(装备库!$A$2:$Y$1047,MATCH(ROW()-1,装备库!$AO$2:$AO$1046,0),COLUMN()),"")</f>
        <v/>
      </c>
      <c r="P1069" t="str">
        <f>IFERROR(INDEX(装备库!$A$2:$Y$1047,MATCH(ROW()-1,装备库!$AO$2:$AO$1046,0),COLUMN()),"")</f>
        <v/>
      </c>
      <c r="Q1069" t="str">
        <f>IFERROR(INDEX(装备库!$A$2:$Y$1047,MATCH(ROW()-1,装备库!$AO$2:$AO$1046,0),COLUMN()),"")</f>
        <v/>
      </c>
      <c r="R1069" t="str">
        <f>IFERROR(INDEX(装备库!$A$2:$Y$1047,MATCH(ROW()-1,装备库!$AO$2:$AO$1046,0),COLUMN()),"")</f>
        <v/>
      </c>
      <c r="S1069" t="str">
        <f>IFERROR(INDEX(装备库!$A$2:$Y$1047,MATCH(ROW()-1,装备库!$AO$2:$AO$1046,0),COLUMN()),"")</f>
        <v/>
      </c>
      <c r="T1069" t="str">
        <f>IFERROR(INDEX(装备库!$A$2:$Y$1047,MATCH(ROW()-1,装备库!$AO$2:$AO$1046,0),COLUMN()),"")</f>
        <v/>
      </c>
      <c r="U1069" t="str">
        <f>IFERROR(INDEX(装备库!$A$2:$Y$1047,MATCH(ROW()-1,装备库!$AO$2:$AO$1046,0),COLUMN()),"")</f>
        <v/>
      </c>
      <c r="V1069" t="str">
        <f>IFERROR(INDEX(装备库!$A$2:$Y$1047,MATCH(ROW()-1,装备库!$AO$2:$AO$1046,0),COLUMN()),"")</f>
        <v/>
      </c>
      <c r="W1069" t="str">
        <f>IFERROR(INDEX(装备库!$A$2:$Y$1047,MATCH(ROW()-1,装备库!$AO$2:$AO$1046,0),COLUMN()),"")</f>
        <v/>
      </c>
      <c r="X1069" t="str">
        <f>IFERROR(INDEX(装备库!$A$2:$Y$1047,MATCH(ROW()-1,装备库!$AO$2:$AO$1046,0),COLUMN()),"")</f>
        <v/>
      </c>
      <c r="Y1069" t="str">
        <f>IFERROR(INDEX(装备库!$A$2:$Y$1047,MATCH(ROW()-1,装备库!$AO$2:$AO$1046,0),COLUMN()),"")</f>
        <v/>
      </c>
    </row>
    <row r="1070" spans="1:25" x14ac:dyDescent="0.35">
      <c r="A1070" t="str">
        <f>IFERROR(INDEX(装备库!$A$2:$Y$1047,MATCH(ROW()-1,装备库!$AO$2:$AO$1046,0),COLUMN()),"")</f>
        <v/>
      </c>
      <c r="B1070" t="str">
        <f>IFERROR(INDEX(装备库!$A$2:$Y$1047,MATCH(ROW()-1,装备库!$AO$2:$AO$1046,0),COLUMN()),"")</f>
        <v/>
      </c>
      <c r="C1070" t="str">
        <f>IFERROR(INDEX(装备库!$A$2:$Y$1047,MATCH(ROW()-1,装备库!$AO$2:$AO$1046,0),COLUMN()),"")</f>
        <v/>
      </c>
      <c r="D1070" t="str">
        <f>IFERROR(INDEX(装备库!$A$2:$Y$1047,MATCH(ROW()-1,装备库!$AO$2:$AO$1046,0),COLUMN()),"")</f>
        <v/>
      </c>
      <c r="E1070" t="str">
        <f>IFERROR(INDEX(装备库!$A$2:$Y$1047,MATCH(ROW()-1,装备库!$AO$2:$AO$1046,0),COLUMN()),"")</f>
        <v/>
      </c>
      <c r="F1070" t="str">
        <f>IFERROR(INDEX(装备库!$A$2:$Y$1047,MATCH(ROW()-1,装备库!$AO$2:$AO$1046,0),COLUMN()),"")</f>
        <v/>
      </c>
      <c r="G1070" t="str">
        <f>IFERROR(INDEX(装备库!$A$2:$Y$1047,MATCH(ROW()-1,装备库!$AO$2:$AO$1046,0),COLUMN()),"")</f>
        <v/>
      </c>
      <c r="H1070" t="str">
        <f>IFERROR(INDEX(装备库!$A$2:$Y$1047,MATCH(ROW()-1,装备库!$AO$2:$AO$1046,0),COLUMN()),"")</f>
        <v/>
      </c>
      <c r="I1070" t="str">
        <f>IFERROR(INDEX(装备库!$A$2:$Y$1047,MATCH(ROW()-1,装备库!$AO$2:$AO$1046,0),COLUMN()),"")</f>
        <v/>
      </c>
      <c r="J1070" t="str">
        <f>IFERROR(INDEX(装备库!$A$2:$Y$1047,MATCH(ROW()-1,装备库!$AO$2:$AO$1046,0),COLUMN()),"")</f>
        <v/>
      </c>
      <c r="K1070" t="str">
        <f>IFERROR(INDEX(装备库!$A$2:$Y$1047,MATCH(ROW()-1,装备库!$AO$2:$AO$1046,0),COLUMN()),"")</f>
        <v/>
      </c>
      <c r="L1070" t="str">
        <f>IFERROR(INDEX(装备库!$A$2:$Y$1047,MATCH(ROW()-1,装备库!$AO$2:$AO$1046,0),COLUMN()),"")</f>
        <v/>
      </c>
      <c r="M1070" t="str">
        <f>IFERROR(INDEX(装备库!$A$2:$Y$1047,MATCH(ROW()-1,装备库!$AO$2:$AO$1046,0),COLUMN()),"")</f>
        <v/>
      </c>
      <c r="N1070" t="str">
        <f>IFERROR(INDEX(装备库!$A$2:$Y$1047,MATCH(ROW()-1,装备库!$AO$2:$AO$1046,0),COLUMN()),"")</f>
        <v/>
      </c>
      <c r="O1070" t="str">
        <f>IFERROR(INDEX(装备库!$A$2:$Y$1047,MATCH(ROW()-1,装备库!$AO$2:$AO$1046,0),COLUMN()),"")</f>
        <v/>
      </c>
      <c r="P1070" t="str">
        <f>IFERROR(INDEX(装备库!$A$2:$Y$1047,MATCH(ROW()-1,装备库!$AO$2:$AO$1046,0),COLUMN()),"")</f>
        <v/>
      </c>
      <c r="Q1070" t="str">
        <f>IFERROR(INDEX(装备库!$A$2:$Y$1047,MATCH(ROW()-1,装备库!$AO$2:$AO$1046,0),COLUMN()),"")</f>
        <v/>
      </c>
      <c r="R1070" t="str">
        <f>IFERROR(INDEX(装备库!$A$2:$Y$1047,MATCH(ROW()-1,装备库!$AO$2:$AO$1046,0),COLUMN()),"")</f>
        <v/>
      </c>
      <c r="S1070" t="str">
        <f>IFERROR(INDEX(装备库!$A$2:$Y$1047,MATCH(ROW()-1,装备库!$AO$2:$AO$1046,0),COLUMN()),"")</f>
        <v/>
      </c>
      <c r="T1070" t="str">
        <f>IFERROR(INDEX(装备库!$A$2:$Y$1047,MATCH(ROW()-1,装备库!$AO$2:$AO$1046,0),COLUMN()),"")</f>
        <v/>
      </c>
      <c r="U1070" t="str">
        <f>IFERROR(INDEX(装备库!$A$2:$Y$1047,MATCH(ROW()-1,装备库!$AO$2:$AO$1046,0),COLUMN()),"")</f>
        <v/>
      </c>
      <c r="V1070" t="str">
        <f>IFERROR(INDEX(装备库!$A$2:$Y$1047,MATCH(ROW()-1,装备库!$AO$2:$AO$1046,0),COLUMN()),"")</f>
        <v/>
      </c>
      <c r="W1070" t="str">
        <f>IFERROR(INDEX(装备库!$A$2:$Y$1047,MATCH(ROW()-1,装备库!$AO$2:$AO$1046,0),COLUMN()),"")</f>
        <v/>
      </c>
      <c r="X1070" t="str">
        <f>IFERROR(INDEX(装备库!$A$2:$Y$1047,MATCH(ROW()-1,装备库!$AO$2:$AO$1046,0),COLUMN()),"")</f>
        <v/>
      </c>
      <c r="Y1070" t="str">
        <f>IFERROR(INDEX(装备库!$A$2:$Y$1047,MATCH(ROW()-1,装备库!$AO$2:$AO$1046,0),COLUMN()),"")</f>
        <v/>
      </c>
    </row>
    <row r="1071" spans="1:25" x14ac:dyDescent="0.35">
      <c r="A1071" t="str">
        <f>IFERROR(INDEX(装备库!$A$2:$Y$1047,MATCH(ROW()-1,装备库!$AO$2:$AO$1046,0),COLUMN()),"")</f>
        <v/>
      </c>
      <c r="B1071" t="str">
        <f>IFERROR(INDEX(装备库!$A$2:$Y$1047,MATCH(ROW()-1,装备库!$AO$2:$AO$1046,0),COLUMN()),"")</f>
        <v/>
      </c>
      <c r="C1071" t="str">
        <f>IFERROR(INDEX(装备库!$A$2:$Y$1047,MATCH(ROW()-1,装备库!$AO$2:$AO$1046,0),COLUMN()),"")</f>
        <v/>
      </c>
      <c r="D1071" t="str">
        <f>IFERROR(INDEX(装备库!$A$2:$Y$1047,MATCH(ROW()-1,装备库!$AO$2:$AO$1046,0),COLUMN()),"")</f>
        <v/>
      </c>
      <c r="E1071" t="str">
        <f>IFERROR(INDEX(装备库!$A$2:$Y$1047,MATCH(ROW()-1,装备库!$AO$2:$AO$1046,0),COLUMN()),"")</f>
        <v/>
      </c>
      <c r="F1071" t="str">
        <f>IFERROR(INDEX(装备库!$A$2:$Y$1047,MATCH(ROW()-1,装备库!$AO$2:$AO$1046,0),COLUMN()),"")</f>
        <v/>
      </c>
      <c r="G1071" t="str">
        <f>IFERROR(INDEX(装备库!$A$2:$Y$1047,MATCH(ROW()-1,装备库!$AO$2:$AO$1046,0),COLUMN()),"")</f>
        <v/>
      </c>
      <c r="H1071" t="str">
        <f>IFERROR(INDEX(装备库!$A$2:$Y$1047,MATCH(ROW()-1,装备库!$AO$2:$AO$1046,0),COLUMN()),"")</f>
        <v/>
      </c>
      <c r="I1071" t="str">
        <f>IFERROR(INDEX(装备库!$A$2:$Y$1047,MATCH(ROW()-1,装备库!$AO$2:$AO$1046,0),COLUMN()),"")</f>
        <v/>
      </c>
      <c r="J1071" t="str">
        <f>IFERROR(INDEX(装备库!$A$2:$Y$1047,MATCH(ROW()-1,装备库!$AO$2:$AO$1046,0),COLUMN()),"")</f>
        <v/>
      </c>
      <c r="K1071" t="str">
        <f>IFERROR(INDEX(装备库!$A$2:$Y$1047,MATCH(ROW()-1,装备库!$AO$2:$AO$1046,0),COLUMN()),"")</f>
        <v/>
      </c>
      <c r="L1071" t="str">
        <f>IFERROR(INDEX(装备库!$A$2:$Y$1047,MATCH(ROW()-1,装备库!$AO$2:$AO$1046,0),COLUMN()),"")</f>
        <v/>
      </c>
      <c r="M1071" t="str">
        <f>IFERROR(INDEX(装备库!$A$2:$Y$1047,MATCH(ROW()-1,装备库!$AO$2:$AO$1046,0),COLUMN()),"")</f>
        <v/>
      </c>
      <c r="N1071" t="str">
        <f>IFERROR(INDEX(装备库!$A$2:$Y$1047,MATCH(ROW()-1,装备库!$AO$2:$AO$1046,0),COLUMN()),"")</f>
        <v/>
      </c>
      <c r="O1071" t="str">
        <f>IFERROR(INDEX(装备库!$A$2:$Y$1047,MATCH(ROW()-1,装备库!$AO$2:$AO$1046,0),COLUMN()),"")</f>
        <v/>
      </c>
      <c r="P1071" t="str">
        <f>IFERROR(INDEX(装备库!$A$2:$Y$1047,MATCH(ROW()-1,装备库!$AO$2:$AO$1046,0),COLUMN()),"")</f>
        <v/>
      </c>
      <c r="Q1071" t="str">
        <f>IFERROR(INDEX(装备库!$A$2:$Y$1047,MATCH(ROW()-1,装备库!$AO$2:$AO$1046,0),COLUMN()),"")</f>
        <v/>
      </c>
      <c r="R1071" t="str">
        <f>IFERROR(INDEX(装备库!$A$2:$Y$1047,MATCH(ROW()-1,装备库!$AO$2:$AO$1046,0),COLUMN()),"")</f>
        <v/>
      </c>
      <c r="S1071" t="str">
        <f>IFERROR(INDEX(装备库!$A$2:$Y$1047,MATCH(ROW()-1,装备库!$AO$2:$AO$1046,0),COLUMN()),"")</f>
        <v/>
      </c>
      <c r="T1071" t="str">
        <f>IFERROR(INDEX(装备库!$A$2:$Y$1047,MATCH(ROW()-1,装备库!$AO$2:$AO$1046,0),COLUMN()),"")</f>
        <v/>
      </c>
      <c r="U1071" t="str">
        <f>IFERROR(INDEX(装备库!$A$2:$Y$1047,MATCH(ROW()-1,装备库!$AO$2:$AO$1046,0),COLUMN()),"")</f>
        <v/>
      </c>
      <c r="V1071" t="str">
        <f>IFERROR(INDEX(装备库!$A$2:$Y$1047,MATCH(ROW()-1,装备库!$AO$2:$AO$1046,0),COLUMN()),"")</f>
        <v/>
      </c>
      <c r="W1071" t="str">
        <f>IFERROR(INDEX(装备库!$A$2:$Y$1047,MATCH(ROW()-1,装备库!$AO$2:$AO$1046,0),COLUMN()),"")</f>
        <v/>
      </c>
      <c r="X1071" t="str">
        <f>IFERROR(INDEX(装备库!$A$2:$Y$1047,MATCH(ROW()-1,装备库!$AO$2:$AO$1046,0),COLUMN()),"")</f>
        <v/>
      </c>
      <c r="Y1071" t="str">
        <f>IFERROR(INDEX(装备库!$A$2:$Y$1047,MATCH(ROW()-1,装备库!$AO$2:$AO$1046,0),COLUMN()),"")</f>
        <v/>
      </c>
    </row>
    <row r="1072" spans="1:25" x14ac:dyDescent="0.35">
      <c r="A1072" t="str">
        <f>IFERROR(INDEX(装备库!$A$2:$Y$1047,MATCH(ROW()-1,装备库!$AO$2:$AO$1046,0),COLUMN()),"")</f>
        <v/>
      </c>
      <c r="B1072" t="str">
        <f>IFERROR(INDEX(装备库!$A$2:$Y$1047,MATCH(ROW()-1,装备库!$AO$2:$AO$1046,0),COLUMN()),"")</f>
        <v/>
      </c>
      <c r="C1072" t="str">
        <f>IFERROR(INDEX(装备库!$A$2:$Y$1047,MATCH(ROW()-1,装备库!$AO$2:$AO$1046,0),COLUMN()),"")</f>
        <v/>
      </c>
      <c r="D1072" t="str">
        <f>IFERROR(INDEX(装备库!$A$2:$Y$1047,MATCH(ROW()-1,装备库!$AO$2:$AO$1046,0),COLUMN()),"")</f>
        <v/>
      </c>
      <c r="E1072" t="str">
        <f>IFERROR(INDEX(装备库!$A$2:$Y$1047,MATCH(ROW()-1,装备库!$AO$2:$AO$1046,0),COLUMN()),"")</f>
        <v/>
      </c>
      <c r="F1072" t="str">
        <f>IFERROR(INDEX(装备库!$A$2:$Y$1047,MATCH(ROW()-1,装备库!$AO$2:$AO$1046,0),COLUMN()),"")</f>
        <v/>
      </c>
      <c r="G1072" t="str">
        <f>IFERROR(INDEX(装备库!$A$2:$Y$1047,MATCH(ROW()-1,装备库!$AO$2:$AO$1046,0),COLUMN()),"")</f>
        <v/>
      </c>
      <c r="H1072" t="str">
        <f>IFERROR(INDEX(装备库!$A$2:$Y$1047,MATCH(ROW()-1,装备库!$AO$2:$AO$1046,0),COLUMN()),"")</f>
        <v/>
      </c>
      <c r="I1072" t="str">
        <f>IFERROR(INDEX(装备库!$A$2:$Y$1047,MATCH(ROW()-1,装备库!$AO$2:$AO$1046,0),COLUMN()),"")</f>
        <v/>
      </c>
      <c r="J1072" t="str">
        <f>IFERROR(INDEX(装备库!$A$2:$Y$1047,MATCH(ROW()-1,装备库!$AO$2:$AO$1046,0),COLUMN()),"")</f>
        <v/>
      </c>
      <c r="K1072" t="str">
        <f>IFERROR(INDEX(装备库!$A$2:$Y$1047,MATCH(ROW()-1,装备库!$AO$2:$AO$1046,0),COLUMN()),"")</f>
        <v/>
      </c>
      <c r="L1072" t="str">
        <f>IFERROR(INDEX(装备库!$A$2:$Y$1047,MATCH(ROW()-1,装备库!$AO$2:$AO$1046,0),COLUMN()),"")</f>
        <v/>
      </c>
      <c r="M1072" t="str">
        <f>IFERROR(INDEX(装备库!$A$2:$Y$1047,MATCH(ROW()-1,装备库!$AO$2:$AO$1046,0),COLUMN()),"")</f>
        <v/>
      </c>
      <c r="N1072" t="str">
        <f>IFERROR(INDEX(装备库!$A$2:$Y$1047,MATCH(ROW()-1,装备库!$AO$2:$AO$1046,0),COLUMN()),"")</f>
        <v/>
      </c>
      <c r="O1072" t="str">
        <f>IFERROR(INDEX(装备库!$A$2:$Y$1047,MATCH(ROW()-1,装备库!$AO$2:$AO$1046,0),COLUMN()),"")</f>
        <v/>
      </c>
      <c r="P1072" t="str">
        <f>IFERROR(INDEX(装备库!$A$2:$Y$1047,MATCH(ROW()-1,装备库!$AO$2:$AO$1046,0),COLUMN()),"")</f>
        <v/>
      </c>
      <c r="Q1072" t="str">
        <f>IFERROR(INDEX(装备库!$A$2:$Y$1047,MATCH(ROW()-1,装备库!$AO$2:$AO$1046,0),COLUMN()),"")</f>
        <v/>
      </c>
      <c r="R1072" t="str">
        <f>IFERROR(INDEX(装备库!$A$2:$Y$1047,MATCH(ROW()-1,装备库!$AO$2:$AO$1046,0),COLUMN()),"")</f>
        <v/>
      </c>
      <c r="S1072" t="str">
        <f>IFERROR(INDEX(装备库!$A$2:$Y$1047,MATCH(ROW()-1,装备库!$AO$2:$AO$1046,0),COLUMN()),"")</f>
        <v/>
      </c>
      <c r="T1072" t="str">
        <f>IFERROR(INDEX(装备库!$A$2:$Y$1047,MATCH(ROW()-1,装备库!$AO$2:$AO$1046,0),COLUMN()),"")</f>
        <v/>
      </c>
      <c r="U1072" t="str">
        <f>IFERROR(INDEX(装备库!$A$2:$Y$1047,MATCH(ROW()-1,装备库!$AO$2:$AO$1046,0),COLUMN()),"")</f>
        <v/>
      </c>
      <c r="V1072" t="str">
        <f>IFERROR(INDEX(装备库!$A$2:$Y$1047,MATCH(ROW()-1,装备库!$AO$2:$AO$1046,0),COLUMN()),"")</f>
        <v/>
      </c>
      <c r="W1072" t="str">
        <f>IFERROR(INDEX(装备库!$A$2:$Y$1047,MATCH(ROW()-1,装备库!$AO$2:$AO$1046,0),COLUMN()),"")</f>
        <v/>
      </c>
      <c r="X1072" t="str">
        <f>IFERROR(INDEX(装备库!$A$2:$Y$1047,MATCH(ROW()-1,装备库!$AO$2:$AO$1046,0),COLUMN()),"")</f>
        <v/>
      </c>
      <c r="Y1072" t="str">
        <f>IFERROR(INDEX(装备库!$A$2:$Y$1047,MATCH(ROW()-1,装备库!$AO$2:$AO$1046,0),COLUMN()),"")</f>
        <v/>
      </c>
    </row>
    <row r="1073" spans="1:25" x14ac:dyDescent="0.35">
      <c r="A1073" t="str">
        <f>IFERROR(INDEX(装备库!$A$2:$Y$1047,MATCH(ROW()-1,装备库!$AO$2:$AO$1046,0),COLUMN()),"")</f>
        <v/>
      </c>
      <c r="B1073" t="str">
        <f>IFERROR(INDEX(装备库!$A$2:$Y$1047,MATCH(ROW()-1,装备库!$AO$2:$AO$1046,0),COLUMN()),"")</f>
        <v/>
      </c>
      <c r="C1073" t="str">
        <f>IFERROR(INDEX(装备库!$A$2:$Y$1047,MATCH(ROW()-1,装备库!$AO$2:$AO$1046,0),COLUMN()),"")</f>
        <v/>
      </c>
      <c r="D1073" t="str">
        <f>IFERROR(INDEX(装备库!$A$2:$Y$1047,MATCH(ROW()-1,装备库!$AO$2:$AO$1046,0),COLUMN()),"")</f>
        <v/>
      </c>
      <c r="E1073" t="str">
        <f>IFERROR(INDEX(装备库!$A$2:$Y$1047,MATCH(ROW()-1,装备库!$AO$2:$AO$1046,0),COLUMN()),"")</f>
        <v/>
      </c>
      <c r="F1073" t="str">
        <f>IFERROR(INDEX(装备库!$A$2:$Y$1047,MATCH(ROW()-1,装备库!$AO$2:$AO$1046,0),COLUMN()),"")</f>
        <v/>
      </c>
      <c r="G1073" t="str">
        <f>IFERROR(INDEX(装备库!$A$2:$Y$1047,MATCH(ROW()-1,装备库!$AO$2:$AO$1046,0),COLUMN()),"")</f>
        <v/>
      </c>
      <c r="H1073" t="str">
        <f>IFERROR(INDEX(装备库!$A$2:$Y$1047,MATCH(ROW()-1,装备库!$AO$2:$AO$1046,0),COLUMN()),"")</f>
        <v/>
      </c>
      <c r="I1073" t="str">
        <f>IFERROR(INDEX(装备库!$A$2:$Y$1047,MATCH(ROW()-1,装备库!$AO$2:$AO$1046,0),COLUMN()),"")</f>
        <v/>
      </c>
      <c r="J1073" t="str">
        <f>IFERROR(INDEX(装备库!$A$2:$Y$1047,MATCH(ROW()-1,装备库!$AO$2:$AO$1046,0),COLUMN()),"")</f>
        <v/>
      </c>
      <c r="K1073" t="str">
        <f>IFERROR(INDEX(装备库!$A$2:$Y$1047,MATCH(ROW()-1,装备库!$AO$2:$AO$1046,0),COLUMN()),"")</f>
        <v/>
      </c>
      <c r="L1073" t="str">
        <f>IFERROR(INDEX(装备库!$A$2:$Y$1047,MATCH(ROW()-1,装备库!$AO$2:$AO$1046,0),COLUMN()),"")</f>
        <v/>
      </c>
      <c r="M1073" t="str">
        <f>IFERROR(INDEX(装备库!$A$2:$Y$1047,MATCH(ROW()-1,装备库!$AO$2:$AO$1046,0),COLUMN()),"")</f>
        <v/>
      </c>
      <c r="N1073" t="str">
        <f>IFERROR(INDEX(装备库!$A$2:$Y$1047,MATCH(ROW()-1,装备库!$AO$2:$AO$1046,0),COLUMN()),"")</f>
        <v/>
      </c>
      <c r="O1073" t="str">
        <f>IFERROR(INDEX(装备库!$A$2:$Y$1047,MATCH(ROW()-1,装备库!$AO$2:$AO$1046,0),COLUMN()),"")</f>
        <v/>
      </c>
      <c r="P1073" t="str">
        <f>IFERROR(INDEX(装备库!$A$2:$Y$1047,MATCH(ROW()-1,装备库!$AO$2:$AO$1046,0),COLUMN()),"")</f>
        <v/>
      </c>
      <c r="Q1073" t="str">
        <f>IFERROR(INDEX(装备库!$A$2:$Y$1047,MATCH(ROW()-1,装备库!$AO$2:$AO$1046,0),COLUMN()),"")</f>
        <v/>
      </c>
      <c r="R1073" t="str">
        <f>IFERROR(INDEX(装备库!$A$2:$Y$1047,MATCH(ROW()-1,装备库!$AO$2:$AO$1046,0),COLUMN()),"")</f>
        <v/>
      </c>
      <c r="S1073" t="str">
        <f>IFERROR(INDEX(装备库!$A$2:$Y$1047,MATCH(ROW()-1,装备库!$AO$2:$AO$1046,0),COLUMN()),"")</f>
        <v/>
      </c>
      <c r="T1073" t="str">
        <f>IFERROR(INDEX(装备库!$A$2:$Y$1047,MATCH(ROW()-1,装备库!$AO$2:$AO$1046,0),COLUMN()),"")</f>
        <v/>
      </c>
      <c r="U1073" t="str">
        <f>IFERROR(INDEX(装备库!$A$2:$Y$1047,MATCH(ROW()-1,装备库!$AO$2:$AO$1046,0),COLUMN()),"")</f>
        <v/>
      </c>
      <c r="V1073" t="str">
        <f>IFERROR(INDEX(装备库!$A$2:$Y$1047,MATCH(ROW()-1,装备库!$AO$2:$AO$1046,0),COLUMN()),"")</f>
        <v/>
      </c>
      <c r="W1073" t="str">
        <f>IFERROR(INDEX(装备库!$A$2:$Y$1047,MATCH(ROW()-1,装备库!$AO$2:$AO$1046,0),COLUMN()),"")</f>
        <v/>
      </c>
      <c r="X1073" t="str">
        <f>IFERROR(INDEX(装备库!$A$2:$Y$1047,MATCH(ROW()-1,装备库!$AO$2:$AO$1046,0),COLUMN()),"")</f>
        <v/>
      </c>
      <c r="Y1073" t="str">
        <f>IFERROR(INDEX(装备库!$A$2:$Y$1047,MATCH(ROW()-1,装备库!$AO$2:$AO$1046,0),COLUMN()),"")</f>
        <v/>
      </c>
    </row>
    <row r="1074" spans="1:25" x14ac:dyDescent="0.35">
      <c r="A1074" t="str">
        <f>IFERROR(INDEX(装备库!$A$2:$Y$1047,MATCH(ROW()-1,装备库!$AO$2:$AO$1046,0),COLUMN()),"")</f>
        <v/>
      </c>
      <c r="B1074" t="str">
        <f>IFERROR(INDEX(装备库!$A$2:$Y$1047,MATCH(ROW()-1,装备库!$AO$2:$AO$1046,0),COLUMN()),"")</f>
        <v/>
      </c>
      <c r="C1074" t="str">
        <f>IFERROR(INDEX(装备库!$A$2:$Y$1047,MATCH(ROW()-1,装备库!$AO$2:$AO$1046,0),COLUMN()),"")</f>
        <v/>
      </c>
      <c r="D1074" t="str">
        <f>IFERROR(INDEX(装备库!$A$2:$Y$1047,MATCH(ROW()-1,装备库!$AO$2:$AO$1046,0),COLUMN()),"")</f>
        <v/>
      </c>
      <c r="E1074" t="str">
        <f>IFERROR(INDEX(装备库!$A$2:$Y$1047,MATCH(ROW()-1,装备库!$AO$2:$AO$1046,0),COLUMN()),"")</f>
        <v/>
      </c>
      <c r="F1074" t="str">
        <f>IFERROR(INDEX(装备库!$A$2:$Y$1047,MATCH(ROW()-1,装备库!$AO$2:$AO$1046,0),COLUMN()),"")</f>
        <v/>
      </c>
      <c r="G1074" t="str">
        <f>IFERROR(INDEX(装备库!$A$2:$Y$1047,MATCH(ROW()-1,装备库!$AO$2:$AO$1046,0),COLUMN()),"")</f>
        <v/>
      </c>
      <c r="H1074" t="str">
        <f>IFERROR(INDEX(装备库!$A$2:$Y$1047,MATCH(ROW()-1,装备库!$AO$2:$AO$1046,0),COLUMN()),"")</f>
        <v/>
      </c>
      <c r="I1074" t="str">
        <f>IFERROR(INDEX(装备库!$A$2:$Y$1047,MATCH(ROW()-1,装备库!$AO$2:$AO$1046,0),COLUMN()),"")</f>
        <v/>
      </c>
      <c r="J1074" t="str">
        <f>IFERROR(INDEX(装备库!$A$2:$Y$1047,MATCH(ROW()-1,装备库!$AO$2:$AO$1046,0),COLUMN()),"")</f>
        <v/>
      </c>
      <c r="K1074" t="str">
        <f>IFERROR(INDEX(装备库!$A$2:$Y$1047,MATCH(ROW()-1,装备库!$AO$2:$AO$1046,0),COLUMN()),"")</f>
        <v/>
      </c>
      <c r="L1074" t="str">
        <f>IFERROR(INDEX(装备库!$A$2:$Y$1047,MATCH(ROW()-1,装备库!$AO$2:$AO$1046,0),COLUMN()),"")</f>
        <v/>
      </c>
      <c r="M1074" t="str">
        <f>IFERROR(INDEX(装备库!$A$2:$Y$1047,MATCH(ROW()-1,装备库!$AO$2:$AO$1046,0),COLUMN()),"")</f>
        <v/>
      </c>
      <c r="N1074" t="str">
        <f>IFERROR(INDEX(装备库!$A$2:$Y$1047,MATCH(ROW()-1,装备库!$AO$2:$AO$1046,0),COLUMN()),"")</f>
        <v/>
      </c>
      <c r="O1074" t="str">
        <f>IFERROR(INDEX(装备库!$A$2:$Y$1047,MATCH(ROW()-1,装备库!$AO$2:$AO$1046,0),COLUMN()),"")</f>
        <v/>
      </c>
      <c r="P1074" t="str">
        <f>IFERROR(INDEX(装备库!$A$2:$Y$1047,MATCH(ROW()-1,装备库!$AO$2:$AO$1046,0),COLUMN()),"")</f>
        <v/>
      </c>
      <c r="Q1074" t="str">
        <f>IFERROR(INDEX(装备库!$A$2:$Y$1047,MATCH(ROW()-1,装备库!$AO$2:$AO$1046,0),COLUMN()),"")</f>
        <v/>
      </c>
      <c r="R1074" t="str">
        <f>IFERROR(INDEX(装备库!$A$2:$Y$1047,MATCH(ROW()-1,装备库!$AO$2:$AO$1046,0),COLUMN()),"")</f>
        <v/>
      </c>
      <c r="S1074" t="str">
        <f>IFERROR(INDEX(装备库!$A$2:$Y$1047,MATCH(ROW()-1,装备库!$AO$2:$AO$1046,0),COLUMN()),"")</f>
        <v/>
      </c>
      <c r="T1074" t="str">
        <f>IFERROR(INDEX(装备库!$A$2:$Y$1047,MATCH(ROW()-1,装备库!$AO$2:$AO$1046,0),COLUMN()),"")</f>
        <v/>
      </c>
      <c r="U1074" t="str">
        <f>IFERROR(INDEX(装备库!$A$2:$Y$1047,MATCH(ROW()-1,装备库!$AO$2:$AO$1046,0),COLUMN()),"")</f>
        <v/>
      </c>
      <c r="V1074" t="str">
        <f>IFERROR(INDEX(装备库!$A$2:$Y$1047,MATCH(ROW()-1,装备库!$AO$2:$AO$1046,0),COLUMN()),"")</f>
        <v/>
      </c>
      <c r="W1074" t="str">
        <f>IFERROR(INDEX(装备库!$A$2:$Y$1047,MATCH(ROW()-1,装备库!$AO$2:$AO$1046,0),COLUMN()),"")</f>
        <v/>
      </c>
      <c r="X1074" t="str">
        <f>IFERROR(INDEX(装备库!$A$2:$Y$1047,MATCH(ROW()-1,装备库!$AO$2:$AO$1046,0),COLUMN()),"")</f>
        <v/>
      </c>
      <c r="Y1074" t="str">
        <f>IFERROR(INDEX(装备库!$A$2:$Y$1047,MATCH(ROW()-1,装备库!$AO$2:$AO$1046,0),COLUMN()),"")</f>
        <v/>
      </c>
    </row>
    <row r="1075" spans="1:25" x14ac:dyDescent="0.35">
      <c r="A1075" t="str">
        <f>IFERROR(INDEX(装备库!$A$2:$Y$1047,MATCH(ROW()-1,装备库!$AO$2:$AO$1046,0),COLUMN()),"")</f>
        <v/>
      </c>
      <c r="B1075" t="str">
        <f>IFERROR(INDEX(装备库!$A$2:$Y$1047,MATCH(ROW()-1,装备库!$AO$2:$AO$1046,0),COLUMN()),"")</f>
        <v/>
      </c>
      <c r="C1075" t="str">
        <f>IFERROR(INDEX(装备库!$A$2:$Y$1047,MATCH(ROW()-1,装备库!$AO$2:$AO$1046,0),COLUMN()),"")</f>
        <v/>
      </c>
      <c r="D1075" t="str">
        <f>IFERROR(INDEX(装备库!$A$2:$Y$1047,MATCH(ROW()-1,装备库!$AO$2:$AO$1046,0),COLUMN()),"")</f>
        <v/>
      </c>
      <c r="E1075" t="str">
        <f>IFERROR(INDEX(装备库!$A$2:$Y$1047,MATCH(ROW()-1,装备库!$AO$2:$AO$1046,0),COLUMN()),"")</f>
        <v/>
      </c>
      <c r="F1075" t="str">
        <f>IFERROR(INDEX(装备库!$A$2:$Y$1047,MATCH(ROW()-1,装备库!$AO$2:$AO$1046,0),COLUMN()),"")</f>
        <v/>
      </c>
      <c r="G1075" t="str">
        <f>IFERROR(INDEX(装备库!$A$2:$Y$1047,MATCH(ROW()-1,装备库!$AO$2:$AO$1046,0),COLUMN()),"")</f>
        <v/>
      </c>
      <c r="H1075" t="str">
        <f>IFERROR(INDEX(装备库!$A$2:$Y$1047,MATCH(ROW()-1,装备库!$AO$2:$AO$1046,0),COLUMN()),"")</f>
        <v/>
      </c>
      <c r="I1075" t="str">
        <f>IFERROR(INDEX(装备库!$A$2:$Y$1047,MATCH(ROW()-1,装备库!$AO$2:$AO$1046,0),COLUMN()),"")</f>
        <v/>
      </c>
      <c r="J1075" t="str">
        <f>IFERROR(INDEX(装备库!$A$2:$Y$1047,MATCH(ROW()-1,装备库!$AO$2:$AO$1046,0),COLUMN()),"")</f>
        <v/>
      </c>
      <c r="K1075" t="str">
        <f>IFERROR(INDEX(装备库!$A$2:$Y$1047,MATCH(ROW()-1,装备库!$AO$2:$AO$1046,0),COLUMN()),"")</f>
        <v/>
      </c>
      <c r="L1075" t="str">
        <f>IFERROR(INDEX(装备库!$A$2:$Y$1047,MATCH(ROW()-1,装备库!$AO$2:$AO$1046,0),COLUMN()),"")</f>
        <v/>
      </c>
      <c r="M1075" t="str">
        <f>IFERROR(INDEX(装备库!$A$2:$Y$1047,MATCH(ROW()-1,装备库!$AO$2:$AO$1046,0),COLUMN()),"")</f>
        <v/>
      </c>
      <c r="N1075" t="str">
        <f>IFERROR(INDEX(装备库!$A$2:$Y$1047,MATCH(ROW()-1,装备库!$AO$2:$AO$1046,0),COLUMN()),"")</f>
        <v/>
      </c>
      <c r="O1075" t="str">
        <f>IFERROR(INDEX(装备库!$A$2:$Y$1047,MATCH(ROW()-1,装备库!$AO$2:$AO$1046,0),COLUMN()),"")</f>
        <v/>
      </c>
      <c r="P1075" t="str">
        <f>IFERROR(INDEX(装备库!$A$2:$Y$1047,MATCH(ROW()-1,装备库!$AO$2:$AO$1046,0),COLUMN()),"")</f>
        <v/>
      </c>
      <c r="Q1075" t="str">
        <f>IFERROR(INDEX(装备库!$A$2:$Y$1047,MATCH(ROW()-1,装备库!$AO$2:$AO$1046,0),COLUMN()),"")</f>
        <v/>
      </c>
      <c r="R1075" t="str">
        <f>IFERROR(INDEX(装备库!$A$2:$Y$1047,MATCH(ROW()-1,装备库!$AO$2:$AO$1046,0),COLUMN()),"")</f>
        <v/>
      </c>
      <c r="S1075" t="str">
        <f>IFERROR(INDEX(装备库!$A$2:$Y$1047,MATCH(ROW()-1,装备库!$AO$2:$AO$1046,0),COLUMN()),"")</f>
        <v/>
      </c>
      <c r="T1075" t="str">
        <f>IFERROR(INDEX(装备库!$A$2:$Y$1047,MATCH(ROW()-1,装备库!$AO$2:$AO$1046,0),COLUMN()),"")</f>
        <v/>
      </c>
      <c r="U1075" t="str">
        <f>IFERROR(INDEX(装备库!$A$2:$Y$1047,MATCH(ROW()-1,装备库!$AO$2:$AO$1046,0),COLUMN()),"")</f>
        <v/>
      </c>
      <c r="V1075" t="str">
        <f>IFERROR(INDEX(装备库!$A$2:$Y$1047,MATCH(ROW()-1,装备库!$AO$2:$AO$1046,0),COLUMN()),"")</f>
        <v/>
      </c>
      <c r="W1075" t="str">
        <f>IFERROR(INDEX(装备库!$A$2:$Y$1047,MATCH(ROW()-1,装备库!$AO$2:$AO$1046,0),COLUMN()),"")</f>
        <v/>
      </c>
      <c r="X1075" t="str">
        <f>IFERROR(INDEX(装备库!$A$2:$Y$1047,MATCH(ROW()-1,装备库!$AO$2:$AO$1046,0),COLUMN()),"")</f>
        <v/>
      </c>
      <c r="Y1075" t="str">
        <f>IFERROR(INDEX(装备库!$A$2:$Y$1047,MATCH(ROW()-1,装备库!$AO$2:$AO$1046,0),COLUMN()),"")</f>
        <v/>
      </c>
    </row>
    <row r="1076" spans="1:25" x14ac:dyDescent="0.35">
      <c r="A1076" t="str">
        <f>IFERROR(INDEX(装备库!$A$2:$Y$1047,MATCH(ROW()-1,装备库!$AO$2:$AO$1046,0),COLUMN()),"")</f>
        <v/>
      </c>
      <c r="B1076" t="str">
        <f>IFERROR(INDEX(装备库!$A$2:$Y$1047,MATCH(ROW()-1,装备库!$AO$2:$AO$1046,0),COLUMN()),"")</f>
        <v/>
      </c>
      <c r="C1076" t="str">
        <f>IFERROR(INDEX(装备库!$A$2:$Y$1047,MATCH(ROW()-1,装备库!$AO$2:$AO$1046,0),COLUMN()),"")</f>
        <v/>
      </c>
      <c r="D1076" t="str">
        <f>IFERROR(INDEX(装备库!$A$2:$Y$1047,MATCH(ROW()-1,装备库!$AO$2:$AO$1046,0),COLUMN()),"")</f>
        <v/>
      </c>
      <c r="E1076" t="str">
        <f>IFERROR(INDEX(装备库!$A$2:$Y$1047,MATCH(ROW()-1,装备库!$AO$2:$AO$1046,0),COLUMN()),"")</f>
        <v/>
      </c>
      <c r="F1076" t="str">
        <f>IFERROR(INDEX(装备库!$A$2:$Y$1047,MATCH(ROW()-1,装备库!$AO$2:$AO$1046,0),COLUMN()),"")</f>
        <v/>
      </c>
      <c r="G1076" t="str">
        <f>IFERROR(INDEX(装备库!$A$2:$Y$1047,MATCH(ROW()-1,装备库!$AO$2:$AO$1046,0),COLUMN()),"")</f>
        <v/>
      </c>
      <c r="H1076" t="str">
        <f>IFERROR(INDEX(装备库!$A$2:$Y$1047,MATCH(ROW()-1,装备库!$AO$2:$AO$1046,0),COLUMN()),"")</f>
        <v/>
      </c>
      <c r="I1076" t="str">
        <f>IFERROR(INDEX(装备库!$A$2:$Y$1047,MATCH(ROW()-1,装备库!$AO$2:$AO$1046,0),COLUMN()),"")</f>
        <v/>
      </c>
      <c r="J1076" t="str">
        <f>IFERROR(INDEX(装备库!$A$2:$Y$1047,MATCH(ROW()-1,装备库!$AO$2:$AO$1046,0),COLUMN()),"")</f>
        <v/>
      </c>
      <c r="K1076" t="str">
        <f>IFERROR(INDEX(装备库!$A$2:$Y$1047,MATCH(ROW()-1,装备库!$AO$2:$AO$1046,0),COLUMN()),"")</f>
        <v/>
      </c>
      <c r="L1076" t="str">
        <f>IFERROR(INDEX(装备库!$A$2:$Y$1047,MATCH(ROW()-1,装备库!$AO$2:$AO$1046,0),COLUMN()),"")</f>
        <v/>
      </c>
      <c r="M1076" t="str">
        <f>IFERROR(INDEX(装备库!$A$2:$Y$1047,MATCH(ROW()-1,装备库!$AO$2:$AO$1046,0),COLUMN()),"")</f>
        <v/>
      </c>
      <c r="N1076" t="str">
        <f>IFERROR(INDEX(装备库!$A$2:$Y$1047,MATCH(ROW()-1,装备库!$AO$2:$AO$1046,0),COLUMN()),"")</f>
        <v/>
      </c>
      <c r="O1076" t="str">
        <f>IFERROR(INDEX(装备库!$A$2:$Y$1047,MATCH(ROW()-1,装备库!$AO$2:$AO$1046,0),COLUMN()),"")</f>
        <v/>
      </c>
      <c r="P1076" t="str">
        <f>IFERROR(INDEX(装备库!$A$2:$Y$1047,MATCH(ROW()-1,装备库!$AO$2:$AO$1046,0),COLUMN()),"")</f>
        <v/>
      </c>
      <c r="Q1076" t="str">
        <f>IFERROR(INDEX(装备库!$A$2:$Y$1047,MATCH(ROW()-1,装备库!$AO$2:$AO$1046,0),COLUMN()),"")</f>
        <v/>
      </c>
      <c r="R1076" t="str">
        <f>IFERROR(INDEX(装备库!$A$2:$Y$1047,MATCH(ROW()-1,装备库!$AO$2:$AO$1046,0),COLUMN()),"")</f>
        <v/>
      </c>
      <c r="S1076" t="str">
        <f>IFERROR(INDEX(装备库!$A$2:$Y$1047,MATCH(ROW()-1,装备库!$AO$2:$AO$1046,0),COLUMN()),"")</f>
        <v/>
      </c>
      <c r="T1076" t="str">
        <f>IFERROR(INDEX(装备库!$A$2:$Y$1047,MATCH(ROW()-1,装备库!$AO$2:$AO$1046,0),COLUMN()),"")</f>
        <v/>
      </c>
      <c r="U1076" t="str">
        <f>IFERROR(INDEX(装备库!$A$2:$Y$1047,MATCH(ROW()-1,装备库!$AO$2:$AO$1046,0),COLUMN()),"")</f>
        <v/>
      </c>
      <c r="V1076" t="str">
        <f>IFERROR(INDEX(装备库!$A$2:$Y$1047,MATCH(ROW()-1,装备库!$AO$2:$AO$1046,0),COLUMN()),"")</f>
        <v/>
      </c>
      <c r="W1076" t="str">
        <f>IFERROR(INDEX(装备库!$A$2:$Y$1047,MATCH(ROW()-1,装备库!$AO$2:$AO$1046,0),COLUMN()),"")</f>
        <v/>
      </c>
      <c r="X1076" t="str">
        <f>IFERROR(INDEX(装备库!$A$2:$Y$1047,MATCH(ROW()-1,装备库!$AO$2:$AO$1046,0),COLUMN()),"")</f>
        <v/>
      </c>
      <c r="Y1076" t="str">
        <f>IFERROR(INDEX(装备库!$A$2:$Y$1047,MATCH(ROW()-1,装备库!$AO$2:$AO$1046,0),COLUMN()),"")</f>
        <v/>
      </c>
    </row>
    <row r="1077" spans="1:25" x14ac:dyDescent="0.35">
      <c r="A1077" t="str">
        <f>IFERROR(INDEX(装备库!$A$2:$Y$1047,MATCH(ROW()-1,装备库!$AO$2:$AO$1046,0),COLUMN()),"")</f>
        <v/>
      </c>
      <c r="B1077" t="str">
        <f>IFERROR(INDEX(装备库!$A$2:$Y$1047,MATCH(ROW()-1,装备库!$AO$2:$AO$1046,0),COLUMN()),"")</f>
        <v/>
      </c>
      <c r="C1077" t="str">
        <f>IFERROR(INDEX(装备库!$A$2:$Y$1047,MATCH(ROW()-1,装备库!$AO$2:$AO$1046,0),COLUMN()),"")</f>
        <v/>
      </c>
      <c r="D1077" t="str">
        <f>IFERROR(INDEX(装备库!$A$2:$Y$1047,MATCH(ROW()-1,装备库!$AO$2:$AO$1046,0),COLUMN()),"")</f>
        <v/>
      </c>
      <c r="E1077" t="str">
        <f>IFERROR(INDEX(装备库!$A$2:$Y$1047,MATCH(ROW()-1,装备库!$AO$2:$AO$1046,0),COLUMN()),"")</f>
        <v/>
      </c>
      <c r="F1077" t="str">
        <f>IFERROR(INDEX(装备库!$A$2:$Y$1047,MATCH(ROW()-1,装备库!$AO$2:$AO$1046,0),COLUMN()),"")</f>
        <v/>
      </c>
      <c r="G1077" t="str">
        <f>IFERROR(INDEX(装备库!$A$2:$Y$1047,MATCH(ROW()-1,装备库!$AO$2:$AO$1046,0),COLUMN()),"")</f>
        <v/>
      </c>
      <c r="H1077" t="str">
        <f>IFERROR(INDEX(装备库!$A$2:$Y$1047,MATCH(ROW()-1,装备库!$AO$2:$AO$1046,0),COLUMN()),"")</f>
        <v/>
      </c>
      <c r="I1077" t="str">
        <f>IFERROR(INDEX(装备库!$A$2:$Y$1047,MATCH(ROW()-1,装备库!$AO$2:$AO$1046,0),COLUMN()),"")</f>
        <v/>
      </c>
      <c r="J1077" t="str">
        <f>IFERROR(INDEX(装备库!$A$2:$Y$1047,MATCH(ROW()-1,装备库!$AO$2:$AO$1046,0),COLUMN()),"")</f>
        <v/>
      </c>
      <c r="K1077" t="str">
        <f>IFERROR(INDEX(装备库!$A$2:$Y$1047,MATCH(ROW()-1,装备库!$AO$2:$AO$1046,0),COLUMN()),"")</f>
        <v/>
      </c>
      <c r="L1077" t="str">
        <f>IFERROR(INDEX(装备库!$A$2:$Y$1047,MATCH(ROW()-1,装备库!$AO$2:$AO$1046,0),COLUMN()),"")</f>
        <v/>
      </c>
      <c r="M1077" t="str">
        <f>IFERROR(INDEX(装备库!$A$2:$Y$1047,MATCH(ROW()-1,装备库!$AO$2:$AO$1046,0),COLUMN()),"")</f>
        <v/>
      </c>
      <c r="N1077" t="str">
        <f>IFERROR(INDEX(装备库!$A$2:$Y$1047,MATCH(ROW()-1,装备库!$AO$2:$AO$1046,0),COLUMN()),"")</f>
        <v/>
      </c>
      <c r="O1077" t="str">
        <f>IFERROR(INDEX(装备库!$A$2:$Y$1047,MATCH(ROW()-1,装备库!$AO$2:$AO$1046,0),COLUMN()),"")</f>
        <v/>
      </c>
      <c r="P1077" t="str">
        <f>IFERROR(INDEX(装备库!$A$2:$Y$1047,MATCH(ROW()-1,装备库!$AO$2:$AO$1046,0),COLUMN()),"")</f>
        <v/>
      </c>
      <c r="Q1077" t="str">
        <f>IFERROR(INDEX(装备库!$A$2:$Y$1047,MATCH(ROW()-1,装备库!$AO$2:$AO$1046,0),COLUMN()),"")</f>
        <v/>
      </c>
      <c r="R1077" t="str">
        <f>IFERROR(INDEX(装备库!$A$2:$Y$1047,MATCH(ROW()-1,装备库!$AO$2:$AO$1046,0),COLUMN()),"")</f>
        <v/>
      </c>
      <c r="S1077" t="str">
        <f>IFERROR(INDEX(装备库!$A$2:$Y$1047,MATCH(ROW()-1,装备库!$AO$2:$AO$1046,0),COLUMN()),"")</f>
        <v/>
      </c>
      <c r="T1077" t="str">
        <f>IFERROR(INDEX(装备库!$A$2:$Y$1047,MATCH(ROW()-1,装备库!$AO$2:$AO$1046,0),COLUMN()),"")</f>
        <v/>
      </c>
      <c r="U1077" t="str">
        <f>IFERROR(INDEX(装备库!$A$2:$Y$1047,MATCH(ROW()-1,装备库!$AO$2:$AO$1046,0),COLUMN()),"")</f>
        <v/>
      </c>
      <c r="V1077" t="str">
        <f>IFERROR(INDEX(装备库!$A$2:$Y$1047,MATCH(ROW()-1,装备库!$AO$2:$AO$1046,0),COLUMN()),"")</f>
        <v/>
      </c>
      <c r="W1077" t="str">
        <f>IFERROR(INDEX(装备库!$A$2:$Y$1047,MATCH(ROW()-1,装备库!$AO$2:$AO$1046,0),COLUMN()),"")</f>
        <v/>
      </c>
      <c r="X1077" t="str">
        <f>IFERROR(INDEX(装备库!$A$2:$Y$1047,MATCH(ROW()-1,装备库!$AO$2:$AO$1046,0),COLUMN()),"")</f>
        <v/>
      </c>
      <c r="Y1077" t="str">
        <f>IFERROR(INDEX(装备库!$A$2:$Y$1047,MATCH(ROW()-1,装备库!$AO$2:$AO$1046,0),COLUMN()),"")</f>
        <v/>
      </c>
    </row>
    <row r="1078" spans="1:25" x14ac:dyDescent="0.35">
      <c r="A1078" t="str">
        <f>IFERROR(INDEX(装备库!$A$2:$Y$1047,MATCH(ROW()-1,装备库!$AO$2:$AO$1046,0),COLUMN()),"")</f>
        <v/>
      </c>
      <c r="B1078" t="str">
        <f>IFERROR(INDEX(装备库!$A$2:$Y$1047,MATCH(ROW()-1,装备库!$AO$2:$AO$1046,0),COLUMN()),"")</f>
        <v/>
      </c>
      <c r="C1078" t="str">
        <f>IFERROR(INDEX(装备库!$A$2:$Y$1047,MATCH(ROW()-1,装备库!$AO$2:$AO$1046,0),COLUMN()),"")</f>
        <v/>
      </c>
      <c r="D1078" t="str">
        <f>IFERROR(INDEX(装备库!$A$2:$Y$1047,MATCH(ROW()-1,装备库!$AO$2:$AO$1046,0),COLUMN()),"")</f>
        <v/>
      </c>
      <c r="E1078" t="str">
        <f>IFERROR(INDEX(装备库!$A$2:$Y$1047,MATCH(ROW()-1,装备库!$AO$2:$AO$1046,0),COLUMN()),"")</f>
        <v/>
      </c>
      <c r="F1078" t="str">
        <f>IFERROR(INDEX(装备库!$A$2:$Y$1047,MATCH(ROW()-1,装备库!$AO$2:$AO$1046,0),COLUMN()),"")</f>
        <v/>
      </c>
      <c r="G1078" t="str">
        <f>IFERROR(INDEX(装备库!$A$2:$Y$1047,MATCH(ROW()-1,装备库!$AO$2:$AO$1046,0),COLUMN()),"")</f>
        <v/>
      </c>
      <c r="H1078" t="str">
        <f>IFERROR(INDEX(装备库!$A$2:$Y$1047,MATCH(ROW()-1,装备库!$AO$2:$AO$1046,0),COLUMN()),"")</f>
        <v/>
      </c>
      <c r="I1078" t="str">
        <f>IFERROR(INDEX(装备库!$A$2:$Y$1047,MATCH(ROW()-1,装备库!$AO$2:$AO$1046,0),COLUMN()),"")</f>
        <v/>
      </c>
      <c r="J1078" t="str">
        <f>IFERROR(INDEX(装备库!$A$2:$Y$1047,MATCH(ROW()-1,装备库!$AO$2:$AO$1046,0),COLUMN()),"")</f>
        <v/>
      </c>
      <c r="K1078" t="str">
        <f>IFERROR(INDEX(装备库!$A$2:$Y$1047,MATCH(ROW()-1,装备库!$AO$2:$AO$1046,0),COLUMN()),"")</f>
        <v/>
      </c>
      <c r="L1078" t="str">
        <f>IFERROR(INDEX(装备库!$A$2:$Y$1047,MATCH(ROW()-1,装备库!$AO$2:$AO$1046,0),COLUMN()),"")</f>
        <v/>
      </c>
      <c r="M1078" t="str">
        <f>IFERROR(INDEX(装备库!$A$2:$Y$1047,MATCH(ROW()-1,装备库!$AO$2:$AO$1046,0),COLUMN()),"")</f>
        <v/>
      </c>
      <c r="N1078" t="str">
        <f>IFERROR(INDEX(装备库!$A$2:$Y$1047,MATCH(ROW()-1,装备库!$AO$2:$AO$1046,0),COLUMN()),"")</f>
        <v/>
      </c>
      <c r="O1078" t="str">
        <f>IFERROR(INDEX(装备库!$A$2:$Y$1047,MATCH(ROW()-1,装备库!$AO$2:$AO$1046,0),COLUMN()),"")</f>
        <v/>
      </c>
      <c r="P1078" t="str">
        <f>IFERROR(INDEX(装备库!$A$2:$Y$1047,MATCH(ROW()-1,装备库!$AO$2:$AO$1046,0),COLUMN()),"")</f>
        <v/>
      </c>
      <c r="Q1078" t="str">
        <f>IFERROR(INDEX(装备库!$A$2:$Y$1047,MATCH(ROW()-1,装备库!$AO$2:$AO$1046,0),COLUMN()),"")</f>
        <v/>
      </c>
      <c r="R1078" t="str">
        <f>IFERROR(INDEX(装备库!$A$2:$Y$1047,MATCH(ROW()-1,装备库!$AO$2:$AO$1046,0),COLUMN()),"")</f>
        <v/>
      </c>
      <c r="S1078" t="str">
        <f>IFERROR(INDEX(装备库!$A$2:$Y$1047,MATCH(ROW()-1,装备库!$AO$2:$AO$1046,0),COLUMN()),"")</f>
        <v/>
      </c>
      <c r="T1078" t="str">
        <f>IFERROR(INDEX(装备库!$A$2:$Y$1047,MATCH(ROW()-1,装备库!$AO$2:$AO$1046,0),COLUMN()),"")</f>
        <v/>
      </c>
      <c r="U1078" t="str">
        <f>IFERROR(INDEX(装备库!$A$2:$Y$1047,MATCH(ROW()-1,装备库!$AO$2:$AO$1046,0),COLUMN()),"")</f>
        <v/>
      </c>
      <c r="V1078" t="str">
        <f>IFERROR(INDEX(装备库!$A$2:$Y$1047,MATCH(ROW()-1,装备库!$AO$2:$AO$1046,0),COLUMN()),"")</f>
        <v/>
      </c>
      <c r="W1078" t="str">
        <f>IFERROR(INDEX(装备库!$A$2:$Y$1047,MATCH(ROW()-1,装备库!$AO$2:$AO$1046,0),COLUMN()),"")</f>
        <v/>
      </c>
      <c r="X1078" t="str">
        <f>IFERROR(INDEX(装备库!$A$2:$Y$1047,MATCH(ROW()-1,装备库!$AO$2:$AO$1046,0),COLUMN()),"")</f>
        <v/>
      </c>
      <c r="Y1078" t="str">
        <f>IFERROR(INDEX(装备库!$A$2:$Y$1047,MATCH(ROW()-1,装备库!$AO$2:$AO$1046,0),COLUMN()),"")</f>
        <v/>
      </c>
    </row>
    <row r="1079" spans="1:25" x14ac:dyDescent="0.35">
      <c r="A1079" t="str">
        <f>IFERROR(INDEX(装备库!$A$2:$Y$1047,MATCH(ROW()-1,装备库!$AO$2:$AO$1046,0),COLUMN()),"")</f>
        <v/>
      </c>
      <c r="B1079" t="str">
        <f>IFERROR(INDEX(装备库!$A$2:$Y$1047,MATCH(ROW()-1,装备库!$AO$2:$AO$1046,0),COLUMN()),"")</f>
        <v/>
      </c>
      <c r="C1079" t="str">
        <f>IFERROR(INDEX(装备库!$A$2:$Y$1047,MATCH(ROW()-1,装备库!$AO$2:$AO$1046,0),COLUMN()),"")</f>
        <v/>
      </c>
      <c r="D1079" t="str">
        <f>IFERROR(INDEX(装备库!$A$2:$Y$1047,MATCH(ROW()-1,装备库!$AO$2:$AO$1046,0),COLUMN()),"")</f>
        <v/>
      </c>
      <c r="E1079" t="str">
        <f>IFERROR(INDEX(装备库!$A$2:$Y$1047,MATCH(ROW()-1,装备库!$AO$2:$AO$1046,0),COLUMN()),"")</f>
        <v/>
      </c>
      <c r="F1079" t="str">
        <f>IFERROR(INDEX(装备库!$A$2:$Y$1047,MATCH(ROW()-1,装备库!$AO$2:$AO$1046,0),COLUMN()),"")</f>
        <v/>
      </c>
      <c r="G1079" t="str">
        <f>IFERROR(INDEX(装备库!$A$2:$Y$1047,MATCH(ROW()-1,装备库!$AO$2:$AO$1046,0),COLUMN()),"")</f>
        <v/>
      </c>
      <c r="H1079" t="str">
        <f>IFERROR(INDEX(装备库!$A$2:$Y$1047,MATCH(ROW()-1,装备库!$AO$2:$AO$1046,0),COLUMN()),"")</f>
        <v/>
      </c>
      <c r="I1079" t="str">
        <f>IFERROR(INDEX(装备库!$A$2:$Y$1047,MATCH(ROW()-1,装备库!$AO$2:$AO$1046,0),COLUMN()),"")</f>
        <v/>
      </c>
      <c r="J1079" t="str">
        <f>IFERROR(INDEX(装备库!$A$2:$Y$1047,MATCH(ROW()-1,装备库!$AO$2:$AO$1046,0),COLUMN()),"")</f>
        <v/>
      </c>
      <c r="K1079" t="str">
        <f>IFERROR(INDEX(装备库!$A$2:$Y$1047,MATCH(ROW()-1,装备库!$AO$2:$AO$1046,0),COLUMN()),"")</f>
        <v/>
      </c>
      <c r="L1079" t="str">
        <f>IFERROR(INDEX(装备库!$A$2:$Y$1047,MATCH(ROW()-1,装备库!$AO$2:$AO$1046,0),COLUMN()),"")</f>
        <v/>
      </c>
      <c r="M1079" t="str">
        <f>IFERROR(INDEX(装备库!$A$2:$Y$1047,MATCH(ROW()-1,装备库!$AO$2:$AO$1046,0),COLUMN()),"")</f>
        <v/>
      </c>
      <c r="N1079" t="str">
        <f>IFERROR(INDEX(装备库!$A$2:$Y$1047,MATCH(ROW()-1,装备库!$AO$2:$AO$1046,0),COLUMN()),"")</f>
        <v/>
      </c>
      <c r="O1079" t="str">
        <f>IFERROR(INDEX(装备库!$A$2:$Y$1047,MATCH(ROW()-1,装备库!$AO$2:$AO$1046,0),COLUMN()),"")</f>
        <v/>
      </c>
      <c r="P1079" t="str">
        <f>IFERROR(INDEX(装备库!$A$2:$Y$1047,MATCH(ROW()-1,装备库!$AO$2:$AO$1046,0),COLUMN()),"")</f>
        <v/>
      </c>
      <c r="Q1079" t="str">
        <f>IFERROR(INDEX(装备库!$A$2:$Y$1047,MATCH(ROW()-1,装备库!$AO$2:$AO$1046,0),COLUMN()),"")</f>
        <v/>
      </c>
      <c r="R1079" t="str">
        <f>IFERROR(INDEX(装备库!$A$2:$Y$1047,MATCH(ROW()-1,装备库!$AO$2:$AO$1046,0),COLUMN()),"")</f>
        <v/>
      </c>
      <c r="S1079" t="str">
        <f>IFERROR(INDEX(装备库!$A$2:$Y$1047,MATCH(ROW()-1,装备库!$AO$2:$AO$1046,0),COLUMN()),"")</f>
        <v/>
      </c>
      <c r="T1079" t="str">
        <f>IFERROR(INDEX(装备库!$A$2:$Y$1047,MATCH(ROW()-1,装备库!$AO$2:$AO$1046,0),COLUMN()),"")</f>
        <v/>
      </c>
      <c r="U1079" t="str">
        <f>IFERROR(INDEX(装备库!$A$2:$Y$1047,MATCH(ROW()-1,装备库!$AO$2:$AO$1046,0),COLUMN()),"")</f>
        <v/>
      </c>
      <c r="V1079" t="str">
        <f>IFERROR(INDEX(装备库!$A$2:$Y$1047,MATCH(ROW()-1,装备库!$AO$2:$AO$1046,0),COLUMN()),"")</f>
        <v/>
      </c>
      <c r="W1079" t="str">
        <f>IFERROR(INDEX(装备库!$A$2:$Y$1047,MATCH(ROW()-1,装备库!$AO$2:$AO$1046,0),COLUMN()),"")</f>
        <v/>
      </c>
      <c r="X1079" t="str">
        <f>IFERROR(INDEX(装备库!$A$2:$Y$1047,MATCH(ROW()-1,装备库!$AO$2:$AO$1046,0),COLUMN()),"")</f>
        <v/>
      </c>
      <c r="Y1079" t="str">
        <f>IFERROR(INDEX(装备库!$A$2:$Y$1047,MATCH(ROW()-1,装备库!$AO$2:$AO$1046,0),COLUMN()),"")</f>
        <v/>
      </c>
    </row>
    <row r="1080" spans="1:25" x14ac:dyDescent="0.35">
      <c r="A1080" t="str">
        <f>IFERROR(INDEX(装备库!$A$2:$Y$1047,MATCH(ROW()-1,装备库!$AO$2:$AO$1046,0),COLUMN()),"")</f>
        <v/>
      </c>
      <c r="B1080" t="str">
        <f>IFERROR(INDEX(装备库!$A$2:$Y$1047,MATCH(ROW()-1,装备库!$AO$2:$AO$1046,0),COLUMN()),"")</f>
        <v/>
      </c>
      <c r="C1080" t="str">
        <f>IFERROR(INDEX(装备库!$A$2:$Y$1047,MATCH(ROW()-1,装备库!$AO$2:$AO$1046,0),COLUMN()),"")</f>
        <v/>
      </c>
      <c r="D1080" t="str">
        <f>IFERROR(INDEX(装备库!$A$2:$Y$1047,MATCH(ROW()-1,装备库!$AO$2:$AO$1046,0),COLUMN()),"")</f>
        <v/>
      </c>
      <c r="E1080" t="str">
        <f>IFERROR(INDEX(装备库!$A$2:$Y$1047,MATCH(ROW()-1,装备库!$AO$2:$AO$1046,0),COLUMN()),"")</f>
        <v/>
      </c>
      <c r="F1080" t="str">
        <f>IFERROR(INDEX(装备库!$A$2:$Y$1047,MATCH(ROW()-1,装备库!$AO$2:$AO$1046,0),COLUMN()),"")</f>
        <v/>
      </c>
      <c r="G1080" t="str">
        <f>IFERROR(INDEX(装备库!$A$2:$Y$1047,MATCH(ROW()-1,装备库!$AO$2:$AO$1046,0),COLUMN()),"")</f>
        <v/>
      </c>
      <c r="H1080" t="str">
        <f>IFERROR(INDEX(装备库!$A$2:$Y$1047,MATCH(ROW()-1,装备库!$AO$2:$AO$1046,0),COLUMN()),"")</f>
        <v/>
      </c>
      <c r="I1080" t="str">
        <f>IFERROR(INDEX(装备库!$A$2:$Y$1047,MATCH(ROW()-1,装备库!$AO$2:$AO$1046,0),COLUMN()),"")</f>
        <v/>
      </c>
      <c r="J1080" t="str">
        <f>IFERROR(INDEX(装备库!$A$2:$Y$1047,MATCH(ROW()-1,装备库!$AO$2:$AO$1046,0),COLUMN()),"")</f>
        <v/>
      </c>
      <c r="K1080" t="str">
        <f>IFERROR(INDEX(装备库!$A$2:$Y$1047,MATCH(ROW()-1,装备库!$AO$2:$AO$1046,0),COLUMN()),"")</f>
        <v/>
      </c>
      <c r="L1080" t="str">
        <f>IFERROR(INDEX(装备库!$A$2:$Y$1047,MATCH(ROW()-1,装备库!$AO$2:$AO$1046,0),COLUMN()),"")</f>
        <v/>
      </c>
      <c r="M1080" t="str">
        <f>IFERROR(INDEX(装备库!$A$2:$Y$1047,MATCH(ROW()-1,装备库!$AO$2:$AO$1046,0),COLUMN()),"")</f>
        <v/>
      </c>
      <c r="N1080" t="str">
        <f>IFERROR(INDEX(装备库!$A$2:$Y$1047,MATCH(ROW()-1,装备库!$AO$2:$AO$1046,0),COLUMN()),"")</f>
        <v/>
      </c>
      <c r="O1080" t="str">
        <f>IFERROR(INDEX(装备库!$A$2:$Y$1047,MATCH(ROW()-1,装备库!$AO$2:$AO$1046,0),COLUMN()),"")</f>
        <v/>
      </c>
      <c r="P1080" t="str">
        <f>IFERROR(INDEX(装备库!$A$2:$Y$1047,MATCH(ROW()-1,装备库!$AO$2:$AO$1046,0),COLUMN()),"")</f>
        <v/>
      </c>
      <c r="Q1080" t="str">
        <f>IFERROR(INDEX(装备库!$A$2:$Y$1047,MATCH(ROW()-1,装备库!$AO$2:$AO$1046,0),COLUMN()),"")</f>
        <v/>
      </c>
      <c r="R1080" t="str">
        <f>IFERROR(INDEX(装备库!$A$2:$Y$1047,MATCH(ROW()-1,装备库!$AO$2:$AO$1046,0),COLUMN()),"")</f>
        <v/>
      </c>
      <c r="S1080" t="str">
        <f>IFERROR(INDEX(装备库!$A$2:$Y$1047,MATCH(ROW()-1,装备库!$AO$2:$AO$1046,0),COLUMN()),"")</f>
        <v/>
      </c>
      <c r="T1080" t="str">
        <f>IFERROR(INDEX(装备库!$A$2:$Y$1047,MATCH(ROW()-1,装备库!$AO$2:$AO$1046,0),COLUMN()),"")</f>
        <v/>
      </c>
      <c r="U1080" t="str">
        <f>IFERROR(INDEX(装备库!$A$2:$Y$1047,MATCH(ROW()-1,装备库!$AO$2:$AO$1046,0),COLUMN()),"")</f>
        <v/>
      </c>
      <c r="V1080" t="str">
        <f>IFERROR(INDEX(装备库!$A$2:$Y$1047,MATCH(ROW()-1,装备库!$AO$2:$AO$1046,0),COLUMN()),"")</f>
        <v/>
      </c>
      <c r="W1080" t="str">
        <f>IFERROR(INDEX(装备库!$A$2:$Y$1047,MATCH(ROW()-1,装备库!$AO$2:$AO$1046,0),COLUMN()),"")</f>
        <v/>
      </c>
      <c r="X1080" t="str">
        <f>IFERROR(INDEX(装备库!$A$2:$Y$1047,MATCH(ROW()-1,装备库!$AO$2:$AO$1046,0),COLUMN()),"")</f>
        <v/>
      </c>
      <c r="Y1080" t="str">
        <f>IFERROR(INDEX(装备库!$A$2:$Y$1047,MATCH(ROW()-1,装备库!$AO$2:$AO$1046,0),COLUMN()),"")</f>
        <v/>
      </c>
    </row>
    <row r="1081" spans="1:25" x14ac:dyDescent="0.35">
      <c r="A1081" t="str">
        <f>IFERROR(INDEX(装备库!$A$2:$Y$1047,MATCH(ROW()-1,装备库!$AO$2:$AO$1046,0),COLUMN()),"")</f>
        <v/>
      </c>
      <c r="B1081" t="str">
        <f>IFERROR(INDEX(装备库!$A$2:$Y$1047,MATCH(ROW()-1,装备库!$AO$2:$AO$1046,0),COLUMN()),"")</f>
        <v/>
      </c>
      <c r="C1081" t="str">
        <f>IFERROR(INDEX(装备库!$A$2:$Y$1047,MATCH(ROW()-1,装备库!$AO$2:$AO$1046,0),COLUMN()),"")</f>
        <v/>
      </c>
      <c r="D1081" t="str">
        <f>IFERROR(INDEX(装备库!$A$2:$Y$1047,MATCH(ROW()-1,装备库!$AO$2:$AO$1046,0),COLUMN()),"")</f>
        <v/>
      </c>
      <c r="E1081" t="str">
        <f>IFERROR(INDEX(装备库!$A$2:$Y$1047,MATCH(ROW()-1,装备库!$AO$2:$AO$1046,0),COLUMN()),"")</f>
        <v/>
      </c>
      <c r="F1081" t="str">
        <f>IFERROR(INDEX(装备库!$A$2:$Y$1047,MATCH(ROW()-1,装备库!$AO$2:$AO$1046,0),COLUMN()),"")</f>
        <v/>
      </c>
      <c r="G1081" t="str">
        <f>IFERROR(INDEX(装备库!$A$2:$Y$1047,MATCH(ROW()-1,装备库!$AO$2:$AO$1046,0),COLUMN()),"")</f>
        <v/>
      </c>
      <c r="H1081" t="str">
        <f>IFERROR(INDEX(装备库!$A$2:$Y$1047,MATCH(ROW()-1,装备库!$AO$2:$AO$1046,0),COLUMN()),"")</f>
        <v/>
      </c>
      <c r="I1081" t="str">
        <f>IFERROR(INDEX(装备库!$A$2:$Y$1047,MATCH(ROW()-1,装备库!$AO$2:$AO$1046,0),COLUMN()),"")</f>
        <v/>
      </c>
      <c r="J1081" t="str">
        <f>IFERROR(INDEX(装备库!$A$2:$Y$1047,MATCH(ROW()-1,装备库!$AO$2:$AO$1046,0),COLUMN()),"")</f>
        <v/>
      </c>
      <c r="K1081" t="str">
        <f>IFERROR(INDEX(装备库!$A$2:$Y$1047,MATCH(ROW()-1,装备库!$AO$2:$AO$1046,0),COLUMN()),"")</f>
        <v/>
      </c>
      <c r="L1081" t="str">
        <f>IFERROR(INDEX(装备库!$A$2:$Y$1047,MATCH(ROW()-1,装备库!$AO$2:$AO$1046,0),COLUMN()),"")</f>
        <v/>
      </c>
      <c r="M1081" t="str">
        <f>IFERROR(INDEX(装备库!$A$2:$Y$1047,MATCH(ROW()-1,装备库!$AO$2:$AO$1046,0),COLUMN()),"")</f>
        <v/>
      </c>
      <c r="N1081" t="str">
        <f>IFERROR(INDEX(装备库!$A$2:$Y$1047,MATCH(ROW()-1,装备库!$AO$2:$AO$1046,0),COLUMN()),"")</f>
        <v/>
      </c>
      <c r="O1081" t="str">
        <f>IFERROR(INDEX(装备库!$A$2:$Y$1047,MATCH(ROW()-1,装备库!$AO$2:$AO$1046,0),COLUMN()),"")</f>
        <v/>
      </c>
      <c r="P1081" t="str">
        <f>IFERROR(INDEX(装备库!$A$2:$Y$1047,MATCH(ROW()-1,装备库!$AO$2:$AO$1046,0),COLUMN()),"")</f>
        <v/>
      </c>
      <c r="Q1081" t="str">
        <f>IFERROR(INDEX(装备库!$A$2:$Y$1047,MATCH(ROW()-1,装备库!$AO$2:$AO$1046,0),COLUMN()),"")</f>
        <v/>
      </c>
      <c r="R1081" t="str">
        <f>IFERROR(INDEX(装备库!$A$2:$Y$1047,MATCH(ROW()-1,装备库!$AO$2:$AO$1046,0),COLUMN()),"")</f>
        <v/>
      </c>
      <c r="S1081" t="str">
        <f>IFERROR(INDEX(装备库!$A$2:$Y$1047,MATCH(ROW()-1,装备库!$AO$2:$AO$1046,0),COLUMN()),"")</f>
        <v/>
      </c>
      <c r="T1081" t="str">
        <f>IFERROR(INDEX(装备库!$A$2:$Y$1047,MATCH(ROW()-1,装备库!$AO$2:$AO$1046,0),COLUMN()),"")</f>
        <v/>
      </c>
      <c r="U1081" t="str">
        <f>IFERROR(INDEX(装备库!$A$2:$Y$1047,MATCH(ROW()-1,装备库!$AO$2:$AO$1046,0),COLUMN()),"")</f>
        <v/>
      </c>
      <c r="V1081" t="str">
        <f>IFERROR(INDEX(装备库!$A$2:$Y$1047,MATCH(ROW()-1,装备库!$AO$2:$AO$1046,0),COLUMN()),"")</f>
        <v/>
      </c>
      <c r="W1081" t="str">
        <f>IFERROR(INDEX(装备库!$A$2:$Y$1047,MATCH(ROW()-1,装备库!$AO$2:$AO$1046,0),COLUMN()),"")</f>
        <v/>
      </c>
      <c r="X1081" t="str">
        <f>IFERROR(INDEX(装备库!$A$2:$Y$1047,MATCH(ROW()-1,装备库!$AO$2:$AO$1046,0),COLUMN()),"")</f>
        <v/>
      </c>
      <c r="Y1081" t="str">
        <f>IFERROR(INDEX(装备库!$A$2:$Y$1047,MATCH(ROW()-1,装备库!$AO$2:$AO$1046,0),COLUMN()),"")</f>
        <v/>
      </c>
    </row>
    <row r="1082" spans="1:25" x14ac:dyDescent="0.35">
      <c r="A1082" t="str">
        <f>IFERROR(INDEX(装备库!$A$2:$Y$1047,MATCH(ROW()-1,装备库!$AO$2:$AO$1046,0),COLUMN()),"")</f>
        <v/>
      </c>
      <c r="B1082" t="str">
        <f>IFERROR(INDEX(装备库!$A$2:$Y$1047,MATCH(ROW()-1,装备库!$AO$2:$AO$1046,0),COLUMN()),"")</f>
        <v/>
      </c>
      <c r="C1082" t="str">
        <f>IFERROR(INDEX(装备库!$A$2:$Y$1047,MATCH(ROW()-1,装备库!$AO$2:$AO$1046,0),COLUMN()),"")</f>
        <v/>
      </c>
      <c r="D1082" t="str">
        <f>IFERROR(INDEX(装备库!$A$2:$Y$1047,MATCH(ROW()-1,装备库!$AO$2:$AO$1046,0),COLUMN()),"")</f>
        <v/>
      </c>
      <c r="E1082" t="str">
        <f>IFERROR(INDEX(装备库!$A$2:$Y$1047,MATCH(ROW()-1,装备库!$AO$2:$AO$1046,0),COLUMN()),"")</f>
        <v/>
      </c>
      <c r="F1082" t="str">
        <f>IFERROR(INDEX(装备库!$A$2:$Y$1047,MATCH(ROW()-1,装备库!$AO$2:$AO$1046,0),COLUMN()),"")</f>
        <v/>
      </c>
      <c r="G1082" t="str">
        <f>IFERROR(INDEX(装备库!$A$2:$Y$1047,MATCH(ROW()-1,装备库!$AO$2:$AO$1046,0),COLUMN()),"")</f>
        <v/>
      </c>
      <c r="H1082" t="str">
        <f>IFERROR(INDEX(装备库!$A$2:$Y$1047,MATCH(ROW()-1,装备库!$AO$2:$AO$1046,0),COLUMN()),"")</f>
        <v/>
      </c>
      <c r="I1082" t="str">
        <f>IFERROR(INDEX(装备库!$A$2:$Y$1047,MATCH(ROW()-1,装备库!$AO$2:$AO$1046,0),COLUMN()),"")</f>
        <v/>
      </c>
      <c r="J1082" t="str">
        <f>IFERROR(INDEX(装备库!$A$2:$Y$1047,MATCH(ROW()-1,装备库!$AO$2:$AO$1046,0),COLUMN()),"")</f>
        <v/>
      </c>
      <c r="K1082" t="str">
        <f>IFERROR(INDEX(装备库!$A$2:$Y$1047,MATCH(ROW()-1,装备库!$AO$2:$AO$1046,0),COLUMN()),"")</f>
        <v/>
      </c>
      <c r="L1082" t="str">
        <f>IFERROR(INDEX(装备库!$A$2:$Y$1047,MATCH(ROW()-1,装备库!$AO$2:$AO$1046,0),COLUMN()),"")</f>
        <v/>
      </c>
      <c r="M1082" t="str">
        <f>IFERROR(INDEX(装备库!$A$2:$Y$1047,MATCH(ROW()-1,装备库!$AO$2:$AO$1046,0),COLUMN()),"")</f>
        <v/>
      </c>
      <c r="N1082" t="str">
        <f>IFERROR(INDEX(装备库!$A$2:$Y$1047,MATCH(ROW()-1,装备库!$AO$2:$AO$1046,0),COLUMN()),"")</f>
        <v/>
      </c>
      <c r="O1082" t="str">
        <f>IFERROR(INDEX(装备库!$A$2:$Y$1047,MATCH(ROW()-1,装备库!$AO$2:$AO$1046,0),COLUMN()),"")</f>
        <v/>
      </c>
      <c r="P1082" t="str">
        <f>IFERROR(INDEX(装备库!$A$2:$Y$1047,MATCH(ROW()-1,装备库!$AO$2:$AO$1046,0),COLUMN()),"")</f>
        <v/>
      </c>
      <c r="Q1082" t="str">
        <f>IFERROR(INDEX(装备库!$A$2:$Y$1047,MATCH(ROW()-1,装备库!$AO$2:$AO$1046,0),COLUMN()),"")</f>
        <v/>
      </c>
      <c r="R1082" t="str">
        <f>IFERROR(INDEX(装备库!$A$2:$Y$1047,MATCH(ROW()-1,装备库!$AO$2:$AO$1046,0),COLUMN()),"")</f>
        <v/>
      </c>
      <c r="S1082" t="str">
        <f>IFERROR(INDEX(装备库!$A$2:$Y$1047,MATCH(ROW()-1,装备库!$AO$2:$AO$1046,0),COLUMN()),"")</f>
        <v/>
      </c>
      <c r="T1082" t="str">
        <f>IFERROR(INDEX(装备库!$A$2:$Y$1047,MATCH(ROW()-1,装备库!$AO$2:$AO$1046,0),COLUMN()),"")</f>
        <v/>
      </c>
      <c r="U1082" t="str">
        <f>IFERROR(INDEX(装备库!$A$2:$Y$1047,MATCH(ROW()-1,装备库!$AO$2:$AO$1046,0),COLUMN()),"")</f>
        <v/>
      </c>
      <c r="V1082" t="str">
        <f>IFERROR(INDEX(装备库!$A$2:$Y$1047,MATCH(ROW()-1,装备库!$AO$2:$AO$1046,0),COLUMN()),"")</f>
        <v/>
      </c>
      <c r="W1082" t="str">
        <f>IFERROR(INDEX(装备库!$A$2:$Y$1047,MATCH(ROW()-1,装备库!$AO$2:$AO$1046,0),COLUMN()),"")</f>
        <v/>
      </c>
      <c r="X1082" t="str">
        <f>IFERROR(INDEX(装备库!$A$2:$Y$1047,MATCH(ROW()-1,装备库!$AO$2:$AO$1046,0),COLUMN()),"")</f>
        <v/>
      </c>
      <c r="Y1082" t="str">
        <f>IFERROR(INDEX(装备库!$A$2:$Y$1047,MATCH(ROW()-1,装备库!$AO$2:$AO$1046,0),COLUMN()),"")</f>
        <v/>
      </c>
    </row>
    <row r="1083" spans="1:25" x14ac:dyDescent="0.35">
      <c r="A1083" t="str">
        <f>IFERROR(INDEX(装备库!$A$2:$Y$1047,MATCH(ROW()-1,装备库!$AO$2:$AO$1046,0),COLUMN()),"")</f>
        <v/>
      </c>
      <c r="B1083" t="str">
        <f>IFERROR(INDEX(装备库!$A$2:$Y$1047,MATCH(ROW()-1,装备库!$AO$2:$AO$1046,0),COLUMN()),"")</f>
        <v/>
      </c>
      <c r="C1083" t="str">
        <f>IFERROR(INDEX(装备库!$A$2:$Y$1047,MATCH(ROW()-1,装备库!$AO$2:$AO$1046,0),COLUMN()),"")</f>
        <v/>
      </c>
      <c r="D1083" t="str">
        <f>IFERROR(INDEX(装备库!$A$2:$Y$1047,MATCH(ROW()-1,装备库!$AO$2:$AO$1046,0),COLUMN()),"")</f>
        <v/>
      </c>
      <c r="E1083" t="str">
        <f>IFERROR(INDEX(装备库!$A$2:$Y$1047,MATCH(ROW()-1,装备库!$AO$2:$AO$1046,0),COLUMN()),"")</f>
        <v/>
      </c>
      <c r="F1083" t="str">
        <f>IFERROR(INDEX(装备库!$A$2:$Y$1047,MATCH(ROW()-1,装备库!$AO$2:$AO$1046,0),COLUMN()),"")</f>
        <v/>
      </c>
      <c r="G1083" t="str">
        <f>IFERROR(INDEX(装备库!$A$2:$Y$1047,MATCH(ROW()-1,装备库!$AO$2:$AO$1046,0),COLUMN()),"")</f>
        <v/>
      </c>
      <c r="H1083" t="str">
        <f>IFERROR(INDEX(装备库!$A$2:$Y$1047,MATCH(ROW()-1,装备库!$AO$2:$AO$1046,0),COLUMN()),"")</f>
        <v/>
      </c>
      <c r="I1083" t="str">
        <f>IFERROR(INDEX(装备库!$A$2:$Y$1047,MATCH(ROW()-1,装备库!$AO$2:$AO$1046,0),COLUMN()),"")</f>
        <v/>
      </c>
      <c r="J1083" t="str">
        <f>IFERROR(INDEX(装备库!$A$2:$Y$1047,MATCH(ROW()-1,装备库!$AO$2:$AO$1046,0),COLUMN()),"")</f>
        <v/>
      </c>
      <c r="K1083" t="str">
        <f>IFERROR(INDEX(装备库!$A$2:$Y$1047,MATCH(ROW()-1,装备库!$AO$2:$AO$1046,0),COLUMN()),"")</f>
        <v/>
      </c>
      <c r="L1083" t="str">
        <f>IFERROR(INDEX(装备库!$A$2:$Y$1047,MATCH(ROW()-1,装备库!$AO$2:$AO$1046,0),COLUMN()),"")</f>
        <v/>
      </c>
      <c r="M1083" t="str">
        <f>IFERROR(INDEX(装备库!$A$2:$Y$1047,MATCH(ROW()-1,装备库!$AO$2:$AO$1046,0),COLUMN()),"")</f>
        <v/>
      </c>
      <c r="N1083" t="str">
        <f>IFERROR(INDEX(装备库!$A$2:$Y$1047,MATCH(ROW()-1,装备库!$AO$2:$AO$1046,0),COLUMN()),"")</f>
        <v/>
      </c>
      <c r="O1083" t="str">
        <f>IFERROR(INDEX(装备库!$A$2:$Y$1047,MATCH(ROW()-1,装备库!$AO$2:$AO$1046,0),COLUMN()),"")</f>
        <v/>
      </c>
      <c r="P1083" t="str">
        <f>IFERROR(INDEX(装备库!$A$2:$Y$1047,MATCH(ROW()-1,装备库!$AO$2:$AO$1046,0),COLUMN()),"")</f>
        <v/>
      </c>
      <c r="Q1083" t="str">
        <f>IFERROR(INDEX(装备库!$A$2:$Y$1047,MATCH(ROW()-1,装备库!$AO$2:$AO$1046,0),COLUMN()),"")</f>
        <v/>
      </c>
      <c r="R1083" t="str">
        <f>IFERROR(INDEX(装备库!$A$2:$Y$1047,MATCH(ROW()-1,装备库!$AO$2:$AO$1046,0),COLUMN()),"")</f>
        <v/>
      </c>
      <c r="S1083" t="str">
        <f>IFERROR(INDEX(装备库!$A$2:$Y$1047,MATCH(ROW()-1,装备库!$AO$2:$AO$1046,0),COLUMN()),"")</f>
        <v/>
      </c>
      <c r="T1083" t="str">
        <f>IFERROR(INDEX(装备库!$A$2:$Y$1047,MATCH(ROW()-1,装备库!$AO$2:$AO$1046,0),COLUMN()),"")</f>
        <v/>
      </c>
      <c r="U1083" t="str">
        <f>IFERROR(INDEX(装备库!$A$2:$Y$1047,MATCH(ROW()-1,装备库!$AO$2:$AO$1046,0),COLUMN()),"")</f>
        <v/>
      </c>
      <c r="V1083" t="str">
        <f>IFERROR(INDEX(装备库!$A$2:$Y$1047,MATCH(ROW()-1,装备库!$AO$2:$AO$1046,0),COLUMN()),"")</f>
        <v/>
      </c>
      <c r="W1083" t="str">
        <f>IFERROR(INDEX(装备库!$A$2:$Y$1047,MATCH(ROW()-1,装备库!$AO$2:$AO$1046,0),COLUMN()),"")</f>
        <v/>
      </c>
      <c r="X1083" t="str">
        <f>IFERROR(INDEX(装备库!$A$2:$Y$1047,MATCH(ROW()-1,装备库!$AO$2:$AO$1046,0),COLUMN()),"")</f>
        <v/>
      </c>
      <c r="Y1083" t="str">
        <f>IFERROR(INDEX(装备库!$A$2:$Y$1047,MATCH(ROW()-1,装备库!$AO$2:$AO$1046,0),COLUMN()),"")</f>
        <v/>
      </c>
    </row>
    <row r="1084" spans="1:25" x14ac:dyDescent="0.35">
      <c r="A1084" t="str">
        <f>IFERROR(INDEX(装备库!$A$2:$Y$1047,MATCH(ROW()-1,装备库!$AO$2:$AO$1046,0),COLUMN()),"")</f>
        <v/>
      </c>
      <c r="B1084" t="str">
        <f>IFERROR(INDEX(装备库!$A$2:$Y$1047,MATCH(ROW()-1,装备库!$AO$2:$AO$1046,0),COLUMN()),"")</f>
        <v/>
      </c>
      <c r="C1084" t="str">
        <f>IFERROR(INDEX(装备库!$A$2:$Y$1047,MATCH(ROW()-1,装备库!$AO$2:$AO$1046,0),COLUMN()),"")</f>
        <v/>
      </c>
      <c r="D1084" t="str">
        <f>IFERROR(INDEX(装备库!$A$2:$Y$1047,MATCH(ROW()-1,装备库!$AO$2:$AO$1046,0),COLUMN()),"")</f>
        <v/>
      </c>
      <c r="E1084" t="str">
        <f>IFERROR(INDEX(装备库!$A$2:$Y$1047,MATCH(ROW()-1,装备库!$AO$2:$AO$1046,0),COLUMN()),"")</f>
        <v/>
      </c>
      <c r="F1084" t="str">
        <f>IFERROR(INDEX(装备库!$A$2:$Y$1047,MATCH(ROW()-1,装备库!$AO$2:$AO$1046,0),COLUMN()),"")</f>
        <v/>
      </c>
      <c r="G1084" t="str">
        <f>IFERROR(INDEX(装备库!$A$2:$Y$1047,MATCH(ROW()-1,装备库!$AO$2:$AO$1046,0),COLUMN()),"")</f>
        <v/>
      </c>
      <c r="H1084" t="str">
        <f>IFERROR(INDEX(装备库!$A$2:$Y$1047,MATCH(ROW()-1,装备库!$AO$2:$AO$1046,0),COLUMN()),"")</f>
        <v/>
      </c>
      <c r="I1084" t="str">
        <f>IFERROR(INDEX(装备库!$A$2:$Y$1047,MATCH(ROW()-1,装备库!$AO$2:$AO$1046,0),COLUMN()),"")</f>
        <v/>
      </c>
      <c r="J1084" t="str">
        <f>IFERROR(INDEX(装备库!$A$2:$Y$1047,MATCH(ROW()-1,装备库!$AO$2:$AO$1046,0),COLUMN()),"")</f>
        <v/>
      </c>
      <c r="K1084" t="str">
        <f>IFERROR(INDEX(装备库!$A$2:$Y$1047,MATCH(ROW()-1,装备库!$AO$2:$AO$1046,0),COLUMN()),"")</f>
        <v/>
      </c>
      <c r="L1084" t="str">
        <f>IFERROR(INDEX(装备库!$A$2:$Y$1047,MATCH(ROW()-1,装备库!$AO$2:$AO$1046,0),COLUMN()),"")</f>
        <v/>
      </c>
      <c r="M1084" t="str">
        <f>IFERROR(INDEX(装备库!$A$2:$Y$1047,MATCH(ROW()-1,装备库!$AO$2:$AO$1046,0),COLUMN()),"")</f>
        <v/>
      </c>
      <c r="N1084" t="str">
        <f>IFERROR(INDEX(装备库!$A$2:$Y$1047,MATCH(ROW()-1,装备库!$AO$2:$AO$1046,0),COLUMN()),"")</f>
        <v/>
      </c>
      <c r="O1084" t="str">
        <f>IFERROR(INDEX(装备库!$A$2:$Y$1047,MATCH(ROW()-1,装备库!$AO$2:$AO$1046,0),COLUMN()),"")</f>
        <v/>
      </c>
      <c r="P1084" t="str">
        <f>IFERROR(INDEX(装备库!$A$2:$Y$1047,MATCH(ROW()-1,装备库!$AO$2:$AO$1046,0),COLUMN()),"")</f>
        <v/>
      </c>
      <c r="Q1084" t="str">
        <f>IFERROR(INDEX(装备库!$A$2:$Y$1047,MATCH(ROW()-1,装备库!$AO$2:$AO$1046,0),COLUMN()),"")</f>
        <v/>
      </c>
      <c r="R1084" t="str">
        <f>IFERROR(INDEX(装备库!$A$2:$Y$1047,MATCH(ROW()-1,装备库!$AO$2:$AO$1046,0),COLUMN()),"")</f>
        <v/>
      </c>
      <c r="S1084" t="str">
        <f>IFERROR(INDEX(装备库!$A$2:$Y$1047,MATCH(ROW()-1,装备库!$AO$2:$AO$1046,0),COLUMN()),"")</f>
        <v/>
      </c>
      <c r="T1084" t="str">
        <f>IFERROR(INDEX(装备库!$A$2:$Y$1047,MATCH(ROW()-1,装备库!$AO$2:$AO$1046,0),COLUMN()),"")</f>
        <v/>
      </c>
      <c r="U1084" t="str">
        <f>IFERROR(INDEX(装备库!$A$2:$Y$1047,MATCH(ROW()-1,装备库!$AO$2:$AO$1046,0),COLUMN()),"")</f>
        <v/>
      </c>
      <c r="V1084" t="str">
        <f>IFERROR(INDEX(装备库!$A$2:$Y$1047,MATCH(ROW()-1,装备库!$AO$2:$AO$1046,0),COLUMN()),"")</f>
        <v/>
      </c>
      <c r="W1084" t="str">
        <f>IFERROR(INDEX(装备库!$A$2:$Y$1047,MATCH(ROW()-1,装备库!$AO$2:$AO$1046,0),COLUMN()),"")</f>
        <v/>
      </c>
      <c r="X1084" t="str">
        <f>IFERROR(INDEX(装备库!$A$2:$Y$1047,MATCH(ROW()-1,装备库!$AO$2:$AO$1046,0),COLUMN()),"")</f>
        <v/>
      </c>
      <c r="Y1084" t="str">
        <f>IFERROR(INDEX(装备库!$A$2:$Y$1047,MATCH(ROW()-1,装备库!$AO$2:$AO$1046,0),COLUMN()),"")</f>
        <v/>
      </c>
    </row>
    <row r="1085" spans="1:25" x14ac:dyDescent="0.35">
      <c r="A1085" t="str">
        <f>IFERROR(INDEX(装备库!$A$2:$Y$1047,MATCH(ROW()-1,装备库!$AO$2:$AO$1046,0),COLUMN()),"")</f>
        <v/>
      </c>
      <c r="B1085" t="str">
        <f>IFERROR(INDEX(装备库!$A$2:$Y$1047,MATCH(ROW()-1,装备库!$AO$2:$AO$1046,0),COLUMN()),"")</f>
        <v/>
      </c>
      <c r="C1085" t="str">
        <f>IFERROR(INDEX(装备库!$A$2:$Y$1047,MATCH(ROW()-1,装备库!$AO$2:$AO$1046,0),COLUMN()),"")</f>
        <v/>
      </c>
      <c r="D1085" t="str">
        <f>IFERROR(INDEX(装备库!$A$2:$Y$1047,MATCH(ROW()-1,装备库!$AO$2:$AO$1046,0),COLUMN()),"")</f>
        <v/>
      </c>
      <c r="E1085" t="str">
        <f>IFERROR(INDEX(装备库!$A$2:$Y$1047,MATCH(ROW()-1,装备库!$AO$2:$AO$1046,0),COLUMN()),"")</f>
        <v/>
      </c>
      <c r="F1085" t="str">
        <f>IFERROR(INDEX(装备库!$A$2:$Y$1047,MATCH(ROW()-1,装备库!$AO$2:$AO$1046,0),COLUMN()),"")</f>
        <v/>
      </c>
      <c r="G1085" t="str">
        <f>IFERROR(INDEX(装备库!$A$2:$Y$1047,MATCH(ROW()-1,装备库!$AO$2:$AO$1046,0),COLUMN()),"")</f>
        <v/>
      </c>
      <c r="H1085" t="str">
        <f>IFERROR(INDEX(装备库!$A$2:$Y$1047,MATCH(ROW()-1,装备库!$AO$2:$AO$1046,0),COLUMN()),"")</f>
        <v/>
      </c>
      <c r="I1085" t="str">
        <f>IFERROR(INDEX(装备库!$A$2:$Y$1047,MATCH(ROW()-1,装备库!$AO$2:$AO$1046,0),COLUMN()),"")</f>
        <v/>
      </c>
      <c r="J1085" t="str">
        <f>IFERROR(INDEX(装备库!$A$2:$Y$1047,MATCH(ROW()-1,装备库!$AO$2:$AO$1046,0),COLUMN()),"")</f>
        <v/>
      </c>
      <c r="K1085" t="str">
        <f>IFERROR(INDEX(装备库!$A$2:$Y$1047,MATCH(ROW()-1,装备库!$AO$2:$AO$1046,0),COLUMN()),"")</f>
        <v/>
      </c>
      <c r="L1085" t="str">
        <f>IFERROR(INDEX(装备库!$A$2:$Y$1047,MATCH(ROW()-1,装备库!$AO$2:$AO$1046,0),COLUMN()),"")</f>
        <v/>
      </c>
      <c r="M1085" t="str">
        <f>IFERROR(INDEX(装备库!$A$2:$Y$1047,MATCH(ROW()-1,装备库!$AO$2:$AO$1046,0),COLUMN()),"")</f>
        <v/>
      </c>
      <c r="N1085" t="str">
        <f>IFERROR(INDEX(装备库!$A$2:$Y$1047,MATCH(ROW()-1,装备库!$AO$2:$AO$1046,0),COLUMN()),"")</f>
        <v/>
      </c>
      <c r="O1085" t="str">
        <f>IFERROR(INDEX(装备库!$A$2:$Y$1047,MATCH(ROW()-1,装备库!$AO$2:$AO$1046,0),COLUMN()),"")</f>
        <v/>
      </c>
      <c r="P1085" t="str">
        <f>IFERROR(INDEX(装备库!$A$2:$Y$1047,MATCH(ROW()-1,装备库!$AO$2:$AO$1046,0),COLUMN()),"")</f>
        <v/>
      </c>
      <c r="Q1085" t="str">
        <f>IFERROR(INDEX(装备库!$A$2:$Y$1047,MATCH(ROW()-1,装备库!$AO$2:$AO$1046,0),COLUMN()),"")</f>
        <v/>
      </c>
      <c r="R1085" t="str">
        <f>IFERROR(INDEX(装备库!$A$2:$Y$1047,MATCH(ROW()-1,装备库!$AO$2:$AO$1046,0),COLUMN()),"")</f>
        <v/>
      </c>
      <c r="S1085" t="str">
        <f>IFERROR(INDEX(装备库!$A$2:$Y$1047,MATCH(ROW()-1,装备库!$AO$2:$AO$1046,0),COLUMN()),"")</f>
        <v/>
      </c>
      <c r="T1085" t="str">
        <f>IFERROR(INDEX(装备库!$A$2:$Y$1047,MATCH(ROW()-1,装备库!$AO$2:$AO$1046,0),COLUMN()),"")</f>
        <v/>
      </c>
      <c r="U1085" t="str">
        <f>IFERROR(INDEX(装备库!$A$2:$Y$1047,MATCH(ROW()-1,装备库!$AO$2:$AO$1046,0),COLUMN()),"")</f>
        <v/>
      </c>
      <c r="V1085" t="str">
        <f>IFERROR(INDEX(装备库!$A$2:$Y$1047,MATCH(ROW()-1,装备库!$AO$2:$AO$1046,0),COLUMN()),"")</f>
        <v/>
      </c>
      <c r="W1085" t="str">
        <f>IFERROR(INDEX(装备库!$A$2:$Y$1047,MATCH(ROW()-1,装备库!$AO$2:$AO$1046,0),COLUMN()),"")</f>
        <v/>
      </c>
      <c r="X1085" t="str">
        <f>IFERROR(INDEX(装备库!$A$2:$Y$1047,MATCH(ROW()-1,装备库!$AO$2:$AO$1046,0),COLUMN()),"")</f>
        <v/>
      </c>
      <c r="Y1085" t="str">
        <f>IFERROR(INDEX(装备库!$A$2:$Y$1047,MATCH(ROW()-1,装备库!$AO$2:$AO$1046,0),COLUMN()),"")</f>
        <v/>
      </c>
    </row>
    <row r="1086" spans="1:25" x14ac:dyDescent="0.35">
      <c r="A1086" t="str">
        <f>IFERROR(INDEX(装备库!$A$2:$Y$1047,MATCH(ROW()-1,装备库!$AO$2:$AO$1046,0),COLUMN()),"")</f>
        <v/>
      </c>
      <c r="B1086" t="str">
        <f>IFERROR(INDEX(装备库!$A$2:$Y$1047,MATCH(ROW()-1,装备库!$AO$2:$AO$1046,0),COLUMN()),"")</f>
        <v/>
      </c>
      <c r="C1086" t="str">
        <f>IFERROR(INDEX(装备库!$A$2:$Y$1047,MATCH(ROW()-1,装备库!$AO$2:$AO$1046,0),COLUMN()),"")</f>
        <v/>
      </c>
      <c r="D1086" t="str">
        <f>IFERROR(INDEX(装备库!$A$2:$Y$1047,MATCH(ROW()-1,装备库!$AO$2:$AO$1046,0),COLUMN()),"")</f>
        <v/>
      </c>
      <c r="E1086" t="str">
        <f>IFERROR(INDEX(装备库!$A$2:$Y$1047,MATCH(ROW()-1,装备库!$AO$2:$AO$1046,0),COLUMN()),"")</f>
        <v/>
      </c>
      <c r="F1086" t="str">
        <f>IFERROR(INDEX(装备库!$A$2:$Y$1047,MATCH(ROW()-1,装备库!$AO$2:$AO$1046,0),COLUMN()),"")</f>
        <v/>
      </c>
      <c r="G1086" t="str">
        <f>IFERROR(INDEX(装备库!$A$2:$Y$1047,MATCH(ROW()-1,装备库!$AO$2:$AO$1046,0),COLUMN()),"")</f>
        <v/>
      </c>
      <c r="H1086" t="str">
        <f>IFERROR(INDEX(装备库!$A$2:$Y$1047,MATCH(ROW()-1,装备库!$AO$2:$AO$1046,0),COLUMN()),"")</f>
        <v/>
      </c>
      <c r="I1086" t="str">
        <f>IFERROR(INDEX(装备库!$A$2:$Y$1047,MATCH(ROW()-1,装备库!$AO$2:$AO$1046,0),COLUMN()),"")</f>
        <v/>
      </c>
      <c r="J1086" t="str">
        <f>IFERROR(INDEX(装备库!$A$2:$Y$1047,MATCH(ROW()-1,装备库!$AO$2:$AO$1046,0),COLUMN()),"")</f>
        <v/>
      </c>
      <c r="K1086" t="str">
        <f>IFERROR(INDEX(装备库!$A$2:$Y$1047,MATCH(ROW()-1,装备库!$AO$2:$AO$1046,0),COLUMN()),"")</f>
        <v/>
      </c>
      <c r="L1086" t="str">
        <f>IFERROR(INDEX(装备库!$A$2:$Y$1047,MATCH(ROW()-1,装备库!$AO$2:$AO$1046,0),COLUMN()),"")</f>
        <v/>
      </c>
      <c r="M1086" t="str">
        <f>IFERROR(INDEX(装备库!$A$2:$Y$1047,MATCH(ROW()-1,装备库!$AO$2:$AO$1046,0),COLUMN()),"")</f>
        <v/>
      </c>
      <c r="N1086" t="str">
        <f>IFERROR(INDEX(装备库!$A$2:$Y$1047,MATCH(ROW()-1,装备库!$AO$2:$AO$1046,0),COLUMN()),"")</f>
        <v/>
      </c>
      <c r="O1086" t="str">
        <f>IFERROR(INDEX(装备库!$A$2:$Y$1047,MATCH(ROW()-1,装备库!$AO$2:$AO$1046,0),COLUMN()),"")</f>
        <v/>
      </c>
      <c r="P1086" t="str">
        <f>IFERROR(INDEX(装备库!$A$2:$Y$1047,MATCH(ROW()-1,装备库!$AO$2:$AO$1046,0),COLUMN()),"")</f>
        <v/>
      </c>
      <c r="Q1086" t="str">
        <f>IFERROR(INDEX(装备库!$A$2:$Y$1047,MATCH(ROW()-1,装备库!$AO$2:$AO$1046,0),COLUMN()),"")</f>
        <v/>
      </c>
      <c r="R1086" t="str">
        <f>IFERROR(INDEX(装备库!$A$2:$Y$1047,MATCH(ROW()-1,装备库!$AO$2:$AO$1046,0),COLUMN()),"")</f>
        <v/>
      </c>
      <c r="S1086" t="str">
        <f>IFERROR(INDEX(装备库!$A$2:$Y$1047,MATCH(ROW()-1,装备库!$AO$2:$AO$1046,0),COLUMN()),"")</f>
        <v/>
      </c>
      <c r="T1086" t="str">
        <f>IFERROR(INDEX(装备库!$A$2:$Y$1047,MATCH(ROW()-1,装备库!$AO$2:$AO$1046,0),COLUMN()),"")</f>
        <v/>
      </c>
      <c r="U1086" t="str">
        <f>IFERROR(INDEX(装备库!$A$2:$Y$1047,MATCH(ROW()-1,装备库!$AO$2:$AO$1046,0),COLUMN()),"")</f>
        <v/>
      </c>
      <c r="V1086" t="str">
        <f>IFERROR(INDEX(装备库!$A$2:$Y$1047,MATCH(ROW()-1,装备库!$AO$2:$AO$1046,0),COLUMN()),"")</f>
        <v/>
      </c>
      <c r="W1086" t="str">
        <f>IFERROR(INDEX(装备库!$A$2:$Y$1047,MATCH(ROW()-1,装备库!$AO$2:$AO$1046,0),COLUMN()),"")</f>
        <v/>
      </c>
      <c r="X1086" t="str">
        <f>IFERROR(INDEX(装备库!$A$2:$Y$1047,MATCH(ROW()-1,装备库!$AO$2:$AO$1046,0),COLUMN()),"")</f>
        <v/>
      </c>
      <c r="Y1086" t="str">
        <f>IFERROR(INDEX(装备库!$A$2:$Y$1047,MATCH(ROW()-1,装备库!$AO$2:$AO$1046,0),COLUMN()),"")</f>
        <v/>
      </c>
    </row>
    <row r="1087" spans="1:25" x14ac:dyDescent="0.35">
      <c r="A1087" t="str">
        <f>IFERROR(INDEX(装备库!$A$2:$Y$1047,MATCH(ROW()-1,装备库!$AO$2:$AO$1046,0),COLUMN()),"")</f>
        <v/>
      </c>
      <c r="B1087" t="str">
        <f>IFERROR(INDEX(装备库!$A$2:$Y$1047,MATCH(ROW()-1,装备库!$AO$2:$AO$1046,0),COLUMN()),"")</f>
        <v/>
      </c>
      <c r="C1087" t="str">
        <f>IFERROR(INDEX(装备库!$A$2:$Y$1047,MATCH(ROW()-1,装备库!$AO$2:$AO$1046,0),COLUMN()),"")</f>
        <v/>
      </c>
      <c r="D1087" t="str">
        <f>IFERROR(INDEX(装备库!$A$2:$Y$1047,MATCH(ROW()-1,装备库!$AO$2:$AO$1046,0),COLUMN()),"")</f>
        <v/>
      </c>
      <c r="E1087" t="str">
        <f>IFERROR(INDEX(装备库!$A$2:$Y$1047,MATCH(ROW()-1,装备库!$AO$2:$AO$1046,0),COLUMN()),"")</f>
        <v/>
      </c>
      <c r="F1087" t="str">
        <f>IFERROR(INDEX(装备库!$A$2:$Y$1047,MATCH(ROW()-1,装备库!$AO$2:$AO$1046,0),COLUMN()),"")</f>
        <v/>
      </c>
      <c r="G1087" t="str">
        <f>IFERROR(INDEX(装备库!$A$2:$Y$1047,MATCH(ROW()-1,装备库!$AO$2:$AO$1046,0),COLUMN()),"")</f>
        <v/>
      </c>
      <c r="H1087" t="str">
        <f>IFERROR(INDEX(装备库!$A$2:$Y$1047,MATCH(ROW()-1,装备库!$AO$2:$AO$1046,0),COLUMN()),"")</f>
        <v/>
      </c>
      <c r="I1087" t="str">
        <f>IFERROR(INDEX(装备库!$A$2:$Y$1047,MATCH(ROW()-1,装备库!$AO$2:$AO$1046,0),COLUMN()),"")</f>
        <v/>
      </c>
      <c r="J1087" t="str">
        <f>IFERROR(INDEX(装备库!$A$2:$Y$1047,MATCH(ROW()-1,装备库!$AO$2:$AO$1046,0),COLUMN()),"")</f>
        <v/>
      </c>
      <c r="K1087" t="str">
        <f>IFERROR(INDEX(装备库!$A$2:$Y$1047,MATCH(ROW()-1,装备库!$AO$2:$AO$1046,0),COLUMN()),"")</f>
        <v/>
      </c>
      <c r="L1087" t="str">
        <f>IFERROR(INDEX(装备库!$A$2:$Y$1047,MATCH(ROW()-1,装备库!$AO$2:$AO$1046,0),COLUMN()),"")</f>
        <v/>
      </c>
      <c r="M1087" t="str">
        <f>IFERROR(INDEX(装备库!$A$2:$Y$1047,MATCH(ROW()-1,装备库!$AO$2:$AO$1046,0),COLUMN()),"")</f>
        <v/>
      </c>
      <c r="N1087" t="str">
        <f>IFERROR(INDEX(装备库!$A$2:$Y$1047,MATCH(ROW()-1,装备库!$AO$2:$AO$1046,0),COLUMN()),"")</f>
        <v/>
      </c>
      <c r="O1087" t="str">
        <f>IFERROR(INDEX(装备库!$A$2:$Y$1047,MATCH(ROW()-1,装备库!$AO$2:$AO$1046,0),COLUMN()),"")</f>
        <v/>
      </c>
      <c r="P1087" t="str">
        <f>IFERROR(INDEX(装备库!$A$2:$Y$1047,MATCH(ROW()-1,装备库!$AO$2:$AO$1046,0),COLUMN()),"")</f>
        <v/>
      </c>
      <c r="Q1087" t="str">
        <f>IFERROR(INDEX(装备库!$A$2:$Y$1047,MATCH(ROW()-1,装备库!$AO$2:$AO$1046,0),COLUMN()),"")</f>
        <v/>
      </c>
      <c r="R1087" t="str">
        <f>IFERROR(INDEX(装备库!$A$2:$Y$1047,MATCH(ROW()-1,装备库!$AO$2:$AO$1046,0),COLUMN()),"")</f>
        <v/>
      </c>
      <c r="S1087" t="str">
        <f>IFERROR(INDEX(装备库!$A$2:$Y$1047,MATCH(ROW()-1,装备库!$AO$2:$AO$1046,0),COLUMN()),"")</f>
        <v/>
      </c>
      <c r="T1087" t="str">
        <f>IFERROR(INDEX(装备库!$A$2:$Y$1047,MATCH(ROW()-1,装备库!$AO$2:$AO$1046,0),COLUMN()),"")</f>
        <v/>
      </c>
      <c r="U1087" t="str">
        <f>IFERROR(INDEX(装备库!$A$2:$Y$1047,MATCH(ROW()-1,装备库!$AO$2:$AO$1046,0),COLUMN()),"")</f>
        <v/>
      </c>
      <c r="V1087" t="str">
        <f>IFERROR(INDEX(装备库!$A$2:$Y$1047,MATCH(ROW()-1,装备库!$AO$2:$AO$1046,0),COLUMN()),"")</f>
        <v/>
      </c>
      <c r="W1087" t="str">
        <f>IFERROR(INDEX(装备库!$A$2:$Y$1047,MATCH(ROW()-1,装备库!$AO$2:$AO$1046,0),COLUMN()),"")</f>
        <v/>
      </c>
      <c r="X1087" t="str">
        <f>IFERROR(INDEX(装备库!$A$2:$Y$1047,MATCH(ROW()-1,装备库!$AO$2:$AO$1046,0),COLUMN()),"")</f>
        <v/>
      </c>
      <c r="Y1087" t="str">
        <f>IFERROR(INDEX(装备库!$A$2:$Y$1047,MATCH(ROW()-1,装备库!$AO$2:$AO$1046,0),COLUMN()),"")</f>
        <v/>
      </c>
    </row>
    <row r="1088" spans="1:25" x14ac:dyDescent="0.35">
      <c r="A1088" t="str">
        <f>IFERROR(INDEX(装备库!$A$2:$Y$1047,MATCH(ROW()-1,装备库!$AO$2:$AO$1046,0),COLUMN()),"")</f>
        <v/>
      </c>
      <c r="B1088" t="str">
        <f>IFERROR(INDEX(装备库!$A$2:$Y$1047,MATCH(ROW()-1,装备库!$AO$2:$AO$1046,0),COLUMN()),"")</f>
        <v/>
      </c>
      <c r="C1088" t="str">
        <f>IFERROR(INDEX(装备库!$A$2:$Y$1047,MATCH(ROW()-1,装备库!$AO$2:$AO$1046,0),COLUMN()),"")</f>
        <v/>
      </c>
      <c r="D1088" t="str">
        <f>IFERROR(INDEX(装备库!$A$2:$Y$1047,MATCH(ROW()-1,装备库!$AO$2:$AO$1046,0),COLUMN()),"")</f>
        <v/>
      </c>
      <c r="E1088" t="str">
        <f>IFERROR(INDEX(装备库!$A$2:$Y$1047,MATCH(ROW()-1,装备库!$AO$2:$AO$1046,0),COLUMN()),"")</f>
        <v/>
      </c>
      <c r="F1088" t="str">
        <f>IFERROR(INDEX(装备库!$A$2:$Y$1047,MATCH(ROW()-1,装备库!$AO$2:$AO$1046,0),COLUMN()),"")</f>
        <v/>
      </c>
      <c r="G1088" t="str">
        <f>IFERROR(INDEX(装备库!$A$2:$Y$1047,MATCH(ROW()-1,装备库!$AO$2:$AO$1046,0),COLUMN()),"")</f>
        <v/>
      </c>
      <c r="H1088" t="str">
        <f>IFERROR(INDEX(装备库!$A$2:$Y$1047,MATCH(ROW()-1,装备库!$AO$2:$AO$1046,0),COLUMN()),"")</f>
        <v/>
      </c>
      <c r="I1088" t="str">
        <f>IFERROR(INDEX(装备库!$A$2:$Y$1047,MATCH(ROW()-1,装备库!$AO$2:$AO$1046,0),COLUMN()),"")</f>
        <v/>
      </c>
      <c r="J1088" t="str">
        <f>IFERROR(INDEX(装备库!$A$2:$Y$1047,MATCH(ROW()-1,装备库!$AO$2:$AO$1046,0),COLUMN()),"")</f>
        <v/>
      </c>
      <c r="K1088" t="str">
        <f>IFERROR(INDEX(装备库!$A$2:$Y$1047,MATCH(ROW()-1,装备库!$AO$2:$AO$1046,0),COLUMN()),"")</f>
        <v/>
      </c>
      <c r="L1088" t="str">
        <f>IFERROR(INDEX(装备库!$A$2:$Y$1047,MATCH(ROW()-1,装备库!$AO$2:$AO$1046,0),COLUMN()),"")</f>
        <v/>
      </c>
      <c r="M1088" t="str">
        <f>IFERROR(INDEX(装备库!$A$2:$Y$1047,MATCH(ROW()-1,装备库!$AO$2:$AO$1046,0),COLUMN()),"")</f>
        <v/>
      </c>
      <c r="N1088" t="str">
        <f>IFERROR(INDEX(装备库!$A$2:$Y$1047,MATCH(ROW()-1,装备库!$AO$2:$AO$1046,0),COLUMN()),"")</f>
        <v/>
      </c>
      <c r="O1088" t="str">
        <f>IFERROR(INDEX(装备库!$A$2:$Y$1047,MATCH(ROW()-1,装备库!$AO$2:$AO$1046,0),COLUMN()),"")</f>
        <v/>
      </c>
      <c r="P1088" t="str">
        <f>IFERROR(INDEX(装备库!$A$2:$Y$1047,MATCH(ROW()-1,装备库!$AO$2:$AO$1046,0),COLUMN()),"")</f>
        <v/>
      </c>
      <c r="Q1088" t="str">
        <f>IFERROR(INDEX(装备库!$A$2:$Y$1047,MATCH(ROW()-1,装备库!$AO$2:$AO$1046,0),COLUMN()),"")</f>
        <v/>
      </c>
      <c r="R1088" t="str">
        <f>IFERROR(INDEX(装备库!$A$2:$Y$1047,MATCH(ROW()-1,装备库!$AO$2:$AO$1046,0),COLUMN()),"")</f>
        <v/>
      </c>
      <c r="S1088" t="str">
        <f>IFERROR(INDEX(装备库!$A$2:$Y$1047,MATCH(ROW()-1,装备库!$AO$2:$AO$1046,0),COLUMN()),"")</f>
        <v/>
      </c>
      <c r="T1088" t="str">
        <f>IFERROR(INDEX(装备库!$A$2:$Y$1047,MATCH(ROW()-1,装备库!$AO$2:$AO$1046,0),COLUMN()),"")</f>
        <v/>
      </c>
      <c r="U1088" t="str">
        <f>IFERROR(INDEX(装备库!$A$2:$Y$1047,MATCH(ROW()-1,装备库!$AO$2:$AO$1046,0),COLUMN()),"")</f>
        <v/>
      </c>
      <c r="V1088" t="str">
        <f>IFERROR(INDEX(装备库!$A$2:$Y$1047,MATCH(ROW()-1,装备库!$AO$2:$AO$1046,0),COLUMN()),"")</f>
        <v/>
      </c>
      <c r="W1088" t="str">
        <f>IFERROR(INDEX(装备库!$A$2:$Y$1047,MATCH(ROW()-1,装备库!$AO$2:$AO$1046,0),COLUMN()),"")</f>
        <v/>
      </c>
      <c r="X1088" t="str">
        <f>IFERROR(INDEX(装备库!$A$2:$Y$1047,MATCH(ROW()-1,装备库!$AO$2:$AO$1046,0),COLUMN()),"")</f>
        <v/>
      </c>
      <c r="Y1088" t="str">
        <f>IFERROR(INDEX(装备库!$A$2:$Y$1047,MATCH(ROW()-1,装备库!$AO$2:$AO$1046,0),COLUMN()),"")</f>
        <v/>
      </c>
    </row>
    <row r="1089" spans="1:25" x14ac:dyDescent="0.35">
      <c r="A1089" t="str">
        <f>IFERROR(INDEX(装备库!$A$2:$Y$1047,MATCH(ROW()-1,装备库!$AO$2:$AO$1046,0),COLUMN()),"")</f>
        <v/>
      </c>
      <c r="B1089" t="str">
        <f>IFERROR(INDEX(装备库!$A$2:$Y$1047,MATCH(ROW()-1,装备库!$AO$2:$AO$1046,0),COLUMN()),"")</f>
        <v/>
      </c>
      <c r="C1089" t="str">
        <f>IFERROR(INDEX(装备库!$A$2:$Y$1047,MATCH(ROW()-1,装备库!$AO$2:$AO$1046,0),COLUMN()),"")</f>
        <v/>
      </c>
      <c r="D1089" t="str">
        <f>IFERROR(INDEX(装备库!$A$2:$Y$1047,MATCH(ROW()-1,装备库!$AO$2:$AO$1046,0),COLUMN()),"")</f>
        <v/>
      </c>
      <c r="E1089" t="str">
        <f>IFERROR(INDEX(装备库!$A$2:$Y$1047,MATCH(ROW()-1,装备库!$AO$2:$AO$1046,0),COLUMN()),"")</f>
        <v/>
      </c>
      <c r="F1089" t="str">
        <f>IFERROR(INDEX(装备库!$A$2:$Y$1047,MATCH(ROW()-1,装备库!$AO$2:$AO$1046,0),COLUMN()),"")</f>
        <v/>
      </c>
      <c r="G1089" t="str">
        <f>IFERROR(INDEX(装备库!$A$2:$Y$1047,MATCH(ROW()-1,装备库!$AO$2:$AO$1046,0),COLUMN()),"")</f>
        <v/>
      </c>
      <c r="H1089" t="str">
        <f>IFERROR(INDEX(装备库!$A$2:$Y$1047,MATCH(ROW()-1,装备库!$AO$2:$AO$1046,0),COLUMN()),"")</f>
        <v/>
      </c>
      <c r="I1089" t="str">
        <f>IFERROR(INDEX(装备库!$A$2:$Y$1047,MATCH(ROW()-1,装备库!$AO$2:$AO$1046,0),COLUMN()),"")</f>
        <v/>
      </c>
      <c r="J1089" t="str">
        <f>IFERROR(INDEX(装备库!$A$2:$Y$1047,MATCH(ROW()-1,装备库!$AO$2:$AO$1046,0),COLUMN()),"")</f>
        <v/>
      </c>
      <c r="K1089" t="str">
        <f>IFERROR(INDEX(装备库!$A$2:$Y$1047,MATCH(ROW()-1,装备库!$AO$2:$AO$1046,0),COLUMN()),"")</f>
        <v/>
      </c>
      <c r="L1089" t="str">
        <f>IFERROR(INDEX(装备库!$A$2:$Y$1047,MATCH(ROW()-1,装备库!$AO$2:$AO$1046,0),COLUMN()),"")</f>
        <v/>
      </c>
      <c r="M1089" t="str">
        <f>IFERROR(INDEX(装备库!$A$2:$Y$1047,MATCH(ROW()-1,装备库!$AO$2:$AO$1046,0),COLUMN()),"")</f>
        <v/>
      </c>
      <c r="N1089" t="str">
        <f>IFERROR(INDEX(装备库!$A$2:$Y$1047,MATCH(ROW()-1,装备库!$AO$2:$AO$1046,0),COLUMN()),"")</f>
        <v/>
      </c>
      <c r="O1089" t="str">
        <f>IFERROR(INDEX(装备库!$A$2:$Y$1047,MATCH(ROW()-1,装备库!$AO$2:$AO$1046,0),COLUMN()),"")</f>
        <v/>
      </c>
      <c r="P1089" t="str">
        <f>IFERROR(INDEX(装备库!$A$2:$Y$1047,MATCH(ROW()-1,装备库!$AO$2:$AO$1046,0),COLUMN()),"")</f>
        <v/>
      </c>
      <c r="Q1089" t="str">
        <f>IFERROR(INDEX(装备库!$A$2:$Y$1047,MATCH(ROW()-1,装备库!$AO$2:$AO$1046,0),COLUMN()),"")</f>
        <v/>
      </c>
      <c r="R1089" t="str">
        <f>IFERROR(INDEX(装备库!$A$2:$Y$1047,MATCH(ROW()-1,装备库!$AO$2:$AO$1046,0),COLUMN()),"")</f>
        <v/>
      </c>
      <c r="S1089" t="str">
        <f>IFERROR(INDEX(装备库!$A$2:$Y$1047,MATCH(ROW()-1,装备库!$AO$2:$AO$1046,0),COLUMN()),"")</f>
        <v/>
      </c>
      <c r="T1089" t="str">
        <f>IFERROR(INDEX(装备库!$A$2:$Y$1047,MATCH(ROW()-1,装备库!$AO$2:$AO$1046,0),COLUMN()),"")</f>
        <v/>
      </c>
      <c r="U1089" t="str">
        <f>IFERROR(INDEX(装备库!$A$2:$Y$1047,MATCH(ROW()-1,装备库!$AO$2:$AO$1046,0),COLUMN()),"")</f>
        <v/>
      </c>
      <c r="V1089" t="str">
        <f>IFERROR(INDEX(装备库!$A$2:$Y$1047,MATCH(ROW()-1,装备库!$AO$2:$AO$1046,0),COLUMN()),"")</f>
        <v/>
      </c>
      <c r="W1089" t="str">
        <f>IFERROR(INDEX(装备库!$A$2:$Y$1047,MATCH(ROW()-1,装备库!$AO$2:$AO$1046,0),COLUMN()),"")</f>
        <v/>
      </c>
      <c r="X1089" t="str">
        <f>IFERROR(INDEX(装备库!$A$2:$Y$1047,MATCH(ROW()-1,装备库!$AO$2:$AO$1046,0),COLUMN()),"")</f>
        <v/>
      </c>
      <c r="Y1089" t="str">
        <f>IFERROR(INDEX(装备库!$A$2:$Y$1047,MATCH(ROW()-1,装备库!$AO$2:$AO$1046,0),COLUMN()),"")</f>
        <v/>
      </c>
    </row>
    <row r="1090" spans="1:25" x14ac:dyDescent="0.35">
      <c r="A1090" t="str">
        <f>IFERROR(INDEX(装备库!$A$2:$Y$1047,MATCH(ROW()-1,装备库!$AO$2:$AO$1046,0),COLUMN()),"")</f>
        <v/>
      </c>
      <c r="B1090" t="str">
        <f>IFERROR(INDEX(装备库!$A$2:$Y$1047,MATCH(ROW()-1,装备库!$AO$2:$AO$1046,0),COLUMN()),"")</f>
        <v/>
      </c>
      <c r="C1090" t="str">
        <f>IFERROR(INDEX(装备库!$A$2:$Y$1047,MATCH(ROW()-1,装备库!$AO$2:$AO$1046,0),COLUMN()),"")</f>
        <v/>
      </c>
      <c r="D1090" t="str">
        <f>IFERROR(INDEX(装备库!$A$2:$Y$1047,MATCH(ROW()-1,装备库!$AO$2:$AO$1046,0),COLUMN()),"")</f>
        <v/>
      </c>
      <c r="E1090" t="str">
        <f>IFERROR(INDEX(装备库!$A$2:$Y$1047,MATCH(ROW()-1,装备库!$AO$2:$AO$1046,0),COLUMN()),"")</f>
        <v/>
      </c>
      <c r="F1090" t="str">
        <f>IFERROR(INDEX(装备库!$A$2:$Y$1047,MATCH(ROW()-1,装备库!$AO$2:$AO$1046,0),COLUMN()),"")</f>
        <v/>
      </c>
      <c r="G1090" t="str">
        <f>IFERROR(INDEX(装备库!$A$2:$Y$1047,MATCH(ROW()-1,装备库!$AO$2:$AO$1046,0),COLUMN()),"")</f>
        <v/>
      </c>
      <c r="H1090" t="str">
        <f>IFERROR(INDEX(装备库!$A$2:$Y$1047,MATCH(ROW()-1,装备库!$AO$2:$AO$1046,0),COLUMN()),"")</f>
        <v/>
      </c>
      <c r="I1090" t="str">
        <f>IFERROR(INDEX(装备库!$A$2:$Y$1047,MATCH(ROW()-1,装备库!$AO$2:$AO$1046,0),COLUMN()),"")</f>
        <v/>
      </c>
      <c r="J1090" t="str">
        <f>IFERROR(INDEX(装备库!$A$2:$Y$1047,MATCH(ROW()-1,装备库!$AO$2:$AO$1046,0),COLUMN()),"")</f>
        <v/>
      </c>
      <c r="K1090" t="str">
        <f>IFERROR(INDEX(装备库!$A$2:$Y$1047,MATCH(ROW()-1,装备库!$AO$2:$AO$1046,0),COLUMN()),"")</f>
        <v/>
      </c>
      <c r="L1090" t="str">
        <f>IFERROR(INDEX(装备库!$A$2:$Y$1047,MATCH(ROW()-1,装备库!$AO$2:$AO$1046,0),COLUMN()),"")</f>
        <v/>
      </c>
      <c r="M1090" t="str">
        <f>IFERROR(INDEX(装备库!$A$2:$Y$1047,MATCH(ROW()-1,装备库!$AO$2:$AO$1046,0),COLUMN()),"")</f>
        <v/>
      </c>
      <c r="N1090" t="str">
        <f>IFERROR(INDEX(装备库!$A$2:$Y$1047,MATCH(ROW()-1,装备库!$AO$2:$AO$1046,0),COLUMN()),"")</f>
        <v/>
      </c>
      <c r="O1090" t="str">
        <f>IFERROR(INDEX(装备库!$A$2:$Y$1047,MATCH(ROW()-1,装备库!$AO$2:$AO$1046,0),COLUMN()),"")</f>
        <v/>
      </c>
      <c r="P1090" t="str">
        <f>IFERROR(INDEX(装备库!$A$2:$Y$1047,MATCH(ROW()-1,装备库!$AO$2:$AO$1046,0),COLUMN()),"")</f>
        <v/>
      </c>
      <c r="Q1090" t="str">
        <f>IFERROR(INDEX(装备库!$A$2:$Y$1047,MATCH(ROW()-1,装备库!$AO$2:$AO$1046,0),COLUMN()),"")</f>
        <v/>
      </c>
      <c r="R1090" t="str">
        <f>IFERROR(INDEX(装备库!$A$2:$Y$1047,MATCH(ROW()-1,装备库!$AO$2:$AO$1046,0),COLUMN()),"")</f>
        <v/>
      </c>
      <c r="S1090" t="str">
        <f>IFERROR(INDEX(装备库!$A$2:$Y$1047,MATCH(ROW()-1,装备库!$AO$2:$AO$1046,0),COLUMN()),"")</f>
        <v/>
      </c>
      <c r="T1090" t="str">
        <f>IFERROR(INDEX(装备库!$A$2:$Y$1047,MATCH(ROW()-1,装备库!$AO$2:$AO$1046,0),COLUMN()),"")</f>
        <v/>
      </c>
      <c r="U1090" t="str">
        <f>IFERROR(INDEX(装备库!$A$2:$Y$1047,MATCH(ROW()-1,装备库!$AO$2:$AO$1046,0),COLUMN()),"")</f>
        <v/>
      </c>
      <c r="V1090" t="str">
        <f>IFERROR(INDEX(装备库!$A$2:$Y$1047,MATCH(ROW()-1,装备库!$AO$2:$AO$1046,0),COLUMN()),"")</f>
        <v/>
      </c>
      <c r="W1090" t="str">
        <f>IFERROR(INDEX(装备库!$A$2:$Y$1047,MATCH(ROW()-1,装备库!$AO$2:$AO$1046,0),COLUMN()),"")</f>
        <v/>
      </c>
      <c r="X1090" t="str">
        <f>IFERROR(INDEX(装备库!$A$2:$Y$1047,MATCH(ROW()-1,装备库!$AO$2:$AO$1046,0),COLUMN()),"")</f>
        <v/>
      </c>
      <c r="Y1090" t="str">
        <f>IFERROR(INDEX(装备库!$A$2:$Y$1047,MATCH(ROW()-1,装备库!$AO$2:$AO$1046,0),COLUMN()),"")</f>
        <v/>
      </c>
    </row>
    <row r="1091" spans="1:25" x14ac:dyDescent="0.35">
      <c r="A1091" t="str">
        <f>IFERROR(INDEX(装备库!$A$2:$Y$1047,MATCH(ROW()-1,装备库!$AO$2:$AO$1046,0),COLUMN()),"")</f>
        <v/>
      </c>
      <c r="B1091" t="str">
        <f>IFERROR(INDEX(装备库!$A$2:$Y$1047,MATCH(ROW()-1,装备库!$AO$2:$AO$1046,0),COLUMN()),"")</f>
        <v/>
      </c>
      <c r="C1091" t="str">
        <f>IFERROR(INDEX(装备库!$A$2:$Y$1047,MATCH(ROW()-1,装备库!$AO$2:$AO$1046,0),COLUMN()),"")</f>
        <v/>
      </c>
      <c r="D1091" t="str">
        <f>IFERROR(INDEX(装备库!$A$2:$Y$1047,MATCH(ROW()-1,装备库!$AO$2:$AO$1046,0),COLUMN()),"")</f>
        <v/>
      </c>
      <c r="E1091" t="str">
        <f>IFERROR(INDEX(装备库!$A$2:$Y$1047,MATCH(ROW()-1,装备库!$AO$2:$AO$1046,0),COLUMN()),"")</f>
        <v/>
      </c>
      <c r="F1091" t="str">
        <f>IFERROR(INDEX(装备库!$A$2:$Y$1047,MATCH(ROW()-1,装备库!$AO$2:$AO$1046,0),COLUMN()),"")</f>
        <v/>
      </c>
      <c r="G1091" t="str">
        <f>IFERROR(INDEX(装备库!$A$2:$Y$1047,MATCH(ROW()-1,装备库!$AO$2:$AO$1046,0),COLUMN()),"")</f>
        <v/>
      </c>
      <c r="H1091" t="str">
        <f>IFERROR(INDEX(装备库!$A$2:$Y$1047,MATCH(ROW()-1,装备库!$AO$2:$AO$1046,0),COLUMN()),"")</f>
        <v/>
      </c>
      <c r="I1091" t="str">
        <f>IFERROR(INDEX(装备库!$A$2:$Y$1047,MATCH(ROW()-1,装备库!$AO$2:$AO$1046,0),COLUMN()),"")</f>
        <v/>
      </c>
      <c r="J1091" t="str">
        <f>IFERROR(INDEX(装备库!$A$2:$Y$1047,MATCH(ROW()-1,装备库!$AO$2:$AO$1046,0),COLUMN()),"")</f>
        <v/>
      </c>
      <c r="K1091" t="str">
        <f>IFERROR(INDEX(装备库!$A$2:$Y$1047,MATCH(ROW()-1,装备库!$AO$2:$AO$1046,0),COLUMN()),"")</f>
        <v/>
      </c>
      <c r="L1091" t="str">
        <f>IFERROR(INDEX(装备库!$A$2:$Y$1047,MATCH(ROW()-1,装备库!$AO$2:$AO$1046,0),COLUMN()),"")</f>
        <v/>
      </c>
      <c r="M1091" t="str">
        <f>IFERROR(INDEX(装备库!$A$2:$Y$1047,MATCH(ROW()-1,装备库!$AO$2:$AO$1046,0),COLUMN()),"")</f>
        <v/>
      </c>
      <c r="N1091" t="str">
        <f>IFERROR(INDEX(装备库!$A$2:$Y$1047,MATCH(ROW()-1,装备库!$AO$2:$AO$1046,0),COLUMN()),"")</f>
        <v/>
      </c>
      <c r="O1091" t="str">
        <f>IFERROR(INDEX(装备库!$A$2:$Y$1047,MATCH(ROW()-1,装备库!$AO$2:$AO$1046,0),COLUMN()),"")</f>
        <v/>
      </c>
      <c r="P1091" t="str">
        <f>IFERROR(INDEX(装备库!$A$2:$Y$1047,MATCH(ROW()-1,装备库!$AO$2:$AO$1046,0),COLUMN()),"")</f>
        <v/>
      </c>
      <c r="Q1091" t="str">
        <f>IFERROR(INDEX(装备库!$A$2:$Y$1047,MATCH(ROW()-1,装备库!$AO$2:$AO$1046,0),COLUMN()),"")</f>
        <v/>
      </c>
      <c r="R1091" t="str">
        <f>IFERROR(INDEX(装备库!$A$2:$Y$1047,MATCH(ROW()-1,装备库!$AO$2:$AO$1046,0),COLUMN()),"")</f>
        <v/>
      </c>
      <c r="S1091" t="str">
        <f>IFERROR(INDEX(装备库!$A$2:$Y$1047,MATCH(ROW()-1,装备库!$AO$2:$AO$1046,0),COLUMN()),"")</f>
        <v/>
      </c>
      <c r="T1091" t="str">
        <f>IFERROR(INDEX(装备库!$A$2:$Y$1047,MATCH(ROW()-1,装备库!$AO$2:$AO$1046,0),COLUMN()),"")</f>
        <v/>
      </c>
      <c r="U1091" t="str">
        <f>IFERROR(INDEX(装备库!$A$2:$Y$1047,MATCH(ROW()-1,装备库!$AO$2:$AO$1046,0),COLUMN()),"")</f>
        <v/>
      </c>
      <c r="V1091" t="str">
        <f>IFERROR(INDEX(装备库!$A$2:$Y$1047,MATCH(ROW()-1,装备库!$AO$2:$AO$1046,0),COLUMN()),"")</f>
        <v/>
      </c>
      <c r="W1091" t="str">
        <f>IFERROR(INDEX(装备库!$A$2:$Y$1047,MATCH(ROW()-1,装备库!$AO$2:$AO$1046,0),COLUMN()),"")</f>
        <v/>
      </c>
      <c r="X1091" t="str">
        <f>IFERROR(INDEX(装备库!$A$2:$Y$1047,MATCH(ROW()-1,装备库!$AO$2:$AO$1046,0),COLUMN()),"")</f>
        <v/>
      </c>
      <c r="Y1091" t="str">
        <f>IFERROR(INDEX(装备库!$A$2:$Y$1047,MATCH(ROW()-1,装备库!$AO$2:$AO$1046,0),COLUMN()),"")</f>
        <v/>
      </c>
    </row>
    <row r="1092" spans="1:25" x14ac:dyDescent="0.35">
      <c r="A1092" t="str">
        <f>IFERROR(INDEX(装备库!$A$2:$Y$1047,MATCH(ROW()-1,装备库!$AO$2:$AO$1046,0),COLUMN()),"")</f>
        <v/>
      </c>
      <c r="B1092" t="str">
        <f>IFERROR(INDEX(装备库!$A$2:$Y$1047,MATCH(ROW()-1,装备库!$AO$2:$AO$1046,0),COLUMN()),"")</f>
        <v/>
      </c>
      <c r="C1092" t="str">
        <f>IFERROR(INDEX(装备库!$A$2:$Y$1047,MATCH(ROW()-1,装备库!$AO$2:$AO$1046,0),COLUMN()),"")</f>
        <v/>
      </c>
      <c r="D1092" t="str">
        <f>IFERROR(INDEX(装备库!$A$2:$Y$1047,MATCH(ROW()-1,装备库!$AO$2:$AO$1046,0),COLUMN()),"")</f>
        <v/>
      </c>
      <c r="E1092" t="str">
        <f>IFERROR(INDEX(装备库!$A$2:$Y$1047,MATCH(ROW()-1,装备库!$AO$2:$AO$1046,0),COLUMN()),"")</f>
        <v/>
      </c>
      <c r="F1092" t="str">
        <f>IFERROR(INDEX(装备库!$A$2:$Y$1047,MATCH(ROW()-1,装备库!$AO$2:$AO$1046,0),COLUMN()),"")</f>
        <v/>
      </c>
      <c r="G1092" t="str">
        <f>IFERROR(INDEX(装备库!$A$2:$Y$1047,MATCH(ROW()-1,装备库!$AO$2:$AO$1046,0),COLUMN()),"")</f>
        <v/>
      </c>
      <c r="H1092" t="str">
        <f>IFERROR(INDEX(装备库!$A$2:$Y$1047,MATCH(ROW()-1,装备库!$AO$2:$AO$1046,0),COLUMN()),"")</f>
        <v/>
      </c>
      <c r="I1092" t="str">
        <f>IFERROR(INDEX(装备库!$A$2:$Y$1047,MATCH(ROW()-1,装备库!$AO$2:$AO$1046,0),COLUMN()),"")</f>
        <v/>
      </c>
      <c r="J1092" t="str">
        <f>IFERROR(INDEX(装备库!$A$2:$Y$1047,MATCH(ROW()-1,装备库!$AO$2:$AO$1046,0),COLUMN()),"")</f>
        <v/>
      </c>
      <c r="K1092" t="str">
        <f>IFERROR(INDEX(装备库!$A$2:$Y$1047,MATCH(ROW()-1,装备库!$AO$2:$AO$1046,0),COLUMN()),"")</f>
        <v/>
      </c>
      <c r="L1092" t="str">
        <f>IFERROR(INDEX(装备库!$A$2:$Y$1047,MATCH(ROW()-1,装备库!$AO$2:$AO$1046,0),COLUMN()),"")</f>
        <v/>
      </c>
      <c r="M1092" t="str">
        <f>IFERROR(INDEX(装备库!$A$2:$Y$1047,MATCH(ROW()-1,装备库!$AO$2:$AO$1046,0),COLUMN()),"")</f>
        <v/>
      </c>
      <c r="N1092" t="str">
        <f>IFERROR(INDEX(装备库!$A$2:$Y$1047,MATCH(ROW()-1,装备库!$AO$2:$AO$1046,0),COLUMN()),"")</f>
        <v/>
      </c>
      <c r="O1092" t="str">
        <f>IFERROR(INDEX(装备库!$A$2:$Y$1047,MATCH(ROW()-1,装备库!$AO$2:$AO$1046,0),COLUMN()),"")</f>
        <v/>
      </c>
      <c r="P1092" t="str">
        <f>IFERROR(INDEX(装备库!$A$2:$Y$1047,MATCH(ROW()-1,装备库!$AO$2:$AO$1046,0),COLUMN()),"")</f>
        <v/>
      </c>
      <c r="Q1092" t="str">
        <f>IFERROR(INDEX(装备库!$A$2:$Y$1047,MATCH(ROW()-1,装备库!$AO$2:$AO$1046,0),COLUMN()),"")</f>
        <v/>
      </c>
      <c r="R1092" t="str">
        <f>IFERROR(INDEX(装备库!$A$2:$Y$1047,MATCH(ROW()-1,装备库!$AO$2:$AO$1046,0),COLUMN()),"")</f>
        <v/>
      </c>
      <c r="S1092" t="str">
        <f>IFERROR(INDEX(装备库!$A$2:$Y$1047,MATCH(ROW()-1,装备库!$AO$2:$AO$1046,0),COLUMN()),"")</f>
        <v/>
      </c>
      <c r="T1092" t="str">
        <f>IFERROR(INDEX(装备库!$A$2:$Y$1047,MATCH(ROW()-1,装备库!$AO$2:$AO$1046,0),COLUMN()),"")</f>
        <v/>
      </c>
      <c r="U1092" t="str">
        <f>IFERROR(INDEX(装备库!$A$2:$Y$1047,MATCH(ROW()-1,装备库!$AO$2:$AO$1046,0),COLUMN()),"")</f>
        <v/>
      </c>
      <c r="V1092" t="str">
        <f>IFERROR(INDEX(装备库!$A$2:$Y$1047,MATCH(ROW()-1,装备库!$AO$2:$AO$1046,0),COLUMN()),"")</f>
        <v/>
      </c>
      <c r="W1092" t="str">
        <f>IFERROR(INDEX(装备库!$A$2:$Y$1047,MATCH(ROW()-1,装备库!$AO$2:$AO$1046,0),COLUMN()),"")</f>
        <v/>
      </c>
      <c r="X1092" t="str">
        <f>IFERROR(INDEX(装备库!$A$2:$Y$1047,MATCH(ROW()-1,装备库!$AO$2:$AO$1046,0),COLUMN()),"")</f>
        <v/>
      </c>
      <c r="Y1092" t="str">
        <f>IFERROR(INDEX(装备库!$A$2:$Y$1047,MATCH(ROW()-1,装备库!$AO$2:$AO$1046,0),COLUMN()),"")</f>
        <v/>
      </c>
    </row>
    <row r="1093" spans="1:25" x14ac:dyDescent="0.35">
      <c r="A1093" t="str">
        <f>IFERROR(INDEX(装备库!$A$2:$Y$1047,MATCH(ROW()-1,装备库!$AO$2:$AO$1046,0),COLUMN()),"")</f>
        <v/>
      </c>
      <c r="B1093" t="str">
        <f>IFERROR(INDEX(装备库!$A$2:$Y$1047,MATCH(ROW()-1,装备库!$AO$2:$AO$1046,0),COLUMN()),"")</f>
        <v/>
      </c>
      <c r="C1093" t="str">
        <f>IFERROR(INDEX(装备库!$A$2:$Y$1047,MATCH(ROW()-1,装备库!$AO$2:$AO$1046,0),COLUMN()),"")</f>
        <v/>
      </c>
      <c r="D1093" t="str">
        <f>IFERROR(INDEX(装备库!$A$2:$Y$1047,MATCH(ROW()-1,装备库!$AO$2:$AO$1046,0),COLUMN()),"")</f>
        <v/>
      </c>
      <c r="E1093" t="str">
        <f>IFERROR(INDEX(装备库!$A$2:$Y$1047,MATCH(ROW()-1,装备库!$AO$2:$AO$1046,0),COLUMN()),"")</f>
        <v/>
      </c>
      <c r="F1093" t="str">
        <f>IFERROR(INDEX(装备库!$A$2:$Y$1047,MATCH(ROW()-1,装备库!$AO$2:$AO$1046,0),COLUMN()),"")</f>
        <v/>
      </c>
      <c r="G1093" t="str">
        <f>IFERROR(INDEX(装备库!$A$2:$Y$1047,MATCH(ROW()-1,装备库!$AO$2:$AO$1046,0),COLUMN()),"")</f>
        <v/>
      </c>
      <c r="H1093" t="str">
        <f>IFERROR(INDEX(装备库!$A$2:$Y$1047,MATCH(ROW()-1,装备库!$AO$2:$AO$1046,0),COLUMN()),"")</f>
        <v/>
      </c>
      <c r="I1093" t="str">
        <f>IFERROR(INDEX(装备库!$A$2:$Y$1047,MATCH(ROW()-1,装备库!$AO$2:$AO$1046,0),COLUMN()),"")</f>
        <v/>
      </c>
      <c r="J1093" t="str">
        <f>IFERROR(INDEX(装备库!$A$2:$Y$1047,MATCH(ROW()-1,装备库!$AO$2:$AO$1046,0),COLUMN()),"")</f>
        <v/>
      </c>
      <c r="K1093" t="str">
        <f>IFERROR(INDEX(装备库!$A$2:$Y$1047,MATCH(ROW()-1,装备库!$AO$2:$AO$1046,0),COLUMN()),"")</f>
        <v/>
      </c>
      <c r="L1093" t="str">
        <f>IFERROR(INDEX(装备库!$A$2:$Y$1047,MATCH(ROW()-1,装备库!$AO$2:$AO$1046,0),COLUMN()),"")</f>
        <v/>
      </c>
      <c r="M1093" t="str">
        <f>IFERROR(INDEX(装备库!$A$2:$Y$1047,MATCH(ROW()-1,装备库!$AO$2:$AO$1046,0),COLUMN()),"")</f>
        <v/>
      </c>
      <c r="N1093" t="str">
        <f>IFERROR(INDEX(装备库!$A$2:$Y$1047,MATCH(ROW()-1,装备库!$AO$2:$AO$1046,0),COLUMN()),"")</f>
        <v/>
      </c>
      <c r="O1093" t="str">
        <f>IFERROR(INDEX(装备库!$A$2:$Y$1047,MATCH(ROW()-1,装备库!$AO$2:$AO$1046,0),COLUMN()),"")</f>
        <v/>
      </c>
      <c r="P1093" t="str">
        <f>IFERROR(INDEX(装备库!$A$2:$Y$1047,MATCH(ROW()-1,装备库!$AO$2:$AO$1046,0),COLUMN()),"")</f>
        <v/>
      </c>
      <c r="Q1093" t="str">
        <f>IFERROR(INDEX(装备库!$A$2:$Y$1047,MATCH(ROW()-1,装备库!$AO$2:$AO$1046,0),COLUMN()),"")</f>
        <v/>
      </c>
      <c r="R1093" t="str">
        <f>IFERROR(INDEX(装备库!$A$2:$Y$1047,MATCH(ROW()-1,装备库!$AO$2:$AO$1046,0),COLUMN()),"")</f>
        <v/>
      </c>
      <c r="S1093" t="str">
        <f>IFERROR(INDEX(装备库!$A$2:$Y$1047,MATCH(ROW()-1,装备库!$AO$2:$AO$1046,0),COLUMN()),"")</f>
        <v/>
      </c>
      <c r="T1093" t="str">
        <f>IFERROR(INDEX(装备库!$A$2:$Y$1047,MATCH(ROW()-1,装备库!$AO$2:$AO$1046,0),COLUMN()),"")</f>
        <v/>
      </c>
      <c r="U1093" t="str">
        <f>IFERROR(INDEX(装备库!$A$2:$Y$1047,MATCH(ROW()-1,装备库!$AO$2:$AO$1046,0),COLUMN()),"")</f>
        <v/>
      </c>
      <c r="V1093" t="str">
        <f>IFERROR(INDEX(装备库!$A$2:$Y$1047,MATCH(ROW()-1,装备库!$AO$2:$AO$1046,0),COLUMN()),"")</f>
        <v/>
      </c>
      <c r="W1093" t="str">
        <f>IFERROR(INDEX(装备库!$A$2:$Y$1047,MATCH(ROW()-1,装备库!$AO$2:$AO$1046,0),COLUMN()),"")</f>
        <v/>
      </c>
      <c r="X1093" t="str">
        <f>IFERROR(INDEX(装备库!$A$2:$Y$1047,MATCH(ROW()-1,装备库!$AO$2:$AO$1046,0),COLUMN()),"")</f>
        <v/>
      </c>
      <c r="Y1093" t="str">
        <f>IFERROR(INDEX(装备库!$A$2:$Y$1047,MATCH(ROW()-1,装备库!$AO$2:$AO$1046,0),COLUMN()),"")</f>
        <v/>
      </c>
    </row>
    <row r="1094" spans="1:25" x14ac:dyDescent="0.35">
      <c r="A1094" t="str">
        <f>IFERROR(INDEX(装备库!$A$2:$Y$1047,MATCH(ROW()-1,装备库!$AO$2:$AO$1046,0),COLUMN()),"")</f>
        <v/>
      </c>
      <c r="B1094" t="str">
        <f>IFERROR(INDEX(装备库!$A$2:$Y$1047,MATCH(ROW()-1,装备库!$AO$2:$AO$1046,0),COLUMN()),"")</f>
        <v/>
      </c>
      <c r="C1094" t="str">
        <f>IFERROR(INDEX(装备库!$A$2:$Y$1047,MATCH(ROW()-1,装备库!$AO$2:$AO$1046,0),COLUMN()),"")</f>
        <v/>
      </c>
      <c r="D1094" t="str">
        <f>IFERROR(INDEX(装备库!$A$2:$Y$1047,MATCH(ROW()-1,装备库!$AO$2:$AO$1046,0),COLUMN()),"")</f>
        <v/>
      </c>
      <c r="E1094" t="str">
        <f>IFERROR(INDEX(装备库!$A$2:$Y$1047,MATCH(ROW()-1,装备库!$AO$2:$AO$1046,0),COLUMN()),"")</f>
        <v/>
      </c>
      <c r="F1094" t="str">
        <f>IFERROR(INDEX(装备库!$A$2:$Y$1047,MATCH(ROW()-1,装备库!$AO$2:$AO$1046,0),COLUMN()),"")</f>
        <v/>
      </c>
      <c r="G1094" t="str">
        <f>IFERROR(INDEX(装备库!$A$2:$Y$1047,MATCH(ROW()-1,装备库!$AO$2:$AO$1046,0),COLUMN()),"")</f>
        <v/>
      </c>
      <c r="H1094" t="str">
        <f>IFERROR(INDEX(装备库!$A$2:$Y$1047,MATCH(ROW()-1,装备库!$AO$2:$AO$1046,0),COLUMN()),"")</f>
        <v/>
      </c>
      <c r="I1094" t="str">
        <f>IFERROR(INDEX(装备库!$A$2:$Y$1047,MATCH(ROW()-1,装备库!$AO$2:$AO$1046,0),COLUMN()),"")</f>
        <v/>
      </c>
      <c r="J1094" t="str">
        <f>IFERROR(INDEX(装备库!$A$2:$Y$1047,MATCH(ROW()-1,装备库!$AO$2:$AO$1046,0),COLUMN()),"")</f>
        <v/>
      </c>
      <c r="K1094" t="str">
        <f>IFERROR(INDEX(装备库!$A$2:$Y$1047,MATCH(ROW()-1,装备库!$AO$2:$AO$1046,0),COLUMN()),"")</f>
        <v/>
      </c>
      <c r="L1094" t="str">
        <f>IFERROR(INDEX(装备库!$A$2:$Y$1047,MATCH(ROW()-1,装备库!$AO$2:$AO$1046,0),COLUMN()),"")</f>
        <v/>
      </c>
      <c r="M1094" t="str">
        <f>IFERROR(INDEX(装备库!$A$2:$Y$1047,MATCH(ROW()-1,装备库!$AO$2:$AO$1046,0),COLUMN()),"")</f>
        <v/>
      </c>
      <c r="N1094" t="str">
        <f>IFERROR(INDEX(装备库!$A$2:$Y$1047,MATCH(ROW()-1,装备库!$AO$2:$AO$1046,0),COLUMN()),"")</f>
        <v/>
      </c>
      <c r="O1094" t="str">
        <f>IFERROR(INDEX(装备库!$A$2:$Y$1047,MATCH(ROW()-1,装备库!$AO$2:$AO$1046,0),COLUMN()),"")</f>
        <v/>
      </c>
      <c r="P1094" t="str">
        <f>IFERROR(INDEX(装备库!$A$2:$Y$1047,MATCH(ROW()-1,装备库!$AO$2:$AO$1046,0),COLUMN()),"")</f>
        <v/>
      </c>
      <c r="Q1094" t="str">
        <f>IFERROR(INDEX(装备库!$A$2:$Y$1047,MATCH(ROW()-1,装备库!$AO$2:$AO$1046,0),COLUMN()),"")</f>
        <v/>
      </c>
      <c r="R1094" t="str">
        <f>IFERROR(INDEX(装备库!$A$2:$Y$1047,MATCH(ROW()-1,装备库!$AO$2:$AO$1046,0),COLUMN()),"")</f>
        <v/>
      </c>
      <c r="S1094" t="str">
        <f>IFERROR(INDEX(装备库!$A$2:$Y$1047,MATCH(ROW()-1,装备库!$AO$2:$AO$1046,0),COLUMN()),"")</f>
        <v/>
      </c>
      <c r="T1094" t="str">
        <f>IFERROR(INDEX(装备库!$A$2:$Y$1047,MATCH(ROW()-1,装备库!$AO$2:$AO$1046,0),COLUMN()),"")</f>
        <v/>
      </c>
      <c r="U1094" t="str">
        <f>IFERROR(INDEX(装备库!$A$2:$Y$1047,MATCH(ROW()-1,装备库!$AO$2:$AO$1046,0),COLUMN()),"")</f>
        <v/>
      </c>
      <c r="V1094" t="str">
        <f>IFERROR(INDEX(装备库!$A$2:$Y$1047,MATCH(ROW()-1,装备库!$AO$2:$AO$1046,0),COLUMN()),"")</f>
        <v/>
      </c>
      <c r="W1094" t="str">
        <f>IFERROR(INDEX(装备库!$A$2:$Y$1047,MATCH(ROW()-1,装备库!$AO$2:$AO$1046,0),COLUMN()),"")</f>
        <v/>
      </c>
      <c r="X1094" t="str">
        <f>IFERROR(INDEX(装备库!$A$2:$Y$1047,MATCH(ROW()-1,装备库!$AO$2:$AO$1046,0),COLUMN()),"")</f>
        <v/>
      </c>
      <c r="Y1094" t="str">
        <f>IFERROR(INDEX(装备库!$A$2:$Y$1047,MATCH(ROW()-1,装备库!$AO$2:$AO$1046,0),COLUMN()),"")</f>
        <v/>
      </c>
    </row>
    <row r="1095" spans="1:25" x14ac:dyDescent="0.35">
      <c r="A1095" t="str">
        <f>IFERROR(INDEX(装备库!$A$2:$Y$1047,MATCH(ROW()-1,装备库!$AO$2:$AO$1046,0),COLUMN()),"")</f>
        <v/>
      </c>
      <c r="B1095" t="str">
        <f>IFERROR(INDEX(装备库!$A$2:$Y$1047,MATCH(ROW()-1,装备库!$AO$2:$AO$1046,0),COLUMN()),"")</f>
        <v/>
      </c>
      <c r="C1095" t="str">
        <f>IFERROR(INDEX(装备库!$A$2:$Y$1047,MATCH(ROW()-1,装备库!$AO$2:$AO$1046,0),COLUMN()),"")</f>
        <v/>
      </c>
      <c r="D1095" t="str">
        <f>IFERROR(INDEX(装备库!$A$2:$Y$1047,MATCH(ROW()-1,装备库!$AO$2:$AO$1046,0),COLUMN()),"")</f>
        <v/>
      </c>
      <c r="E1095" t="str">
        <f>IFERROR(INDEX(装备库!$A$2:$Y$1047,MATCH(ROW()-1,装备库!$AO$2:$AO$1046,0),COLUMN()),"")</f>
        <v/>
      </c>
      <c r="F1095" t="str">
        <f>IFERROR(INDEX(装备库!$A$2:$Y$1047,MATCH(ROW()-1,装备库!$AO$2:$AO$1046,0),COLUMN()),"")</f>
        <v/>
      </c>
      <c r="G1095" t="str">
        <f>IFERROR(INDEX(装备库!$A$2:$Y$1047,MATCH(ROW()-1,装备库!$AO$2:$AO$1046,0),COLUMN()),"")</f>
        <v/>
      </c>
      <c r="H1095" t="str">
        <f>IFERROR(INDEX(装备库!$A$2:$Y$1047,MATCH(ROW()-1,装备库!$AO$2:$AO$1046,0),COLUMN()),"")</f>
        <v/>
      </c>
      <c r="I1095" t="str">
        <f>IFERROR(INDEX(装备库!$A$2:$Y$1047,MATCH(ROW()-1,装备库!$AO$2:$AO$1046,0),COLUMN()),"")</f>
        <v/>
      </c>
      <c r="J1095" t="str">
        <f>IFERROR(INDEX(装备库!$A$2:$Y$1047,MATCH(ROW()-1,装备库!$AO$2:$AO$1046,0),COLUMN()),"")</f>
        <v/>
      </c>
      <c r="K1095" t="str">
        <f>IFERROR(INDEX(装备库!$A$2:$Y$1047,MATCH(ROW()-1,装备库!$AO$2:$AO$1046,0),COLUMN()),"")</f>
        <v/>
      </c>
      <c r="L1095" t="str">
        <f>IFERROR(INDEX(装备库!$A$2:$Y$1047,MATCH(ROW()-1,装备库!$AO$2:$AO$1046,0),COLUMN()),"")</f>
        <v/>
      </c>
      <c r="M1095" t="str">
        <f>IFERROR(INDEX(装备库!$A$2:$Y$1047,MATCH(ROW()-1,装备库!$AO$2:$AO$1046,0),COLUMN()),"")</f>
        <v/>
      </c>
      <c r="N1095" t="str">
        <f>IFERROR(INDEX(装备库!$A$2:$Y$1047,MATCH(ROW()-1,装备库!$AO$2:$AO$1046,0),COLUMN()),"")</f>
        <v/>
      </c>
      <c r="O1095" t="str">
        <f>IFERROR(INDEX(装备库!$A$2:$Y$1047,MATCH(ROW()-1,装备库!$AO$2:$AO$1046,0),COLUMN()),"")</f>
        <v/>
      </c>
      <c r="P1095" t="str">
        <f>IFERROR(INDEX(装备库!$A$2:$Y$1047,MATCH(ROW()-1,装备库!$AO$2:$AO$1046,0),COLUMN()),"")</f>
        <v/>
      </c>
      <c r="Q1095" t="str">
        <f>IFERROR(INDEX(装备库!$A$2:$Y$1047,MATCH(ROW()-1,装备库!$AO$2:$AO$1046,0),COLUMN()),"")</f>
        <v/>
      </c>
      <c r="R1095" t="str">
        <f>IFERROR(INDEX(装备库!$A$2:$Y$1047,MATCH(ROW()-1,装备库!$AO$2:$AO$1046,0),COLUMN()),"")</f>
        <v/>
      </c>
      <c r="S1095" t="str">
        <f>IFERROR(INDEX(装备库!$A$2:$Y$1047,MATCH(ROW()-1,装备库!$AO$2:$AO$1046,0),COLUMN()),"")</f>
        <v/>
      </c>
      <c r="T1095" t="str">
        <f>IFERROR(INDEX(装备库!$A$2:$Y$1047,MATCH(ROW()-1,装备库!$AO$2:$AO$1046,0),COLUMN()),"")</f>
        <v/>
      </c>
      <c r="U1095" t="str">
        <f>IFERROR(INDEX(装备库!$A$2:$Y$1047,MATCH(ROW()-1,装备库!$AO$2:$AO$1046,0),COLUMN()),"")</f>
        <v/>
      </c>
      <c r="V1095" t="str">
        <f>IFERROR(INDEX(装备库!$A$2:$Y$1047,MATCH(ROW()-1,装备库!$AO$2:$AO$1046,0),COLUMN()),"")</f>
        <v/>
      </c>
      <c r="W1095" t="str">
        <f>IFERROR(INDEX(装备库!$A$2:$Y$1047,MATCH(ROW()-1,装备库!$AO$2:$AO$1046,0),COLUMN()),"")</f>
        <v/>
      </c>
      <c r="X1095" t="str">
        <f>IFERROR(INDEX(装备库!$A$2:$Y$1047,MATCH(ROW()-1,装备库!$AO$2:$AO$1046,0),COLUMN()),"")</f>
        <v/>
      </c>
      <c r="Y1095" t="str">
        <f>IFERROR(INDEX(装备库!$A$2:$Y$1047,MATCH(ROW()-1,装备库!$AO$2:$AO$1046,0),COLUMN()),"")</f>
        <v/>
      </c>
    </row>
    <row r="1096" spans="1:25" x14ac:dyDescent="0.35">
      <c r="A1096" t="str">
        <f>IFERROR(INDEX(装备库!$A$2:$Y$1047,MATCH(ROW()-1,装备库!$AO$2:$AO$1046,0),COLUMN()),"")</f>
        <v/>
      </c>
      <c r="B1096" t="str">
        <f>IFERROR(INDEX(装备库!$A$2:$Y$1047,MATCH(ROW()-1,装备库!$AO$2:$AO$1046,0),COLUMN()),"")</f>
        <v/>
      </c>
      <c r="C1096" t="str">
        <f>IFERROR(INDEX(装备库!$A$2:$Y$1047,MATCH(ROW()-1,装备库!$AO$2:$AO$1046,0),COLUMN()),"")</f>
        <v/>
      </c>
      <c r="D1096" t="str">
        <f>IFERROR(INDEX(装备库!$A$2:$Y$1047,MATCH(ROW()-1,装备库!$AO$2:$AO$1046,0),COLUMN()),"")</f>
        <v/>
      </c>
      <c r="E1096" t="str">
        <f>IFERROR(INDEX(装备库!$A$2:$Y$1047,MATCH(ROW()-1,装备库!$AO$2:$AO$1046,0),COLUMN()),"")</f>
        <v/>
      </c>
      <c r="F1096" t="str">
        <f>IFERROR(INDEX(装备库!$A$2:$Y$1047,MATCH(ROW()-1,装备库!$AO$2:$AO$1046,0),COLUMN()),"")</f>
        <v/>
      </c>
      <c r="G1096" t="str">
        <f>IFERROR(INDEX(装备库!$A$2:$Y$1047,MATCH(ROW()-1,装备库!$AO$2:$AO$1046,0),COLUMN()),"")</f>
        <v/>
      </c>
      <c r="H1096" t="str">
        <f>IFERROR(INDEX(装备库!$A$2:$Y$1047,MATCH(ROW()-1,装备库!$AO$2:$AO$1046,0),COLUMN()),"")</f>
        <v/>
      </c>
      <c r="I1096" t="str">
        <f>IFERROR(INDEX(装备库!$A$2:$Y$1047,MATCH(ROW()-1,装备库!$AO$2:$AO$1046,0),COLUMN()),"")</f>
        <v/>
      </c>
      <c r="J1096" t="str">
        <f>IFERROR(INDEX(装备库!$A$2:$Y$1047,MATCH(ROW()-1,装备库!$AO$2:$AO$1046,0),COLUMN()),"")</f>
        <v/>
      </c>
      <c r="K1096" t="str">
        <f>IFERROR(INDEX(装备库!$A$2:$Y$1047,MATCH(ROW()-1,装备库!$AO$2:$AO$1046,0),COLUMN()),"")</f>
        <v/>
      </c>
      <c r="L1096" t="str">
        <f>IFERROR(INDEX(装备库!$A$2:$Y$1047,MATCH(ROW()-1,装备库!$AO$2:$AO$1046,0),COLUMN()),"")</f>
        <v/>
      </c>
      <c r="M1096" t="str">
        <f>IFERROR(INDEX(装备库!$A$2:$Y$1047,MATCH(ROW()-1,装备库!$AO$2:$AO$1046,0),COLUMN()),"")</f>
        <v/>
      </c>
      <c r="N1096" t="str">
        <f>IFERROR(INDEX(装备库!$A$2:$Y$1047,MATCH(ROW()-1,装备库!$AO$2:$AO$1046,0),COLUMN()),"")</f>
        <v/>
      </c>
      <c r="O1096" t="str">
        <f>IFERROR(INDEX(装备库!$A$2:$Y$1047,MATCH(ROW()-1,装备库!$AO$2:$AO$1046,0),COLUMN()),"")</f>
        <v/>
      </c>
      <c r="P1096" t="str">
        <f>IFERROR(INDEX(装备库!$A$2:$Y$1047,MATCH(ROW()-1,装备库!$AO$2:$AO$1046,0),COLUMN()),"")</f>
        <v/>
      </c>
      <c r="Q1096" t="str">
        <f>IFERROR(INDEX(装备库!$A$2:$Y$1047,MATCH(ROW()-1,装备库!$AO$2:$AO$1046,0),COLUMN()),"")</f>
        <v/>
      </c>
      <c r="R1096" t="str">
        <f>IFERROR(INDEX(装备库!$A$2:$Y$1047,MATCH(ROW()-1,装备库!$AO$2:$AO$1046,0),COLUMN()),"")</f>
        <v/>
      </c>
      <c r="S1096" t="str">
        <f>IFERROR(INDEX(装备库!$A$2:$Y$1047,MATCH(ROW()-1,装备库!$AO$2:$AO$1046,0),COLUMN()),"")</f>
        <v/>
      </c>
      <c r="T1096" t="str">
        <f>IFERROR(INDEX(装备库!$A$2:$Y$1047,MATCH(ROW()-1,装备库!$AO$2:$AO$1046,0),COLUMN()),"")</f>
        <v/>
      </c>
      <c r="U1096" t="str">
        <f>IFERROR(INDEX(装备库!$A$2:$Y$1047,MATCH(ROW()-1,装备库!$AO$2:$AO$1046,0),COLUMN()),"")</f>
        <v/>
      </c>
      <c r="V1096" t="str">
        <f>IFERROR(INDEX(装备库!$A$2:$Y$1047,MATCH(ROW()-1,装备库!$AO$2:$AO$1046,0),COLUMN()),"")</f>
        <v/>
      </c>
      <c r="W1096" t="str">
        <f>IFERROR(INDEX(装备库!$A$2:$Y$1047,MATCH(ROW()-1,装备库!$AO$2:$AO$1046,0),COLUMN()),"")</f>
        <v/>
      </c>
      <c r="X1096" t="str">
        <f>IFERROR(INDEX(装备库!$A$2:$Y$1047,MATCH(ROW()-1,装备库!$AO$2:$AO$1046,0),COLUMN()),"")</f>
        <v/>
      </c>
      <c r="Y1096" t="str">
        <f>IFERROR(INDEX(装备库!$A$2:$Y$1047,MATCH(ROW()-1,装备库!$AO$2:$AO$1046,0),COLUMN()),"")</f>
        <v/>
      </c>
    </row>
    <row r="1097" spans="1:25" x14ac:dyDescent="0.35">
      <c r="A1097" t="str">
        <f>IFERROR(INDEX(装备库!$A$2:$Y$1047,MATCH(ROW()-1,装备库!$AO$2:$AO$1046,0),COLUMN()),"")</f>
        <v/>
      </c>
      <c r="B1097" t="str">
        <f>IFERROR(INDEX(装备库!$A$2:$Y$1047,MATCH(ROW()-1,装备库!$AO$2:$AO$1046,0),COLUMN()),"")</f>
        <v/>
      </c>
      <c r="C1097" t="str">
        <f>IFERROR(INDEX(装备库!$A$2:$Y$1047,MATCH(ROW()-1,装备库!$AO$2:$AO$1046,0),COLUMN()),"")</f>
        <v/>
      </c>
      <c r="D1097" t="str">
        <f>IFERROR(INDEX(装备库!$A$2:$Y$1047,MATCH(ROW()-1,装备库!$AO$2:$AO$1046,0),COLUMN()),"")</f>
        <v/>
      </c>
      <c r="E1097" t="str">
        <f>IFERROR(INDEX(装备库!$A$2:$Y$1047,MATCH(ROW()-1,装备库!$AO$2:$AO$1046,0),COLUMN()),"")</f>
        <v/>
      </c>
      <c r="F1097" t="str">
        <f>IFERROR(INDEX(装备库!$A$2:$Y$1047,MATCH(ROW()-1,装备库!$AO$2:$AO$1046,0),COLUMN()),"")</f>
        <v/>
      </c>
      <c r="G1097" t="str">
        <f>IFERROR(INDEX(装备库!$A$2:$Y$1047,MATCH(ROW()-1,装备库!$AO$2:$AO$1046,0),COLUMN()),"")</f>
        <v/>
      </c>
      <c r="H1097" t="str">
        <f>IFERROR(INDEX(装备库!$A$2:$Y$1047,MATCH(ROW()-1,装备库!$AO$2:$AO$1046,0),COLUMN()),"")</f>
        <v/>
      </c>
      <c r="I1097" t="str">
        <f>IFERROR(INDEX(装备库!$A$2:$Y$1047,MATCH(ROW()-1,装备库!$AO$2:$AO$1046,0),COLUMN()),"")</f>
        <v/>
      </c>
      <c r="J1097" t="str">
        <f>IFERROR(INDEX(装备库!$A$2:$Y$1047,MATCH(ROW()-1,装备库!$AO$2:$AO$1046,0),COLUMN()),"")</f>
        <v/>
      </c>
      <c r="K1097" t="str">
        <f>IFERROR(INDEX(装备库!$A$2:$Y$1047,MATCH(ROW()-1,装备库!$AO$2:$AO$1046,0),COLUMN()),"")</f>
        <v/>
      </c>
      <c r="L1097" t="str">
        <f>IFERROR(INDEX(装备库!$A$2:$Y$1047,MATCH(ROW()-1,装备库!$AO$2:$AO$1046,0),COLUMN()),"")</f>
        <v/>
      </c>
      <c r="M1097" t="str">
        <f>IFERROR(INDEX(装备库!$A$2:$Y$1047,MATCH(ROW()-1,装备库!$AO$2:$AO$1046,0),COLUMN()),"")</f>
        <v/>
      </c>
      <c r="N1097" t="str">
        <f>IFERROR(INDEX(装备库!$A$2:$Y$1047,MATCH(ROW()-1,装备库!$AO$2:$AO$1046,0),COLUMN()),"")</f>
        <v/>
      </c>
      <c r="O1097" t="str">
        <f>IFERROR(INDEX(装备库!$A$2:$Y$1047,MATCH(ROW()-1,装备库!$AO$2:$AO$1046,0),COLUMN()),"")</f>
        <v/>
      </c>
      <c r="P1097" t="str">
        <f>IFERROR(INDEX(装备库!$A$2:$Y$1047,MATCH(ROW()-1,装备库!$AO$2:$AO$1046,0),COLUMN()),"")</f>
        <v/>
      </c>
      <c r="Q1097" t="str">
        <f>IFERROR(INDEX(装备库!$A$2:$Y$1047,MATCH(ROW()-1,装备库!$AO$2:$AO$1046,0),COLUMN()),"")</f>
        <v/>
      </c>
      <c r="R1097" t="str">
        <f>IFERROR(INDEX(装备库!$A$2:$Y$1047,MATCH(ROW()-1,装备库!$AO$2:$AO$1046,0),COLUMN()),"")</f>
        <v/>
      </c>
      <c r="S1097" t="str">
        <f>IFERROR(INDEX(装备库!$A$2:$Y$1047,MATCH(ROW()-1,装备库!$AO$2:$AO$1046,0),COLUMN()),"")</f>
        <v/>
      </c>
      <c r="T1097" t="str">
        <f>IFERROR(INDEX(装备库!$A$2:$Y$1047,MATCH(ROW()-1,装备库!$AO$2:$AO$1046,0),COLUMN()),"")</f>
        <v/>
      </c>
      <c r="U1097" t="str">
        <f>IFERROR(INDEX(装备库!$A$2:$Y$1047,MATCH(ROW()-1,装备库!$AO$2:$AO$1046,0),COLUMN()),"")</f>
        <v/>
      </c>
      <c r="V1097" t="str">
        <f>IFERROR(INDEX(装备库!$A$2:$Y$1047,MATCH(ROW()-1,装备库!$AO$2:$AO$1046,0),COLUMN()),"")</f>
        <v/>
      </c>
      <c r="W1097" t="str">
        <f>IFERROR(INDEX(装备库!$A$2:$Y$1047,MATCH(ROW()-1,装备库!$AO$2:$AO$1046,0),COLUMN()),"")</f>
        <v/>
      </c>
      <c r="X1097" t="str">
        <f>IFERROR(INDEX(装备库!$A$2:$Y$1047,MATCH(ROW()-1,装备库!$AO$2:$AO$1046,0),COLUMN()),"")</f>
        <v/>
      </c>
      <c r="Y1097" t="str">
        <f>IFERROR(INDEX(装备库!$A$2:$Y$1047,MATCH(ROW()-1,装备库!$AO$2:$AO$1046,0),COLUMN()),"")</f>
        <v/>
      </c>
    </row>
    <row r="1098" spans="1:25" x14ac:dyDescent="0.35">
      <c r="A1098" t="str">
        <f>IFERROR(INDEX(装备库!$A$2:$Y$1047,MATCH(ROW()-1,装备库!$AO$2:$AO$1046,0),COLUMN()),"")</f>
        <v/>
      </c>
      <c r="B1098" t="str">
        <f>IFERROR(INDEX(装备库!$A$2:$Y$1047,MATCH(ROW()-1,装备库!$AO$2:$AO$1046,0),COLUMN()),"")</f>
        <v/>
      </c>
      <c r="C1098" t="str">
        <f>IFERROR(INDEX(装备库!$A$2:$Y$1047,MATCH(ROW()-1,装备库!$AO$2:$AO$1046,0),COLUMN()),"")</f>
        <v/>
      </c>
      <c r="D1098" t="str">
        <f>IFERROR(INDEX(装备库!$A$2:$Y$1047,MATCH(ROW()-1,装备库!$AO$2:$AO$1046,0),COLUMN()),"")</f>
        <v/>
      </c>
      <c r="E1098" t="str">
        <f>IFERROR(INDEX(装备库!$A$2:$Y$1047,MATCH(ROW()-1,装备库!$AO$2:$AO$1046,0),COLUMN()),"")</f>
        <v/>
      </c>
      <c r="F1098" t="str">
        <f>IFERROR(INDEX(装备库!$A$2:$Y$1047,MATCH(ROW()-1,装备库!$AO$2:$AO$1046,0),COLUMN()),"")</f>
        <v/>
      </c>
      <c r="G1098" t="str">
        <f>IFERROR(INDEX(装备库!$A$2:$Y$1047,MATCH(ROW()-1,装备库!$AO$2:$AO$1046,0),COLUMN()),"")</f>
        <v/>
      </c>
      <c r="H1098" t="str">
        <f>IFERROR(INDEX(装备库!$A$2:$Y$1047,MATCH(ROW()-1,装备库!$AO$2:$AO$1046,0),COLUMN()),"")</f>
        <v/>
      </c>
      <c r="I1098" t="str">
        <f>IFERROR(INDEX(装备库!$A$2:$Y$1047,MATCH(ROW()-1,装备库!$AO$2:$AO$1046,0),COLUMN()),"")</f>
        <v/>
      </c>
      <c r="J1098" t="str">
        <f>IFERROR(INDEX(装备库!$A$2:$Y$1047,MATCH(ROW()-1,装备库!$AO$2:$AO$1046,0),COLUMN()),"")</f>
        <v/>
      </c>
      <c r="K1098" t="str">
        <f>IFERROR(INDEX(装备库!$A$2:$Y$1047,MATCH(ROW()-1,装备库!$AO$2:$AO$1046,0),COLUMN()),"")</f>
        <v/>
      </c>
      <c r="L1098" t="str">
        <f>IFERROR(INDEX(装备库!$A$2:$Y$1047,MATCH(ROW()-1,装备库!$AO$2:$AO$1046,0),COLUMN()),"")</f>
        <v/>
      </c>
      <c r="M1098" t="str">
        <f>IFERROR(INDEX(装备库!$A$2:$Y$1047,MATCH(ROW()-1,装备库!$AO$2:$AO$1046,0),COLUMN()),"")</f>
        <v/>
      </c>
      <c r="N1098" t="str">
        <f>IFERROR(INDEX(装备库!$A$2:$Y$1047,MATCH(ROW()-1,装备库!$AO$2:$AO$1046,0),COLUMN()),"")</f>
        <v/>
      </c>
      <c r="O1098" t="str">
        <f>IFERROR(INDEX(装备库!$A$2:$Y$1047,MATCH(ROW()-1,装备库!$AO$2:$AO$1046,0),COLUMN()),"")</f>
        <v/>
      </c>
      <c r="P1098" t="str">
        <f>IFERROR(INDEX(装备库!$A$2:$Y$1047,MATCH(ROW()-1,装备库!$AO$2:$AO$1046,0),COLUMN()),"")</f>
        <v/>
      </c>
      <c r="Q1098" t="str">
        <f>IFERROR(INDEX(装备库!$A$2:$Y$1047,MATCH(ROW()-1,装备库!$AO$2:$AO$1046,0),COLUMN()),"")</f>
        <v/>
      </c>
      <c r="R1098" t="str">
        <f>IFERROR(INDEX(装备库!$A$2:$Y$1047,MATCH(ROW()-1,装备库!$AO$2:$AO$1046,0),COLUMN()),"")</f>
        <v/>
      </c>
      <c r="S1098" t="str">
        <f>IFERROR(INDEX(装备库!$A$2:$Y$1047,MATCH(ROW()-1,装备库!$AO$2:$AO$1046,0),COLUMN()),"")</f>
        <v/>
      </c>
      <c r="T1098" t="str">
        <f>IFERROR(INDEX(装备库!$A$2:$Y$1047,MATCH(ROW()-1,装备库!$AO$2:$AO$1046,0),COLUMN()),"")</f>
        <v/>
      </c>
      <c r="U1098" t="str">
        <f>IFERROR(INDEX(装备库!$A$2:$Y$1047,MATCH(ROW()-1,装备库!$AO$2:$AO$1046,0),COLUMN()),"")</f>
        <v/>
      </c>
      <c r="V1098" t="str">
        <f>IFERROR(INDEX(装备库!$A$2:$Y$1047,MATCH(ROW()-1,装备库!$AO$2:$AO$1046,0),COLUMN()),"")</f>
        <v/>
      </c>
      <c r="W1098" t="str">
        <f>IFERROR(INDEX(装备库!$A$2:$Y$1047,MATCH(ROW()-1,装备库!$AO$2:$AO$1046,0),COLUMN()),"")</f>
        <v/>
      </c>
      <c r="X1098" t="str">
        <f>IFERROR(INDEX(装备库!$A$2:$Y$1047,MATCH(ROW()-1,装备库!$AO$2:$AO$1046,0),COLUMN()),"")</f>
        <v/>
      </c>
      <c r="Y1098" t="str">
        <f>IFERROR(INDEX(装备库!$A$2:$Y$1047,MATCH(ROW()-1,装备库!$AO$2:$AO$1046,0),COLUMN()),"")</f>
        <v/>
      </c>
    </row>
    <row r="1099" spans="1:25" x14ac:dyDescent="0.35">
      <c r="A1099" t="str">
        <f>IFERROR(INDEX(装备库!$A$2:$Y$1047,MATCH(ROW()-1,装备库!$AO$2:$AO$1046,0),COLUMN()),"")</f>
        <v/>
      </c>
      <c r="B1099" t="str">
        <f>IFERROR(INDEX(装备库!$A$2:$Y$1047,MATCH(ROW()-1,装备库!$AO$2:$AO$1046,0),COLUMN()),"")</f>
        <v/>
      </c>
      <c r="C1099" t="str">
        <f>IFERROR(INDEX(装备库!$A$2:$Y$1047,MATCH(ROW()-1,装备库!$AO$2:$AO$1046,0),COLUMN()),"")</f>
        <v/>
      </c>
      <c r="D1099" t="str">
        <f>IFERROR(INDEX(装备库!$A$2:$Y$1047,MATCH(ROW()-1,装备库!$AO$2:$AO$1046,0),COLUMN()),"")</f>
        <v/>
      </c>
      <c r="E1099" t="str">
        <f>IFERROR(INDEX(装备库!$A$2:$Y$1047,MATCH(ROW()-1,装备库!$AO$2:$AO$1046,0),COLUMN()),"")</f>
        <v/>
      </c>
      <c r="F1099" t="str">
        <f>IFERROR(INDEX(装备库!$A$2:$Y$1047,MATCH(ROW()-1,装备库!$AO$2:$AO$1046,0),COLUMN()),"")</f>
        <v/>
      </c>
      <c r="G1099" t="str">
        <f>IFERROR(INDEX(装备库!$A$2:$Y$1047,MATCH(ROW()-1,装备库!$AO$2:$AO$1046,0),COLUMN()),"")</f>
        <v/>
      </c>
      <c r="H1099" t="str">
        <f>IFERROR(INDEX(装备库!$A$2:$Y$1047,MATCH(ROW()-1,装备库!$AO$2:$AO$1046,0),COLUMN()),"")</f>
        <v/>
      </c>
      <c r="I1099" t="str">
        <f>IFERROR(INDEX(装备库!$A$2:$Y$1047,MATCH(ROW()-1,装备库!$AO$2:$AO$1046,0),COLUMN()),"")</f>
        <v/>
      </c>
      <c r="J1099" t="str">
        <f>IFERROR(INDEX(装备库!$A$2:$Y$1047,MATCH(ROW()-1,装备库!$AO$2:$AO$1046,0),COLUMN()),"")</f>
        <v/>
      </c>
      <c r="K1099" t="str">
        <f>IFERROR(INDEX(装备库!$A$2:$Y$1047,MATCH(ROW()-1,装备库!$AO$2:$AO$1046,0),COLUMN()),"")</f>
        <v/>
      </c>
      <c r="L1099" t="str">
        <f>IFERROR(INDEX(装备库!$A$2:$Y$1047,MATCH(ROW()-1,装备库!$AO$2:$AO$1046,0),COLUMN()),"")</f>
        <v/>
      </c>
      <c r="M1099" t="str">
        <f>IFERROR(INDEX(装备库!$A$2:$Y$1047,MATCH(ROW()-1,装备库!$AO$2:$AO$1046,0),COLUMN()),"")</f>
        <v/>
      </c>
      <c r="N1099" t="str">
        <f>IFERROR(INDEX(装备库!$A$2:$Y$1047,MATCH(ROW()-1,装备库!$AO$2:$AO$1046,0),COLUMN()),"")</f>
        <v/>
      </c>
      <c r="O1099" t="str">
        <f>IFERROR(INDEX(装备库!$A$2:$Y$1047,MATCH(ROW()-1,装备库!$AO$2:$AO$1046,0),COLUMN()),"")</f>
        <v/>
      </c>
      <c r="P1099" t="str">
        <f>IFERROR(INDEX(装备库!$A$2:$Y$1047,MATCH(ROW()-1,装备库!$AO$2:$AO$1046,0),COLUMN()),"")</f>
        <v/>
      </c>
      <c r="Q1099" t="str">
        <f>IFERROR(INDEX(装备库!$A$2:$Y$1047,MATCH(ROW()-1,装备库!$AO$2:$AO$1046,0),COLUMN()),"")</f>
        <v/>
      </c>
      <c r="R1099" t="str">
        <f>IFERROR(INDEX(装备库!$A$2:$Y$1047,MATCH(ROW()-1,装备库!$AO$2:$AO$1046,0),COLUMN()),"")</f>
        <v/>
      </c>
      <c r="S1099" t="str">
        <f>IFERROR(INDEX(装备库!$A$2:$Y$1047,MATCH(ROW()-1,装备库!$AO$2:$AO$1046,0),COLUMN()),"")</f>
        <v/>
      </c>
      <c r="T1099" t="str">
        <f>IFERROR(INDEX(装备库!$A$2:$Y$1047,MATCH(ROW()-1,装备库!$AO$2:$AO$1046,0),COLUMN()),"")</f>
        <v/>
      </c>
      <c r="U1099" t="str">
        <f>IFERROR(INDEX(装备库!$A$2:$Y$1047,MATCH(ROW()-1,装备库!$AO$2:$AO$1046,0),COLUMN()),"")</f>
        <v/>
      </c>
      <c r="V1099" t="str">
        <f>IFERROR(INDEX(装备库!$A$2:$Y$1047,MATCH(ROW()-1,装备库!$AO$2:$AO$1046,0),COLUMN()),"")</f>
        <v/>
      </c>
      <c r="W1099" t="str">
        <f>IFERROR(INDEX(装备库!$A$2:$Y$1047,MATCH(ROW()-1,装备库!$AO$2:$AO$1046,0),COLUMN()),"")</f>
        <v/>
      </c>
      <c r="X1099" t="str">
        <f>IFERROR(INDEX(装备库!$A$2:$Y$1047,MATCH(ROW()-1,装备库!$AO$2:$AO$1046,0),COLUMN()),"")</f>
        <v/>
      </c>
      <c r="Y1099" t="str">
        <f>IFERROR(INDEX(装备库!$A$2:$Y$1047,MATCH(ROW()-1,装备库!$AO$2:$AO$1046,0),COLUMN()),"")</f>
        <v/>
      </c>
    </row>
    <row r="1100" spans="1:25" x14ac:dyDescent="0.35">
      <c r="A1100" t="str">
        <f>IFERROR(INDEX(装备库!$A$2:$Y$1047,MATCH(ROW()-1,装备库!$AO$2:$AO$1046,0),COLUMN()),"")</f>
        <v/>
      </c>
      <c r="B1100" t="str">
        <f>IFERROR(INDEX(装备库!$A$2:$Y$1047,MATCH(ROW()-1,装备库!$AO$2:$AO$1046,0),COLUMN()),"")</f>
        <v/>
      </c>
      <c r="C1100" t="str">
        <f>IFERROR(INDEX(装备库!$A$2:$Y$1047,MATCH(ROW()-1,装备库!$AO$2:$AO$1046,0),COLUMN()),"")</f>
        <v/>
      </c>
      <c r="D1100" t="str">
        <f>IFERROR(INDEX(装备库!$A$2:$Y$1047,MATCH(ROW()-1,装备库!$AO$2:$AO$1046,0),COLUMN()),"")</f>
        <v/>
      </c>
      <c r="E1100" t="str">
        <f>IFERROR(INDEX(装备库!$A$2:$Y$1047,MATCH(ROW()-1,装备库!$AO$2:$AO$1046,0),COLUMN()),"")</f>
        <v/>
      </c>
      <c r="F1100" t="str">
        <f>IFERROR(INDEX(装备库!$A$2:$Y$1047,MATCH(ROW()-1,装备库!$AO$2:$AO$1046,0),COLUMN()),"")</f>
        <v/>
      </c>
      <c r="G1100" t="str">
        <f>IFERROR(INDEX(装备库!$A$2:$Y$1047,MATCH(ROW()-1,装备库!$AO$2:$AO$1046,0),COLUMN()),"")</f>
        <v/>
      </c>
      <c r="H1100" t="str">
        <f>IFERROR(INDEX(装备库!$A$2:$Y$1047,MATCH(ROW()-1,装备库!$AO$2:$AO$1046,0),COLUMN()),"")</f>
        <v/>
      </c>
      <c r="I1100" t="str">
        <f>IFERROR(INDEX(装备库!$A$2:$Y$1047,MATCH(ROW()-1,装备库!$AO$2:$AO$1046,0),COLUMN()),"")</f>
        <v/>
      </c>
      <c r="J1100" t="str">
        <f>IFERROR(INDEX(装备库!$A$2:$Y$1047,MATCH(ROW()-1,装备库!$AO$2:$AO$1046,0),COLUMN()),"")</f>
        <v/>
      </c>
      <c r="K1100" t="str">
        <f>IFERROR(INDEX(装备库!$A$2:$Y$1047,MATCH(ROW()-1,装备库!$AO$2:$AO$1046,0),COLUMN()),"")</f>
        <v/>
      </c>
      <c r="L1100" t="str">
        <f>IFERROR(INDEX(装备库!$A$2:$Y$1047,MATCH(ROW()-1,装备库!$AO$2:$AO$1046,0),COLUMN()),"")</f>
        <v/>
      </c>
      <c r="M1100" t="str">
        <f>IFERROR(INDEX(装备库!$A$2:$Y$1047,MATCH(ROW()-1,装备库!$AO$2:$AO$1046,0),COLUMN()),"")</f>
        <v/>
      </c>
      <c r="N1100" t="str">
        <f>IFERROR(INDEX(装备库!$A$2:$Y$1047,MATCH(ROW()-1,装备库!$AO$2:$AO$1046,0),COLUMN()),"")</f>
        <v/>
      </c>
      <c r="O1100" t="str">
        <f>IFERROR(INDEX(装备库!$A$2:$Y$1047,MATCH(ROW()-1,装备库!$AO$2:$AO$1046,0),COLUMN()),"")</f>
        <v/>
      </c>
      <c r="P1100" t="str">
        <f>IFERROR(INDEX(装备库!$A$2:$Y$1047,MATCH(ROW()-1,装备库!$AO$2:$AO$1046,0),COLUMN()),"")</f>
        <v/>
      </c>
      <c r="Q1100" t="str">
        <f>IFERROR(INDEX(装备库!$A$2:$Y$1047,MATCH(ROW()-1,装备库!$AO$2:$AO$1046,0),COLUMN()),"")</f>
        <v/>
      </c>
      <c r="R1100" t="str">
        <f>IFERROR(INDEX(装备库!$A$2:$Y$1047,MATCH(ROW()-1,装备库!$AO$2:$AO$1046,0),COLUMN()),"")</f>
        <v/>
      </c>
      <c r="S1100" t="str">
        <f>IFERROR(INDEX(装备库!$A$2:$Y$1047,MATCH(ROW()-1,装备库!$AO$2:$AO$1046,0),COLUMN()),"")</f>
        <v/>
      </c>
      <c r="T1100" t="str">
        <f>IFERROR(INDEX(装备库!$A$2:$Y$1047,MATCH(ROW()-1,装备库!$AO$2:$AO$1046,0),COLUMN()),"")</f>
        <v/>
      </c>
      <c r="U1100" t="str">
        <f>IFERROR(INDEX(装备库!$A$2:$Y$1047,MATCH(ROW()-1,装备库!$AO$2:$AO$1046,0),COLUMN()),"")</f>
        <v/>
      </c>
      <c r="V1100" t="str">
        <f>IFERROR(INDEX(装备库!$A$2:$Y$1047,MATCH(ROW()-1,装备库!$AO$2:$AO$1046,0),COLUMN()),"")</f>
        <v/>
      </c>
      <c r="W1100" t="str">
        <f>IFERROR(INDEX(装备库!$A$2:$Y$1047,MATCH(ROW()-1,装备库!$AO$2:$AO$1046,0),COLUMN()),"")</f>
        <v/>
      </c>
      <c r="X1100" t="str">
        <f>IFERROR(INDEX(装备库!$A$2:$Y$1047,MATCH(ROW()-1,装备库!$AO$2:$AO$1046,0),COLUMN()),"")</f>
        <v/>
      </c>
      <c r="Y1100" t="str">
        <f>IFERROR(INDEX(装备库!$A$2:$Y$1047,MATCH(ROW()-1,装备库!$AO$2:$AO$1046,0),COLUMN()),"")</f>
        <v/>
      </c>
    </row>
    <row r="1101" spans="1:25" x14ac:dyDescent="0.35">
      <c r="A1101" t="str">
        <f>IFERROR(INDEX(装备库!$A$2:$Y$1047,MATCH(ROW()-1,装备库!$AO$2:$AO$1046,0),COLUMN()),"")</f>
        <v/>
      </c>
      <c r="B1101" t="str">
        <f>IFERROR(INDEX(装备库!$A$2:$Y$1047,MATCH(ROW()-1,装备库!$AO$2:$AO$1046,0),COLUMN()),"")</f>
        <v/>
      </c>
      <c r="C1101" t="str">
        <f>IFERROR(INDEX(装备库!$A$2:$Y$1047,MATCH(ROW()-1,装备库!$AO$2:$AO$1046,0),COLUMN()),"")</f>
        <v/>
      </c>
      <c r="D1101" t="str">
        <f>IFERROR(INDEX(装备库!$A$2:$Y$1047,MATCH(ROW()-1,装备库!$AO$2:$AO$1046,0),COLUMN()),"")</f>
        <v/>
      </c>
      <c r="E1101" t="str">
        <f>IFERROR(INDEX(装备库!$A$2:$Y$1047,MATCH(ROW()-1,装备库!$AO$2:$AO$1046,0),COLUMN()),"")</f>
        <v/>
      </c>
      <c r="F1101" t="str">
        <f>IFERROR(INDEX(装备库!$A$2:$Y$1047,MATCH(ROW()-1,装备库!$AO$2:$AO$1046,0),COLUMN()),"")</f>
        <v/>
      </c>
      <c r="G1101" t="str">
        <f>IFERROR(INDEX(装备库!$A$2:$Y$1047,MATCH(ROW()-1,装备库!$AO$2:$AO$1046,0),COLUMN()),"")</f>
        <v/>
      </c>
      <c r="H1101" t="str">
        <f>IFERROR(INDEX(装备库!$A$2:$Y$1047,MATCH(ROW()-1,装备库!$AO$2:$AO$1046,0),COLUMN()),"")</f>
        <v/>
      </c>
      <c r="I1101" t="str">
        <f>IFERROR(INDEX(装备库!$A$2:$Y$1047,MATCH(ROW()-1,装备库!$AO$2:$AO$1046,0),COLUMN()),"")</f>
        <v/>
      </c>
      <c r="J1101" t="str">
        <f>IFERROR(INDEX(装备库!$A$2:$Y$1047,MATCH(ROW()-1,装备库!$AO$2:$AO$1046,0),COLUMN()),"")</f>
        <v/>
      </c>
      <c r="K1101" t="str">
        <f>IFERROR(INDEX(装备库!$A$2:$Y$1047,MATCH(ROW()-1,装备库!$AO$2:$AO$1046,0),COLUMN()),"")</f>
        <v/>
      </c>
      <c r="L1101" t="str">
        <f>IFERROR(INDEX(装备库!$A$2:$Y$1047,MATCH(ROW()-1,装备库!$AO$2:$AO$1046,0),COLUMN()),"")</f>
        <v/>
      </c>
      <c r="M1101" t="str">
        <f>IFERROR(INDEX(装备库!$A$2:$Y$1047,MATCH(ROW()-1,装备库!$AO$2:$AO$1046,0),COLUMN()),"")</f>
        <v/>
      </c>
      <c r="N1101" t="str">
        <f>IFERROR(INDEX(装备库!$A$2:$Y$1047,MATCH(ROW()-1,装备库!$AO$2:$AO$1046,0),COLUMN()),"")</f>
        <v/>
      </c>
      <c r="O1101" t="str">
        <f>IFERROR(INDEX(装备库!$A$2:$Y$1047,MATCH(ROW()-1,装备库!$AO$2:$AO$1046,0),COLUMN()),"")</f>
        <v/>
      </c>
      <c r="P1101" t="str">
        <f>IFERROR(INDEX(装备库!$A$2:$Y$1047,MATCH(ROW()-1,装备库!$AO$2:$AO$1046,0),COLUMN()),"")</f>
        <v/>
      </c>
      <c r="Q1101" t="str">
        <f>IFERROR(INDEX(装备库!$A$2:$Y$1047,MATCH(ROW()-1,装备库!$AO$2:$AO$1046,0),COLUMN()),"")</f>
        <v/>
      </c>
      <c r="R1101" t="str">
        <f>IFERROR(INDEX(装备库!$A$2:$Y$1047,MATCH(ROW()-1,装备库!$AO$2:$AO$1046,0),COLUMN()),"")</f>
        <v/>
      </c>
      <c r="S1101" t="str">
        <f>IFERROR(INDEX(装备库!$A$2:$Y$1047,MATCH(ROW()-1,装备库!$AO$2:$AO$1046,0),COLUMN()),"")</f>
        <v/>
      </c>
      <c r="T1101" t="str">
        <f>IFERROR(INDEX(装备库!$A$2:$Y$1047,MATCH(ROW()-1,装备库!$AO$2:$AO$1046,0),COLUMN()),"")</f>
        <v/>
      </c>
      <c r="U1101" t="str">
        <f>IFERROR(INDEX(装备库!$A$2:$Y$1047,MATCH(ROW()-1,装备库!$AO$2:$AO$1046,0),COLUMN()),"")</f>
        <v/>
      </c>
      <c r="V1101" t="str">
        <f>IFERROR(INDEX(装备库!$A$2:$Y$1047,MATCH(ROW()-1,装备库!$AO$2:$AO$1046,0),COLUMN()),"")</f>
        <v/>
      </c>
      <c r="W1101" t="str">
        <f>IFERROR(INDEX(装备库!$A$2:$Y$1047,MATCH(ROW()-1,装备库!$AO$2:$AO$1046,0),COLUMN()),"")</f>
        <v/>
      </c>
      <c r="X1101" t="str">
        <f>IFERROR(INDEX(装备库!$A$2:$Y$1047,MATCH(ROW()-1,装备库!$AO$2:$AO$1046,0),COLUMN()),"")</f>
        <v/>
      </c>
      <c r="Y1101" t="str">
        <f>IFERROR(INDEX(装备库!$A$2:$Y$1047,MATCH(ROW()-1,装备库!$AO$2:$AO$1046,0),COLUMN()),"")</f>
        <v/>
      </c>
    </row>
    <row r="1102" spans="1:25" x14ac:dyDescent="0.35">
      <c r="A1102" t="str">
        <f>IFERROR(INDEX(装备库!$A$2:$Y$1047,MATCH(ROW()-1,装备库!$AO$2:$AO$1046,0),COLUMN()),"")</f>
        <v/>
      </c>
      <c r="B1102" t="str">
        <f>IFERROR(INDEX(装备库!$A$2:$Y$1047,MATCH(ROW()-1,装备库!$AO$2:$AO$1046,0),COLUMN()),"")</f>
        <v/>
      </c>
      <c r="C1102" t="str">
        <f>IFERROR(INDEX(装备库!$A$2:$Y$1047,MATCH(ROW()-1,装备库!$AO$2:$AO$1046,0),COLUMN()),"")</f>
        <v/>
      </c>
      <c r="D1102" t="str">
        <f>IFERROR(INDEX(装备库!$A$2:$Y$1047,MATCH(ROW()-1,装备库!$AO$2:$AO$1046,0),COLUMN()),"")</f>
        <v/>
      </c>
      <c r="E1102" t="str">
        <f>IFERROR(INDEX(装备库!$A$2:$Y$1047,MATCH(ROW()-1,装备库!$AO$2:$AO$1046,0),COLUMN()),"")</f>
        <v/>
      </c>
      <c r="F1102" t="str">
        <f>IFERROR(INDEX(装备库!$A$2:$Y$1047,MATCH(ROW()-1,装备库!$AO$2:$AO$1046,0),COLUMN()),"")</f>
        <v/>
      </c>
      <c r="G1102" t="str">
        <f>IFERROR(INDEX(装备库!$A$2:$Y$1047,MATCH(ROW()-1,装备库!$AO$2:$AO$1046,0),COLUMN()),"")</f>
        <v/>
      </c>
      <c r="H1102" t="str">
        <f>IFERROR(INDEX(装备库!$A$2:$Y$1047,MATCH(ROW()-1,装备库!$AO$2:$AO$1046,0),COLUMN()),"")</f>
        <v/>
      </c>
      <c r="I1102" t="str">
        <f>IFERROR(INDEX(装备库!$A$2:$Y$1047,MATCH(ROW()-1,装备库!$AO$2:$AO$1046,0),COLUMN()),"")</f>
        <v/>
      </c>
      <c r="J1102" t="str">
        <f>IFERROR(INDEX(装备库!$A$2:$Y$1047,MATCH(ROW()-1,装备库!$AO$2:$AO$1046,0),COLUMN()),"")</f>
        <v/>
      </c>
      <c r="K1102" t="str">
        <f>IFERROR(INDEX(装备库!$A$2:$Y$1047,MATCH(ROW()-1,装备库!$AO$2:$AO$1046,0),COLUMN()),"")</f>
        <v/>
      </c>
      <c r="L1102" t="str">
        <f>IFERROR(INDEX(装备库!$A$2:$Y$1047,MATCH(ROW()-1,装备库!$AO$2:$AO$1046,0),COLUMN()),"")</f>
        <v/>
      </c>
      <c r="M1102" t="str">
        <f>IFERROR(INDEX(装备库!$A$2:$Y$1047,MATCH(ROW()-1,装备库!$AO$2:$AO$1046,0),COLUMN()),"")</f>
        <v/>
      </c>
      <c r="N1102" t="str">
        <f>IFERROR(INDEX(装备库!$A$2:$Y$1047,MATCH(ROW()-1,装备库!$AO$2:$AO$1046,0),COLUMN()),"")</f>
        <v/>
      </c>
      <c r="O1102" t="str">
        <f>IFERROR(INDEX(装备库!$A$2:$Y$1047,MATCH(ROW()-1,装备库!$AO$2:$AO$1046,0),COLUMN()),"")</f>
        <v/>
      </c>
      <c r="P1102" t="str">
        <f>IFERROR(INDEX(装备库!$A$2:$Y$1047,MATCH(ROW()-1,装备库!$AO$2:$AO$1046,0),COLUMN()),"")</f>
        <v/>
      </c>
      <c r="Q1102" t="str">
        <f>IFERROR(INDEX(装备库!$A$2:$Y$1047,MATCH(ROW()-1,装备库!$AO$2:$AO$1046,0),COLUMN()),"")</f>
        <v/>
      </c>
      <c r="R1102" t="str">
        <f>IFERROR(INDEX(装备库!$A$2:$Y$1047,MATCH(ROW()-1,装备库!$AO$2:$AO$1046,0),COLUMN()),"")</f>
        <v/>
      </c>
      <c r="S1102" t="str">
        <f>IFERROR(INDEX(装备库!$A$2:$Y$1047,MATCH(ROW()-1,装备库!$AO$2:$AO$1046,0),COLUMN()),"")</f>
        <v/>
      </c>
      <c r="T1102" t="str">
        <f>IFERROR(INDEX(装备库!$A$2:$Y$1047,MATCH(ROW()-1,装备库!$AO$2:$AO$1046,0),COLUMN()),"")</f>
        <v/>
      </c>
      <c r="U1102" t="str">
        <f>IFERROR(INDEX(装备库!$A$2:$Y$1047,MATCH(ROW()-1,装备库!$AO$2:$AO$1046,0),COLUMN()),"")</f>
        <v/>
      </c>
      <c r="V1102" t="str">
        <f>IFERROR(INDEX(装备库!$A$2:$Y$1047,MATCH(ROW()-1,装备库!$AO$2:$AO$1046,0),COLUMN()),"")</f>
        <v/>
      </c>
      <c r="W1102" t="str">
        <f>IFERROR(INDEX(装备库!$A$2:$Y$1047,MATCH(ROW()-1,装备库!$AO$2:$AO$1046,0),COLUMN()),"")</f>
        <v/>
      </c>
      <c r="X1102" t="str">
        <f>IFERROR(INDEX(装备库!$A$2:$Y$1047,MATCH(ROW()-1,装备库!$AO$2:$AO$1046,0),COLUMN()),"")</f>
        <v/>
      </c>
      <c r="Y1102" t="str">
        <f>IFERROR(INDEX(装备库!$A$2:$Y$1047,MATCH(ROW()-1,装备库!$AO$2:$AO$1046,0),COLUMN()),"")</f>
        <v/>
      </c>
    </row>
    <row r="1103" spans="1:25" x14ac:dyDescent="0.35">
      <c r="A1103" t="str">
        <f>IFERROR(INDEX(装备库!$A$2:$Y$1047,MATCH(ROW()-1,装备库!$AO$2:$AO$1046,0),COLUMN()),"")</f>
        <v/>
      </c>
      <c r="B1103" t="str">
        <f>IFERROR(INDEX(装备库!$A$2:$Y$1047,MATCH(ROW()-1,装备库!$AO$2:$AO$1046,0),COLUMN()),"")</f>
        <v/>
      </c>
      <c r="C1103" t="str">
        <f>IFERROR(INDEX(装备库!$A$2:$Y$1047,MATCH(ROW()-1,装备库!$AO$2:$AO$1046,0),COLUMN()),"")</f>
        <v/>
      </c>
      <c r="D1103" t="str">
        <f>IFERROR(INDEX(装备库!$A$2:$Y$1047,MATCH(ROW()-1,装备库!$AO$2:$AO$1046,0),COLUMN()),"")</f>
        <v/>
      </c>
      <c r="E1103" t="str">
        <f>IFERROR(INDEX(装备库!$A$2:$Y$1047,MATCH(ROW()-1,装备库!$AO$2:$AO$1046,0),COLUMN()),"")</f>
        <v/>
      </c>
      <c r="F1103" t="str">
        <f>IFERROR(INDEX(装备库!$A$2:$Y$1047,MATCH(ROW()-1,装备库!$AO$2:$AO$1046,0),COLUMN()),"")</f>
        <v/>
      </c>
      <c r="G1103" t="str">
        <f>IFERROR(INDEX(装备库!$A$2:$Y$1047,MATCH(ROW()-1,装备库!$AO$2:$AO$1046,0),COLUMN()),"")</f>
        <v/>
      </c>
      <c r="H1103" t="str">
        <f>IFERROR(INDEX(装备库!$A$2:$Y$1047,MATCH(ROW()-1,装备库!$AO$2:$AO$1046,0),COLUMN()),"")</f>
        <v/>
      </c>
      <c r="I1103" t="str">
        <f>IFERROR(INDEX(装备库!$A$2:$Y$1047,MATCH(ROW()-1,装备库!$AO$2:$AO$1046,0),COLUMN()),"")</f>
        <v/>
      </c>
      <c r="J1103" t="str">
        <f>IFERROR(INDEX(装备库!$A$2:$Y$1047,MATCH(ROW()-1,装备库!$AO$2:$AO$1046,0),COLUMN()),"")</f>
        <v/>
      </c>
      <c r="K1103" t="str">
        <f>IFERROR(INDEX(装备库!$A$2:$Y$1047,MATCH(ROW()-1,装备库!$AO$2:$AO$1046,0),COLUMN()),"")</f>
        <v/>
      </c>
      <c r="L1103" t="str">
        <f>IFERROR(INDEX(装备库!$A$2:$Y$1047,MATCH(ROW()-1,装备库!$AO$2:$AO$1046,0),COLUMN()),"")</f>
        <v/>
      </c>
      <c r="M1103" t="str">
        <f>IFERROR(INDEX(装备库!$A$2:$Y$1047,MATCH(ROW()-1,装备库!$AO$2:$AO$1046,0),COLUMN()),"")</f>
        <v/>
      </c>
      <c r="N1103" t="str">
        <f>IFERROR(INDEX(装备库!$A$2:$Y$1047,MATCH(ROW()-1,装备库!$AO$2:$AO$1046,0),COLUMN()),"")</f>
        <v/>
      </c>
      <c r="O1103" t="str">
        <f>IFERROR(INDEX(装备库!$A$2:$Y$1047,MATCH(ROW()-1,装备库!$AO$2:$AO$1046,0),COLUMN()),"")</f>
        <v/>
      </c>
      <c r="P1103" t="str">
        <f>IFERROR(INDEX(装备库!$A$2:$Y$1047,MATCH(ROW()-1,装备库!$AO$2:$AO$1046,0),COLUMN()),"")</f>
        <v/>
      </c>
      <c r="Q1103" t="str">
        <f>IFERROR(INDEX(装备库!$A$2:$Y$1047,MATCH(ROW()-1,装备库!$AO$2:$AO$1046,0),COLUMN()),"")</f>
        <v/>
      </c>
      <c r="R1103" t="str">
        <f>IFERROR(INDEX(装备库!$A$2:$Y$1047,MATCH(ROW()-1,装备库!$AO$2:$AO$1046,0),COLUMN()),"")</f>
        <v/>
      </c>
      <c r="S1103" t="str">
        <f>IFERROR(INDEX(装备库!$A$2:$Y$1047,MATCH(ROW()-1,装备库!$AO$2:$AO$1046,0),COLUMN()),"")</f>
        <v/>
      </c>
      <c r="T1103" t="str">
        <f>IFERROR(INDEX(装备库!$A$2:$Y$1047,MATCH(ROW()-1,装备库!$AO$2:$AO$1046,0),COLUMN()),"")</f>
        <v/>
      </c>
      <c r="U1103" t="str">
        <f>IFERROR(INDEX(装备库!$A$2:$Y$1047,MATCH(ROW()-1,装备库!$AO$2:$AO$1046,0),COLUMN()),"")</f>
        <v/>
      </c>
      <c r="V1103" t="str">
        <f>IFERROR(INDEX(装备库!$A$2:$Y$1047,MATCH(ROW()-1,装备库!$AO$2:$AO$1046,0),COLUMN()),"")</f>
        <v/>
      </c>
      <c r="W1103" t="str">
        <f>IFERROR(INDEX(装备库!$A$2:$Y$1047,MATCH(ROW()-1,装备库!$AO$2:$AO$1046,0),COLUMN()),"")</f>
        <v/>
      </c>
      <c r="X1103" t="str">
        <f>IFERROR(INDEX(装备库!$A$2:$Y$1047,MATCH(ROW()-1,装备库!$AO$2:$AO$1046,0),COLUMN()),"")</f>
        <v/>
      </c>
      <c r="Y1103" t="str">
        <f>IFERROR(INDEX(装备库!$A$2:$Y$1047,MATCH(ROW()-1,装备库!$AO$2:$AO$1046,0),COLUMN()),"")</f>
        <v/>
      </c>
    </row>
    <row r="1104" spans="1:25" x14ac:dyDescent="0.35">
      <c r="A1104" t="str">
        <f>IFERROR(INDEX(装备库!$A$2:$Y$1047,MATCH(ROW()-1,装备库!$AO$2:$AO$1046,0),COLUMN()),"")</f>
        <v/>
      </c>
      <c r="B1104" t="str">
        <f>IFERROR(INDEX(装备库!$A$2:$Y$1047,MATCH(ROW()-1,装备库!$AO$2:$AO$1046,0),COLUMN()),"")</f>
        <v/>
      </c>
      <c r="C1104" t="str">
        <f>IFERROR(INDEX(装备库!$A$2:$Y$1047,MATCH(ROW()-1,装备库!$AO$2:$AO$1046,0),COLUMN()),"")</f>
        <v/>
      </c>
      <c r="D1104" t="str">
        <f>IFERROR(INDEX(装备库!$A$2:$Y$1047,MATCH(ROW()-1,装备库!$AO$2:$AO$1046,0),COLUMN()),"")</f>
        <v/>
      </c>
      <c r="E1104" t="str">
        <f>IFERROR(INDEX(装备库!$A$2:$Y$1047,MATCH(ROW()-1,装备库!$AO$2:$AO$1046,0),COLUMN()),"")</f>
        <v/>
      </c>
      <c r="F1104" t="str">
        <f>IFERROR(INDEX(装备库!$A$2:$Y$1047,MATCH(ROW()-1,装备库!$AO$2:$AO$1046,0),COLUMN()),"")</f>
        <v/>
      </c>
      <c r="G1104" t="str">
        <f>IFERROR(INDEX(装备库!$A$2:$Y$1047,MATCH(ROW()-1,装备库!$AO$2:$AO$1046,0),COLUMN()),"")</f>
        <v/>
      </c>
      <c r="H1104" t="str">
        <f>IFERROR(INDEX(装备库!$A$2:$Y$1047,MATCH(ROW()-1,装备库!$AO$2:$AO$1046,0),COLUMN()),"")</f>
        <v/>
      </c>
      <c r="I1104" t="str">
        <f>IFERROR(INDEX(装备库!$A$2:$Y$1047,MATCH(ROW()-1,装备库!$AO$2:$AO$1046,0),COLUMN()),"")</f>
        <v/>
      </c>
      <c r="J1104" t="str">
        <f>IFERROR(INDEX(装备库!$A$2:$Y$1047,MATCH(ROW()-1,装备库!$AO$2:$AO$1046,0),COLUMN()),"")</f>
        <v/>
      </c>
      <c r="K1104" t="str">
        <f>IFERROR(INDEX(装备库!$A$2:$Y$1047,MATCH(ROW()-1,装备库!$AO$2:$AO$1046,0),COLUMN()),"")</f>
        <v/>
      </c>
      <c r="L1104" t="str">
        <f>IFERROR(INDEX(装备库!$A$2:$Y$1047,MATCH(ROW()-1,装备库!$AO$2:$AO$1046,0),COLUMN()),"")</f>
        <v/>
      </c>
      <c r="M1104" t="str">
        <f>IFERROR(INDEX(装备库!$A$2:$Y$1047,MATCH(ROW()-1,装备库!$AO$2:$AO$1046,0),COLUMN()),"")</f>
        <v/>
      </c>
      <c r="N1104" t="str">
        <f>IFERROR(INDEX(装备库!$A$2:$Y$1047,MATCH(ROW()-1,装备库!$AO$2:$AO$1046,0),COLUMN()),"")</f>
        <v/>
      </c>
      <c r="O1104" t="str">
        <f>IFERROR(INDEX(装备库!$A$2:$Y$1047,MATCH(ROW()-1,装备库!$AO$2:$AO$1046,0),COLUMN()),"")</f>
        <v/>
      </c>
      <c r="P1104" t="str">
        <f>IFERROR(INDEX(装备库!$A$2:$Y$1047,MATCH(ROW()-1,装备库!$AO$2:$AO$1046,0),COLUMN()),"")</f>
        <v/>
      </c>
      <c r="Q1104" t="str">
        <f>IFERROR(INDEX(装备库!$A$2:$Y$1047,MATCH(ROW()-1,装备库!$AO$2:$AO$1046,0),COLUMN()),"")</f>
        <v/>
      </c>
      <c r="R1104" t="str">
        <f>IFERROR(INDEX(装备库!$A$2:$Y$1047,MATCH(ROW()-1,装备库!$AO$2:$AO$1046,0),COLUMN()),"")</f>
        <v/>
      </c>
      <c r="S1104" t="str">
        <f>IFERROR(INDEX(装备库!$A$2:$Y$1047,MATCH(ROW()-1,装备库!$AO$2:$AO$1046,0),COLUMN()),"")</f>
        <v/>
      </c>
      <c r="T1104" t="str">
        <f>IFERROR(INDEX(装备库!$A$2:$Y$1047,MATCH(ROW()-1,装备库!$AO$2:$AO$1046,0),COLUMN()),"")</f>
        <v/>
      </c>
      <c r="U1104" t="str">
        <f>IFERROR(INDEX(装备库!$A$2:$Y$1047,MATCH(ROW()-1,装备库!$AO$2:$AO$1046,0),COLUMN()),"")</f>
        <v/>
      </c>
      <c r="V1104" t="str">
        <f>IFERROR(INDEX(装备库!$A$2:$Y$1047,MATCH(ROW()-1,装备库!$AO$2:$AO$1046,0),COLUMN()),"")</f>
        <v/>
      </c>
      <c r="W1104" t="str">
        <f>IFERROR(INDEX(装备库!$A$2:$Y$1047,MATCH(ROW()-1,装备库!$AO$2:$AO$1046,0),COLUMN()),"")</f>
        <v/>
      </c>
      <c r="X1104" t="str">
        <f>IFERROR(INDEX(装备库!$A$2:$Y$1047,MATCH(ROW()-1,装备库!$AO$2:$AO$1046,0),COLUMN()),"")</f>
        <v/>
      </c>
      <c r="Y1104" t="str">
        <f>IFERROR(INDEX(装备库!$A$2:$Y$1047,MATCH(ROW()-1,装备库!$AO$2:$AO$1046,0),COLUMN()),"")</f>
        <v/>
      </c>
    </row>
    <row r="1105" spans="1:25" x14ac:dyDescent="0.35">
      <c r="A1105" t="str">
        <f>IFERROR(INDEX(装备库!$A$2:$Y$1047,MATCH(ROW()-1,装备库!$AO$2:$AO$1046,0),COLUMN()),"")</f>
        <v/>
      </c>
      <c r="B1105" t="str">
        <f>IFERROR(INDEX(装备库!$A$2:$Y$1047,MATCH(ROW()-1,装备库!$AO$2:$AO$1046,0),COLUMN()),"")</f>
        <v/>
      </c>
      <c r="C1105" t="str">
        <f>IFERROR(INDEX(装备库!$A$2:$Y$1047,MATCH(ROW()-1,装备库!$AO$2:$AO$1046,0),COLUMN()),"")</f>
        <v/>
      </c>
      <c r="D1105" t="str">
        <f>IFERROR(INDEX(装备库!$A$2:$Y$1047,MATCH(ROW()-1,装备库!$AO$2:$AO$1046,0),COLUMN()),"")</f>
        <v/>
      </c>
      <c r="E1105" t="str">
        <f>IFERROR(INDEX(装备库!$A$2:$Y$1047,MATCH(ROW()-1,装备库!$AO$2:$AO$1046,0),COLUMN()),"")</f>
        <v/>
      </c>
      <c r="F1105" t="str">
        <f>IFERROR(INDEX(装备库!$A$2:$Y$1047,MATCH(ROW()-1,装备库!$AO$2:$AO$1046,0),COLUMN()),"")</f>
        <v/>
      </c>
      <c r="G1105" t="str">
        <f>IFERROR(INDEX(装备库!$A$2:$Y$1047,MATCH(ROW()-1,装备库!$AO$2:$AO$1046,0),COLUMN()),"")</f>
        <v/>
      </c>
      <c r="H1105" t="str">
        <f>IFERROR(INDEX(装备库!$A$2:$Y$1047,MATCH(ROW()-1,装备库!$AO$2:$AO$1046,0),COLUMN()),"")</f>
        <v/>
      </c>
      <c r="I1105" t="str">
        <f>IFERROR(INDEX(装备库!$A$2:$Y$1047,MATCH(ROW()-1,装备库!$AO$2:$AO$1046,0),COLUMN()),"")</f>
        <v/>
      </c>
      <c r="J1105" t="str">
        <f>IFERROR(INDEX(装备库!$A$2:$Y$1047,MATCH(ROW()-1,装备库!$AO$2:$AO$1046,0),COLUMN()),"")</f>
        <v/>
      </c>
      <c r="K1105" t="str">
        <f>IFERROR(INDEX(装备库!$A$2:$Y$1047,MATCH(ROW()-1,装备库!$AO$2:$AO$1046,0),COLUMN()),"")</f>
        <v/>
      </c>
      <c r="L1105" t="str">
        <f>IFERROR(INDEX(装备库!$A$2:$Y$1047,MATCH(ROW()-1,装备库!$AO$2:$AO$1046,0),COLUMN()),"")</f>
        <v/>
      </c>
      <c r="M1105" t="str">
        <f>IFERROR(INDEX(装备库!$A$2:$Y$1047,MATCH(ROW()-1,装备库!$AO$2:$AO$1046,0),COLUMN()),"")</f>
        <v/>
      </c>
      <c r="N1105" t="str">
        <f>IFERROR(INDEX(装备库!$A$2:$Y$1047,MATCH(ROW()-1,装备库!$AO$2:$AO$1046,0),COLUMN()),"")</f>
        <v/>
      </c>
      <c r="O1105" t="str">
        <f>IFERROR(INDEX(装备库!$A$2:$Y$1047,MATCH(ROW()-1,装备库!$AO$2:$AO$1046,0),COLUMN()),"")</f>
        <v/>
      </c>
      <c r="P1105" t="str">
        <f>IFERROR(INDEX(装备库!$A$2:$Y$1047,MATCH(ROW()-1,装备库!$AO$2:$AO$1046,0),COLUMN()),"")</f>
        <v/>
      </c>
      <c r="Q1105" t="str">
        <f>IFERROR(INDEX(装备库!$A$2:$Y$1047,MATCH(ROW()-1,装备库!$AO$2:$AO$1046,0),COLUMN()),"")</f>
        <v/>
      </c>
      <c r="R1105" t="str">
        <f>IFERROR(INDEX(装备库!$A$2:$Y$1047,MATCH(ROW()-1,装备库!$AO$2:$AO$1046,0),COLUMN()),"")</f>
        <v/>
      </c>
      <c r="S1105" t="str">
        <f>IFERROR(INDEX(装备库!$A$2:$Y$1047,MATCH(ROW()-1,装备库!$AO$2:$AO$1046,0),COLUMN()),"")</f>
        <v/>
      </c>
      <c r="T1105" t="str">
        <f>IFERROR(INDEX(装备库!$A$2:$Y$1047,MATCH(ROW()-1,装备库!$AO$2:$AO$1046,0),COLUMN()),"")</f>
        <v/>
      </c>
      <c r="U1105" t="str">
        <f>IFERROR(INDEX(装备库!$A$2:$Y$1047,MATCH(ROW()-1,装备库!$AO$2:$AO$1046,0),COLUMN()),"")</f>
        <v/>
      </c>
      <c r="V1105" t="str">
        <f>IFERROR(INDEX(装备库!$A$2:$Y$1047,MATCH(ROW()-1,装备库!$AO$2:$AO$1046,0),COLUMN()),"")</f>
        <v/>
      </c>
      <c r="W1105" t="str">
        <f>IFERROR(INDEX(装备库!$A$2:$Y$1047,MATCH(ROW()-1,装备库!$AO$2:$AO$1046,0),COLUMN()),"")</f>
        <v/>
      </c>
      <c r="X1105" t="str">
        <f>IFERROR(INDEX(装备库!$A$2:$Y$1047,MATCH(ROW()-1,装备库!$AO$2:$AO$1046,0),COLUMN()),"")</f>
        <v/>
      </c>
      <c r="Y1105" t="str">
        <f>IFERROR(INDEX(装备库!$A$2:$Y$1047,MATCH(ROW()-1,装备库!$AO$2:$AO$1046,0),COLUMN()),"")</f>
        <v/>
      </c>
    </row>
    <row r="1106" spans="1:25" x14ac:dyDescent="0.35">
      <c r="A1106" t="str">
        <f>IFERROR(INDEX(装备库!$A$2:$Y$1047,MATCH(ROW()-1,装备库!$AO$2:$AO$1046,0),COLUMN()),"")</f>
        <v/>
      </c>
      <c r="B1106" t="str">
        <f>IFERROR(INDEX(装备库!$A$2:$Y$1047,MATCH(ROW()-1,装备库!$AO$2:$AO$1046,0),COLUMN()),"")</f>
        <v/>
      </c>
      <c r="C1106" t="str">
        <f>IFERROR(INDEX(装备库!$A$2:$Y$1047,MATCH(ROW()-1,装备库!$AO$2:$AO$1046,0),COLUMN()),"")</f>
        <v/>
      </c>
      <c r="D1106" t="str">
        <f>IFERROR(INDEX(装备库!$A$2:$Y$1047,MATCH(ROW()-1,装备库!$AO$2:$AO$1046,0),COLUMN()),"")</f>
        <v/>
      </c>
      <c r="E1106" t="str">
        <f>IFERROR(INDEX(装备库!$A$2:$Y$1047,MATCH(ROW()-1,装备库!$AO$2:$AO$1046,0),COLUMN()),"")</f>
        <v/>
      </c>
      <c r="F1106" t="str">
        <f>IFERROR(INDEX(装备库!$A$2:$Y$1047,MATCH(ROW()-1,装备库!$AO$2:$AO$1046,0),COLUMN()),"")</f>
        <v/>
      </c>
      <c r="G1106" t="str">
        <f>IFERROR(INDEX(装备库!$A$2:$Y$1047,MATCH(ROW()-1,装备库!$AO$2:$AO$1046,0),COLUMN()),"")</f>
        <v/>
      </c>
      <c r="H1106" t="str">
        <f>IFERROR(INDEX(装备库!$A$2:$Y$1047,MATCH(ROW()-1,装备库!$AO$2:$AO$1046,0),COLUMN()),"")</f>
        <v/>
      </c>
      <c r="I1106" t="str">
        <f>IFERROR(INDEX(装备库!$A$2:$Y$1047,MATCH(ROW()-1,装备库!$AO$2:$AO$1046,0),COLUMN()),"")</f>
        <v/>
      </c>
      <c r="J1106" t="str">
        <f>IFERROR(INDEX(装备库!$A$2:$Y$1047,MATCH(ROW()-1,装备库!$AO$2:$AO$1046,0),COLUMN()),"")</f>
        <v/>
      </c>
      <c r="K1106" t="str">
        <f>IFERROR(INDEX(装备库!$A$2:$Y$1047,MATCH(ROW()-1,装备库!$AO$2:$AO$1046,0),COLUMN()),"")</f>
        <v/>
      </c>
      <c r="L1106" t="str">
        <f>IFERROR(INDEX(装备库!$A$2:$Y$1047,MATCH(ROW()-1,装备库!$AO$2:$AO$1046,0),COLUMN()),"")</f>
        <v/>
      </c>
      <c r="M1106" t="str">
        <f>IFERROR(INDEX(装备库!$A$2:$Y$1047,MATCH(ROW()-1,装备库!$AO$2:$AO$1046,0),COLUMN()),"")</f>
        <v/>
      </c>
      <c r="N1106" t="str">
        <f>IFERROR(INDEX(装备库!$A$2:$Y$1047,MATCH(ROW()-1,装备库!$AO$2:$AO$1046,0),COLUMN()),"")</f>
        <v/>
      </c>
      <c r="O1106" t="str">
        <f>IFERROR(INDEX(装备库!$A$2:$Y$1047,MATCH(ROW()-1,装备库!$AO$2:$AO$1046,0),COLUMN()),"")</f>
        <v/>
      </c>
      <c r="P1106" t="str">
        <f>IFERROR(INDEX(装备库!$A$2:$Y$1047,MATCH(ROW()-1,装备库!$AO$2:$AO$1046,0),COLUMN()),"")</f>
        <v/>
      </c>
      <c r="Q1106" t="str">
        <f>IFERROR(INDEX(装备库!$A$2:$Y$1047,MATCH(ROW()-1,装备库!$AO$2:$AO$1046,0),COLUMN()),"")</f>
        <v/>
      </c>
      <c r="R1106" t="str">
        <f>IFERROR(INDEX(装备库!$A$2:$Y$1047,MATCH(ROW()-1,装备库!$AO$2:$AO$1046,0),COLUMN()),"")</f>
        <v/>
      </c>
      <c r="S1106" t="str">
        <f>IFERROR(INDEX(装备库!$A$2:$Y$1047,MATCH(ROW()-1,装备库!$AO$2:$AO$1046,0),COLUMN()),"")</f>
        <v/>
      </c>
      <c r="T1106" t="str">
        <f>IFERROR(INDEX(装备库!$A$2:$Y$1047,MATCH(ROW()-1,装备库!$AO$2:$AO$1046,0),COLUMN()),"")</f>
        <v/>
      </c>
      <c r="U1106" t="str">
        <f>IFERROR(INDEX(装备库!$A$2:$Y$1047,MATCH(ROW()-1,装备库!$AO$2:$AO$1046,0),COLUMN()),"")</f>
        <v/>
      </c>
      <c r="V1106" t="str">
        <f>IFERROR(INDEX(装备库!$A$2:$Y$1047,MATCH(ROW()-1,装备库!$AO$2:$AO$1046,0),COLUMN()),"")</f>
        <v/>
      </c>
      <c r="W1106" t="str">
        <f>IFERROR(INDEX(装备库!$A$2:$Y$1047,MATCH(ROW()-1,装备库!$AO$2:$AO$1046,0),COLUMN()),"")</f>
        <v/>
      </c>
      <c r="X1106" t="str">
        <f>IFERROR(INDEX(装备库!$A$2:$Y$1047,MATCH(ROW()-1,装备库!$AO$2:$AO$1046,0),COLUMN()),"")</f>
        <v/>
      </c>
      <c r="Y1106" t="str">
        <f>IFERROR(INDEX(装备库!$A$2:$Y$1047,MATCH(ROW()-1,装备库!$AO$2:$AO$1046,0),COLUMN()),"")</f>
        <v/>
      </c>
    </row>
    <row r="1107" spans="1:25" x14ac:dyDescent="0.35">
      <c r="A1107" t="str">
        <f>IFERROR(INDEX(装备库!$A$2:$Y$1047,MATCH(ROW()-1,装备库!$AO$2:$AO$1046,0),COLUMN()),"")</f>
        <v/>
      </c>
      <c r="B1107" t="str">
        <f>IFERROR(INDEX(装备库!$A$2:$Y$1047,MATCH(ROW()-1,装备库!$AO$2:$AO$1046,0),COLUMN()),"")</f>
        <v/>
      </c>
      <c r="C1107" t="str">
        <f>IFERROR(INDEX(装备库!$A$2:$Y$1047,MATCH(ROW()-1,装备库!$AO$2:$AO$1046,0),COLUMN()),"")</f>
        <v/>
      </c>
      <c r="D1107" t="str">
        <f>IFERROR(INDEX(装备库!$A$2:$Y$1047,MATCH(ROW()-1,装备库!$AO$2:$AO$1046,0),COLUMN()),"")</f>
        <v/>
      </c>
      <c r="E1107" t="str">
        <f>IFERROR(INDEX(装备库!$A$2:$Y$1047,MATCH(ROW()-1,装备库!$AO$2:$AO$1046,0),COLUMN()),"")</f>
        <v/>
      </c>
      <c r="F1107" t="str">
        <f>IFERROR(INDEX(装备库!$A$2:$Y$1047,MATCH(ROW()-1,装备库!$AO$2:$AO$1046,0),COLUMN()),"")</f>
        <v/>
      </c>
      <c r="G1107" t="str">
        <f>IFERROR(INDEX(装备库!$A$2:$Y$1047,MATCH(ROW()-1,装备库!$AO$2:$AO$1046,0),COLUMN()),"")</f>
        <v/>
      </c>
      <c r="H1107" t="str">
        <f>IFERROR(INDEX(装备库!$A$2:$Y$1047,MATCH(ROW()-1,装备库!$AO$2:$AO$1046,0),COLUMN()),"")</f>
        <v/>
      </c>
      <c r="I1107" t="str">
        <f>IFERROR(INDEX(装备库!$A$2:$Y$1047,MATCH(ROW()-1,装备库!$AO$2:$AO$1046,0),COLUMN()),"")</f>
        <v/>
      </c>
      <c r="J1107" t="str">
        <f>IFERROR(INDEX(装备库!$A$2:$Y$1047,MATCH(ROW()-1,装备库!$AO$2:$AO$1046,0),COLUMN()),"")</f>
        <v/>
      </c>
      <c r="K1107" t="str">
        <f>IFERROR(INDEX(装备库!$A$2:$Y$1047,MATCH(ROW()-1,装备库!$AO$2:$AO$1046,0),COLUMN()),"")</f>
        <v/>
      </c>
      <c r="L1107" t="str">
        <f>IFERROR(INDEX(装备库!$A$2:$Y$1047,MATCH(ROW()-1,装备库!$AO$2:$AO$1046,0),COLUMN()),"")</f>
        <v/>
      </c>
      <c r="M1107" t="str">
        <f>IFERROR(INDEX(装备库!$A$2:$Y$1047,MATCH(ROW()-1,装备库!$AO$2:$AO$1046,0),COLUMN()),"")</f>
        <v/>
      </c>
      <c r="N1107" t="str">
        <f>IFERROR(INDEX(装备库!$A$2:$Y$1047,MATCH(ROW()-1,装备库!$AO$2:$AO$1046,0),COLUMN()),"")</f>
        <v/>
      </c>
      <c r="O1107" t="str">
        <f>IFERROR(INDEX(装备库!$A$2:$Y$1047,MATCH(ROW()-1,装备库!$AO$2:$AO$1046,0),COLUMN()),"")</f>
        <v/>
      </c>
      <c r="P1107" t="str">
        <f>IFERROR(INDEX(装备库!$A$2:$Y$1047,MATCH(ROW()-1,装备库!$AO$2:$AO$1046,0),COLUMN()),"")</f>
        <v/>
      </c>
      <c r="Q1107" t="str">
        <f>IFERROR(INDEX(装备库!$A$2:$Y$1047,MATCH(ROW()-1,装备库!$AO$2:$AO$1046,0),COLUMN()),"")</f>
        <v/>
      </c>
      <c r="R1107" t="str">
        <f>IFERROR(INDEX(装备库!$A$2:$Y$1047,MATCH(ROW()-1,装备库!$AO$2:$AO$1046,0),COLUMN()),"")</f>
        <v/>
      </c>
      <c r="S1107" t="str">
        <f>IFERROR(INDEX(装备库!$A$2:$Y$1047,MATCH(ROW()-1,装备库!$AO$2:$AO$1046,0),COLUMN()),"")</f>
        <v/>
      </c>
      <c r="T1107" t="str">
        <f>IFERROR(INDEX(装备库!$A$2:$Y$1047,MATCH(ROW()-1,装备库!$AO$2:$AO$1046,0),COLUMN()),"")</f>
        <v/>
      </c>
      <c r="U1107" t="str">
        <f>IFERROR(INDEX(装备库!$A$2:$Y$1047,MATCH(ROW()-1,装备库!$AO$2:$AO$1046,0),COLUMN()),"")</f>
        <v/>
      </c>
      <c r="V1107" t="str">
        <f>IFERROR(INDEX(装备库!$A$2:$Y$1047,MATCH(ROW()-1,装备库!$AO$2:$AO$1046,0),COLUMN()),"")</f>
        <v/>
      </c>
      <c r="W1107" t="str">
        <f>IFERROR(INDEX(装备库!$A$2:$Y$1047,MATCH(ROW()-1,装备库!$AO$2:$AO$1046,0),COLUMN()),"")</f>
        <v/>
      </c>
      <c r="X1107" t="str">
        <f>IFERROR(INDEX(装备库!$A$2:$Y$1047,MATCH(ROW()-1,装备库!$AO$2:$AO$1046,0),COLUMN()),"")</f>
        <v/>
      </c>
      <c r="Y1107" t="str">
        <f>IFERROR(INDEX(装备库!$A$2:$Y$1047,MATCH(ROW()-1,装备库!$AO$2:$AO$1046,0),COLUMN()),"")</f>
        <v/>
      </c>
    </row>
    <row r="1108" spans="1:25" x14ac:dyDescent="0.35">
      <c r="A1108" t="str">
        <f>IFERROR(INDEX(装备库!$A$2:$Y$1047,MATCH(ROW()-1,装备库!$AO$2:$AO$1046,0),COLUMN()),"")</f>
        <v/>
      </c>
      <c r="B1108" t="str">
        <f>IFERROR(INDEX(装备库!$A$2:$Y$1047,MATCH(ROW()-1,装备库!$AO$2:$AO$1046,0),COLUMN()),"")</f>
        <v/>
      </c>
      <c r="C1108" t="str">
        <f>IFERROR(INDEX(装备库!$A$2:$Y$1047,MATCH(ROW()-1,装备库!$AO$2:$AO$1046,0),COLUMN()),"")</f>
        <v/>
      </c>
      <c r="D1108" t="str">
        <f>IFERROR(INDEX(装备库!$A$2:$Y$1047,MATCH(ROW()-1,装备库!$AO$2:$AO$1046,0),COLUMN()),"")</f>
        <v/>
      </c>
      <c r="E1108" t="str">
        <f>IFERROR(INDEX(装备库!$A$2:$Y$1047,MATCH(ROW()-1,装备库!$AO$2:$AO$1046,0),COLUMN()),"")</f>
        <v/>
      </c>
      <c r="F1108" t="str">
        <f>IFERROR(INDEX(装备库!$A$2:$Y$1047,MATCH(ROW()-1,装备库!$AO$2:$AO$1046,0),COLUMN()),"")</f>
        <v/>
      </c>
      <c r="G1108" t="str">
        <f>IFERROR(INDEX(装备库!$A$2:$Y$1047,MATCH(ROW()-1,装备库!$AO$2:$AO$1046,0),COLUMN()),"")</f>
        <v/>
      </c>
      <c r="H1108" t="str">
        <f>IFERROR(INDEX(装备库!$A$2:$Y$1047,MATCH(ROW()-1,装备库!$AO$2:$AO$1046,0),COLUMN()),"")</f>
        <v/>
      </c>
      <c r="I1108" t="str">
        <f>IFERROR(INDEX(装备库!$A$2:$Y$1047,MATCH(ROW()-1,装备库!$AO$2:$AO$1046,0),COLUMN()),"")</f>
        <v/>
      </c>
      <c r="J1108" t="str">
        <f>IFERROR(INDEX(装备库!$A$2:$Y$1047,MATCH(ROW()-1,装备库!$AO$2:$AO$1046,0),COLUMN()),"")</f>
        <v/>
      </c>
      <c r="K1108" t="str">
        <f>IFERROR(INDEX(装备库!$A$2:$Y$1047,MATCH(ROW()-1,装备库!$AO$2:$AO$1046,0),COLUMN()),"")</f>
        <v/>
      </c>
      <c r="L1108" t="str">
        <f>IFERROR(INDEX(装备库!$A$2:$Y$1047,MATCH(ROW()-1,装备库!$AO$2:$AO$1046,0),COLUMN()),"")</f>
        <v/>
      </c>
      <c r="M1108" t="str">
        <f>IFERROR(INDEX(装备库!$A$2:$Y$1047,MATCH(ROW()-1,装备库!$AO$2:$AO$1046,0),COLUMN()),"")</f>
        <v/>
      </c>
      <c r="N1108" t="str">
        <f>IFERROR(INDEX(装备库!$A$2:$Y$1047,MATCH(ROW()-1,装备库!$AO$2:$AO$1046,0),COLUMN()),"")</f>
        <v/>
      </c>
      <c r="O1108" t="str">
        <f>IFERROR(INDEX(装备库!$A$2:$Y$1047,MATCH(ROW()-1,装备库!$AO$2:$AO$1046,0),COLUMN()),"")</f>
        <v/>
      </c>
      <c r="P1108" t="str">
        <f>IFERROR(INDEX(装备库!$A$2:$Y$1047,MATCH(ROW()-1,装备库!$AO$2:$AO$1046,0),COLUMN()),"")</f>
        <v/>
      </c>
      <c r="Q1108" t="str">
        <f>IFERROR(INDEX(装备库!$A$2:$Y$1047,MATCH(ROW()-1,装备库!$AO$2:$AO$1046,0),COLUMN()),"")</f>
        <v/>
      </c>
      <c r="R1108" t="str">
        <f>IFERROR(INDEX(装备库!$A$2:$Y$1047,MATCH(ROW()-1,装备库!$AO$2:$AO$1046,0),COLUMN()),"")</f>
        <v/>
      </c>
      <c r="S1108" t="str">
        <f>IFERROR(INDEX(装备库!$A$2:$Y$1047,MATCH(ROW()-1,装备库!$AO$2:$AO$1046,0),COLUMN()),"")</f>
        <v/>
      </c>
      <c r="T1108" t="str">
        <f>IFERROR(INDEX(装备库!$A$2:$Y$1047,MATCH(ROW()-1,装备库!$AO$2:$AO$1046,0),COLUMN()),"")</f>
        <v/>
      </c>
      <c r="U1108" t="str">
        <f>IFERROR(INDEX(装备库!$A$2:$Y$1047,MATCH(ROW()-1,装备库!$AO$2:$AO$1046,0),COLUMN()),"")</f>
        <v/>
      </c>
      <c r="V1108" t="str">
        <f>IFERROR(INDEX(装备库!$A$2:$Y$1047,MATCH(ROW()-1,装备库!$AO$2:$AO$1046,0),COLUMN()),"")</f>
        <v/>
      </c>
      <c r="W1108" t="str">
        <f>IFERROR(INDEX(装备库!$A$2:$Y$1047,MATCH(ROW()-1,装备库!$AO$2:$AO$1046,0),COLUMN()),"")</f>
        <v/>
      </c>
      <c r="X1108" t="str">
        <f>IFERROR(INDEX(装备库!$A$2:$Y$1047,MATCH(ROW()-1,装备库!$AO$2:$AO$1046,0),COLUMN()),"")</f>
        <v/>
      </c>
      <c r="Y1108" t="str">
        <f>IFERROR(INDEX(装备库!$A$2:$Y$1047,MATCH(ROW()-1,装备库!$AO$2:$AO$1046,0),COLUMN()),"")</f>
        <v/>
      </c>
    </row>
    <row r="1109" spans="1:25" x14ac:dyDescent="0.35">
      <c r="A1109" t="str">
        <f>IFERROR(INDEX(装备库!$A$2:$Y$1047,MATCH(ROW()-1,装备库!$AO$2:$AO$1046,0),COLUMN()),"")</f>
        <v/>
      </c>
      <c r="B1109" t="str">
        <f>IFERROR(INDEX(装备库!$A$2:$Y$1047,MATCH(ROW()-1,装备库!$AO$2:$AO$1046,0),COLUMN()),"")</f>
        <v/>
      </c>
      <c r="C1109" t="str">
        <f>IFERROR(INDEX(装备库!$A$2:$Y$1047,MATCH(ROW()-1,装备库!$AO$2:$AO$1046,0),COLUMN()),"")</f>
        <v/>
      </c>
      <c r="D1109" t="str">
        <f>IFERROR(INDEX(装备库!$A$2:$Y$1047,MATCH(ROW()-1,装备库!$AO$2:$AO$1046,0),COLUMN()),"")</f>
        <v/>
      </c>
      <c r="E1109" t="str">
        <f>IFERROR(INDEX(装备库!$A$2:$Y$1047,MATCH(ROW()-1,装备库!$AO$2:$AO$1046,0),COLUMN()),"")</f>
        <v/>
      </c>
      <c r="F1109" t="str">
        <f>IFERROR(INDEX(装备库!$A$2:$Y$1047,MATCH(ROW()-1,装备库!$AO$2:$AO$1046,0),COLUMN()),"")</f>
        <v/>
      </c>
      <c r="G1109" t="str">
        <f>IFERROR(INDEX(装备库!$A$2:$Y$1047,MATCH(ROW()-1,装备库!$AO$2:$AO$1046,0),COLUMN()),"")</f>
        <v/>
      </c>
      <c r="H1109" t="str">
        <f>IFERROR(INDEX(装备库!$A$2:$Y$1047,MATCH(ROW()-1,装备库!$AO$2:$AO$1046,0),COLUMN()),"")</f>
        <v/>
      </c>
      <c r="I1109" t="str">
        <f>IFERROR(INDEX(装备库!$A$2:$Y$1047,MATCH(ROW()-1,装备库!$AO$2:$AO$1046,0),COLUMN()),"")</f>
        <v/>
      </c>
      <c r="J1109" t="str">
        <f>IFERROR(INDEX(装备库!$A$2:$Y$1047,MATCH(ROW()-1,装备库!$AO$2:$AO$1046,0),COLUMN()),"")</f>
        <v/>
      </c>
      <c r="K1109" t="str">
        <f>IFERROR(INDEX(装备库!$A$2:$Y$1047,MATCH(ROW()-1,装备库!$AO$2:$AO$1046,0),COLUMN()),"")</f>
        <v/>
      </c>
      <c r="L1109" t="str">
        <f>IFERROR(INDEX(装备库!$A$2:$Y$1047,MATCH(ROW()-1,装备库!$AO$2:$AO$1046,0),COLUMN()),"")</f>
        <v/>
      </c>
      <c r="M1109" t="str">
        <f>IFERROR(INDEX(装备库!$A$2:$Y$1047,MATCH(ROW()-1,装备库!$AO$2:$AO$1046,0),COLUMN()),"")</f>
        <v/>
      </c>
      <c r="N1109" t="str">
        <f>IFERROR(INDEX(装备库!$A$2:$Y$1047,MATCH(ROW()-1,装备库!$AO$2:$AO$1046,0),COLUMN()),"")</f>
        <v/>
      </c>
      <c r="O1109" t="str">
        <f>IFERROR(INDEX(装备库!$A$2:$Y$1047,MATCH(ROW()-1,装备库!$AO$2:$AO$1046,0),COLUMN()),"")</f>
        <v/>
      </c>
      <c r="P1109" t="str">
        <f>IFERROR(INDEX(装备库!$A$2:$Y$1047,MATCH(ROW()-1,装备库!$AO$2:$AO$1046,0),COLUMN()),"")</f>
        <v/>
      </c>
      <c r="Q1109" t="str">
        <f>IFERROR(INDEX(装备库!$A$2:$Y$1047,MATCH(ROW()-1,装备库!$AO$2:$AO$1046,0),COLUMN()),"")</f>
        <v/>
      </c>
      <c r="R1109" t="str">
        <f>IFERROR(INDEX(装备库!$A$2:$Y$1047,MATCH(ROW()-1,装备库!$AO$2:$AO$1046,0),COLUMN()),"")</f>
        <v/>
      </c>
      <c r="S1109" t="str">
        <f>IFERROR(INDEX(装备库!$A$2:$Y$1047,MATCH(ROW()-1,装备库!$AO$2:$AO$1046,0),COLUMN()),"")</f>
        <v/>
      </c>
      <c r="T1109" t="str">
        <f>IFERROR(INDEX(装备库!$A$2:$Y$1047,MATCH(ROW()-1,装备库!$AO$2:$AO$1046,0),COLUMN()),"")</f>
        <v/>
      </c>
      <c r="U1109" t="str">
        <f>IFERROR(INDEX(装备库!$A$2:$Y$1047,MATCH(ROW()-1,装备库!$AO$2:$AO$1046,0),COLUMN()),"")</f>
        <v/>
      </c>
      <c r="V1109" t="str">
        <f>IFERROR(INDEX(装备库!$A$2:$Y$1047,MATCH(ROW()-1,装备库!$AO$2:$AO$1046,0),COLUMN()),"")</f>
        <v/>
      </c>
      <c r="W1109" t="str">
        <f>IFERROR(INDEX(装备库!$A$2:$Y$1047,MATCH(ROW()-1,装备库!$AO$2:$AO$1046,0),COLUMN()),"")</f>
        <v/>
      </c>
      <c r="X1109" t="str">
        <f>IFERROR(INDEX(装备库!$A$2:$Y$1047,MATCH(ROW()-1,装备库!$AO$2:$AO$1046,0),COLUMN()),"")</f>
        <v/>
      </c>
      <c r="Y1109" t="str">
        <f>IFERROR(INDEX(装备库!$A$2:$Y$1047,MATCH(ROW()-1,装备库!$AO$2:$AO$1046,0),COLUMN()),"")</f>
        <v/>
      </c>
    </row>
    <row r="1110" spans="1:25" x14ac:dyDescent="0.35">
      <c r="A1110" t="str">
        <f>IFERROR(INDEX(装备库!$A$2:$Y$1047,MATCH(ROW()-1,装备库!$AO$2:$AO$1046,0),COLUMN()),"")</f>
        <v/>
      </c>
      <c r="B1110" t="str">
        <f>IFERROR(INDEX(装备库!$A$2:$Y$1047,MATCH(ROW()-1,装备库!$AO$2:$AO$1046,0),COLUMN()),"")</f>
        <v/>
      </c>
      <c r="C1110" t="str">
        <f>IFERROR(INDEX(装备库!$A$2:$Y$1047,MATCH(ROW()-1,装备库!$AO$2:$AO$1046,0),COLUMN()),"")</f>
        <v/>
      </c>
      <c r="D1110" t="str">
        <f>IFERROR(INDEX(装备库!$A$2:$Y$1047,MATCH(ROW()-1,装备库!$AO$2:$AO$1046,0),COLUMN()),"")</f>
        <v/>
      </c>
      <c r="E1110" t="str">
        <f>IFERROR(INDEX(装备库!$A$2:$Y$1047,MATCH(ROW()-1,装备库!$AO$2:$AO$1046,0),COLUMN()),"")</f>
        <v/>
      </c>
      <c r="F1110" t="str">
        <f>IFERROR(INDEX(装备库!$A$2:$Y$1047,MATCH(ROW()-1,装备库!$AO$2:$AO$1046,0),COLUMN()),"")</f>
        <v/>
      </c>
      <c r="G1110" t="str">
        <f>IFERROR(INDEX(装备库!$A$2:$Y$1047,MATCH(ROW()-1,装备库!$AO$2:$AO$1046,0),COLUMN()),"")</f>
        <v/>
      </c>
      <c r="H1110" t="str">
        <f>IFERROR(INDEX(装备库!$A$2:$Y$1047,MATCH(ROW()-1,装备库!$AO$2:$AO$1046,0),COLUMN()),"")</f>
        <v/>
      </c>
      <c r="I1110" t="str">
        <f>IFERROR(INDEX(装备库!$A$2:$Y$1047,MATCH(ROW()-1,装备库!$AO$2:$AO$1046,0),COLUMN()),"")</f>
        <v/>
      </c>
      <c r="J1110" t="str">
        <f>IFERROR(INDEX(装备库!$A$2:$Y$1047,MATCH(ROW()-1,装备库!$AO$2:$AO$1046,0),COLUMN()),"")</f>
        <v/>
      </c>
      <c r="K1110" t="str">
        <f>IFERROR(INDEX(装备库!$A$2:$Y$1047,MATCH(ROW()-1,装备库!$AO$2:$AO$1046,0),COLUMN()),"")</f>
        <v/>
      </c>
      <c r="L1110" t="str">
        <f>IFERROR(INDEX(装备库!$A$2:$Y$1047,MATCH(ROW()-1,装备库!$AO$2:$AO$1046,0),COLUMN()),"")</f>
        <v/>
      </c>
      <c r="M1110" t="str">
        <f>IFERROR(INDEX(装备库!$A$2:$Y$1047,MATCH(ROW()-1,装备库!$AO$2:$AO$1046,0),COLUMN()),"")</f>
        <v/>
      </c>
      <c r="N1110" t="str">
        <f>IFERROR(INDEX(装备库!$A$2:$Y$1047,MATCH(ROW()-1,装备库!$AO$2:$AO$1046,0),COLUMN()),"")</f>
        <v/>
      </c>
      <c r="O1110" t="str">
        <f>IFERROR(INDEX(装备库!$A$2:$Y$1047,MATCH(ROW()-1,装备库!$AO$2:$AO$1046,0),COLUMN()),"")</f>
        <v/>
      </c>
      <c r="P1110" t="str">
        <f>IFERROR(INDEX(装备库!$A$2:$Y$1047,MATCH(ROW()-1,装备库!$AO$2:$AO$1046,0),COLUMN()),"")</f>
        <v/>
      </c>
      <c r="Q1110" t="str">
        <f>IFERROR(INDEX(装备库!$A$2:$Y$1047,MATCH(ROW()-1,装备库!$AO$2:$AO$1046,0),COLUMN()),"")</f>
        <v/>
      </c>
      <c r="R1110" t="str">
        <f>IFERROR(INDEX(装备库!$A$2:$Y$1047,MATCH(ROW()-1,装备库!$AO$2:$AO$1046,0),COLUMN()),"")</f>
        <v/>
      </c>
      <c r="S1110" t="str">
        <f>IFERROR(INDEX(装备库!$A$2:$Y$1047,MATCH(ROW()-1,装备库!$AO$2:$AO$1046,0),COLUMN()),"")</f>
        <v/>
      </c>
      <c r="T1110" t="str">
        <f>IFERROR(INDEX(装备库!$A$2:$Y$1047,MATCH(ROW()-1,装备库!$AO$2:$AO$1046,0),COLUMN()),"")</f>
        <v/>
      </c>
      <c r="U1110" t="str">
        <f>IFERROR(INDEX(装备库!$A$2:$Y$1047,MATCH(ROW()-1,装备库!$AO$2:$AO$1046,0),COLUMN()),"")</f>
        <v/>
      </c>
      <c r="V1110" t="str">
        <f>IFERROR(INDEX(装备库!$A$2:$Y$1047,MATCH(ROW()-1,装备库!$AO$2:$AO$1046,0),COLUMN()),"")</f>
        <v/>
      </c>
      <c r="W1110" t="str">
        <f>IFERROR(INDEX(装备库!$A$2:$Y$1047,MATCH(ROW()-1,装备库!$AO$2:$AO$1046,0),COLUMN()),"")</f>
        <v/>
      </c>
      <c r="X1110" t="str">
        <f>IFERROR(INDEX(装备库!$A$2:$Y$1047,MATCH(ROW()-1,装备库!$AO$2:$AO$1046,0),COLUMN()),"")</f>
        <v/>
      </c>
      <c r="Y1110" t="str">
        <f>IFERROR(INDEX(装备库!$A$2:$Y$1047,MATCH(ROW()-1,装备库!$AO$2:$AO$1046,0),COLUMN()),"")</f>
        <v/>
      </c>
    </row>
    <row r="1111" spans="1:25" x14ac:dyDescent="0.35">
      <c r="A1111" t="str">
        <f>IFERROR(INDEX(装备库!$A$2:$Y$1047,MATCH(ROW()-1,装备库!$AO$2:$AO$1046,0),COLUMN()),"")</f>
        <v/>
      </c>
      <c r="B1111" t="str">
        <f>IFERROR(INDEX(装备库!$A$2:$Y$1047,MATCH(ROW()-1,装备库!$AO$2:$AO$1046,0),COLUMN()),"")</f>
        <v/>
      </c>
      <c r="C1111" t="str">
        <f>IFERROR(INDEX(装备库!$A$2:$Y$1047,MATCH(ROW()-1,装备库!$AO$2:$AO$1046,0),COLUMN()),"")</f>
        <v/>
      </c>
      <c r="D1111" t="str">
        <f>IFERROR(INDEX(装备库!$A$2:$Y$1047,MATCH(ROW()-1,装备库!$AO$2:$AO$1046,0),COLUMN()),"")</f>
        <v/>
      </c>
      <c r="E1111" t="str">
        <f>IFERROR(INDEX(装备库!$A$2:$Y$1047,MATCH(ROW()-1,装备库!$AO$2:$AO$1046,0),COLUMN()),"")</f>
        <v/>
      </c>
      <c r="F1111" t="str">
        <f>IFERROR(INDEX(装备库!$A$2:$Y$1047,MATCH(ROW()-1,装备库!$AO$2:$AO$1046,0),COLUMN()),"")</f>
        <v/>
      </c>
      <c r="G1111" t="str">
        <f>IFERROR(INDEX(装备库!$A$2:$Y$1047,MATCH(ROW()-1,装备库!$AO$2:$AO$1046,0),COLUMN()),"")</f>
        <v/>
      </c>
      <c r="H1111" t="str">
        <f>IFERROR(INDEX(装备库!$A$2:$Y$1047,MATCH(ROW()-1,装备库!$AO$2:$AO$1046,0),COLUMN()),"")</f>
        <v/>
      </c>
      <c r="I1111" t="str">
        <f>IFERROR(INDEX(装备库!$A$2:$Y$1047,MATCH(ROW()-1,装备库!$AO$2:$AO$1046,0),COLUMN()),"")</f>
        <v/>
      </c>
      <c r="J1111" t="str">
        <f>IFERROR(INDEX(装备库!$A$2:$Y$1047,MATCH(ROW()-1,装备库!$AO$2:$AO$1046,0),COLUMN()),"")</f>
        <v/>
      </c>
      <c r="K1111" t="str">
        <f>IFERROR(INDEX(装备库!$A$2:$Y$1047,MATCH(ROW()-1,装备库!$AO$2:$AO$1046,0),COLUMN()),"")</f>
        <v/>
      </c>
      <c r="L1111" t="str">
        <f>IFERROR(INDEX(装备库!$A$2:$Y$1047,MATCH(ROW()-1,装备库!$AO$2:$AO$1046,0),COLUMN()),"")</f>
        <v/>
      </c>
      <c r="M1111" t="str">
        <f>IFERROR(INDEX(装备库!$A$2:$Y$1047,MATCH(ROW()-1,装备库!$AO$2:$AO$1046,0),COLUMN()),"")</f>
        <v/>
      </c>
      <c r="N1111" t="str">
        <f>IFERROR(INDEX(装备库!$A$2:$Y$1047,MATCH(ROW()-1,装备库!$AO$2:$AO$1046,0),COLUMN()),"")</f>
        <v/>
      </c>
      <c r="O1111" t="str">
        <f>IFERROR(INDEX(装备库!$A$2:$Y$1047,MATCH(ROW()-1,装备库!$AO$2:$AO$1046,0),COLUMN()),"")</f>
        <v/>
      </c>
      <c r="P1111" t="str">
        <f>IFERROR(INDEX(装备库!$A$2:$Y$1047,MATCH(ROW()-1,装备库!$AO$2:$AO$1046,0),COLUMN()),"")</f>
        <v/>
      </c>
      <c r="Q1111" t="str">
        <f>IFERROR(INDEX(装备库!$A$2:$Y$1047,MATCH(ROW()-1,装备库!$AO$2:$AO$1046,0),COLUMN()),"")</f>
        <v/>
      </c>
      <c r="R1111" t="str">
        <f>IFERROR(INDEX(装备库!$A$2:$Y$1047,MATCH(ROW()-1,装备库!$AO$2:$AO$1046,0),COLUMN()),"")</f>
        <v/>
      </c>
      <c r="S1111" t="str">
        <f>IFERROR(INDEX(装备库!$A$2:$Y$1047,MATCH(ROW()-1,装备库!$AO$2:$AO$1046,0),COLUMN()),"")</f>
        <v/>
      </c>
      <c r="T1111" t="str">
        <f>IFERROR(INDEX(装备库!$A$2:$Y$1047,MATCH(ROW()-1,装备库!$AO$2:$AO$1046,0),COLUMN()),"")</f>
        <v/>
      </c>
      <c r="U1111" t="str">
        <f>IFERROR(INDEX(装备库!$A$2:$Y$1047,MATCH(ROW()-1,装备库!$AO$2:$AO$1046,0),COLUMN()),"")</f>
        <v/>
      </c>
      <c r="V1111" t="str">
        <f>IFERROR(INDEX(装备库!$A$2:$Y$1047,MATCH(ROW()-1,装备库!$AO$2:$AO$1046,0),COLUMN()),"")</f>
        <v/>
      </c>
      <c r="W1111" t="str">
        <f>IFERROR(INDEX(装备库!$A$2:$Y$1047,MATCH(ROW()-1,装备库!$AO$2:$AO$1046,0),COLUMN()),"")</f>
        <v/>
      </c>
      <c r="X1111" t="str">
        <f>IFERROR(INDEX(装备库!$A$2:$Y$1047,MATCH(ROW()-1,装备库!$AO$2:$AO$1046,0),COLUMN()),"")</f>
        <v/>
      </c>
      <c r="Y1111" t="str">
        <f>IFERROR(INDEX(装备库!$A$2:$Y$1047,MATCH(ROW()-1,装备库!$AO$2:$AO$1046,0),COLUMN()),"")</f>
        <v/>
      </c>
    </row>
    <row r="1112" spans="1:25" x14ac:dyDescent="0.35">
      <c r="A1112" t="str">
        <f>IFERROR(INDEX(装备库!$A$2:$Y$1047,MATCH(ROW()-1,装备库!$AO$2:$AO$1046,0),COLUMN()),"")</f>
        <v/>
      </c>
      <c r="B1112" t="str">
        <f>IFERROR(INDEX(装备库!$A$2:$Y$1047,MATCH(ROW()-1,装备库!$AO$2:$AO$1046,0),COLUMN()),"")</f>
        <v/>
      </c>
      <c r="C1112" t="str">
        <f>IFERROR(INDEX(装备库!$A$2:$Y$1047,MATCH(ROW()-1,装备库!$AO$2:$AO$1046,0),COLUMN()),"")</f>
        <v/>
      </c>
      <c r="D1112" t="str">
        <f>IFERROR(INDEX(装备库!$A$2:$Y$1047,MATCH(ROW()-1,装备库!$AO$2:$AO$1046,0),COLUMN()),"")</f>
        <v/>
      </c>
      <c r="E1112" t="str">
        <f>IFERROR(INDEX(装备库!$A$2:$Y$1047,MATCH(ROW()-1,装备库!$AO$2:$AO$1046,0),COLUMN()),"")</f>
        <v/>
      </c>
      <c r="F1112" t="str">
        <f>IFERROR(INDEX(装备库!$A$2:$Y$1047,MATCH(ROW()-1,装备库!$AO$2:$AO$1046,0),COLUMN()),"")</f>
        <v/>
      </c>
      <c r="G1112" t="str">
        <f>IFERROR(INDEX(装备库!$A$2:$Y$1047,MATCH(ROW()-1,装备库!$AO$2:$AO$1046,0),COLUMN()),"")</f>
        <v/>
      </c>
      <c r="H1112" t="str">
        <f>IFERROR(INDEX(装备库!$A$2:$Y$1047,MATCH(ROW()-1,装备库!$AO$2:$AO$1046,0),COLUMN()),"")</f>
        <v/>
      </c>
      <c r="I1112" t="str">
        <f>IFERROR(INDEX(装备库!$A$2:$Y$1047,MATCH(ROW()-1,装备库!$AO$2:$AO$1046,0),COLUMN()),"")</f>
        <v/>
      </c>
      <c r="J1112" t="str">
        <f>IFERROR(INDEX(装备库!$A$2:$Y$1047,MATCH(ROW()-1,装备库!$AO$2:$AO$1046,0),COLUMN()),"")</f>
        <v/>
      </c>
      <c r="K1112" t="str">
        <f>IFERROR(INDEX(装备库!$A$2:$Y$1047,MATCH(ROW()-1,装备库!$AO$2:$AO$1046,0),COLUMN()),"")</f>
        <v/>
      </c>
      <c r="L1112" t="str">
        <f>IFERROR(INDEX(装备库!$A$2:$Y$1047,MATCH(ROW()-1,装备库!$AO$2:$AO$1046,0),COLUMN()),"")</f>
        <v/>
      </c>
      <c r="M1112" t="str">
        <f>IFERROR(INDEX(装备库!$A$2:$Y$1047,MATCH(ROW()-1,装备库!$AO$2:$AO$1046,0),COLUMN()),"")</f>
        <v/>
      </c>
      <c r="N1112" t="str">
        <f>IFERROR(INDEX(装备库!$A$2:$Y$1047,MATCH(ROW()-1,装备库!$AO$2:$AO$1046,0),COLUMN()),"")</f>
        <v/>
      </c>
      <c r="O1112" t="str">
        <f>IFERROR(INDEX(装备库!$A$2:$Y$1047,MATCH(ROW()-1,装备库!$AO$2:$AO$1046,0),COLUMN()),"")</f>
        <v/>
      </c>
      <c r="P1112" t="str">
        <f>IFERROR(INDEX(装备库!$A$2:$Y$1047,MATCH(ROW()-1,装备库!$AO$2:$AO$1046,0),COLUMN()),"")</f>
        <v/>
      </c>
      <c r="Q1112" t="str">
        <f>IFERROR(INDEX(装备库!$A$2:$Y$1047,MATCH(ROW()-1,装备库!$AO$2:$AO$1046,0),COLUMN()),"")</f>
        <v/>
      </c>
      <c r="R1112" t="str">
        <f>IFERROR(INDEX(装备库!$A$2:$Y$1047,MATCH(ROW()-1,装备库!$AO$2:$AO$1046,0),COLUMN()),"")</f>
        <v/>
      </c>
      <c r="S1112" t="str">
        <f>IFERROR(INDEX(装备库!$A$2:$Y$1047,MATCH(ROW()-1,装备库!$AO$2:$AO$1046,0),COLUMN()),"")</f>
        <v/>
      </c>
      <c r="T1112" t="str">
        <f>IFERROR(INDEX(装备库!$A$2:$Y$1047,MATCH(ROW()-1,装备库!$AO$2:$AO$1046,0),COLUMN()),"")</f>
        <v/>
      </c>
      <c r="U1112" t="str">
        <f>IFERROR(INDEX(装备库!$A$2:$Y$1047,MATCH(ROW()-1,装备库!$AO$2:$AO$1046,0),COLUMN()),"")</f>
        <v/>
      </c>
      <c r="V1112" t="str">
        <f>IFERROR(INDEX(装备库!$A$2:$Y$1047,MATCH(ROW()-1,装备库!$AO$2:$AO$1046,0),COLUMN()),"")</f>
        <v/>
      </c>
      <c r="W1112" t="str">
        <f>IFERROR(INDEX(装备库!$A$2:$Y$1047,MATCH(ROW()-1,装备库!$AO$2:$AO$1046,0),COLUMN()),"")</f>
        <v/>
      </c>
      <c r="X1112" t="str">
        <f>IFERROR(INDEX(装备库!$A$2:$Y$1047,MATCH(ROW()-1,装备库!$AO$2:$AO$1046,0),COLUMN()),"")</f>
        <v/>
      </c>
      <c r="Y1112" t="str">
        <f>IFERROR(INDEX(装备库!$A$2:$Y$1047,MATCH(ROW()-1,装备库!$AO$2:$AO$1046,0),COLUMN()),"")</f>
        <v/>
      </c>
    </row>
    <row r="1113" spans="1:25" x14ac:dyDescent="0.35">
      <c r="A1113" t="str">
        <f>IFERROR(INDEX(装备库!$A$2:$Y$1047,MATCH(ROW()-1,装备库!$AO$2:$AO$1046,0),COLUMN()),"")</f>
        <v/>
      </c>
      <c r="B1113" t="str">
        <f>IFERROR(INDEX(装备库!$A$2:$Y$1047,MATCH(ROW()-1,装备库!$AO$2:$AO$1046,0),COLUMN()),"")</f>
        <v/>
      </c>
      <c r="C1113" t="str">
        <f>IFERROR(INDEX(装备库!$A$2:$Y$1047,MATCH(ROW()-1,装备库!$AO$2:$AO$1046,0),COLUMN()),"")</f>
        <v/>
      </c>
      <c r="D1113" t="str">
        <f>IFERROR(INDEX(装备库!$A$2:$Y$1047,MATCH(ROW()-1,装备库!$AO$2:$AO$1046,0),COLUMN()),"")</f>
        <v/>
      </c>
      <c r="E1113" t="str">
        <f>IFERROR(INDEX(装备库!$A$2:$Y$1047,MATCH(ROW()-1,装备库!$AO$2:$AO$1046,0),COLUMN()),"")</f>
        <v/>
      </c>
      <c r="F1113" t="str">
        <f>IFERROR(INDEX(装备库!$A$2:$Y$1047,MATCH(ROW()-1,装备库!$AO$2:$AO$1046,0),COLUMN()),"")</f>
        <v/>
      </c>
      <c r="G1113" t="str">
        <f>IFERROR(INDEX(装备库!$A$2:$Y$1047,MATCH(ROW()-1,装备库!$AO$2:$AO$1046,0),COLUMN()),"")</f>
        <v/>
      </c>
      <c r="H1113" t="str">
        <f>IFERROR(INDEX(装备库!$A$2:$Y$1047,MATCH(ROW()-1,装备库!$AO$2:$AO$1046,0),COLUMN()),"")</f>
        <v/>
      </c>
      <c r="I1113" t="str">
        <f>IFERROR(INDEX(装备库!$A$2:$Y$1047,MATCH(ROW()-1,装备库!$AO$2:$AO$1046,0),COLUMN()),"")</f>
        <v/>
      </c>
      <c r="J1113" t="str">
        <f>IFERROR(INDEX(装备库!$A$2:$Y$1047,MATCH(ROW()-1,装备库!$AO$2:$AO$1046,0),COLUMN()),"")</f>
        <v/>
      </c>
      <c r="K1113" t="str">
        <f>IFERROR(INDEX(装备库!$A$2:$Y$1047,MATCH(ROW()-1,装备库!$AO$2:$AO$1046,0),COLUMN()),"")</f>
        <v/>
      </c>
      <c r="L1113" t="str">
        <f>IFERROR(INDEX(装备库!$A$2:$Y$1047,MATCH(ROW()-1,装备库!$AO$2:$AO$1046,0),COLUMN()),"")</f>
        <v/>
      </c>
      <c r="M1113" t="str">
        <f>IFERROR(INDEX(装备库!$A$2:$Y$1047,MATCH(ROW()-1,装备库!$AO$2:$AO$1046,0),COLUMN()),"")</f>
        <v/>
      </c>
      <c r="N1113" t="str">
        <f>IFERROR(INDEX(装备库!$A$2:$Y$1047,MATCH(ROW()-1,装备库!$AO$2:$AO$1046,0),COLUMN()),"")</f>
        <v/>
      </c>
      <c r="O1113" t="str">
        <f>IFERROR(INDEX(装备库!$A$2:$Y$1047,MATCH(ROW()-1,装备库!$AO$2:$AO$1046,0),COLUMN()),"")</f>
        <v/>
      </c>
      <c r="P1113" t="str">
        <f>IFERROR(INDEX(装备库!$A$2:$Y$1047,MATCH(ROW()-1,装备库!$AO$2:$AO$1046,0),COLUMN()),"")</f>
        <v/>
      </c>
      <c r="Q1113" t="str">
        <f>IFERROR(INDEX(装备库!$A$2:$Y$1047,MATCH(ROW()-1,装备库!$AO$2:$AO$1046,0),COLUMN()),"")</f>
        <v/>
      </c>
      <c r="R1113" t="str">
        <f>IFERROR(INDEX(装备库!$A$2:$Y$1047,MATCH(ROW()-1,装备库!$AO$2:$AO$1046,0),COLUMN()),"")</f>
        <v/>
      </c>
      <c r="S1113" t="str">
        <f>IFERROR(INDEX(装备库!$A$2:$Y$1047,MATCH(ROW()-1,装备库!$AO$2:$AO$1046,0),COLUMN()),"")</f>
        <v/>
      </c>
      <c r="T1113" t="str">
        <f>IFERROR(INDEX(装备库!$A$2:$Y$1047,MATCH(ROW()-1,装备库!$AO$2:$AO$1046,0),COLUMN()),"")</f>
        <v/>
      </c>
      <c r="U1113" t="str">
        <f>IFERROR(INDEX(装备库!$A$2:$Y$1047,MATCH(ROW()-1,装备库!$AO$2:$AO$1046,0),COLUMN()),"")</f>
        <v/>
      </c>
      <c r="V1113" t="str">
        <f>IFERROR(INDEX(装备库!$A$2:$Y$1047,MATCH(ROW()-1,装备库!$AO$2:$AO$1046,0),COLUMN()),"")</f>
        <v/>
      </c>
      <c r="W1113" t="str">
        <f>IFERROR(INDEX(装备库!$A$2:$Y$1047,MATCH(ROW()-1,装备库!$AO$2:$AO$1046,0),COLUMN()),"")</f>
        <v/>
      </c>
      <c r="X1113" t="str">
        <f>IFERROR(INDEX(装备库!$A$2:$Y$1047,MATCH(ROW()-1,装备库!$AO$2:$AO$1046,0),COLUMN()),"")</f>
        <v/>
      </c>
      <c r="Y1113" t="str">
        <f>IFERROR(INDEX(装备库!$A$2:$Y$1047,MATCH(ROW()-1,装备库!$AO$2:$AO$1046,0),COLUMN()),"")</f>
        <v/>
      </c>
    </row>
    <row r="1114" spans="1:25" x14ac:dyDescent="0.35">
      <c r="A1114" t="str">
        <f>IFERROR(INDEX(装备库!$A$2:$Y$1047,MATCH(ROW()-1,装备库!$AO$2:$AO$1046,0),COLUMN()),"")</f>
        <v/>
      </c>
      <c r="B1114" t="str">
        <f>IFERROR(INDEX(装备库!$A$2:$Y$1047,MATCH(ROW()-1,装备库!$AO$2:$AO$1046,0),COLUMN()),"")</f>
        <v/>
      </c>
      <c r="C1114" t="str">
        <f>IFERROR(INDEX(装备库!$A$2:$Y$1047,MATCH(ROW()-1,装备库!$AO$2:$AO$1046,0),COLUMN()),"")</f>
        <v/>
      </c>
      <c r="D1114" t="str">
        <f>IFERROR(INDEX(装备库!$A$2:$Y$1047,MATCH(ROW()-1,装备库!$AO$2:$AO$1046,0),COLUMN()),"")</f>
        <v/>
      </c>
      <c r="E1114" t="str">
        <f>IFERROR(INDEX(装备库!$A$2:$Y$1047,MATCH(ROW()-1,装备库!$AO$2:$AO$1046,0),COLUMN()),"")</f>
        <v/>
      </c>
      <c r="F1114" t="str">
        <f>IFERROR(INDEX(装备库!$A$2:$Y$1047,MATCH(ROW()-1,装备库!$AO$2:$AO$1046,0),COLUMN()),"")</f>
        <v/>
      </c>
      <c r="G1114" t="str">
        <f>IFERROR(INDEX(装备库!$A$2:$Y$1047,MATCH(ROW()-1,装备库!$AO$2:$AO$1046,0),COLUMN()),"")</f>
        <v/>
      </c>
      <c r="H1114" t="str">
        <f>IFERROR(INDEX(装备库!$A$2:$Y$1047,MATCH(ROW()-1,装备库!$AO$2:$AO$1046,0),COLUMN()),"")</f>
        <v/>
      </c>
      <c r="I1114" t="str">
        <f>IFERROR(INDEX(装备库!$A$2:$Y$1047,MATCH(ROW()-1,装备库!$AO$2:$AO$1046,0),COLUMN()),"")</f>
        <v/>
      </c>
      <c r="J1114" t="str">
        <f>IFERROR(INDEX(装备库!$A$2:$Y$1047,MATCH(ROW()-1,装备库!$AO$2:$AO$1046,0),COLUMN()),"")</f>
        <v/>
      </c>
      <c r="K1114" t="str">
        <f>IFERROR(INDEX(装备库!$A$2:$Y$1047,MATCH(ROW()-1,装备库!$AO$2:$AO$1046,0),COLUMN()),"")</f>
        <v/>
      </c>
      <c r="L1114" t="str">
        <f>IFERROR(INDEX(装备库!$A$2:$Y$1047,MATCH(ROW()-1,装备库!$AO$2:$AO$1046,0),COLUMN()),"")</f>
        <v/>
      </c>
      <c r="M1114" t="str">
        <f>IFERROR(INDEX(装备库!$A$2:$Y$1047,MATCH(ROW()-1,装备库!$AO$2:$AO$1046,0),COLUMN()),"")</f>
        <v/>
      </c>
      <c r="N1114" t="str">
        <f>IFERROR(INDEX(装备库!$A$2:$Y$1047,MATCH(ROW()-1,装备库!$AO$2:$AO$1046,0),COLUMN()),"")</f>
        <v/>
      </c>
      <c r="O1114" t="str">
        <f>IFERROR(INDEX(装备库!$A$2:$Y$1047,MATCH(ROW()-1,装备库!$AO$2:$AO$1046,0),COLUMN()),"")</f>
        <v/>
      </c>
      <c r="P1114" t="str">
        <f>IFERROR(INDEX(装备库!$A$2:$Y$1047,MATCH(ROW()-1,装备库!$AO$2:$AO$1046,0),COLUMN()),"")</f>
        <v/>
      </c>
      <c r="Q1114" t="str">
        <f>IFERROR(INDEX(装备库!$A$2:$Y$1047,MATCH(ROW()-1,装备库!$AO$2:$AO$1046,0),COLUMN()),"")</f>
        <v/>
      </c>
      <c r="R1114" t="str">
        <f>IFERROR(INDEX(装备库!$A$2:$Y$1047,MATCH(ROW()-1,装备库!$AO$2:$AO$1046,0),COLUMN()),"")</f>
        <v/>
      </c>
      <c r="S1114" t="str">
        <f>IFERROR(INDEX(装备库!$A$2:$Y$1047,MATCH(ROW()-1,装备库!$AO$2:$AO$1046,0),COLUMN()),"")</f>
        <v/>
      </c>
      <c r="T1114" t="str">
        <f>IFERROR(INDEX(装备库!$A$2:$Y$1047,MATCH(ROW()-1,装备库!$AO$2:$AO$1046,0),COLUMN()),"")</f>
        <v/>
      </c>
      <c r="U1114" t="str">
        <f>IFERROR(INDEX(装备库!$A$2:$Y$1047,MATCH(ROW()-1,装备库!$AO$2:$AO$1046,0),COLUMN()),"")</f>
        <v/>
      </c>
      <c r="V1114" t="str">
        <f>IFERROR(INDEX(装备库!$A$2:$Y$1047,MATCH(ROW()-1,装备库!$AO$2:$AO$1046,0),COLUMN()),"")</f>
        <v/>
      </c>
      <c r="W1114" t="str">
        <f>IFERROR(INDEX(装备库!$A$2:$Y$1047,MATCH(ROW()-1,装备库!$AO$2:$AO$1046,0),COLUMN()),"")</f>
        <v/>
      </c>
      <c r="X1114" t="str">
        <f>IFERROR(INDEX(装备库!$A$2:$Y$1047,MATCH(ROW()-1,装备库!$AO$2:$AO$1046,0),COLUMN()),"")</f>
        <v/>
      </c>
      <c r="Y1114" t="str">
        <f>IFERROR(INDEX(装备库!$A$2:$Y$1047,MATCH(ROW()-1,装备库!$AO$2:$AO$1046,0),COLUMN()),"")</f>
        <v/>
      </c>
    </row>
    <row r="1115" spans="1:25" x14ac:dyDescent="0.35">
      <c r="A1115" t="str">
        <f>IFERROR(INDEX(装备库!$A$2:$Y$1047,MATCH(ROW()-1,装备库!$AO$2:$AO$1046,0),COLUMN()),"")</f>
        <v/>
      </c>
      <c r="B1115" t="str">
        <f>IFERROR(INDEX(装备库!$A$2:$Y$1047,MATCH(ROW()-1,装备库!$AO$2:$AO$1046,0),COLUMN()),"")</f>
        <v/>
      </c>
      <c r="C1115" t="str">
        <f>IFERROR(INDEX(装备库!$A$2:$Y$1047,MATCH(ROW()-1,装备库!$AO$2:$AO$1046,0),COLUMN()),"")</f>
        <v/>
      </c>
      <c r="D1115" t="str">
        <f>IFERROR(INDEX(装备库!$A$2:$Y$1047,MATCH(ROW()-1,装备库!$AO$2:$AO$1046,0),COLUMN()),"")</f>
        <v/>
      </c>
      <c r="E1115" t="str">
        <f>IFERROR(INDEX(装备库!$A$2:$Y$1047,MATCH(ROW()-1,装备库!$AO$2:$AO$1046,0),COLUMN()),"")</f>
        <v/>
      </c>
      <c r="F1115" t="str">
        <f>IFERROR(INDEX(装备库!$A$2:$Y$1047,MATCH(ROW()-1,装备库!$AO$2:$AO$1046,0),COLUMN()),"")</f>
        <v/>
      </c>
      <c r="G1115" t="str">
        <f>IFERROR(INDEX(装备库!$A$2:$Y$1047,MATCH(ROW()-1,装备库!$AO$2:$AO$1046,0),COLUMN()),"")</f>
        <v/>
      </c>
      <c r="H1115" t="str">
        <f>IFERROR(INDEX(装备库!$A$2:$Y$1047,MATCH(ROW()-1,装备库!$AO$2:$AO$1046,0),COLUMN()),"")</f>
        <v/>
      </c>
      <c r="I1115" t="str">
        <f>IFERROR(INDEX(装备库!$A$2:$Y$1047,MATCH(ROW()-1,装备库!$AO$2:$AO$1046,0),COLUMN()),"")</f>
        <v/>
      </c>
      <c r="J1115" t="str">
        <f>IFERROR(INDEX(装备库!$A$2:$Y$1047,MATCH(ROW()-1,装备库!$AO$2:$AO$1046,0),COLUMN()),"")</f>
        <v/>
      </c>
      <c r="K1115" t="str">
        <f>IFERROR(INDEX(装备库!$A$2:$Y$1047,MATCH(ROW()-1,装备库!$AO$2:$AO$1046,0),COLUMN()),"")</f>
        <v/>
      </c>
      <c r="L1115" t="str">
        <f>IFERROR(INDEX(装备库!$A$2:$Y$1047,MATCH(ROW()-1,装备库!$AO$2:$AO$1046,0),COLUMN()),"")</f>
        <v/>
      </c>
      <c r="M1115" t="str">
        <f>IFERROR(INDEX(装备库!$A$2:$Y$1047,MATCH(ROW()-1,装备库!$AO$2:$AO$1046,0),COLUMN()),"")</f>
        <v/>
      </c>
      <c r="N1115" t="str">
        <f>IFERROR(INDEX(装备库!$A$2:$Y$1047,MATCH(ROW()-1,装备库!$AO$2:$AO$1046,0),COLUMN()),"")</f>
        <v/>
      </c>
      <c r="O1115" t="str">
        <f>IFERROR(INDEX(装备库!$A$2:$Y$1047,MATCH(ROW()-1,装备库!$AO$2:$AO$1046,0),COLUMN()),"")</f>
        <v/>
      </c>
      <c r="P1115" t="str">
        <f>IFERROR(INDEX(装备库!$A$2:$Y$1047,MATCH(ROW()-1,装备库!$AO$2:$AO$1046,0),COLUMN()),"")</f>
        <v/>
      </c>
      <c r="Q1115" t="str">
        <f>IFERROR(INDEX(装备库!$A$2:$Y$1047,MATCH(ROW()-1,装备库!$AO$2:$AO$1046,0),COLUMN()),"")</f>
        <v/>
      </c>
      <c r="R1115" t="str">
        <f>IFERROR(INDEX(装备库!$A$2:$Y$1047,MATCH(ROW()-1,装备库!$AO$2:$AO$1046,0),COLUMN()),"")</f>
        <v/>
      </c>
      <c r="S1115" t="str">
        <f>IFERROR(INDEX(装备库!$A$2:$Y$1047,MATCH(ROW()-1,装备库!$AO$2:$AO$1046,0),COLUMN()),"")</f>
        <v/>
      </c>
      <c r="T1115" t="str">
        <f>IFERROR(INDEX(装备库!$A$2:$Y$1047,MATCH(ROW()-1,装备库!$AO$2:$AO$1046,0),COLUMN()),"")</f>
        <v/>
      </c>
      <c r="U1115" t="str">
        <f>IFERROR(INDEX(装备库!$A$2:$Y$1047,MATCH(ROW()-1,装备库!$AO$2:$AO$1046,0),COLUMN()),"")</f>
        <v/>
      </c>
      <c r="V1115" t="str">
        <f>IFERROR(INDEX(装备库!$A$2:$Y$1047,MATCH(ROW()-1,装备库!$AO$2:$AO$1046,0),COLUMN()),"")</f>
        <v/>
      </c>
      <c r="W1115" t="str">
        <f>IFERROR(INDEX(装备库!$A$2:$Y$1047,MATCH(ROW()-1,装备库!$AO$2:$AO$1046,0),COLUMN()),"")</f>
        <v/>
      </c>
      <c r="X1115" t="str">
        <f>IFERROR(INDEX(装备库!$A$2:$Y$1047,MATCH(ROW()-1,装备库!$AO$2:$AO$1046,0),COLUMN()),"")</f>
        <v/>
      </c>
      <c r="Y1115" t="str">
        <f>IFERROR(INDEX(装备库!$A$2:$Y$1047,MATCH(ROW()-1,装备库!$AO$2:$AO$1046,0),COLUMN()),"")</f>
        <v/>
      </c>
    </row>
    <row r="1116" spans="1:25" x14ac:dyDescent="0.35">
      <c r="A1116" t="str">
        <f>IFERROR(INDEX(装备库!$A$2:$Y$1047,MATCH(ROW()-1,装备库!$AO$2:$AO$1046,0),COLUMN()),"")</f>
        <v/>
      </c>
      <c r="B1116" t="str">
        <f>IFERROR(INDEX(装备库!$A$2:$Y$1047,MATCH(ROW()-1,装备库!$AO$2:$AO$1046,0),COLUMN()),"")</f>
        <v/>
      </c>
      <c r="C1116" t="str">
        <f>IFERROR(INDEX(装备库!$A$2:$Y$1047,MATCH(ROW()-1,装备库!$AO$2:$AO$1046,0),COLUMN()),"")</f>
        <v/>
      </c>
      <c r="D1116" t="str">
        <f>IFERROR(INDEX(装备库!$A$2:$Y$1047,MATCH(ROW()-1,装备库!$AO$2:$AO$1046,0),COLUMN()),"")</f>
        <v/>
      </c>
      <c r="E1116" t="str">
        <f>IFERROR(INDEX(装备库!$A$2:$Y$1047,MATCH(ROW()-1,装备库!$AO$2:$AO$1046,0),COLUMN()),"")</f>
        <v/>
      </c>
      <c r="F1116" t="str">
        <f>IFERROR(INDEX(装备库!$A$2:$Y$1047,MATCH(ROW()-1,装备库!$AO$2:$AO$1046,0),COLUMN()),"")</f>
        <v/>
      </c>
      <c r="G1116" t="str">
        <f>IFERROR(INDEX(装备库!$A$2:$Y$1047,MATCH(ROW()-1,装备库!$AO$2:$AO$1046,0),COLUMN()),"")</f>
        <v/>
      </c>
      <c r="H1116" t="str">
        <f>IFERROR(INDEX(装备库!$A$2:$Y$1047,MATCH(ROW()-1,装备库!$AO$2:$AO$1046,0),COLUMN()),"")</f>
        <v/>
      </c>
      <c r="I1116" t="str">
        <f>IFERROR(INDEX(装备库!$A$2:$Y$1047,MATCH(ROW()-1,装备库!$AO$2:$AO$1046,0),COLUMN()),"")</f>
        <v/>
      </c>
      <c r="J1116" t="str">
        <f>IFERROR(INDEX(装备库!$A$2:$Y$1047,MATCH(ROW()-1,装备库!$AO$2:$AO$1046,0),COLUMN()),"")</f>
        <v/>
      </c>
      <c r="K1116" t="str">
        <f>IFERROR(INDEX(装备库!$A$2:$Y$1047,MATCH(ROW()-1,装备库!$AO$2:$AO$1046,0),COLUMN()),"")</f>
        <v/>
      </c>
      <c r="L1116" t="str">
        <f>IFERROR(INDEX(装备库!$A$2:$Y$1047,MATCH(ROW()-1,装备库!$AO$2:$AO$1046,0),COLUMN()),"")</f>
        <v/>
      </c>
      <c r="M1116" t="str">
        <f>IFERROR(INDEX(装备库!$A$2:$Y$1047,MATCH(ROW()-1,装备库!$AO$2:$AO$1046,0),COLUMN()),"")</f>
        <v/>
      </c>
      <c r="N1116" t="str">
        <f>IFERROR(INDEX(装备库!$A$2:$Y$1047,MATCH(ROW()-1,装备库!$AO$2:$AO$1046,0),COLUMN()),"")</f>
        <v/>
      </c>
      <c r="O1116" t="str">
        <f>IFERROR(INDEX(装备库!$A$2:$Y$1047,MATCH(ROW()-1,装备库!$AO$2:$AO$1046,0),COLUMN()),"")</f>
        <v/>
      </c>
      <c r="P1116" t="str">
        <f>IFERROR(INDEX(装备库!$A$2:$Y$1047,MATCH(ROW()-1,装备库!$AO$2:$AO$1046,0),COLUMN()),"")</f>
        <v/>
      </c>
      <c r="Q1116" t="str">
        <f>IFERROR(INDEX(装备库!$A$2:$Y$1047,MATCH(ROW()-1,装备库!$AO$2:$AO$1046,0),COLUMN()),"")</f>
        <v/>
      </c>
      <c r="R1116" t="str">
        <f>IFERROR(INDEX(装备库!$A$2:$Y$1047,MATCH(ROW()-1,装备库!$AO$2:$AO$1046,0),COLUMN()),"")</f>
        <v/>
      </c>
      <c r="S1116" t="str">
        <f>IFERROR(INDEX(装备库!$A$2:$Y$1047,MATCH(ROW()-1,装备库!$AO$2:$AO$1046,0),COLUMN()),"")</f>
        <v/>
      </c>
      <c r="T1116" t="str">
        <f>IFERROR(INDEX(装备库!$A$2:$Y$1047,MATCH(ROW()-1,装备库!$AO$2:$AO$1046,0),COLUMN()),"")</f>
        <v/>
      </c>
      <c r="U1116" t="str">
        <f>IFERROR(INDEX(装备库!$A$2:$Y$1047,MATCH(ROW()-1,装备库!$AO$2:$AO$1046,0),COLUMN()),"")</f>
        <v/>
      </c>
      <c r="V1116" t="str">
        <f>IFERROR(INDEX(装备库!$A$2:$Y$1047,MATCH(ROW()-1,装备库!$AO$2:$AO$1046,0),COLUMN()),"")</f>
        <v/>
      </c>
      <c r="W1116" t="str">
        <f>IFERROR(INDEX(装备库!$A$2:$Y$1047,MATCH(ROW()-1,装备库!$AO$2:$AO$1046,0),COLUMN()),"")</f>
        <v/>
      </c>
      <c r="X1116" t="str">
        <f>IFERROR(INDEX(装备库!$A$2:$Y$1047,MATCH(ROW()-1,装备库!$AO$2:$AO$1046,0),COLUMN()),"")</f>
        <v/>
      </c>
      <c r="Y1116" t="str">
        <f>IFERROR(INDEX(装备库!$A$2:$Y$1047,MATCH(ROW()-1,装备库!$AO$2:$AO$1046,0),COLUMN()),"")</f>
        <v/>
      </c>
    </row>
    <row r="1117" spans="1:25" x14ac:dyDescent="0.35">
      <c r="A1117" t="str">
        <f>IFERROR(INDEX(装备库!$A$2:$Y$1047,MATCH(ROW()-1,装备库!$AO$2:$AO$1046,0),COLUMN()),"")</f>
        <v/>
      </c>
      <c r="B1117" t="str">
        <f>IFERROR(INDEX(装备库!$A$2:$Y$1047,MATCH(ROW()-1,装备库!$AO$2:$AO$1046,0),COLUMN()),"")</f>
        <v/>
      </c>
      <c r="C1117" t="str">
        <f>IFERROR(INDEX(装备库!$A$2:$Y$1047,MATCH(ROW()-1,装备库!$AO$2:$AO$1046,0),COLUMN()),"")</f>
        <v/>
      </c>
      <c r="D1117" t="str">
        <f>IFERROR(INDEX(装备库!$A$2:$Y$1047,MATCH(ROW()-1,装备库!$AO$2:$AO$1046,0),COLUMN()),"")</f>
        <v/>
      </c>
      <c r="E1117" t="str">
        <f>IFERROR(INDEX(装备库!$A$2:$Y$1047,MATCH(ROW()-1,装备库!$AO$2:$AO$1046,0),COLUMN()),"")</f>
        <v/>
      </c>
      <c r="F1117" t="str">
        <f>IFERROR(INDEX(装备库!$A$2:$Y$1047,MATCH(ROW()-1,装备库!$AO$2:$AO$1046,0),COLUMN()),"")</f>
        <v/>
      </c>
      <c r="G1117" t="str">
        <f>IFERROR(INDEX(装备库!$A$2:$Y$1047,MATCH(ROW()-1,装备库!$AO$2:$AO$1046,0),COLUMN()),"")</f>
        <v/>
      </c>
      <c r="H1117" t="str">
        <f>IFERROR(INDEX(装备库!$A$2:$Y$1047,MATCH(ROW()-1,装备库!$AO$2:$AO$1046,0),COLUMN()),"")</f>
        <v/>
      </c>
      <c r="I1117" t="str">
        <f>IFERROR(INDEX(装备库!$A$2:$Y$1047,MATCH(ROW()-1,装备库!$AO$2:$AO$1046,0),COLUMN()),"")</f>
        <v/>
      </c>
      <c r="J1117" t="str">
        <f>IFERROR(INDEX(装备库!$A$2:$Y$1047,MATCH(ROW()-1,装备库!$AO$2:$AO$1046,0),COLUMN()),"")</f>
        <v/>
      </c>
      <c r="K1117" t="str">
        <f>IFERROR(INDEX(装备库!$A$2:$Y$1047,MATCH(ROW()-1,装备库!$AO$2:$AO$1046,0),COLUMN()),"")</f>
        <v/>
      </c>
      <c r="L1117" t="str">
        <f>IFERROR(INDEX(装备库!$A$2:$Y$1047,MATCH(ROW()-1,装备库!$AO$2:$AO$1046,0),COLUMN()),"")</f>
        <v/>
      </c>
      <c r="M1117" t="str">
        <f>IFERROR(INDEX(装备库!$A$2:$Y$1047,MATCH(ROW()-1,装备库!$AO$2:$AO$1046,0),COLUMN()),"")</f>
        <v/>
      </c>
      <c r="N1117" t="str">
        <f>IFERROR(INDEX(装备库!$A$2:$Y$1047,MATCH(ROW()-1,装备库!$AO$2:$AO$1046,0),COLUMN()),"")</f>
        <v/>
      </c>
      <c r="O1117" t="str">
        <f>IFERROR(INDEX(装备库!$A$2:$Y$1047,MATCH(ROW()-1,装备库!$AO$2:$AO$1046,0),COLUMN()),"")</f>
        <v/>
      </c>
      <c r="P1117" t="str">
        <f>IFERROR(INDEX(装备库!$A$2:$Y$1047,MATCH(ROW()-1,装备库!$AO$2:$AO$1046,0),COLUMN()),"")</f>
        <v/>
      </c>
      <c r="Q1117" t="str">
        <f>IFERROR(INDEX(装备库!$A$2:$Y$1047,MATCH(ROW()-1,装备库!$AO$2:$AO$1046,0),COLUMN()),"")</f>
        <v/>
      </c>
      <c r="R1117" t="str">
        <f>IFERROR(INDEX(装备库!$A$2:$Y$1047,MATCH(ROW()-1,装备库!$AO$2:$AO$1046,0),COLUMN()),"")</f>
        <v/>
      </c>
      <c r="S1117" t="str">
        <f>IFERROR(INDEX(装备库!$A$2:$Y$1047,MATCH(ROW()-1,装备库!$AO$2:$AO$1046,0),COLUMN()),"")</f>
        <v/>
      </c>
      <c r="T1117" t="str">
        <f>IFERROR(INDEX(装备库!$A$2:$Y$1047,MATCH(ROW()-1,装备库!$AO$2:$AO$1046,0),COLUMN()),"")</f>
        <v/>
      </c>
      <c r="U1117" t="str">
        <f>IFERROR(INDEX(装备库!$A$2:$Y$1047,MATCH(ROW()-1,装备库!$AO$2:$AO$1046,0),COLUMN()),"")</f>
        <v/>
      </c>
      <c r="V1117" t="str">
        <f>IFERROR(INDEX(装备库!$A$2:$Y$1047,MATCH(ROW()-1,装备库!$AO$2:$AO$1046,0),COLUMN()),"")</f>
        <v/>
      </c>
      <c r="W1117" t="str">
        <f>IFERROR(INDEX(装备库!$A$2:$Y$1047,MATCH(ROW()-1,装备库!$AO$2:$AO$1046,0),COLUMN()),"")</f>
        <v/>
      </c>
      <c r="X1117" t="str">
        <f>IFERROR(INDEX(装备库!$A$2:$Y$1047,MATCH(ROW()-1,装备库!$AO$2:$AO$1046,0),COLUMN()),"")</f>
        <v/>
      </c>
      <c r="Y1117" t="str">
        <f>IFERROR(INDEX(装备库!$A$2:$Y$1047,MATCH(ROW()-1,装备库!$AO$2:$AO$1046,0),COLUMN()),"")</f>
        <v/>
      </c>
    </row>
    <row r="1118" spans="1:25" x14ac:dyDescent="0.35">
      <c r="A1118" t="str">
        <f>IFERROR(INDEX(装备库!$A$2:$Y$1047,MATCH(ROW()-1,装备库!$AO$2:$AO$1046,0),COLUMN()),"")</f>
        <v/>
      </c>
      <c r="B1118" t="str">
        <f>IFERROR(INDEX(装备库!$A$2:$Y$1047,MATCH(ROW()-1,装备库!$AO$2:$AO$1046,0),COLUMN()),"")</f>
        <v/>
      </c>
      <c r="C1118" t="str">
        <f>IFERROR(INDEX(装备库!$A$2:$Y$1047,MATCH(ROW()-1,装备库!$AO$2:$AO$1046,0),COLUMN()),"")</f>
        <v/>
      </c>
      <c r="D1118" t="str">
        <f>IFERROR(INDEX(装备库!$A$2:$Y$1047,MATCH(ROW()-1,装备库!$AO$2:$AO$1046,0),COLUMN()),"")</f>
        <v/>
      </c>
      <c r="E1118" t="str">
        <f>IFERROR(INDEX(装备库!$A$2:$Y$1047,MATCH(ROW()-1,装备库!$AO$2:$AO$1046,0),COLUMN()),"")</f>
        <v/>
      </c>
      <c r="F1118" t="str">
        <f>IFERROR(INDEX(装备库!$A$2:$Y$1047,MATCH(ROW()-1,装备库!$AO$2:$AO$1046,0),COLUMN()),"")</f>
        <v/>
      </c>
      <c r="G1118" t="str">
        <f>IFERROR(INDEX(装备库!$A$2:$Y$1047,MATCH(ROW()-1,装备库!$AO$2:$AO$1046,0),COLUMN()),"")</f>
        <v/>
      </c>
      <c r="H1118" t="str">
        <f>IFERROR(INDEX(装备库!$A$2:$Y$1047,MATCH(ROW()-1,装备库!$AO$2:$AO$1046,0),COLUMN()),"")</f>
        <v/>
      </c>
      <c r="I1118" t="str">
        <f>IFERROR(INDEX(装备库!$A$2:$Y$1047,MATCH(ROW()-1,装备库!$AO$2:$AO$1046,0),COLUMN()),"")</f>
        <v/>
      </c>
      <c r="J1118" t="str">
        <f>IFERROR(INDEX(装备库!$A$2:$Y$1047,MATCH(ROW()-1,装备库!$AO$2:$AO$1046,0),COLUMN()),"")</f>
        <v/>
      </c>
      <c r="K1118" t="str">
        <f>IFERROR(INDEX(装备库!$A$2:$Y$1047,MATCH(ROW()-1,装备库!$AO$2:$AO$1046,0),COLUMN()),"")</f>
        <v/>
      </c>
      <c r="L1118" t="str">
        <f>IFERROR(INDEX(装备库!$A$2:$Y$1047,MATCH(ROW()-1,装备库!$AO$2:$AO$1046,0),COLUMN()),"")</f>
        <v/>
      </c>
      <c r="M1118" t="str">
        <f>IFERROR(INDEX(装备库!$A$2:$Y$1047,MATCH(ROW()-1,装备库!$AO$2:$AO$1046,0),COLUMN()),"")</f>
        <v/>
      </c>
      <c r="N1118" t="str">
        <f>IFERROR(INDEX(装备库!$A$2:$Y$1047,MATCH(ROW()-1,装备库!$AO$2:$AO$1046,0),COLUMN()),"")</f>
        <v/>
      </c>
      <c r="O1118" t="str">
        <f>IFERROR(INDEX(装备库!$A$2:$Y$1047,MATCH(ROW()-1,装备库!$AO$2:$AO$1046,0),COLUMN()),"")</f>
        <v/>
      </c>
      <c r="P1118" t="str">
        <f>IFERROR(INDEX(装备库!$A$2:$Y$1047,MATCH(ROW()-1,装备库!$AO$2:$AO$1046,0),COLUMN()),"")</f>
        <v/>
      </c>
      <c r="Q1118" t="str">
        <f>IFERROR(INDEX(装备库!$A$2:$Y$1047,MATCH(ROW()-1,装备库!$AO$2:$AO$1046,0),COLUMN()),"")</f>
        <v/>
      </c>
      <c r="R1118" t="str">
        <f>IFERROR(INDEX(装备库!$A$2:$Y$1047,MATCH(ROW()-1,装备库!$AO$2:$AO$1046,0),COLUMN()),"")</f>
        <v/>
      </c>
      <c r="S1118" t="str">
        <f>IFERROR(INDEX(装备库!$A$2:$Y$1047,MATCH(ROW()-1,装备库!$AO$2:$AO$1046,0),COLUMN()),"")</f>
        <v/>
      </c>
      <c r="T1118" t="str">
        <f>IFERROR(INDEX(装备库!$A$2:$Y$1047,MATCH(ROW()-1,装备库!$AO$2:$AO$1046,0),COLUMN()),"")</f>
        <v/>
      </c>
      <c r="U1118" t="str">
        <f>IFERROR(INDEX(装备库!$A$2:$Y$1047,MATCH(ROW()-1,装备库!$AO$2:$AO$1046,0),COLUMN()),"")</f>
        <v/>
      </c>
      <c r="V1118" t="str">
        <f>IFERROR(INDEX(装备库!$A$2:$Y$1047,MATCH(ROW()-1,装备库!$AO$2:$AO$1046,0),COLUMN()),"")</f>
        <v/>
      </c>
      <c r="W1118" t="str">
        <f>IFERROR(INDEX(装备库!$A$2:$Y$1047,MATCH(ROW()-1,装备库!$AO$2:$AO$1046,0),COLUMN()),"")</f>
        <v/>
      </c>
      <c r="X1118" t="str">
        <f>IFERROR(INDEX(装备库!$A$2:$Y$1047,MATCH(ROW()-1,装备库!$AO$2:$AO$1046,0),COLUMN()),"")</f>
        <v/>
      </c>
      <c r="Y1118" t="str">
        <f>IFERROR(INDEX(装备库!$A$2:$Y$1047,MATCH(ROW()-1,装备库!$AO$2:$AO$1046,0),COLUMN()),"")</f>
        <v/>
      </c>
    </row>
    <row r="1119" spans="1:25" x14ac:dyDescent="0.35">
      <c r="A1119" t="str">
        <f>IFERROR(INDEX(装备库!$A$2:$Y$1047,MATCH(ROW()-1,装备库!$AO$2:$AO$1046,0),COLUMN()),"")</f>
        <v/>
      </c>
      <c r="B1119" t="str">
        <f>IFERROR(INDEX(装备库!$A$2:$Y$1047,MATCH(ROW()-1,装备库!$AO$2:$AO$1046,0),COLUMN()),"")</f>
        <v/>
      </c>
      <c r="C1119" t="str">
        <f>IFERROR(INDEX(装备库!$A$2:$Y$1047,MATCH(ROW()-1,装备库!$AO$2:$AO$1046,0),COLUMN()),"")</f>
        <v/>
      </c>
      <c r="D1119" t="str">
        <f>IFERROR(INDEX(装备库!$A$2:$Y$1047,MATCH(ROW()-1,装备库!$AO$2:$AO$1046,0),COLUMN()),"")</f>
        <v/>
      </c>
      <c r="E1119" t="str">
        <f>IFERROR(INDEX(装备库!$A$2:$Y$1047,MATCH(ROW()-1,装备库!$AO$2:$AO$1046,0),COLUMN()),"")</f>
        <v/>
      </c>
      <c r="F1119" t="str">
        <f>IFERROR(INDEX(装备库!$A$2:$Y$1047,MATCH(ROW()-1,装备库!$AO$2:$AO$1046,0),COLUMN()),"")</f>
        <v/>
      </c>
      <c r="G1119" t="str">
        <f>IFERROR(INDEX(装备库!$A$2:$Y$1047,MATCH(ROW()-1,装备库!$AO$2:$AO$1046,0),COLUMN()),"")</f>
        <v/>
      </c>
      <c r="H1119" t="str">
        <f>IFERROR(INDEX(装备库!$A$2:$Y$1047,MATCH(ROW()-1,装备库!$AO$2:$AO$1046,0),COLUMN()),"")</f>
        <v/>
      </c>
      <c r="I1119" t="str">
        <f>IFERROR(INDEX(装备库!$A$2:$Y$1047,MATCH(ROW()-1,装备库!$AO$2:$AO$1046,0),COLUMN()),"")</f>
        <v/>
      </c>
      <c r="J1119" t="str">
        <f>IFERROR(INDEX(装备库!$A$2:$Y$1047,MATCH(ROW()-1,装备库!$AO$2:$AO$1046,0),COLUMN()),"")</f>
        <v/>
      </c>
      <c r="K1119" t="str">
        <f>IFERROR(INDEX(装备库!$A$2:$Y$1047,MATCH(ROW()-1,装备库!$AO$2:$AO$1046,0),COLUMN()),"")</f>
        <v/>
      </c>
      <c r="L1119" t="str">
        <f>IFERROR(INDEX(装备库!$A$2:$Y$1047,MATCH(ROW()-1,装备库!$AO$2:$AO$1046,0),COLUMN()),"")</f>
        <v/>
      </c>
      <c r="M1119" t="str">
        <f>IFERROR(INDEX(装备库!$A$2:$Y$1047,MATCH(ROW()-1,装备库!$AO$2:$AO$1046,0),COLUMN()),"")</f>
        <v/>
      </c>
      <c r="N1119" t="str">
        <f>IFERROR(INDEX(装备库!$A$2:$Y$1047,MATCH(ROW()-1,装备库!$AO$2:$AO$1046,0),COLUMN()),"")</f>
        <v/>
      </c>
      <c r="O1119" t="str">
        <f>IFERROR(INDEX(装备库!$A$2:$Y$1047,MATCH(ROW()-1,装备库!$AO$2:$AO$1046,0),COLUMN()),"")</f>
        <v/>
      </c>
      <c r="P1119" t="str">
        <f>IFERROR(INDEX(装备库!$A$2:$Y$1047,MATCH(ROW()-1,装备库!$AO$2:$AO$1046,0),COLUMN()),"")</f>
        <v/>
      </c>
      <c r="Q1119" t="str">
        <f>IFERROR(INDEX(装备库!$A$2:$Y$1047,MATCH(ROW()-1,装备库!$AO$2:$AO$1046,0),COLUMN()),"")</f>
        <v/>
      </c>
      <c r="R1119" t="str">
        <f>IFERROR(INDEX(装备库!$A$2:$Y$1047,MATCH(ROW()-1,装备库!$AO$2:$AO$1046,0),COLUMN()),"")</f>
        <v/>
      </c>
      <c r="S1119" t="str">
        <f>IFERROR(INDEX(装备库!$A$2:$Y$1047,MATCH(ROW()-1,装备库!$AO$2:$AO$1046,0),COLUMN()),"")</f>
        <v/>
      </c>
      <c r="T1119" t="str">
        <f>IFERROR(INDEX(装备库!$A$2:$Y$1047,MATCH(ROW()-1,装备库!$AO$2:$AO$1046,0),COLUMN()),"")</f>
        <v/>
      </c>
      <c r="U1119" t="str">
        <f>IFERROR(INDEX(装备库!$A$2:$Y$1047,MATCH(ROW()-1,装备库!$AO$2:$AO$1046,0),COLUMN()),"")</f>
        <v/>
      </c>
      <c r="V1119" t="str">
        <f>IFERROR(INDEX(装备库!$A$2:$Y$1047,MATCH(ROW()-1,装备库!$AO$2:$AO$1046,0),COLUMN()),"")</f>
        <v/>
      </c>
      <c r="W1119" t="str">
        <f>IFERROR(INDEX(装备库!$A$2:$Y$1047,MATCH(ROW()-1,装备库!$AO$2:$AO$1046,0),COLUMN()),"")</f>
        <v/>
      </c>
      <c r="X1119" t="str">
        <f>IFERROR(INDEX(装备库!$A$2:$Y$1047,MATCH(ROW()-1,装备库!$AO$2:$AO$1046,0),COLUMN()),"")</f>
        <v/>
      </c>
      <c r="Y1119" t="str">
        <f>IFERROR(INDEX(装备库!$A$2:$Y$1047,MATCH(ROW()-1,装备库!$AO$2:$AO$1046,0),COLUMN()),"")</f>
        <v/>
      </c>
    </row>
    <row r="1120" spans="1:25" x14ac:dyDescent="0.35">
      <c r="A1120" t="str">
        <f>IFERROR(INDEX(装备库!$A$2:$Y$1047,MATCH(ROW()-1,装备库!$AO$2:$AO$1046,0),COLUMN()),"")</f>
        <v/>
      </c>
      <c r="B1120" t="str">
        <f>IFERROR(INDEX(装备库!$A$2:$Y$1047,MATCH(ROW()-1,装备库!$AO$2:$AO$1046,0),COLUMN()),"")</f>
        <v/>
      </c>
      <c r="C1120" t="str">
        <f>IFERROR(INDEX(装备库!$A$2:$Y$1047,MATCH(ROW()-1,装备库!$AO$2:$AO$1046,0),COLUMN()),"")</f>
        <v/>
      </c>
      <c r="D1120" t="str">
        <f>IFERROR(INDEX(装备库!$A$2:$Y$1047,MATCH(ROW()-1,装备库!$AO$2:$AO$1046,0),COLUMN()),"")</f>
        <v/>
      </c>
      <c r="E1120" t="str">
        <f>IFERROR(INDEX(装备库!$A$2:$Y$1047,MATCH(ROW()-1,装备库!$AO$2:$AO$1046,0),COLUMN()),"")</f>
        <v/>
      </c>
      <c r="F1120" t="str">
        <f>IFERROR(INDEX(装备库!$A$2:$Y$1047,MATCH(ROW()-1,装备库!$AO$2:$AO$1046,0),COLUMN()),"")</f>
        <v/>
      </c>
      <c r="G1120" t="str">
        <f>IFERROR(INDEX(装备库!$A$2:$Y$1047,MATCH(ROW()-1,装备库!$AO$2:$AO$1046,0),COLUMN()),"")</f>
        <v/>
      </c>
      <c r="H1120" t="str">
        <f>IFERROR(INDEX(装备库!$A$2:$Y$1047,MATCH(ROW()-1,装备库!$AO$2:$AO$1046,0),COLUMN()),"")</f>
        <v/>
      </c>
      <c r="I1120" t="str">
        <f>IFERROR(INDEX(装备库!$A$2:$Y$1047,MATCH(ROW()-1,装备库!$AO$2:$AO$1046,0),COLUMN()),"")</f>
        <v/>
      </c>
      <c r="J1120" t="str">
        <f>IFERROR(INDEX(装备库!$A$2:$Y$1047,MATCH(ROW()-1,装备库!$AO$2:$AO$1046,0),COLUMN()),"")</f>
        <v/>
      </c>
      <c r="K1120" t="str">
        <f>IFERROR(INDEX(装备库!$A$2:$Y$1047,MATCH(ROW()-1,装备库!$AO$2:$AO$1046,0),COLUMN()),"")</f>
        <v/>
      </c>
      <c r="L1120" t="str">
        <f>IFERROR(INDEX(装备库!$A$2:$Y$1047,MATCH(ROW()-1,装备库!$AO$2:$AO$1046,0),COLUMN()),"")</f>
        <v/>
      </c>
      <c r="M1120" t="str">
        <f>IFERROR(INDEX(装备库!$A$2:$Y$1047,MATCH(ROW()-1,装备库!$AO$2:$AO$1046,0),COLUMN()),"")</f>
        <v/>
      </c>
      <c r="N1120" t="str">
        <f>IFERROR(INDEX(装备库!$A$2:$Y$1047,MATCH(ROW()-1,装备库!$AO$2:$AO$1046,0),COLUMN()),"")</f>
        <v/>
      </c>
      <c r="O1120" t="str">
        <f>IFERROR(INDEX(装备库!$A$2:$Y$1047,MATCH(ROW()-1,装备库!$AO$2:$AO$1046,0),COLUMN()),"")</f>
        <v/>
      </c>
      <c r="P1120" t="str">
        <f>IFERROR(INDEX(装备库!$A$2:$Y$1047,MATCH(ROW()-1,装备库!$AO$2:$AO$1046,0),COLUMN()),"")</f>
        <v/>
      </c>
      <c r="Q1120" t="str">
        <f>IFERROR(INDEX(装备库!$A$2:$Y$1047,MATCH(ROW()-1,装备库!$AO$2:$AO$1046,0),COLUMN()),"")</f>
        <v/>
      </c>
      <c r="R1120" t="str">
        <f>IFERROR(INDEX(装备库!$A$2:$Y$1047,MATCH(ROW()-1,装备库!$AO$2:$AO$1046,0),COLUMN()),"")</f>
        <v/>
      </c>
      <c r="S1120" t="str">
        <f>IFERROR(INDEX(装备库!$A$2:$Y$1047,MATCH(ROW()-1,装备库!$AO$2:$AO$1046,0),COLUMN()),"")</f>
        <v/>
      </c>
      <c r="T1120" t="str">
        <f>IFERROR(INDEX(装备库!$A$2:$Y$1047,MATCH(ROW()-1,装备库!$AO$2:$AO$1046,0),COLUMN()),"")</f>
        <v/>
      </c>
      <c r="U1120" t="str">
        <f>IFERROR(INDEX(装备库!$A$2:$Y$1047,MATCH(ROW()-1,装备库!$AO$2:$AO$1046,0),COLUMN()),"")</f>
        <v/>
      </c>
      <c r="V1120" t="str">
        <f>IFERROR(INDEX(装备库!$A$2:$Y$1047,MATCH(ROW()-1,装备库!$AO$2:$AO$1046,0),COLUMN()),"")</f>
        <v/>
      </c>
      <c r="W1120" t="str">
        <f>IFERROR(INDEX(装备库!$A$2:$Y$1047,MATCH(ROW()-1,装备库!$AO$2:$AO$1046,0),COLUMN()),"")</f>
        <v/>
      </c>
      <c r="X1120" t="str">
        <f>IFERROR(INDEX(装备库!$A$2:$Y$1047,MATCH(ROW()-1,装备库!$AO$2:$AO$1046,0),COLUMN()),"")</f>
        <v/>
      </c>
      <c r="Y1120" t="str">
        <f>IFERROR(INDEX(装备库!$A$2:$Y$1047,MATCH(ROW()-1,装备库!$AO$2:$AO$1046,0),COLUMN()),"")</f>
        <v/>
      </c>
    </row>
    <row r="1121" spans="1:25" x14ac:dyDescent="0.35">
      <c r="A1121" t="str">
        <f>IFERROR(INDEX(装备库!$A$2:$Y$1047,MATCH(ROW()-1,装备库!$AO$2:$AO$1046,0),COLUMN()),"")</f>
        <v/>
      </c>
      <c r="B1121" t="str">
        <f>IFERROR(INDEX(装备库!$A$2:$Y$1047,MATCH(ROW()-1,装备库!$AO$2:$AO$1046,0),COLUMN()),"")</f>
        <v/>
      </c>
      <c r="C1121" t="str">
        <f>IFERROR(INDEX(装备库!$A$2:$Y$1047,MATCH(ROW()-1,装备库!$AO$2:$AO$1046,0),COLUMN()),"")</f>
        <v/>
      </c>
      <c r="D1121" t="str">
        <f>IFERROR(INDEX(装备库!$A$2:$Y$1047,MATCH(ROW()-1,装备库!$AO$2:$AO$1046,0),COLUMN()),"")</f>
        <v/>
      </c>
      <c r="E1121" t="str">
        <f>IFERROR(INDEX(装备库!$A$2:$Y$1047,MATCH(ROW()-1,装备库!$AO$2:$AO$1046,0),COLUMN()),"")</f>
        <v/>
      </c>
      <c r="F1121" t="str">
        <f>IFERROR(INDEX(装备库!$A$2:$Y$1047,MATCH(ROW()-1,装备库!$AO$2:$AO$1046,0),COLUMN()),"")</f>
        <v/>
      </c>
      <c r="G1121" t="str">
        <f>IFERROR(INDEX(装备库!$A$2:$Y$1047,MATCH(ROW()-1,装备库!$AO$2:$AO$1046,0),COLUMN()),"")</f>
        <v/>
      </c>
      <c r="H1121" t="str">
        <f>IFERROR(INDEX(装备库!$A$2:$Y$1047,MATCH(ROW()-1,装备库!$AO$2:$AO$1046,0),COLUMN()),"")</f>
        <v/>
      </c>
      <c r="I1121" t="str">
        <f>IFERROR(INDEX(装备库!$A$2:$Y$1047,MATCH(ROW()-1,装备库!$AO$2:$AO$1046,0),COLUMN()),"")</f>
        <v/>
      </c>
      <c r="J1121" t="str">
        <f>IFERROR(INDEX(装备库!$A$2:$Y$1047,MATCH(ROW()-1,装备库!$AO$2:$AO$1046,0),COLUMN()),"")</f>
        <v/>
      </c>
      <c r="K1121" t="str">
        <f>IFERROR(INDEX(装备库!$A$2:$Y$1047,MATCH(ROW()-1,装备库!$AO$2:$AO$1046,0),COLUMN()),"")</f>
        <v/>
      </c>
      <c r="L1121" t="str">
        <f>IFERROR(INDEX(装备库!$A$2:$Y$1047,MATCH(ROW()-1,装备库!$AO$2:$AO$1046,0),COLUMN()),"")</f>
        <v/>
      </c>
      <c r="M1121" t="str">
        <f>IFERROR(INDEX(装备库!$A$2:$Y$1047,MATCH(ROW()-1,装备库!$AO$2:$AO$1046,0),COLUMN()),"")</f>
        <v/>
      </c>
      <c r="N1121" t="str">
        <f>IFERROR(INDEX(装备库!$A$2:$Y$1047,MATCH(ROW()-1,装备库!$AO$2:$AO$1046,0),COLUMN()),"")</f>
        <v/>
      </c>
      <c r="O1121" t="str">
        <f>IFERROR(INDEX(装备库!$A$2:$Y$1047,MATCH(ROW()-1,装备库!$AO$2:$AO$1046,0),COLUMN()),"")</f>
        <v/>
      </c>
      <c r="P1121" t="str">
        <f>IFERROR(INDEX(装备库!$A$2:$Y$1047,MATCH(ROW()-1,装备库!$AO$2:$AO$1046,0),COLUMN()),"")</f>
        <v/>
      </c>
      <c r="Q1121" t="str">
        <f>IFERROR(INDEX(装备库!$A$2:$Y$1047,MATCH(ROW()-1,装备库!$AO$2:$AO$1046,0),COLUMN()),"")</f>
        <v/>
      </c>
      <c r="R1121" t="str">
        <f>IFERROR(INDEX(装备库!$A$2:$Y$1047,MATCH(ROW()-1,装备库!$AO$2:$AO$1046,0),COLUMN()),"")</f>
        <v/>
      </c>
      <c r="S1121" t="str">
        <f>IFERROR(INDEX(装备库!$A$2:$Y$1047,MATCH(ROW()-1,装备库!$AO$2:$AO$1046,0),COLUMN()),"")</f>
        <v/>
      </c>
      <c r="T1121" t="str">
        <f>IFERROR(INDEX(装备库!$A$2:$Y$1047,MATCH(ROW()-1,装备库!$AO$2:$AO$1046,0),COLUMN()),"")</f>
        <v/>
      </c>
      <c r="U1121" t="str">
        <f>IFERROR(INDEX(装备库!$A$2:$Y$1047,MATCH(ROW()-1,装备库!$AO$2:$AO$1046,0),COLUMN()),"")</f>
        <v/>
      </c>
      <c r="V1121" t="str">
        <f>IFERROR(INDEX(装备库!$A$2:$Y$1047,MATCH(ROW()-1,装备库!$AO$2:$AO$1046,0),COLUMN()),"")</f>
        <v/>
      </c>
      <c r="W1121" t="str">
        <f>IFERROR(INDEX(装备库!$A$2:$Y$1047,MATCH(ROW()-1,装备库!$AO$2:$AO$1046,0),COLUMN()),"")</f>
        <v/>
      </c>
      <c r="X1121" t="str">
        <f>IFERROR(INDEX(装备库!$A$2:$Y$1047,MATCH(ROW()-1,装备库!$AO$2:$AO$1046,0),COLUMN()),"")</f>
        <v/>
      </c>
      <c r="Y1121" t="str">
        <f>IFERROR(INDEX(装备库!$A$2:$Y$1047,MATCH(ROW()-1,装备库!$AO$2:$AO$1046,0),COLUMN()),"")</f>
        <v/>
      </c>
    </row>
    <row r="1122" spans="1:25" x14ac:dyDescent="0.35">
      <c r="A1122" t="str">
        <f>IFERROR(INDEX(装备库!$A$2:$Y$1047,MATCH(ROW()-1,装备库!$AO$2:$AO$1046,0),COLUMN()),"")</f>
        <v/>
      </c>
      <c r="B1122" t="str">
        <f>IFERROR(INDEX(装备库!$A$2:$Y$1047,MATCH(ROW()-1,装备库!$AO$2:$AO$1046,0),COLUMN()),"")</f>
        <v/>
      </c>
      <c r="C1122" t="str">
        <f>IFERROR(INDEX(装备库!$A$2:$Y$1047,MATCH(ROW()-1,装备库!$AO$2:$AO$1046,0),COLUMN()),"")</f>
        <v/>
      </c>
      <c r="D1122" t="str">
        <f>IFERROR(INDEX(装备库!$A$2:$Y$1047,MATCH(ROW()-1,装备库!$AO$2:$AO$1046,0),COLUMN()),"")</f>
        <v/>
      </c>
      <c r="E1122" t="str">
        <f>IFERROR(INDEX(装备库!$A$2:$Y$1047,MATCH(ROW()-1,装备库!$AO$2:$AO$1046,0),COLUMN()),"")</f>
        <v/>
      </c>
      <c r="F1122" t="str">
        <f>IFERROR(INDEX(装备库!$A$2:$Y$1047,MATCH(ROW()-1,装备库!$AO$2:$AO$1046,0),COLUMN()),"")</f>
        <v/>
      </c>
      <c r="G1122" t="str">
        <f>IFERROR(INDEX(装备库!$A$2:$Y$1047,MATCH(ROW()-1,装备库!$AO$2:$AO$1046,0),COLUMN()),"")</f>
        <v/>
      </c>
      <c r="H1122" t="str">
        <f>IFERROR(INDEX(装备库!$A$2:$Y$1047,MATCH(ROW()-1,装备库!$AO$2:$AO$1046,0),COLUMN()),"")</f>
        <v/>
      </c>
      <c r="I1122" t="str">
        <f>IFERROR(INDEX(装备库!$A$2:$Y$1047,MATCH(ROW()-1,装备库!$AO$2:$AO$1046,0),COLUMN()),"")</f>
        <v/>
      </c>
      <c r="J1122" t="str">
        <f>IFERROR(INDEX(装备库!$A$2:$Y$1047,MATCH(ROW()-1,装备库!$AO$2:$AO$1046,0),COLUMN()),"")</f>
        <v/>
      </c>
      <c r="K1122" t="str">
        <f>IFERROR(INDEX(装备库!$A$2:$Y$1047,MATCH(ROW()-1,装备库!$AO$2:$AO$1046,0),COLUMN()),"")</f>
        <v/>
      </c>
      <c r="L1122" t="str">
        <f>IFERROR(INDEX(装备库!$A$2:$Y$1047,MATCH(ROW()-1,装备库!$AO$2:$AO$1046,0),COLUMN()),"")</f>
        <v/>
      </c>
      <c r="M1122" t="str">
        <f>IFERROR(INDEX(装备库!$A$2:$Y$1047,MATCH(ROW()-1,装备库!$AO$2:$AO$1046,0),COLUMN()),"")</f>
        <v/>
      </c>
      <c r="N1122" t="str">
        <f>IFERROR(INDEX(装备库!$A$2:$Y$1047,MATCH(ROW()-1,装备库!$AO$2:$AO$1046,0),COLUMN()),"")</f>
        <v/>
      </c>
      <c r="O1122" t="str">
        <f>IFERROR(INDEX(装备库!$A$2:$Y$1047,MATCH(ROW()-1,装备库!$AO$2:$AO$1046,0),COLUMN()),"")</f>
        <v/>
      </c>
      <c r="P1122" t="str">
        <f>IFERROR(INDEX(装备库!$A$2:$Y$1047,MATCH(ROW()-1,装备库!$AO$2:$AO$1046,0),COLUMN()),"")</f>
        <v/>
      </c>
      <c r="Q1122" t="str">
        <f>IFERROR(INDEX(装备库!$A$2:$Y$1047,MATCH(ROW()-1,装备库!$AO$2:$AO$1046,0),COLUMN()),"")</f>
        <v/>
      </c>
      <c r="R1122" t="str">
        <f>IFERROR(INDEX(装备库!$A$2:$Y$1047,MATCH(ROW()-1,装备库!$AO$2:$AO$1046,0),COLUMN()),"")</f>
        <v/>
      </c>
      <c r="S1122" t="str">
        <f>IFERROR(INDEX(装备库!$A$2:$Y$1047,MATCH(ROW()-1,装备库!$AO$2:$AO$1046,0),COLUMN()),"")</f>
        <v/>
      </c>
      <c r="T1122" t="str">
        <f>IFERROR(INDEX(装备库!$A$2:$Y$1047,MATCH(ROW()-1,装备库!$AO$2:$AO$1046,0),COLUMN()),"")</f>
        <v/>
      </c>
      <c r="U1122" t="str">
        <f>IFERROR(INDEX(装备库!$A$2:$Y$1047,MATCH(ROW()-1,装备库!$AO$2:$AO$1046,0),COLUMN()),"")</f>
        <v/>
      </c>
      <c r="V1122" t="str">
        <f>IFERROR(INDEX(装备库!$A$2:$Y$1047,MATCH(ROW()-1,装备库!$AO$2:$AO$1046,0),COLUMN()),"")</f>
        <v/>
      </c>
      <c r="W1122" t="str">
        <f>IFERROR(INDEX(装备库!$A$2:$Y$1047,MATCH(ROW()-1,装备库!$AO$2:$AO$1046,0),COLUMN()),"")</f>
        <v/>
      </c>
      <c r="X1122" t="str">
        <f>IFERROR(INDEX(装备库!$A$2:$Y$1047,MATCH(ROW()-1,装备库!$AO$2:$AO$1046,0),COLUMN()),"")</f>
        <v/>
      </c>
      <c r="Y1122" t="str">
        <f>IFERROR(INDEX(装备库!$A$2:$Y$1047,MATCH(ROW()-1,装备库!$AO$2:$AO$1046,0),COLUMN()),"")</f>
        <v/>
      </c>
    </row>
    <row r="1123" spans="1:25" x14ac:dyDescent="0.35">
      <c r="A1123" t="str">
        <f>IFERROR(INDEX(装备库!$A$2:$Y$1047,MATCH(ROW()-1,装备库!$AO$2:$AO$1046,0),COLUMN()),"")</f>
        <v/>
      </c>
      <c r="B1123" t="str">
        <f>IFERROR(INDEX(装备库!$A$2:$Y$1047,MATCH(ROW()-1,装备库!$AO$2:$AO$1046,0),COLUMN()),"")</f>
        <v/>
      </c>
      <c r="C1123" t="str">
        <f>IFERROR(INDEX(装备库!$A$2:$Y$1047,MATCH(ROW()-1,装备库!$AO$2:$AO$1046,0),COLUMN()),"")</f>
        <v/>
      </c>
      <c r="D1123" t="str">
        <f>IFERROR(INDEX(装备库!$A$2:$Y$1047,MATCH(ROW()-1,装备库!$AO$2:$AO$1046,0),COLUMN()),"")</f>
        <v/>
      </c>
      <c r="E1123" t="str">
        <f>IFERROR(INDEX(装备库!$A$2:$Y$1047,MATCH(ROW()-1,装备库!$AO$2:$AO$1046,0),COLUMN()),"")</f>
        <v/>
      </c>
      <c r="F1123" t="str">
        <f>IFERROR(INDEX(装备库!$A$2:$Y$1047,MATCH(ROW()-1,装备库!$AO$2:$AO$1046,0),COLUMN()),"")</f>
        <v/>
      </c>
      <c r="G1123" t="str">
        <f>IFERROR(INDEX(装备库!$A$2:$Y$1047,MATCH(ROW()-1,装备库!$AO$2:$AO$1046,0),COLUMN()),"")</f>
        <v/>
      </c>
      <c r="H1123" t="str">
        <f>IFERROR(INDEX(装备库!$A$2:$Y$1047,MATCH(ROW()-1,装备库!$AO$2:$AO$1046,0),COLUMN()),"")</f>
        <v/>
      </c>
      <c r="I1123" t="str">
        <f>IFERROR(INDEX(装备库!$A$2:$Y$1047,MATCH(ROW()-1,装备库!$AO$2:$AO$1046,0),COLUMN()),"")</f>
        <v/>
      </c>
      <c r="J1123" t="str">
        <f>IFERROR(INDEX(装备库!$A$2:$Y$1047,MATCH(ROW()-1,装备库!$AO$2:$AO$1046,0),COLUMN()),"")</f>
        <v/>
      </c>
      <c r="K1123" t="str">
        <f>IFERROR(INDEX(装备库!$A$2:$Y$1047,MATCH(ROW()-1,装备库!$AO$2:$AO$1046,0),COLUMN()),"")</f>
        <v/>
      </c>
      <c r="L1123" t="str">
        <f>IFERROR(INDEX(装备库!$A$2:$Y$1047,MATCH(ROW()-1,装备库!$AO$2:$AO$1046,0),COLUMN()),"")</f>
        <v/>
      </c>
      <c r="M1123" t="str">
        <f>IFERROR(INDEX(装备库!$A$2:$Y$1047,MATCH(ROW()-1,装备库!$AO$2:$AO$1046,0),COLUMN()),"")</f>
        <v/>
      </c>
      <c r="N1123" t="str">
        <f>IFERROR(INDEX(装备库!$A$2:$Y$1047,MATCH(ROW()-1,装备库!$AO$2:$AO$1046,0),COLUMN()),"")</f>
        <v/>
      </c>
      <c r="O1123" t="str">
        <f>IFERROR(INDEX(装备库!$A$2:$Y$1047,MATCH(ROW()-1,装备库!$AO$2:$AO$1046,0),COLUMN()),"")</f>
        <v/>
      </c>
      <c r="P1123" t="str">
        <f>IFERROR(INDEX(装备库!$A$2:$Y$1047,MATCH(ROW()-1,装备库!$AO$2:$AO$1046,0),COLUMN()),"")</f>
        <v/>
      </c>
      <c r="Q1123" t="str">
        <f>IFERROR(INDEX(装备库!$A$2:$Y$1047,MATCH(ROW()-1,装备库!$AO$2:$AO$1046,0),COLUMN()),"")</f>
        <v/>
      </c>
      <c r="R1123" t="str">
        <f>IFERROR(INDEX(装备库!$A$2:$Y$1047,MATCH(ROW()-1,装备库!$AO$2:$AO$1046,0),COLUMN()),"")</f>
        <v/>
      </c>
      <c r="S1123" t="str">
        <f>IFERROR(INDEX(装备库!$A$2:$Y$1047,MATCH(ROW()-1,装备库!$AO$2:$AO$1046,0),COLUMN()),"")</f>
        <v/>
      </c>
      <c r="T1123" t="str">
        <f>IFERROR(INDEX(装备库!$A$2:$Y$1047,MATCH(ROW()-1,装备库!$AO$2:$AO$1046,0),COLUMN()),"")</f>
        <v/>
      </c>
      <c r="U1123" t="str">
        <f>IFERROR(INDEX(装备库!$A$2:$Y$1047,MATCH(ROW()-1,装备库!$AO$2:$AO$1046,0),COLUMN()),"")</f>
        <v/>
      </c>
      <c r="V1123" t="str">
        <f>IFERROR(INDEX(装备库!$A$2:$Y$1047,MATCH(ROW()-1,装备库!$AO$2:$AO$1046,0),COLUMN()),"")</f>
        <v/>
      </c>
      <c r="W1123" t="str">
        <f>IFERROR(INDEX(装备库!$A$2:$Y$1047,MATCH(ROW()-1,装备库!$AO$2:$AO$1046,0),COLUMN()),"")</f>
        <v/>
      </c>
      <c r="X1123" t="str">
        <f>IFERROR(INDEX(装备库!$A$2:$Y$1047,MATCH(ROW()-1,装备库!$AO$2:$AO$1046,0),COLUMN()),"")</f>
        <v/>
      </c>
      <c r="Y1123" t="str">
        <f>IFERROR(INDEX(装备库!$A$2:$Y$1047,MATCH(ROW()-1,装备库!$AO$2:$AO$1046,0),COLUMN()),"")</f>
        <v/>
      </c>
    </row>
    <row r="1124" spans="1:25" x14ac:dyDescent="0.35">
      <c r="A1124" t="str">
        <f>IFERROR(INDEX(装备库!$A$2:$Y$1047,MATCH(ROW()-1,装备库!$AO$2:$AO$1046,0),COLUMN()),"")</f>
        <v/>
      </c>
      <c r="B1124" t="str">
        <f>IFERROR(INDEX(装备库!$A$2:$Y$1047,MATCH(ROW()-1,装备库!$AO$2:$AO$1046,0),COLUMN()),"")</f>
        <v/>
      </c>
      <c r="C1124" t="str">
        <f>IFERROR(INDEX(装备库!$A$2:$Y$1047,MATCH(ROW()-1,装备库!$AO$2:$AO$1046,0),COLUMN()),"")</f>
        <v/>
      </c>
      <c r="D1124" t="str">
        <f>IFERROR(INDEX(装备库!$A$2:$Y$1047,MATCH(ROW()-1,装备库!$AO$2:$AO$1046,0),COLUMN()),"")</f>
        <v/>
      </c>
      <c r="E1124" t="str">
        <f>IFERROR(INDEX(装备库!$A$2:$Y$1047,MATCH(ROW()-1,装备库!$AO$2:$AO$1046,0),COLUMN()),"")</f>
        <v/>
      </c>
      <c r="F1124" t="str">
        <f>IFERROR(INDEX(装备库!$A$2:$Y$1047,MATCH(ROW()-1,装备库!$AO$2:$AO$1046,0),COLUMN()),"")</f>
        <v/>
      </c>
      <c r="G1124" t="str">
        <f>IFERROR(INDEX(装备库!$A$2:$Y$1047,MATCH(ROW()-1,装备库!$AO$2:$AO$1046,0),COLUMN()),"")</f>
        <v/>
      </c>
      <c r="H1124" t="str">
        <f>IFERROR(INDEX(装备库!$A$2:$Y$1047,MATCH(ROW()-1,装备库!$AO$2:$AO$1046,0),COLUMN()),"")</f>
        <v/>
      </c>
      <c r="I1124" t="str">
        <f>IFERROR(INDEX(装备库!$A$2:$Y$1047,MATCH(ROW()-1,装备库!$AO$2:$AO$1046,0),COLUMN()),"")</f>
        <v/>
      </c>
      <c r="J1124" t="str">
        <f>IFERROR(INDEX(装备库!$A$2:$Y$1047,MATCH(ROW()-1,装备库!$AO$2:$AO$1046,0),COLUMN()),"")</f>
        <v/>
      </c>
      <c r="K1124" t="str">
        <f>IFERROR(INDEX(装备库!$A$2:$Y$1047,MATCH(ROW()-1,装备库!$AO$2:$AO$1046,0),COLUMN()),"")</f>
        <v/>
      </c>
      <c r="L1124" t="str">
        <f>IFERROR(INDEX(装备库!$A$2:$Y$1047,MATCH(ROW()-1,装备库!$AO$2:$AO$1046,0),COLUMN()),"")</f>
        <v/>
      </c>
      <c r="M1124" t="str">
        <f>IFERROR(INDEX(装备库!$A$2:$Y$1047,MATCH(ROW()-1,装备库!$AO$2:$AO$1046,0),COLUMN()),"")</f>
        <v/>
      </c>
      <c r="N1124" t="str">
        <f>IFERROR(INDEX(装备库!$A$2:$Y$1047,MATCH(ROW()-1,装备库!$AO$2:$AO$1046,0),COLUMN()),"")</f>
        <v/>
      </c>
      <c r="O1124" t="str">
        <f>IFERROR(INDEX(装备库!$A$2:$Y$1047,MATCH(ROW()-1,装备库!$AO$2:$AO$1046,0),COLUMN()),"")</f>
        <v/>
      </c>
      <c r="P1124" t="str">
        <f>IFERROR(INDEX(装备库!$A$2:$Y$1047,MATCH(ROW()-1,装备库!$AO$2:$AO$1046,0),COLUMN()),"")</f>
        <v/>
      </c>
      <c r="Q1124" t="str">
        <f>IFERROR(INDEX(装备库!$A$2:$Y$1047,MATCH(ROW()-1,装备库!$AO$2:$AO$1046,0),COLUMN()),"")</f>
        <v/>
      </c>
      <c r="R1124" t="str">
        <f>IFERROR(INDEX(装备库!$A$2:$Y$1047,MATCH(ROW()-1,装备库!$AO$2:$AO$1046,0),COLUMN()),"")</f>
        <v/>
      </c>
      <c r="S1124" t="str">
        <f>IFERROR(INDEX(装备库!$A$2:$Y$1047,MATCH(ROW()-1,装备库!$AO$2:$AO$1046,0),COLUMN()),"")</f>
        <v/>
      </c>
      <c r="T1124" t="str">
        <f>IFERROR(INDEX(装备库!$A$2:$Y$1047,MATCH(ROW()-1,装备库!$AO$2:$AO$1046,0),COLUMN()),"")</f>
        <v/>
      </c>
      <c r="U1124" t="str">
        <f>IFERROR(INDEX(装备库!$A$2:$Y$1047,MATCH(ROW()-1,装备库!$AO$2:$AO$1046,0),COLUMN()),"")</f>
        <v/>
      </c>
      <c r="V1124" t="str">
        <f>IFERROR(INDEX(装备库!$A$2:$Y$1047,MATCH(ROW()-1,装备库!$AO$2:$AO$1046,0),COLUMN()),"")</f>
        <v/>
      </c>
      <c r="W1124" t="str">
        <f>IFERROR(INDEX(装备库!$A$2:$Y$1047,MATCH(ROW()-1,装备库!$AO$2:$AO$1046,0),COLUMN()),"")</f>
        <v/>
      </c>
      <c r="X1124" t="str">
        <f>IFERROR(INDEX(装备库!$A$2:$Y$1047,MATCH(ROW()-1,装备库!$AO$2:$AO$1046,0),COLUMN()),"")</f>
        <v/>
      </c>
      <c r="Y1124" t="str">
        <f>IFERROR(INDEX(装备库!$A$2:$Y$1047,MATCH(ROW()-1,装备库!$AO$2:$AO$1046,0),COLUMN()),"")</f>
        <v/>
      </c>
    </row>
    <row r="1125" spans="1:25" x14ac:dyDescent="0.35">
      <c r="A1125" t="str">
        <f>IFERROR(INDEX(装备库!$A$2:$Y$1047,MATCH(ROW()-1,装备库!$AO$2:$AO$1046,0),COLUMN()),"")</f>
        <v/>
      </c>
      <c r="B1125" t="str">
        <f>IFERROR(INDEX(装备库!$A$2:$Y$1047,MATCH(ROW()-1,装备库!$AO$2:$AO$1046,0),COLUMN()),"")</f>
        <v/>
      </c>
      <c r="C1125" t="str">
        <f>IFERROR(INDEX(装备库!$A$2:$Y$1047,MATCH(ROW()-1,装备库!$AO$2:$AO$1046,0),COLUMN()),"")</f>
        <v/>
      </c>
      <c r="D1125" t="str">
        <f>IFERROR(INDEX(装备库!$A$2:$Y$1047,MATCH(ROW()-1,装备库!$AO$2:$AO$1046,0),COLUMN()),"")</f>
        <v/>
      </c>
      <c r="E1125" t="str">
        <f>IFERROR(INDEX(装备库!$A$2:$Y$1047,MATCH(ROW()-1,装备库!$AO$2:$AO$1046,0),COLUMN()),"")</f>
        <v/>
      </c>
      <c r="F1125" t="str">
        <f>IFERROR(INDEX(装备库!$A$2:$Y$1047,MATCH(ROW()-1,装备库!$AO$2:$AO$1046,0),COLUMN()),"")</f>
        <v/>
      </c>
      <c r="G1125" t="str">
        <f>IFERROR(INDEX(装备库!$A$2:$Y$1047,MATCH(ROW()-1,装备库!$AO$2:$AO$1046,0),COLUMN()),"")</f>
        <v/>
      </c>
      <c r="H1125" t="str">
        <f>IFERROR(INDEX(装备库!$A$2:$Y$1047,MATCH(ROW()-1,装备库!$AO$2:$AO$1046,0),COLUMN()),"")</f>
        <v/>
      </c>
      <c r="I1125" t="str">
        <f>IFERROR(INDEX(装备库!$A$2:$Y$1047,MATCH(ROW()-1,装备库!$AO$2:$AO$1046,0),COLUMN()),"")</f>
        <v/>
      </c>
      <c r="J1125" t="str">
        <f>IFERROR(INDEX(装备库!$A$2:$Y$1047,MATCH(ROW()-1,装备库!$AO$2:$AO$1046,0),COLUMN()),"")</f>
        <v/>
      </c>
      <c r="K1125" t="str">
        <f>IFERROR(INDEX(装备库!$A$2:$Y$1047,MATCH(ROW()-1,装备库!$AO$2:$AO$1046,0),COLUMN()),"")</f>
        <v/>
      </c>
      <c r="L1125" t="str">
        <f>IFERROR(INDEX(装备库!$A$2:$Y$1047,MATCH(ROW()-1,装备库!$AO$2:$AO$1046,0),COLUMN()),"")</f>
        <v/>
      </c>
      <c r="M1125" t="str">
        <f>IFERROR(INDEX(装备库!$A$2:$Y$1047,MATCH(ROW()-1,装备库!$AO$2:$AO$1046,0),COLUMN()),"")</f>
        <v/>
      </c>
      <c r="N1125" t="str">
        <f>IFERROR(INDEX(装备库!$A$2:$Y$1047,MATCH(ROW()-1,装备库!$AO$2:$AO$1046,0),COLUMN()),"")</f>
        <v/>
      </c>
      <c r="O1125" t="str">
        <f>IFERROR(INDEX(装备库!$A$2:$Y$1047,MATCH(ROW()-1,装备库!$AO$2:$AO$1046,0),COLUMN()),"")</f>
        <v/>
      </c>
      <c r="P1125" t="str">
        <f>IFERROR(INDEX(装备库!$A$2:$Y$1047,MATCH(ROW()-1,装备库!$AO$2:$AO$1046,0),COLUMN()),"")</f>
        <v/>
      </c>
      <c r="Q1125" t="str">
        <f>IFERROR(INDEX(装备库!$A$2:$Y$1047,MATCH(ROW()-1,装备库!$AO$2:$AO$1046,0),COLUMN()),"")</f>
        <v/>
      </c>
      <c r="R1125" t="str">
        <f>IFERROR(INDEX(装备库!$A$2:$Y$1047,MATCH(ROW()-1,装备库!$AO$2:$AO$1046,0),COLUMN()),"")</f>
        <v/>
      </c>
      <c r="S1125" t="str">
        <f>IFERROR(INDEX(装备库!$A$2:$Y$1047,MATCH(ROW()-1,装备库!$AO$2:$AO$1046,0),COLUMN()),"")</f>
        <v/>
      </c>
      <c r="T1125" t="str">
        <f>IFERROR(INDEX(装备库!$A$2:$Y$1047,MATCH(ROW()-1,装备库!$AO$2:$AO$1046,0),COLUMN()),"")</f>
        <v/>
      </c>
      <c r="U1125" t="str">
        <f>IFERROR(INDEX(装备库!$A$2:$Y$1047,MATCH(ROW()-1,装备库!$AO$2:$AO$1046,0),COLUMN()),"")</f>
        <v/>
      </c>
      <c r="V1125" t="str">
        <f>IFERROR(INDEX(装备库!$A$2:$Y$1047,MATCH(ROW()-1,装备库!$AO$2:$AO$1046,0),COLUMN()),"")</f>
        <v/>
      </c>
      <c r="W1125" t="str">
        <f>IFERROR(INDEX(装备库!$A$2:$Y$1047,MATCH(ROW()-1,装备库!$AO$2:$AO$1046,0),COLUMN()),"")</f>
        <v/>
      </c>
      <c r="X1125" t="str">
        <f>IFERROR(INDEX(装备库!$A$2:$Y$1047,MATCH(ROW()-1,装备库!$AO$2:$AO$1046,0),COLUMN()),"")</f>
        <v/>
      </c>
      <c r="Y1125" t="str">
        <f>IFERROR(INDEX(装备库!$A$2:$Y$1047,MATCH(ROW()-1,装备库!$AO$2:$AO$1046,0),COLUMN()),"")</f>
        <v/>
      </c>
    </row>
    <row r="1126" spans="1:25" x14ac:dyDescent="0.35">
      <c r="A1126" t="str">
        <f>IFERROR(INDEX(装备库!$A$2:$Y$1047,MATCH(ROW()-1,装备库!$AO$2:$AO$1046,0),COLUMN()),"")</f>
        <v/>
      </c>
      <c r="B1126" t="str">
        <f>IFERROR(INDEX(装备库!$A$2:$Y$1047,MATCH(ROW()-1,装备库!$AO$2:$AO$1046,0),COLUMN()),"")</f>
        <v/>
      </c>
      <c r="C1126" t="str">
        <f>IFERROR(INDEX(装备库!$A$2:$Y$1047,MATCH(ROW()-1,装备库!$AO$2:$AO$1046,0),COLUMN()),"")</f>
        <v/>
      </c>
      <c r="D1126" t="str">
        <f>IFERROR(INDEX(装备库!$A$2:$Y$1047,MATCH(ROW()-1,装备库!$AO$2:$AO$1046,0),COLUMN()),"")</f>
        <v/>
      </c>
      <c r="E1126" t="str">
        <f>IFERROR(INDEX(装备库!$A$2:$Y$1047,MATCH(ROW()-1,装备库!$AO$2:$AO$1046,0),COLUMN()),"")</f>
        <v/>
      </c>
      <c r="F1126" t="str">
        <f>IFERROR(INDEX(装备库!$A$2:$Y$1047,MATCH(ROW()-1,装备库!$AO$2:$AO$1046,0),COLUMN()),"")</f>
        <v/>
      </c>
      <c r="G1126" t="str">
        <f>IFERROR(INDEX(装备库!$A$2:$Y$1047,MATCH(ROW()-1,装备库!$AO$2:$AO$1046,0),COLUMN()),"")</f>
        <v/>
      </c>
      <c r="H1126" t="str">
        <f>IFERROR(INDEX(装备库!$A$2:$Y$1047,MATCH(ROW()-1,装备库!$AO$2:$AO$1046,0),COLUMN()),"")</f>
        <v/>
      </c>
      <c r="I1126" t="str">
        <f>IFERROR(INDEX(装备库!$A$2:$Y$1047,MATCH(ROW()-1,装备库!$AO$2:$AO$1046,0),COLUMN()),"")</f>
        <v/>
      </c>
      <c r="J1126" t="str">
        <f>IFERROR(INDEX(装备库!$A$2:$Y$1047,MATCH(ROW()-1,装备库!$AO$2:$AO$1046,0),COLUMN()),"")</f>
        <v/>
      </c>
      <c r="K1126" t="str">
        <f>IFERROR(INDEX(装备库!$A$2:$Y$1047,MATCH(ROW()-1,装备库!$AO$2:$AO$1046,0),COLUMN()),"")</f>
        <v/>
      </c>
      <c r="L1126" t="str">
        <f>IFERROR(INDEX(装备库!$A$2:$Y$1047,MATCH(ROW()-1,装备库!$AO$2:$AO$1046,0),COLUMN()),"")</f>
        <v/>
      </c>
      <c r="M1126" t="str">
        <f>IFERROR(INDEX(装备库!$A$2:$Y$1047,MATCH(ROW()-1,装备库!$AO$2:$AO$1046,0),COLUMN()),"")</f>
        <v/>
      </c>
      <c r="N1126" t="str">
        <f>IFERROR(INDEX(装备库!$A$2:$Y$1047,MATCH(ROW()-1,装备库!$AO$2:$AO$1046,0),COLUMN()),"")</f>
        <v/>
      </c>
      <c r="O1126" t="str">
        <f>IFERROR(INDEX(装备库!$A$2:$Y$1047,MATCH(ROW()-1,装备库!$AO$2:$AO$1046,0),COLUMN()),"")</f>
        <v/>
      </c>
      <c r="P1126" t="str">
        <f>IFERROR(INDEX(装备库!$A$2:$Y$1047,MATCH(ROW()-1,装备库!$AO$2:$AO$1046,0),COLUMN()),"")</f>
        <v/>
      </c>
      <c r="Q1126" t="str">
        <f>IFERROR(INDEX(装备库!$A$2:$Y$1047,MATCH(ROW()-1,装备库!$AO$2:$AO$1046,0),COLUMN()),"")</f>
        <v/>
      </c>
      <c r="R1126" t="str">
        <f>IFERROR(INDEX(装备库!$A$2:$Y$1047,MATCH(ROW()-1,装备库!$AO$2:$AO$1046,0),COLUMN()),"")</f>
        <v/>
      </c>
      <c r="S1126" t="str">
        <f>IFERROR(INDEX(装备库!$A$2:$Y$1047,MATCH(ROW()-1,装备库!$AO$2:$AO$1046,0),COLUMN()),"")</f>
        <v/>
      </c>
      <c r="T1126" t="str">
        <f>IFERROR(INDEX(装备库!$A$2:$Y$1047,MATCH(ROW()-1,装备库!$AO$2:$AO$1046,0),COLUMN()),"")</f>
        <v/>
      </c>
      <c r="U1126" t="str">
        <f>IFERROR(INDEX(装备库!$A$2:$Y$1047,MATCH(ROW()-1,装备库!$AO$2:$AO$1046,0),COLUMN()),"")</f>
        <v/>
      </c>
      <c r="V1126" t="str">
        <f>IFERROR(INDEX(装备库!$A$2:$Y$1047,MATCH(ROW()-1,装备库!$AO$2:$AO$1046,0),COLUMN()),"")</f>
        <v/>
      </c>
      <c r="W1126" t="str">
        <f>IFERROR(INDEX(装备库!$A$2:$Y$1047,MATCH(ROW()-1,装备库!$AO$2:$AO$1046,0),COLUMN()),"")</f>
        <v/>
      </c>
      <c r="X1126" t="str">
        <f>IFERROR(INDEX(装备库!$A$2:$Y$1047,MATCH(ROW()-1,装备库!$AO$2:$AO$1046,0),COLUMN()),"")</f>
        <v/>
      </c>
      <c r="Y1126" t="str">
        <f>IFERROR(INDEX(装备库!$A$2:$Y$1047,MATCH(ROW()-1,装备库!$AO$2:$AO$1046,0),COLUMN()),"")</f>
        <v/>
      </c>
    </row>
    <row r="1127" spans="1:25" x14ac:dyDescent="0.35">
      <c r="A1127" t="str">
        <f>IFERROR(INDEX(装备库!$A$2:$Y$1047,MATCH(ROW()-1,装备库!$AO$2:$AO$1046,0),COLUMN()),"")</f>
        <v/>
      </c>
      <c r="B1127" t="str">
        <f>IFERROR(INDEX(装备库!$A$2:$Y$1047,MATCH(ROW()-1,装备库!$AO$2:$AO$1046,0),COLUMN()),"")</f>
        <v/>
      </c>
      <c r="C1127" t="str">
        <f>IFERROR(INDEX(装备库!$A$2:$Y$1047,MATCH(ROW()-1,装备库!$AO$2:$AO$1046,0),COLUMN()),"")</f>
        <v/>
      </c>
      <c r="D1127" t="str">
        <f>IFERROR(INDEX(装备库!$A$2:$Y$1047,MATCH(ROW()-1,装备库!$AO$2:$AO$1046,0),COLUMN()),"")</f>
        <v/>
      </c>
      <c r="E1127" t="str">
        <f>IFERROR(INDEX(装备库!$A$2:$Y$1047,MATCH(ROW()-1,装备库!$AO$2:$AO$1046,0),COLUMN()),"")</f>
        <v/>
      </c>
      <c r="F1127" t="str">
        <f>IFERROR(INDEX(装备库!$A$2:$Y$1047,MATCH(ROW()-1,装备库!$AO$2:$AO$1046,0),COLUMN()),"")</f>
        <v/>
      </c>
      <c r="G1127" t="str">
        <f>IFERROR(INDEX(装备库!$A$2:$Y$1047,MATCH(ROW()-1,装备库!$AO$2:$AO$1046,0),COLUMN()),"")</f>
        <v/>
      </c>
      <c r="H1127" t="str">
        <f>IFERROR(INDEX(装备库!$A$2:$Y$1047,MATCH(ROW()-1,装备库!$AO$2:$AO$1046,0),COLUMN()),"")</f>
        <v/>
      </c>
      <c r="I1127" t="str">
        <f>IFERROR(INDEX(装备库!$A$2:$Y$1047,MATCH(ROW()-1,装备库!$AO$2:$AO$1046,0),COLUMN()),"")</f>
        <v/>
      </c>
      <c r="J1127" t="str">
        <f>IFERROR(INDEX(装备库!$A$2:$Y$1047,MATCH(ROW()-1,装备库!$AO$2:$AO$1046,0),COLUMN()),"")</f>
        <v/>
      </c>
      <c r="K1127" t="str">
        <f>IFERROR(INDEX(装备库!$A$2:$Y$1047,MATCH(ROW()-1,装备库!$AO$2:$AO$1046,0),COLUMN()),"")</f>
        <v/>
      </c>
      <c r="L1127" t="str">
        <f>IFERROR(INDEX(装备库!$A$2:$Y$1047,MATCH(ROW()-1,装备库!$AO$2:$AO$1046,0),COLUMN()),"")</f>
        <v/>
      </c>
      <c r="M1127" t="str">
        <f>IFERROR(INDEX(装备库!$A$2:$Y$1047,MATCH(ROW()-1,装备库!$AO$2:$AO$1046,0),COLUMN()),"")</f>
        <v/>
      </c>
      <c r="N1127" t="str">
        <f>IFERROR(INDEX(装备库!$A$2:$Y$1047,MATCH(ROW()-1,装备库!$AO$2:$AO$1046,0),COLUMN()),"")</f>
        <v/>
      </c>
      <c r="O1127" t="str">
        <f>IFERROR(INDEX(装备库!$A$2:$Y$1047,MATCH(ROW()-1,装备库!$AO$2:$AO$1046,0),COLUMN()),"")</f>
        <v/>
      </c>
      <c r="P1127" t="str">
        <f>IFERROR(INDEX(装备库!$A$2:$Y$1047,MATCH(ROW()-1,装备库!$AO$2:$AO$1046,0),COLUMN()),"")</f>
        <v/>
      </c>
      <c r="Q1127" t="str">
        <f>IFERROR(INDEX(装备库!$A$2:$Y$1047,MATCH(ROW()-1,装备库!$AO$2:$AO$1046,0),COLUMN()),"")</f>
        <v/>
      </c>
      <c r="R1127" t="str">
        <f>IFERROR(INDEX(装备库!$A$2:$Y$1047,MATCH(ROW()-1,装备库!$AO$2:$AO$1046,0),COLUMN()),"")</f>
        <v/>
      </c>
      <c r="S1127" t="str">
        <f>IFERROR(INDEX(装备库!$A$2:$Y$1047,MATCH(ROW()-1,装备库!$AO$2:$AO$1046,0),COLUMN()),"")</f>
        <v/>
      </c>
      <c r="T1127" t="str">
        <f>IFERROR(INDEX(装备库!$A$2:$Y$1047,MATCH(ROW()-1,装备库!$AO$2:$AO$1046,0),COLUMN()),"")</f>
        <v/>
      </c>
      <c r="U1127" t="str">
        <f>IFERROR(INDEX(装备库!$A$2:$Y$1047,MATCH(ROW()-1,装备库!$AO$2:$AO$1046,0),COLUMN()),"")</f>
        <v/>
      </c>
      <c r="V1127" t="str">
        <f>IFERROR(INDEX(装备库!$A$2:$Y$1047,MATCH(ROW()-1,装备库!$AO$2:$AO$1046,0),COLUMN()),"")</f>
        <v/>
      </c>
      <c r="W1127" t="str">
        <f>IFERROR(INDEX(装备库!$A$2:$Y$1047,MATCH(ROW()-1,装备库!$AO$2:$AO$1046,0),COLUMN()),"")</f>
        <v/>
      </c>
      <c r="X1127" t="str">
        <f>IFERROR(INDEX(装备库!$A$2:$Y$1047,MATCH(ROW()-1,装备库!$AO$2:$AO$1046,0),COLUMN()),"")</f>
        <v/>
      </c>
      <c r="Y1127" t="str">
        <f>IFERROR(INDEX(装备库!$A$2:$Y$1047,MATCH(ROW()-1,装备库!$AO$2:$AO$1046,0),COLUMN()),"")</f>
        <v/>
      </c>
    </row>
    <row r="1128" spans="1:25" x14ac:dyDescent="0.35">
      <c r="A1128" t="str">
        <f>IFERROR(INDEX(装备库!$A$2:$Y$1047,MATCH(ROW()-1,装备库!$AO$2:$AO$1046,0),COLUMN()),"")</f>
        <v/>
      </c>
      <c r="B1128" t="str">
        <f>IFERROR(INDEX(装备库!$A$2:$Y$1047,MATCH(ROW()-1,装备库!$AO$2:$AO$1046,0),COLUMN()),"")</f>
        <v/>
      </c>
      <c r="C1128" t="str">
        <f>IFERROR(INDEX(装备库!$A$2:$Y$1047,MATCH(ROW()-1,装备库!$AO$2:$AO$1046,0),COLUMN()),"")</f>
        <v/>
      </c>
      <c r="D1128" t="str">
        <f>IFERROR(INDEX(装备库!$A$2:$Y$1047,MATCH(ROW()-1,装备库!$AO$2:$AO$1046,0),COLUMN()),"")</f>
        <v/>
      </c>
      <c r="E1128" t="str">
        <f>IFERROR(INDEX(装备库!$A$2:$Y$1047,MATCH(ROW()-1,装备库!$AO$2:$AO$1046,0),COLUMN()),"")</f>
        <v/>
      </c>
      <c r="F1128" t="str">
        <f>IFERROR(INDEX(装备库!$A$2:$Y$1047,MATCH(ROW()-1,装备库!$AO$2:$AO$1046,0),COLUMN()),"")</f>
        <v/>
      </c>
      <c r="G1128" t="str">
        <f>IFERROR(INDEX(装备库!$A$2:$Y$1047,MATCH(ROW()-1,装备库!$AO$2:$AO$1046,0),COLUMN()),"")</f>
        <v/>
      </c>
      <c r="H1128" t="str">
        <f>IFERROR(INDEX(装备库!$A$2:$Y$1047,MATCH(ROW()-1,装备库!$AO$2:$AO$1046,0),COLUMN()),"")</f>
        <v/>
      </c>
      <c r="I1128" t="str">
        <f>IFERROR(INDEX(装备库!$A$2:$Y$1047,MATCH(ROW()-1,装备库!$AO$2:$AO$1046,0),COLUMN()),"")</f>
        <v/>
      </c>
      <c r="J1128" t="str">
        <f>IFERROR(INDEX(装备库!$A$2:$Y$1047,MATCH(ROW()-1,装备库!$AO$2:$AO$1046,0),COLUMN()),"")</f>
        <v/>
      </c>
      <c r="K1128" t="str">
        <f>IFERROR(INDEX(装备库!$A$2:$Y$1047,MATCH(ROW()-1,装备库!$AO$2:$AO$1046,0),COLUMN()),"")</f>
        <v/>
      </c>
      <c r="L1128" t="str">
        <f>IFERROR(INDEX(装备库!$A$2:$Y$1047,MATCH(ROW()-1,装备库!$AO$2:$AO$1046,0),COLUMN()),"")</f>
        <v/>
      </c>
      <c r="M1128" t="str">
        <f>IFERROR(INDEX(装备库!$A$2:$Y$1047,MATCH(ROW()-1,装备库!$AO$2:$AO$1046,0),COLUMN()),"")</f>
        <v/>
      </c>
      <c r="N1128" t="str">
        <f>IFERROR(INDEX(装备库!$A$2:$Y$1047,MATCH(ROW()-1,装备库!$AO$2:$AO$1046,0),COLUMN()),"")</f>
        <v/>
      </c>
      <c r="O1128" t="str">
        <f>IFERROR(INDEX(装备库!$A$2:$Y$1047,MATCH(ROW()-1,装备库!$AO$2:$AO$1046,0),COLUMN()),"")</f>
        <v/>
      </c>
      <c r="P1128" t="str">
        <f>IFERROR(INDEX(装备库!$A$2:$Y$1047,MATCH(ROW()-1,装备库!$AO$2:$AO$1046,0),COLUMN()),"")</f>
        <v/>
      </c>
      <c r="Q1128" t="str">
        <f>IFERROR(INDEX(装备库!$A$2:$Y$1047,MATCH(ROW()-1,装备库!$AO$2:$AO$1046,0),COLUMN()),"")</f>
        <v/>
      </c>
      <c r="R1128" t="str">
        <f>IFERROR(INDEX(装备库!$A$2:$Y$1047,MATCH(ROW()-1,装备库!$AO$2:$AO$1046,0),COLUMN()),"")</f>
        <v/>
      </c>
      <c r="S1128" t="str">
        <f>IFERROR(INDEX(装备库!$A$2:$Y$1047,MATCH(ROW()-1,装备库!$AO$2:$AO$1046,0),COLUMN()),"")</f>
        <v/>
      </c>
      <c r="T1128" t="str">
        <f>IFERROR(INDEX(装备库!$A$2:$Y$1047,MATCH(ROW()-1,装备库!$AO$2:$AO$1046,0),COLUMN()),"")</f>
        <v/>
      </c>
      <c r="U1128" t="str">
        <f>IFERROR(INDEX(装备库!$A$2:$Y$1047,MATCH(ROW()-1,装备库!$AO$2:$AO$1046,0),COLUMN()),"")</f>
        <v/>
      </c>
      <c r="V1128" t="str">
        <f>IFERROR(INDEX(装备库!$A$2:$Y$1047,MATCH(ROW()-1,装备库!$AO$2:$AO$1046,0),COLUMN()),"")</f>
        <v/>
      </c>
      <c r="W1128" t="str">
        <f>IFERROR(INDEX(装备库!$A$2:$Y$1047,MATCH(ROW()-1,装备库!$AO$2:$AO$1046,0),COLUMN()),"")</f>
        <v/>
      </c>
      <c r="X1128" t="str">
        <f>IFERROR(INDEX(装备库!$A$2:$Y$1047,MATCH(ROW()-1,装备库!$AO$2:$AO$1046,0),COLUMN()),"")</f>
        <v/>
      </c>
      <c r="Y1128" t="str">
        <f>IFERROR(INDEX(装备库!$A$2:$Y$1047,MATCH(ROW()-1,装备库!$AO$2:$AO$1046,0),COLUMN()),"")</f>
        <v/>
      </c>
    </row>
    <row r="1129" spans="1:25" x14ac:dyDescent="0.35">
      <c r="A1129" t="str">
        <f>IFERROR(INDEX(装备库!$A$2:$Y$1047,MATCH(ROW()-1,装备库!$AO$2:$AO$1046,0),COLUMN()),"")</f>
        <v/>
      </c>
      <c r="B1129" t="str">
        <f>IFERROR(INDEX(装备库!$A$2:$Y$1047,MATCH(ROW()-1,装备库!$AO$2:$AO$1046,0),COLUMN()),"")</f>
        <v/>
      </c>
      <c r="C1129" t="str">
        <f>IFERROR(INDEX(装备库!$A$2:$Y$1047,MATCH(ROW()-1,装备库!$AO$2:$AO$1046,0),COLUMN()),"")</f>
        <v/>
      </c>
      <c r="D1129" t="str">
        <f>IFERROR(INDEX(装备库!$A$2:$Y$1047,MATCH(ROW()-1,装备库!$AO$2:$AO$1046,0),COLUMN()),"")</f>
        <v/>
      </c>
      <c r="E1129" t="str">
        <f>IFERROR(INDEX(装备库!$A$2:$Y$1047,MATCH(ROW()-1,装备库!$AO$2:$AO$1046,0),COLUMN()),"")</f>
        <v/>
      </c>
      <c r="F1129" t="str">
        <f>IFERROR(INDEX(装备库!$A$2:$Y$1047,MATCH(ROW()-1,装备库!$AO$2:$AO$1046,0),COLUMN()),"")</f>
        <v/>
      </c>
      <c r="G1129" t="str">
        <f>IFERROR(INDEX(装备库!$A$2:$Y$1047,MATCH(ROW()-1,装备库!$AO$2:$AO$1046,0),COLUMN()),"")</f>
        <v/>
      </c>
      <c r="H1129" t="str">
        <f>IFERROR(INDEX(装备库!$A$2:$Y$1047,MATCH(ROW()-1,装备库!$AO$2:$AO$1046,0),COLUMN()),"")</f>
        <v/>
      </c>
      <c r="I1129" t="str">
        <f>IFERROR(INDEX(装备库!$A$2:$Y$1047,MATCH(ROW()-1,装备库!$AO$2:$AO$1046,0),COLUMN()),"")</f>
        <v/>
      </c>
      <c r="J1129" t="str">
        <f>IFERROR(INDEX(装备库!$A$2:$Y$1047,MATCH(ROW()-1,装备库!$AO$2:$AO$1046,0),COLUMN()),"")</f>
        <v/>
      </c>
      <c r="K1129" t="str">
        <f>IFERROR(INDEX(装备库!$A$2:$Y$1047,MATCH(ROW()-1,装备库!$AO$2:$AO$1046,0),COLUMN()),"")</f>
        <v/>
      </c>
      <c r="L1129" t="str">
        <f>IFERROR(INDEX(装备库!$A$2:$Y$1047,MATCH(ROW()-1,装备库!$AO$2:$AO$1046,0),COLUMN()),"")</f>
        <v/>
      </c>
      <c r="M1129" t="str">
        <f>IFERROR(INDEX(装备库!$A$2:$Y$1047,MATCH(ROW()-1,装备库!$AO$2:$AO$1046,0),COLUMN()),"")</f>
        <v/>
      </c>
      <c r="N1129" t="str">
        <f>IFERROR(INDEX(装备库!$A$2:$Y$1047,MATCH(ROW()-1,装备库!$AO$2:$AO$1046,0),COLUMN()),"")</f>
        <v/>
      </c>
      <c r="O1129" t="str">
        <f>IFERROR(INDEX(装备库!$A$2:$Y$1047,MATCH(ROW()-1,装备库!$AO$2:$AO$1046,0),COLUMN()),"")</f>
        <v/>
      </c>
      <c r="P1129" t="str">
        <f>IFERROR(INDEX(装备库!$A$2:$Y$1047,MATCH(ROW()-1,装备库!$AO$2:$AO$1046,0),COLUMN()),"")</f>
        <v/>
      </c>
      <c r="Q1129" t="str">
        <f>IFERROR(INDEX(装备库!$A$2:$Y$1047,MATCH(ROW()-1,装备库!$AO$2:$AO$1046,0),COLUMN()),"")</f>
        <v/>
      </c>
      <c r="R1129" t="str">
        <f>IFERROR(INDEX(装备库!$A$2:$Y$1047,MATCH(ROW()-1,装备库!$AO$2:$AO$1046,0),COLUMN()),"")</f>
        <v/>
      </c>
      <c r="S1129" t="str">
        <f>IFERROR(INDEX(装备库!$A$2:$Y$1047,MATCH(ROW()-1,装备库!$AO$2:$AO$1046,0),COLUMN()),"")</f>
        <v/>
      </c>
      <c r="T1129" t="str">
        <f>IFERROR(INDEX(装备库!$A$2:$Y$1047,MATCH(ROW()-1,装备库!$AO$2:$AO$1046,0),COLUMN()),"")</f>
        <v/>
      </c>
      <c r="U1129" t="str">
        <f>IFERROR(INDEX(装备库!$A$2:$Y$1047,MATCH(ROW()-1,装备库!$AO$2:$AO$1046,0),COLUMN()),"")</f>
        <v/>
      </c>
      <c r="V1129" t="str">
        <f>IFERROR(INDEX(装备库!$A$2:$Y$1047,MATCH(ROW()-1,装备库!$AO$2:$AO$1046,0),COLUMN()),"")</f>
        <v/>
      </c>
      <c r="W1129" t="str">
        <f>IFERROR(INDEX(装备库!$A$2:$Y$1047,MATCH(ROW()-1,装备库!$AO$2:$AO$1046,0),COLUMN()),"")</f>
        <v/>
      </c>
      <c r="X1129" t="str">
        <f>IFERROR(INDEX(装备库!$A$2:$Y$1047,MATCH(ROW()-1,装备库!$AO$2:$AO$1046,0),COLUMN()),"")</f>
        <v/>
      </c>
      <c r="Y1129" t="str">
        <f>IFERROR(INDEX(装备库!$A$2:$Y$1047,MATCH(ROW()-1,装备库!$AO$2:$AO$1046,0),COLUMN()),"")</f>
        <v/>
      </c>
    </row>
    <row r="1130" spans="1:25" x14ac:dyDescent="0.35">
      <c r="A1130" t="str">
        <f>IFERROR(INDEX(装备库!$A$2:$Y$1047,MATCH(ROW()-1,装备库!$AO$2:$AO$1046,0),COLUMN()),"")</f>
        <v/>
      </c>
      <c r="B1130" t="str">
        <f>IFERROR(INDEX(装备库!$A$2:$Y$1047,MATCH(ROW()-1,装备库!$AO$2:$AO$1046,0),COLUMN()),"")</f>
        <v/>
      </c>
      <c r="C1130" t="str">
        <f>IFERROR(INDEX(装备库!$A$2:$Y$1047,MATCH(ROW()-1,装备库!$AO$2:$AO$1046,0),COLUMN()),"")</f>
        <v/>
      </c>
      <c r="D1130" t="str">
        <f>IFERROR(INDEX(装备库!$A$2:$Y$1047,MATCH(ROW()-1,装备库!$AO$2:$AO$1046,0),COLUMN()),"")</f>
        <v/>
      </c>
      <c r="E1130" t="str">
        <f>IFERROR(INDEX(装备库!$A$2:$Y$1047,MATCH(ROW()-1,装备库!$AO$2:$AO$1046,0),COLUMN()),"")</f>
        <v/>
      </c>
      <c r="F1130" t="str">
        <f>IFERROR(INDEX(装备库!$A$2:$Y$1047,MATCH(ROW()-1,装备库!$AO$2:$AO$1046,0),COLUMN()),"")</f>
        <v/>
      </c>
      <c r="G1130" t="str">
        <f>IFERROR(INDEX(装备库!$A$2:$Y$1047,MATCH(ROW()-1,装备库!$AO$2:$AO$1046,0),COLUMN()),"")</f>
        <v/>
      </c>
      <c r="H1130" t="str">
        <f>IFERROR(INDEX(装备库!$A$2:$Y$1047,MATCH(ROW()-1,装备库!$AO$2:$AO$1046,0),COLUMN()),"")</f>
        <v/>
      </c>
      <c r="I1130" t="str">
        <f>IFERROR(INDEX(装备库!$A$2:$Y$1047,MATCH(ROW()-1,装备库!$AO$2:$AO$1046,0),COLUMN()),"")</f>
        <v/>
      </c>
      <c r="J1130" t="str">
        <f>IFERROR(INDEX(装备库!$A$2:$Y$1047,MATCH(ROW()-1,装备库!$AO$2:$AO$1046,0),COLUMN()),"")</f>
        <v/>
      </c>
      <c r="K1130" t="str">
        <f>IFERROR(INDEX(装备库!$A$2:$Y$1047,MATCH(ROW()-1,装备库!$AO$2:$AO$1046,0),COLUMN()),"")</f>
        <v/>
      </c>
      <c r="L1130" t="str">
        <f>IFERROR(INDEX(装备库!$A$2:$Y$1047,MATCH(ROW()-1,装备库!$AO$2:$AO$1046,0),COLUMN()),"")</f>
        <v/>
      </c>
      <c r="M1130" t="str">
        <f>IFERROR(INDEX(装备库!$A$2:$Y$1047,MATCH(ROW()-1,装备库!$AO$2:$AO$1046,0),COLUMN()),"")</f>
        <v/>
      </c>
      <c r="N1130" t="str">
        <f>IFERROR(INDEX(装备库!$A$2:$Y$1047,MATCH(ROW()-1,装备库!$AO$2:$AO$1046,0),COLUMN()),"")</f>
        <v/>
      </c>
      <c r="O1130" t="str">
        <f>IFERROR(INDEX(装备库!$A$2:$Y$1047,MATCH(ROW()-1,装备库!$AO$2:$AO$1046,0),COLUMN()),"")</f>
        <v/>
      </c>
      <c r="P1130" t="str">
        <f>IFERROR(INDEX(装备库!$A$2:$Y$1047,MATCH(ROW()-1,装备库!$AO$2:$AO$1046,0),COLUMN()),"")</f>
        <v/>
      </c>
      <c r="Q1130" t="str">
        <f>IFERROR(INDEX(装备库!$A$2:$Y$1047,MATCH(ROW()-1,装备库!$AO$2:$AO$1046,0),COLUMN()),"")</f>
        <v/>
      </c>
      <c r="R1130" t="str">
        <f>IFERROR(INDEX(装备库!$A$2:$Y$1047,MATCH(ROW()-1,装备库!$AO$2:$AO$1046,0),COLUMN()),"")</f>
        <v/>
      </c>
      <c r="S1130" t="str">
        <f>IFERROR(INDEX(装备库!$A$2:$Y$1047,MATCH(ROW()-1,装备库!$AO$2:$AO$1046,0),COLUMN()),"")</f>
        <v/>
      </c>
      <c r="T1130" t="str">
        <f>IFERROR(INDEX(装备库!$A$2:$Y$1047,MATCH(ROW()-1,装备库!$AO$2:$AO$1046,0),COLUMN()),"")</f>
        <v/>
      </c>
      <c r="U1130" t="str">
        <f>IFERROR(INDEX(装备库!$A$2:$Y$1047,MATCH(ROW()-1,装备库!$AO$2:$AO$1046,0),COLUMN()),"")</f>
        <v/>
      </c>
      <c r="V1130" t="str">
        <f>IFERROR(INDEX(装备库!$A$2:$Y$1047,MATCH(ROW()-1,装备库!$AO$2:$AO$1046,0),COLUMN()),"")</f>
        <v/>
      </c>
      <c r="W1130" t="str">
        <f>IFERROR(INDEX(装备库!$A$2:$Y$1047,MATCH(ROW()-1,装备库!$AO$2:$AO$1046,0),COLUMN()),"")</f>
        <v/>
      </c>
      <c r="X1130" t="str">
        <f>IFERROR(INDEX(装备库!$A$2:$Y$1047,MATCH(ROW()-1,装备库!$AO$2:$AO$1046,0),COLUMN()),"")</f>
        <v/>
      </c>
      <c r="Y1130" t="str">
        <f>IFERROR(INDEX(装备库!$A$2:$Y$1047,MATCH(ROW()-1,装备库!$AO$2:$AO$1046,0),COLUMN()),"")</f>
        <v/>
      </c>
    </row>
    <row r="1131" spans="1:25" x14ac:dyDescent="0.35">
      <c r="A1131" t="str">
        <f>IFERROR(INDEX(装备库!$A$2:$Y$1047,MATCH(ROW()-1,装备库!$AO$2:$AO$1046,0),COLUMN()),"")</f>
        <v/>
      </c>
      <c r="B1131" t="str">
        <f>IFERROR(INDEX(装备库!$A$2:$Y$1047,MATCH(ROW()-1,装备库!$AO$2:$AO$1046,0),COLUMN()),"")</f>
        <v/>
      </c>
      <c r="C1131" t="str">
        <f>IFERROR(INDEX(装备库!$A$2:$Y$1047,MATCH(ROW()-1,装备库!$AO$2:$AO$1046,0),COLUMN()),"")</f>
        <v/>
      </c>
      <c r="D1131" t="str">
        <f>IFERROR(INDEX(装备库!$A$2:$Y$1047,MATCH(ROW()-1,装备库!$AO$2:$AO$1046,0),COLUMN()),"")</f>
        <v/>
      </c>
      <c r="E1131" t="str">
        <f>IFERROR(INDEX(装备库!$A$2:$Y$1047,MATCH(ROW()-1,装备库!$AO$2:$AO$1046,0),COLUMN()),"")</f>
        <v/>
      </c>
      <c r="F1131" t="str">
        <f>IFERROR(INDEX(装备库!$A$2:$Y$1047,MATCH(ROW()-1,装备库!$AO$2:$AO$1046,0),COLUMN()),"")</f>
        <v/>
      </c>
      <c r="G1131" t="str">
        <f>IFERROR(INDEX(装备库!$A$2:$Y$1047,MATCH(ROW()-1,装备库!$AO$2:$AO$1046,0),COLUMN()),"")</f>
        <v/>
      </c>
      <c r="H1131" t="str">
        <f>IFERROR(INDEX(装备库!$A$2:$Y$1047,MATCH(ROW()-1,装备库!$AO$2:$AO$1046,0),COLUMN()),"")</f>
        <v/>
      </c>
      <c r="I1131" t="str">
        <f>IFERROR(INDEX(装备库!$A$2:$Y$1047,MATCH(ROW()-1,装备库!$AO$2:$AO$1046,0),COLUMN()),"")</f>
        <v/>
      </c>
      <c r="J1131" t="str">
        <f>IFERROR(INDEX(装备库!$A$2:$Y$1047,MATCH(ROW()-1,装备库!$AO$2:$AO$1046,0),COLUMN()),"")</f>
        <v/>
      </c>
      <c r="K1131" t="str">
        <f>IFERROR(INDEX(装备库!$A$2:$Y$1047,MATCH(ROW()-1,装备库!$AO$2:$AO$1046,0),COLUMN()),"")</f>
        <v/>
      </c>
      <c r="L1131" t="str">
        <f>IFERROR(INDEX(装备库!$A$2:$Y$1047,MATCH(ROW()-1,装备库!$AO$2:$AO$1046,0),COLUMN()),"")</f>
        <v/>
      </c>
      <c r="M1131" t="str">
        <f>IFERROR(INDEX(装备库!$A$2:$Y$1047,MATCH(ROW()-1,装备库!$AO$2:$AO$1046,0),COLUMN()),"")</f>
        <v/>
      </c>
      <c r="N1131" t="str">
        <f>IFERROR(INDEX(装备库!$A$2:$Y$1047,MATCH(ROW()-1,装备库!$AO$2:$AO$1046,0),COLUMN()),"")</f>
        <v/>
      </c>
      <c r="O1131" t="str">
        <f>IFERROR(INDEX(装备库!$A$2:$Y$1047,MATCH(ROW()-1,装备库!$AO$2:$AO$1046,0),COLUMN()),"")</f>
        <v/>
      </c>
      <c r="P1131" t="str">
        <f>IFERROR(INDEX(装备库!$A$2:$Y$1047,MATCH(ROW()-1,装备库!$AO$2:$AO$1046,0),COLUMN()),"")</f>
        <v/>
      </c>
      <c r="Q1131" t="str">
        <f>IFERROR(INDEX(装备库!$A$2:$Y$1047,MATCH(ROW()-1,装备库!$AO$2:$AO$1046,0),COLUMN()),"")</f>
        <v/>
      </c>
      <c r="R1131" t="str">
        <f>IFERROR(INDEX(装备库!$A$2:$Y$1047,MATCH(ROW()-1,装备库!$AO$2:$AO$1046,0),COLUMN()),"")</f>
        <v/>
      </c>
      <c r="S1131" t="str">
        <f>IFERROR(INDEX(装备库!$A$2:$Y$1047,MATCH(ROW()-1,装备库!$AO$2:$AO$1046,0),COLUMN()),"")</f>
        <v/>
      </c>
      <c r="T1131" t="str">
        <f>IFERROR(INDEX(装备库!$A$2:$Y$1047,MATCH(ROW()-1,装备库!$AO$2:$AO$1046,0),COLUMN()),"")</f>
        <v/>
      </c>
      <c r="U1131" t="str">
        <f>IFERROR(INDEX(装备库!$A$2:$Y$1047,MATCH(ROW()-1,装备库!$AO$2:$AO$1046,0),COLUMN()),"")</f>
        <v/>
      </c>
      <c r="V1131" t="str">
        <f>IFERROR(INDEX(装备库!$A$2:$Y$1047,MATCH(ROW()-1,装备库!$AO$2:$AO$1046,0),COLUMN()),"")</f>
        <v/>
      </c>
      <c r="W1131" t="str">
        <f>IFERROR(INDEX(装备库!$A$2:$Y$1047,MATCH(ROW()-1,装备库!$AO$2:$AO$1046,0),COLUMN()),"")</f>
        <v/>
      </c>
      <c r="X1131" t="str">
        <f>IFERROR(INDEX(装备库!$A$2:$Y$1047,MATCH(ROW()-1,装备库!$AO$2:$AO$1046,0),COLUMN()),"")</f>
        <v/>
      </c>
      <c r="Y1131" t="str">
        <f>IFERROR(INDEX(装备库!$A$2:$Y$1047,MATCH(ROW()-1,装备库!$AO$2:$AO$1046,0),COLUMN()),"")</f>
        <v/>
      </c>
    </row>
    <row r="1132" spans="1:25" x14ac:dyDescent="0.35">
      <c r="A1132" t="str">
        <f>IFERROR(INDEX(装备库!$A$2:$Y$1047,MATCH(ROW()-1,装备库!$AO$2:$AO$1046,0),COLUMN()),"")</f>
        <v/>
      </c>
      <c r="B1132" t="str">
        <f>IFERROR(INDEX(装备库!$A$2:$Y$1047,MATCH(ROW()-1,装备库!$AO$2:$AO$1046,0),COLUMN()),"")</f>
        <v/>
      </c>
      <c r="C1132" t="str">
        <f>IFERROR(INDEX(装备库!$A$2:$Y$1047,MATCH(ROW()-1,装备库!$AO$2:$AO$1046,0),COLUMN()),"")</f>
        <v/>
      </c>
      <c r="D1132" t="str">
        <f>IFERROR(INDEX(装备库!$A$2:$Y$1047,MATCH(ROW()-1,装备库!$AO$2:$AO$1046,0),COLUMN()),"")</f>
        <v/>
      </c>
      <c r="E1132" t="str">
        <f>IFERROR(INDEX(装备库!$A$2:$Y$1047,MATCH(ROW()-1,装备库!$AO$2:$AO$1046,0),COLUMN()),"")</f>
        <v/>
      </c>
      <c r="F1132" t="str">
        <f>IFERROR(INDEX(装备库!$A$2:$Y$1047,MATCH(ROW()-1,装备库!$AO$2:$AO$1046,0),COLUMN()),"")</f>
        <v/>
      </c>
      <c r="G1132" t="str">
        <f>IFERROR(INDEX(装备库!$A$2:$Y$1047,MATCH(ROW()-1,装备库!$AO$2:$AO$1046,0),COLUMN()),"")</f>
        <v/>
      </c>
      <c r="H1132" t="str">
        <f>IFERROR(INDEX(装备库!$A$2:$Y$1047,MATCH(ROW()-1,装备库!$AO$2:$AO$1046,0),COLUMN()),"")</f>
        <v/>
      </c>
      <c r="I1132" t="str">
        <f>IFERROR(INDEX(装备库!$A$2:$Y$1047,MATCH(ROW()-1,装备库!$AO$2:$AO$1046,0),COLUMN()),"")</f>
        <v/>
      </c>
      <c r="J1132" t="str">
        <f>IFERROR(INDEX(装备库!$A$2:$Y$1047,MATCH(ROW()-1,装备库!$AO$2:$AO$1046,0),COLUMN()),"")</f>
        <v/>
      </c>
      <c r="K1132" t="str">
        <f>IFERROR(INDEX(装备库!$A$2:$Y$1047,MATCH(ROW()-1,装备库!$AO$2:$AO$1046,0),COLUMN()),"")</f>
        <v/>
      </c>
      <c r="L1132" t="str">
        <f>IFERROR(INDEX(装备库!$A$2:$Y$1047,MATCH(ROW()-1,装备库!$AO$2:$AO$1046,0),COLUMN()),"")</f>
        <v/>
      </c>
      <c r="M1132" t="str">
        <f>IFERROR(INDEX(装备库!$A$2:$Y$1047,MATCH(ROW()-1,装备库!$AO$2:$AO$1046,0),COLUMN()),"")</f>
        <v/>
      </c>
      <c r="N1132" t="str">
        <f>IFERROR(INDEX(装备库!$A$2:$Y$1047,MATCH(ROW()-1,装备库!$AO$2:$AO$1046,0),COLUMN()),"")</f>
        <v/>
      </c>
      <c r="O1132" t="str">
        <f>IFERROR(INDEX(装备库!$A$2:$Y$1047,MATCH(ROW()-1,装备库!$AO$2:$AO$1046,0),COLUMN()),"")</f>
        <v/>
      </c>
      <c r="P1132" t="str">
        <f>IFERROR(INDEX(装备库!$A$2:$Y$1047,MATCH(ROW()-1,装备库!$AO$2:$AO$1046,0),COLUMN()),"")</f>
        <v/>
      </c>
      <c r="Q1132" t="str">
        <f>IFERROR(INDEX(装备库!$A$2:$Y$1047,MATCH(ROW()-1,装备库!$AO$2:$AO$1046,0),COLUMN()),"")</f>
        <v/>
      </c>
      <c r="R1132" t="str">
        <f>IFERROR(INDEX(装备库!$A$2:$Y$1047,MATCH(ROW()-1,装备库!$AO$2:$AO$1046,0),COLUMN()),"")</f>
        <v/>
      </c>
      <c r="S1132" t="str">
        <f>IFERROR(INDEX(装备库!$A$2:$Y$1047,MATCH(ROW()-1,装备库!$AO$2:$AO$1046,0),COLUMN()),"")</f>
        <v/>
      </c>
      <c r="T1132" t="str">
        <f>IFERROR(INDEX(装备库!$A$2:$Y$1047,MATCH(ROW()-1,装备库!$AO$2:$AO$1046,0),COLUMN()),"")</f>
        <v/>
      </c>
      <c r="U1132" t="str">
        <f>IFERROR(INDEX(装备库!$A$2:$Y$1047,MATCH(ROW()-1,装备库!$AO$2:$AO$1046,0),COLUMN()),"")</f>
        <v/>
      </c>
      <c r="V1132" t="str">
        <f>IFERROR(INDEX(装备库!$A$2:$Y$1047,MATCH(ROW()-1,装备库!$AO$2:$AO$1046,0),COLUMN()),"")</f>
        <v/>
      </c>
      <c r="W1132" t="str">
        <f>IFERROR(INDEX(装备库!$A$2:$Y$1047,MATCH(ROW()-1,装备库!$AO$2:$AO$1046,0),COLUMN()),"")</f>
        <v/>
      </c>
      <c r="X1132" t="str">
        <f>IFERROR(INDEX(装备库!$A$2:$Y$1047,MATCH(ROW()-1,装备库!$AO$2:$AO$1046,0),COLUMN()),"")</f>
        <v/>
      </c>
      <c r="Y1132" t="str">
        <f>IFERROR(INDEX(装备库!$A$2:$Y$1047,MATCH(ROW()-1,装备库!$AO$2:$AO$1046,0),COLUMN()),"")</f>
        <v/>
      </c>
    </row>
    <row r="1133" spans="1:25" x14ac:dyDescent="0.35">
      <c r="A1133" t="str">
        <f>IFERROR(INDEX(装备库!$A$2:$Y$1047,MATCH(ROW()-1,装备库!$AO$2:$AO$1046,0),COLUMN()),"")</f>
        <v/>
      </c>
      <c r="B1133" t="str">
        <f>IFERROR(INDEX(装备库!$A$2:$Y$1047,MATCH(ROW()-1,装备库!$AO$2:$AO$1046,0),COLUMN()),"")</f>
        <v/>
      </c>
      <c r="C1133" t="str">
        <f>IFERROR(INDEX(装备库!$A$2:$Y$1047,MATCH(ROW()-1,装备库!$AO$2:$AO$1046,0),COLUMN()),"")</f>
        <v/>
      </c>
      <c r="D1133" t="str">
        <f>IFERROR(INDEX(装备库!$A$2:$Y$1047,MATCH(ROW()-1,装备库!$AO$2:$AO$1046,0),COLUMN()),"")</f>
        <v/>
      </c>
      <c r="E1133" t="str">
        <f>IFERROR(INDEX(装备库!$A$2:$Y$1047,MATCH(ROW()-1,装备库!$AO$2:$AO$1046,0),COLUMN()),"")</f>
        <v/>
      </c>
      <c r="F1133" t="str">
        <f>IFERROR(INDEX(装备库!$A$2:$Y$1047,MATCH(ROW()-1,装备库!$AO$2:$AO$1046,0),COLUMN()),"")</f>
        <v/>
      </c>
      <c r="G1133" t="str">
        <f>IFERROR(INDEX(装备库!$A$2:$Y$1047,MATCH(ROW()-1,装备库!$AO$2:$AO$1046,0),COLUMN()),"")</f>
        <v/>
      </c>
      <c r="H1133" t="str">
        <f>IFERROR(INDEX(装备库!$A$2:$Y$1047,MATCH(ROW()-1,装备库!$AO$2:$AO$1046,0),COLUMN()),"")</f>
        <v/>
      </c>
      <c r="I1133" t="str">
        <f>IFERROR(INDEX(装备库!$A$2:$Y$1047,MATCH(ROW()-1,装备库!$AO$2:$AO$1046,0),COLUMN()),"")</f>
        <v/>
      </c>
      <c r="J1133" t="str">
        <f>IFERROR(INDEX(装备库!$A$2:$Y$1047,MATCH(ROW()-1,装备库!$AO$2:$AO$1046,0),COLUMN()),"")</f>
        <v/>
      </c>
      <c r="K1133" t="str">
        <f>IFERROR(INDEX(装备库!$A$2:$Y$1047,MATCH(ROW()-1,装备库!$AO$2:$AO$1046,0),COLUMN()),"")</f>
        <v/>
      </c>
      <c r="L1133" t="str">
        <f>IFERROR(INDEX(装备库!$A$2:$Y$1047,MATCH(ROW()-1,装备库!$AO$2:$AO$1046,0),COLUMN()),"")</f>
        <v/>
      </c>
      <c r="M1133" t="str">
        <f>IFERROR(INDEX(装备库!$A$2:$Y$1047,MATCH(ROW()-1,装备库!$AO$2:$AO$1046,0),COLUMN()),"")</f>
        <v/>
      </c>
      <c r="N1133" t="str">
        <f>IFERROR(INDEX(装备库!$A$2:$Y$1047,MATCH(ROW()-1,装备库!$AO$2:$AO$1046,0),COLUMN()),"")</f>
        <v/>
      </c>
      <c r="O1133" t="str">
        <f>IFERROR(INDEX(装备库!$A$2:$Y$1047,MATCH(ROW()-1,装备库!$AO$2:$AO$1046,0),COLUMN()),"")</f>
        <v/>
      </c>
      <c r="P1133" t="str">
        <f>IFERROR(INDEX(装备库!$A$2:$Y$1047,MATCH(ROW()-1,装备库!$AO$2:$AO$1046,0),COLUMN()),"")</f>
        <v/>
      </c>
      <c r="Q1133" t="str">
        <f>IFERROR(INDEX(装备库!$A$2:$Y$1047,MATCH(ROW()-1,装备库!$AO$2:$AO$1046,0),COLUMN()),"")</f>
        <v/>
      </c>
      <c r="R1133" t="str">
        <f>IFERROR(INDEX(装备库!$A$2:$Y$1047,MATCH(ROW()-1,装备库!$AO$2:$AO$1046,0),COLUMN()),"")</f>
        <v/>
      </c>
      <c r="S1133" t="str">
        <f>IFERROR(INDEX(装备库!$A$2:$Y$1047,MATCH(ROW()-1,装备库!$AO$2:$AO$1046,0),COLUMN()),"")</f>
        <v/>
      </c>
      <c r="T1133" t="str">
        <f>IFERROR(INDEX(装备库!$A$2:$Y$1047,MATCH(ROW()-1,装备库!$AO$2:$AO$1046,0),COLUMN()),"")</f>
        <v/>
      </c>
      <c r="U1133" t="str">
        <f>IFERROR(INDEX(装备库!$A$2:$Y$1047,MATCH(ROW()-1,装备库!$AO$2:$AO$1046,0),COLUMN()),"")</f>
        <v/>
      </c>
      <c r="V1133" t="str">
        <f>IFERROR(INDEX(装备库!$A$2:$Y$1047,MATCH(ROW()-1,装备库!$AO$2:$AO$1046,0),COLUMN()),"")</f>
        <v/>
      </c>
      <c r="W1133" t="str">
        <f>IFERROR(INDEX(装备库!$A$2:$Y$1047,MATCH(ROW()-1,装备库!$AO$2:$AO$1046,0),COLUMN()),"")</f>
        <v/>
      </c>
      <c r="X1133" t="str">
        <f>IFERROR(INDEX(装备库!$A$2:$Y$1047,MATCH(ROW()-1,装备库!$AO$2:$AO$1046,0),COLUMN()),"")</f>
        <v/>
      </c>
      <c r="Y1133" t="str">
        <f>IFERROR(INDEX(装备库!$A$2:$Y$1047,MATCH(ROW()-1,装备库!$AO$2:$AO$1046,0),COLUMN()),"")</f>
        <v/>
      </c>
    </row>
    <row r="1134" spans="1:25" x14ac:dyDescent="0.35">
      <c r="A1134" t="str">
        <f>IFERROR(INDEX(装备库!$A$2:$Y$1047,MATCH(ROW()-1,装备库!$AO$2:$AO$1046,0),COLUMN()),"")</f>
        <v/>
      </c>
      <c r="B1134" t="str">
        <f>IFERROR(INDEX(装备库!$A$2:$Y$1047,MATCH(ROW()-1,装备库!$AO$2:$AO$1046,0),COLUMN()),"")</f>
        <v/>
      </c>
      <c r="C1134" t="str">
        <f>IFERROR(INDEX(装备库!$A$2:$Y$1047,MATCH(ROW()-1,装备库!$AO$2:$AO$1046,0),COLUMN()),"")</f>
        <v/>
      </c>
      <c r="D1134" t="str">
        <f>IFERROR(INDEX(装备库!$A$2:$Y$1047,MATCH(ROW()-1,装备库!$AO$2:$AO$1046,0),COLUMN()),"")</f>
        <v/>
      </c>
      <c r="E1134" t="str">
        <f>IFERROR(INDEX(装备库!$A$2:$Y$1047,MATCH(ROW()-1,装备库!$AO$2:$AO$1046,0),COLUMN()),"")</f>
        <v/>
      </c>
      <c r="F1134" t="str">
        <f>IFERROR(INDEX(装备库!$A$2:$Y$1047,MATCH(ROW()-1,装备库!$AO$2:$AO$1046,0),COLUMN()),"")</f>
        <v/>
      </c>
      <c r="G1134" t="str">
        <f>IFERROR(INDEX(装备库!$A$2:$Y$1047,MATCH(ROW()-1,装备库!$AO$2:$AO$1046,0),COLUMN()),"")</f>
        <v/>
      </c>
      <c r="H1134" t="str">
        <f>IFERROR(INDEX(装备库!$A$2:$Y$1047,MATCH(ROW()-1,装备库!$AO$2:$AO$1046,0),COLUMN()),"")</f>
        <v/>
      </c>
      <c r="I1134" t="str">
        <f>IFERROR(INDEX(装备库!$A$2:$Y$1047,MATCH(ROW()-1,装备库!$AO$2:$AO$1046,0),COLUMN()),"")</f>
        <v/>
      </c>
      <c r="J1134" t="str">
        <f>IFERROR(INDEX(装备库!$A$2:$Y$1047,MATCH(ROW()-1,装备库!$AO$2:$AO$1046,0),COLUMN()),"")</f>
        <v/>
      </c>
      <c r="K1134" t="str">
        <f>IFERROR(INDEX(装备库!$A$2:$Y$1047,MATCH(ROW()-1,装备库!$AO$2:$AO$1046,0),COLUMN()),"")</f>
        <v/>
      </c>
      <c r="L1134" t="str">
        <f>IFERROR(INDEX(装备库!$A$2:$Y$1047,MATCH(ROW()-1,装备库!$AO$2:$AO$1046,0),COLUMN()),"")</f>
        <v/>
      </c>
      <c r="M1134" t="str">
        <f>IFERROR(INDEX(装备库!$A$2:$Y$1047,MATCH(ROW()-1,装备库!$AO$2:$AO$1046,0),COLUMN()),"")</f>
        <v/>
      </c>
      <c r="N1134" t="str">
        <f>IFERROR(INDEX(装备库!$A$2:$Y$1047,MATCH(ROW()-1,装备库!$AO$2:$AO$1046,0),COLUMN()),"")</f>
        <v/>
      </c>
      <c r="O1134" t="str">
        <f>IFERROR(INDEX(装备库!$A$2:$Y$1047,MATCH(ROW()-1,装备库!$AO$2:$AO$1046,0),COLUMN()),"")</f>
        <v/>
      </c>
      <c r="P1134" t="str">
        <f>IFERROR(INDEX(装备库!$A$2:$Y$1047,MATCH(ROW()-1,装备库!$AO$2:$AO$1046,0),COLUMN()),"")</f>
        <v/>
      </c>
      <c r="Q1134" t="str">
        <f>IFERROR(INDEX(装备库!$A$2:$Y$1047,MATCH(ROW()-1,装备库!$AO$2:$AO$1046,0),COLUMN()),"")</f>
        <v/>
      </c>
      <c r="R1134" t="str">
        <f>IFERROR(INDEX(装备库!$A$2:$Y$1047,MATCH(ROW()-1,装备库!$AO$2:$AO$1046,0),COLUMN()),"")</f>
        <v/>
      </c>
      <c r="S1134" t="str">
        <f>IFERROR(INDEX(装备库!$A$2:$Y$1047,MATCH(ROW()-1,装备库!$AO$2:$AO$1046,0),COLUMN()),"")</f>
        <v/>
      </c>
      <c r="T1134" t="str">
        <f>IFERROR(INDEX(装备库!$A$2:$Y$1047,MATCH(ROW()-1,装备库!$AO$2:$AO$1046,0),COLUMN()),"")</f>
        <v/>
      </c>
      <c r="U1134" t="str">
        <f>IFERROR(INDEX(装备库!$A$2:$Y$1047,MATCH(ROW()-1,装备库!$AO$2:$AO$1046,0),COLUMN()),"")</f>
        <v/>
      </c>
      <c r="V1134" t="str">
        <f>IFERROR(INDEX(装备库!$A$2:$Y$1047,MATCH(ROW()-1,装备库!$AO$2:$AO$1046,0),COLUMN()),"")</f>
        <v/>
      </c>
      <c r="W1134" t="str">
        <f>IFERROR(INDEX(装备库!$A$2:$Y$1047,MATCH(ROW()-1,装备库!$AO$2:$AO$1046,0),COLUMN()),"")</f>
        <v/>
      </c>
      <c r="X1134" t="str">
        <f>IFERROR(INDEX(装备库!$A$2:$Y$1047,MATCH(ROW()-1,装备库!$AO$2:$AO$1046,0),COLUMN()),"")</f>
        <v/>
      </c>
      <c r="Y1134" t="str">
        <f>IFERROR(INDEX(装备库!$A$2:$Y$1047,MATCH(ROW()-1,装备库!$AO$2:$AO$1046,0),COLUMN()),"")</f>
        <v/>
      </c>
    </row>
    <row r="1135" spans="1:25" x14ac:dyDescent="0.35">
      <c r="A1135" t="str">
        <f>IFERROR(INDEX(装备库!$A$2:$Y$1047,MATCH(ROW()-1,装备库!$AO$2:$AO$1046,0),COLUMN()),"")</f>
        <v/>
      </c>
      <c r="B1135" t="str">
        <f>IFERROR(INDEX(装备库!$A$2:$Y$1047,MATCH(ROW()-1,装备库!$AO$2:$AO$1046,0),COLUMN()),"")</f>
        <v/>
      </c>
      <c r="C1135" t="str">
        <f>IFERROR(INDEX(装备库!$A$2:$Y$1047,MATCH(ROW()-1,装备库!$AO$2:$AO$1046,0),COLUMN()),"")</f>
        <v/>
      </c>
      <c r="D1135" t="str">
        <f>IFERROR(INDEX(装备库!$A$2:$Y$1047,MATCH(ROW()-1,装备库!$AO$2:$AO$1046,0),COLUMN()),"")</f>
        <v/>
      </c>
      <c r="E1135" t="str">
        <f>IFERROR(INDEX(装备库!$A$2:$Y$1047,MATCH(ROW()-1,装备库!$AO$2:$AO$1046,0),COLUMN()),"")</f>
        <v/>
      </c>
      <c r="F1135" t="str">
        <f>IFERROR(INDEX(装备库!$A$2:$Y$1047,MATCH(ROW()-1,装备库!$AO$2:$AO$1046,0),COLUMN()),"")</f>
        <v/>
      </c>
      <c r="G1135" t="str">
        <f>IFERROR(INDEX(装备库!$A$2:$Y$1047,MATCH(ROW()-1,装备库!$AO$2:$AO$1046,0),COLUMN()),"")</f>
        <v/>
      </c>
      <c r="H1135" t="str">
        <f>IFERROR(INDEX(装备库!$A$2:$Y$1047,MATCH(ROW()-1,装备库!$AO$2:$AO$1046,0),COLUMN()),"")</f>
        <v/>
      </c>
      <c r="I1135" t="str">
        <f>IFERROR(INDEX(装备库!$A$2:$Y$1047,MATCH(ROW()-1,装备库!$AO$2:$AO$1046,0),COLUMN()),"")</f>
        <v/>
      </c>
      <c r="J1135" t="str">
        <f>IFERROR(INDEX(装备库!$A$2:$Y$1047,MATCH(ROW()-1,装备库!$AO$2:$AO$1046,0),COLUMN()),"")</f>
        <v/>
      </c>
      <c r="K1135" t="str">
        <f>IFERROR(INDEX(装备库!$A$2:$Y$1047,MATCH(ROW()-1,装备库!$AO$2:$AO$1046,0),COLUMN()),"")</f>
        <v/>
      </c>
      <c r="L1135" t="str">
        <f>IFERROR(INDEX(装备库!$A$2:$Y$1047,MATCH(ROW()-1,装备库!$AO$2:$AO$1046,0),COLUMN()),"")</f>
        <v/>
      </c>
      <c r="M1135" t="str">
        <f>IFERROR(INDEX(装备库!$A$2:$Y$1047,MATCH(ROW()-1,装备库!$AO$2:$AO$1046,0),COLUMN()),"")</f>
        <v/>
      </c>
      <c r="N1135" t="str">
        <f>IFERROR(INDEX(装备库!$A$2:$Y$1047,MATCH(ROW()-1,装备库!$AO$2:$AO$1046,0),COLUMN()),"")</f>
        <v/>
      </c>
      <c r="O1135" t="str">
        <f>IFERROR(INDEX(装备库!$A$2:$Y$1047,MATCH(ROW()-1,装备库!$AO$2:$AO$1046,0),COLUMN()),"")</f>
        <v/>
      </c>
      <c r="P1135" t="str">
        <f>IFERROR(INDEX(装备库!$A$2:$Y$1047,MATCH(ROW()-1,装备库!$AO$2:$AO$1046,0),COLUMN()),"")</f>
        <v/>
      </c>
      <c r="Q1135" t="str">
        <f>IFERROR(INDEX(装备库!$A$2:$Y$1047,MATCH(ROW()-1,装备库!$AO$2:$AO$1046,0),COLUMN()),"")</f>
        <v/>
      </c>
      <c r="R1135" t="str">
        <f>IFERROR(INDEX(装备库!$A$2:$Y$1047,MATCH(ROW()-1,装备库!$AO$2:$AO$1046,0),COLUMN()),"")</f>
        <v/>
      </c>
      <c r="S1135" t="str">
        <f>IFERROR(INDEX(装备库!$A$2:$Y$1047,MATCH(ROW()-1,装备库!$AO$2:$AO$1046,0),COLUMN()),"")</f>
        <v/>
      </c>
      <c r="T1135" t="str">
        <f>IFERROR(INDEX(装备库!$A$2:$Y$1047,MATCH(ROW()-1,装备库!$AO$2:$AO$1046,0),COLUMN()),"")</f>
        <v/>
      </c>
      <c r="U1135" t="str">
        <f>IFERROR(INDEX(装备库!$A$2:$Y$1047,MATCH(ROW()-1,装备库!$AO$2:$AO$1046,0),COLUMN()),"")</f>
        <v/>
      </c>
      <c r="V1135" t="str">
        <f>IFERROR(INDEX(装备库!$A$2:$Y$1047,MATCH(ROW()-1,装备库!$AO$2:$AO$1046,0),COLUMN()),"")</f>
        <v/>
      </c>
      <c r="W1135" t="str">
        <f>IFERROR(INDEX(装备库!$A$2:$Y$1047,MATCH(ROW()-1,装备库!$AO$2:$AO$1046,0),COLUMN()),"")</f>
        <v/>
      </c>
      <c r="X1135" t="str">
        <f>IFERROR(INDEX(装备库!$A$2:$Y$1047,MATCH(ROW()-1,装备库!$AO$2:$AO$1046,0),COLUMN()),"")</f>
        <v/>
      </c>
      <c r="Y1135" t="str">
        <f>IFERROR(INDEX(装备库!$A$2:$Y$1047,MATCH(ROW()-1,装备库!$AO$2:$AO$1046,0),COLUMN()),"")</f>
        <v/>
      </c>
    </row>
    <row r="1136" spans="1:25" x14ac:dyDescent="0.35">
      <c r="A1136" t="str">
        <f>IFERROR(INDEX(装备库!$A$2:$Y$1047,MATCH(ROW()-1,装备库!$AO$2:$AO$1046,0),COLUMN()),"")</f>
        <v/>
      </c>
      <c r="B1136" t="str">
        <f>IFERROR(INDEX(装备库!$A$2:$Y$1047,MATCH(ROW()-1,装备库!$AO$2:$AO$1046,0),COLUMN()),"")</f>
        <v/>
      </c>
      <c r="C1136" t="str">
        <f>IFERROR(INDEX(装备库!$A$2:$Y$1047,MATCH(ROW()-1,装备库!$AO$2:$AO$1046,0),COLUMN()),"")</f>
        <v/>
      </c>
      <c r="D1136" t="str">
        <f>IFERROR(INDEX(装备库!$A$2:$Y$1047,MATCH(ROW()-1,装备库!$AO$2:$AO$1046,0),COLUMN()),"")</f>
        <v/>
      </c>
      <c r="E1136" t="str">
        <f>IFERROR(INDEX(装备库!$A$2:$Y$1047,MATCH(ROW()-1,装备库!$AO$2:$AO$1046,0),COLUMN()),"")</f>
        <v/>
      </c>
      <c r="F1136" t="str">
        <f>IFERROR(INDEX(装备库!$A$2:$Y$1047,MATCH(ROW()-1,装备库!$AO$2:$AO$1046,0),COLUMN()),"")</f>
        <v/>
      </c>
      <c r="G1136" t="str">
        <f>IFERROR(INDEX(装备库!$A$2:$Y$1047,MATCH(ROW()-1,装备库!$AO$2:$AO$1046,0),COLUMN()),"")</f>
        <v/>
      </c>
      <c r="H1136" t="str">
        <f>IFERROR(INDEX(装备库!$A$2:$Y$1047,MATCH(ROW()-1,装备库!$AO$2:$AO$1046,0),COLUMN()),"")</f>
        <v/>
      </c>
      <c r="I1136" t="str">
        <f>IFERROR(INDEX(装备库!$A$2:$Y$1047,MATCH(ROW()-1,装备库!$AO$2:$AO$1046,0),COLUMN()),"")</f>
        <v/>
      </c>
      <c r="J1136" t="str">
        <f>IFERROR(INDEX(装备库!$A$2:$Y$1047,MATCH(ROW()-1,装备库!$AO$2:$AO$1046,0),COLUMN()),"")</f>
        <v/>
      </c>
      <c r="K1136" t="str">
        <f>IFERROR(INDEX(装备库!$A$2:$Y$1047,MATCH(ROW()-1,装备库!$AO$2:$AO$1046,0),COLUMN()),"")</f>
        <v/>
      </c>
      <c r="L1136" t="str">
        <f>IFERROR(INDEX(装备库!$A$2:$Y$1047,MATCH(ROW()-1,装备库!$AO$2:$AO$1046,0),COLUMN()),"")</f>
        <v/>
      </c>
      <c r="M1136" t="str">
        <f>IFERROR(INDEX(装备库!$A$2:$Y$1047,MATCH(ROW()-1,装备库!$AO$2:$AO$1046,0),COLUMN()),"")</f>
        <v/>
      </c>
      <c r="N1136" t="str">
        <f>IFERROR(INDEX(装备库!$A$2:$Y$1047,MATCH(ROW()-1,装备库!$AO$2:$AO$1046,0),COLUMN()),"")</f>
        <v/>
      </c>
      <c r="O1136" t="str">
        <f>IFERROR(INDEX(装备库!$A$2:$Y$1047,MATCH(ROW()-1,装备库!$AO$2:$AO$1046,0),COLUMN()),"")</f>
        <v/>
      </c>
      <c r="P1136" t="str">
        <f>IFERROR(INDEX(装备库!$A$2:$Y$1047,MATCH(ROW()-1,装备库!$AO$2:$AO$1046,0),COLUMN()),"")</f>
        <v/>
      </c>
      <c r="Q1136" t="str">
        <f>IFERROR(INDEX(装备库!$A$2:$Y$1047,MATCH(ROW()-1,装备库!$AO$2:$AO$1046,0),COLUMN()),"")</f>
        <v/>
      </c>
      <c r="R1136" t="str">
        <f>IFERROR(INDEX(装备库!$A$2:$Y$1047,MATCH(ROW()-1,装备库!$AO$2:$AO$1046,0),COLUMN()),"")</f>
        <v/>
      </c>
      <c r="S1136" t="str">
        <f>IFERROR(INDEX(装备库!$A$2:$Y$1047,MATCH(ROW()-1,装备库!$AO$2:$AO$1046,0),COLUMN()),"")</f>
        <v/>
      </c>
      <c r="T1136" t="str">
        <f>IFERROR(INDEX(装备库!$A$2:$Y$1047,MATCH(ROW()-1,装备库!$AO$2:$AO$1046,0),COLUMN()),"")</f>
        <v/>
      </c>
      <c r="U1136" t="str">
        <f>IFERROR(INDEX(装备库!$A$2:$Y$1047,MATCH(ROW()-1,装备库!$AO$2:$AO$1046,0),COLUMN()),"")</f>
        <v/>
      </c>
      <c r="V1136" t="str">
        <f>IFERROR(INDEX(装备库!$A$2:$Y$1047,MATCH(ROW()-1,装备库!$AO$2:$AO$1046,0),COLUMN()),"")</f>
        <v/>
      </c>
      <c r="W1136" t="str">
        <f>IFERROR(INDEX(装备库!$A$2:$Y$1047,MATCH(ROW()-1,装备库!$AO$2:$AO$1046,0),COLUMN()),"")</f>
        <v/>
      </c>
      <c r="X1136" t="str">
        <f>IFERROR(INDEX(装备库!$A$2:$Y$1047,MATCH(ROW()-1,装备库!$AO$2:$AO$1046,0),COLUMN()),"")</f>
        <v/>
      </c>
      <c r="Y1136" t="str">
        <f>IFERROR(INDEX(装备库!$A$2:$Y$1047,MATCH(ROW()-1,装备库!$AO$2:$AO$1046,0),COLUMN()),"")</f>
        <v/>
      </c>
    </row>
    <row r="1137" spans="1:25" x14ac:dyDescent="0.35">
      <c r="A1137" t="str">
        <f>IFERROR(INDEX(装备库!$A$2:$Y$1047,MATCH(ROW()-1,装备库!$AO$2:$AO$1046,0),COLUMN()),"")</f>
        <v/>
      </c>
      <c r="B1137" t="str">
        <f>IFERROR(INDEX(装备库!$A$2:$Y$1047,MATCH(ROW()-1,装备库!$AO$2:$AO$1046,0),COLUMN()),"")</f>
        <v/>
      </c>
      <c r="C1137" t="str">
        <f>IFERROR(INDEX(装备库!$A$2:$Y$1047,MATCH(ROW()-1,装备库!$AO$2:$AO$1046,0),COLUMN()),"")</f>
        <v/>
      </c>
      <c r="D1137" t="str">
        <f>IFERROR(INDEX(装备库!$A$2:$Y$1047,MATCH(ROW()-1,装备库!$AO$2:$AO$1046,0),COLUMN()),"")</f>
        <v/>
      </c>
      <c r="E1137" t="str">
        <f>IFERROR(INDEX(装备库!$A$2:$Y$1047,MATCH(ROW()-1,装备库!$AO$2:$AO$1046,0),COLUMN()),"")</f>
        <v/>
      </c>
      <c r="F1137" t="str">
        <f>IFERROR(INDEX(装备库!$A$2:$Y$1047,MATCH(ROW()-1,装备库!$AO$2:$AO$1046,0),COLUMN()),"")</f>
        <v/>
      </c>
      <c r="G1137" t="str">
        <f>IFERROR(INDEX(装备库!$A$2:$Y$1047,MATCH(ROW()-1,装备库!$AO$2:$AO$1046,0),COLUMN()),"")</f>
        <v/>
      </c>
      <c r="H1137" t="str">
        <f>IFERROR(INDEX(装备库!$A$2:$Y$1047,MATCH(ROW()-1,装备库!$AO$2:$AO$1046,0),COLUMN()),"")</f>
        <v/>
      </c>
      <c r="I1137" t="str">
        <f>IFERROR(INDEX(装备库!$A$2:$Y$1047,MATCH(ROW()-1,装备库!$AO$2:$AO$1046,0),COLUMN()),"")</f>
        <v/>
      </c>
      <c r="J1137" t="str">
        <f>IFERROR(INDEX(装备库!$A$2:$Y$1047,MATCH(ROW()-1,装备库!$AO$2:$AO$1046,0),COLUMN()),"")</f>
        <v/>
      </c>
      <c r="K1137" t="str">
        <f>IFERROR(INDEX(装备库!$A$2:$Y$1047,MATCH(ROW()-1,装备库!$AO$2:$AO$1046,0),COLUMN()),"")</f>
        <v/>
      </c>
      <c r="L1137" t="str">
        <f>IFERROR(INDEX(装备库!$A$2:$Y$1047,MATCH(ROW()-1,装备库!$AO$2:$AO$1046,0),COLUMN()),"")</f>
        <v/>
      </c>
      <c r="M1137" t="str">
        <f>IFERROR(INDEX(装备库!$A$2:$Y$1047,MATCH(ROW()-1,装备库!$AO$2:$AO$1046,0),COLUMN()),"")</f>
        <v/>
      </c>
      <c r="N1137" t="str">
        <f>IFERROR(INDEX(装备库!$A$2:$Y$1047,MATCH(ROW()-1,装备库!$AO$2:$AO$1046,0),COLUMN()),"")</f>
        <v/>
      </c>
      <c r="O1137" t="str">
        <f>IFERROR(INDEX(装备库!$A$2:$Y$1047,MATCH(ROW()-1,装备库!$AO$2:$AO$1046,0),COLUMN()),"")</f>
        <v/>
      </c>
      <c r="P1137" t="str">
        <f>IFERROR(INDEX(装备库!$A$2:$Y$1047,MATCH(ROW()-1,装备库!$AO$2:$AO$1046,0),COLUMN()),"")</f>
        <v/>
      </c>
      <c r="Q1137" t="str">
        <f>IFERROR(INDEX(装备库!$A$2:$Y$1047,MATCH(ROW()-1,装备库!$AO$2:$AO$1046,0),COLUMN()),"")</f>
        <v/>
      </c>
      <c r="R1137" t="str">
        <f>IFERROR(INDEX(装备库!$A$2:$Y$1047,MATCH(ROW()-1,装备库!$AO$2:$AO$1046,0),COLUMN()),"")</f>
        <v/>
      </c>
      <c r="S1137" t="str">
        <f>IFERROR(INDEX(装备库!$A$2:$Y$1047,MATCH(ROW()-1,装备库!$AO$2:$AO$1046,0),COLUMN()),"")</f>
        <v/>
      </c>
      <c r="T1137" t="str">
        <f>IFERROR(INDEX(装备库!$A$2:$Y$1047,MATCH(ROW()-1,装备库!$AO$2:$AO$1046,0),COLUMN()),"")</f>
        <v/>
      </c>
      <c r="U1137" t="str">
        <f>IFERROR(INDEX(装备库!$A$2:$Y$1047,MATCH(ROW()-1,装备库!$AO$2:$AO$1046,0),COLUMN()),"")</f>
        <v/>
      </c>
      <c r="V1137" t="str">
        <f>IFERROR(INDEX(装备库!$A$2:$Y$1047,MATCH(ROW()-1,装备库!$AO$2:$AO$1046,0),COLUMN()),"")</f>
        <v/>
      </c>
      <c r="W1137" t="str">
        <f>IFERROR(INDEX(装备库!$A$2:$Y$1047,MATCH(ROW()-1,装备库!$AO$2:$AO$1046,0),COLUMN()),"")</f>
        <v/>
      </c>
      <c r="X1137" t="str">
        <f>IFERROR(INDEX(装备库!$A$2:$Y$1047,MATCH(ROW()-1,装备库!$AO$2:$AO$1046,0),COLUMN()),"")</f>
        <v/>
      </c>
      <c r="Y1137" t="str">
        <f>IFERROR(INDEX(装备库!$A$2:$Y$1047,MATCH(ROW()-1,装备库!$AO$2:$AO$1046,0),COLUMN()),"")</f>
        <v/>
      </c>
    </row>
    <row r="1138" spans="1:25" x14ac:dyDescent="0.35">
      <c r="A1138" t="str">
        <f>IFERROR(INDEX(装备库!$A$2:$Y$1047,MATCH(ROW()-1,装备库!$AO$2:$AO$1046,0),COLUMN()),"")</f>
        <v/>
      </c>
      <c r="B1138" t="str">
        <f>IFERROR(INDEX(装备库!$A$2:$Y$1047,MATCH(ROW()-1,装备库!$AO$2:$AO$1046,0),COLUMN()),"")</f>
        <v/>
      </c>
      <c r="C1138" t="str">
        <f>IFERROR(INDEX(装备库!$A$2:$Y$1047,MATCH(ROW()-1,装备库!$AO$2:$AO$1046,0),COLUMN()),"")</f>
        <v/>
      </c>
      <c r="D1138" t="str">
        <f>IFERROR(INDEX(装备库!$A$2:$Y$1047,MATCH(ROW()-1,装备库!$AO$2:$AO$1046,0),COLUMN()),"")</f>
        <v/>
      </c>
      <c r="E1138" t="str">
        <f>IFERROR(INDEX(装备库!$A$2:$Y$1047,MATCH(ROW()-1,装备库!$AO$2:$AO$1046,0),COLUMN()),"")</f>
        <v/>
      </c>
      <c r="F1138" t="str">
        <f>IFERROR(INDEX(装备库!$A$2:$Y$1047,MATCH(ROW()-1,装备库!$AO$2:$AO$1046,0),COLUMN()),"")</f>
        <v/>
      </c>
      <c r="G1138" t="str">
        <f>IFERROR(INDEX(装备库!$A$2:$Y$1047,MATCH(ROW()-1,装备库!$AO$2:$AO$1046,0),COLUMN()),"")</f>
        <v/>
      </c>
      <c r="H1138" t="str">
        <f>IFERROR(INDEX(装备库!$A$2:$Y$1047,MATCH(ROW()-1,装备库!$AO$2:$AO$1046,0),COLUMN()),"")</f>
        <v/>
      </c>
      <c r="I1138" t="str">
        <f>IFERROR(INDEX(装备库!$A$2:$Y$1047,MATCH(ROW()-1,装备库!$AO$2:$AO$1046,0),COLUMN()),"")</f>
        <v/>
      </c>
      <c r="J1138" t="str">
        <f>IFERROR(INDEX(装备库!$A$2:$Y$1047,MATCH(ROW()-1,装备库!$AO$2:$AO$1046,0),COLUMN()),"")</f>
        <v/>
      </c>
      <c r="K1138" t="str">
        <f>IFERROR(INDEX(装备库!$A$2:$Y$1047,MATCH(ROW()-1,装备库!$AO$2:$AO$1046,0),COLUMN()),"")</f>
        <v/>
      </c>
      <c r="L1138" t="str">
        <f>IFERROR(INDEX(装备库!$A$2:$Y$1047,MATCH(ROW()-1,装备库!$AO$2:$AO$1046,0),COLUMN()),"")</f>
        <v/>
      </c>
      <c r="M1138" t="str">
        <f>IFERROR(INDEX(装备库!$A$2:$Y$1047,MATCH(ROW()-1,装备库!$AO$2:$AO$1046,0),COLUMN()),"")</f>
        <v/>
      </c>
      <c r="N1138" t="str">
        <f>IFERROR(INDEX(装备库!$A$2:$Y$1047,MATCH(ROW()-1,装备库!$AO$2:$AO$1046,0),COLUMN()),"")</f>
        <v/>
      </c>
      <c r="O1138" t="str">
        <f>IFERROR(INDEX(装备库!$A$2:$Y$1047,MATCH(ROW()-1,装备库!$AO$2:$AO$1046,0),COLUMN()),"")</f>
        <v/>
      </c>
      <c r="P1138" t="str">
        <f>IFERROR(INDEX(装备库!$A$2:$Y$1047,MATCH(ROW()-1,装备库!$AO$2:$AO$1046,0),COLUMN()),"")</f>
        <v/>
      </c>
      <c r="Q1138" t="str">
        <f>IFERROR(INDEX(装备库!$A$2:$Y$1047,MATCH(ROW()-1,装备库!$AO$2:$AO$1046,0),COLUMN()),"")</f>
        <v/>
      </c>
      <c r="R1138" t="str">
        <f>IFERROR(INDEX(装备库!$A$2:$Y$1047,MATCH(ROW()-1,装备库!$AO$2:$AO$1046,0),COLUMN()),"")</f>
        <v/>
      </c>
      <c r="S1138" t="str">
        <f>IFERROR(INDEX(装备库!$A$2:$Y$1047,MATCH(ROW()-1,装备库!$AO$2:$AO$1046,0),COLUMN()),"")</f>
        <v/>
      </c>
      <c r="T1138" t="str">
        <f>IFERROR(INDEX(装备库!$A$2:$Y$1047,MATCH(ROW()-1,装备库!$AO$2:$AO$1046,0),COLUMN()),"")</f>
        <v/>
      </c>
      <c r="U1138" t="str">
        <f>IFERROR(INDEX(装备库!$A$2:$Y$1047,MATCH(ROW()-1,装备库!$AO$2:$AO$1046,0),COLUMN()),"")</f>
        <v/>
      </c>
      <c r="V1138" t="str">
        <f>IFERROR(INDEX(装备库!$A$2:$Y$1047,MATCH(ROW()-1,装备库!$AO$2:$AO$1046,0),COLUMN()),"")</f>
        <v/>
      </c>
      <c r="W1138" t="str">
        <f>IFERROR(INDEX(装备库!$A$2:$Y$1047,MATCH(ROW()-1,装备库!$AO$2:$AO$1046,0),COLUMN()),"")</f>
        <v/>
      </c>
      <c r="X1138" t="str">
        <f>IFERROR(INDEX(装备库!$A$2:$Y$1047,MATCH(ROW()-1,装备库!$AO$2:$AO$1046,0),COLUMN()),"")</f>
        <v/>
      </c>
      <c r="Y1138" t="str">
        <f>IFERROR(INDEX(装备库!$A$2:$Y$1047,MATCH(ROW()-1,装备库!$AO$2:$AO$1046,0),COLUMN()),"")</f>
        <v/>
      </c>
    </row>
    <row r="1139" spans="1:25" x14ac:dyDescent="0.35">
      <c r="A1139" t="str">
        <f>IFERROR(INDEX(装备库!$A$2:$Y$1047,MATCH(ROW()-1,装备库!$AO$2:$AO$1046,0),COLUMN()),"")</f>
        <v/>
      </c>
      <c r="B1139" t="str">
        <f>IFERROR(INDEX(装备库!$A$2:$Y$1047,MATCH(ROW()-1,装备库!$AO$2:$AO$1046,0),COLUMN()),"")</f>
        <v/>
      </c>
      <c r="C1139" t="str">
        <f>IFERROR(INDEX(装备库!$A$2:$Y$1047,MATCH(ROW()-1,装备库!$AO$2:$AO$1046,0),COLUMN()),"")</f>
        <v/>
      </c>
      <c r="D1139" t="str">
        <f>IFERROR(INDEX(装备库!$A$2:$Y$1047,MATCH(ROW()-1,装备库!$AO$2:$AO$1046,0),COLUMN()),"")</f>
        <v/>
      </c>
      <c r="E1139" t="str">
        <f>IFERROR(INDEX(装备库!$A$2:$Y$1047,MATCH(ROW()-1,装备库!$AO$2:$AO$1046,0),COLUMN()),"")</f>
        <v/>
      </c>
      <c r="F1139" t="str">
        <f>IFERROR(INDEX(装备库!$A$2:$Y$1047,MATCH(ROW()-1,装备库!$AO$2:$AO$1046,0),COLUMN()),"")</f>
        <v/>
      </c>
      <c r="G1139" t="str">
        <f>IFERROR(INDEX(装备库!$A$2:$Y$1047,MATCH(ROW()-1,装备库!$AO$2:$AO$1046,0),COLUMN()),"")</f>
        <v/>
      </c>
      <c r="H1139" t="str">
        <f>IFERROR(INDEX(装备库!$A$2:$Y$1047,MATCH(ROW()-1,装备库!$AO$2:$AO$1046,0),COLUMN()),"")</f>
        <v/>
      </c>
      <c r="I1139" t="str">
        <f>IFERROR(INDEX(装备库!$A$2:$Y$1047,MATCH(ROW()-1,装备库!$AO$2:$AO$1046,0),COLUMN()),"")</f>
        <v/>
      </c>
      <c r="J1139" t="str">
        <f>IFERROR(INDEX(装备库!$A$2:$Y$1047,MATCH(ROW()-1,装备库!$AO$2:$AO$1046,0),COLUMN()),"")</f>
        <v/>
      </c>
      <c r="K1139" t="str">
        <f>IFERROR(INDEX(装备库!$A$2:$Y$1047,MATCH(ROW()-1,装备库!$AO$2:$AO$1046,0),COLUMN()),"")</f>
        <v/>
      </c>
      <c r="L1139" t="str">
        <f>IFERROR(INDEX(装备库!$A$2:$Y$1047,MATCH(ROW()-1,装备库!$AO$2:$AO$1046,0),COLUMN()),"")</f>
        <v/>
      </c>
      <c r="M1139" t="str">
        <f>IFERROR(INDEX(装备库!$A$2:$Y$1047,MATCH(ROW()-1,装备库!$AO$2:$AO$1046,0),COLUMN()),"")</f>
        <v/>
      </c>
      <c r="N1139" t="str">
        <f>IFERROR(INDEX(装备库!$A$2:$Y$1047,MATCH(ROW()-1,装备库!$AO$2:$AO$1046,0),COLUMN()),"")</f>
        <v/>
      </c>
      <c r="O1139" t="str">
        <f>IFERROR(INDEX(装备库!$A$2:$Y$1047,MATCH(ROW()-1,装备库!$AO$2:$AO$1046,0),COLUMN()),"")</f>
        <v/>
      </c>
      <c r="P1139" t="str">
        <f>IFERROR(INDEX(装备库!$A$2:$Y$1047,MATCH(ROW()-1,装备库!$AO$2:$AO$1046,0),COLUMN()),"")</f>
        <v/>
      </c>
      <c r="Q1139" t="str">
        <f>IFERROR(INDEX(装备库!$A$2:$Y$1047,MATCH(ROW()-1,装备库!$AO$2:$AO$1046,0),COLUMN()),"")</f>
        <v/>
      </c>
      <c r="R1139" t="str">
        <f>IFERROR(INDEX(装备库!$A$2:$Y$1047,MATCH(ROW()-1,装备库!$AO$2:$AO$1046,0),COLUMN()),"")</f>
        <v/>
      </c>
      <c r="S1139" t="str">
        <f>IFERROR(INDEX(装备库!$A$2:$Y$1047,MATCH(ROW()-1,装备库!$AO$2:$AO$1046,0),COLUMN()),"")</f>
        <v/>
      </c>
      <c r="T1139" t="str">
        <f>IFERROR(INDEX(装备库!$A$2:$Y$1047,MATCH(ROW()-1,装备库!$AO$2:$AO$1046,0),COLUMN()),"")</f>
        <v/>
      </c>
      <c r="U1139" t="str">
        <f>IFERROR(INDEX(装备库!$A$2:$Y$1047,MATCH(ROW()-1,装备库!$AO$2:$AO$1046,0),COLUMN()),"")</f>
        <v/>
      </c>
      <c r="V1139" t="str">
        <f>IFERROR(INDEX(装备库!$A$2:$Y$1047,MATCH(ROW()-1,装备库!$AO$2:$AO$1046,0),COLUMN()),"")</f>
        <v/>
      </c>
      <c r="W1139" t="str">
        <f>IFERROR(INDEX(装备库!$A$2:$Y$1047,MATCH(ROW()-1,装备库!$AO$2:$AO$1046,0),COLUMN()),"")</f>
        <v/>
      </c>
      <c r="X1139" t="str">
        <f>IFERROR(INDEX(装备库!$A$2:$Y$1047,MATCH(ROW()-1,装备库!$AO$2:$AO$1046,0),COLUMN()),"")</f>
        <v/>
      </c>
      <c r="Y1139" t="str">
        <f>IFERROR(INDEX(装备库!$A$2:$Y$1047,MATCH(ROW()-1,装备库!$AO$2:$AO$1046,0),COLUMN()),"")</f>
        <v/>
      </c>
    </row>
    <row r="1140" spans="1:25" x14ac:dyDescent="0.35">
      <c r="A1140" t="str">
        <f>IFERROR(INDEX(装备库!$A$2:$Y$1047,MATCH(ROW()-1,装备库!$AO$2:$AO$1046,0),COLUMN()),"")</f>
        <v/>
      </c>
      <c r="B1140" t="str">
        <f>IFERROR(INDEX(装备库!$A$2:$Y$1047,MATCH(ROW()-1,装备库!$AO$2:$AO$1046,0),COLUMN()),"")</f>
        <v/>
      </c>
      <c r="C1140" t="str">
        <f>IFERROR(INDEX(装备库!$A$2:$Y$1047,MATCH(ROW()-1,装备库!$AO$2:$AO$1046,0),COLUMN()),"")</f>
        <v/>
      </c>
      <c r="D1140" t="str">
        <f>IFERROR(INDEX(装备库!$A$2:$Y$1047,MATCH(ROW()-1,装备库!$AO$2:$AO$1046,0),COLUMN()),"")</f>
        <v/>
      </c>
      <c r="E1140" t="str">
        <f>IFERROR(INDEX(装备库!$A$2:$Y$1047,MATCH(ROW()-1,装备库!$AO$2:$AO$1046,0),COLUMN()),"")</f>
        <v/>
      </c>
      <c r="F1140" t="str">
        <f>IFERROR(INDEX(装备库!$A$2:$Y$1047,MATCH(ROW()-1,装备库!$AO$2:$AO$1046,0),COLUMN()),"")</f>
        <v/>
      </c>
      <c r="G1140" t="str">
        <f>IFERROR(INDEX(装备库!$A$2:$Y$1047,MATCH(ROW()-1,装备库!$AO$2:$AO$1046,0),COLUMN()),"")</f>
        <v/>
      </c>
      <c r="H1140" t="str">
        <f>IFERROR(INDEX(装备库!$A$2:$Y$1047,MATCH(ROW()-1,装备库!$AO$2:$AO$1046,0),COLUMN()),"")</f>
        <v/>
      </c>
      <c r="I1140" t="str">
        <f>IFERROR(INDEX(装备库!$A$2:$Y$1047,MATCH(ROW()-1,装备库!$AO$2:$AO$1046,0),COLUMN()),"")</f>
        <v/>
      </c>
      <c r="J1140" t="str">
        <f>IFERROR(INDEX(装备库!$A$2:$Y$1047,MATCH(ROW()-1,装备库!$AO$2:$AO$1046,0),COLUMN()),"")</f>
        <v/>
      </c>
      <c r="K1140" t="str">
        <f>IFERROR(INDEX(装备库!$A$2:$Y$1047,MATCH(ROW()-1,装备库!$AO$2:$AO$1046,0),COLUMN()),"")</f>
        <v/>
      </c>
      <c r="L1140" t="str">
        <f>IFERROR(INDEX(装备库!$A$2:$Y$1047,MATCH(ROW()-1,装备库!$AO$2:$AO$1046,0),COLUMN()),"")</f>
        <v/>
      </c>
      <c r="M1140" t="str">
        <f>IFERROR(INDEX(装备库!$A$2:$Y$1047,MATCH(ROW()-1,装备库!$AO$2:$AO$1046,0),COLUMN()),"")</f>
        <v/>
      </c>
      <c r="N1140" t="str">
        <f>IFERROR(INDEX(装备库!$A$2:$Y$1047,MATCH(ROW()-1,装备库!$AO$2:$AO$1046,0),COLUMN()),"")</f>
        <v/>
      </c>
      <c r="O1140" t="str">
        <f>IFERROR(INDEX(装备库!$A$2:$Y$1047,MATCH(ROW()-1,装备库!$AO$2:$AO$1046,0),COLUMN()),"")</f>
        <v/>
      </c>
      <c r="P1140" t="str">
        <f>IFERROR(INDEX(装备库!$A$2:$Y$1047,MATCH(ROW()-1,装备库!$AO$2:$AO$1046,0),COLUMN()),"")</f>
        <v/>
      </c>
      <c r="Q1140" t="str">
        <f>IFERROR(INDEX(装备库!$A$2:$Y$1047,MATCH(ROW()-1,装备库!$AO$2:$AO$1046,0),COLUMN()),"")</f>
        <v/>
      </c>
      <c r="R1140" t="str">
        <f>IFERROR(INDEX(装备库!$A$2:$Y$1047,MATCH(ROW()-1,装备库!$AO$2:$AO$1046,0),COLUMN()),"")</f>
        <v/>
      </c>
      <c r="S1140" t="str">
        <f>IFERROR(INDEX(装备库!$A$2:$Y$1047,MATCH(ROW()-1,装备库!$AO$2:$AO$1046,0),COLUMN()),"")</f>
        <v/>
      </c>
      <c r="T1140" t="str">
        <f>IFERROR(INDEX(装备库!$A$2:$Y$1047,MATCH(ROW()-1,装备库!$AO$2:$AO$1046,0),COLUMN()),"")</f>
        <v/>
      </c>
      <c r="U1140" t="str">
        <f>IFERROR(INDEX(装备库!$A$2:$Y$1047,MATCH(ROW()-1,装备库!$AO$2:$AO$1046,0),COLUMN()),"")</f>
        <v/>
      </c>
      <c r="V1140" t="str">
        <f>IFERROR(INDEX(装备库!$A$2:$Y$1047,MATCH(ROW()-1,装备库!$AO$2:$AO$1046,0),COLUMN()),"")</f>
        <v/>
      </c>
      <c r="W1140" t="str">
        <f>IFERROR(INDEX(装备库!$A$2:$Y$1047,MATCH(ROW()-1,装备库!$AO$2:$AO$1046,0),COLUMN()),"")</f>
        <v/>
      </c>
      <c r="X1140" t="str">
        <f>IFERROR(INDEX(装备库!$A$2:$Y$1047,MATCH(ROW()-1,装备库!$AO$2:$AO$1046,0),COLUMN()),"")</f>
        <v/>
      </c>
      <c r="Y1140" t="str">
        <f>IFERROR(INDEX(装备库!$A$2:$Y$1047,MATCH(ROW()-1,装备库!$AO$2:$AO$1046,0),COLUMN()),"")</f>
        <v/>
      </c>
    </row>
    <row r="1141" spans="1:25" x14ac:dyDescent="0.35">
      <c r="A1141" t="str">
        <f>IFERROR(INDEX(装备库!$A$2:$Y$1047,MATCH(ROW()-1,装备库!$AO$2:$AO$1046,0),COLUMN()),"")</f>
        <v/>
      </c>
      <c r="B1141" t="str">
        <f>IFERROR(INDEX(装备库!$A$2:$Y$1047,MATCH(ROW()-1,装备库!$AO$2:$AO$1046,0),COLUMN()),"")</f>
        <v/>
      </c>
      <c r="C1141" t="str">
        <f>IFERROR(INDEX(装备库!$A$2:$Y$1047,MATCH(ROW()-1,装备库!$AO$2:$AO$1046,0),COLUMN()),"")</f>
        <v/>
      </c>
      <c r="D1141" t="str">
        <f>IFERROR(INDEX(装备库!$A$2:$Y$1047,MATCH(ROW()-1,装备库!$AO$2:$AO$1046,0),COLUMN()),"")</f>
        <v/>
      </c>
      <c r="E1141" t="str">
        <f>IFERROR(INDEX(装备库!$A$2:$Y$1047,MATCH(ROW()-1,装备库!$AO$2:$AO$1046,0),COLUMN()),"")</f>
        <v/>
      </c>
      <c r="F1141" t="str">
        <f>IFERROR(INDEX(装备库!$A$2:$Y$1047,MATCH(ROW()-1,装备库!$AO$2:$AO$1046,0),COLUMN()),"")</f>
        <v/>
      </c>
      <c r="G1141" t="str">
        <f>IFERROR(INDEX(装备库!$A$2:$Y$1047,MATCH(ROW()-1,装备库!$AO$2:$AO$1046,0),COLUMN()),"")</f>
        <v/>
      </c>
      <c r="H1141" t="str">
        <f>IFERROR(INDEX(装备库!$A$2:$Y$1047,MATCH(ROW()-1,装备库!$AO$2:$AO$1046,0),COLUMN()),"")</f>
        <v/>
      </c>
      <c r="I1141" t="str">
        <f>IFERROR(INDEX(装备库!$A$2:$Y$1047,MATCH(ROW()-1,装备库!$AO$2:$AO$1046,0),COLUMN()),"")</f>
        <v/>
      </c>
      <c r="J1141" t="str">
        <f>IFERROR(INDEX(装备库!$A$2:$Y$1047,MATCH(ROW()-1,装备库!$AO$2:$AO$1046,0),COLUMN()),"")</f>
        <v/>
      </c>
      <c r="K1141" t="str">
        <f>IFERROR(INDEX(装备库!$A$2:$Y$1047,MATCH(ROW()-1,装备库!$AO$2:$AO$1046,0),COLUMN()),"")</f>
        <v/>
      </c>
      <c r="L1141" t="str">
        <f>IFERROR(INDEX(装备库!$A$2:$Y$1047,MATCH(ROW()-1,装备库!$AO$2:$AO$1046,0),COLUMN()),"")</f>
        <v/>
      </c>
      <c r="M1141" t="str">
        <f>IFERROR(INDEX(装备库!$A$2:$Y$1047,MATCH(ROW()-1,装备库!$AO$2:$AO$1046,0),COLUMN()),"")</f>
        <v/>
      </c>
      <c r="N1141" t="str">
        <f>IFERROR(INDEX(装备库!$A$2:$Y$1047,MATCH(ROW()-1,装备库!$AO$2:$AO$1046,0),COLUMN()),"")</f>
        <v/>
      </c>
      <c r="O1141" t="str">
        <f>IFERROR(INDEX(装备库!$A$2:$Y$1047,MATCH(ROW()-1,装备库!$AO$2:$AO$1046,0),COLUMN()),"")</f>
        <v/>
      </c>
      <c r="P1141" t="str">
        <f>IFERROR(INDEX(装备库!$A$2:$Y$1047,MATCH(ROW()-1,装备库!$AO$2:$AO$1046,0),COLUMN()),"")</f>
        <v/>
      </c>
      <c r="Q1141" t="str">
        <f>IFERROR(INDEX(装备库!$A$2:$Y$1047,MATCH(ROW()-1,装备库!$AO$2:$AO$1046,0),COLUMN()),"")</f>
        <v/>
      </c>
      <c r="R1141" t="str">
        <f>IFERROR(INDEX(装备库!$A$2:$Y$1047,MATCH(ROW()-1,装备库!$AO$2:$AO$1046,0),COLUMN()),"")</f>
        <v/>
      </c>
      <c r="S1141" t="str">
        <f>IFERROR(INDEX(装备库!$A$2:$Y$1047,MATCH(ROW()-1,装备库!$AO$2:$AO$1046,0),COLUMN()),"")</f>
        <v/>
      </c>
      <c r="T1141" t="str">
        <f>IFERROR(INDEX(装备库!$A$2:$Y$1047,MATCH(ROW()-1,装备库!$AO$2:$AO$1046,0),COLUMN()),"")</f>
        <v/>
      </c>
      <c r="U1141" t="str">
        <f>IFERROR(INDEX(装备库!$A$2:$Y$1047,MATCH(ROW()-1,装备库!$AO$2:$AO$1046,0),COLUMN()),"")</f>
        <v/>
      </c>
      <c r="V1141" t="str">
        <f>IFERROR(INDEX(装备库!$A$2:$Y$1047,MATCH(ROW()-1,装备库!$AO$2:$AO$1046,0),COLUMN()),"")</f>
        <v/>
      </c>
      <c r="W1141" t="str">
        <f>IFERROR(INDEX(装备库!$A$2:$Y$1047,MATCH(ROW()-1,装备库!$AO$2:$AO$1046,0),COLUMN()),"")</f>
        <v/>
      </c>
      <c r="X1141" t="str">
        <f>IFERROR(INDEX(装备库!$A$2:$Y$1047,MATCH(ROW()-1,装备库!$AO$2:$AO$1046,0),COLUMN()),"")</f>
        <v/>
      </c>
      <c r="Y1141" t="str">
        <f>IFERROR(INDEX(装备库!$A$2:$Y$1047,MATCH(ROW()-1,装备库!$AO$2:$AO$1046,0),COLUMN()),"")</f>
        <v/>
      </c>
    </row>
    <row r="1142" spans="1:25" x14ac:dyDescent="0.35">
      <c r="A1142" t="str">
        <f>IFERROR(INDEX(装备库!$A$2:$Y$1047,MATCH(ROW()-1,装备库!$AO$2:$AO$1046,0),COLUMN()),"")</f>
        <v/>
      </c>
      <c r="B1142" t="str">
        <f>IFERROR(INDEX(装备库!$A$2:$Y$1047,MATCH(ROW()-1,装备库!$AO$2:$AO$1046,0),COLUMN()),"")</f>
        <v/>
      </c>
      <c r="C1142" t="str">
        <f>IFERROR(INDEX(装备库!$A$2:$Y$1047,MATCH(ROW()-1,装备库!$AO$2:$AO$1046,0),COLUMN()),"")</f>
        <v/>
      </c>
      <c r="D1142" t="str">
        <f>IFERROR(INDEX(装备库!$A$2:$Y$1047,MATCH(ROW()-1,装备库!$AO$2:$AO$1046,0),COLUMN()),"")</f>
        <v/>
      </c>
      <c r="E1142" t="str">
        <f>IFERROR(INDEX(装备库!$A$2:$Y$1047,MATCH(ROW()-1,装备库!$AO$2:$AO$1046,0),COLUMN()),"")</f>
        <v/>
      </c>
      <c r="F1142" t="str">
        <f>IFERROR(INDEX(装备库!$A$2:$Y$1047,MATCH(ROW()-1,装备库!$AO$2:$AO$1046,0),COLUMN()),"")</f>
        <v/>
      </c>
      <c r="G1142" t="str">
        <f>IFERROR(INDEX(装备库!$A$2:$Y$1047,MATCH(ROW()-1,装备库!$AO$2:$AO$1046,0),COLUMN()),"")</f>
        <v/>
      </c>
      <c r="H1142" t="str">
        <f>IFERROR(INDEX(装备库!$A$2:$Y$1047,MATCH(ROW()-1,装备库!$AO$2:$AO$1046,0),COLUMN()),"")</f>
        <v/>
      </c>
      <c r="I1142" t="str">
        <f>IFERROR(INDEX(装备库!$A$2:$Y$1047,MATCH(ROW()-1,装备库!$AO$2:$AO$1046,0),COLUMN()),"")</f>
        <v/>
      </c>
      <c r="J1142" t="str">
        <f>IFERROR(INDEX(装备库!$A$2:$Y$1047,MATCH(ROW()-1,装备库!$AO$2:$AO$1046,0),COLUMN()),"")</f>
        <v/>
      </c>
      <c r="K1142" t="str">
        <f>IFERROR(INDEX(装备库!$A$2:$Y$1047,MATCH(ROW()-1,装备库!$AO$2:$AO$1046,0),COLUMN()),"")</f>
        <v/>
      </c>
      <c r="L1142" t="str">
        <f>IFERROR(INDEX(装备库!$A$2:$Y$1047,MATCH(ROW()-1,装备库!$AO$2:$AO$1046,0),COLUMN()),"")</f>
        <v/>
      </c>
      <c r="M1142" t="str">
        <f>IFERROR(INDEX(装备库!$A$2:$Y$1047,MATCH(ROW()-1,装备库!$AO$2:$AO$1046,0),COLUMN()),"")</f>
        <v/>
      </c>
      <c r="N1142" t="str">
        <f>IFERROR(INDEX(装备库!$A$2:$Y$1047,MATCH(ROW()-1,装备库!$AO$2:$AO$1046,0),COLUMN()),"")</f>
        <v/>
      </c>
      <c r="O1142" t="str">
        <f>IFERROR(INDEX(装备库!$A$2:$Y$1047,MATCH(ROW()-1,装备库!$AO$2:$AO$1046,0),COLUMN()),"")</f>
        <v/>
      </c>
      <c r="P1142" t="str">
        <f>IFERROR(INDEX(装备库!$A$2:$Y$1047,MATCH(ROW()-1,装备库!$AO$2:$AO$1046,0),COLUMN()),"")</f>
        <v/>
      </c>
      <c r="Q1142" t="str">
        <f>IFERROR(INDEX(装备库!$A$2:$Y$1047,MATCH(ROW()-1,装备库!$AO$2:$AO$1046,0),COLUMN()),"")</f>
        <v/>
      </c>
      <c r="R1142" t="str">
        <f>IFERROR(INDEX(装备库!$A$2:$Y$1047,MATCH(ROW()-1,装备库!$AO$2:$AO$1046,0),COLUMN()),"")</f>
        <v/>
      </c>
      <c r="S1142" t="str">
        <f>IFERROR(INDEX(装备库!$A$2:$Y$1047,MATCH(ROW()-1,装备库!$AO$2:$AO$1046,0),COLUMN()),"")</f>
        <v/>
      </c>
      <c r="T1142" t="str">
        <f>IFERROR(INDEX(装备库!$A$2:$Y$1047,MATCH(ROW()-1,装备库!$AO$2:$AO$1046,0),COLUMN()),"")</f>
        <v/>
      </c>
      <c r="U1142" t="str">
        <f>IFERROR(INDEX(装备库!$A$2:$Y$1047,MATCH(ROW()-1,装备库!$AO$2:$AO$1046,0),COLUMN()),"")</f>
        <v/>
      </c>
      <c r="V1142" t="str">
        <f>IFERROR(INDEX(装备库!$A$2:$Y$1047,MATCH(ROW()-1,装备库!$AO$2:$AO$1046,0),COLUMN()),"")</f>
        <v/>
      </c>
      <c r="W1142" t="str">
        <f>IFERROR(INDEX(装备库!$A$2:$Y$1047,MATCH(ROW()-1,装备库!$AO$2:$AO$1046,0),COLUMN()),"")</f>
        <v/>
      </c>
      <c r="X1142" t="str">
        <f>IFERROR(INDEX(装备库!$A$2:$Y$1047,MATCH(ROW()-1,装备库!$AO$2:$AO$1046,0),COLUMN()),"")</f>
        <v/>
      </c>
      <c r="Y1142" t="str">
        <f>IFERROR(INDEX(装备库!$A$2:$Y$1047,MATCH(ROW()-1,装备库!$AO$2:$AO$1046,0),COLUMN()),"")</f>
        <v/>
      </c>
    </row>
    <row r="1143" spans="1:25" x14ac:dyDescent="0.35">
      <c r="A1143" t="str">
        <f>IFERROR(INDEX(装备库!$A$2:$Y$1047,MATCH(ROW()-1,装备库!$AO$2:$AO$1046,0),COLUMN()),"")</f>
        <v/>
      </c>
      <c r="B1143" t="str">
        <f>IFERROR(INDEX(装备库!$A$2:$Y$1047,MATCH(ROW()-1,装备库!$AO$2:$AO$1046,0),COLUMN()),"")</f>
        <v/>
      </c>
      <c r="C1143" t="str">
        <f>IFERROR(INDEX(装备库!$A$2:$Y$1047,MATCH(ROW()-1,装备库!$AO$2:$AO$1046,0),COLUMN()),"")</f>
        <v/>
      </c>
      <c r="D1143" t="str">
        <f>IFERROR(INDEX(装备库!$A$2:$Y$1047,MATCH(ROW()-1,装备库!$AO$2:$AO$1046,0),COLUMN()),"")</f>
        <v/>
      </c>
      <c r="E1143" t="str">
        <f>IFERROR(INDEX(装备库!$A$2:$Y$1047,MATCH(ROW()-1,装备库!$AO$2:$AO$1046,0),COLUMN()),"")</f>
        <v/>
      </c>
      <c r="F1143" t="str">
        <f>IFERROR(INDEX(装备库!$A$2:$Y$1047,MATCH(ROW()-1,装备库!$AO$2:$AO$1046,0),COLUMN()),"")</f>
        <v/>
      </c>
      <c r="G1143" t="str">
        <f>IFERROR(INDEX(装备库!$A$2:$Y$1047,MATCH(ROW()-1,装备库!$AO$2:$AO$1046,0),COLUMN()),"")</f>
        <v/>
      </c>
      <c r="H1143" t="str">
        <f>IFERROR(INDEX(装备库!$A$2:$Y$1047,MATCH(ROW()-1,装备库!$AO$2:$AO$1046,0),COLUMN()),"")</f>
        <v/>
      </c>
      <c r="I1143" t="str">
        <f>IFERROR(INDEX(装备库!$A$2:$Y$1047,MATCH(ROW()-1,装备库!$AO$2:$AO$1046,0),COLUMN()),"")</f>
        <v/>
      </c>
      <c r="J1143" t="str">
        <f>IFERROR(INDEX(装备库!$A$2:$Y$1047,MATCH(ROW()-1,装备库!$AO$2:$AO$1046,0),COLUMN()),"")</f>
        <v/>
      </c>
      <c r="K1143" t="str">
        <f>IFERROR(INDEX(装备库!$A$2:$Y$1047,MATCH(ROW()-1,装备库!$AO$2:$AO$1046,0),COLUMN()),"")</f>
        <v/>
      </c>
      <c r="L1143" t="str">
        <f>IFERROR(INDEX(装备库!$A$2:$Y$1047,MATCH(ROW()-1,装备库!$AO$2:$AO$1046,0),COLUMN()),"")</f>
        <v/>
      </c>
      <c r="M1143" t="str">
        <f>IFERROR(INDEX(装备库!$A$2:$Y$1047,MATCH(ROW()-1,装备库!$AO$2:$AO$1046,0),COLUMN()),"")</f>
        <v/>
      </c>
      <c r="N1143" t="str">
        <f>IFERROR(INDEX(装备库!$A$2:$Y$1047,MATCH(ROW()-1,装备库!$AO$2:$AO$1046,0),COLUMN()),"")</f>
        <v/>
      </c>
      <c r="O1143" t="str">
        <f>IFERROR(INDEX(装备库!$A$2:$Y$1047,MATCH(ROW()-1,装备库!$AO$2:$AO$1046,0),COLUMN()),"")</f>
        <v/>
      </c>
      <c r="P1143" t="str">
        <f>IFERROR(INDEX(装备库!$A$2:$Y$1047,MATCH(ROW()-1,装备库!$AO$2:$AO$1046,0),COLUMN()),"")</f>
        <v/>
      </c>
      <c r="Q1143" t="str">
        <f>IFERROR(INDEX(装备库!$A$2:$Y$1047,MATCH(ROW()-1,装备库!$AO$2:$AO$1046,0),COLUMN()),"")</f>
        <v/>
      </c>
      <c r="R1143" t="str">
        <f>IFERROR(INDEX(装备库!$A$2:$Y$1047,MATCH(ROW()-1,装备库!$AO$2:$AO$1046,0),COLUMN()),"")</f>
        <v/>
      </c>
      <c r="S1143" t="str">
        <f>IFERROR(INDEX(装备库!$A$2:$Y$1047,MATCH(ROW()-1,装备库!$AO$2:$AO$1046,0),COLUMN()),"")</f>
        <v/>
      </c>
      <c r="T1143" t="str">
        <f>IFERROR(INDEX(装备库!$A$2:$Y$1047,MATCH(ROW()-1,装备库!$AO$2:$AO$1046,0),COLUMN()),"")</f>
        <v/>
      </c>
      <c r="U1143" t="str">
        <f>IFERROR(INDEX(装备库!$A$2:$Y$1047,MATCH(ROW()-1,装备库!$AO$2:$AO$1046,0),COLUMN()),"")</f>
        <v/>
      </c>
      <c r="V1143" t="str">
        <f>IFERROR(INDEX(装备库!$A$2:$Y$1047,MATCH(ROW()-1,装备库!$AO$2:$AO$1046,0),COLUMN()),"")</f>
        <v/>
      </c>
      <c r="W1143" t="str">
        <f>IFERROR(INDEX(装备库!$A$2:$Y$1047,MATCH(ROW()-1,装备库!$AO$2:$AO$1046,0),COLUMN()),"")</f>
        <v/>
      </c>
      <c r="X1143" t="str">
        <f>IFERROR(INDEX(装备库!$A$2:$Y$1047,MATCH(ROW()-1,装备库!$AO$2:$AO$1046,0),COLUMN()),"")</f>
        <v/>
      </c>
      <c r="Y1143" t="str">
        <f>IFERROR(INDEX(装备库!$A$2:$Y$1047,MATCH(ROW()-1,装备库!$AO$2:$AO$1046,0),COLUMN()),"")</f>
        <v/>
      </c>
    </row>
    <row r="1144" spans="1:25" x14ac:dyDescent="0.35">
      <c r="A1144" t="str">
        <f>IFERROR(INDEX(装备库!$A$2:$Y$1047,MATCH(ROW()-1,装备库!$AO$2:$AO$1046,0),COLUMN()),"")</f>
        <v/>
      </c>
      <c r="B1144" t="str">
        <f>IFERROR(INDEX(装备库!$A$2:$Y$1047,MATCH(ROW()-1,装备库!$AO$2:$AO$1046,0),COLUMN()),"")</f>
        <v/>
      </c>
      <c r="C1144" t="str">
        <f>IFERROR(INDEX(装备库!$A$2:$Y$1047,MATCH(ROW()-1,装备库!$AO$2:$AO$1046,0),COLUMN()),"")</f>
        <v/>
      </c>
      <c r="D1144" t="str">
        <f>IFERROR(INDEX(装备库!$A$2:$Y$1047,MATCH(ROW()-1,装备库!$AO$2:$AO$1046,0),COLUMN()),"")</f>
        <v/>
      </c>
      <c r="E1144" t="str">
        <f>IFERROR(INDEX(装备库!$A$2:$Y$1047,MATCH(ROW()-1,装备库!$AO$2:$AO$1046,0),COLUMN()),"")</f>
        <v/>
      </c>
      <c r="F1144" t="str">
        <f>IFERROR(INDEX(装备库!$A$2:$Y$1047,MATCH(ROW()-1,装备库!$AO$2:$AO$1046,0),COLUMN()),"")</f>
        <v/>
      </c>
      <c r="G1144" t="str">
        <f>IFERROR(INDEX(装备库!$A$2:$Y$1047,MATCH(ROW()-1,装备库!$AO$2:$AO$1046,0),COLUMN()),"")</f>
        <v/>
      </c>
      <c r="H1144" t="str">
        <f>IFERROR(INDEX(装备库!$A$2:$Y$1047,MATCH(ROW()-1,装备库!$AO$2:$AO$1046,0),COLUMN()),"")</f>
        <v/>
      </c>
      <c r="I1144" t="str">
        <f>IFERROR(INDEX(装备库!$A$2:$Y$1047,MATCH(ROW()-1,装备库!$AO$2:$AO$1046,0),COLUMN()),"")</f>
        <v/>
      </c>
      <c r="J1144" t="str">
        <f>IFERROR(INDEX(装备库!$A$2:$Y$1047,MATCH(ROW()-1,装备库!$AO$2:$AO$1046,0),COLUMN()),"")</f>
        <v/>
      </c>
      <c r="K1144" t="str">
        <f>IFERROR(INDEX(装备库!$A$2:$Y$1047,MATCH(ROW()-1,装备库!$AO$2:$AO$1046,0),COLUMN()),"")</f>
        <v/>
      </c>
      <c r="L1144" t="str">
        <f>IFERROR(INDEX(装备库!$A$2:$Y$1047,MATCH(ROW()-1,装备库!$AO$2:$AO$1046,0),COLUMN()),"")</f>
        <v/>
      </c>
      <c r="M1144" t="str">
        <f>IFERROR(INDEX(装备库!$A$2:$Y$1047,MATCH(ROW()-1,装备库!$AO$2:$AO$1046,0),COLUMN()),"")</f>
        <v/>
      </c>
      <c r="N1144" t="str">
        <f>IFERROR(INDEX(装备库!$A$2:$Y$1047,MATCH(ROW()-1,装备库!$AO$2:$AO$1046,0),COLUMN()),"")</f>
        <v/>
      </c>
      <c r="O1144" t="str">
        <f>IFERROR(INDEX(装备库!$A$2:$Y$1047,MATCH(ROW()-1,装备库!$AO$2:$AO$1046,0),COLUMN()),"")</f>
        <v/>
      </c>
      <c r="P1144" t="str">
        <f>IFERROR(INDEX(装备库!$A$2:$Y$1047,MATCH(ROW()-1,装备库!$AO$2:$AO$1046,0),COLUMN()),"")</f>
        <v/>
      </c>
      <c r="Q1144" t="str">
        <f>IFERROR(INDEX(装备库!$A$2:$Y$1047,MATCH(ROW()-1,装备库!$AO$2:$AO$1046,0),COLUMN()),"")</f>
        <v/>
      </c>
      <c r="R1144" t="str">
        <f>IFERROR(INDEX(装备库!$A$2:$Y$1047,MATCH(ROW()-1,装备库!$AO$2:$AO$1046,0),COLUMN()),"")</f>
        <v/>
      </c>
      <c r="S1144" t="str">
        <f>IFERROR(INDEX(装备库!$A$2:$Y$1047,MATCH(ROW()-1,装备库!$AO$2:$AO$1046,0),COLUMN()),"")</f>
        <v/>
      </c>
      <c r="T1144" t="str">
        <f>IFERROR(INDEX(装备库!$A$2:$Y$1047,MATCH(ROW()-1,装备库!$AO$2:$AO$1046,0),COLUMN()),"")</f>
        <v/>
      </c>
      <c r="U1144" t="str">
        <f>IFERROR(INDEX(装备库!$A$2:$Y$1047,MATCH(ROW()-1,装备库!$AO$2:$AO$1046,0),COLUMN()),"")</f>
        <v/>
      </c>
      <c r="V1144" t="str">
        <f>IFERROR(INDEX(装备库!$A$2:$Y$1047,MATCH(ROW()-1,装备库!$AO$2:$AO$1046,0),COLUMN()),"")</f>
        <v/>
      </c>
      <c r="W1144" t="str">
        <f>IFERROR(INDEX(装备库!$A$2:$Y$1047,MATCH(ROW()-1,装备库!$AO$2:$AO$1046,0),COLUMN()),"")</f>
        <v/>
      </c>
      <c r="X1144" t="str">
        <f>IFERROR(INDEX(装备库!$A$2:$Y$1047,MATCH(ROW()-1,装备库!$AO$2:$AO$1046,0),COLUMN()),"")</f>
        <v/>
      </c>
      <c r="Y1144" t="str">
        <f>IFERROR(INDEX(装备库!$A$2:$Y$1047,MATCH(ROW()-1,装备库!$AO$2:$AO$1046,0),COLUMN()),"")</f>
        <v/>
      </c>
    </row>
    <row r="1145" spans="1:25" x14ac:dyDescent="0.35">
      <c r="A1145" t="str">
        <f>IFERROR(INDEX(装备库!$A$2:$Y$1047,MATCH(ROW()-1,装备库!$AO$2:$AO$1046,0),COLUMN()),"")</f>
        <v/>
      </c>
      <c r="B1145" t="str">
        <f>IFERROR(INDEX(装备库!$A$2:$Y$1047,MATCH(ROW()-1,装备库!$AO$2:$AO$1046,0),COLUMN()),"")</f>
        <v/>
      </c>
      <c r="C1145" t="str">
        <f>IFERROR(INDEX(装备库!$A$2:$Y$1047,MATCH(ROW()-1,装备库!$AO$2:$AO$1046,0),COLUMN()),"")</f>
        <v/>
      </c>
      <c r="D1145" t="str">
        <f>IFERROR(INDEX(装备库!$A$2:$Y$1047,MATCH(ROW()-1,装备库!$AO$2:$AO$1046,0),COLUMN()),"")</f>
        <v/>
      </c>
      <c r="E1145" t="str">
        <f>IFERROR(INDEX(装备库!$A$2:$Y$1047,MATCH(ROW()-1,装备库!$AO$2:$AO$1046,0),COLUMN()),"")</f>
        <v/>
      </c>
      <c r="F1145" t="str">
        <f>IFERROR(INDEX(装备库!$A$2:$Y$1047,MATCH(ROW()-1,装备库!$AO$2:$AO$1046,0),COLUMN()),"")</f>
        <v/>
      </c>
      <c r="G1145" t="str">
        <f>IFERROR(INDEX(装备库!$A$2:$Y$1047,MATCH(ROW()-1,装备库!$AO$2:$AO$1046,0),COLUMN()),"")</f>
        <v/>
      </c>
      <c r="H1145" t="str">
        <f>IFERROR(INDEX(装备库!$A$2:$Y$1047,MATCH(ROW()-1,装备库!$AO$2:$AO$1046,0),COLUMN()),"")</f>
        <v/>
      </c>
      <c r="I1145" t="str">
        <f>IFERROR(INDEX(装备库!$A$2:$Y$1047,MATCH(ROW()-1,装备库!$AO$2:$AO$1046,0),COLUMN()),"")</f>
        <v/>
      </c>
      <c r="J1145" t="str">
        <f>IFERROR(INDEX(装备库!$A$2:$Y$1047,MATCH(ROW()-1,装备库!$AO$2:$AO$1046,0),COLUMN()),"")</f>
        <v/>
      </c>
      <c r="K1145" t="str">
        <f>IFERROR(INDEX(装备库!$A$2:$Y$1047,MATCH(ROW()-1,装备库!$AO$2:$AO$1046,0),COLUMN()),"")</f>
        <v/>
      </c>
      <c r="L1145" t="str">
        <f>IFERROR(INDEX(装备库!$A$2:$Y$1047,MATCH(ROW()-1,装备库!$AO$2:$AO$1046,0),COLUMN()),"")</f>
        <v/>
      </c>
      <c r="M1145" t="str">
        <f>IFERROR(INDEX(装备库!$A$2:$Y$1047,MATCH(ROW()-1,装备库!$AO$2:$AO$1046,0),COLUMN()),"")</f>
        <v/>
      </c>
      <c r="N1145" t="str">
        <f>IFERROR(INDEX(装备库!$A$2:$Y$1047,MATCH(ROW()-1,装备库!$AO$2:$AO$1046,0),COLUMN()),"")</f>
        <v/>
      </c>
      <c r="O1145" t="str">
        <f>IFERROR(INDEX(装备库!$A$2:$Y$1047,MATCH(ROW()-1,装备库!$AO$2:$AO$1046,0),COLUMN()),"")</f>
        <v/>
      </c>
      <c r="P1145" t="str">
        <f>IFERROR(INDEX(装备库!$A$2:$Y$1047,MATCH(ROW()-1,装备库!$AO$2:$AO$1046,0),COLUMN()),"")</f>
        <v/>
      </c>
      <c r="Q1145" t="str">
        <f>IFERROR(INDEX(装备库!$A$2:$Y$1047,MATCH(ROW()-1,装备库!$AO$2:$AO$1046,0),COLUMN()),"")</f>
        <v/>
      </c>
      <c r="R1145" t="str">
        <f>IFERROR(INDEX(装备库!$A$2:$Y$1047,MATCH(ROW()-1,装备库!$AO$2:$AO$1046,0),COLUMN()),"")</f>
        <v/>
      </c>
      <c r="S1145" t="str">
        <f>IFERROR(INDEX(装备库!$A$2:$Y$1047,MATCH(ROW()-1,装备库!$AO$2:$AO$1046,0),COLUMN()),"")</f>
        <v/>
      </c>
      <c r="T1145" t="str">
        <f>IFERROR(INDEX(装备库!$A$2:$Y$1047,MATCH(ROW()-1,装备库!$AO$2:$AO$1046,0),COLUMN()),"")</f>
        <v/>
      </c>
      <c r="U1145" t="str">
        <f>IFERROR(INDEX(装备库!$A$2:$Y$1047,MATCH(ROW()-1,装备库!$AO$2:$AO$1046,0),COLUMN()),"")</f>
        <v/>
      </c>
      <c r="V1145" t="str">
        <f>IFERROR(INDEX(装备库!$A$2:$Y$1047,MATCH(ROW()-1,装备库!$AO$2:$AO$1046,0),COLUMN()),"")</f>
        <v/>
      </c>
      <c r="W1145" t="str">
        <f>IFERROR(INDEX(装备库!$A$2:$Y$1047,MATCH(ROW()-1,装备库!$AO$2:$AO$1046,0),COLUMN()),"")</f>
        <v/>
      </c>
      <c r="X1145" t="str">
        <f>IFERROR(INDEX(装备库!$A$2:$Y$1047,MATCH(ROW()-1,装备库!$AO$2:$AO$1046,0),COLUMN()),"")</f>
        <v/>
      </c>
      <c r="Y1145" t="str">
        <f>IFERROR(INDEX(装备库!$A$2:$Y$1047,MATCH(ROW()-1,装备库!$AO$2:$AO$1046,0),COLUMN()),"")</f>
        <v/>
      </c>
    </row>
    <row r="1146" spans="1:25" x14ac:dyDescent="0.35">
      <c r="A1146" t="str">
        <f>IFERROR(INDEX(装备库!$A$2:$Y$1047,MATCH(ROW()-1,装备库!$AO$2:$AO$1046,0),COLUMN()),"")</f>
        <v/>
      </c>
      <c r="B1146" t="str">
        <f>IFERROR(INDEX(装备库!$A$2:$Y$1047,MATCH(ROW()-1,装备库!$AO$2:$AO$1046,0),COLUMN()),"")</f>
        <v/>
      </c>
      <c r="C1146" t="str">
        <f>IFERROR(INDEX(装备库!$A$2:$Y$1047,MATCH(ROW()-1,装备库!$AO$2:$AO$1046,0),COLUMN()),"")</f>
        <v/>
      </c>
      <c r="D1146" t="str">
        <f>IFERROR(INDEX(装备库!$A$2:$Y$1047,MATCH(ROW()-1,装备库!$AO$2:$AO$1046,0),COLUMN()),"")</f>
        <v/>
      </c>
      <c r="E1146" t="str">
        <f>IFERROR(INDEX(装备库!$A$2:$Y$1047,MATCH(ROW()-1,装备库!$AO$2:$AO$1046,0),COLUMN()),"")</f>
        <v/>
      </c>
      <c r="F1146" t="str">
        <f>IFERROR(INDEX(装备库!$A$2:$Y$1047,MATCH(ROW()-1,装备库!$AO$2:$AO$1046,0),COLUMN()),"")</f>
        <v/>
      </c>
      <c r="G1146" t="str">
        <f>IFERROR(INDEX(装备库!$A$2:$Y$1047,MATCH(ROW()-1,装备库!$AO$2:$AO$1046,0),COLUMN()),"")</f>
        <v/>
      </c>
      <c r="H1146" t="str">
        <f>IFERROR(INDEX(装备库!$A$2:$Y$1047,MATCH(ROW()-1,装备库!$AO$2:$AO$1046,0),COLUMN()),"")</f>
        <v/>
      </c>
      <c r="I1146" t="str">
        <f>IFERROR(INDEX(装备库!$A$2:$Y$1047,MATCH(ROW()-1,装备库!$AO$2:$AO$1046,0),COLUMN()),"")</f>
        <v/>
      </c>
      <c r="J1146" t="str">
        <f>IFERROR(INDEX(装备库!$A$2:$Y$1047,MATCH(ROW()-1,装备库!$AO$2:$AO$1046,0),COLUMN()),"")</f>
        <v/>
      </c>
      <c r="K1146" t="str">
        <f>IFERROR(INDEX(装备库!$A$2:$Y$1047,MATCH(ROW()-1,装备库!$AO$2:$AO$1046,0),COLUMN()),"")</f>
        <v/>
      </c>
      <c r="L1146" t="str">
        <f>IFERROR(INDEX(装备库!$A$2:$Y$1047,MATCH(ROW()-1,装备库!$AO$2:$AO$1046,0),COLUMN()),"")</f>
        <v/>
      </c>
      <c r="M1146" t="str">
        <f>IFERROR(INDEX(装备库!$A$2:$Y$1047,MATCH(ROW()-1,装备库!$AO$2:$AO$1046,0),COLUMN()),"")</f>
        <v/>
      </c>
      <c r="N1146" t="str">
        <f>IFERROR(INDEX(装备库!$A$2:$Y$1047,MATCH(ROW()-1,装备库!$AO$2:$AO$1046,0),COLUMN()),"")</f>
        <v/>
      </c>
      <c r="O1146" t="str">
        <f>IFERROR(INDEX(装备库!$A$2:$Y$1047,MATCH(ROW()-1,装备库!$AO$2:$AO$1046,0),COLUMN()),"")</f>
        <v/>
      </c>
      <c r="P1146" t="str">
        <f>IFERROR(INDEX(装备库!$A$2:$Y$1047,MATCH(ROW()-1,装备库!$AO$2:$AO$1046,0),COLUMN()),"")</f>
        <v/>
      </c>
      <c r="Q1146" t="str">
        <f>IFERROR(INDEX(装备库!$A$2:$Y$1047,MATCH(ROW()-1,装备库!$AO$2:$AO$1046,0),COLUMN()),"")</f>
        <v/>
      </c>
      <c r="R1146" t="str">
        <f>IFERROR(INDEX(装备库!$A$2:$Y$1047,MATCH(ROW()-1,装备库!$AO$2:$AO$1046,0),COLUMN()),"")</f>
        <v/>
      </c>
      <c r="S1146" t="str">
        <f>IFERROR(INDEX(装备库!$A$2:$Y$1047,MATCH(ROW()-1,装备库!$AO$2:$AO$1046,0),COLUMN()),"")</f>
        <v/>
      </c>
      <c r="T1146" t="str">
        <f>IFERROR(INDEX(装备库!$A$2:$Y$1047,MATCH(ROW()-1,装备库!$AO$2:$AO$1046,0),COLUMN()),"")</f>
        <v/>
      </c>
      <c r="U1146" t="str">
        <f>IFERROR(INDEX(装备库!$A$2:$Y$1047,MATCH(ROW()-1,装备库!$AO$2:$AO$1046,0),COLUMN()),"")</f>
        <v/>
      </c>
      <c r="V1146" t="str">
        <f>IFERROR(INDEX(装备库!$A$2:$Y$1047,MATCH(ROW()-1,装备库!$AO$2:$AO$1046,0),COLUMN()),"")</f>
        <v/>
      </c>
      <c r="W1146" t="str">
        <f>IFERROR(INDEX(装备库!$A$2:$Y$1047,MATCH(ROW()-1,装备库!$AO$2:$AO$1046,0),COLUMN()),"")</f>
        <v/>
      </c>
      <c r="X1146" t="str">
        <f>IFERROR(INDEX(装备库!$A$2:$Y$1047,MATCH(ROW()-1,装备库!$AO$2:$AO$1046,0),COLUMN()),"")</f>
        <v/>
      </c>
      <c r="Y1146" t="str">
        <f>IFERROR(INDEX(装备库!$A$2:$Y$1047,MATCH(ROW()-1,装备库!$AO$2:$AO$1046,0),COLUMN()),"")</f>
        <v/>
      </c>
    </row>
    <row r="1147" spans="1:25" x14ac:dyDescent="0.35">
      <c r="A1147" t="str">
        <f>IFERROR(INDEX(装备库!$A$2:$Y$1047,MATCH(ROW()-1,装备库!$AO$2:$AO$1046,0),COLUMN()),"")</f>
        <v/>
      </c>
      <c r="B1147" t="str">
        <f>IFERROR(INDEX(装备库!$A$2:$Y$1047,MATCH(ROW()-1,装备库!$AO$2:$AO$1046,0),COLUMN()),"")</f>
        <v/>
      </c>
      <c r="C1147" t="str">
        <f>IFERROR(INDEX(装备库!$A$2:$Y$1047,MATCH(ROW()-1,装备库!$AO$2:$AO$1046,0),COLUMN()),"")</f>
        <v/>
      </c>
      <c r="D1147" t="str">
        <f>IFERROR(INDEX(装备库!$A$2:$Y$1047,MATCH(ROW()-1,装备库!$AO$2:$AO$1046,0),COLUMN()),"")</f>
        <v/>
      </c>
      <c r="E1147" t="str">
        <f>IFERROR(INDEX(装备库!$A$2:$Y$1047,MATCH(ROW()-1,装备库!$AO$2:$AO$1046,0),COLUMN()),"")</f>
        <v/>
      </c>
      <c r="F1147" t="str">
        <f>IFERROR(INDEX(装备库!$A$2:$Y$1047,MATCH(ROW()-1,装备库!$AO$2:$AO$1046,0),COLUMN()),"")</f>
        <v/>
      </c>
      <c r="G1147" t="str">
        <f>IFERROR(INDEX(装备库!$A$2:$Y$1047,MATCH(ROW()-1,装备库!$AO$2:$AO$1046,0),COLUMN()),"")</f>
        <v/>
      </c>
      <c r="H1147" t="str">
        <f>IFERROR(INDEX(装备库!$A$2:$Y$1047,MATCH(ROW()-1,装备库!$AO$2:$AO$1046,0),COLUMN()),"")</f>
        <v/>
      </c>
      <c r="I1147" t="str">
        <f>IFERROR(INDEX(装备库!$A$2:$Y$1047,MATCH(ROW()-1,装备库!$AO$2:$AO$1046,0),COLUMN()),"")</f>
        <v/>
      </c>
      <c r="J1147" t="str">
        <f>IFERROR(INDEX(装备库!$A$2:$Y$1047,MATCH(ROW()-1,装备库!$AO$2:$AO$1046,0),COLUMN()),"")</f>
        <v/>
      </c>
      <c r="K1147" t="str">
        <f>IFERROR(INDEX(装备库!$A$2:$Y$1047,MATCH(ROW()-1,装备库!$AO$2:$AO$1046,0),COLUMN()),"")</f>
        <v/>
      </c>
      <c r="L1147" t="str">
        <f>IFERROR(INDEX(装备库!$A$2:$Y$1047,MATCH(ROW()-1,装备库!$AO$2:$AO$1046,0),COLUMN()),"")</f>
        <v/>
      </c>
      <c r="M1147" t="str">
        <f>IFERROR(INDEX(装备库!$A$2:$Y$1047,MATCH(ROW()-1,装备库!$AO$2:$AO$1046,0),COLUMN()),"")</f>
        <v/>
      </c>
      <c r="N1147" t="str">
        <f>IFERROR(INDEX(装备库!$A$2:$Y$1047,MATCH(ROW()-1,装备库!$AO$2:$AO$1046,0),COLUMN()),"")</f>
        <v/>
      </c>
      <c r="O1147" t="str">
        <f>IFERROR(INDEX(装备库!$A$2:$Y$1047,MATCH(ROW()-1,装备库!$AO$2:$AO$1046,0),COLUMN()),"")</f>
        <v/>
      </c>
      <c r="P1147" t="str">
        <f>IFERROR(INDEX(装备库!$A$2:$Y$1047,MATCH(ROW()-1,装备库!$AO$2:$AO$1046,0),COLUMN()),"")</f>
        <v/>
      </c>
      <c r="Q1147" t="str">
        <f>IFERROR(INDEX(装备库!$A$2:$Y$1047,MATCH(ROW()-1,装备库!$AO$2:$AO$1046,0),COLUMN()),"")</f>
        <v/>
      </c>
      <c r="R1147" t="str">
        <f>IFERROR(INDEX(装备库!$A$2:$Y$1047,MATCH(ROW()-1,装备库!$AO$2:$AO$1046,0),COLUMN()),"")</f>
        <v/>
      </c>
      <c r="S1147" t="str">
        <f>IFERROR(INDEX(装备库!$A$2:$Y$1047,MATCH(ROW()-1,装备库!$AO$2:$AO$1046,0),COLUMN()),"")</f>
        <v/>
      </c>
      <c r="T1147" t="str">
        <f>IFERROR(INDEX(装备库!$A$2:$Y$1047,MATCH(ROW()-1,装备库!$AO$2:$AO$1046,0),COLUMN()),"")</f>
        <v/>
      </c>
      <c r="U1147" t="str">
        <f>IFERROR(INDEX(装备库!$A$2:$Y$1047,MATCH(ROW()-1,装备库!$AO$2:$AO$1046,0),COLUMN()),"")</f>
        <v/>
      </c>
      <c r="V1147" t="str">
        <f>IFERROR(INDEX(装备库!$A$2:$Y$1047,MATCH(ROW()-1,装备库!$AO$2:$AO$1046,0),COLUMN()),"")</f>
        <v/>
      </c>
      <c r="W1147" t="str">
        <f>IFERROR(INDEX(装备库!$A$2:$Y$1047,MATCH(ROW()-1,装备库!$AO$2:$AO$1046,0),COLUMN()),"")</f>
        <v/>
      </c>
      <c r="X1147" t="str">
        <f>IFERROR(INDEX(装备库!$A$2:$Y$1047,MATCH(ROW()-1,装备库!$AO$2:$AO$1046,0),COLUMN()),"")</f>
        <v/>
      </c>
      <c r="Y1147" t="str">
        <f>IFERROR(INDEX(装备库!$A$2:$Y$1047,MATCH(ROW()-1,装备库!$AO$2:$AO$1046,0),COLUMN()),"")</f>
        <v/>
      </c>
    </row>
    <row r="1148" spans="1:25" x14ac:dyDescent="0.35">
      <c r="A1148" t="str">
        <f>IFERROR(INDEX(装备库!$A$2:$Y$1047,MATCH(ROW()-1,装备库!$AO$2:$AO$1046,0),COLUMN()),"")</f>
        <v/>
      </c>
      <c r="B1148" t="str">
        <f>IFERROR(INDEX(装备库!$A$2:$Y$1047,MATCH(ROW()-1,装备库!$AO$2:$AO$1046,0),COLUMN()),"")</f>
        <v/>
      </c>
      <c r="C1148" t="str">
        <f>IFERROR(INDEX(装备库!$A$2:$Y$1047,MATCH(ROW()-1,装备库!$AO$2:$AO$1046,0),COLUMN()),"")</f>
        <v/>
      </c>
      <c r="D1148" t="str">
        <f>IFERROR(INDEX(装备库!$A$2:$Y$1047,MATCH(ROW()-1,装备库!$AO$2:$AO$1046,0),COLUMN()),"")</f>
        <v/>
      </c>
      <c r="E1148" t="str">
        <f>IFERROR(INDEX(装备库!$A$2:$Y$1047,MATCH(ROW()-1,装备库!$AO$2:$AO$1046,0),COLUMN()),"")</f>
        <v/>
      </c>
      <c r="F1148" t="str">
        <f>IFERROR(INDEX(装备库!$A$2:$Y$1047,MATCH(ROW()-1,装备库!$AO$2:$AO$1046,0),COLUMN()),"")</f>
        <v/>
      </c>
      <c r="G1148" t="str">
        <f>IFERROR(INDEX(装备库!$A$2:$Y$1047,MATCH(ROW()-1,装备库!$AO$2:$AO$1046,0),COLUMN()),"")</f>
        <v/>
      </c>
      <c r="H1148" t="str">
        <f>IFERROR(INDEX(装备库!$A$2:$Y$1047,MATCH(ROW()-1,装备库!$AO$2:$AO$1046,0),COLUMN()),"")</f>
        <v/>
      </c>
      <c r="I1148" t="str">
        <f>IFERROR(INDEX(装备库!$A$2:$Y$1047,MATCH(ROW()-1,装备库!$AO$2:$AO$1046,0),COLUMN()),"")</f>
        <v/>
      </c>
      <c r="J1148" t="str">
        <f>IFERROR(INDEX(装备库!$A$2:$Y$1047,MATCH(ROW()-1,装备库!$AO$2:$AO$1046,0),COLUMN()),"")</f>
        <v/>
      </c>
      <c r="K1148" t="str">
        <f>IFERROR(INDEX(装备库!$A$2:$Y$1047,MATCH(ROW()-1,装备库!$AO$2:$AO$1046,0),COLUMN()),"")</f>
        <v/>
      </c>
      <c r="L1148" t="str">
        <f>IFERROR(INDEX(装备库!$A$2:$Y$1047,MATCH(ROW()-1,装备库!$AO$2:$AO$1046,0),COLUMN()),"")</f>
        <v/>
      </c>
      <c r="M1148" t="str">
        <f>IFERROR(INDEX(装备库!$A$2:$Y$1047,MATCH(ROW()-1,装备库!$AO$2:$AO$1046,0),COLUMN()),"")</f>
        <v/>
      </c>
      <c r="N1148" t="str">
        <f>IFERROR(INDEX(装备库!$A$2:$Y$1047,MATCH(ROW()-1,装备库!$AO$2:$AO$1046,0),COLUMN()),"")</f>
        <v/>
      </c>
      <c r="O1148" t="str">
        <f>IFERROR(INDEX(装备库!$A$2:$Y$1047,MATCH(ROW()-1,装备库!$AO$2:$AO$1046,0),COLUMN()),"")</f>
        <v/>
      </c>
      <c r="P1148" t="str">
        <f>IFERROR(INDEX(装备库!$A$2:$Y$1047,MATCH(ROW()-1,装备库!$AO$2:$AO$1046,0),COLUMN()),"")</f>
        <v/>
      </c>
      <c r="Q1148" t="str">
        <f>IFERROR(INDEX(装备库!$A$2:$Y$1047,MATCH(ROW()-1,装备库!$AO$2:$AO$1046,0),COLUMN()),"")</f>
        <v/>
      </c>
      <c r="R1148" t="str">
        <f>IFERROR(INDEX(装备库!$A$2:$Y$1047,MATCH(ROW()-1,装备库!$AO$2:$AO$1046,0),COLUMN()),"")</f>
        <v/>
      </c>
      <c r="S1148" t="str">
        <f>IFERROR(INDEX(装备库!$A$2:$Y$1047,MATCH(ROW()-1,装备库!$AO$2:$AO$1046,0),COLUMN()),"")</f>
        <v/>
      </c>
      <c r="T1148" t="str">
        <f>IFERROR(INDEX(装备库!$A$2:$Y$1047,MATCH(ROW()-1,装备库!$AO$2:$AO$1046,0),COLUMN()),"")</f>
        <v/>
      </c>
      <c r="U1148" t="str">
        <f>IFERROR(INDEX(装备库!$A$2:$Y$1047,MATCH(ROW()-1,装备库!$AO$2:$AO$1046,0),COLUMN()),"")</f>
        <v/>
      </c>
      <c r="V1148" t="str">
        <f>IFERROR(INDEX(装备库!$A$2:$Y$1047,MATCH(ROW()-1,装备库!$AO$2:$AO$1046,0),COLUMN()),"")</f>
        <v/>
      </c>
      <c r="W1148" t="str">
        <f>IFERROR(INDEX(装备库!$A$2:$Y$1047,MATCH(ROW()-1,装备库!$AO$2:$AO$1046,0),COLUMN()),"")</f>
        <v/>
      </c>
      <c r="X1148" t="str">
        <f>IFERROR(INDEX(装备库!$A$2:$Y$1047,MATCH(ROW()-1,装备库!$AO$2:$AO$1046,0),COLUMN()),"")</f>
        <v/>
      </c>
      <c r="Y1148" t="str">
        <f>IFERROR(INDEX(装备库!$A$2:$Y$1047,MATCH(ROW()-1,装备库!$AO$2:$AO$1046,0),COLUMN()),"")</f>
        <v/>
      </c>
    </row>
    <row r="1149" spans="1:25" x14ac:dyDescent="0.35">
      <c r="A1149" t="str">
        <f>IFERROR(INDEX(装备库!$A$2:$Y$1047,MATCH(ROW()-1,装备库!$AO$2:$AO$1046,0),COLUMN()),"")</f>
        <v/>
      </c>
      <c r="B1149" t="str">
        <f>IFERROR(INDEX(装备库!$A$2:$Y$1047,MATCH(ROW()-1,装备库!$AO$2:$AO$1046,0),COLUMN()),"")</f>
        <v/>
      </c>
      <c r="C1149" t="str">
        <f>IFERROR(INDEX(装备库!$A$2:$Y$1047,MATCH(ROW()-1,装备库!$AO$2:$AO$1046,0),COLUMN()),"")</f>
        <v/>
      </c>
      <c r="D1149" t="str">
        <f>IFERROR(INDEX(装备库!$A$2:$Y$1047,MATCH(ROW()-1,装备库!$AO$2:$AO$1046,0),COLUMN()),"")</f>
        <v/>
      </c>
      <c r="E1149" t="str">
        <f>IFERROR(INDEX(装备库!$A$2:$Y$1047,MATCH(ROW()-1,装备库!$AO$2:$AO$1046,0),COLUMN()),"")</f>
        <v/>
      </c>
      <c r="F1149" t="str">
        <f>IFERROR(INDEX(装备库!$A$2:$Y$1047,MATCH(ROW()-1,装备库!$AO$2:$AO$1046,0),COLUMN()),"")</f>
        <v/>
      </c>
      <c r="G1149" t="str">
        <f>IFERROR(INDEX(装备库!$A$2:$Y$1047,MATCH(ROW()-1,装备库!$AO$2:$AO$1046,0),COLUMN()),"")</f>
        <v/>
      </c>
      <c r="H1149" t="str">
        <f>IFERROR(INDEX(装备库!$A$2:$Y$1047,MATCH(ROW()-1,装备库!$AO$2:$AO$1046,0),COLUMN()),"")</f>
        <v/>
      </c>
      <c r="I1149" t="str">
        <f>IFERROR(INDEX(装备库!$A$2:$Y$1047,MATCH(ROW()-1,装备库!$AO$2:$AO$1046,0),COLUMN()),"")</f>
        <v/>
      </c>
      <c r="J1149" t="str">
        <f>IFERROR(INDEX(装备库!$A$2:$Y$1047,MATCH(ROW()-1,装备库!$AO$2:$AO$1046,0),COLUMN()),"")</f>
        <v/>
      </c>
      <c r="K1149" t="str">
        <f>IFERROR(INDEX(装备库!$A$2:$Y$1047,MATCH(ROW()-1,装备库!$AO$2:$AO$1046,0),COLUMN()),"")</f>
        <v/>
      </c>
      <c r="L1149" t="str">
        <f>IFERROR(INDEX(装备库!$A$2:$Y$1047,MATCH(ROW()-1,装备库!$AO$2:$AO$1046,0),COLUMN()),"")</f>
        <v/>
      </c>
      <c r="M1149" t="str">
        <f>IFERROR(INDEX(装备库!$A$2:$Y$1047,MATCH(ROW()-1,装备库!$AO$2:$AO$1046,0),COLUMN()),"")</f>
        <v/>
      </c>
      <c r="N1149" t="str">
        <f>IFERROR(INDEX(装备库!$A$2:$Y$1047,MATCH(ROW()-1,装备库!$AO$2:$AO$1046,0),COLUMN()),"")</f>
        <v/>
      </c>
      <c r="O1149" t="str">
        <f>IFERROR(INDEX(装备库!$A$2:$Y$1047,MATCH(ROW()-1,装备库!$AO$2:$AO$1046,0),COLUMN()),"")</f>
        <v/>
      </c>
      <c r="P1149" t="str">
        <f>IFERROR(INDEX(装备库!$A$2:$Y$1047,MATCH(ROW()-1,装备库!$AO$2:$AO$1046,0),COLUMN()),"")</f>
        <v/>
      </c>
      <c r="Q1149" t="str">
        <f>IFERROR(INDEX(装备库!$A$2:$Y$1047,MATCH(ROW()-1,装备库!$AO$2:$AO$1046,0),COLUMN()),"")</f>
        <v/>
      </c>
      <c r="R1149" t="str">
        <f>IFERROR(INDEX(装备库!$A$2:$Y$1047,MATCH(ROW()-1,装备库!$AO$2:$AO$1046,0),COLUMN()),"")</f>
        <v/>
      </c>
      <c r="S1149" t="str">
        <f>IFERROR(INDEX(装备库!$A$2:$Y$1047,MATCH(ROW()-1,装备库!$AO$2:$AO$1046,0),COLUMN()),"")</f>
        <v/>
      </c>
      <c r="T1149" t="str">
        <f>IFERROR(INDEX(装备库!$A$2:$Y$1047,MATCH(ROW()-1,装备库!$AO$2:$AO$1046,0),COLUMN()),"")</f>
        <v/>
      </c>
      <c r="U1149" t="str">
        <f>IFERROR(INDEX(装备库!$A$2:$Y$1047,MATCH(ROW()-1,装备库!$AO$2:$AO$1046,0),COLUMN()),"")</f>
        <v/>
      </c>
      <c r="V1149" t="str">
        <f>IFERROR(INDEX(装备库!$A$2:$Y$1047,MATCH(ROW()-1,装备库!$AO$2:$AO$1046,0),COLUMN()),"")</f>
        <v/>
      </c>
      <c r="W1149" t="str">
        <f>IFERROR(INDEX(装备库!$A$2:$Y$1047,MATCH(ROW()-1,装备库!$AO$2:$AO$1046,0),COLUMN()),"")</f>
        <v/>
      </c>
      <c r="X1149" t="str">
        <f>IFERROR(INDEX(装备库!$A$2:$Y$1047,MATCH(ROW()-1,装备库!$AO$2:$AO$1046,0),COLUMN()),"")</f>
        <v/>
      </c>
      <c r="Y1149" t="str">
        <f>IFERROR(INDEX(装备库!$A$2:$Y$1047,MATCH(ROW()-1,装备库!$AO$2:$AO$1046,0),COLUMN()),"")</f>
        <v/>
      </c>
    </row>
    <row r="1150" spans="1:25" x14ac:dyDescent="0.35">
      <c r="A1150" t="str">
        <f>IFERROR(INDEX(装备库!$A$2:$Y$1047,MATCH(ROW()-1,装备库!$AO$2:$AO$1046,0),COLUMN()),"")</f>
        <v/>
      </c>
      <c r="B1150" t="str">
        <f>IFERROR(INDEX(装备库!$A$2:$Y$1047,MATCH(ROW()-1,装备库!$AO$2:$AO$1046,0),COLUMN()),"")</f>
        <v/>
      </c>
      <c r="C1150" t="str">
        <f>IFERROR(INDEX(装备库!$A$2:$Y$1047,MATCH(ROW()-1,装备库!$AO$2:$AO$1046,0),COLUMN()),"")</f>
        <v/>
      </c>
      <c r="D1150" t="str">
        <f>IFERROR(INDEX(装备库!$A$2:$Y$1047,MATCH(ROW()-1,装备库!$AO$2:$AO$1046,0),COLUMN()),"")</f>
        <v/>
      </c>
      <c r="E1150" t="str">
        <f>IFERROR(INDEX(装备库!$A$2:$Y$1047,MATCH(ROW()-1,装备库!$AO$2:$AO$1046,0),COLUMN()),"")</f>
        <v/>
      </c>
      <c r="F1150" t="str">
        <f>IFERROR(INDEX(装备库!$A$2:$Y$1047,MATCH(ROW()-1,装备库!$AO$2:$AO$1046,0),COLUMN()),"")</f>
        <v/>
      </c>
      <c r="G1150" t="str">
        <f>IFERROR(INDEX(装备库!$A$2:$Y$1047,MATCH(ROW()-1,装备库!$AO$2:$AO$1046,0),COLUMN()),"")</f>
        <v/>
      </c>
      <c r="H1150" t="str">
        <f>IFERROR(INDEX(装备库!$A$2:$Y$1047,MATCH(ROW()-1,装备库!$AO$2:$AO$1046,0),COLUMN()),"")</f>
        <v/>
      </c>
      <c r="I1150" t="str">
        <f>IFERROR(INDEX(装备库!$A$2:$Y$1047,MATCH(ROW()-1,装备库!$AO$2:$AO$1046,0),COLUMN()),"")</f>
        <v/>
      </c>
      <c r="J1150" t="str">
        <f>IFERROR(INDEX(装备库!$A$2:$Y$1047,MATCH(ROW()-1,装备库!$AO$2:$AO$1046,0),COLUMN()),"")</f>
        <v/>
      </c>
      <c r="K1150" t="str">
        <f>IFERROR(INDEX(装备库!$A$2:$Y$1047,MATCH(ROW()-1,装备库!$AO$2:$AO$1046,0),COLUMN()),"")</f>
        <v/>
      </c>
      <c r="L1150" t="str">
        <f>IFERROR(INDEX(装备库!$A$2:$Y$1047,MATCH(ROW()-1,装备库!$AO$2:$AO$1046,0),COLUMN()),"")</f>
        <v/>
      </c>
      <c r="M1150" t="str">
        <f>IFERROR(INDEX(装备库!$A$2:$Y$1047,MATCH(ROW()-1,装备库!$AO$2:$AO$1046,0),COLUMN()),"")</f>
        <v/>
      </c>
      <c r="N1150" t="str">
        <f>IFERROR(INDEX(装备库!$A$2:$Y$1047,MATCH(ROW()-1,装备库!$AO$2:$AO$1046,0),COLUMN()),"")</f>
        <v/>
      </c>
      <c r="O1150" t="str">
        <f>IFERROR(INDEX(装备库!$A$2:$Y$1047,MATCH(ROW()-1,装备库!$AO$2:$AO$1046,0),COLUMN()),"")</f>
        <v/>
      </c>
      <c r="P1150" t="str">
        <f>IFERROR(INDEX(装备库!$A$2:$Y$1047,MATCH(ROW()-1,装备库!$AO$2:$AO$1046,0),COLUMN()),"")</f>
        <v/>
      </c>
      <c r="Q1150" t="str">
        <f>IFERROR(INDEX(装备库!$A$2:$Y$1047,MATCH(ROW()-1,装备库!$AO$2:$AO$1046,0),COLUMN()),"")</f>
        <v/>
      </c>
      <c r="R1150" t="str">
        <f>IFERROR(INDEX(装备库!$A$2:$Y$1047,MATCH(ROW()-1,装备库!$AO$2:$AO$1046,0),COLUMN()),"")</f>
        <v/>
      </c>
      <c r="S1150" t="str">
        <f>IFERROR(INDEX(装备库!$A$2:$Y$1047,MATCH(ROW()-1,装备库!$AO$2:$AO$1046,0),COLUMN()),"")</f>
        <v/>
      </c>
      <c r="T1150" t="str">
        <f>IFERROR(INDEX(装备库!$A$2:$Y$1047,MATCH(ROW()-1,装备库!$AO$2:$AO$1046,0),COLUMN()),"")</f>
        <v/>
      </c>
      <c r="U1150" t="str">
        <f>IFERROR(INDEX(装备库!$A$2:$Y$1047,MATCH(ROW()-1,装备库!$AO$2:$AO$1046,0),COLUMN()),"")</f>
        <v/>
      </c>
      <c r="V1150" t="str">
        <f>IFERROR(INDEX(装备库!$A$2:$Y$1047,MATCH(ROW()-1,装备库!$AO$2:$AO$1046,0),COLUMN()),"")</f>
        <v/>
      </c>
      <c r="W1150" t="str">
        <f>IFERROR(INDEX(装备库!$A$2:$Y$1047,MATCH(ROW()-1,装备库!$AO$2:$AO$1046,0),COLUMN()),"")</f>
        <v/>
      </c>
      <c r="X1150" t="str">
        <f>IFERROR(INDEX(装备库!$A$2:$Y$1047,MATCH(ROW()-1,装备库!$AO$2:$AO$1046,0),COLUMN()),"")</f>
        <v/>
      </c>
      <c r="Y1150" t="str">
        <f>IFERROR(INDEX(装备库!$A$2:$Y$1047,MATCH(ROW()-1,装备库!$AO$2:$AO$1046,0),COLUMN()),"")</f>
        <v/>
      </c>
    </row>
    <row r="1151" spans="1:25" x14ac:dyDescent="0.35">
      <c r="A1151" t="str">
        <f>IFERROR(INDEX(装备库!$A$2:$Y$1047,MATCH(ROW()-1,装备库!$AO$2:$AO$1046,0),COLUMN()),"")</f>
        <v/>
      </c>
      <c r="B1151" t="str">
        <f>IFERROR(INDEX(装备库!$A$2:$Y$1047,MATCH(ROW()-1,装备库!$AO$2:$AO$1046,0),COLUMN()),"")</f>
        <v/>
      </c>
      <c r="C1151" t="str">
        <f>IFERROR(INDEX(装备库!$A$2:$Y$1047,MATCH(ROW()-1,装备库!$AO$2:$AO$1046,0),COLUMN()),"")</f>
        <v/>
      </c>
      <c r="D1151" t="str">
        <f>IFERROR(INDEX(装备库!$A$2:$Y$1047,MATCH(ROW()-1,装备库!$AO$2:$AO$1046,0),COLUMN()),"")</f>
        <v/>
      </c>
      <c r="E1151" t="str">
        <f>IFERROR(INDEX(装备库!$A$2:$Y$1047,MATCH(ROW()-1,装备库!$AO$2:$AO$1046,0),COLUMN()),"")</f>
        <v/>
      </c>
      <c r="F1151" t="str">
        <f>IFERROR(INDEX(装备库!$A$2:$Y$1047,MATCH(ROW()-1,装备库!$AO$2:$AO$1046,0),COLUMN()),"")</f>
        <v/>
      </c>
      <c r="G1151" t="str">
        <f>IFERROR(INDEX(装备库!$A$2:$Y$1047,MATCH(ROW()-1,装备库!$AO$2:$AO$1046,0),COLUMN()),"")</f>
        <v/>
      </c>
      <c r="H1151" t="str">
        <f>IFERROR(INDEX(装备库!$A$2:$Y$1047,MATCH(ROW()-1,装备库!$AO$2:$AO$1046,0),COLUMN()),"")</f>
        <v/>
      </c>
      <c r="I1151" t="str">
        <f>IFERROR(INDEX(装备库!$A$2:$Y$1047,MATCH(ROW()-1,装备库!$AO$2:$AO$1046,0),COLUMN()),"")</f>
        <v/>
      </c>
      <c r="J1151" t="str">
        <f>IFERROR(INDEX(装备库!$A$2:$Y$1047,MATCH(ROW()-1,装备库!$AO$2:$AO$1046,0),COLUMN()),"")</f>
        <v/>
      </c>
      <c r="K1151" t="str">
        <f>IFERROR(INDEX(装备库!$A$2:$Y$1047,MATCH(ROW()-1,装备库!$AO$2:$AO$1046,0),COLUMN()),"")</f>
        <v/>
      </c>
      <c r="L1151" t="str">
        <f>IFERROR(INDEX(装备库!$A$2:$Y$1047,MATCH(ROW()-1,装备库!$AO$2:$AO$1046,0),COLUMN()),"")</f>
        <v/>
      </c>
      <c r="M1151" t="str">
        <f>IFERROR(INDEX(装备库!$A$2:$Y$1047,MATCH(ROW()-1,装备库!$AO$2:$AO$1046,0),COLUMN()),"")</f>
        <v/>
      </c>
      <c r="N1151" t="str">
        <f>IFERROR(INDEX(装备库!$A$2:$Y$1047,MATCH(ROW()-1,装备库!$AO$2:$AO$1046,0),COLUMN()),"")</f>
        <v/>
      </c>
      <c r="O1151" t="str">
        <f>IFERROR(INDEX(装备库!$A$2:$Y$1047,MATCH(ROW()-1,装备库!$AO$2:$AO$1046,0),COLUMN()),"")</f>
        <v/>
      </c>
      <c r="P1151" t="str">
        <f>IFERROR(INDEX(装备库!$A$2:$Y$1047,MATCH(ROW()-1,装备库!$AO$2:$AO$1046,0),COLUMN()),"")</f>
        <v/>
      </c>
      <c r="Q1151" t="str">
        <f>IFERROR(INDEX(装备库!$A$2:$Y$1047,MATCH(ROW()-1,装备库!$AO$2:$AO$1046,0),COLUMN()),"")</f>
        <v/>
      </c>
      <c r="R1151" t="str">
        <f>IFERROR(INDEX(装备库!$A$2:$Y$1047,MATCH(ROW()-1,装备库!$AO$2:$AO$1046,0),COLUMN()),"")</f>
        <v/>
      </c>
      <c r="S1151" t="str">
        <f>IFERROR(INDEX(装备库!$A$2:$Y$1047,MATCH(ROW()-1,装备库!$AO$2:$AO$1046,0),COLUMN()),"")</f>
        <v/>
      </c>
      <c r="T1151" t="str">
        <f>IFERROR(INDEX(装备库!$A$2:$Y$1047,MATCH(ROW()-1,装备库!$AO$2:$AO$1046,0),COLUMN()),"")</f>
        <v/>
      </c>
      <c r="U1151" t="str">
        <f>IFERROR(INDEX(装备库!$A$2:$Y$1047,MATCH(ROW()-1,装备库!$AO$2:$AO$1046,0),COLUMN()),"")</f>
        <v/>
      </c>
      <c r="V1151" t="str">
        <f>IFERROR(INDEX(装备库!$A$2:$Y$1047,MATCH(ROW()-1,装备库!$AO$2:$AO$1046,0),COLUMN()),"")</f>
        <v/>
      </c>
      <c r="W1151" t="str">
        <f>IFERROR(INDEX(装备库!$A$2:$Y$1047,MATCH(ROW()-1,装备库!$AO$2:$AO$1046,0),COLUMN()),"")</f>
        <v/>
      </c>
      <c r="X1151" t="str">
        <f>IFERROR(INDEX(装备库!$A$2:$Y$1047,MATCH(ROW()-1,装备库!$AO$2:$AO$1046,0),COLUMN()),"")</f>
        <v/>
      </c>
      <c r="Y1151" t="str">
        <f>IFERROR(INDEX(装备库!$A$2:$Y$1047,MATCH(ROW()-1,装备库!$AO$2:$AO$1046,0),COLUMN()),"")</f>
        <v/>
      </c>
    </row>
    <row r="1152" spans="1:25" x14ac:dyDescent="0.35">
      <c r="A1152" t="str">
        <f>IFERROR(INDEX(装备库!$A$2:$Y$1047,MATCH(ROW()-1,装备库!$AO$2:$AO$1046,0),COLUMN()),"")</f>
        <v/>
      </c>
      <c r="B1152" t="str">
        <f>IFERROR(INDEX(装备库!$A$2:$Y$1047,MATCH(ROW()-1,装备库!$AO$2:$AO$1046,0),COLUMN()),"")</f>
        <v/>
      </c>
      <c r="C1152" t="str">
        <f>IFERROR(INDEX(装备库!$A$2:$Y$1047,MATCH(ROW()-1,装备库!$AO$2:$AO$1046,0),COLUMN()),"")</f>
        <v/>
      </c>
      <c r="D1152" t="str">
        <f>IFERROR(INDEX(装备库!$A$2:$Y$1047,MATCH(ROW()-1,装备库!$AO$2:$AO$1046,0),COLUMN()),"")</f>
        <v/>
      </c>
      <c r="E1152" t="str">
        <f>IFERROR(INDEX(装备库!$A$2:$Y$1047,MATCH(ROW()-1,装备库!$AO$2:$AO$1046,0),COLUMN()),"")</f>
        <v/>
      </c>
      <c r="F1152" t="str">
        <f>IFERROR(INDEX(装备库!$A$2:$Y$1047,MATCH(ROW()-1,装备库!$AO$2:$AO$1046,0),COLUMN()),"")</f>
        <v/>
      </c>
      <c r="G1152" t="str">
        <f>IFERROR(INDEX(装备库!$A$2:$Y$1047,MATCH(ROW()-1,装备库!$AO$2:$AO$1046,0),COLUMN()),"")</f>
        <v/>
      </c>
      <c r="H1152" t="str">
        <f>IFERROR(INDEX(装备库!$A$2:$Y$1047,MATCH(ROW()-1,装备库!$AO$2:$AO$1046,0),COLUMN()),"")</f>
        <v/>
      </c>
      <c r="I1152" t="str">
        <f>IFERROR(INDEX(装备库!$A$2:$Y$1047,MATCH(ROW()-1,装备库!$AO$2:$AO$1046,0),COLUMN()),"")</f>
        <v/>
      </c>
      <c r="J1152" t="str">
        <f>IFERROR(INDEX(装备库!$A$2:$Y$1047,MATCH(ROW()-1,装备库!$AO$2:$AO$1046,0),COLUMN()),"")</f>
        <v/>
      </c>
      <c r="K1152" t="str">
        <f>IFERROR(INDEX(装备库!$A$2:$Y$1047,MATCH(ROW()-1,装备库!$AO$2:$AO$1046,0),COLUMN()),"")</f>
        <v/>
      </c>
      <c r="L1152" t="str">
        <f>IFERROR(INDEX(装备库!$A$2:$Y$1047,MATCH(ROW()-1,装备库!$AO$2:$AO$1046,0),COLUMN()),"")</f>
        <v/>
      </c>
      <c r="M1152" t="str">
        <f>IFERROR(INDEX(装备库!$A$2:$Y$1047,MATCH(ROW()-1,装备库!$AO$2:$AO$1046,0),COLUMN()),"")</f>
        <v/>
      </c>
      <c r="N1152" t="str">
        <f>IFERROR(INDEX(装备库!$A$2:$Y$1047,MATCH(ROW()-1,装备库!$AO$2:$AO$1046,0),COLUMN()),"")</f>
        <v/>
      </c>
      <c r="O1152" t="str">
        <f>IFERROR(INDEX(装备库!$A$2:$Y$1047,MATCH(ROW()-1,装备库!$AO$2:$AO$1046,0),COLUMN()),"")</f>
        <v/>
      </c>
      <c r="P1152" t="str">
        <f>IFERROR(INDEX(装备库!$A$2:$Y$1047,MATCH(ROW()-1,装备库!$AO$2:$AO$1046,0),COLUMN()),"")</f>
        <v/>
      </c>
      <c r="Q1152" t="str">
        <f>IFERROR(INDEX(装备库!$A$2:$Y$1047,MATCH(ROW()-1,装备库!$AO$2:$AO$1046,0),COLUMN()),"")</f>
        <v/>
      </c>
      <c r="R1152" t="str">
        <f>IFERROR(INDEX(装备库!$A$2:$Y$1047,MATCH(ROW()-1,装备库!$AO$2:$AO$1046,0),COLUMN()),"")</f>
        <v/>
      </c>
      <c r="S1152" t="str">
        <f>IFERROR(INDEX(装备库!$A$2:$Y$1047,MATCH(ROW()-1,装备库!$AO$2:$AO$1046,0),COLUMN()),"")</f>
        <v/>
      </c>
      <c r="T1152" t="str">
        <f>IFERROR(INDEX(装备库!$A$2:$Y$1047,MATCH(ROW()-1,装备库!$AO$2:$AO$1046,0),COLUMN()),"")</f>
        <v/>
      </c>
      <c r="U1152" t="str">
        <f>IFERROR(INDEX(装备库!$A$2:$Y$1047,MATCH(ROW()-1,装备库!$AO$2:$AO$1046,0),COLUMN()),"")</f>
        <v/>
      </c>
      <c r="V1152" t="str">
        <f>IFERROR(INDEX(装备库!$A$2:$Y$1047,MATCH(ROW()-1,装备库!$AO$2:$AO$1046,0),COLUMN()),"")</f>
        <v/>
      </c>
      <c r="W1152" t="str">
        <f>IFERROR(INDEX(装备库!$A$2:$Y$1047,MATCH(ROW()-1,装备库!$AO$2:$AO$1046,0),COLUMN()),"")</f>
        <v/>
      </c>
      <c r="X1152" t="str">
        <f>IFERROR(INDEX(装备库!$A$2:$Y$1047,MATCH(ROW()-1,装备库!$AO$2:$AO$1046,0),COLUMN()),"")</f>
        <v/>
      </c>
      <c r="Y1152" t="str">
        <f>IFERROR(INDEX(装备库!$A$2:$Y$1047,MATCH(ROW()-1,装备库!$AO$2:$AO$1046,0),COLUMN()),"")</f>
        <v/>
      </c>
    </row>
    <row r="1153" spans="1:25" x14ac:dyDescent="0.35">
      <c r="A1153" t="str">
        <f>IFERROR(INDEX(装备库!$A$2:$Y$1047,MATCH(ROW()-1,装备库!$AO$2:$AO$1046,0),COLUMN()),"")</f>
        <v/>
      </c>
      <c r="B1153" t="str">
        <f>IFERROR(INDEX(装备库!$A$2:$Y$1047,MATCH(ROW()-1,装备库!$AO$2:$AO$1046,0),COLUMN()),"")</f>
        <v/>
      </c>
      <c r="C1153" t="str">
        <f>IFERROR(INDEX(装备库!$A$2:$Y$1047,MATCH(ROW()-1,装备库!$AO$2:$AO$1046,0),COLUMN()),"")</f>
        <v/>
      </c>
      <c r="D1153" t="str">
        <f>IFERROR(INDEX(装备库!$A$2:$Y$1047,MATCH(ROW()-1,装备库!$AO$2:$AO$1046,0),COLUMN()),"")</f>
        <v/>
      </c>
      <c r="E1153" t="str">
        <f>IFERROR(INDEX(装备库!$A$2:$Y$1047,MATCH(ROW()-1,装备库!$AO$2:$AO$1046,0),COLUMN()),"")</f>
        <v/>
      </c>
      <c r="F1153" t="str">
        <f>IFERROR(INDEX(装备库!$A$2:$Y$1047,MATCH(ROW()-1,装备库!$AO$2:$AO$1046,0),COLUMN()),"")</f>
        <v/>
      </c>
      <c r="G1153" t="str">
        <f>IFERROR(INDEX(装备库!$A$2:$Y$1047,MATCH(ROW()-1,装备库!$AO$2:$AO$1046,0),COLUMN()),"")</f>
        <v/>
      </c>
      <c r="H1153" t="str">
        <f>IFERROR(INDEX(装备库!$A$2:$Y$1047,MATCH(ROW()-1,装备库!$AO$2:$AO$1046,0),COLUMN()),"")</f>
        <v/>
      </c>
      <c r="I1153" t="str">
        <f>IFERROR(INDEX(装备库!$A$2:$Y$1047,MATCH(ROW()-1,装备库!$AO$2:$AO$1046,0),COLUMN()),"")</f>
        <v/>
      </c>
      <c r="J1153" t="str">
        <f>IFERROR(INDEX(装备库!$A$2:$Y$1047,MATCH(ROW()-1,装备库!$AO$2:$AO$1046,0),COLUMN()),"")</f>
        <v/>
      </c>
      <c r="K1153" t="str">
        <f>IFERROR(INDEX(装备库!$A$2:$Y$1047,MATCH(ROW()-1,装备库!$AO$2:$AO$1046,0),COLUMN()),"")</f>
        <v/>
      </c>
      <c r="L1153" t="str">
        <f>IFERROR(INDEX(装备库!$A$2:$Y$1047,MATCH(ROW()-1,装备库!$AO$2:$AO$1046,0),COLUMN()),"")</f>
        <v/>
      </c>
      <c r="M1153" t="str">
        <f>IFERROR(INDEX(装备库!$A$2:$Y$1047,MATCH(ROW()-1,装备库!$AO$2:$AO$1046,0),COLUMN()),"")</f>
        <v/>
      </c>
      <c r="N1153" t="str">
        <f>IFERROR(INDEX(装备库!$A$2:$Y$1047,MATCH(ROW()-1,装备库!$AO$2:$AO$1046,0),COLUMN()),"")</f>
        <v/>
      </c>
      <c r="O1153" t="str">
        <f>IFERROR(INDEX(装备库!$A$2:$Y$1047,MATCH(ROW()-1,装备库!$AO$2:$AO$1046,0),COLUMN()),"")</f>
        <v/>
      </c>
      <c r="P1153" t="str">
        <f>IFERROR(INDEX(装备库!$A$2:$Y$1047,MATCH(ROW()-1,装备库!$AO$2:$AO$1046,0),COLUMN()),"")</f>
        <v/>
      </c>
      <c r="Q1153" t="str">
        <f>IFERROR(INDEX(装备库!$A$2:$Y$1047,MATCH(ROW()-1,装备库!$AO$2:$AO$1046,0),COLUMN()),"")</f>
        <v/>
      </c>
      <c r="R1153" t="str">
        <f>IFERROR(INDEX(装备库!$A$2:$Y$1047,MATCH(ROW()-1,装备库!$AO$2:$AO$1046,0),COLUMN()),"")</f>
        <v/>
      </c>
      <c r="S1153" t="str">
        <f>IFERROR(INDEX(装备库!$A$2:$Y$1047,MATCH(ROW()-1,装备库!$AO$2:$AO$1046,0),COLUMN()),"")</f>
        <v/>
      </c>
      <c r="T1153" t="str">
        <f>IFERROR(INDEX(装备库!$A$2:$Y$1047,MATCH(ROW()-1,装备库!$AO$2:$AO$1046,0),COLUMN()),"")</f>
        <v/>
      </c>
      <c r="U1153" t="str">
        <f>IFERROR(INDEX(装备库!$A$2:$Y$1047,MATCH(ROW()-1,装备库!$AO$2:$AO$1046,0),COLUMN()),"")</f>
        <v/>
      </c>
      <c r="V1153" t="str">
        <f>IFERROR(INDEX(装备库!$A$2:$Y$1047,MATCH(ROW()-1,装备库!$AO$2:$AO$1046,0),COLUMN()),"")</f>
        <v/>
      </c>
      <c r="W1153" t="str">
        <f>IFERROR(INDEX(装备库!$A$2:$Y$1047,MATCH(ROW()-1,装备库!$AO$2:$AO$1046,0),COLUMN()),"")</f>
        <v/>
      </c>
      <c r="X1153" t="str">
        <f>IFERROR(INDEX(装备库!$A$2:$Y$1047,MATCH(ROW()-1,装备库!$AO$2:$AO$1046,0),COLUMN()),"")</f>
        <v/>
      </c>
      <c r="Y1153" t="str">
        <f>IFERROR(INDEX(装备库!$A$2:$Y$1047,MATCH(ROW()-1,装备库!$AO$2:$AO$1046,0),COLUMN()),"")</f>
        <v/>
      </c>
    </row>
    <row r="1154" spans="1:25" x14ac:dyDescent="0.35">
      <c r="A1154" t="str">
        <f>IFERROR(INDEX(装备库!$A$2:$Y$1047,MATCH(ROW()-1,装备库!$AO$2:$AO$1046,0),COLUMN()),"")</f>
        <v/>
      </c>
      <c r="B1154" t="str">
        <f>IFERROR(INDEX(装备库!$A$2:$Y$1047,MATCH(ROW()-1,装备库!$AO$2:$AO$1046,0),COLUMN()),"")</f>
        <v/>
      </c>
      <c r="C1154" t="str">
        <f>IFERROR(INDEX(装备库!$A$2:$Y$1047,MATCH(ROW()-1,装备库!$AO$2:$AO$1046,0),COLUMN()),"")</f>
        <v/>
      </c>
      <c r="D1154" t="str">
        <f>IFERROR(INDEX(装备库!$A$2:$Y$1047,MATCH(ROW()-1,装备库!$AO$2:$AO$1046,0),COLUMN()),"")</f>
        <v/>
      </c>
      <c r="E1154" t="str">
        <f>IFERROR(INDEX(装备库!$A$2:$Y$1047,MATCH(ROW()-1,装备库!$AO$2:$AO$1046,0),COLUMN()),"")</f>
        <v/>
      </c>
      <c r="F1154" t="str">
        <f>IFERROR(INDEX(装备库!$A$2:$Y$1047,MATCH(ROW()-1,装备库!$AO$2:$AO$1046,0),COLUMN()),"")</f>
        <v/>
      </c>
      <c r="G1154" t="str">
        <f>IFERROR(INDEX(装备库!$A$2:$Y$1047,MATCH(ROW()-1,装备库!$AO$2:$AO$1046,0),COLUMN()),"")</f>
        <v/>
      </c>
      <c r="H1154" t="str">
        <f>IFERROR(INDEX(装备库!$A$2:$Y$1047,MATCH(ROW()-1,装备库!$AO$2:$AO$1046,0),COLUMN()),"")</f>
        <v/>
      </c>
      <c r="I1154" t="str">
        <f>IFERROR(INDEX(装备库!$A$2:$Y$1047,MATCH(ROW()-1,装备库!$AO$2:$AO$1046,0),COLUMN()),"")</f>
        <v/>
      </c>
      <c r="J1154" t="str">
        <f>IFERROR(INDEX(装备库!$A$2:$Y$1047,MATCH(ROW()-1,装备库!$AO$2:$AO$1046,0),COLUMN()),"")</f>
        <v/>
      </c>
      <c r="K1154" t="str">
        <f>IFERROR(INDEX(装备库!$A$2:$Y$1047,MATCH(ROW()-1,装备库!$AO$2:$AO$1046,0),COLUMN()),"")</f>
        <v/>
      </c>
      <c r="L1154" t="str">
        <f>IFERROR(INDEX(装备库!$A$2:$Y$1047,MATCH(ROW()-1,装备库!$AO$2:$AO$1046,0),COLUMN()),"")</f>
        <v/>
      </c>
      <c r="M1154" t="str">
        <f>IFERROR(INDEX(装备库!$A$2:$Y$1047,MATCH(ROW()-1,装备库!$AO$2:$AO$1046,0),COLUMN()),"")</f>
        <v/>
      </c>
      <c r="N1154" t="str">
        <f>IFERROR(INDEX(装备库!$A$2:$Y$1047,MATCH(ROW()-1,装备库!$AO$2:$AO$1046,0),COLUMN()),"")</f>
        <v/>
      </c>
      <c r="O1154" t="str">
        <f>IFERROR(INDEX(装备库!$A$2:$Y$1047,MATCH(ROW()-1,装备库!$AO$2:$AO$1046,0),COLUMN()),"")</f>
        <v/>
      </c>
      <c r="P1154" t="str">
        <f>IFERROR(INDEX(装备库!$A$2:$Y$1047,MATCH(ROW()-1,装备库!$AO$2:$AO$1046,0),COLUMN()),"")</f>
        <v/>
      </c>
      <c r="Q1154" t="str">
        <f>IFERROR(INDEX(装备库!$A$2:$Y$1047,MATCH(ROW()-1,装备库!$AO$2:$AO$1046,0),COLUMN()),"")</f>
        <v/>
      </c>
      <c r="R1154" t="str">
        <f>IFERROR(INDEX(装备库!$A$2:$Y$1047,MATCH(ROW()-1,装备库!$AO$2:$AO$1046,0),COLUMN()),"")</f>
        <v/>
      </c>
      <c r="S1154" t="str">
        <f>IFERROR(INDEX(装备库!$A$2:$Y$1047,MATCH(ROW()-1,装备库!$AO$2:$AO$1046,0),COLUMN()),"")</f>
        <v/>
      </c>
      <c r="T1154" t="str">
        <f>IFERROR(INDEX(装备库!$A$2:$Y$1047,MATCH(ROW()-1,装备库!$AO$2:$AO$1046,0),COLUMN()),"")</f>
        <v/>
      </c>
      <c r="U1154" t="str">
        <f>IFERROR(INDEX(装备库!$A$2:$Y$1047,MATCH(ROW()-1,装备库!$AO$2:$AO$1046,0),COLUMN()),"")</f>
        <v/>
      </c>
      <c r="V1154" t="str">
        <f>IFERROR(INDEX(装备库!$A$2:$Y$1047,MATCH(ROW()-1,装备库!$AO$2:$AO$1046,0),COLUMN()),"")</f>
        <v/>
      </c>
      <c r="W1154" t="str">
        <f>IFERROR(INDEX(装备库!$A$2:$Y$1047,MATCH(ROW()-1,装备库!$AO$2:$AO$1046,0),COLUMN()),"")</f>
        <v/>
      </c>
      <c r="X1154" t="str">
        <f>IFERROR(INDEX(装备库!$A$2:$Y$1047,MATCH(ROW()-1,装备库!$AO$2:$AO$1046,0),COLUMN()),"")</f>
        <v/>
      </c>
      <c r="Y1154" t="str">
        <f>IFERROR(INDEX(装备库!$A$2:$Y$1047,MATCH(ROW()-1,装备库!$AO$2:$AO$1046,0),COLUMN()),"")</f>
        <v/>
      </c>
    </row>
    <row r="1155" spans="1:25" x14ac:dyDescent="0.35">
      <c r="A1155" t="str">
        <f>IFERROR(INDEX(装备库!$A$2:$Y$1047,MATCH(ROW()-1,装备库!$AO$2:$AO$1046,0),COLUMN()),"")</f>
        <v/>
      </c>
      <c r="B1155" t="str">
        <f>IFERROR(INDEX(装备库!$A$2:$Y$1047,MATCH(ROW()-1,装备库!$AO$2:$AO$1046,0),COLUMN()),"")</f>
        <v/>
      </c>
      <c r="C1155" t="str">
        <f>IFERROR(INDEX(装备库!$A$2:$Y$1047,MATCH(ROW()-1,装备库!$AO$2:$AO$1046,0),COLUMN()),"")</f>
        <v/>
      </c>
      <c r="D1155" t="str">
        <f>IFERROR(INDEX(装备库!$A$2:$Y$1047,MATCH(ROW()-1,装备库!$AO$2:$AO$1046,0),COLUMN()),"")</f>
        <v/>
      </c>
      <c r="E1155" t="str">
        <f>IFERROR(INDEX(装备库!$A$2:$Y$1047,MATCH(ROW()-1,装备库!$AO$2:$AO$1046,0),COLUMN()),"")</f>
        <v/>
      </c>
      <c r="F1155" t="str">
        <f>IFERROR(INDEX(装备库!$A$2:$Y$1047,MATCH(ROW()-1,装备库!$AO$2:$AO$1046,0),COLUMN()),"")</f>
        <v/>
      </c>
      <c r="G1155" t="str">
        <f>IFERROR(INDEX(装备库!$A$2:$Y$1047,MATCH(ROW()-1,装备库!$AO$2:$AO$1046,0),COLUMN()),"")</f>
        <v/>
      </c>
      <c r="H1155" t="str">
        <f>IFERROR(INDEX(装备库!$A$2:$Y$1047,MATCH(ROW()-1,装备库!$AO$2:$AO$1046,0),COLUMN()),"")</f>
        <v/>
      </c>
      <c r="I1155" t="str">
        <f>IFERROR(INDEX(装备库!$A$2:$Y$1047,MATCH(ROW()-1,装备库!$AO$2:$AO$1046,0),COLUMN()),"")</f>
        <v/>
      </c>
      <c r="J1155" t="str">
        <f>IFERROR(INDEX(装备库!$A$2:$Y$1047,MATCH(ROW()-1,装备库!$AO$2:$AO$1046,0),COLUMN()),"")</f>
        <v/>
      </c>
      <c r="K1155" t="str">
        <f>IFERROR(INDEX(装备库!$A$2:$Y$1047,MATCH(ROW()-1,装备库!$AO$2:$AO$1046,0),COLUMN()),"")</f>
        <v/>
      </c>
      <c r="L1155" t="str">
        <f>IFERROR(INDEX(装备库!$A$2:$Y$1047,MATCH(ROW()-1,装备库!$AO$2:$AO$1046,0),COLUMN()),"")</f>
        <v/>
      </c>
      <c r="M1155" t="str">
        <f>IFERROR(INDEX(装备库!$A$2:$Y$1047,MATCH(ROW()-1,装备库!$AO$2:$AO$1046,0),COLUMN()),"")</f>
        <v/>
      </c>
      <c r="N1155" t="str">
        <f>IFERROR(INDEX(装备库!$A$2:$Y$1047,MATCH(ROW()-1,装备库!$AO$2:$AO$1046,0),COLUMN()),"")</f>
        <v/>
      </c>
      <c r="O1155" t="str">
        <f>IFERROR(INDEX(装备库!$A$2:$Y$1047,MATCH(ROW()-1,装备库!$AO$2:$AO$1046,0),COLUMN()),"")</f>
        <v/>
      </c>
      <c r="P1155" t="str">
        <f>IFERROR(INDEX(装备库!$A$2:$Y$1047,MATCH(ROW()-1,装备库!$AO$2:$AO$1046,0),COLUMN()),"")</f>
        <v/>
      </c>
      <c r="Q1155" t="str">
        <f>IFERROR(INDEX(装备库!$A$2:$Y$1047,MATCH(ROW()-1,装备库!$AO$2:$AO$1046,0),COLUMN()),"")</f>
        <v/>
      </c>
      <c r="R1155" t="str">
        <f>IFERROR(INDEX(装备库!$A$2:$Y$1047,MATCH(ROW()-1,装备库!$AO$2:$AO$1046,0),COLUMN()),"")</f>
        <v/>
      </c>
      <c r="S1155" t="str">
        <f>IFERROR(INDEX(装备库!$A$2:$Y$1047,MATCH(ROW()-1,装备库!$AO$2:$AO$1046,0),COLUMN()),"")</f>
        <v/>
      </c>
      <c r="T1155" t="str">
        <f>IFERROR(INDEX(装备库!$A$2:$Y$1047,MATCH(ROW()-1,装备库!$AO$2:$AO$1046,0),COLUMN()),"")</f>
        <v/>
      </c>
      <c r="U1155" t="str">
        <f>IFERROR(INDEX(装备库!$A$2:$Y$1047,MATCH(ROW()-1,装备库!$AO$2:$AO$1046,0),COLUMN()),"")</f>
        <v/>
      </c>
      <c r="V1155" t="str">
        <f>IFERROR(INDEX(装备库!$A$2:$Y$1047,MATCH(ROW()-1,装备库!$AO$2:$AO$1046,0),COLUMN()),"")</f>
        <v/>
      </c>
      <c r="W1155" t="str">
        <f>IFERROR(INDEX(装备库!$A$2:$Y$1047,MATCH(ROW()-1,装备库!$AO$2:$AO$1046,0),COLUMN()),"")</f>
        <v/>
      </c>
      <c r="X1155" t="str">
        <f>IFERROR(INDEX(装备库!$A$2:$Y$1047,MATCH(ROW()-1,装备库!$AO$2:$AO$1046,0),COLUMN()),"")</f>
        <v/>
      </c>
      <c r="Y1155" t="str">
        <f>IFERROR(INDEX(装备库!$A$2:$Y$1047,MATCH(ROW()-1,装备库!$AO$2:$AO$1046,0),COLUMN()),"")</f>
        <v/>
      </c>
    </row>
    <row r="1156" spans="1:25" x14ac:dyDescent="0.35">
      <c r="A1156" t="str">
        <f>IFERROR(INDEX(装备库!$A$2:$Y$1047,MATCH(ROW()-1,装备库!$AO$2:$AO$1046,0),COLUMN()),"")</f>
        <v/>
      </c>
      <c r="B1156" t="str">
        <f>IFERROR(INDEX(装备库!$A$2:$Y$1047,MATCH(ROW()-1,装备库!$AO$2:$AO$1046,0),COLUMN()),"")</f>
        <v/>
      </c>
      <c r="C1156" t="str">
        <f>IFERROR(INDEX(装备库!$A$2:$Y$1047,MATCH(ROW()-1,装备库!$AO$2:$AO$1046,0),COLUMN()),"")</f>
        <v/>
      </c>
      <c r="D1156" t="str">
        <f>IFERROR(INDEX(装备库!$A$2:$Y$1047,MATCH(ROW()-1,装备库!$AO$2:$AO$1046,0),COLUMN()),"")</f>
        <v/>
      </c>
      <c r="E1156" t="str">
        <f>IFERROR(INDEX(装备库!$A$2:$Y$1047,MATCH(ROW()-1,装备库!$AO$2:$AO$1046,0),COLUMN()),"")</f>
        <v/>
      </c>
      <c r="F1156" t="str">
        <f>IFERROR(INDEX(装备库!$A$2:$Y$1047,MATCH(ROW()-1,装备库!$AO$2:$AO$1046,0),COLUMN()),"")</f>
        <v/>
      </c>
      <c r="G1156" t="str">
        <f>IFERROR(INDEX(装备库!$A$2:$Y$1047,MATCH(ROW()-1,装备库!$AO$2:$AO$1046,0),COLUMN()),"")</f>
        <v/>
      </c>
      <c r="H1156" t="str">
        <f>IFERROR(INDEX(装备库!$A$2:$Y$1047,MATCH(ROW()-1,装备库!$AO$2:$AO$1046,0),COLUMN()),"")</f>
        <v/>
      </c>
      <c r="I1156" t="str">
        <f>IFERROR(INDEX(装备库!$A$2:$Y$1047,MATCH(ROW()-1,装备库!$AO$2:$AO$1046,0),COLUMN()),"")</f>
        <v/>
      </c>
      <c r="J1156" t="str">
        <f>IFERROR(INDEX(装备库!$A$2:$Y$1047,MATCH(ROW()-1,装备库!$AO$2:$AO$1046,0),COLUMN()),"")</f>
        <v/>
      </c>
      <c r="K1156" t="str">
        <f>IFERROR(INDEX(装备库!$A$2:$Y$1047,MATCH(ROW()-1,装备库!$AO$2:$AO$1046,0),COLUMN()),"")</f>
        <v/>
      </c>
      <c r="L1156" t="str">
        <f>IFERROR(INDEX(装备库!$A$2:$Y$1047,MATCH(ROW()-1,装备库!$AO$2:$AO$1046,0),COLUMN()),"")</f>
        <v/>
      </c>
      <c r="M1156" t="str">
        <f>IFERROR(INDEX(装备库!$A$2:$Y$1047,MATCH(ROW()-1,装备库!$AO$2:$AO$1046,0),COLUMN()),"")</f>
        <v/>
      </c>
      <c r="N1156" t="str">
        <f>IFERROR(INDEX(装备库!$A$2:$Y$1047,MATCH(ROW()-1,装备库!$AO$2:$AO$1046,0),COLUMN()),"")</f>
        <v/>
      </c>
      <c r="O1156" t="str">
        <f>IFERROR(INDEX(装备库!$A$2:$Y$1047,MATCH(ROW()-1,装备库!$AO$2:$AO$1046,0),COLUMN()),"")</f>
        <v/>
      </c>
      <c r="P1156" t="str">
        <f>IFERROR(INDEX(装备库!$A$2:$Y$1047,MATCH(ROW()-1,装备库!$AO$2:$AO$1046,0),COLUMN()),"")</f>
        <v/>
      </c>
      <c r="Q1156" t="str">
        <f>IFERROR(INDEX(装备库!$A$2:$Y$1047,MATCH(ROW()-1,装备库!$AO$2:$AO$1046,0),COLUMN()),"")</f>
        <v/>
      </c>
      <c r="R1156" t="str">
        <f>IFERROR(INDEX(装备库!$A$2:$Y$1047,MATCH(ROW()-1,装备库!$AO$2:$AO$1046,0),COLUMN()),"")</f>
        <v/>
      </c>
      <c r="S1156" t="str">
        <f>IFERROR(INDEX(装备库!$A$2:$Y$1047,MATCH(ROW()-1,装备库!$AO$2:$AO$1046,0),COLUMN()),"")</f>
        <v/>
      </c>
      <c r="T1156" t="str">
        <f>IFERROR(INDEX(装备库!$A$2:$Y$1047,MATCH(ROW()-1,装备库!$AO$2:$AO$1046,0),COLUMN()),"")</f>
        <v/>
      </c>
      <c r="U1156" t="str">
        <f>IFERROR(INDEX(装备库!$A$2:$Y$1047,MATCH(ROW()-1,装备库!$AO$2:$AO$1046,0),COLUMN()),"")</f>
        <v/>
      </c>
      <c r="V1156" t="str">
        <f>IFERROR(INDEX(装备库!$A$2:$Y$1047,MATCH(ROW()-1,装备库!$AO$2:$AO$1046,0),COLUMN()),"")</f>
        <v/>
      </c>
      <c r="W1156" t="str">
        <f>IFERROR(INDEX(装备库!$A$2:$Y$1047,MATCH(ROW()-1,装备库!$AO$2:$AO$1046,0),COLUMN()),"")</f>
        <v/>
      </c>
      <c r="X1156" t="str">
        <f>IFERROR(INDEX(装备库!$A$2:$Y$1047,MATCH(ROW()-1,装备库!$AO$2:$AO$1046,0),COLUMN()),"")</f>
        <v/>
      </c>
      <c r="Y1156" t="str">
        <f>IFERROR(INDEX(装备库!$A$2:$Y$1047,MATCH(ROW()-1,装备库!$AO$2:$AO$1046,0),COLUMN()),"")</f>
        <v/>
      </c>
    </row>
    <row r="1157" spans="1:25" x14ac:dyDescent="0.35">
      <c r="A1157" t="str">
        <f>IFERROR(INDEX(装备库!$A$2:$Y$1047,MATCH(ROW()-1,装备库!$AO$2:$AO$1046,0),COLUMN()),"")</f>
        <v/>
      </c>
      <c r="B1157" t="str">
        <f>IFERROR(INDEX(装备库!$A$2:$Y$1047,MATCH(ROW()-1,装备库!$AO$2:$AO$1046,0),COLUMN()),"")</f>
        <v/>
      </c>
      <c r="C1157" t="str">
        <f>IFERROR(INDEX(装备库!$A$2:$Y$1047,MATCH(ROW()-1,装备库!$AO$2:$AO$1046,0),COLUMN()),"")</f>
        <v/>
      </c>
      <c r="D1157" t="str">
        <f>IFERROR(INDEX(装备库!$A$2:$Y$1047,MATCH(ROW()-1,装备库!$AO$2:$AO$1046,0),COLUMN()),"")</f>
        <v/>
      </c>
      <c r="E1157" t="str">
        <f>IFERROR(INDEX(装备库!$A$2:$Y$1047,MATCH(ROW()-1,装备库!$AO$2:$AO$1046,0),COLUMN()),"")</f>
        <v/>
      </c>
      <c r="F1157" t="str">
        <f>IFERROR(INDEX(装备库!$A$2:$Y$1047,MATCH(ROW()-1,装备库!$AO$2:$AO$1046,0),COLUMN()),"")</f>
        <v/>
      </c>
      <c r="G1157" t="str">
        <f>IFERROR(INDEX(装备库!$A$2:$Y$1047,MATCH(ROW()-1,装备库!$AO$2:$AO$1046,0),COLUMN()),"")</f>
        <v/>
      </c>
      <c r="H1157" t="str">
        <f>IFERROR(INDEX(装备库!$A$2:$Y$1047,MATCH(ROW()-1,装备库!$AO$2:$AO$1046,0),COLUMN()),"")</f>
        <v/>
      </c>
      <c r="I1157" t="str">
        <f>IFERROR(INDEX(装备库!$A$2:$Y$1047,MATCH(ROW()-1,装备库!$AO$2:$AO$1046,0),COLUMN()),"")</f>
        <v/>
      </c>
      <c r="J1157" t="str">
        <f>IFERROR(INDEX(装备库!$A$2:$Y$1047,MATCH(ROW()-1,装备库!$AO$2:$AO$1046,0),COLUMN()),"")</f>
        <v/>
      </c>
      <c r="K1157" t="str">
        <f>IFERROR(INDEX(装备库!$A$2:$Y$1047,MATCH(ROW()-1,装备库!$AO$2:$AO$1046,0),COLUMN()),"")</f>
        <v/>
      </c>
      <c r="L1157" t="str">
        <f>IFERROR(INDEX(装备库!$A$2:$Y$1047,MATCH(ROW()-1,装备库!$AO$2:$AO$1046,0),COLUMN()),"")</f>
        <v/>
      </c>
      <c r="M1157" t="str">
        <f>IFERROR(INDEX(装备库!$A$2:$Y$1047,MATCH(ROW()-1,装备库!$AO$2:$AO$1046,0),COLUMN()),"")</f>
        <v/>
      </c>
      <c r="N1157" t="str">
        <f>IFERROR(INDEX(装备库!$A$2:$Y$1047,MATCH(ROW()-1,装备库!$AO$2:$AO$1046,0),COLUMN()),"")</f>
        <v/>
      </c>
      <c r="O1157" t="str">
        <f>IFERROR(INDEX(装备库!$A$2:$Y$1047,MATCH(ROW()-1,装备库!$AO$2:$AO$1046,0),COLUMN()),"")</f>
        <v/>
      </c>
      <c r="P1157" t="str">
        <f>IFERROR(INDEX(装备库!$A$2:$Y$1047,MATCH(ROW()-1,装备库!$AO$2:$AO$1046,0),COLUMN()),"")</f>
        <v/>
      </c>
      <c r="Q1157" t="str">
        <f>IFERROR(INDEX(装备库!$A$2:$Y$1047,MATCH(ROW()-1,装备库!$AO$2:$AO$1046,0),COLUMN()),"")</f>
        <v/>
      </c>
      <c r="R1157" t="str">
        <f>IFERROR(INDEX(装备库!$A$2:$Y$1047,MATCH(ROW()-1,装备库!$AO$2:$AO$1046,0),COLUMN()),"")</f>
        <v/>
      </c>
      <c r="S1157" t="str">
        <f>IFERROR(INDEX(装备库!$A$2:$Y$1047,MATCH(ROW()-1,装备库!$AO$2:$AO$1046,0),COLUMN()),"")</f>
        <v/>
      </c>
      <c r="T1157" t="str">
        <f>IFERROR(INDEX(装备库!$A$2:$Y$1047,MATCH(ROW()-1,装备库!$AO$2:$AO$1046,0),COLUMN()),"")</f>
        <v/>
      </c>
      <c r="U1157" t="str">
        <f>IFERROR(INDEX(装备库!$A$2:$Y$1047,MATCH(ROW()-1,装备库!$AO$2:$AO$1046,0),COLUMN()),"")</f>
        <v/>
      </c>
      <c r="V1157" t="str">
        <f>IFERROR(INDEX(装备库!$A$2:$Y$1047,MATCH(ROW()-1,装备库!$AO$2:$AO$1046,0),COLUMN()),"")</f>
        <v/>
      </c>
      <c r="W1157" t="str">
        <f>IFERROR(INDEX(装备库!$A$2:$Y$1047,MATCH(ROW()-1,装备库!$AO$2:$AO$1046,0),COLUMN()),"")</f>
        <v/>
      </c>
      <c r="X1157" t="str">
        <f>IFERROR(INDEX(装备库!$A$2:$Y$1047,MATCH(ROW()-1,装备库!$AO$2:$AO$1046,0),COLUMN()),"")</f>
        <v/>
      </c>
      <c r="Y1157" t="str">
        <f>IFERROR(INDEX(装备库!$A$2:$Y$1047,MATCH(ROW()-1,装备库!$AO$2:$AO$1046,0),COLUMN()),"")</f>
        <v/>
      </c>
    </row>
    <row r="1158" spans="1:25" x14ac:dyDescent="0.35">
      <c r="A1158" t="str">
        <f>IFERROR(INDEX(装备库!$A$2:$Y$1047,MATCH(ROW()-1,装备库!$AO$2:$AO$1046,0),COLUMN()),"")</f>
        <v/>
      </c>
      <c r="B1158" t="str">
        <f>IFERROR(INDEX(装备库!$A$2:$Y$1047,MATCH(ROW()-1,装备库!$AO$2:$AO$1046,0),COLUMN()),"")</f>
        <v/>
      </c>
      <c r="C1158" t="str">
        <f>IFERROR(INDEX(装备库!$A$2:$Y$1047,MATCH(ROW()-1,装备库!$AO$2:$AO$1046,0),COLUMN()),"")</f>
        <v/>
      </c>
      <c r="D1158" t="str">
        <f>IFERROR(INDEX(装备库!$A$2:$Y$1047,MATCH(ROW()-1,装备库!$AO$2:$AO$1046,0),COLUMN()),"")</f>
        <v/>
      </c>
      <c r="E1158" t="str">
        <f>IFERROR(INDEX(装备库!$A$2:$Y$1047,MATCH(ROW()-1,装备库!$AO$2:$AO$1046,0),COLUMN()),"")</f>
        <v/>
      </c>
      <c r="F1158" t="str">
        <f>IFERROR(INDEX(装备库!$A$2:$Y$1047,MATCH(ROW()-1,装备库!$AO$2:$AO$1046,0),COLUMN()),"")</f>
        <v/>
      </c>
      <c r="G1158" t="str">
        <f>IFERROR(INDEX(装备库!$A$2:$Y$1047,MATCH(ROW()-1,装备库!$AO$2:$AO$1046,0),COLUMN()),"")</f>
        <v/>
      </c>
      <c r="H1158" t="str">
        <f>IFERROR(INDEX(装备库!$A$2:$Y$1047,MATCH(ROW()-1,装备库!$AO$2:$AO$1046,0),COLUMN()),"")</f>
        <v/>
      </c>
      <c r="I1158" t="str">
        <f>IFERROR(INDEX(装备库!$A$2:$Y$1047,MATCH(ROW()-1,装备库!$AO$2:$AO$1046,0),COLUMN()),"")</f>
        <v/>
      </c>
      <c r="J1158" t="str">
        <f>IFERROR(INDEX(装备库!$A$2:$Y$1047,MATCH(ROW()-1,装备库!$AO$2:$AO$1046,0),COLUMN()),"")</f>
        <v/>
      </c>
      <c r="K1158" t="str">
        <f>IFERROR(INDEX(装备库!$A$2:$Y$1047,MATCH(ROW()-1,装备库!$AO$2:$AO$1046,0),COLUMN()),"")</f>
        <v/>
      </c>
      <c r="L1158" t="str">
        <f>IFERROR(INDEX(装备库!$A$2:$Y$1047,MATCH(ROW()-1,装备库!$AO$2:$AO$1046,0),COLUMN()),"")</f>
        <v/>
      </c>
      <c r="M1158" t="str">
        <f>IFERROR(INDEX(装备库!$A$2:$Y$1047,MATCH(ROW()-1,装备库!$AO$2:$AO$1046,0),COLUMN()),"")</f>
        <v/>
      </c>
      <c r="N1158" t="str">
        <f>IFERROR(INDEX(装备库!$A$2:$Y$1047,MATCH(ROW()-1,装备库!$AO$2:$AO$1046,0),COLUMN()),"")</f>
        <v/>
      </c>
      <c r="O1158" t="str">
        <f>IFERROR(INDEX(装备库!$A$2:$Y$1047,MATCH(ROW()-1,装备库!$AO$2:$AO$1046,0),COLUMN()),"")</f>
        <v/>
      </c>
      <c r="P1158" t="str">
        <f>IFERROR(INDEX(装备库!$A$2:$Y$1047,MATCH(ROW()-1,装备库!$AO$2:$AO$1046,0),COLUMN()),"")</f>
        <v/>
      </c>
      <c r="Q1158" t="str">
        <f>IFERROR(INDEX(装备库!$A$2:$Y$1047,MATCH(ROW()-1,装备库!$AO$2:$AO$1046,0),COLUMN()),"")</f>
        <v/>
      </c>
      <c r="R1158" t="str">
        <f>IFERROR(INDEX(装备库!$A$2:$Y$1047,MATCH(ROW()-1,装备库!$AO$2:$AO$1046,0),COLUMN()),"")</f>
        <v/>
      </c>
      <c r="S1158" t="str">
        <f>IFERROR(INDEX(装备库!$A$2:$Y$1047,MATCH(ROW()-1,装备库!$AO$2:$AO$1046,0),COLUMN()),"")</f>
        <v/>
      </c>
      <c r="T1158" t="str">
        <f>IFERROR(INDEX(装备库!$A$2:$Y$1047,MATCH(ROW()-1,装备库!$AO$2:$AO$1046,0),COLUMN()),"")</f>
        <v/>
      </c>
      <c r="U1158" t="str">
        <f>IFERROR(INDEX(装备库!$A$2:$Y$1047,MATCH(ROW()-1,装备库!$AO$2:$AO$1046,0),COLUMN()),"")</f>
        <v/>
      </c>
      <c r="V1158" t="str">
        <f>IFERROR(INDEX(装备库!$A$2:$Y$1047,MATCH(ROW()-1,装备库!$AO$2:$AO$1046,0),COLUMN()),"")</f>
        <v/>
      </c>
      <c r="W1158" t="str">
        <f>IFERROR(INDEX(装备库!$A$2:$Y$1047,MATCH(ROW()-1,装备库!$AO$2:$AO$1046,0),COLUMN()),"")</f>
        <v/>
      </c>
      <c r="X1158" t="str">
        <f>IFERROR(INDEX(装备库!$A$2:$Y$1047,MATCH(ROW()-1,装备库!$AO$2:$AO$1046,0),COLUMN()),"")</f>
        <v/>
      </c>
      <c r="Y1158" t="str">
        <f>IFERROR(INDEX(装备库!$A$2:$Y$1047,MATCH(ROW()-1,装备库!$AO$2:$AO$1046,0),COLUMN()),"")</f>
        <v/>
      </c>
    </row>
    <row r="1159" spans="1:25" x14ac:dyDescent="0.35">
      <c r="A1159" t="str">
        <f>IFERROR(INDEX(装备库!$A$2:$Y$1047,MATCH(ROW()-1,装备库!$AO$2:$AO$1046,0),COLUMN()),"")</f>
        <v/>
      </c>
      <c r="B1159" t="str">
        <f>IFERROR(INDEX(装备库!$A$2:$Y$1047,MATCH(ROW()-1,装备库!$AO$2:$AO$1046,0),COLUMN()),"")</f>
        <v/>
      </c>
      <c r="C1159" t="str">
        <f>IFERROR(INDEX(装备库!$A$2:$Y$1047,MATCH(ROW()-1,装备库!$AO$2:$AO$1046,0),COLUMN()),"")</f>
        <v/>
      </c>
      <c r="D1159" t="str">
        <f>IFERROR(INDEX(装备库!$A$2:$Y$1047,MATCH(ROW()-1,装备库!$AO$2:$AO$1046,0),COLUMN()),"")</f>
        <v/>
      </c>
      <c r="E1159" t="str">
        <f>IFERROR(INDEX(装备库!$A$2:$Y$1047,MATCH(ROW()-1,装备库!$AO$2:$AO$1046,0),COLUMN()),"")</f>
        <v/>
      </c>
      <c r="F1159" t="str">
        <f>IFERROR(INDEX(装备库!$A$2:$Y$1047,MATCH(ROW()-1,装备库!$AO$2:$AO$1046,0),COLUMN()),"")</f>
        <v/>
      </c>
      <c r="G1159" t="str">
        <f>IFERROR(INDEX(装备库!$A$2:$Y$1047,MATCH(ROW()-1,装备库!$AO$2:$AO$1046,0),COLUMN()),"")</f>
        <v/>
      </c>
      <c r="H1159" t="str">
        <f>IFERROR(INDEX(装备库!$A$2:$Y$1047,MATCH(ROW()-1,装备库!$AO$2:$AO$1046,0),COLUMN()),"")</f>
        <v/>
      </c>
      <c r="I1159" t="str">
        <f>IFERROR(INDEX(装备库!$A$2:$Y$1047,MATCH(ROW()-1,装备库!$AO$2:$AO$1046,0),COLUMN()),"")</f>
        <v/>
      </c>
      <c r="J1159" t="str">
        <f>IFERROR(INDEX(装备库!$A$2:$Y$1047,MATCH(ROW()-1,装备库!$AO$2:$AO$1046,0),COLUMN()),"")</f>
        <v/>
      </c>
      <c r="K1159" t="str">
        <f>IFERROR(INDEX(装备库!$A$2:$Y$1047,MATCH(ROW()-1,装备库!$AO$2:$AO$1046,0),COLUMN()),"")</f>
        <v/>
      </c>
      <c r="L1159" t="str">
        <f>IFERROR(INDEX(装备库!$A$2:$Y$1047,MATCH(ROW()-1,装备库!$AO$2:$AO$1046,0),COLUMN()),"")</f>
        <v/>
      </c>
      <c r="M1159" t="str">
        <f>IFERROR(INDEX(装备库!$A$2:$Y$1047,MATCH(ROW()-1,装备库!$AO$2:$AO$1046,0),COLUMN()),"")</f>
        <v/>
      </c>
      <c r="N1159" t="str">
        <f>IFERROR(INDEX(装备库!$A$2:$Y$1047,MATCH(ROW()-1,装备库!$AO$2:$AO$1046,0),COLUMN()),"")</f>
        <v/>
      </c>
      <c r="O1159" t="str">
        <f>IFERROR(INDEX(装备库!$A$2:$Y$1047,MATCH(ROW()-1,装备库!$AO$2:$AO$1046,0),COLUMN()),"")</f>
        <v/>
      </c>
      <c r="P1159" t="str">
        <f>IFERROR(INDEX(装备库!$A$2:$Y$1047,MATCH(ROW()-1,装备库!$AO$2:$AO$1046,0),COLUMN()),"")</f>
        <v/>
      </c>
      <c r="Q1159" t="str">
        <f>IFERROR(INDEX(装备库!$A$2:$Y$1047,MATCH(ROW()-1,装备库!$AO$2:$AO$1046,0),COLUMN()),"")</f>
        <v/>
      </c>
      <c r="R1159" t="str">
        <f>IFERROR(INDEX(装备库!$A$2:$Y$1047,MATCH(ROW()-1,装备库!$AO$2:$AO$1046,0),COLUMN()),"")</f>
        <v/>
      </c>
      <c r="S1159" t="str">
        <f>IFERROR(INDEX(装备库!$A$2:$Y$1047,MATCH(ROW()-1,装备库!$AO$2:$AO$1046,0),COLUMN()),"")</f>
        <v/>
      </c>
      <c r="T1159" t="str">
        <f>IFERROR(INDEX(装备库!$A$2:$Y$1047,MATCH(ROW()-1,装备库!$AO$2:$AO$1046,0),COLUMN()),"")</f>
        <v/>
      </c>
      <c r="U1159" t="str">
        <f>IFERROR(INDEX(装备库!$A$2:$Y$1047,MATCH(ROW()-1,装备库!$AO$2:$AO$1046,0),COLUMN()),"")</f>
        <v/>
      </c>
      <c r="V1159" t="str">
        <f>IFERROR(INDEX(装备库!$A$2:$Y$1047,MATCH(ROW()-1,装备库!$AO$2:$AO$1046,0),COLUMN()),"")</f>
        <v/>
      </c>
      <c r="W1159" t="str">
        <f>IFERROR(INDEX(装备库!$A$2:$Y$1047,MATCH(ROW()-1,装备库!$AO$2:$AO$1046,0),COLUMN()),"")</f>
        <v/>
      </c>
      <c r="X1159" t="str">
        <f>IFERROR(INDEX(装备库!$A$2:$Y$1047,MATCH(ROW()-1,装备库!$AO$2:$AO$1046,0),COLUMN()),"")</f>
        <v/>
      </c>
      <c r="Y1159" t="str">
        <f>IFERROR(INDEX(装备库!$A$2:$Y$1047,MATCH(ROW()-1,装备库!$AO$2:$AO$1046,0),COLUMN()),"")</f>
        <v/>
      </c>
    </row>
    <row r="1160" spans="1:25" x14ac:dyDescent="0.35">
      <c r="A1160" t="str">
        <f>IFERROR(INDEX(装备库!$A$2:$Y$1047,MATCH(ROW()-1,装备库!$AO$2:$AO$1046,0),COLUMN()),"")</f>
        <v/>
      </c>
      <c r="B1160" t="str">
        <f>IFERROR(INDEX(装备库!$A$2:$Y$1047,MATCH(ROW()-1,装备库!$AO$2:$AO$1046,0),COLUMN()),"")</f>
        <v/>
      </c>
      <c r="C1160" t="str">
        <f>IFERROR(INDEX(装备库!$A$2:$Y$1047,MATCH(ROW()-1,装备库!$AO$2:$AO$1046,0),COLUMN()),"")</f>
        <v/>
      </c>
      <c r="D1160" t="str">
        <f>IFERROR(INDEX(装备库!$A$2:$Y$1047,MATCH(ROW()-1,装备库!$AO$2:$AO$1046,0),COLUMN()),"")</f>
        <v/>
      </c>
      <c r="E1160" t="str">
        <f>IFERROR(INDEX(装备库!$A$2:$Y$1047,MATCH(ROW()-1,装备库!$AO$2:$AO$1046,0),COLUMN()),"")</f>
        <v/>
      </c>
      <c r="F1160" t="str">
        <f>IFERROR(INDEX(装备库!$A$2:$Y$1047,MATCH(ROW()-1,装备库!$AO$2:$AO$1046,0),COLUMN()),"")</f>
        <v/>
      </c>
      <c r="G1160" t="str">
        <f>IFERROR(INDEX(装备库!$A$2:$Y$1047,MATCH(ROW()-1,装备库!$AO$2:$AO$1046,0),COLUMN()),"")</f>
        <v/>
      </c>
      <c r="H1160" t="str">
        <f>IFERROR(INDEX(装备库!$A$2:$Y$1047,MATCH(ROW()-1,装备库!$AO$2:$AO$1046,0),COLUMN()),"")</f>
        <v/>
      </c>
      <c r="I1160" t="str">
        <f>IFERROR(INDEX(装备库!$A$2:$Y$1047,MATCH(ROW()-1,装备库!$AO$2:$AO$1046,0),COLUMN()),"")</f>
        <v/>
      </c>
      <c r="J1160" t="str">
        <f>IFERROR(INDEX(装备库!$A$2:$Y$1047,MATCH(ROW()-1,装备库!$AO$2:$AO$1046,0),COLUMN()),"")</f>
        <v/>
      </c>
      <c r="K1160" t="str">
        <f>IFERROR(INDEX(装备库!$A$2:$Y$1047,MATCH(ROW()-1,装备库!$AO$2:$AO$1046,0),COLUMN()),"")</f>
        <v/>
      </c>
      <c r="L1160" t="str">
        <f>IFERROR(INDEX(装备库!$A$2:$Y$1047,MATCH(ROW()-1,装备库!$AO$2:$AO$1046,0),COLUMN()),"")</f>
        <v/>
      </c>
      <c r="M1160" t="str">
        <f>IFERROR(INDEX(装备库!$A$2:$Y$1047,MATCH(ROW()-1,装备库!$AO$2:$AO$1046,0),COLUMN()),"")</f>
        <v/>
      </c>
      <c r="N1160" t="str">
        <f>IFERROR(INDEX(装备库!$A$2:$Y$1047,MATCH(ROW()-1,装备库!$AO$2:$AO$1046,0),COLUMN()),"")</f>
        <v/>
      </c>
      <c r="O1160" t="str">
        <f>IFERROR(INDEX(装备库!$A$2:$Y$1047,MATCH(ROW()-1,装备库!$AO$2:$AO$1046,0),COLUMN()),"")</f>
        <v/>
      </c>
      <c r="P1160" t="str">
        <f>IFERROR(INDEX(装备库!$A$2:$Y$1047,MATCH(ROW()-1,装备库!$AO$2:$AO$1046,0),COLUMN()),"")</f>
        <v/>
      </c>
      <c r="Q1160" t="str">
        <f>IFERROR(INDEX(装备库!$A$2:$Y$1047,MATCH(ROW()-1,装备库!$AO$2:$AO$1046,0),COLUMN()),"")</f>
        <v/>
      </c>
      <c r="R1160" t="str">
        <f>IFERROR(INDEX(装备库!$A$2:$Y$1047,MATCH(ROW()-1,装备库!$AO$2:$AO$1046,0),COLUMN()),"")</f>
        <v/>
      </c>
      <c r="S1160" t="str">
        <f>IFERROR(INDEX(装备库!$A$2:$Y$1047,MATCH(ROW()-1,装备库!$AO$2:$AO$1046,0),COLUMN()),"")</f>
        <v/>
      </c>
      <c r="T1160" t="str">
        <f>IFERROR(INDEX(装备库!$A$2:$Y$1047,MATCH(ROW()-1,装备库!$AO$2:$AO$1046,0),COLUMN()),"")</f>
        <v/>
      </c>
      <c r="U1160" t="str">
        <f>IFERROR(INDEX(装备库!$A$2:$Y$1047,MATCH(ROW()-1,装备库!$AO$2:$AO$1046,0),COLUMN()),"")</f>
        <v/>
      </c>
      <c r="V1160" t="str">
        <f>IFERROR(INDEX(装备库!$A$2:$Y$1047,MATCH(ROW()-1,装备库!$AO$2:$AO$1046,0),COLUMN()),"")</f>
        <v/>
      </c>
      <c r="W1160" t="str">
        <f>IFERROR(INDEX(装备库!$A$2:$Y$1047,MATCH(ROW()-1,装备库!$AO$2:$AO$1046,0),COLUMN()),"")</f>
        <v/>
      </c>
      <c r="X1160" t="str">
        <f>IFERROR(INDEX(装备库!$A$2:$Y$1047,MATCH(ROW()-1,装备库!$AO$2:$AO$1046,0),COLUMN()),"")</f>
        <v/>
      </c>
      <c r="Y1160" t="str">
        <f>IFERROR(INDEX(装备库!$A$2:$Y$1047,MATCH(ROW()-1,装备库!$AO$2:$AO$1046,0),COLUMN()),"")</f>
        <v/>
      </c>
    </row>
    <row r="1161" spans="1:25" x14ac:dyDescent="0.35">
      <c r="A1161" t="str">
        <f>IFERROR(INDEX(装备库!$A$2:$Y$1047,MATCH(ROW()-1,装备库!$AO$2:$AO$1046,0),COLUMN()),"")</f>
        <v/>
      </c>
      <c r="B1161" t="str">
        <f>IFERROR(INDEX(装备库!$A$2:$Y$1047,MATCH(ROW()-1,装备库!$AO$2:$AO$1046,0),COLUMN()),"")</f>
        <v/>
      </c>
      <c r="C1161" t="str">
        <f>IFERROR(INDEX(装备库!$A$2:$Y$1047,MATCH(ROW()-1,装备库!$AO$2:$AO$1046,0),COLUMN()),"")</f>
        <v/>
      </c>
      <c r="D1161" t="str">
        <f>IFERROR(INDEX(装备库!$A$2:$Y$1047,MATCH(ROW()-1,装备库!$AO$2:$AO$1046,0),COLUMN()),"")</f>
        <v/>
      </c>
      <c r="E1161" t="str">
        <f>IFERROR(INDEX(装备库!$A$2:$Y$1047,MATCH(ROW()-1,装备库!$AO$2:$AO$1046,0),COLUMN()),"")</f>
        <v/>
      </c>
      <c r="F1161" t="str">
        <f>IFERROR(INDEX(装备库!$A$2:$Y$1047,MATCH(ROW()-1,装备库!$AO$2:$AO$1046,0),COLUMN()),"")</f>
        <v/>
      </c>
      <c r="G1161" t="str">
        <f>IFERROR(INDEX(装备库!$A$2:$Y$1047,MATCH(ROW()-1,装备库!$AO$2:$AO$1046,0),COLUMN()),"")</f>
        <v/>
      </c>
      <c r="H1161" t="str">
        <f>IFERROR(INDEX(装备库!$A$2:$Y$1047,MATCH(ROW()-1,装备库!$AO$2:$AO$1046,0),COLUMN()),"")</f>
        <v/>
      </c>
      <c r="I1161" t="str">
        <f>IFERROR(INDEX(装备库!$A$2:$Y$1047,MATCH(ROW()-1,装备库!$AO$2:$AO$1046,0),COLUMN()),"")</f>
        <v/>
      </c>
      <c r="J1161" t="str">
        <f>IFERROR(INDEX(装备库!$A$2:$Y$1047,MATCH(ROW()-1,装备库!$AO$2:$AO$1046,0),COLUMN()),"")</f>
        <v/>
      </c>
      <c r="K1161" t="str">
        <f>IFERROR(INDEX(装备库!$A$2:$Y$1047,MATCH(ROW()-1,装备库!$AO$2:$AO$1046,0),COLUMN()),"")</f>
        <v/>
      </c>
      <c r="L1161" t="str">
        <f>IFERROR(INDEX(装备库!$A$2:$Y$1047,MATCH(ROW()-1,装备库!$AO$2:$AO$1046,0),COLUMN()),"")</f>
        <v/>
      </c>
      <c r="M1161" t="str">
        <f>IFERROR(INDEX(装备库!$A$2:$Y$1047,MATCH(ROW()-1,装备库!$AO$2:$AO$1046,0),COLUMN()),"")</f>
        <v/>
      </c>
      <c r="N1161" t="str">
        <f>IFERROR(INDEX(装备库!$A$2:$Y$1047,MATCH(ROW()-1,装备库!$AO$2:$AO$1046,0),COLUMN()),"")</f>
        <v/>
      </c>
      <c r="O1161" t="str">
        <f>IFERROR(INDEX(装备库!$A$2:$Y$1047,MATCH(ROW()-1,装备库!$AO$2:$AO$1046,0),COLUMN()),"")</f>
        <v/>
      </c>
      <c r="P1161" t="str">
        <f>IFERROR(INDEX(装备库!$A$2:$Y$1047,MATCH(ROW()-1,装备库!$AO$2:$AO$1046,0),COLUMN()),"")</f>
        <v/>
      </c>
      <c r="Q1161" t="str">
        <f>IFERROR(INDEX(装备库!$A$2:$Y$1047,MATCH(ROW()-1,装备库!$AO$2:$AO$1046,0),COLUMN()),"")</f>
        <v/>
      </c>
      <c r="R1161" t="str">
        <f>IFERROR(INDEX(装备库!$A$2:$Y$1047,MATCH(ROW()-1,装备库!$AO$2:$AO$1046,0),COLUMN()),"")</f>
        <v/>
      </c>
      <c r="S1161" t="str">
        <f>IFERROR(INDEX(装备库!$A$2:$Y$1047,MATCH(ROW()-1,装备库!$AO$2:$AO$1046,0),COLUMN()),"")</f>
        <v/>
      </c>
      <c r="T1161" t="str">
        <f>IFERROR(INDEX(装备库!$A$2:$Y$1047,MATCH(ROW()-1,装备库!$AO$2:$AO$1046,0),COLUMN()),"")</f>
        <v/>
      </c>
      <c r="U1161" t="str">
        <f>IFERROR(INDEX(装备库!$A$2:$Y$1047,MATCH(ROW()-1,装备库!$AO$2:$AO$1046,0),COLUMN()),"")</f>
        <v/>
      </c>
      <c r="V1161" t="str">
        <f>IFERROR(INDEX(装备库!$A$2:$Y$1047,MATCH(ROW()-1,装备库!$AO$2:$AO$1046,0),COLUMN()),"")</f>
        <v/>
      </c>
      <c r="W1161" t="str">
        <f>IFERROR(INDEX(装备库!$A$2:$Y$1047,MATCH(ROW()-1,装备库!$AO$2:$AO$1046,0),COLUMN()),"")</f>
        <v/>
      </c>
      <c r="X1161" t="str">
        <f>IFERROR(INDEX(装备库!$A$2:$Y$1047,MATCH(ROW()-1,装备库!$AO$2:$AO$1046,0),COLUMN()),"")</f>
        <v/>
      </c>
      <c r="Y1161" t="str">
        <f>IFERROR(INDEX(装备库!$A$2:$Y$1047,MATCH(ROW()-1,装备库!$AO$2:$AO$1046,0),COLUMN()),"")</f>
        <v/>
      </c>
    </row>
    <row r="1162" spans="1:25" x14ac:dyDescent="0.35">
      <c r="A1162" t="str">
        <f>IFERROR(INDEX(装备库!$A$2:$Y$1047,MATCH(ROW()-1,装备库!$AO$2:$AO$1046,0),COLUMN()),"")</f>
        <v/>
      </c>
      <c r="B1162" t="str">
        <f>IFERROR(INDEX(装备库!$A$2:$Y$1047,MATCH(ROW()-1,装备库!$AO$2:$AO$1046,0),COLUMN()),"")</f>
        <v/>
      </c>
      <c r="C1162" t="str">
        <f>IFERROR(INDEX(装备库!$A$2:$Y$1047,MATCH(ROW()-1,装备库!$AO$2:$AO$1046,0),COLUMN()),"")</f>
        <v/>
      </c>
      <c r="D1162" t="str">
        <f>IFERROR(INDEX(装备库!$A$2:$Y$1047,MATCH(ROW()-1,装备库!$AO$2:$AO$1046,0),COLUMN()),"")</f>
        <v/>
      </c>
      <c r="E1162" t="str">
        <f>IFERROR(INDEX(装备库!$A$2:$Y$1047,MATCH(ROW()-1,装备库!$AO$2:$AO$1046,0),COLUMN()),"")</f>
        <v/>
      </c>
      <c r="F1162" t="str">
        <f>IFERROR(INDEX(装备库!$A$2:$Y$1047,MATCH(ROW()-1,装备库!$AO$2:$AO$1046,0),COLUMN()),"")</f>
        <v/>
      </c>
      <c r="G1162" t="str">
        <f>IFERROR(INDEX(装备库!$A$2:$Y$1047,MATCH(ROW()-1,装备库!$AO$2:$AO$1046,0),COLUMN()),"")</f>
        <v/>
      </c>
      <c r="H1162" t="str">
        <f>IFERROR(INDEX(装备库!$A$2:$Y$1047,MATCH(ROW()-1,装备库!$AO$2:$AO$1046,0),COLUMN()),"")</f>
        <v/>
      </c>
      <c r="I1162" t="str">
        <f>IFERROR(INDEX(装备库!$A$2:$Y$1047,MATCH(ROW()-1,装备库!$AO$2:$AO$1046,0),COLUMN()),"")</f>
        <v/>
      </c>
      <c r="J1162" t="str">
        <f>IFERROR(INDEX(装备库!$A$2:$Y$1047,MATCH(ROW()-1,装备库!$AO$2:$AO$1046,0),COLUMN()),"")</f>
        <v/>
      </c>
      <c r="K1162" t="str">
        <f>IFERROR(INDEX(装备库!$A$2:$Y$1047,MATCH(ROW()-1,装备库!$AO$2:$AO$1046,0),COLUMN()),"")</f>
        <v/>
      </c>
      <c r="L1162" t="str">
        <f>IFERROR(INDEX(装备库!$A$2:$Y$1047,MATCH(ROW()-1,装备库!$AO$2:$AO$1046,0),COLUMN()),"")</f>
        <v/>
      </c>
      <c r="M1162" t="str">
        <f>IFERROR(INDEX(装备库!$A$2:$Y$1047,MATCH(ROW()-1,装备库!$AO$2:$AO$1046,0),COLUMN()),"")</f>
        <v/>
      </c>
      <c r="N1162" t="str">
        <f>IFERROR(INDEX(装备库!$A$2:$Y$1047,MATCH(ROW()-1,装备库!$AO$2:$AO$1046,0),COLUMN()),"")</f>
        <v/>
      </c>
      <c r="O1162" t="str">
        <f>IFERROR(INDEX(装备库!$A$2:$Y$1047,MATCH(ROW()-1,装备库!$AO$2:$AO$1046,0),COLUMN()),"")</f>
        <v/>
      </c>
      <c r="P1162" t="str">
        <f>IFERROR(INDEX(装备库!$A$2:$Y$1047,MATCH(ROW()-1,装备库!$AO$2:$AO$1046,0),COLUMN()),"")</f>
        <v/>
      </c>
      <c r="Q1162" t="str">
        <f>IFERROR(INDEX(装备库!$A$2:$Y$1047,MATCH(ROW()-1,装备库!$AO$2:$AO$1046,0),COLUMN()),"")</f>
        <v/>
      </c>
      <c r="R1162" t="str">
        <f>IFERROR(INDEX(装备库!$A$2:$Y$1047,MATCH(ROW()-1,装备库!$AO$2:$AO$1046,0),COLUMN()),"")</f>
        <v/>
      </c>
      <c r="S1162" t="str">
        <f>IFERROR(INDEX(装备库!$A$2:$Y$1047,MATCH(ROW()-1,装备库!$AO$2:$AO$1046,0),COLUMN()),"")</f>
        <v/>
      </c>
      <c r="T1162" t="str">
        <f>IFERROR(INDEX(装备库!$A$2:$Y$1047,MATCH(ROW()-1,装备库!$AO$2:$AO$1046,0),COLUMN()),"")</f>
        <v/>
      </c>
      <c r="U1162" t="str">
        <f>IFERROR(INDEX(装备库!$A$2:$Y$1047,MATCH(ROW()-1,装备库!$AO$2:$AO$1046,0),COLUMN()),"")</f>
        <v/>
      </c>
      <c r="V1162" t="str">
        <f>IFERROR(INDEX(装备库!$A$2:$Y$1047,MATCH(ROW()-1,装备库!$AO$2:$AO$1046,0),COLUMN()),"")</f>
        <v/>
      </c>
      <c r="W1162" t="str">
        <f>IFERROR(INDEX(装备库!$A$2:$Y$1047,MATCH(ROW()-1,装备库!$AO$2:$AO$1046,0),COLUMN()),"")</f>
        <v/>
      </c>
      <c r="X1162" t="str">
        <f>IFERROR(INDEX(装备库!$A$2:$Y$1047,MATCH(ROW()-1,装备库!$AO$2:$AO$1046,0),COLUMN()),"")</f>
        <v/>
      </c>
      <c r="Y1162" t="str">
        <f>IFERROR(INDEX(装备库!$A$2:$Y$1047,MATCH(ROW()-1,装备库!$AO$2:$AO$1046,0),COLUMN()),"")</f>
        <v/>
      </c>
    </row>
    <row r="1163" spans="1:25" x14ac:dyDescent="0.35">
      <c r="A1163" t="str">
        <f>IFERROR(INDEX(装备库!$A$2:$Y$1047,MATCH(ROW()-1,装备库!$AO$2:$AO$1046,0),COLUMN()),"")</f>
        <v/>
      </c>
      <c r="B1163" t="str">
        <f>IFERROR(INDEX(装备库!$A$2:$Y$1047,MATCH(ROW()-1,装备库!$AO$2:$AO$1046,0),COLUMN()),"")</f>
        <v/>
      </c>
      <c r="C1163" t="str">
        <f>IFERROR(INDEX(装备库!$A$2:$Y$1047,MATCH(ROW()-1,装备库!$AO$2:$AO$1046,0),COLUMN()),"")</f>
        <v/>
      </c>
      <c r="D1163" t="str">
        <f>IFERROR(INDEX(装备库!$A$2:$Y$1047,MATCH(ROW()-1,装备库!$AO$2:$AO$1046,0),COLUMN()),"")</f>
        <v/>
      </c>
      <c r="E1163" t="str">
        <f>IFERROR(INDEX(装备库!$A$2:$Y$1047,MATCH(ROW()-1,装备库!$AO$2:$AO$1046,0),COLUMN()),"")</f>
        <v/>
      </c>
      <c r="F1163" t="str">
        <f>IFERROR(INDEX(装备库!$A$2:$Y$1047,MATCH(ROW()-1,装备库!$AO$2:$AO$1046,0),COLUMN()),"")</f>
        <v/>
      </c>
      <c r="G1163" t="str">
        <f>IFERROR(INDEX(装备库!$A$2:$Y$1047,MATCH(ROW()-1,装备库!$AO$2:$AO$1046,0),COLUMN()),"")</f>
        <v/>
      </c>
      <c r="H1163" t="str">
        <f>IFERROR(INDEX(装备库!$A$2:$Y$1047,MATCH(ROW()-1,装备库!$AO$2:$AO$1046,0),COLUMN()),"")</f>
        <v/>
      </c>
      <c r="I1163" t="str">
        <f>IFERROR(INDEX(装备库!$A$2:$Y$1047,MATCH(ROW()-1,装备库!$AO$2:$AO$1046,0),COLUMN()),"")</f>
        <v/>
      </c>
      <c r="J1163" t="str">
        <f>IFERROR(INDEX(装备库!$A$2:$Y$1047,MATCH(ROW()-1,装备库!$AO$2:$AO$1046,0),COLUMN()),"")</f>
        <v/>
      </c>
      <c r="K1163" t="str">
        <f>IFERROR(INDEX(装备库!$A$2:$Y$1047,MATCH(ROW()-1,装备库!$AO$2:$AO$1046,0),COLUMN()),"")</f>
        <v/>
      </c>
      <c r="L1163" t="str">
        <f>IFERROR(INDEX(装备库!$A$2:$Y$1047,MATCH(ROW()-1,装备库!$AO$2:$AO$1046,0),COLUMN()),"")</f>
        <v/>
      </c>
      <c r="M1163" t="str">
        <f>IFERROR(INDEX(装备库!$A$2:$Y$1047,MATCH(ROW()-1,装备库!$AO$2:$AO$1046,0),COLUMN()),"")</f>
        <v/>
      </c>
      <c r="N1163" t="str">
        <f>IFERROR(INDEX(装备库!$A$2:$Y$1047,MATCH(ROW()-1,装备库!$AO$2:$AO$1046,0),COLUMN()),"")</f>
        <v/>
      </c>
      <c r="O1163" t="str">
        <f>IFERROR(INDEX(装备库!$A$2:$Y$1047,MATCH(ROW()-1,装备库!$AO$2:$AO$1046,0),COLUMN()),"")</f>
        <v/>
      </c>
      <c r="P1163" t="str">
        <f>IFERROR(INDEX(装备库!$A$2:$Y$1047,MATCH(ROW()-1,装备库!$AO$2:$AO$1046,0),COLUMN()),"")</f>
        <v/>
      </c>
      <c r="Q1163" t="str">
        <f>IFERROR(INDEX(装备库!$A$2:$Y$1047,MATCH(ROW()-1,装备库!$AO$2:$AO$1046,0),COLUMN()),"")</f>
        <v/>
      </c>
      <c r="R1163" t="str">
        <f>IFERROR(INDEX(装备库!$A$2:$Y$1047,MATCH(ROW()-1,装备库!$AO$2:$AO$1046,0),COLUMN()),"")</f>
        <v/>
      </c>
      <c r="S1163" t="str">
        <f>IFERROR(INDEX(装备库!$A$2:$Y$1047,MATCH(ROW()-1,装备库!$AO$2:$AO$1046,0),COLUMN()),"")</f>
        <v/>
      </c>
      <c r="T1163" t="str">
        <f>IFERROR(INDEX(装备库!$A$2:$Y$1047,MATCH(ROW()-1,装备库!$AO$2:$AO$1046,0),COLUMN()),"")</f>
        <v/>
      </c>
      <c r="U1163" t="str">
        <f>IFERROR(INDEX(装备库!$A$2:$Y$1047,MATCH(ROW()-1,装备库!$AO$2:$AO$1046,0),COLUMN()),"")</f>
        <v/>
      </c>
      <c r="V1163" t="str">
        <f>IFERROR(INDEX(装备库!$A$2:$Y$1047,MATCH(ROW()-1,装备库!$AO$2:$AO$1046,0),COLUMN()),"")</f>
        <v/>
      </c>
      <c r="W1163" t="str">
        <f>IFERROR(INDEX(装备库!$A$2:$Y$1047,MATCH(ROW()-1,装备库!$AO$2:$AO$1046,0),COLUMN()),"")</f>
        <v/>
      </c>
      <c r="X1163" t="str">
        <f>IFERROR(INDEX(装备库!$A$2:$Y$1047,MATCH(ROW()-1,装备库!$AO$2:$AO$1046,0),COLUMN()),"")</f>
        <v/>
      </c>
      <c r="Y1163" t="str">
        <f>IFERROR(INDEX(装备库!$A$2:$Y$1047,MATCH(ROW()-1,装备库!$AO$2:$AO$1046,0),COLUMN()),"")</f>
        <v/>
      </c>
    </row>
    <row r="1164" spans="1:25" x14ac:dyDescent="0.35">
      <c r="A1164" t="str">
        <f>IFERROR(INDEX(装备库!$A$2:$Y$1047,MATCH(ROW()-1,装备库!$AO$2:$AO$1046,0),COLUMN()),"")</f>
        <v/>
      </c>
      <c r="B1164" t="str">
        <f>IFERROR(INDEX(装备库!$A$2:$Y$1047,MATCH(ROW()-1,装备库!$AO$2:$AO$1046,0),COLUMN()),"")</f>
        <v/>
      </c>
      <c r="C1164" t="str">
        <f>IFERROR(INDEX(装备库!$A$2:$Y$1047,MATCH(ROW()-1,装备库!$AO$2:$AO$1046,0),COLUMN()),"")</f>
        <v/>
      </c>
      <c r="D1164" t="str">
        <f>IFERROR(INDEX(装备库!$A$2:$Y$1047,MATCH(ROW()-1,装备库!$AO$2:$AO$1046,0),COLUMN()),"")</f>
        <v/>
      </c>
      <c r="E1164" t="str">
        <f>IFERROR(INDEX(装备库!$A$2:$Y$1047,MATCH(ROW()-1,装备库!$AO$2:$AO$1046,0),COLUMN()),"")</f>
        <v/>
      </c>
      <c r="F1164" t="str">
        <f>IFERROR(INDEX(装备库!$A$2:$Y$1047,MATCH(ROW()-1,装备库!$AO$2:$AO$1046,0),COLUMN()),"")</f>
        <v/>
      </c>
      <c r="G1164" t="str">
        <f>IFERROR(INDEX(装备库!$A$2:$Y$1047,MATCH(ROW()-1,装备库!$AO$2:$AO$1046,0),COLUMN()),"")</f>
        <v/>
      </c>
      <c r="H1164" t="str">
        <f>IFERROR(INDEX(装备库!$A$2:$Y$1047,MATCH(ROW()-1,装备库!$AO$2:$AO$1046,0),COLUMN()),"")</f>
        <v/>
      </c>
      <c r="I1164" t="str">
        <f>IFERROR(INDEX(装备库!$A$2:$Y$1047,MATCH(ROW()-1,装备库!$AO$2:$AO$1046,0),COLUMN()),"")</f>
        <v/>
      </c>
      <c r="J1164" t="str">
        <f>IFERROR(INDEX(装备库!$A$2:$Y$1047,MATCH(ROW()-1,装备库!$AO$2:$AO$1046,0),COLUMN()),"")</f>
        <v/>
      </c>
      <c r="K1164" t="str">
        <f>IFERROR(INDEX(装备库!$A$2:$Y$1047,MATCH(ROW()-1,装备库!$AO$2:$AO$1046,0),COLUMN()),"")</f>
        <v/>
      </c>
      <c r="L1164" t="str">
        <f>IFERROR(INDEX(装备库!$A$2:$Y$1047,MATCH(ROW()-1,装备库!$AO$2:$AO$1046,0),COLUMN()),"")</f>
        <v/>
      </c>
      <c r="M1164" t="str">
        <f>IFERROR(INDEX(装备库!$A$2:$Y$1047,MATCH(ROW()-1,装备库!$AO$2:$AO$1046,0),COLUMN()),"")</f>
        <v/>
      </c>
      <c r="N1164" t="str">
        <f>IFERROR(INDEX(装备库!$A$2:$Y$1047,MATCH(ROW()-1,装备库!$AO$2:$AO$1046,0),COLUMN()),"")</f>
        <v/>
      </c>
      <c r="O1164" t="str">
        <f>IFERROR(INDEX(装备库!$A$2:$Y$1047,MATCH(ROW()-1,装备库!$AO$2:$AO$1046,0),COLUMN()),"")</f>
        <v/>
      </c>
      <c r="P1164" t="str">
        <f>IFERROR(INDEX(装备库!$A$2:$Y$1047,MATCH(ROW()-1,装备库!$AO$2:$AO$1046,0),COLUMN()),"")</f>
        <v/>
      </c>
      <c r="Q1164" t="str">
        <f>IFERROR(INDEX(装备库!$A$2:$Y$1047,MATCH(ROW()-1,装备库!$AO$2:$AO$1046,0),COLUMN()),"")</f>
        <v/>
      </c>
      <c r="R1164" t="str">
        <f>IFERROR(INDEX(装备库!$A$2:$Y$1047,MATCH(ROW()-1,装备库!$AO$2:$AO$1046,0),COLUMN()),"")</f>
        <v/>
      </c>
      <c r="S1164" t="str">
        <f>IFERROR(INDEX(装备库!$A$2:$Y$1047,MATCH(ROW()-1,装备库!$AO$2:$AO$1046,0),COLUMN()),"")</f>
        <v/>
      </c>
      <c r="T1164" t="str">
        <f>IFERROR(INDEX(装备库!$A$2:$Y$1047,MATCH(ROW()-1,装备库!$AO$2:$AO$1046,0),COLUMN()),"")</f>
        <v/>
      </c>
      <c r="U1164" t="str">
        <f>IFERROR(INDEX(装备库!$A$2:$Y$1047,MATCH(ROW()-1,装备库!$AO$2:$AO$1046,0),COLUMN()),"")</f>
        <v/>
      </c>
      <c r="V1164" t="str">
        <f>IFERROR(INDEX(装备库!$A$2:$Y$1047,MATCH(ROW()-1,装备库!$AO$2:$AO$1046,0),COLUMN()),"")</f>
        <v/>
      </c>
      <c r="W1164" t="str">
        <f>IFERROR(INDEX(装备库!$A$2:$Y$1047,MATCH(ROW()-1,装备库!$AO$2:$AO$1046,0),COLUMN()),"")</f>
        <v/>
      </c>
      <c r="X1164" t="str">
        <f>IFERROR(INDEX(装备库!$A$2:$Y$1047,MATCH(ROW()-1,装备库!$AO$2:$AO$1046,0),COLUMN()),"")</f>
        <v/>
      </c>
      <c r="Y1164" t="str">
        <f>IFERROR(INDEX(装备库!$A$2:$Y$1047,MATCH(ROW()-1,装备库!$AO$2:$AO$1046,0),COLUMN()),"")</f>
        <v/>
      </c>
    </row>
    <row r="1165" spans="1:25" x14ac:dyDescent="0.35">
      <c r="A1165" t="str">
        <f>IFERROR(INDEX(装备库!$A$2:$Y$1047,MATCH(ROW()-1,装备库!$AO$2:$AO$1046,0),COLUMN()),"")</f>
        <v/>
      </c>
      <c r="B1165" t="str">
        <f>IFERROR(INDEX(装备库!$A$2:$Y$1047,MATCH(ROW()-1,装备库!$AO$2:$AO$1046,0),COLUMN()),"")</f>
        <v/>
      </c>
      <c r="C1165" t="str">
        <f>IFERROR(INDEX(装备库!$A$2:$Y$1047,MATCH(ROW()-1,装备库!$AO$2:$AO$1046,0),COLUMN()),"")</f>
        <v/>
      </c>
      <c r="D1165" t="str">
        <f>IFERROR(INDEX(装备库!$A$2:$Y$1047,MATCH(ROW()-1,装备库!$AO$2:$AO$1046,0),COLUMN()),"")</f>
        <v/>
      </c>
      <c r="E1165" t="str">
        <f>IFERROR(INDEX(装备库!$A$2:$Y$1047,MATCH(ROW()-1,装备库!$AO$2:$AO$1046,0),COLUMN()),"")</f>
        <v/>
      </c>
      <c r="F1165" t="str">
        <f>IFERROR(INDEX(装备库!$A$2:$Y$1047,MATCH(ROW()-1,装备库!$AO$2:$AO$1046,0),COLUMN()),"")</f>
        <v/>
      </c>
      <c r="G1165" t="str">
        <f>IFERROR(INDEX(装备库!$A$2:$Y$1047,MATCH(ROW()-1,装备库!$AO$2:$AO$1046,0),COLUMN()),"")</f>
        <v/>
      </c>
      <c r="H1165" t="str">
        <f>IFERROR(INDEX(装备库!$A$2:$Y$1047,MATCH(ROW()-1,装备库!$AO$2:$AO$1046,0),COLUMN()),"")</f>
        <v/>
      </c>
      <c r="I1165" t="str">
        <f>IFERROR(INDEX(装备库!$A$2:$Y$1047,MATCH(ROW()-1,装备库!$AO$2:$AO$1046,0),COLUMN()),"")</f>
        <v/>
      </c>
      <c r="J1165" t="str">
        <f>IFERROR(INDEX(装备库!$A$2:$Y$1047,MATCH(ROW()-1,装备库!$AO$2:$AO$1046,0),COLUMN()),"")</f>
        <v/>
      </c>
      <c r="K1165" t="str">
        <f>IFERROR(INDEX(装备库!$A$2:$Y$1047,MATCH(ROW()-1,装备库!$AO$2:$AO$1046,0),COLUMN()),"")</f>
        <v/>
      </c>
      <c r="L1165" t="str">
        <f>IFERROR(INDEX(装备库!$A$2:$Y$1047,MATCH(ROW()-1,装备库!$AO$2:$AO$1046,0),COLUMN()),"")</f>
        <v/>
      </c>
      <c r="M1165" t="str">
        <f>IFERROR(INDEX(装备库!$A$2:$Y$1047,MATCH(ROW()-1,装备库!$AO$2:$AO$1046,0),COLUMN()),"")</f>
        <v/>
      </c>
      <c r="N1165" t="str">
        <f>IFERROR(INDEX(装备库!$A$2:$Y$1047,MATCH(ROW()-1,装备库!$AO$2:$AO$1046,0),COLUMN()),"")</f>
        <v/>
      </c>
      <c r="O1165" t="str">
        <f>IFERROR(INDEX(装备库!$A$2:$Y$1047,MATCH(ROW()-1,装备库!$AO$2:$AO$1046,0),COLUMN()),"")</f>
        <v/>
      </c>
      <c r="P1165" t="str">
        <f>IFERROR(INDEX(装备库!$A$2:$Y$1047,MATCH(ROW()-1,装备库!$AO$2:$AO$1046,0),COLUMN()),"")</f>
        <v/>
      </c>
      <c r="Q1165" t="str">
        <f>IFERROR(INDEX(装备库!$A$2:$Y$1047,MATCH(ROW()-1,装备库!$AO$2:$AO$1046,0),COLUMN()),"")</f>
        <v/>
      </c>
      <c r="R1165" t="str">
        <f>IFERROR(INDEX(装备库!$A$2:$Y$1047,MATCH(ROW()-1,装备库!$AO$2:$AO$1046,0),COLUMN()),"")</f>
        <v/>
      </c>
      <c r="S1165" t="str">
        <f>IFERROR(INDEX(装备库!$A$2:$Y$1047,MATCH(ROW()-1,装备库!$AO$2:$AO$1046,0),COLUMN()),"")</f>
        <v/>
      </c>
      <c r="T1165" t="str">
        <f>IFERROR(INDEX(装备库!$A$2:$Y$1047,MATCH(ROW()-1,装备库!$AO$2:$AO$1046,0),COLUMN()),"")</f>
        <v/>
      </c>
      <c r="U1165" t="str">
        <f>IFERROR(INDEX(装备库!$A$2:$Y$1047,MATCH(ROW()-1,装备库!$AO$2:$AO$1046,0),COLUMN()),"")</f>
        <v/>
      </c>
      <c r="V1165" t="str">
        <f>IFERROR(INDEX(装备库!$A$2:$Y$1047,MATCH(ROW()-1,装备库!$AO$2:$AO$1046,0),COLUMN()),"")</f>
        <v/>
      </c>
      <c r="W1165" t="str">
        <f>IFERROR(INDEX(装备库!$A$2:$Y$1047,MATCH(ROW()-1,装备库!$AO$2:$AO$1046,0),COLUMN()),"")</f>
        <v/>
      </c>
      <c r="X1165" t="str">
        <f>IFERROR(INDEX(装备库!$A$2:$Y$1047,MATCH(ROW()-1,装备库!$AO$2:$AO$1046,0),COLUMN()),"")</f>
        <v/>
      </c>
      <c r="Y1165" t="str">
        <f>IFERROR(INDEX(装备库!$A$2:$Y$1047,MATCH(ROW()-1,装备库!$AO$2:$AO$1046,0),COLUMN()),"")</f>
        <v/>
      </c>
    </row>
    <row r="1166" spans="1:25" x14ac:dyDescent="0.35">
      <c r="A1166" t="str">
        <f>IFERROR(INDEX(装备库!$A$2:$Y$1047,MATCH(ROW()-1,装备库!$AO$2:$AO$1046,0),COLUMN()),"")</f>
        <v/>
      </c>
      <c r="B1166" t="str">
        <f>IFERROR(INDEX(装备库!$A$2:$Y$1047,MATCH(ROW()-1,装备库!$AO$2:$AO$1046,0),COLUMN()),"")</f>
        <v/>
      </c>
      <c r="C1166" t="str">
        <f>IFERROR(INDEX(装备库!$A$2:$Y$1047,MATCH(ROW()-1,装备库!$AO$2:$AO$1046,0),COLUMN()),"")</f>
        <v/>
      </c>
      <c r="D1166" t="str">
        <f>IFERROR(INDEX(装备库!$A$2:$Y$1047,MATCH(ROW()-1,装备库!$AO$2:$AO$1046,0),COLUMN()),"")</f>
        <v/>
      </c>
      <c r="E1166" t="str">
        <f>IFERROR(INDEX(装备库!$A$2:$Y$1047,MATCH(ROW()-1,装备库!$AO$2:$AO$1046,0),COLUMN()),"")</f>
        <v/>
      </c>
      <c r="F1166" t="str">
        <f>IFERROR(INDEX(装备库!$A$2:$Y$1047,MATCH(ROW()-1,装备库!$AO$2:$AO$1046,0),COLUMN()),"")</f>
        <v/>
      </c>
      <c r="G1166" t="str">
        <f>IFERROR(INDEX(装备库!$A$2:$Y$1047,MATCH(ROW()-1,装备库!$AO$2:$AO$1046,0),COLUMN()),"")</f>
        <v/>
      </c>
      <c r="H1166" t="str">
        <f>IFERROR(INDEX(装备库!$A$2:$Y$1047,MATCH(ROW()-1,装备库!$AO$2:$AO$1046,0),COLUMN()),"")</f>
        <v/>
      </c>
      <c r="I1166" t="str">
        <f>IFERROR(INDEX(装备库!$A$2:$Y$1047,MATCH(ROW()-1,装备库!$AO$2:$AO$1046,0),COLUMN()),"")</f>
        <v/>
      </c>
      <c r="J1166" t="str">
        <f>IFERROR(INDEX(装备库!$A$2:$Y$1047,MATCH(ROW()-1,装备库!$AO$2:$AO$1046,0),COLUMN()),"")</f>
        <v/>
      </c>
      <c r="K1166" t="str">
        <f>IFERROR(INDEX(装备库!$A$2:$Y$1047,MATCH(ROW()-1,装备库!$AO$2:$AO$1046,0),COLUMN()),"")</f>
        <v/>
      </c>
      <c r="L1166" t="str">
        <f>IFERROR(INDEX(装备库!$A$2:$Y$1047,MATCH(ROW()-1,装备库!$AO$2:$AO$1046,0),COLUMN()),"")</f>
        <v/>
      </c>
      <c r="M1166" t="str">
        <f>IFERROR(INDEX(装备库!$A$2:$Y$1047,MATCH(ROW()-1,装备库!$AO$2:$AO$1046,0),COLUMN()),"")</f>
        <v/>
      </c>
      <c r="N1166" t="str">
        <f>IFERROR(INDEX(装备库!$A$2:$Y$1047,MATCH(ROW()-1,装备库!$AO$2:$AO$1046,0),COLUMN()),"")</f>
        <v/>
      </c>
      <c r="O1166" t="str">
        <f>IFERROR(INDEX(装备库!$A$2:$Y$1047,MATCH(ROW()-1,装备库!$AO$2:$AO$1046,0),COLUMN()),"")</f>
        <v/>
      </c>
      <c r="P1166" t="str">
        <f>IFERROR(INDEX(装备库!$A$2:$Y$1047,MATCH(ROW()-1,装备库!$AO$2:$AO$1046,0),COLUMN()),"")</f>
        <v/>
      </c>
      <c r="Q1166" t="str">
        <f>IFERROR(INDEX(装备库!$A$2:$Y$1047,MATCH(ROW()-1,装备库!$AO$2:$AO$1046,0),COLUMN()),"")</f>
        <v/>
      </c>
      <c r="R1166" t="str">
        <f>IFERROR(INDEX(装备库!$A$2:$Y$1047,MATCH(ROW()-1,装备库!$AO$2:$AO$1046,0),COLUMN()),"")</f>
        <v/>
      </c>
      <c r="S1166" t="str">
        <f>IFERROR(INDEX(装备库!$A$2:$Y$1047,MATCH(ROW()-1,装备库!$AO$2:$AO$1046,0),COLUMN()),"")</f>
        <v/>
      </c>
      <c r="T1166" t="str">
        <f>IFERROR(INDEX(装备库!$A$2:$Y$1047,MATCH(ROW()-1,装备库!$AO$2:$AO$1046,0),COLUMN()),"")</f>
        <v/>
      </c>
      <c r="U1166" t="str">
        <f>IFERROR(INDEX(装备库!$A$2:$Y$1047,MATCH(ROW()-1,装备库!$AO$2:$AO$1046,0),COLUMN()),"")</f>
        <v/>
      </c>
      <c r="V1166" t="str">
        <f>IFERROR(INDEX(装备库!$A$2:$Y$1047,MATCH(ROW()-1,装备库!$AO$2:$AO$1046,0),COLUMN()),"")</f>
        <v/>
      </c>
      <c r="W1166" t="str">
        <f>IFERROR(INDEX(装备库!$A$2:$Y$1047,MATCH(ROW()-1,装备库!$AO$2:$AO$1046,0),COLUMN()),"")</f>
        <v/>
      </c>
      <c r="X1166" t="str">
        <f>IFERROR(INDEX(装备库!$A$2:$Y$1047,MATCH(ROW()-1,装备库!$AO$2:$AO$1046,0),COLUMN()),"")</f>
        <v/>
      </c>
      <c r="Y1166" t="str">
        <f>IFERROR(INDEX(装备库!$A$2:$Y$1047,MATCH(ROW()-1,装备库!$AO$2:$AO$1046,0),COLUMN()),"")</f>
        <v/>
      </c>
    </row>
    <row r="1167" spans="1:25" x14ac:dyDescent="0.35">
      <c r="A1167" t="str">
        <f>IFERROR(INDEX(装备库!$A$2:$Y$1047,MATCH(ROW()-1,装备库!$AO$2:$AO$1046,0),COLUMN()),"")</f>
        <v/>
      </c>
      <c r="B1167" t="str">
        <f>IFERROR(INDEX(装备库!$A$2:$Y$1047,MATCH(ROW()-1,装备库!$AO$2:$AO$1046,0),COLUMN()),"")</f>
        <v/>
      </c>
      <c r="C1167" t="str">
        <f>IFERROR(INDEX(装备库!$A$2:$Y$1047,MATCH(ROW()-1,装备库!$AO$2:$AO$1046,0),COLUMN()),"")</f>
        <v/>
      </c>
      <c r="D1167" t="str">
        <f>IFERROR(INDEX(装备库!$A$2:$Y$1047,MATCH(ROW()-1,装备库!$AO$2:$AO$1046,0),COLUMN()),"")</f>
        <v/>
      </c>
      <c r="E1167" t="str">
        <f>IFERROR(INDEX(装备库!$A$2:$Y$1047,MATCH(ROW()-1,装备库!$AO$2:$AO$1046,0),COLUMN()),"")</f>
        <v/>
      </c>
      <c r="F1167" t="str">
        <f>IFERROR(INDEX(装备库!$A$2:$Y$1047,MATCH(ROW()-1,装备库!$AO$2:$AO$1046,0),COLUMN()),"")</f>
        <v/>
      </c>
      <c r="G1167" t="str">
        <f>IFERROR(INDEX(装备库!$A$2:$Y$1047,MATCH(ROW()-1,装备库!$AO$2:$AO$1046,0),COLUMN()),"")</f>
        <v/>
      </c>
      <c r="H1167" t="str">
        <f>IFERROR(INDEX(装备库!$A$2:$Y$1047,MATCH(ROW()-1,装备库!$AO$2:$AO$1046,0),COLUMN()),"")</f>
        <v/>
      </c>
      <c r="I1167" t="str">
        <f>IFERROR(INDEX(装备库!$A$2:$Y$1047,MATCH(ROW()-1,装备库!$AO$2:$AO$1046,0),COLUMN()),"")</f>
        <v/>
      </c>
      <c r="J1167" t="str">
        <f>IFERROR(INDEX(装备库!$A$2:$Y$1047,MATCH(ROW()-1,装备库!$AO$2:$AO$1046,0),COLUMN()),"")</f>
        <v/>
      </c>
      <c r="K1167" t="str">
        <f>IFERROR(INDEX(装备库!$A$2:$Y$1047,MATCH(ROW()-1,装备库!$AO$2:$AO$1046,0),COLUMN()),"")</f>
        <v/>
      </c>
      <c r="L1167" t="str">
        <f>IFERROR(INDEX(装备库!$A$2:$Y$1047,MATCH(ROW()-1,装备库!$AO$2:$AO$1046,0),COLUMN()),"")</f>
        <v/>
      </c>
      <c r="M1167" t="str">
        <f>IFERROR(INDEX(装备库!$A$2:$Y$1047,MATCH(ROW()-1,装备库!$AO$2:$AO$1046,0),COLUMN()),"")</f>
        <v/>
      </c>
      <c r="N1167" t="str">
        <f>IFERROR(INDEX(装备库!$A$2:$Y$1047,MATCH(ROW()-1,装备库!$AO$2:$AO$1046,0),COLUMN()),"")</f>
        <v/>
      </c>
      <c r="O1167" t="str">
        <f>IFERROR(INDEX(装备库!$A$2:$Y$1047,MATCH(ROW()-1,装备库!$AO$2:$AO$1046,0),COLUMN()),"")</f>
        <v/>
      </c>
      <c r="P1167" t="str">
        <f>IFERROR(INDEX(装备库!$A$2:$Y$1047,MATCH(ROW()-1,装备库!$AO$2:$AO$1046,0),COLUMN()),"")</f>
        <v/>
      </c>
      <c r="Q1167" t="str">
        <f>IFERROR(INDEX(装备库!$A$2:$Y$1047,MATCH(ROW()-1,装备库!$AO$2:$AO$1046,0),COLUMN()),"")</f>
        <v/>
      </c>
      <c r="R1167" t="str">
        <f>IFERROR(INDEX(装备库!$A$2:$Y$1047,MATCH(ROW()-1,装备库!$AO$2:$AO$1046,0),COLUMN()),"")</f>
        <v/>
      </c>
      <c r="S1167" t="str">
        <f>IFERROR(INDEX(装备库!$A$2:$Y$1047,MATCH(ROW()-1,装备库!$AO$2:$AO$1046,0),COLUMN()),"")</f>
        <v/>
      </c>
      <c r="T1167" t="str">
        <f>IFERROR(INDEX(装备库!$A$2:$Y$1047,MATCH(ROW()-1,装备库!$AO$2:$AO$1046,0),COLUMN()),"")</f>
        <v/>
      </c>
      <c r="U1167" t="str">
        <f>IFERROR(INDEX(装备库!$A$2:$Y$1047,MATCH(ROW()-1,装备库!$AO$2:$AO$1046,0),COLUMN()),"")</f>
        <v/>
      </c>
      <c r="V1167" t="str">
        <f>IFERROR(INDEX(装备库!$A$2:$Y$1047,MATCH(ROW()-1,装备库!$AO$2:$AO$1046,0),COLUMN()),"")</f>
        <v/>
      </c>
      <c r="W1167" t="str">
        <f>IFERROR(INDEX(装备库!$A$2:$Y$1047,MATCH(ROW()-1,装备库!$AO$2:$AO$1046,0),COLUMN()),"")</f>
        <v/>
      </c>
      <c r="X1167" t="str">
        <f>IFERROR(INDEX(装备库!$A$2:$Y$1047,MATCH(ROW()-1,装备库!$AO$2:$AO$1046,0),COLUMN()),"")</f>
        <v/>
      </c>
      <c r="Y1167" t="str">
        <f>IFERROR(INDEX(装备库!$A$2:$Y$1047,MATCH(ROW()-1,装备库!$AO$2:$AO$1046,0),COLUMN()),"")</f>
        <v/>
      </c>
    </row>
  </sheetData>
  <customSheetViews>
    <customSheetView guid="{1FA5F82F-E003-4967-9CFA-E539A86F7F8F}" state="hidden" topLeftCell="A1008">
      <selection activeCell="H1036" sqref="H1036"/>
      <pageMargins left="0.7" right="0.7" top="0.75" bottom="0.75" header="0.3" footer="0.3"/>
    </customSheetView>
  </customSheetViews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42"/>
  <sheetViews>
    <sheetView showGridLines="0" tabSelected="1" topLeftCell="B10" zoomScaleNormal="100" workbookViewId="0">
      <selection activeCell="G31" sqref="G31:K31"/>
    </sheetView>
  </sheetViews>
  <sheetFormatPr defaultColWidth="8.81640625" defaultRowHeight="15.6" x14ac:dyDescent="0.35"/>
  <cols>
    <col min="1" max="1" width="1.1796875" hidden="1" customWidth="1"/>
    <col min="2" max="2" width="0.90625" customWidth="1"/>
    <col min="3" max="3" width="7.453125" customWidth="1"/>
    <col min="4" max="4" width="8.1796875" customWidth="1"/>
    <col min="5" max="5" width="0.90625" customWidth="1"/>
    <col min="6" max="6" width="10" style="1" customWidth="1"/>
    <col min="7" max="7" width="7.90625" style="1" customWidth="1"/>
    <col min="8" max="8" width="7.36328125" style="1" customWidth="1"/>
    <col min="9" max="9" width="5" style="1" customWidth="1"/>
    <col min="10" max="10" width="4.90625" style="1" customWidth="1"/>
    <col min="11" max="11" width="8.08984375" style="1" customWidth="1"/>
    <col min="12" max="12" width="9.36328125" style="1" customWidth="1"/>
    <col min="13" max="13" width="12" style="1" customWidth="1"/>
    <col min="14" max="14" width="10" style="1" customWidth="1"/>
    <col min="15" max="15" width="7.90625" style="1" bestFit="1" customWidth="1"/>
    <col min="16" max="16" width="7.36328125" style="1" customWidth="1"/>
    <col min="17" max="17" width="5" style="1" customWidth="1"/>
    <col min="18" max="18" width="4.90625" style="1" customWidth="1"/>
    <col min="19" max="19" width="8.08984375" style="1" customWidth="1"/>
    <col min="20" max="20" width="0.90625" customWidth="1"/>
    <col min="21" max="21" width="4.90625" customWidth="1"/>
    <col min="22" max="22" width="5" customWidth="1"/>
    <col min="23" max="23" width="17.81640625" customWidth="1"/>
    <col min="24" max="24" width="9.453125" customWidth="1"/>
    <col min="25" max="25" width="0.90625" customWidth="1"/>
    <col min="26" max="26" width="3.36328125" customWidth="1"/>
    <col min="27" max="27" width="11.1796875" customWidth="1"/>
    <col min="28" max="28" width="6.08984375" customWidth="1"/>
    <col min="29" max="29" width="0.90625" customWidth="1"/>
    <col min="30" max="30" width="9.90625" customWidth="1"/>
    <col min="31" max="31" width="9.6328125" customWidth="1"/>
  </cols>
  <sheetData>
    <row r="1" spans="3:55" s="26" customFormat="1" hidden="1" x14ac:dyDescent="0.35"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</row>
    <row r="2" spans="3:55" s="26" customFormat="1" hidden="1" x14ac:dyDescent="0.35"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</row>
    <row r="3" spans="3:55" s="26" customFormat="1" hidden="1" x14ac:dyDescent="0.35"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</row>
    <row r="4" spans="3:55" s="26" customFormat="1" hidden="1" x14ac:dyDescent="0.35"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</row>
    <row r="5" spans="3:55" s="26" customFormat="1" hidden="1" x14ac:dyDescent="0.35"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</row>
    <row r="6" spans="3:55" s="26" customFormat="1" hidden="1" x14ac:dyDescent="0.35"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</row>
    <row r="7" spans="3:55" s="26" customFormat="1" hidden="1" x14ac:dyDescent="0.35"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</row>
    <row r="8" spans="3:55" s="26" customFormat="1" hidden="1" x14ac:dyDescent="0.35"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</row>
    <row r="9" spans="3:55" s="26" customFormat="1" hidden="1" x14ac:dyDescent="0.35"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</row>
    <row r="10" spans="3:55" ht="16.2" thickBot="1" x14ac:dyDescent="0.4"/>
    <row r="11" spans="3:55" x14ac:dyDescent="0.35">
      <c r="C11" s="178" t="s">
        <v>113</v>
      </c>
      <c r="D11" s="179"/>
      <c r="F11" s="151" t="s">
        <v>426</v>
      </c>
      <c r="G11" s="162"/>
      <c r="H11" s="162"/>
      <c r="I11" s="162"/>
      <c r="J11" s="162"/>
      <c r="K11" s="152"/>
      <c r="L11" s="180" t="s">
        <v>1530</v>
      </c>
      <c r="M11" s="181"/>
      <c r="N11" s="151" t="s">
        <v>1338</v>
      </c>
      <c r="O11" s="162"/>
      <c r="P11" s="162"/>
      <c r="Q11" s="162"/>
      <c r="R11" s="162"/>
      <c r="S11" s="152"/>
      <c r="U11" s="161" t="s">
        <v>115</v>
      </c>
      <c r="V11" s="162"/>
      <c r="W11" s="162"/>
      <c r="X11" s="162"/>
      <c r="Y11" s="162"/>
      <c r="Z11" s="162"/>
      <c r="AA11" s="162"/>
      <c r="AB11" s="152"/>
      <c r="AD11" s="151" t="s">
        <v>701</v>
      </c>
      <c r="AE11" s="152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</row>
    <row r="12" spans="3:55" x14ac:dyDescent="0.35">
      <c r="C12" s="71" t="s">
        <v>116</v>
      </c>
      <c r="D12" s="89">
        <f ca="1">IFERROR(基础攻击!U27/正常!U27-1,0)</f>
        <v>6.1141365078412058E-3</v>
      </c>
      <c r="F12" s="71" t="s">
        <v>190</v>
      </c>
      <c r="G12" s="157" t="s">
        <v>2465</v>
      </c>
      <c r="H12" s="157"/>
      <c r="I12" s="157"/>
      <c r="J12" s="157"/>
      <c r="K12" s="158"/>
      <c r="L12" s="77" t="s">
        <v>500</v>
      </c>
      <c r="M12" s="91">
        <f>IF($L$11="无增益面板",装备库!BC1077,装备库!BC1079)</f>
        <v>582810</v>
      </c>
      <c r="N12" s="71" t="s">
        <v>190</v>
      </c>
      <c r="O12" s="157" t="s">
        <v>2409</v>
      </c>
      <c r="P12" s="157"/>
      <c r="Q12" s="157"/>
      <c r="R12" s="157"/>
      <c r="S12" s="158"/>
      <c r="U12" s="166" t="s">
        <v>560</v>
      </c>
      <c r="V12" s="167"/>
      <c r="W12" s="55" t="s">
        <v>2618</v>
      </c>
      <c r="X12" s="62" t="s">
        <v>50</v>
      </c>
      <c r="Y12" s="165">
        <v>1</v>
      </c>
      <c r="Z12" s="165"/>
      <c r="AA12" s="63" t="s">
        <v>608</v>
      </c>
      <c r="AB12" s="80">
        <v>0</v>
      </c>
      <c r="AD12" s="78" t="s">
        <v>31</v>
      </c>
      <c r="AE12" s="80" t="s">
        <v>752</v>
      </c>
      <c r="AL12" s="198" t="s">
        <v>1480</v>
      </c>
      <c r="AM12" s="198"/>
      <c r="AN12" s="198"/>
      <c r="AO12" s="198"/>
      <c r="AP12" s="198"/>
      <c r="AQ12" s="198"/>
      <c r="AR12" s="198"/>
      <c r="AS12" s="198"/>
      <c r="AT12" s="198"/>
      <c r="AU12" s="198"/>
      <c r="AV12" s="198"/>
      <c r="AW12" s="198"/>
      <c r="AX12" s="198"/>
      <c r="AY12" s="198"/>
      <c r="AZ12" s="198"/>
      <c r="BA12" s="198"/>
      <c r="BB12" s="34"/>
      <c r="BC12" s="34"/>
    </row>
    <row r="13" spans="3:55" x14ac:dyDescent="0.35">
      <c r="C13" s="71" t="s">
        <v>12</v>
      </c>
      <c r="D13" s="89">
        <f ca="1">IFERROR(力道!U27/正常!U27-1,0)</f>
        <v>4.2856881245678657E-3</v>
      </c>
      <c r="F13" s="87" t="str">
        <f>装备库!AR1060</f>
        <v>力道孔</v>
      </c>
      <c r="G13" s="70">
        <v>7</v>
      </c>
      <c r="H13" s="52" t="s">
        <v>363</v>
      </c>
      <c r="I13" s="70">
        <v>6</v>
      </c>
      <c r="J13" s="52" t="s">
        <v>444</v>
      </c>
      <c r="K13" s="86" t="str">
        <f>装备库!Y1072</f>
        <v>兑换牌</v>
      </c>
      <c r="L13" s="78" t="s">
        <v>1</v>
      </c>
      <c r="M13" s="91">
        <f ca="1">IF($L$11="无增益面板",装备库!E1103,大附魔数值!L5)</f>
        <v>24751</v>
      </c>
      <c r="N13" s="87" t="str">
        <f>装备库!AR1063</f>
        <v>破招孔</v>
      </c>
      <c r="O13" s="70">
        <v>7</v>
      </c>
      <c r="P13" s="52" t="s">
        <v>363</v>
      </c>
      <c r="Q13" s="70">
        <v>6</v>
      </c>
      <c r="R13" s="52" t="s">
        <v>444</v>
      </c>
      <c r="S13" s="86" t="str">
        <f>装备库!Y1075</f>
        <v>副本</v>
      </c>
      <c r="U13" s="166" t="s">
        <v>2360</v>
      </c>
      <c r="V13" s="167"/>
      <c r="W13" s="55" t="s">
        <v>750</v>
      </c>
      <c r="X13" s="62" t="s">
        <v>57</v>
      </c>
      <c r="Y13" s="165">
        <v>0</v>
      </c>
      <c r="Z13" s="165"/>
      <c r="AA13" s="63" t="s">
        <v>609</v>
      </c>
      <c r="AB13" s="80">
        <v>0</v>
      </c>
      <c r="AD13" s="78" t="s">
        <v>134</v>
      </c>
      <c r="AE13" s="80">
        <v>40</v>
      </c>
      <c r="AL13" s="198"/>
      <c r="AM13" s="198"/>
      <c r="AN13" s="198"/>
      <c r="AO13" s="198"/>
      <c r="AP13" s="198"/>
      <c r="AQ13" s="198"/>
      <c r="AR13" s="198"/>
      <c r="AS13" s="198"/>
      <c r="AT13" s="198"/>
      <c r="AU13" s="198"/>
      <c r="AV13" s="198"/>
      <c r="AW13" s="198"/>
      <c r="AX13" s="198"/>
      <c r="AY13" s="198"/>
      <c r="AZ13" s="198"/>
      <c r="BA13" s="198"/>
      <c r="BB13" s="34"/>
      <c r="BC13" s="34"/>
    </row>
    <row r="14" spans="3:55" ht="16.2" x14ac:dyDescent="0.35">
      <c r="C14" s="71" t="s">
        <v>118</v>
      </c>
      <c r="D14" s="89">
        <f ca="1">IFERROR(武器伤害!U27/正常!U27-1,0)</f>
        <v>3.7358551275343821E-3</v>
      </c>
      <c r="F14" s="88" t="str">
        <f>装备库!AS1060</f>
        <v>攻击孔</v>
      </c>
      <c r="G14" s="70">
        <v>7</v>
      </c>
      <c r="H14" s="153" t="s">
        <v>449</v>
      </c>
      <c r="I14" s="154"/>
      <c r="J14" s="163" t="s">
        <v>2657</v>
      </c>
      <c r="K14" s="164"/>
      <c r="L14" s="78" t="s">
        <v>10</v>
      </c>
      <c r="M14" s="91">
        <f ca="1">IF($L$11="无增益面板",装备库!E1104,大附魔数值!L6)</f>
        <v>37226</v>
      </c>
      <c r="N14" s="88" t="str">
        <f>装备库!AS1063</f>
        <v>攻击孔</v>
      </c>
      <c r="O14" s="70">
        <v>7</v>
      </c>
      <c r="P14" s="153" t="s">
        <v>449</v>
      </c>
      <c r="Q14" s="154"/>
      <c r="R14" s="163" t="s">
        <v>2659</v>
      </c>
      <c r="S14" s="164"/>
      <c r="U14" s="166" t="s">
        <v>2361</v>
      </c>
      <c r="V14" s="167"/>
      <c r="W14" s="109" t="s">
        <v>70</v>
      </c>
      <c r="X14" s="62" t="s">
        <v>430</v>
      </c>
      <c r="Y14" s="165">
        <v>1</v>
      </c>
      <c r="Z14" s="165"/>
      <c r="AA14" s="63" t="s">
        <v>610</v>
      </c>
      <c r="AB14" s="80">
        <v>0</v>
      </c>
      <c r="AD14" s="78" t="s">
        <v>698</v>
      </c>
      <c r="AE14" s="80" t="s">
        <v>1326</v>
      </c>
      <c r="AL14" s="34" t="s">
        <v>1481</v>
      </c>
      <c r="AM14" s="34"/>
      <c r="AN14" s="34"/>
      <c r="AO14" s="34"/>
      <c r="AP14" s="123" t="s">
        <v>1456</v>
      </c>
      <c r="AQ14" s="34"/>
      <c r="AR14" s="34"/>
      <c r="AS14" s="34"/>
      <c r="AT14" s="34" t="s">
        <v>1487</v>
      </c>
      <c r="AU14" s="34"/>
      <c r="AV14" s="34"/>
      <c r="AW14" s="34"/>
      <c r="AX14" s="34"/>
      <c r="AY14" s="34"/>
      <c r="AZ14" s="34"/>
      <c r="BA14" s="34"/>
      <c r="BB14" s="34"/>
      <c r="BC14" s="34"/>
    </row>
    <row r="15" spans="3:55" ht="16.2" thickBot="1" x14ac:dyDescent="0.4">
      <c r="C15" s="71" t="s">
        <v>102</v>
      </c>
      <c r="D15" s="89">
        <f ca="1">IFERROR(会心!U27/正常!U27-1,0)</f>
        <v>5.1531944884966041E-3</v>
      </c>
      <c r="F15" s="76" t="s">
        <v>555</v>
      </c>
      <c r="G15" s="155" t="s">
        <v>2621</v>
      </c>
      <c r="H15" s="155"/>
      <c r="I15" s="155"/>
      <c r="J15" s="155"/>
      <c r="K15" s="156"/>
      <c r="L15" s="78" t="s">
        <v>12</v>
      </c>
      <c r="M15" s="91">
        <f ca="1">IF($L$11="无增益面板",属性开关!R6,大附魔数值!L7)</f>
        <v>7799</v>
      </c>
      <c r="N15" s="76" t="s">
        <v>555</v>
      </c>
      <c r="O15" s="155" t="s">
        <v>2635</v>
      </c>
      <c r="P15" s="155"/>
      <c r="Q15" s="155"/>
      <c r="R15" s="155"/>
      <c r="S15" s="156"/>
      <c r="U15" s="166" t="s">
        <v>2362</v>
      </c>
      <c r="V15" s="167"/>
      <c r="W15" s="109" t="s">
        <v>70</v>
      </c>
      <c r="X15" s="62" t="s">
        <v>46</v>
      </c>
      <c r="Y15" s="165">
        <v>1</v>
      </c>
      <c r="Z15" s="165"/>
      <c r="AA15" s="62" t="s">
        <v>193</v>
      </c>
      <c r="AB15" s="80">
        <v>1</v>
      </c>
      <c r="AD15" s="78" t="s">
        <v>584</v>
      </c>
      <c r="AE15" s="80" t="s">
        <v>1385</v>
      </c>
      <c r="AL15" s="34" t="s">
        <v>1484</v>
      </c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</row>
    <row r="16" spans="3:55" x14ac:dyDescent="0.35">
      <c r="C16" s="71" t="s">
        <v>121</v>
      </c>
      <c r="D16" s="89">
        <f ca="1">IFERROR(会效!U27/正常!U27-1,0)</f>
        <v>7.5200330039431051E-3</v>
      </c>
      <c r="F16" s="161" t="s">
        <v>165</v>
      </c>
      <c r="G16" s="162"/>
      <c r="H16" s="162"/>
      <c r="I16" s="162"/>
      <c r="J16" s="162"/>
      <c r="K16" s="152"/>
      <c r="L16" s="77" t="s">
        <v>238</v>
      </c>
      <c r="M16" s="91" t="str">
        <f ca="1">IF($L$11="无增益面板",装备库!E1106,大附魔数值!L8)&amp;"-"&amp;IF($L$11="无增益面板",装备库!E1107,大附魔数值!L9)</f>
        <v>3282-5470</v>
      </c>
      <c r="N16" s="151" t="s">
        <v>1339</v>
      </c>
      <c r="O16" s="162"/>
      <c r="P16" s="162"/>
      <c r="Q16" s="162"/>
      <c r="R16" s="162"/>
      <c r="S16" s="152"/>
      <c r="U16" s="166" t="s">
        <v>2363</v>
      </c>
      <c r="V16" s="167"/>
      <c r="W16" s="109" t="s">
        <v>70</v>
      </c>
      <c r="X16" s="63" t="s">
        <v>544</v>
      </c>
      <c r="Y16" s="165">
        <v>0</v>
      </c>
      <c r="Z16" s="165"/>
      <c r="AA16" s="62" t="s">
        <v>574</v>
      </c>
      <c r="AB16" s="80">
        <v>80</v>
      </c>
      <c r="AD16" s="77" t="s">
        <v>1383</v>
      </c>
      <c r="AE16" s="80">
        <v>1</v>
      </c>
      <c r="AL16" s="34"/>
      <c r="AM16" s="34"/>
      <c r="AN16" s="34"/>
      <c r="AO16" s="34"/>
      <c r="AP16" s="34"/>
      <c r="AQ16" s="34"/>
      <c r="AR16" s="34"/>
      <c r="AS16" s="34"/>
      <c r="AY16" s="34"/>
      <c r="AZ16" s="34"/>
      <c r="BA16" s="34"/>
      <c r="BB16" s="34"/>
      <c r="BC16" s="34"/>
    </row>
    <row r="17" spans="3:55" x14ac:dyDescent="0.35">
      <c r="C17" s="71" t="s">
        <v>123</v>
      </c>
      <c r="D17" s="89">
        <f ca="1">IFERROR(破防!U27/正常!U27-1,0)</f>
        <v>5.4228737709227648E-3</v>
      </c>
      <c r="F17" s="71" t="s">
        <v>190</v>
      </c>
      <c r="G17" s="157" t="s">
        <v>2483</v>
      </c>
      <c r="H17" s="157"/>
      <c r="I17" s="157"/>
      <c r="J17" s="157"/>
      <c r="K17" s="158"/>
      <c r="L17" s="78" t="s">
        <v>17</v>
      </c>
      <c r="M17" s="92">
        <f ca="1">IF($L$11="无增益面板",装备库!E1108,大附魔数值!L10)</f>
        <v>0.21473496772552386</v>
      </c>
      <c r="N17" s="71" t="s">
        <v>190</v>
      </c>
      <c r="O17" s="157" t="s">
        <v>2441</v>
      </c>
      <c r="P17" s="157"/>
      <c r="Q17" s="157"/>
      <c r="R17" s="157"/>
      <c r="S17" s="158"/>
      <c r="U17" s="166" t="s">
        <v>2364</v>
      </c>
      <c r="V17" s="167"/>
      <c r="W17" s="109" t="s">
        <v>70</v>
      </c>
      <c r="X17" s="62" t="s">
        <v>43</v>
      </c>
      <c r="Y17" s="165">
        <v>0</v>
      </c>
      <c r="Z17" s="165"/>
      <c r="AA17" s="62" t="s">
        <v>575</v>
      </c>
      <c r="AB17" s="80">
        <v>2</v>
      </c>
      <c r="AD17" s="77" t="s">
        <v>1510</v>
      </c>
      <c r="AE17" s="80">
        <v>0</v>
      </c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</row>
    <row r="18" spans="3:55" x14ac:dyDescent="0.35">
      <c r="C18" s="81" t="s">
        <v>324</v>
      </c>
      <c r="D18" s="89">
        <f ca="1">IFERROR(破招!U27/正常!U27-1,0)</f>
        <v>5.2195303547941663E-3</v>
      </c>
      <c r="F18" s="87" t="str">
        <f>装备库!AR1061</f>
        <v>会心孔</v>
      </c>
      <c r="G18" s="70">
        <v>7</v>
      </c>
      <c r="H18" s="52" t="s">
        <v>363</v>
      </c>
      <c r="I18" s="70">
        <v>6</v>
      </c>
      <c r="J18" s="52" t="s">
        <v>444</v>
      </c>
      <c r="K18" s="86" t="str">
        <f>装备库!Y1073</f>
        <v>兑换牌</v>
      </c>
      <c r="L18" s="78" t="s">
        <v>18</v>
      </c>
      <c r="M18" s="92">
        <f ca="1">IF($L$11="无增益面板",装备库!E1109,大附魔数值!L11)</f>
        <v>1.8463154786243241</v>
      </c>
      <c r="N18" s="87" t="str">
        <f>装备库!AR1064</f>
        <v>破防孔</v>
      </c>
      <c r="O18" s="70">
        <v>7</v>
      </c>
      <c r="P18" s="52" t="s">
        <v>363</v>
      </c>
      <c r="Q18" s="70">
        <v>6</v>
      </c>
      <c r="R18" s="52" t="s">
        <v>444</v>
      </c>
      <c r="S18" s="86" t="str">
        <f>装备库!Y1076</f>
        <v>副本</v>
      </c>
      <c r="U18" s="166" t="s">
        <v>2365</v>
      </c>
      <c r="V18" s="167"/>
      <c r="W18" s="109" t="s">
        <v>70</v>
      </c>
      <c r="X18" s="62" t="s">
        <v>44</v>
      </c>
      <c r="Y18" s="165">
        <v>0</v>
      </c>
      <c r="Z18" s="165"/>
      <c r="AA18" s="63" t="s">
        <v>576</v>
      </c>
      <c r="AB18" s="80">
        <v>1</v>
      </c>
      <c r="AD18" s="78" t="s">
        <v>697</v>
      </c>
      <c r="AE18" s="80">
        <v>0</v>
      </c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</row>
    <row r="19" spans="3:55" ht="16.2" thickBot="1" x14ac:dyDescent="0.4">
      <c r="C19" s="71" t="s">
        <v>129</v>
      </c>
      <c r="D19" s="89">
        <f ca="1">IFERROR(无双!U27/正常!U27-1,0)</f>
        <v>5.4922724730321892E-3</v>
      </c>
      <c r="F19" s="88" t="str">
        <f>装备库!AS1061</f>
        <v>会效孔</v>
      </c>
      <c r="G19" s="70">
        <v>7</v>
      </c>
      <c r="H19" s="153" t="s">
        <v>449</v>
      </c>
      <c r="I19" s="154"/>
      <c r="J19" s="163" t="s">
        <v>2627</v>
      </c>
      <c r="K19" s="164"/>
      <c r="L19" s="78" t="s">
        <v>20</v>
      </c>
      <c r="M19" s="91">
        <f ca="1">IF($L$11="无增益面板",装备库!E1110,大附魔数值!L12)</f>
        <v>28333</v>
      </c>
      <c r="N19" s="88" t="str">
        <f>装备库!AS1064</f>
        <v>破招孔</v>
      </c>
      <c r="O19" s="70">
        <v>7</v>
      </c>
      <c r="P19" s="153" t="s">
        <v>449</v>
      </c>
      <c r="Q19" s="154"/>
      <c r="R19" s="163" t="s">
        <v>2659</v>
      </c>
      <c r="S19" s="164"/>
      <c r="U19" s="166" t="s">
        <v>2366</v>
      </c>
      <c r="V19" s="167"/>
      <c r="W19" s="2" t="s">
        <v>70</v>
      </c>
      <c r="X19" s="63" t="s">
        <v>256</v>
      </c>
      <c r="Y19" s="165">
        <v>0</v>
      </c>
      <c r="Z19" s="165"/>
      <c r="AA19" s="63" t="s">
        <v>2367</v>
      </c>
      <c r="AB19" s="97">
        <v>0.5</v>
      </c>
      <c r="AD19" s="84" t="s">
        <v>1516</v>
      </c>
      <c r="AE19" s="83" t="s">
        <v>1529</v>
      </c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</row>
    <row r="20" spans="3:55" ht="16.2" thickBot="1" x14ac:dyDescent="0.4">
      <c r="C20" s="72" t="s">
        <v>63</v>
      </c>
      <c r="D20" s="108">
        <f ca="1">IFERROR(MAX(0,MIN((加速!U27/正常!U27-1),IFERROR((加速!U27/正常!U27-1)/(IF(装备库!E1114&lt;95,95,IF(装备库!E1114&gt;95,MAX(4241-装备库!E1114,0),0)))*属性开关!$AJ$26,0))),0)</f>
        <v>0</v>
      </c>
      <c r="F20" s="76" t="s">
        <v>555</v>
      </c>
      <c r="G20" s="155" t="s">
        <v>2622</v>
      </c>
      <c r="H20" s="155"/>
      <c r="I20" s="155"/>
      <c r="J20" s="155"/>
      <c r="K20" s="156"/>
      <c r="L20" s="78" t="s">
        <v>19</v>
      </c>
      <c r="M20" s="92">
        <f ca="1">IF($L$11="无增益面板",装备库!E1111,大附魔数值!L13)</f>
        <v>0.36036757925530222</v>
      </c>
      <c r="N20" s="76" t="s">
        <v>555</v>
      </c>
      <c r="O20" s="169" t="s">
        <v>640</v>
      </c>
      <c r="P20" s="170"/>
      <c r="Q20" s="170"/>
      <c r="R20" s="170"/>
      <c r="S20" s="171"/>
      <c r="U20" s="166" t="s">
        <v>302</v>
      </c>
      <c r="V20" s="167"/>
      <c r="W20" s="55" t="s">
        <v>70</v>
      </c>
      <c r="X20" s="63" t="s">
        <v>700</v>
      </c>
      <c r="Y20" s="165">
        <v>0</v>
      </c>
      <c r="Z20" s="165"/>
      <c r="AA20" s="63" t="s">
        <v>2368</v>
      </c>
      <c r="AB20" s="80">
        <v>80</v>
      </c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</row>
    <row r="21" spans="3:55" x14ac:dyDescent="0.35">
      <c r="F21" s="161" t="s">
        <v>167</v>
      </c>
      <c r="G21" s="162"/>
      <c r="H21" s="162"/>
      <c r="I21" s="162"/>
      <c r="J21" s="162"/>
      <c r="K21" s="152"/>
      <c r="L21" s="77" t="s">
        <v>326</v>
      </c>
      <c r="M21" s="93">
        <f ca="1">IF($L$11="无增益面板",属性开关!R17,属性开关!T17)</f>
        <v>15107</v>
      </c>
      <c r="N21" s="161" t="s">
        <v>166</v>
      </c>
      <c r="O21" s="162"/>
      <c r="P21" s="162"/>
      <c r="Q21" s="162"/>
      <c r="R21" s="162"/>
      <c r="S21" s="152"/>
      <c r="U21" s="166" t="s">
        <v>303</v>
      </c>
      <c r="V21" s="167"/>
      <c r="W21" s="2" t="s">
        <v>70</v>
      </c>
      <c r="X21" s="62" t="s">
        <v>59</v>
      </c>
      <c r="Y21" s="165">
        <v>0</v>
      </c>
      <c r="Z21" s="165"/>
      <c r="AA21" s="63" t="s">
        <v>1316</v>
      </c>
      <c r="AB21" s="80">
        <v>0</v>
      </c>
      <c r="AD21" s="151" t="s">
        <v>471</v>
      </c>
      <c r="AE21" s="152"/>
      <c r="AL21" s="34" t="s">
        <v>1485</v>
      </c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</row>
    <row r="22" spans="3:55" x14ac:dyDescent="0.35">
      <c r="F22" s="71" t="s">
        <v>190</v>
      </c>
      <c r="G22" s="157" t="s">
        <v>2528</v>
      </c>
      <c r="H22" s="157"/>
      <c r="I22" s="157"/>
      <c r="J22" s="157"/>
      <c r="K22" s="158"/>
      <c r="L22" s="77" t="s">
        <v>469</v>
      </c>
      <c r="M22" s="93">
        <f ca="1">IF($L$11="无增益面板",属性开关!R18,属性开关!T18)</f>
        <v>26904</v>
      </c>
      <c r="N22" s="71" t="s">
        <v>190</v>
      </c>
      <c r="O22" s="157" t="s">
        <v>2512</v>
      </c>
      <c r="P22" s="157"/>
      <c r="Q22" s="157"/>
      <c r="R22" s="157"/>
      <c r="S22" s="158"/>
      <c r="U22" s="166" t="s">
        <v>607</v>
      </c>
      <c r="V22" s="167"/>
      <c r="W22" s="2">
        <v>20</v>
      </c>
      <c r="X22" s="62" t="s">
        <v>573</v>
      </c>
      <c r="Y22" s="165">
        <v>0</v>
      </c>
      <c r="Z22" s="165"/>
      <c r="AA22" s="63" t="str">
        <f>CHOOSE(属性开关!AR16,"","五阵层数","五阵覆盖率","五阵层数")</f>
        <v/>
      </c>
      <c r="AB22" s="80">
        <v>5</v>
      </c>
      <c r="AD22" s="77" t="s">
        <v>505</v>
      </c>
      <c r="AE22" s="80">
        <v>0</v>
      </c>
      <c r="AL22" s="34" t="s">
        <v>1486</v>
      </c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</row>
    <row r="23" spans="3:55" ht="16.2" thickBot="1" x14ac:dyDescent="0.4">
      <c r="C23" s="1"/>
      <c r="D23" s="1"/>
      <c r="F23" s="87" t="str">
        <f>装备库!AR1062</f>
        <v>会心孔</v>
      </c>
      <c r="G23" s="70">
        <v>7</v>
      </c>
      <c r="H23" s="52" t="s">
        <v>363</v>
      </c>
      <c r="I23" s="70">
        <v>6</v>
      </c>
      <c r="J23" s="52" t="s">
        <v>444</v>
      </c>
      <c r="K23" s="86" t="str">
        <f>装备库!Y1074</f>
        <v>兑换牌</v>
      </c>
      <c r="L23" s="78" t="s">
        <v>24</v>
      </c>
      <c r="M23" s="92">
        <f ca="1">IF($L$11="无增益面板",装备库!E1113,大附魔数值!L15)</f>
        <v>0.35489072903372609</v>
      </c>
      <c r="N23" s="87" t="str">
        <f>装备库!AR1065</f>
        <v>攻击孔</v>
      </c>
      <c r="O23" s="70">
        <v>7</v>
      </c>
      <c r="P23" s="52" t="s">
        <v>363</v>
      </c>
      <c r="Q23" s="70">
        <v>6</v>
      </c>
      <c r="R23" s="52" t="s">
        <v>444</v>
      </c>
      <c r="S23" s="86" t="str">
        <f>装备库!Y1077</f>
        <v>兑换牌</v>
      </c>
      <c r="U23" s="166" t="s">
        <v>599</v>
      </c>
      <c r="V23" s="167"/>
      <c r="W23" s="2" t="s">
        <v>70</v>
      </c>
      <c r="X23" s="62" t="s">
        <v>61</v>
      </c>
      <c r="Y23" s="165">
        <v>0</v>
      </c>
      <c r="Z23" s="165"/>
      <c r="AA23" s="63"/>
      <c r="AB23" s="129"/>
      <c r="AD23" s="78" t="s">
        <v>1</v>
      </c>
      <c r="AE23" s="80">
        <v>0</v>
      </c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</row>
    <row r="24" spans="3:55" ht="16.2" thickBot="1" x14ac:dyDescent="0.4">
      <c r="C24" s="110" t="s">
        <v>194</v>
      </c>
      <c r="D24" s="111" t="s">
        <v>73</v>
      </c>
      <c r="F24" s="88" t="str">
        <f>装备库!AS1062</f>
        <v>攻击孔</v>
      </c>
      <c r="G24" s="70">
        <v>7</v>
      </c>
      <c r="H24" s="153" t="s">
        <v>449</v>
      </c>
      <c r="I24" s="154"/>
      <c r="J24" s="163" t="s">
        <v>2627</v>
      </c>
      <c r="K24" s="164"/>
      <c r="L24" s="78" t="s">
        <v>63</v>
      </c>
      <c r="M24" s="91">
        <f ca="1">IF($L$11="无增益面板",装备库!L1100,装备库!E1114)</f>
        <v>4335</v>
      </c>
      <c r="N24" s="88" t="str">
        <f>装备库!AS1065</f>
        <v>破防孔</v>
      </c>
      <c r="O24" s="70">
        <v>7</v>
      </c>
      <c r="P24" s="153" t="s">
        <v>449</v>
      </c>
      <c r="Q24" s="154"/>
      <c r="R24" s="163" t="s">
        <v>2374</v>
      </c>
      <c r="S24" s="164"/>
      <c r="U24" s="213" t="s">
        <v>636</v>
      </c>
      <c r="V24" s="214"/>
      <c r="W24" s="98" t="s">
        <v>70</v>
      </c>
      <c r="X24" s="130" t="s">
        <v>554</v>
      </c>
      <c r="Y24" s="195">
        <v>0</v>
      </c>
      <c r="Z24" s="195"/>
      <c r="AA24" s="130"/>
      <c r="AB24" s="131"/>
      <c r="AD24" s="78" t="s">
        <v>12</v>
      </c>
      <c r="AE24" s="80">
        <v>0</v>
      </c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</row>
    <row r="25" spans="3:55" ht="16.2" thickBot="1" x14ac:dyDescent="0.4">
      <c r="C25" s="71" t="s">
        <v>196</v>
      </c>
      <c r="D25" s="112" t="s">
        <v>75</v>
      </c>
      <c r="F25" s="100" t="s">
        <v>555</v>
      </c>
      <c r="G25" s="159" t="s">
        <v>2628</v>
      </c>
      <c r="H25" s="159"/>
      <c r="I25" s="159"/>
      <c r="J25" s="159"/>
      <c r="K25" s="160"/>
      <c r="L25" s="78" t="s">
        <v>699</v>
      </c>
      <c r="M25" s="92" t="str">
        <f ca="1">ROUND(M24/属性开关!U28,4)*100&amp;"%"</f>
        <v>4.49%</v>
      </c>
      <c r="N25" s="100" t="s">
        <v>555</v>
      </c>
      <c r="O25" s="159" t="s">
        <v>2636</v>
      </c>
      <c r="P25" s="159"/>
      <c r="Q25" s="159"/>
      <c r="R25" s="159"/>
      <c r="S25" s="160"/>
      <c r="AD25" s="77" t="s">
        <v>238</v>
      </c>
      <c r="AE25" s="80">
        <v>0</v>
      </c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</row>
    <row r="26" spans="3:55" ht="16.2" x14ac:dyDescent="0.35">
      <c r="C26" s="71" t="s">
        <v>197</v>
      </c>
      <c r="D26" s="80" t="s">
        <v>751</v>
      </c>
      <c r="F26" s="161" t="s">
        <v>169</v>
      </c>
      <c r="G26" s="162"/>
      <c r="H26" s="162"/>
      <c r="I26" s="162"/>
      <c r="J26" s="162"/>
      <c r="K26" s="152"/>
      <c r="L26" s="78" t="s">
        <v>195</v>
      </c>
      <c r="M26" s="92" t="str">
        <f ca="1">(1.5-(FLOOR(1.5*16*1024/(1024+FLOOR(装备库!E1114/属性开关!U28*1024,1)),1)/16))/0.0625&amp;"段加速"</f>
        <v>2段加速</v>
      </c>
      <c r="N26" s="161" t="s">
        <v>168</v>
      </c>
      <c r="O26" s="162"/>
      <c r="P26" s="162"/>
      <c r="Q26" s="162"/>
      <c r="R26" s="162"/>
      <c r="S26" s="152"/>
      <c r="U26" s="206" t="s">
        <v>452</v>
      </c>
      <c r="V26" s="207"/>
      <c r="W26" s="162"/>
      <c r="X26" s="152"/>
      <c r="Z26" s="205" t="s">
        <v>355</v>
      </c>
      <c r="AA26" s="205"/>
      <c r="AB26" s="205"/>
      <c r="AD26" s="77" t="s">
        <v>466</v>
      </c>
      <c r="AE26" s="80">
        <v>0</v>
      </c>
      <c r="AL26" s="34"/>
      <c r="AM26" s="34"/>
      <c r="AN26" s="34"/>
      <c r="AO26" s="34"/>
      <c r="AP26" s="34"/>
      <c r="AQ26" s="34"/>
      <c r="AR26" s="34"/>
      <c r="AS26" s="34"/>
      <c r="AT26" s="34" t="s">
        <v>1482</v>
      </c>
      <c r="AU26" s="34"/>
      <c r="AV26" s="124" t="s">
        <v>1483</v>
      </c>
      <c r="AW26" s="34"/>
      <c r="AX26" s="34"/>
      <c r="AY26" s="34"/>
      <c r="AZ26" s="34"/>
      <c r="BA26" s="34"/>
      <c r="BB26" s="34"/>
      <c r="BC26" s="34"/>
    </row>
    <row r="27" spans="3:55" ht="16.2" thickBot="1" x14ac:dyDescent="0.4">
      <c r="C27" s="71" t="s">
        <v>199</v>
      </c>
      <c r="D27" s="79" t="s">
        <v>1515</v>
      </c>
      <c r="F27" s="71" t="s">
        <v>190</v>
      </c>
      <c r="G27" s="157" t="s">
        <v>2499</v>
      </c>
      <c r="H27" s="157"/>
      <c r="I27" s="157"/>
      <c r="J27" s="157"/>
      <c r="K27" s="158"/>
      <c r="L27" s="99" t="s">
        <v>450</v>
      </c>
      <c r="M27" s="102">
        <f ca="1">装备库!BA1072</f>
        <v>234840</v>
      </c>
      <c r="N27" s="71" t="s">
        <v>190</v>
      </c>
      <c r="O27" s="157" t="s">
        <v>2559</v>
      </c>
      <c r="P27" s="157"/>
      <c r="Q27" s="157"/>
      <c r="R27" s="157"/>
      <c r="S27" s="158"/>
      <c r="U27" s="208"/>
      <c r="V27" s="209"/>
      <c r="W27" s="134"/>
      <c r="X27" s="201"/>
      <c r="Z27" s="193" t="str">
        <f ca="1">正常!AQ47</f>
        <v>龙牙</v>
      </c>
      <c r="AA27" s="193"/>
      <c r="AB27" s="117">
        <f ca="1">正常!AR47</f>
        <v>0.42596005828753425</v>
      </c>
      <c r="AD27" s="77" t="s">
        <v>467</v>
      </c>
      <c r="AE27" s="80">
        <v>0</v>
      </c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</row>
    <row r="28" spans="3:55" x14ac:dyDescent="0.35">
      <c r="C28" s="71" t="s">
        <v>200</v>
      </c>
      <c r="D28" s="80" t="s">
        <v>83</v>
      </c>
      <c r="F28" s="87" t="str">
        <f>装备库!AR1066</f>
        <v>无双孔</v>
      </c>
      <c r="G28" s="70">
        <v>7</v>
      </c>
      <c r="H28" s="52" t="s">
        <v>363</v>
      </c>
      <c r="I28" s="70">
        <v>6</v>
      </c>
      <c r="J28" s="52" t="s">
        <v>444</v>
      </c>
      <c r="K28" s="101" t="str">
        <f>装备库!Y1078</f>
        <v>副本</v>
      </c>
      <c r="L28" s="172" t="s">
        <v>170</v>
      </c>
      <c r="M28" s="172"/>
      <c r="N28" s="87" t="str">
        <f>装备库!AR1067</f>
        <v>无双孔</v>
      </c>
      <c r="O28" s="70">
        <v>7</v>
      </c>
      <c r="P28" s="52" t="s">
        <v>363</v>
      </c>
      <c r="Q28" s="70">
        <v>6</v>
      </c>
      <c r="R28" s="52" t="s">
        <v>444</v>
      </c>
      <c r="S28" s="101" t="str">
        <f>装备库!Y1079</f>
        <v>声望</v>
      </c>
      <c r="U28" s="210" t="s">
        <v>2371</v>
      </c>
      <c r="V28" s="202" t="str">
        <f>IF(属性开关!R60&lt;=4,属性开关!Q58,"超过上限")</f>
        <v>龙牙</v>
      </c>
      <c r="W28" s="162"/>
      <c r="X28" s="152"/>
      <c r="Z28" s="193" t="str">
        <f ca="1">正常!AQ48</f>
        <v>破</v>
      </c>
      <c r="AA28" s="193"/>
      <c r="AB28" s="117">
        <f ca="1">正常!AR48</f>
        <v>0.17617412572348862</v>
      </c>
      <c r="AD28" s="77" t="s">
        <v>468</v>
      </c>
      <c r="AE28" s="80">
        <v>0</v>
      </c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</row>
    <row r="29" spans="3:55" ht="16.2" thickBot="1" x14ac:dyDescent="0.4">
      <c r="C29" s="71" t="s">
        <v>202</v>
      </c>
      <c r="D29" s="90" t="str">
        <f>属性开关!Q46</f>
        <v>牧云</v>
      </c>
      <c r="F29" s="76" t="s">
        <v>449</v>
      </c>
      <c r="G29" s="104" t="s">
        <v>2375</v>
      </c>
      <c r="H29" s="182"/>
      <c r="I29" s="183"/>
      <c r="J29" s="183"/>
      <c r="K29" s="184"/>
      <c r="L29" s="71" t="s">
        <v>201</v>
      </c>
      <c r="M29" s="79" t="s">
        <v>2660</v>
      </c>
      <c r="N29" s="76" t="s">
        <v>449</v>
      </c>
      <c r="O29" s="104" t="s">
        <v>2375</v>
      </c>
      <c r="P29" s="182"/>
      <c r="Q29" s="183"/>
      <c r="R29" s="183"/>
      <c r="S29" s="184"/>
      <c r="U29" s="211"/>
      <c r="V29" s="199"/>
      <c r="W29" s="148"/>
      <c r="X29" s="200"/>
      <c r="Z29" s="193" t="str">
        <f ca="1">正常!AQ49</f>
        <v>流血</v>
      </c>
      <c r="AA29" s="193"/>
      <c r="AB29" s="117">
        <f ca="1">正常!AR49</f>
        <v>0.10514375973831507</v>
      </c>
      <c r="AD29" s="77" t="s">
        <v>326</v>
      </c>
      <c r="AE29" s="80">
        <v>0</v>
      </c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</row>
    <row r="30" spans="3:55" x14ac:dyDescent="0.35">
      <c r="C30" s="71" t="s">
        <v>205</v>
      </c>
      <c r="D30" s="90" t="str">
        <f>属性开关!Q47</f>
        <v>风虎</v>
      </c>
      <c r="F30" s="191" t="s">
        <v>198</v>
      </c>
      <c r="G30" s="135"/>
      <c r="H30" s="135"/>
      <c r="I30" s="135"/>
      <c r="J30" s="135"/>
      <c r="K30" s="192"/>
      <c r="L30" s="71" t="s">
        <v>203</v>
      </c>
      <c r="M30" s="79" t="s">
        <v>129</v>
      </c>
      <c r="N30" s="191" t="s">
        <v>204</v>
      </c>
      <c r="O30" s="135"/>
      <c r="P30" s="135"/>
      <c r="Q30" s="135"/>
      <c r="R30" s="135"/>
      <c r="S30" s="192"/>
      <c r="U30" s="211"/>
      <c r="V30" s="199" t="str">
        <f>IF(属性开关!R62&lt;=4,属性开关!Q61,"超过上限")</f>
        <v>龙吟</v>
      </c>
      <c r="W30" s="148"/>
      <c r="X30" s="200"/>
      <c r="Z30" s="193" t="str">
        <f ca="1">正常!AQ50</f>
        <v>穿云</v>
      </c>
      <c r="AA30" s="193"/>
      <c r="AB30" s="117">
        <f ca="1">正常!AR50</f>
        <v>6.4500254138213961E-2</v>
      </c>
      <c r="AD30" s="77" t="s">
        <v>469</v>
      </c>
      <c r="AE30" s="80">
        <v>0</v>
      </c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</row>
    <row r="31" spans="3:55" ht="16.2" thickBot="1" x14ac:dyDescent="0.4">
      <c r="C31" s="71" t="s">
        <v>207</v>
      </c>
      <c r="D31" s="90" t="str">
        <f>属性开关!Q48</f>
        <v>战心</v>
      </c>
      <c r="F31" s="71" t="s">
        <v>190</v>
      </c>
      <c r="G31" s="157" t="s">
        <v>2418</v>
      </c>
      <c r="H31" s="157"/>
      <c r="I31" s="157"/>
      <c r="J31" s="157"/>
      <c r="K31" s="158"/>
      <c r="L31" s="71" t="s">
        <v>206</v>
      </c>
      <c r="M31" s="80" t="s">
        <v>116</v>
      </c>
      <c r="N31" s="71" t="s">
        <v>190</v>
      </c>
      <c r="O31" s="157" t="s">
        <v>2418</v>
      </c>
      <c r="P31" s="157"/>
      <c r="Q31" s="157"/>
      <c r="R31" s="157"/>
      <c r="S31" s="158"/>
      <c r="U31" s="211"/>
      <c r="V31" s="199"/>
      <c r="W31" s="148"/>
      <c r="X31" s="200"/>
      <c r="Z31" s="193" t="str">
        <f ca="1">正常!AQ51</f>
        <v>龙吟</v>
      </c>
      <c r="AA31" s="193"/>
      <c r="AB31" s="117">
        <f ca="1">正常!AR51</f>
        <v>6.2538168250019815E-2</v>
      </c>
      <c r="AD31" s="84" t="s">
        <v>470</v>
      </c>
      <c r="AE31" s="83">
        <v>0</v>
      </c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</row>
    <row r="32" spans="3:55" ht="16.2" thickBot="1" x14ac:dyDescent="0.4">
      <c r="C32" s="71" t="s">
        <v>209</v>
      </c>
      <c r="D32" s="80" t="s">
        <v>88</v>
      </c>
      <c r="F32" s="72" t="s">
        <v>191</v>
      </c>
      <c r="G32" s="73" t="s">
        <v>2374</v>
      </c>
      <c r="H32" s="74" t="s">
        <v>363</v>
      </c>
      <c r="I32" s="73">
        <v>6</v>
      </c>
      <c r="J32" s="74" t="s">
        <v>444</v>
      </c>
      <c r="K32" s="95" t="str">
        <f>装备库!Y1080</f>
        <v>副本</v>
      </c>
      <c r="L32" s="71" t="s">
        <v>208</v>
      </c>
      <c r="M32" s="80" t="s">
        <v>121</v>
      </c>
      <c r="N32" s="72" t="s">
        <v>191</v>
      </c>
      <c r="O32" s="73" t="s">
        <v>2374</v>
      </c>
      <c r="P32" s="74" t="s">
        <v>363</v>
      </c>
      <c r="Q32" s="73">
        <v>6</v>
      </c>
      <c r="R32" s="74" t="s">
        <v>444</v>
      </c>
      <c r="S32" s="95" t="str">
        <f>装备库!Y1081</f>
        <v>副本</v>
      </c>
      <c r="U32" s="211"/>
      <c r="V32" s="199" t="str">
        <f>IF(属性开关!R65&lt;=4,属性开关!Q63,"超过上限")</f>
        <v>灭</v>
      </c>
      <c r="W32" s="148"/>
      <c r="X32" s="200"/>
      <c r="Z32" s="193" t="str">
        <f ca="1">正常!AQ52</f>
        <v>灭</v>
      </c>
      <c r="AA32" s="193"/>
      <c r="AB32" s="117">
        <f ca="1">正常!AR52</f>
        <v>5.6792393784962189E-2</v>
      </c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</row>
    <row r="33" spans="3:55" ht="16.5" customHeight="1" x14ac:dyDescent="0.35">
      <c r="C33" s="71" t="s">
        <v>210</v>
      </c>
      <c r="D33" s="82" t="s">
        <v>515</v>
      </c>
      <c r="F33" s="151" t="s">
        <v>427</v>
      </c>
      <c r="G33" s="162"/>
      <c r="H33" s="162"/>
      <c r="I33" s="162"/>
      <c r="J33" s="162"/>
      <c r="K33" s="152"/>
      <c r="L33" s="185">
        <f ca="1">IF(AND(D32="挥金镝",D27="龙驭"),"请点出击水奇穴",正常!U27)</f>
        <v>534899.1956533445</v>
      </c>
      <c r="M33" s="186"/>
      <c r="N33" s="161" t="s">
        <v>156</v>
      </c>
      <c r="O33" s="162"/>
      <c r="P33" s="162"/>
      <c r="Q33" s="162"/>
      <c r="R33" s="162"/>
      <c r="S33" s="152"/>
      <c r="U33" s="211"/>
      <c r="V33" s="199"/>
      <c r="W33" s="148"/>
      <c r="X33" s="200"/>
      <c r="Z33" s="193" t="str">
        <f ca="1">正常!AQ53</f>
        <v>逐云含蕊</v>
      </c>
      <c r="AA33" s="193"/>
      <c r="AB33" s="117">
        <f ca="1">正常!AR53</f>
        <v>5.074257015939742E-2</v>
      </c>
      <c r="AD33" s="197" t="s">
        <v>1479</v>
      </c>
      <c r="AE33" s="197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</row>
    <row r="34" spans="3:55" ht="16.5" customHeight="1" x14ac:dyDescent="0.35">
      <c r="C34" s="71" t="s">
        <v>211</v>
      </c>
      <c r="D34" s="82" t="s">
        <v>32</v>
      </c>
      <c r="F34" s="71" t="s">
        <v>190</v>
      </c>
      <c r="G34" s="157" t="s">
        <v>2573</v>
      </c>
      <c r="H34" s="157"/>
      <c r="I34" s="157"/>
      <c r="J34" s="157"/>
      <c r="K34" s="158"/>
      <c r="L34" s="187"/>
      <c r="M34" s="188"/>
      <c r="N34" s="71" t="s">
        <v>190</v>
      </c>
      <c r="O34" s="157" t="s">
        <v>2384</v>
      </c>
      <c r="P34" s="157"/>
      <c r="Q34" s="157"/>
      <c r="R34" s="157"/>
      <c r="S34" s="158"/>
      <c r="U34" s="211"/>
      <c r="V34" s="199" t="str">
        <f>IF(属性开关!R68&lt;=4,属性开关!Q67,"超过上限")</f>
        <v>穿云</v>
      </c>
      <c r="W34" s="148"/>
      <c r="X34" s="200"/>
      <c r="Z34" s="193" t="str">
        <f ca="1">正常!AQ54</f>
        <v>梅花枪法</v>
      </c>
      <c r="AA34" s="193"/>
      <c r="AB34" s="117">
        <f ca="1">正常!AR54</f>
        <v>4.4626430363393435E-2</v>
      </c>
      <c r="AD34" s="194" t="s">
        <v>1455</v>
      </c>
      <c r="AE34" s="194"/>
      <c r="AL34" s="34"/>
      <c r="AM34" s="34"/>
      <c r="AN34" s="34"/>
      <c r="AO34" s="34"/>
      <c r="AP34" s="34"/>
      <c r="AQ34" s="34"/>
      <c r="AR34" s="34"/>
      <c r="AS34" s="34"/>
      <c r="AX34" s="34"/>
      <c r="AY34" s="34"/>
      <c r="AZ34" s="34"/>
      <c r="BA34" s="34"/>
      <c r="BB34" s="34"/>
      <c r="BC34" s="34"/>
    </row>
    <row r="35" spans="3:55" ht="16.5" customHeight="1" thickBot="1" x14ac:dyDescent="0.4">
      <c r="C35" s="72" t="s">
        <v>212</v>
      </c>
      <c r="D35" s="116" t="s">
        <v>90</v>
      </c>
      <c r="F35" s="87" t="str">
        <f>装备库!AR1071</f>
        <v>会效孔</v>
      </c>
      <c r="G35" s="70">
        <v>8</v>
      </c>
      <c r="H35" s="52" t="s">
        <v>363</v>
      </c>
      <c r="I35" s="70">
        <v>8</v>
      </c>
      <c r="J35" s="52" t="s">
        <v>444</v>
      </c>
      <c r="K35" s="86" t="str">
        <f>装备库!Y1083</f>
        <v>副本</v>
      </c>
      <c r="L35" s="187"/>
      <c r="M35" s="188"/>
      <c r="N35" s="87" t="str">
        <f>装备库!AR1070</f>
        <v>力道孔</v>
      </c>
      <c r="O35" s="70">
        <v>7</v>
      </c>
      <c r="P35" s="52" t="s">
        <v>363</v>
      </c>
      <c r="Q35" s="70">
        <v>6</v>
      </c>
      <c r="R35" s="52" t="s">
        <v>444</v>
      </c>
      <c r="S35" s="86" t="str">
        <f>装备库!Y1082</f>
        <v>副本</v>
      </c>
      <c r="U35" s="211"/>
      <c r="V35" s="199"/>
      <c r="W35" s="148"/>
      <c r="X35" s="200"/>
      <c r="Z35" s="193" t="str">
        <f ca="1">正常!AQ55</f>
        <v>刃凌</v>
      </c>
      <c r="AA35" s="193"/>
      <c r="AB35" s="117">
        <f ca="1">正常!AR55</f>
        <v>7.9161551611252722E-3</v>
      </c>
      <c r="AD35" s="120" t="s">
        <v>1458</v>
      </c>
      <c r="AE35" s="121" t="s">
        <v>1459</v>
      </c>
      <c r="AF35" s="34" t="s">
        <v>1457</v>
      </c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</row>
    <row r="36" spans="3:55" ht="17.25" customHeight="1" thickBot="1" x14ac:dyDescent="0.4">
      <c r="F36" s="94" t="str">
        <f>装备库!AS1071</f>
        <v>会心孔</v>
      </c>
      <c r="G36" s="73">
        <v>8</v>
      </c>
      <c r="H36" s="96" t="str">
        <f>装备库!AT1071</f>
        <v>力道孔</v>
      </c>
      <c r="I36" s="73">
        <v>8</v>
      </c>
      <c r="J36" s="74" t="s">
        <v>451</v>
      </c>
      <c r="K36" s="75" t="s">
        <v>2374</v>
      </c>
      <c r="L36" s="189"/>
      <c r="M36" s="190"/>
      <c r="N36" s="72" t="s">
        <v>191</v>
      </c>
      <c r="O36" s="155" t="s">
        <v>2658</v>
      </c>
      <c r="P36" s="155"/>
      <c r="Q36" s="155"/>
      <c r="R36" s="155"/>
      <c r="S36" s="156"/>
      <c r="U36" s="212"/>
      <c r="V36" s="128" t="str">
        <f>IF(属性开关!R70&lt;=4,属性开关!Q69,"超过上限")</f>
        <v>突</v>
      </c>
      <c r="W36" s="203"/>
      <c r="X36" s="204"/>
      <c r="Z36" s="193" t="str">
        <f ca="1">正常!AQ56</f>
        <v>昆吾·弦刃</v>
      </c>
      <c r="AA36" s="193"/>
      <c r="AB36" s="117">
        <f ca="1">正常!AR56</f>
        <v>4.995807615668881E-3</v>
      </c>
      <c r="AD36" s="196" t="s">
        <v>1456</v>
      </c>
      <c r="AE36" s="196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</row>
    <row r="37" spans="3:55" ht="16.2" x14ac:dyDescent="0.35">
      <c r="C37" s="173" t="s">
        <v>533</v>
      </c>
      <c r="D37" s="174"/>
      <c r="W37" s="4"/>
      <c r="Z37" s="193" t="str">
        <f ca="1">正常!AQ57</f>
        <v>突</v>
      </c>
      <c r="AA37" s="193"/>
      <c r="AB37" s="85">
        <f ca="1">正常!AR57</f>
        <v>6.1027677788112484E-4</v>
      </c>
      <c r="AD37" s="196" t="s">
        <v>1488</v>
      </c>
      <c r="AE37" s="196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</row>
    <row r="38" spans="3:55" ht="16.2" x14ac:dyDescent="0.35">
      <c r="C38" s="175" t="s">
        <v>585</v>
      </c>
      <c r="D38" s="176"/>
      <c r="W38" s="4"/>
      <c r="Z38" s="193" t="str">
        <f ca="1">正常!AQ58</f>
        <v/>
      </c>
      <c r="AA38" s="193"/>
      <c r="AB38" s="85" t="str">
        <f ca="1">正常!AR58</f>
        <v/>
      </c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</row>
    <row r="39" spans="3:55" ht="16.2" thickBot="1" x14ac:dyDescent="0.4">
      <c r="C39" s="76" t="s">
        <v>541</v>
      </c>
      <c r="D39" s="133">
        <f ca="1">(INT(INT(INT(60+装备库!E1104*正常!N6)*((1024+INT(装备库!E1110*1024/35737.5/2.2))-INT((1024+INT(装备库!E1110*1024/35737.5/2.2))*INT((27550-1150)*1024/((27550-1150)+5.091*(450*124-45750)))/1024))/1024)*0.8)+INT(INT(INT(INT(60+装备库!E1104*正常!N6)*((1024+INT(装备库!E1110*1024/35737.5/2.2))-INT((1024+INT(装备库!E1110*1024/35737.5/2.2))*INT((27550-1150)*1024/((27550-1150)+5.091*(450*124-45750)))/1024))/1024)*0.8)*INT(装备库!K1100*1024/34458.75/2.2)/1024))+INT((INT(INT(INT(60+装备库!E1104*正常!N6)*((1024+INT(装备库!E1110*1024/35737.5/2.2))-INT((1024+INT(装备库!E1110*1024/35737.5/2.2))*INT((27550-1150)*1024/((27550-1150)+5.091*(450*124-45750)))/1024))/1024)*0.8)+INT(INT(INT(INT(60+装备库!E1104*正常!N6)*((1024+INT(装备库!E1110*1024/35737.5/2.2))-INT((1024+INT(装备库!E1110*1024/35737.5/2.2))*INT((27550-1150)*1024/((27550-1150)+5.091*(450*124-45750)))/1024))/1024)*0.8)*INT(装备库!K1100*1024/34458.75/2.2)/1024))*(非侠士)/1024)</f>
        <v>16250</v>
      </c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</row>
    <row r="40" spans="3:55" x14ac:dyDescent="0.35">
      <c r="C40" s="177"/>
      <c r="D40" s="14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</row>
    <row r="41" spans="3:55" x14ac:dyDescent="0.35">
      <c r="C41" s="168"/>
      <c r="D41" s="168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</row>
    <row r="42" spans="3:55" x14ac:dyDescent="0.35"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</row>
  </sheetData>
  <sheetProtection algorithmName="SHA-512" hashValue="9vhAYF+o4khUN2Ha1VQ/C6vOrdhZD3NbgXmDKGfKoPPX5ZWgyRcPsweYajDm+r9g1JaEfAU/SMg/RYRnu4BUcQ==" saltValue="GWXh53bSCkm3YZ72kRyLwQ==" spinCount="100000" sheet="1" selectLockedCells="1"/>
  <customSheetViews>
    <customSheetView guid="{1FA5F82F-E003-4967-9CFA-E539A86F7F8F}" showGridLines="0" hiddenRows="1" hiddenColumns="1" topLeftCell="B10">
      <selection activeCell="M39" sqref="M39"/>
      <pageMargins left="0.7" right="0.7" top="0.75" bottom="0.75" header="0.3" footer="0.3"/>
      <pageSetup paperSize="9" orientation="portrait"/>
    </customSheetView>
  </customSheetViews>
  <mergeCells count="112">
    <mergeCell ref="W36:X36"/>
    <mergeCell ref="Y21:Z21"/>
    <mergeCell ref="Y22:Z22"/>
    <mergeCell ref="Z26:AB26"/>
    <mergeCell ref="Z27:AA27"/>
    <mergeCell ref="U22:V22"/>
    <mergeCell ref="U23:V23"/>
    <mergeCell ref="U26:V27"/>
    <mergeCell ref="U28:U36"/>
    <mergeCell ref="U24:V24"/>
    <mergeCell ref="U21:V21"/>
    <mergeCell ref="AL12:BA13"/>
    <mergeCell ref="V34:V35"/>
    <mergeCell ref="V32:V33"/>
    <mergeCell ref="W32:X33"/>
    <mergeCell ref="W34:X35"/>
    <mergeCell ref="Z33:AA33"/>
    <mergeCell ref="AD21:AE21"/>
    <mergeCell ref="W26:X27"/>
    <mergeCell ref="W28:X29"/>
    <mergeCell ref="W30:X31"/>
    <mergeCell ref="V28:V29"/>
    <mergeCell ref="V30:V31"/>
    <mergeCell ref="Z34:AA34"/>
    <mergeCell ref="U17:V17"/>
    <mergeCell ref="U18:V18"/>
    <mergeCell ref="U19:V19"/>
    <mergeCell ref="U20:V20"/>
    <mergeCell ref="Z38:AA38"/>
    <mergeCell ref="Z36:AA36"/>
    <mergeCell ref="Z35:AA35"/>
    <mergeCell ref="AD34:AE34"/>
    <mergeCell ref="Y18:Z18"/>
    <mergeCell ref="Y19:Z19"/>
    <mergeCell ref="Y20:Z20"/>
    <mergeCell ref="Y14:Z14"/>
    <mergeCell ref="Y15:Z15"/>
    <mergeCell ref="Y17:Z17"/>
    <mergeCell ref="Y16:Z16"/>
    <mergeCell ref="Z28:AA28"/>
    <mergeCell ref="Z29:AA29"/>
    <mergeCell ref="Z30:AA30"/>
    <mergeCell ref="Z31:AA31"/>
    <mergeCell ref="Z32:AA32"/>
    <mergeCell ref="Y23:Z23"/>
    <mergeCell ref="Y24:Z24"/>
    <mergeCell ref="AD37:AE37"/>
    <mergeCell ref="AD33:AE33"/>
    <mergeCell ref="AD36:AE36"/>
    <mergeCell ref="Z37:AA37"/>
    <mergeCell ref="C11:D11"/>
    <mergeCell ref="L11:M11"/>
    <mergeCell ref="U11:AB11"/>
    <mergeCell ref="F11:K11"/>
    <mergeCell ref="N11:S11"/>
    <mergeCell ref="O36:S36"/>
    <mergeCell ref="O34:S34"/>
    <mergeCell ref="O31:S31"/>
    <mergeCell ref="H29:K29"/>
    <mergeCell ref="P29:S29"/>
    <mergeCell ref="N33:S33"/>
    <mergeCell ref="G31:K31"/>
    <mergeCell ref="L33:M36"/>
    <mergeCell ref="N30:S30"/>
    <mergeCell ref="F30:K30"/>
    <mergeCell ref="O22:S22"/>
    <mergeCell ref="G12:K12"/>
    <mergeCell ref="G15:K15"/>
    <mergeCell ref="G17:K17"/>
    <mergeCell ref="F16:K16"/>
    <mergeCell ref="J14:K14"/>
    <mergeCell ref="H14:I14"/>
    <mergeCell ref="O12:S12"/>
    <mergeCell ref="O15:S15"/>
    <mergeCell ref="C41:D41"/>
    <mergeCell ref="O20:S20"/>
    <mergeCell ref="O17:S17"/>
    <mergeCell ref="N16:S16"/>
    <mergeCell ref="N26:S26"/>
    <mergeCell ref="F33:K33"/>
    <mergeCell ref="L28:M28"/>
    <mergeCell ref="C37:D37"/>
    <mergeCell ref="G27:K27"/>
    <mergeCell ref="O27:S27"/>
    <mergeCell ref="G34:K34"/>
    <mergeCell ref="C38:D38"/>
    <mergeCell ref="P24:Q24"/>
    <mergeCell ref="R24:S24"/>
    <mergeCell ref="F26:K26"/>
    <mergeCell ref="J19:K19"/>
    <mergeCell ref="C40:D40"/>
    <mergeCell ref="AD11:AE11"/>
    <mergeCell ref="H19:I19"/>
    <mergeCell ref="G20:K20"/>
    <mergeCell ref="G22:K22"/>
    <mergeCell ref="G25:K25"/>
    <mergeCell ref="F21:K21"/>
    <mergeCell ref="H24:I24"/>
    <mergeCell ref="J24:K24"/>
    <mergeCell ref="O25:S25"/>
    <mergeCell ref="N21:S21"/>
    <mergeCell ref="R19:S19"/>
    <mergeCell ref="Y12:Z12"/>
    <mergeCell ref="Y13:Z13"/>
    <mergeCell ref="P14:Q14"/>
    <mergeCell ref="R14:S14"/>
    <mergeCell ref="P19:Q19"/>
    <mergeCell ref="U12:V12"/>
    <mergeCell ref="U13:V13"/>
    <mergeCell ref="U14:V14"/>
    <mergeCell ref="U15:V15"/>
    <mergeCell ref="U16:V16"/>
  </mergeCells>
  <phoneticPr fontId="11" type="noConversion"/>
  <conditionalFormatting sqref="V28 V30 V32 V34 V36">
    <cfRule type="expression" dxfId="80" priority="90">
      <formula>IF(V28="超过上限",1,0)=1</formula>
    </cfRule>
  </conditionalFormatting>
  <conditionalFormatting sqref="W37:W38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{B4D13065-F60D-47D4-8A49-617F7A344185}</x14:id>
        </ext>
      </extLst>
    </cfRule>
  </conditionalFormatting>
  <conditionalFormatting sqref="D13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{BF6AA3C4-A165-41FF-B4CD-F5E2012B59B0}</x14:id>
        </ext>
      </extLst>
    </cfRule>
  </conditionalFormatting>
  <conditionalFormatting sqref="D14:D20 D12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{BDFF70A5-719E-4042-9F64-98E4C5059EA3}</x14:id>
        </ext>
      </extLst>
    </cfRule>
  </conditionalFormatting>
  <conditionalFormatting sqref="D12:D19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{52990C8B-A1D2-4153-84C6-D4C02594ED80}</x14:id>
        </ext>
      </extLst>
    </cfRule>
  </conditionalFormatting>
  <conditionalFormatting sqref="D12:D20">
    <cfRule type="dataBar" priority="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{E03788C9-A506-4730-AFB0-8F1E631B938E}</x14:id>
        </ext>
      </extLst>
    </cfRule>
  </conditionalFormatting>
  <conditionalFormatting sqref="Z27:AB38">
    <cfRule type="expression" dxfId="79" priority="82">
      <formula>IF(Z27&lt;&gt;"",1,0)=1</formula>
    </cfRule>
  </conditionalFormatting>
  <conditionalFormatting sqref="G34:K34">
    <cfRule type="expression" dxfId="78" priority="81">
      <formula>IF(COUNTIF($G$34,"*橙武*")&gt;0,1,0)=1</formula>
    </cfRule>
  </conditionalFormatting>
  <conditionalFormatting sqref="G35:G36 O28 G28 G23:G24 G18:G19 G13:G14 I36 O35 O23:O24 O18:O19 O13:O14">
    <cfRule type="cellIs" dxfId="77" priority="51" operator="greaterThanOrEqual">
      <formula>7</formula>
    </cfRule>
  </conditionalFormatting>
  <conditionalFormatting sqref="D33:D34">
    <cfRule type="expression" dxfId="76" priority="98">
      <formula>IF(#REF!="结庐在江湖",1,0)=1</formula>
    </cfRule>
  </conditionalFormatting>
  <conditionalFormatting sqref="G13:G14 G18:G19 G23:G24 G28 O28 G35:G36 I36 O35 O23:O24 O18:O19 O13:O14">
    <cfRule type="cellIs" dxfId="75" priority="52" operator="greaterThanOrEqual">
      <formula>5</formula>
    </cfRule>
  </conditionalFormatting>
  <conditionalFormatting sqref="G13:G14 G18:G19 G23:G24 G28 O28 G35:G36 I36 O35 O23:O24 O18:O19 O13:O14">
    <cfRule type="cellIs" dxfId="74" priority="53" operator="greaterThanOrEqual">
      <formula>3</formula>
    </cfRule>
  </conditionalFormatting>
  <conditionalFormatting sqref="G13:G14 G18:G19 G23:G24 G28 O28 G35:G36 I36 O35 O23:O24 O18:O19 O13:O14">
    <cfRule type="cellIs" dxfId="73" priority="54" operator="greaterThanOrEqual">
      <formula>1</formula>
    </cfRule>
  </conditionalFormatting>
  <conditionalFormatting sqref="G13:G14 G18:G19 G23:G24 G28 O28 G35:G36 I36 O35 O23:O24 O18:O19 O13:O14">
    <cfRule type="cellIs" dxfId="72" priority="79" operator="equal">
      <formula>0</formula>
    </cfRule>
  </conditionalFormatting>
  <conditionalFormatting sqref="W14:W18">
    <cfRule type="expression" dxfId="71" priority="20">
      <formula>IF(COUNTIF(W14,"*紫*")&gt;0,1,0)</formula>
    </cfRule>
    <cfRule type="expression" dxfId="70" priority="21">
      <formula>IF(COUNTIF(W14,"*蓝*")&gt;0,1,0)</formula>
    </cfRule>
  </conditionalFormatting>
  <conditionalFormatting sqref="O20:S20">
    <cfRule type="cellIs" dxfId="69" priority="19" operator="equal">
      <formula>"无"</formula>
    </cfRule>
  </conditionalFormatting>
  <conditionalFormatting sqref="O29:P29 G29:H29">
    <cfRule type="cellIs" dxfId="68" priority="16" operator="notEqual">
      <formula>"无"</formula>
    </cfRule>
  </conditionalFormatting>
  <conditionalFormatting sqref="M30:M32">
    <cfRule type="expression" dxfId="67" priority="15">
      <formula>IF($M$29="无",1,0)=1</formula>
    </cfRule>
  </conditionalFormatting>
  <conditionalFormatting sqref="AD34:AE34">
    <cfRule type="expression" dxfId="66" priority="5">
      <formula>IF(COUNTIF($AD$33,"*导出*")&gt;0,1,0)=1</formula>
    </cfRule>
  </conditionalFormatting>
  <conditionalFormatting sqref="AD35:AE35">
    <cfRule type="expression" dxfId="65" priority="145">
      <formula>IF(COUNTIF($AD$33,"*导出*")&gt;0,1,0)=1</formula>
    </cfRule>
  </conditionalFormatting>
  <conditionalFormatting sqref="AD36:AE37">
    <cfRule type="expression" dxfId="64" priority="146">
      <formula>IF(COUNTIF($AD$33,"*导出*")&gt;0,1,0)=1</formula>
    </cfRule>
  </conditionalFormatting>
  <conditionalFormatting sqref="F11:K36 L27:M32 N11:S36">
    <cfRule type="expression" dxfId="63" priority="147">
      <formula>IF(COUNTIF($AD$33,"*魔盒*")&gt;0,1,0)=1</formula>
    </cfRule>
  </conditionalFormatting>
  <conditionalFormatting sqref="M13">
    <cfRule type="expression" dxfId="62" priority="159">
      <formula>IF($AE$23&lt;&gt;0,1,0)=1</formula>
    </cfRule>
  </conditionalFormatting>
  <conditionalFormatting sqref="M20">
    <cfRule type="expression" dxfId="61" priority="160">
      <formula>IF($AE$28&lt;&gt;0,1,0)=1</formula>
    </cfRule>
  </conditionalFormatting>
  <conditionalFormatting sqref="M21:M22">
    <cfRule type="expression" dxfId="60" priority="161">
      <formula>IF($AE$29&lt;&gt;0,1,0)=1</formula>
    </cfRule>
  </conditionalFormatting>
  <conditionalFormatting sqref="M23">
    <cfRule type="expression" dxfId="59" priority="162">
      <formula>IF($AE$30&lt;&gt;0,1,0)=1</formula>
    </cfRule>
  </conditionalFormatting>
  <conditionalFormatting sqref="M14">
    <cfRule type="expression" dxfId="58" priority="163">
      <formula>IF(OR($AE$23&lt;&gt;0,$AE$24&lt;&gt;0),1,0)=1</formula>
    </cfRule>
  </conditionalFormatting>
  <conditionalFormatting sqref="M15">
    <cfRule type="expression" dxfId="57" priority="164">
      <formula>IF($AE$24&lt;&gt;0,1,0)=1</formula>
    </cfRule>
  </conditionalFormatting>
  <conditionalFormatting sqref="M16:M19">
    <cfRule type="expression" dxfId="56" priority="165">
      <formula>IF(AE25&lt;&gt;0,1,0)=1</formula>
    </cfRule>
  </conditionalFormatting>
  <conditionalFormatting sqref="M24">
    <cfRule type="expression" dxfId="55" priority="166">
      <formula>IF($AE$31&lt;&gt;0,1,0)=1</formula>
    </cfRule>
  </conditionalFormatting>
  <conditionalFormatting sqref="M12">
    <cfRule type="expression" dxfId="54" priority="167">
      <formula>IF($AE$22&lt;&gt;0,1,0)=1</formula>
    </cfRule>
  </conditionalFormatting>
  <conditionalFormatting sqref="W14:W17">
    <cfRule type="expression" dxfId="53" priority="1">
      <formula>IF(COUNTIF(W14,"*奇遇*")&gt;0,1,0)</formula>
    </cfRule>
  </conditionalFormatting>
  <dataValidations count="16">
    <dataValidation type="list" allowBlank="1" showInputMessage="1" showErrorMessage="1" sqref="L11:M11" xr:uid="{2B38DA90-EFBD-46ED-BB21-0B9ED9391819}">
      <formula1>"无增益面板,带增益面板"</formula1>
    </dataValidation>
    <dataValidation type="list" allowBlank="1" showInputMessage="1" showErrorMessage="1" sqref="G23:G24 O35 O28 G18:G19 G35:G36 G13:G14 G28 O18:O19 O23:O24 O13:O14 I36" xr:uid="{E9345AC3-347D-4F3B-AE1D-88A6FF9B8195}">
      <formula1>"0,1,2,3,4,5,6,7,8"</formula1>
    </dataValidation>
    <dataValidation type="list" allowBlank="1" showInputMessage="1" showErrorMessage="1" sqref="AB18 Y12:Y15 Y18 Y21 AE16:AE17 Y23 AB12 AB15" xr:uid="{18ED99A7-8F2A-4361-B942-FDECD454CE73}">
      <formula1>"0,1"</formula1>
    </dataValidation>
    <dataValidation type="list" allowBlank="1" showInputMessage="1" showErrorMessage="1" sqref="M29" xr:uid="{858774B7-3B5B-45C7-9ECD-2DEC23156894}">
      <formula1>"无,肆,伍,陆"</formula1>
    </dataValidation>
    <dataValidation type="list" allowBlank="1" showInputMessage="1" showErrorMessage="1" sqref="Y19" xr:uid="{21E24CD8-EAA6-4F13-ADAE-DA9EF0BFF1F5}">
      <formula1>"0,1,2,3"</formula1>
    </dataValidation>
    <dataValidation type="list" allowBlank="1" showInputMessage="1" sqref="Y17 AE18" xr:uid="{965EA8F0-BFDE-48E0-92D1-A1CFE76F5C89}">
      <formula1>"0,1"</formula1>
    </dataValidation>
    <dataValidation type="list" allowBlank="1" showInputMessage="1" showErrorMessage="1" sqref="Y16" xr:uid="{B0373B8C-E279-4D74-A8AC-CE905B5DF7FD}">
      <formula1>"0,1,2,3,4,5,6"</formula1>
    </dataValidation>
    <dataValidation type="list" allowBlank="1" showInputMessage="1" showErrorMessage="1" sqref="W12" xr:uid="{94A9BA07-EC19-494B-9015-4B7059E68E5F}">
      <formula1>"计算增益,不计算增益"</formula1>
    </dataValidation>
    <dataValidation type="list" allowBlank="1" showInputMessage="1" showErrorMessage="1" sqref="AB17 AB21" xr:uid="{3FC93711-7FEF-49E4-ABD5-79233DD56EC9}">
      <formula1>"0,1,2,3,4,5"</formula1>
    </dataValidation>
    <dataValidation type="list" allowBlank="1" showInputMessage="1" showErrorMessage="1" sqref="AB19" xr:uid="{8FD19D6B-8112-4414-AE53-81BAE6A56128}">
      <formula1>"0%,50%,75%,100%"</formula1>
    </dataValidation>
    <dataValidation type="list" allowBlank="1" showInputMessage="1" showErrorMessage="1" sqref="AE15" xr:uid="{5CE9E4DD-EB77-4BF6-A375-A7238327F344}">
      <formula1>"自动开雷,完美开雷"</formula1>
    </dataValidation>
    <dataValidation type="list" allowBlank="1" showInputMessage="1" showErrorMessage="1" sqref="W22" xr:uid="{C4B9FFA7-9FB4-41D0-934C-FC161853E153}">
      <formula1>"0,1,2,3,4,5,6,7,8,9,10,11,12,13,14,15,16,17,18,19,20,21,22,23,24"</formula1>
    </dataValidation>
    <dataValidation type="list" allowBlank="1" showInputMessage="1" showErrorMessage="1" sqref="AB13" xr:uid="{7CBC85EA-FC48-44AE-BEFC-FADE5C29C99A}">
      <formula1>"0,1,2,3,4,5,6,7,8,9,10,11,12,13,14,15,16,17,18,19,20,21,22,23,24,25,26,27,28,29,30,31,32,33,34,35,36"</formula1>
    </dataValidation>
    <dataValidation type="list" allowBlank="1" showInputMessage="1" showErrorMessage="1" sqref="AB14" xr:uid="{CE1F7250-3A0B-476A-B5EE-B963AE7A0C73}">
      <formula1>"0,1,2,3,4,5,6,7,8,9,10,11,12,13,14,15,16,17,18,19,20,21,22,23,24,25,26,27,28,29,30,31,32,33,34,35,36,37,38,39,40,41,42,43,44,45,46,47,48"</formula1>
    </dataValidation>
    <dataValidation type="list" allowBlank="1" showInputMessage="1" showErrorMessage="1" sqref="W24" xr:uid="{B3741F7D-5CDB-4B1E-8475-7B10FCA26EEB}">
      <formula1>"戒火,秋肃,无"</formula1>
    </dataValidation>
    <dataValidation type="list" allowBlank="1" showInputMessage="1" showErrorMessage="1" sqref="AD33:AE33" xr:uid="{FDCCA24B-A09F-4B7A-A0B2-775111BB6C76}">
      <formula1>"使用内置配装器,使用魔盒导出数据"</formula1>
    </dataValidation>
  </dataValidations>
  <hyperlinks>
    <hyperlink ref="C38:D38" r:id="rId1" display="获取最新版本" xr:uid="{902B4092-575B-4D82-8535-D98F978C953B}"/>
    <hyperlink ref="AD36" r:id="rId2" xr:uid="{50D1A313-365A-445C-A47E-9E5A6099EC46}"/>
    <hyperlink ref="AD37" r:id="rId3" display="查看导入说明" xr:uid="{7CE2BBF1-D7E5-403D-9AA0-EC304EEC34AB}"/>
    <hyperlink ref="AD37:AE37" location="配装页面!BF1" display="查看导入说明" xr:uid="{19D1E1CB-BF62-48BE-8960-3664BDE9047D}"/>
    <hyperlink ref="AV26" location="配装页面!A1" display="点此返回配装器页面" xr:uid="{88FB27F8-2FD7-4C9C-A4F8-3C5D9ACDA3E8}"/>
    <hyperlink ref="AP14" r:id="rId4" display="魔盒配装器" xr:uid="{10BB5C09-85CE-4B33-9B86-F56753BFE4B2}"/>
  </hyperlinks>
  <pageMargins left="0.7" right="0.7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8" r:id="rId8" name="Check Box 12">
              <controlPr locked="0" defaultSize="0" autoPict="0">
                <anchor moveWithCells="1">
                  <from>
                    <xdr:col>22</xdr:col>
                    <xdr:colOff>7620</xdr:colOff>
                    <xdr:row>27</xdr:row>
                    <xdr:rowOff>30480</xdr:rowOff>
                  </from>
                  <to>
                    <xdr:col>22</xdr:col>
                    <xdr:colOff>617220</xdr:colOff>
                    <xdr:row>27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9" r:id="rId9" name="Check Box 13">
              <controlPr locked="0" defaultSize="0" autoPict="0" altText="4%伤害">
                <anchor moveWithCells="1">
                  <from>
                    <xdr:col>22</xdr:col>
                    <xdr:colOff>769620</xdr:colOff>
                    <xdr:row>27</xdr:row>
                    <xdr:rowOff>30480</xdr:rowOff>
                  </from>
                  <to>
                    <xdr:col>22</xdr:col>
                    <xdr:colOff>1394460</xdr:colOff>
                    <xdr:row>27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0" r:id="rId10" name="Check Box 14">
              <controlPr locked="0" defaultSize="0" autoPict="0">
                <anchor moveWithCells="1">
                  <from>
                    <xdr:col>23</xdr:col>
                    <xdr:colOff>30480</xdr:colOff>
                    <xdr:row>27</xdr:row>
                    <xdr:rowOff>30480</xdr:rowOff>
                  </from>
                  <to>
                    <xdr:col>23</xdr:col>
                    <xdr:colOff>640080</xdr:colOff>
                    <xdr:row>27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1" r:id="rId11" name="Check Box 15">
              <controlPr locked="0" defaultSize="0" autoPict="0">
                <anchor moveWithCells="1">
                  <from>
                    <xdr:col>22</xdr:col>
                    <xdr:colOff>7620</xdr:colOff>
                    <xdr:row>28</xdr:row>
                    <xdr:rowOff>30480</xdr:rowOff>
                  </from>
                  <to>
                    <xdr:col>22</xdr:col>
                    <xdr:colOff>617220</xdr:colOff>
                    <xdr:row>28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2" r:id="rId12" name="Check Box 16">
              <controlPr locked="0" defaultSize="0" autoPict="0">
                <anchor moveWithCells="1">
                  <from>
                    <xdr:col>23</xdr:col>
                    <xdr:colOff>22860</xdr:colOff>
                    <xdr:row>28</xdr:row>
                    <xdr:rowOff>30480</xdr:rowOff>
                  </from>
                  <to>
                    <xdr:col>23</xdr:col>
                    <xdr:colOff>640080</xdr:colOff>
                    <xdr:row>28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5" r:id="rId13" name="Check Box 19">
              <controlPr locked="0" defaultSize="0" autoPict="0">
                <anchor moveWithCells="1">
                  <from>
                    <xdr:col>22</xdr:col>
                    <xdr:colOff>769620</xdr:colOff>
                    <xdr:row>28</xdr:row>
                    <xdr:rowOff>30480</xdr:rowOff>
                  </from>
                  <to>
                    <xdr:col>22</xdr:col>
                    <xdr:colOff>1379220</xdr:colOff>
                    <xdr:row>28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7" r:id="rId14" name="Check Box 21">
              <controlPr defaultSize="0" autoPict="0">
                <anchor moveWithCells="1">
                  <from>
                    <xdr:col>22</xdr:col>
                    <xdr:colOff>38100</xdr:colOff>
                    <xdr:row>29</xdr:row>
                    <xdr:rowOff>38100</xdr:rowOff>
                  </from>
                  <to>
                    <xdr:col>22</xdr:col>
                    <xdr:colOff>632460</xdr:colOff>
                    <xdr:row>29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9" r:id="rId15" name="Check Box 23">
              <controlPr locked="0" defaultSize="0" autoPict="0">
                <anchor moveWithCells="1">
                  <from>
                    <xdr:col>22</xdr:col>
                    <xdr:colOff>769620</xdr:colOff>
                    <xdr:row>29</xdr:row>
                    <xdr:rowOff>38100</xdr:rowOff>
                  </from>
                  <to>
                    <xdr:col>22</xdr:col>
                    <xdr:colOff>1379220</xdr:colOff>
                    <xdr:row>29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0" r:id="rId16" name="Check Box 24">
              <controlPr locked="0" defaultSize="0" autoPict="0" altText="4%伤害">
                <anchor moveWithCells="1">
                  <from>
                    <xdr:col>23</xdr:col>
                    <xdr:colOff>22860</xdr:colOff>
                    <xdr:row>29</xdr:row>
                    <xdr:rowOff>38100</xdr:rowOff>
                  </from>
                  <to>
                    <xdr:col>23</xdr:col>
                    <xdr:colOff>632460</xdr:colOff>
                    <xdr:row>29</xdr:row>
                    <xdr:rowOff>182880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1" r:id="rId17" name="Check Box 25">
              <controlPr locked="0" defaultSize="0" autoPict="0">
                <anchor moveWithCells="1">
                  <from>
                    <xdr:col>22</xdr:col>
                    <xdr:colOff>38100</xdr:colOff>
                    <xdr:row>30</xdr:row>
                    <xdr:rowOff>30480</xdr:rowOff>
                  </from>
                  <to>
                    <xdr:col>22</xdr:col>
                    <xdr:colOff>647700</xdr:colOff>
                    <xdr:row>30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4" r:id="rId18" name="Check Box 28">
              <controlPr locked="0" defaultSize="0" autoPict="0">
                <anchor moveWithCells="1">
                  <from>
                    <xdr:col>22</xdr:col>
                    <xdr:colOff>762000</xdr:colOff>
                    <xdr:row>32</xdr:row>
                    <xdr:rowOff>7620</xdr:rowOff>
                  </from>
                  <to>
                    <xdr:col>22</xdr:col>
                    <xdr:colOff>1379220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5" r:id="rId19" name="Check Box 29">
              <controlPr locked="0" defaultSize="0" autoPict="0">
                <anchor moveWithCells="1">
                  <from>
                    <xdr:col>22</xdr:col>
                    <xdr:colOff>38100</xdr:colOff>
                    <xdr:row>32</xdr:row>
                    <xdr:rowOff>7620</xdr:rowOff>
                  </from>
                  <to>
                    <xdr:col>22</xdr:col>
                    <xdr:colOff>647700</xdr:colOff>
                    <xdr:row>32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6" r:id="rId20" name="Check Box 30">
              <controlPr defaultSize="0" autoPict="0">
                <anchor moveWithCells="1">
                  <from>
                    <xdr:col>22</xdr:col>
                    <xdr:colOff>38100</xdr:colOff>
                    <xdr:row>31</xdr:row>
                    <xdr:rowOff>22860</xdr:rowOff>
                  </from>
                  <to>
                    <xdr:col>22</xdr:col>
                    <xdr:colOff>632460</xdr:colOff>
                    <xdr:row>31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7" r:id="rId21" name="Check Box 31">
              <controlPr locked="0" defaultSize="0" autoPict="0" altText="4%伤害">
                <anchor moveWithCells="1">
                  <from>
                    <xdr:col>22</xdr:col>
                    <xdr:colOff>769620</xdr:colOff>
                    <xdr:row>31</xdr:row>
                    <xdr:rowOff>22860</xdr:rowOff>
                  </from>
                  <to>
                    <xdr:col>22</xdr:col>
                    <xdr:colOff>1379220</xdr:colOff>
                    <xdr:row>31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8" r:id="rId22" name="Check Box 32">
              <controlPr locked="0" defaultSize="0" autoPict="0">
                <anchor moveWithCells="1">
                  <from>
                    <xdr:col>23</xdr:col>
                    <xdr:colOff>22860</xdr:colOff>
                    <xdr:row>31</xdr:row>
                    <xdr:rowOff>22860</xdr:rowOff>
                  </from>
                  <to>
                    <xdr:col>23</xdr:col>
                    <xdr:colOff>632460</xdr:colOff>
                    <xdr:row>31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9" r:id="rId23" name="Check Box 33">
              <controlPr locked="0" defaultSize="0" autoPict="0" altText="4%伤害">
                <anchor moveWithCells="1">
                  <from>
                    <xdr:col>22</xdr:col>
                    <xdr:colOff>38100</xdr:colOff>
                    <xdr:row>35</xdr:row>
                    <xdr:rowOff>30480</xdr:rowOff>
                  </from>
                  <to>
                    <xdr:col>22</xdr:col>
                    <xdr:colOff>647700</xdr:colOff>
                    <xdr:row>35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0" r:id="rId24" name="Check Box 34">
              <controlPr locked="0" defaultSize="0" autoPict="0">
                <anchor moveWithCells="1">
                  <from>
                    <xdr:col>22</xdr:col>
                    <xdr:colOff>769620</xdr:colOff>
                    <xdr:row>35</xdr:row>
                    <xdr:rowOff>30480</xdr:rowOff>
                  </from>
                  <to>
                    <xdr:col>22</xdr:col>
                    <xdr:colOff>1379220</xdr:colOff>
                    <xdr:row>35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1" r:id="rId25" name="Check Box 35">
              <controlPr locked="0" defaultSize="0" autoPict="0">
                <anchor moveWithCells="1">
                  <from>
                    <xdr:col>22</xdr:col>
                    <xdr:colOff>762000</xdr:colOff>
                    <xdr:row>34</xdr:row>
                    <xdr:rowOff>22860</xdr:rowOff>
                  </from>
                  <to>
                    <xdr:col>22</xdr:col>
                    <xdr:colOff>1379220</xdr:colOff>
                    <xdr:row>34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2" r:id="rId26" name="Check Box 36">
              <controlPr locked="0" defaultSize="0" autoPict="0">
                <anchor moveWithCells="1">
                  <from>
                    <xdr:col>22</xdr:col>
                    <xdr:colOff>38100</xdr:colOff>
                    <xdr:row>34</xdr:row>
                    <xdr:rowOff>22860</xdr:rowOff>
                  </from>
                  <to>
                    <xdr:col>22</xdr:col>
                    <xdr:colOff>647700</xdr:colOff>
                    <xdr:row>34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3" r:id="rId27" name="Check Box 37">
              <controlPr defaultSize="0" autoPict="0">
                <anchor moveWithCells="1">
                  <from>
                    <xdr:col>22</xdr:col>
                    <xdr:colOff>38100</xdr:colOff>
                    <xdr:row>33</xdr:row>
                    <xdr:rowOff>30480</xdr:rowOff>
                  </from>
                  <to>
                    <xdr:col>22</xdr:col>
                    <xdr:colOff>647700</xdr:colOff>
                    <xdr:row>33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4" r:id="rId28" name="Check Box 38">
              <controlPr locked="0" defaultSize="0" autoPict="0" altText="4%伤害">
                <anchor moveWithCells="1">
                  <from>
                    <xdr:col>22</xdr:col>
                    <xdr:colOff>769620</xdr:colOff>
                    <xdr:row>33</xdr:row>
                    <xdr:rowOff>30480</xdr:rowOff>
                  </from>
                  <to>
                    <xdr:col>22</xdr:col>
                    <xdr:colOff>1379220</xdr:colOff>
                    <xdr:row>33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5" r:id="rId29" name="Check Box 39">
              <controlPr locked="0" defaultSize="0" autoPict="0">
                <anchor moveWithCells="1">
                  <from>
                    <xdr:col>23</xdr:col>
                    <xdr:colOff>22860</xdr:colOff>
                    <xdr:row>33</xdr:row>
                    <xdr:rowOff>30480</xdr:rowOff>
                  </from>
                  <to>
                    <xdr:col>23</xdr:col>
                    <xdr:colOff>632460</xdr:colOff>
                    <xdr:row>33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6" r:id="rId30" name="Check Box 60">
              <controlPr defaultSize="0" autoFill="0" autoLine="0" autoPict="0">
                <anchor moveWithCells="1">
                  <from>
                    <xdr:col>22</xdr:col>
                    <xdr:colOff>220980</xdr:colOff>
                    <xdr:row>25</xdr:row>
                    <xdr:rowOff>0</xdr:rowOff>
                  </from>
                  <to>
                    <xdr:col>22</xdr:col>
                    <xdr:colOff>708660</xdr:colOff>
                    <xdr:row>26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7" r:id="rId31" name="Check Box 61">
              <controlPr defaultSize="0" autoFill="0" autoLine="0" autoPict="0">
                <anchor moveWithCells="1">
                  <from>
                    <xdr:col>22</xdr:col>
                    <xdr:colOff>868680</xdr:colOff>
                    <xdr:row>25</xdr:row>
                    <xdr:rowOff>0</xdr:rowOff>
                  </from>
                  <to>
                    <xdr:col>22</xdr:col>
                    <xdr:colOff>1356360</xdr:colOff>
                    <xdr:row>26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8" r:id="rId32" name="Check Box 62">
              <controlPr defaultSize="0" autoFill="0" autoLine="0" autoPict="0">
                <anchor moveWithCells="1">
                  <from>
                    <xdr:col>22</xdr:col>
                    <xdr:colOff>1516380</xdr:colOff>
                    <xdr:row>25</xdr:row>
                    <xdr:rowOff>0</xdr:rowOff>
                  </from>
                  <to>
                    <xdr:col>23</xdr:col>
                    <xdr:colOff>480060</xdr:colOff>
                    <xdr:row>26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9" r:id="rId33" name="Check Box 63">
              <controlPr defaultSize="0" autoFill="0" autoLine="0" autoPict="0">
                <anchor moveWithCells="1">
                  <from>
                    <xdr:col>22</xdr:col>
                    <xdr:colOff>220980</xdr:colOff>
                    <xdr:row>25</xdr:row>
                    <xdr:rowOff>198120</xdr:rowOff>
                  </from>
                  <to>
                    <xdr:col>22</xdr:col>
                    <xdr:colOff>708660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0" r:id="rId34" name="Check Box 64">
              <controlPr defaultSize="0" autoFill="0" autoLine="0" autoPict="0">
                <anchor moveWithCells="1">
                  <from>
                    <xdr:col>22</xdr:col>
                    <xdr:colOff>861060</xdr:colOff>
                    <xdr:row>25</xdr:row>
                    <xdr:rowOff>198120</xdr:rowOff>
                  </from>
                  <to>
                    <xdr:col>22</xdr:col>
                    <xdr:colOff>1341120</xdr:colOff>
                    <xdr:row>27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1" r:id="rId35" name="Check Box 65">
              <controlPr defaultSize="0" autoFill="0" autoLine="0" autoPict="0">
                <anchor moveWithCells="1">
                  <from>
                    <xdr:col>22</xdr:col>
                    <xdr:colOff>1516380</xdr:colOff>
                    <xdr:row>25</xdr:row>
                    <xdr:rowOff>198120</xdr:rowOff>
                  </from>
                  <to>
                    <xdr:col>23</xdr:col>
                    <xdr:colOff>480060</xdr:colOff>
                    <xdr:row>27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4D13065-F60D-47D4-8A49-617F7A344185}">
            <x14:dataBar minLength="0" maxLength="100" border="1" negativeBarBorderColorSameAsPositive="0">
              <x14:cfvo type="autoMin"/>
              <x14:cfvo type="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W37:W38</xm:sqref>
        </x14:conditionalFormatting>
        <x14:conditionalFormatting xmlns:xm="http://schemas.microsoft.com/office/excel/2006/main">
          <x14:cfRule type="dataBar" id="{BF6AA3C4-A165-41FF-B4CD-F5E2012B59B0}">
            <x14:dataBar minLength="0" maxLength="100" border="1" negativeBarBorderColorSameAsPositive="0">
              <x14:cfvo type="autoMin"/>
              <x14:cfvo type="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D13</xm:sqref>
        </x14:conditionalFormatting>
        <x14:conditionalFormatting xmlns:xm="http://schemas.microsoft.com/office/excel/2006/main">
          <x14:cfRule type="dataBar" id="{BDFF70A5-719E-4042-9F64-98E4C5059EA3}">
            <x14:dataBar minLength="0" maxLength="100" border="1" negativeBarBorderColorSameAsPositive="0">
              <x14:cfvo type="autoMin"/>
              <x14:cfvo type="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D14:D20 D12</xm:sqref>
        </x14:conditionalFormatting>
        <x14:conditionalFormatting xmlns:xm="http://schemas.microsoft.com/office/excel/2006/main">
          <x14:cfRule type="dataBar" id="{52990C8B-A1D2-4153-84C6-D4C02594E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D12:D19</xm:sqref>
        </x14:conditionalFormatting>
        <x14:conditionalFormatting xmlns:xm="http://schemas.microsoft.com/office/excel/2006/main">
          <x14:cfRule type="dataBar" id="{E03788C9-A506-4730-AFB0-8F1E631B93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D12:D20</xm:sqref>
        </x14:conditionalFormatting>
        <x14:conditionalFormatting xmlns:xm="http://schemas.microsoft.com/office/excel/2006/main">
          <x14:cfRule type="expression" priority="50" id="{1A729358-E664-4720-A635-1D5C871B4F33}">
            <xm:f>IF(装备库!$AH$1075=0,1,0)=1</xm:f>
            <x14:dxf>
              <fill>
                <patternFill>
                  <bgColor rgb="FFFFCCCC"/>
                </patternFill>
              </fill>
            </x14:dxf>
          </x14:cfRule>
          <x14:cfRule type="expression" priority="80" id="{BF92ABA6-055C-4A32-8259-98338E16A63E}">
            <xm:f>IF(装备库!BG1066=0,1,0)=1</xm:f>
            <x14:dxf>
              <fill>
                <patternFill>
                  <bgColor theme="2" tint="-9.9948118533890809E-2"/>
                </patternFill>
              </fill>
            </x14:dxf>
          </x14:cfRule>
          <xm:sqref>M30:M32</xm:sqref>
        </x14:conditionalFormatting>
        <x14:conditionalFormatting xmlns:xm="http://schemas.microsoft.com/office/excel/2006/main">
          <x14:cfRule type="cellIs" priority="78" operator="notEqual" id="{B0F9FF32-C037-4512-BC78-53C16DE51B52}">
            <xm:f>装备库!$B$1072</xm:f>
            <x14:dxf>
              <font>
                <b/>
                <i val="0"/>
                <color rgb="FFC00000"/>
              </font>
            </x14:dxf>
          </x14:cfRule>
          <xm:sqref>I13</xm:sqref>
        </x14:conditionalFormatting>
        <x14:conditionalFormatting xmlns:xm="http://schemas.microsoft.com/office/excel/2006/main">
          <x14:cfRule type="cellIs" priority="77" operator="notEqual" id="{CDC66F77-32A9-4B39-85FA-D5091677E84F}">
            <xm:f>装备库!$B$1073</xm:f>
            <x14:dxf>
              <font>
                <b/>
                <i val="0"/>
                <color rgb="FFC00000"/>
              </font>
            </x14:dxf>
          </x14:cfRule>
          <xm:sqref>I18</xm:sqref>
        </x14:conditionalFormatting>
        <x14:conditionalFormatting xmlns:xm="http://schemas.microsoft.com/office/excel/2006/main">
          <x14:cfRule type="cellIs" priority="76" operator="notEqual" id="{95E2ADDB-006A-4B92-A32B-5DB3C32F1C6F}">
            <xm:f>装备库!$B$1074</xm:f>
            <x14:dxf>
              <font>
                <b/>
                <i val="0"/>
                <color rgb="FFC00000"/>
              </font>
            </x14:dxf>
          </x14:cfRule>
          <xm:sqref>I23</xm:sqref>
        </x14:conditionalFormatting>
        <x14:conditionalFormatting xmlns:xm="http://schemas.microsoft.com/office/excel/2006/main">
          <x14:cfRule type="cellIs" priority="75" operator="notEqual" id="{0F1667E5-34A3-4F41-B656-9E8FF49CFA50}">
            <xm:f>装备库!$B$1078</xm:f>
            <x14:dxf>
              <font>
                <b/>
                <i val="0"/>
                <color rgb="FFC00000"/>
              </font>
            </x14:dxf>
          </x14:cfRule>
          <xm:sqref>I28</xm:sqref>
        </x14:conditionalFormatting>
        <x14:conditionalFormatting xmlns:xm="http://schemas.microsoft.com/office/excel/2006/main">
          <x14:cfRule type="cellIs" priority="74" operator="notEqual" id="{49A29179-8429-4CB4-99AB-F82014AEFE9E}">
            <xm:f>装备库!$B$1079</xm:f>
            <x14:dxf>
              <font>
                <b/>
                <i val="0"/>
                <color rgb="FFC00000"/>
              </font>
            </x14:dxf>
          </x14:cfRule>
          <xm:sqref>Q28</xm:sqref>
        </x14:conditionalFormatting>
        <x14:conditionalFormatting xmlns:xm="http://schemas.microsoft.com/office/excel/2006/main">
          <x14:cfRule type="cellIs" priority="73" operator="notEqual" id="{C437EFF1-B6C1-4A58-ABFD-1CC9EF28BA88}">
            <xm:f>装备库!$B$1083</xm:f>
            <x14:dxf>
              <font>
                <b/>
                <i val="0"/>
                <color rgb="FFC00000"/>
              </font>
            </x14:dxf>
          </x14:cfRule>
          <xm:sqref>I35</xm:sqref>
        </x14:conditionalFormatting>
        <x14:conditionalFormatting xmlns:xm="http://schemas.microsoft.com/office/excel/2006/main">
          <x14:cfRule type="cellIs" priority="72" operator="notEqual" id="{4A400ADC-5CD1-4ABD-929C-B6CB5B8F8610}">
            <xm:f>装备库!$B$1075</xm:f>
            <x14:dxf>
              <font>
                <b/>
                <i val="0"/>
                <color rgb="FFC00000"/>
              </font>
            </x14:dxf>
          </x14:cfRule>
          <xm:sqref>Q13</xm:sqref>
        </x14:conditionalFormatting>
        <x14:conditionalFormatting xmlns:xm="http://schemas.microsoft.com/office/excel/2006/main">
          <x14:cfRule type="cellIs" priority="71" operator="notEqual" id="{2523704F-3F3F-4267-8AAA-D22077994F9F}">
            <xm:f>装备库!$B$1076</xm:f>
            <x14:dxf>
              <font>
                <b/>
                <i val="0"/>
                <color rgb="FFC00000"/>
              </font>
            </x14:dxf>
          </x14:cfRule>
          <xm:sqref>Q18</xm:sqref>
        </x14:conditionalFormatting>
        <x14:conditionalFormatting xmlns:xm="http://schemas.microsoft.com/office/excel/2006/main">
          <x14:cfRule type="cellIs" priority="70" operator="notEqual" id="{CC478767-54B1-4FC1-B580-11E480C8724C}">
            <xm:f>装备库!$B$1077</xm:f>
            <x14:dxf>
              <font>
                <b/>
                <i val="0"/>
                <color rgb="FFC00000"/>
              </font>
            </x14:dxf>
          </x14:cfRule>
          <xm:sqref>Q23</xm:sqref>
        </x14:conditionalFormatting>
        <x14:conditionalFormatting xmlns:xm="http://schemas.microsoft.com/office/excel/2006/main">
          <x14:cfRule type="cellIs" priority="11" operator="notEqual" id="{EBF75A9F-DC92-437B-9E10-2EF7ADBE7868}">
            <xm:f>装备库!$B$1080</xm:f>
            <x14:dxf>
              <font>
                <b/>
                <i val="0"/>
                <color rgb="FFC00000"/>
              </font>
            </x14:dxf>
          </x14:cfRule>
          <x14:cfRule type="expression" priority="69" id="{4718ADBB-F878-4030-B5F6-0C3477124A25}">
            <xm:f>IF(装备库!$B$1080=8,1,0)=1</xm:f>
            <x14:dxf>
              <font>
                <color theme="5"/>
              </font>
            </x14:dxf>
          </x14:cfRule>
          <xm:sqref>I32</xm:sqref>
        </x14:conditionalFormatting>
        <x14:conditionalFormatting xmlns:xm="http://schemas.microsoft.com/office/excel/2006/main">
          <x14:cfRule type="cellIs" priority="13" operator="notEqual" id="{E14E5F00-D33A-472C-8709-D2AE746F460C}">
            <xm:f>装备库!$B$1081</xm:f>
            <x14:dxf>
              <font>
                <b/>
                <i val="0"/>
                <color rgb="FFC00000"/>
              </font>
            </x14:dxf>
          </x14:cfRule>
          <x14:cfRule type="expression" priority="68" id="{97A6CF61-E59D-4FDB-AAE4-9C650444C4E4}">
            <xm:f>IF(装备库!$B$1081=8,1,0)=1</xm:f>
            <x14:dxf>
              <font>
                <color theme="5"/>
              </font>
            </x14:dxf>
          </x14:cfRule>
          <xm:sqref>Q32</xm:sqref>
        </x14:conditionalFormatting>
        <x14:conditionalFormatting xmlns:xm="http://schemas.microsoft.com/office/excel/2006/main">
          <x14:cfRule type="cellIs" priority="67" operator="notEqual" id="{70E809F3-3F6C-4F2D-8708-9373417A37E0}">
            <xm:f>装备库!$B$1082</xm:f>
            <x14:dxf>
              <font>
                <b/>
                <i val="0"/>
                <color rgb="FFC00000"/>
              </font>
            </x14:dxf>
          </x14:cfRule>
          <xm:sqref>Q35</xm:sqref>
        </x14:conditionalFormatting>
        <x14:conditionalFormatting xmlns:xm="http://schemas.microsoft.com/office/excel/2006/main">
          <x14:cfRule type="expression" priority="47" id="{78B7B5BB-0525-48D8-BC77-9A9AF3CB3C60}">
            <xm:f>IF(装备库!$C$1084="黑",1,0)=1</xm:f>
            <x14:dxf>
              <font>
                <color theme="1"/>
              </font>
            </x14:dxf>
          </x14:cfRule>
          <x14:cfRule type="expression" priority="48" id="{885ABBF5-70C9-4838-A08D-6F3AC4108607}">
            <xm:f>IF(装备库!$C$1084="蓝",1,0)=1</xm:f>
            <x14:dxf>
              <font>
                <color theme="8"/>
              </font>
            </x14:dxf>
          </x14:cfRule>
          <x14:cfRule type="expression" priority="49" id="{49F54EB9-6981-4EF8-AE2E-9E5A30410639}">
            <xm:f>IF(装备库!$C$1084="紫",1,0)=1</xm:f>
            <x14:dxf>
              <font>
                <color rgb="FF7030A0"/>
              </font>
            </x14:dxf>
          </x14:cfRule>
          <xm:sqref>J14:K14</xm:sqref>
        </x14:conditionalFormatting>
        <x14:conditionalFormatting xmlns:xm="http://schemas.microsoft.com/office/excel/2006/main">
          <x14:cfRule type="expression" priority="44" id="{8CCA4707-033B-443E-9B9A-6E0873104499}">
            <xm:f>IF(装备库!$C$1085="紫",1,0)=1</xm:f>
            <x14:dxf>
              <font>
                <color rgb="FF7030A0"/>
              </font>
            </x14:dxf>
          </x14:cfRule>
          <x14:cfRule type="expression" priority="45" id="{68B0B5CE-FE58-4637-865C-D1B3082338FA}">
            <xm:f>IF(装备库!$C$1085="黑",1,0)=1</xm:f>
            <x14:dxf>
              <font>
                <color theme="1"/>
              </font>
            </x14:dxf>
          </x14:cfRule>
          <x14:cfRule type="expression" priority="46" id="{474092D5-91DF-4D30-9354-1CD86D863E8D}">
            <xm:f>IF(装备库!$C$1085="蓝",1,0)=1</xm:f>
            <x14:dxf>
              <font>
                <color theme="8"/>
              </font>
            </x14:dxf>
          </x14:cfRule>
          <xm:sqref>J19:K19</xm:sqref>
        </x14:conditionalFormatting>
        <x14:conditionalFormatting xmlns:xm="http://schemas.microsoft.com/office/excel/2006/main">
          <x14:cfRule type="expression" priority="41" id="{35116706-EAFC-4EEA-8B04-07C0DE496295}">
            <xm:f>IF(装备库!$C$1086="黑",1,0)=1</xm:f>
            <x14:dxf>
              <font>
                <color theme="1"/>
              </font>
            </x14:dxf>
          </x14:cfRule>
          <x14:cfRule type="expression" priority="42" id="{769B577D-CF04-464F-8781-A6B66B0E216E}">
            <xm:f>IF(装备库!$C$1086="蓝",1,0)=1</xm:f>
            <x14:dxf>
              <font>
                <color theme="8"/>
              </font>
            </x14:dxf>
          </x14:cfRule>
          <x14:cfRule type="expression" priority="43" id="{7188D104-E29F-4F2D-BF83-5587B764C4DE}">
            <xm:f>IF(装备库!$C$1086="紫",1,0)=1</xm:f>
            <x14:dxf>
              <font>
                <color rgb="FF7030A0"/>
              </font>
            </x14:dxf>
          </x14:cfRule>
          <xm:sqref>J24:K24</xm:sqref>
        </x14:conditionalFormatting>
        <x14:conditionalFormatting xmlns:xm="http://schemas.microsoft.com/office/excel/2006/main">
          <x14:cfRule type="expression" priority="38" id="{1CC2951B-85D4-4E7A-B07F-2DB96A170FE0}">
            <xm:f>IF(装备库!$C$1087="黑",1,0)=1</xm:f>
            <x14:dxf>
              <font>
                <color theme="1"/>
              </font>
            </x14:dxf>
          </x14:cfRule>
          <x14:cfRule type="expression" priority="39" id="{3B20F6E1-0470-4BFE-A4E7-65673F1FBD80}">
            <xm:f>IF(装备库!$C$1087="蓝",1,0)=1</xm:f>
            <x14:dxf>
              <font>
                <color theme="8"/>
              </font>
            </x14:dxf>
          </x14:cfRule>
          <x14:cfRule type="expression" priority="40" id="{5BC2BEAD-F6B3-46BD-8743-EC97442032EF}">
            <xm:f>IF(装备库!$C$1087="紫",1,0)=1</xm:f>
            <x14:dxf>
              <font>
                <color rgb="FF7030A0"/>
              </font>
            </x14:dxf>
          </x14:cfRule>
          <xm:sqref>R14:S14</xm:sqref>
        </x14:conditionalFormatting>
        <x14:conditionalFormatting xmlns:xm="http://schemas.microsoft.com/office/excel/2006/main">
          <x14:cfRule type="expression" priority="35" id="{6916E459-DC15-4120-9F59-A0E5E3EB9125}">
            <xm:f>IF(装备库!$C$1088="黑",1,0)=1</xm:f>
            <x14:dxf>
              <font>
                <color theme="1"/>
              </font>
            </x14:dxf>
          </x14:cfRule>
          <x14:cfRule type="expression" priority="36" id="{D4142932-1682-4CC6-9263-1841B4816C9E}">
            <xm:f>IF(装备库!$C$1088="蓝",1,0)=1</xm:f>
            <x14:dxf>
              <font>
                <color theme="8"/>
              </font>
            </x14:dxf>
          </x14:cfRule>
          <x14:cfRule type="expression" priority="37" id="{6970F28D-4A7C-4882-AC8C-8C8E278C843F}">
            <xm:f>IF(装备库!$C$1088="紫",1,0)=1</xm:f>
            <x14:dxf>
              <font>
                <color rgb="FF7030A0"/>
              </font>
            </x14:dxf>
          </x14:cfRule>
          <xm:sqref>R19:S19</xm:sqref>
        </x14:conditionalFormatting>
        <x14:conditionalFormatting xmlns:xm="http://schemas.microsoft.com/office/excel/2006/main">
          <x14:cfRule type="expression" priority="32" id="{61E51D84-D74B-466A-8F5B-FCCD8F0DE6F3}">
            <xm:f>IF(装备库!$C$1089="黑",1,0)=1</xm:f>
            <x14:dxf>
              <font>
                <color theme="1"/>
              </font>
            </x14:dxf>
          </x14:cfRule>
          <x14:cfRule type="expression" priority="33" id="{E5F5873F-6006-44F6-A157-BF8BE9FF1317}">
            <xm:f>IF(装备库!$C$1089="蓝",1,0)=1</xm:f>
            <x14:dxf>
              <font>
                <color theme="8"/>
              </font>
            </x14:dxf>
          </x14:cfRule>
          <x14:cfRule type="expression" priority="34" id="{64D4E092-CB4F-402E-BEE7-2BE1F0B03C7D}">
            <xm:f>IF(装备库!$C$1089="紫",1,0)=1</xm:f>
            <x14:dxf>
              <font>
                <color rgb="FF7030A0"/>
              </font>
            </x14:dxf>
          </x14:cfRule>
          <xm:sqref>R24:S24</xm:sqref>
        </x14:conditionalFormatting>
        <x14:conditionalFormatting xmlns:xm="http://schemas.microsoft.com/office/excel/2006/main">
          <x14:cfRule type="expression" priority="29" id="{DB03FC9A-F1C2-4B9A-9D14-E736AA5959D5}">
            <xm:f>IF(装备库!$C$1090="黑",1,0)=1</xm:f>
            <x14:dxf>
              <font>
                <color theme="1"/>
              </font>
            </x14:dxf>
          </x14:cfRule>
          <x14:cfRule type="expression" priority="30" id="{E2E45974-48AE-409E-8E2D-40589140087F}">
            <xm:f>IF(装备库!$C$1090="蓝",1,0)=1</xm:f>
            <x14:dxf>
              <font>
                <color theme="8"/>
              </font>
            </x14:dxf>
          </x14:cfRule>
          <x14:cfRule type="expression" priority="31" id="{A9767805-5B40-4559-8DF3-D60915FF4275}">
            <xm:f>IF(装备库!$C$1090="紫",1,0)=1</xm:f>
            <x14:dxf>
              <font>
                <color rgb="FF7030A0"/>
              </font>
            </x14:dxf>
          </x14:cfRule>
          <xm:sqref>G32</xm:sqref>
        </x14:conditionalFormatting>
        <x14:conditionalFormatting xmlns:xm="http://schemas.microsoft.com/office/excel/2006/main">
          <x14:cfRule type="expression" priority="27" id="{2546FA85-CDC3-4272-B0C6-E8F8AA29E3C3}">
            <xm:f>IF(装备库!$C$1091="黑",1,0)=1</xm:f>
            <x14:dxf>
              <font>
                <color theme="1"/>
              </font>
            </x14:dxf>
          </x14:cfRule>
          <x14:cfRule type="expression" priority="28" id="{706C76D2-B3FA-41DF-9D15-D48F9779EDC1}">
            <xm:f>IF(装备库!$C$1091="紫",1,0)=1</xm:f>
            <x14:dxf>
              <font>
                <color rgb="FF7030A0"/>
              </font>
            </x14:dxf>
          </x14:cfRule>
          <xm:sqref>O32</xm:sqref>
        </x14:conditionalFormatting>
        <x14:conditionalFormatting xmlns:xm="http://schemas.microsoft.com/office/excel/2006/main">
          <x14:cfRule type="expression" priority="25" id="{64338FBA-EC60-4C13-9E2A-4201546FBF48}">
            <xm:f>IF(装备库!$C$1092="黑",1,0)=1</xm:f>
            <x14:dxf>
              <font>
                <color theme="1"/>
              </font>
            </x14:dxf>
          </x14:cfRule>
          <x14:cfRule type="expression" priority="26" id="{B6113524-EF5B-464D-B131-399451D6140E}">
            <xm:f>IF(装备库!$C$1092="紫",1,0)=1</xm:f>
            <x14:dxf>
              <font>
                <color rgb="FF7030A0"/>
              </font>
            </x14:dxf>
          </x14:cfRule>
          <xm:sqref>O36:S36</xm:sqref>
        </x14:conditionalFormatting>
        <x14:conditionalFormatting xmlns:xm="http://schemas.microsoft.com/office/excel/2006/main">
          <x14:cfRule type="expression" priority="22" id="{10A5B16E-6E2E-41C0-9126-1B7A6D255613}">
            <xm:f>IF(装备库!$C$1093="黑",1,0)=1</xm:f>
            <x14:dxf>
              <font>
                <color theme="1"/>
              </font>
            </x14:dxf>
          </x14:cfRule>
          <x14:cfRule type="expression" priority="23" id="{CD79C0BD-B53D-4A95-BE7D-35A10D1D9A72}">
            <xm:f>IF(装备库!$C$1093="蓝",1,0)=1</xm:f>
            <x14:dxf>
              <font>
                <color theme="8"/>
              </font>
            </x14:dxf>
          </x14:cfRule>
          <x14:cfRule type="expression" priority="24" id="{A9AC3CC9-5E02-4487-BAFD-7EF7FEC236E5}">
            <xm:f>IF(装备库!$C$1093="紫",1,0)=1</xm:f>
            <x14:dxf>
              <font>
                <color rgb="FF7030A0"/>
              </font>
            </x14:dxf>
          </x14:cfRule>
          <xm:sqref>K36</xm:sqref>
        </x14:conditionalFormatting>
        <x14:conditionalFormatting xmlns:xm="http://schemas.microsoft.com/office/excel/2006/main">
          <x14:cfRule type="expression" priority="17" id="{8828BCB5-3CB2-498F-A61F-C8385DCAC0F2}">
            <xm:f>IF(属性开关!$AR$16=1,1,0)=1</xm:f>
            <x14:dxf>
              <font>
                <color theme="0"/>
              </font>
            </x14:dxf>
          </x14:cfRule>
          <x14:cfRule type="expression" priority="18" id="{4AA9E04C-8005-4E4B-9C7C-B2CF2ECE6063}">
            <xm:f>IFERROR(MATCH($AB$22,属性开关!$AR$18:$AR$24,0),0)=0</xm:f>
            <x14:dxf>
              <font>
                <b/>
                <i val="0"/>
                <color rgb="FFC00000"/>
              </font>
            </x14:dxf>
          </x14:cfRule>
          <xm:sqref>AB22</xm:sqref>
        </x14:conditionalFormatting>
        <x14:conditionalFormatting xmlns:xm="http://schemas.microsoft.com/office/excel/2006/main">
          <x14:cfRule type="expression" priority="14" id="{ACC5E7C2-B370-4D9D-ABFC-C5513706BF74}">
            <xm:f>IF(装备库!$B$1081=8,1,0)=1</xm:f>
            <x14:dxf>
              <font>
                <color theme="5"/>
              </font>
            </x14:dxf>
          </x14:cfRule>
          <xm:sqref>O31:S31</xm:sqref>
        </x14:conditionalFormatting>
        <x14:conditionalFormatting xmlns:xm="http://schemas.microsoft.com/office/excel/2006/main">
          <x14:cfRule type="expression" priority="12" id="{528CDBB7-1B31-4AD7-BD84-4E5026C00170}">
            <xm:f>IF(装备库!$B$1080=8,1,0)=1</xm:f>
            <x14:dxf>
              <font>
                <color theme="5"/>
              </font>
            </x14:dxf>
          </x14:cfRule>
          <xm:sqref>G31:K31</xm:sqref>
        </x14:conditionalFormatting>
        <x14:conditionalFormatting xmlns:xm="http://schemas.microsoft.com/office/excel/2006/main">
          <x14:cfRule type="expression" priority="10" id="{33B5B73C-3C5F-4CFE-9A07-E5716F7B5BC8}">
            <xm:f>IF(AND($G$15&lt;&gt;"无",大附魔数值!$P$40=0),1,0)=1</xm:f>
            <x14:dxf>
              <font>
                <b/>
                <i val="0"/>
                <color rgb="FFC00000"/>
              </font>
            </x14:dxf>
          </x14:cfRule>
          <xm:sqref>G15:K15</xm:sqref>
        </x14:conditionalFormatting>
        <x14:conditionalFormatting xmlns:xm="http://schemas.microsoft.com/office/excel/2006/main">
          <x14:cfRule type="expression" priority="9" id="{FD0B407A-4A96-440D-A503-6C9699FC4EE5}">
            <xm:f>IF(AND($G$20&lt;&gt;"无",大附魔数值!$T$40=0),1,0)=1</xm:f>
            <x14:dxf>
              <font>
                <b/>
                <i val="0"/>
                <color rgb="FFC00000"/>
              </font>
            </x14:dxf>
          </x14:cfRule>
          <xm:sqref>G20:K20</xm:sqref>
        </x14:conditionalFormatting>
        <x14:conditionalFormatting xmlns:xm="http://schemas.microsoft.com/office/excel/2006/main">
          <x14:cfRule type="expression" priority="8" id="{1CB64E68-0EE7-4F03-8FC5-2726A24AFF09}">
            <xm:f>IF(AND($G$25&lt;&gt;"无",大附魔数值!$Q$40=0),1,0)=1</xm:f>
            <x14:dxf>
              <font>
                <b/>
                <i val="0"/>
                <color rgb="FFC00000"/>
              </font>
            </x14:dxf>
          </x14:cfRule>
          <xm:sqref>G25:K25</xm:sqref>
        </x14:conditionalFormatting>
        <x14:conditionalFormatting xmlns:xm="http://schemas.microsoft.com/office/excel/2006/main">
          <x14:cfRule type="expression" priority="7" id="{B360AD14-FFB1-4793-A49D-E0A4CBDD24A0}">
            <xm:f>IF(AND($O$15&lt;&gt;"无",大附魔数值!$S$40=0),1,0)=1</xm:f>
            <x14:dxf>
              <font>
                <b/>
                <i val="0"/>
                <color rgb="FFC00000"/>
              </font>
            </x14:dxf>
          </x14:cfRule>
          <xm:sqref>O15:S15</xm:sqref>
        </x14:conditionalFormatting>
        <x14:conditionalFormatting xmlns:xm="http://schemas.microsoft.com/office/excel/2006/main">
          <x14:cfRule type="expression" priority="6" id="{8B7AB229-1221-4C75-8C03-D1AD493271EE}">
            <xm:f>IF(AND($O$25&lt;&gt;"无",大附魔数值!$R$40=0),1,0)=1</xm:f>
            <x14:dxf>
              <font>
                <b/>
                <i val="0"/>
                <color rgb="FFC00000"/>
              </font>
            </x14:dxf>
          </x14:cfRule>
          <xm:sqref>O25:S25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7">
        <x14:dataValidation type="list" allowBlank="1" showInputMessage="1" showErrorMessage="1" xr:uid="{5D0DA20B-5341-43E5-A151-909170F93867}">
          <x14:formula1>
            <xm:f>OFFSET(大附魔数值!$S$37,0,0,大附魔数值!$S$36,1)</xm:f>
          </x14:formula1>
          <xm:sqref>O15:S15</xm:sqref>
        </x14:dataValidation>
        <x14:dataValidation type="list" allowBlank="1" showInputMessage="1" showErrorMessage="1" xr:uid="{4B3CA1A1-6678-451C-AE16-E6E93BD1F18E}">
          <x14:formula1>
            <xm:f>OFFSET(大附魔数值!$Q$37,0,0,大附魔数值!$Q$36,1)</xm:f>
          </x14:formula1>
          <xm:sqref>G25:K25</xm:sqref>
        </x14:dataValidation>
        <x14:dataValidation type="list" allowBlank="1" showInputMessage="1" showErrorMessage="1" xr:uid="{B1FE1779-5BD5-483F-BA45-6C6B58024454}">
          <x14:formula1>
            <xm:f>OFFSET(大附魔数值!$R$37,0,0,大附魔数值!$R$36,1)</xm:f>
          </x14:formula1>
          <xm:sqref>O25:S25</xm:sqref>
        </x14:dataValidation>
        <x14:dataValidation type="list" allowBlank="1" showInputMessage="1" showErrorMessage="1" xr:uid="{63580FCA-4CA4-43AC-A659-DA4AF6B0E976}">
          <x14:formula1>
            <xm:f>OFFSET(大附魔数值!$T$37,0,0,大附魔数值!$T$36,1)</xm:f>
          </x14:formula1>
          <xm:sqref>G20:K20</xm:sqref>
        </x14:dataValidation>
        <x14:dataValidation type="list" allowBlank="1" showInputMessage="1" showErrorMessage="1" xr:uid="{3A22BE05-7A50-43DC-BB0D-39C106269658}">
          <x14:formula1>
            <xm:f>OFFSET(装备库!$AE$1078,0,0,装备库!$AE$1077,1)</xm:f>
          </x14:formula1>
          <xm:sqref>M32</xm:sqref>
        </x14:dataValidation>
        <x14:dataValidation type="list" allowBlank="1" showInputMessage="1" showErrorMessage="1" xr:uid="{00000000-0002-0000-0D00-00000C000000}">
          <x14:formula1>
            <xm:f>属性开关!$Q$49:$T$49</xm:f>
          </x14:formula1>
          <xm:sqref>D32</xm:sqref>
        </x14:dataValidation>
        <x14:dataValidation type="list" allowBlank="1" showInputMessage="1" showErrorMessage="1" xr:uid="{00000000-0002-0000-0D00-000024000000}">
          <x14:formula1>
            <xm:f>装备库!$AC$1078:$AC$1085</xm:f>
          </x14:formula1>
          <xm:sqref>M30</xm:sqref>
        </x14:dataValidation>
        <x14:dataValidation type="list" allowBlank="1" showInputMessage="1" showErrorMessage="1" xr:uid="{00000000-0002-0000-0D00-000026000000}">
          <x14:formula1>
            <xm:f>OFFSET(装备库!$AD$1078,0,0,INDEX(装备库!$AA$1078:$AA$1085,装备库!$AC$1077,1),1)</xm:f>
          </x14:formula1>
          <xm:sqref>M31</xm:sqref>
        </x14:dataValidation>
        <x14:dataValidation type="list" allowBlank="1" showInputMessage="1" showErrorMessage="1" xr:uid="{00000000-0002-0000-0D00-00002A000000}">
          <x14:formula1>
            <xm:f>属性开关!$Q$42:$R$42</xm:f>
          </x14:formula1>
          <xm:sqref>D27</xm:sqref>
        </x14:dataValidation>
        <x14:dataValidation type="list" allowBlank="1" showInputMessage="1" showErrorMessage="1" xr:uid="{00000000-0002-0000-0D00-00002B000000}">
          <x14:formula1>
            <xm:f>属性开关!$Q$45:$R$45</xm:f>
          </x14:formula1>
          <xm:sqref>D28</xm:sqref>
        </x14:dataValidation>
        <x14:dataValidation type="list" allowBlank="1" showInputMessage="1" showErrorMessage="1" xr:uid="{00000000-0002-0000-0D00-00002C000000}">
          <x14:formula1>
            <xm:f>属性开关!$Q$39:$R$39</xm:f>
          </x14:formula1>
          <xm:sqref>D24</xm:sqref>
        </x14:dataValidation>
        <x14:dataValidation type="list" allowBlank="1" showInputMessage="1" showErrorMessage="1" xr:uid="{00000000-0002-0000-0D00-00002D000000}">
          <x14:formula1>
            <xm:f>属性开关!$Q$41:$S$41</xm:f>
          </x14:formula1>
          <xm:sqref>D26</xm:sqref>
        </x14:dataValidation>
        <x14:dataValidation type="list" allowBlank="1" showInputMessage="1" showErrorMessage="1" xr:uid="{93F88709-015B-44A4-9CB5-043BE85710C1}">
          <x14:formula1>
            <xm:f>属性开关!$Q$51:$R$51</xm:f>
          </x14:formula1>
          <xm:sqref>D33</xm:sqref>
        </x14:dataValidation>
        <x14:dataValidation type="list" allowBlank="1" showInputMessage="1" showErrorMessage="1" xr:uid="{D80B4E81-89E8-4878-A402-E2ED0D46221F}">
          <x14:formula1>
            <xm:f>装备库!$D$1152:$D$1162</xm:f>
          </x14:formula1>
          <xm:sqref>J19 H24:K24</xm:sqref>
        </x14:dataValidation>
        <x14:dataValidation type="list" allowBlank="1" showInputMessage="1" showErrorMessage="1" xr:uid="{D5451109-7FA2-4DBC-8635-1993BAC96DC7}">
          <x14:formula1>
            <xm:f>OFFSET(装备显示页!$D$1,装备显示页!$AB$1,0,装备显示页!$AC$1,1)</xm:f>
          </x14:formula1>
          <xm:sqref>O34:S34</xm:sqref>
        </x14:dataValidation>
        <x14:dataValidation type="list" allowBlank="1" showInputMessage="1" showErrorMessage="1" xr:uid="{A456B6A3-7737-4C77-A468-F92AA4D5040C}">
          <x14:formula1>
            <xm:f>OFFSET(装备显示页!$D$1,装备显示页!$AB$2,0,装备显示页!$AC$2,1)</xm:f>
          </x14:formula1>
          <xm:sqref>O12:S12</xm:sqref>
        </x14:dataValidation>
        <x14:dataValidation type="list" allowBlank="1" showInputMessage="1" showErrorMessage="1" xr:uid="{3F5521CF-0A76-44BD-9FD4-333F64CF234E}">
          <x14:formula1>
            <xm:f>OFFSET(装备显示页!$D$1,装备显示页!$AB$3,0,装备显示页!$AC$3,1)</xm:f>
          </x14:formula1>
          <xm:sqref>O31:S31 G31:K31</xm:sqref>
        </x14:dataValidation>
        <x14:dataValidation type="list" allowBlank="1" showInputMessage="1" showErrorMessage="1" xr:uid="{82821C19-7BB2-421A-80CB-227D66C36FF9}">
          <x14:formula1>
            <xm:f>OFFSET(装备显示页!$D$1,装备显示页!$AB$4,0,装备显示页!$AC$4,1)</xm:f>
          </x14:formula1>
          <xm:sqref>O17:S17</xm:sqref>
        </x14:dataValidation>
        <x14:dataValidation type="list" allowBlank="1" showInputMessage="1" showErrorMessage="1" xr:uid="{B2732576-137F-4453-8DB5-39DA84CB3FA7}">
          <x14:formula1>
            <xm:f>OFFSET(装备显示页!$D$1,装备显示页!$AB$8,0,装备显示页!$AC$8,1)</xm:f>
          </x14:formula1>
          <xm:sqref>O22:S22</xm:sqref>
        </x14:dataValidation>
        <x14:dataValidation type="list" allowBlank="1" showInputMessage="1" showErrorMessage="1" xr:uid="{6B985FBE-01BE-46D7-9155-9F15131B9450}">
          <x14:formula1>
            <xm:f>OFFSET(装备显示页!$D$1,装备显示页!$AB$9,0,装备显示页!$AC$9,1)</xm:f>
          </x14:formula1>
          <xm:sqref>G22:K22</xm:sqref>
        </x14:dataValidation>
        <x14:dataValidation type="list" allowBlank="1" showInputMessage="1" showErrorMessage="1" xr:uid="{E75FCE99-5CEF-4B45-9821-732C1D40AB87}">
          <x14:formula1>
            <xm:f>OFFSET(装备显示页!$D$1,装备显示页!$AB$10,0,装备显示页!$AC$10,1)</xm:f>
          </x14:formula1>
          <xm:sqref>O27:S27</xm:sqref>
        </x14:dataValidation>
        <x14:dataValidation type="list" allowBlank="1" showInputMessage="1" showErrorMessage="1" xr:uid="{0DFA5890-BCCB-48F0-9E13-8F9B1C4D9199}">
          <x14:formula1>
            <xm:f>OFFSET(装备显示页!$D$1,装备显示页!$AB$7,0,装备显示页!$AC$7,1)</xm:f>
          </x14:formula1>
          <xm:sqref>G27:K27</xm:sqref>
        </x14:dataValidation>
        <x14:dataValidation type="list" allowBlank="1" showInputMessage="1" showErrorMessage="1" xr:uid="{8ACB8F81-13B9-4498-A155-23916EC1215A}">
          <x14:formula1>
            <xm:f>OFFSET(装备显示页!$D$1,装备显示页!$AB$11,0,装备显示页!$AC$11,1)</xm:f>
          </x14:formula1>
          <xm:sqref>G34:K34</xm:sqref>
        </x14:dataValidation>
        <x14:dataValidation type="list" allowBlank="1" showInputMessage="1" showErrorMessage="1" xr:uid="{EB4F9A28-B4BD-4446-8698-5225DF4CC02A}">
          <x14:formula1>
            <xm:f>OFFSET(装备库!$A$1087,0,0,装备库!$B$1073+1,1)</xm:f>
          </x14:formula1>
          <xm:sqref>I18</xm:sqref>
        </x14:dataValidation>
        <x14:dataValidation type="list" allowBlank="1" showInputMessage="1" showErrorMessage="1" xr:uid="{24A9E937-5310-4AD7-9E74-5B4302BC015E}">
          <x14:formula1>
            <xm:f>OFFSET(装备库!$A$1087,0,0,装备库!$B$1072+1,1)</xm:f>
          </x14:formula1>
          <xm:sqref>I13</xm:sqref>
        </x14:dataValidation>
        <x14:dataValidation type="list" allowBlank="1" showInputMessage="1" showErrorMessage="1" xr:uid="{F284DA8B-D4C4-47E7-A3C8-0E448EB2C3E0}">
          <x14:formula1>
            <xm:f>OFFSET(装备库!$A$1087,0,0,装备库!$B$1074+1,1)</xm:f>
          </x14:formula1>
          <xm:sqref>I23</xm:sqref>
        </x14:dataValidation>
        <x14:dataValidation type="list" allowBlank="1" showInputMessage="1" showErrorMessage="1" xr:uid="{2557791A-0CA2-4121-954E-520E2CFE501C}">
          <x14:formula1>
            <xm:f>OFFSET(装备库!$A$1087,0,0,装备库!$B$1078+1,1)</xm:f>
          </x14:formula1>
          <xm:sqref>I28</xm:sqref>
        </x14:dataValidation>
        <x14:dataValidation type="list" allowBlank="1" showInputMessage="1" showErrorMessage="1" xr:uid="{3AA03177-F7D0-4B66-A1E4-2B87C12FFE18}">
          <x14:formula1>
            <xm:f>OFFSET(装备库!$A$1087,0,0,装备库!$B$1079+1,1)</xm:f>
          </x14:formula1>
          <xm:sqref>Q28</xm:sqref>
        </x14:dataValidation>
        <x14:dataValidation type="list" allowBlank="1" showInputMessage="1" showErrorMessage="1" xr:uid="{68A5BE36-6358-456C-93B7-89DFBADE18E7}">
          <x14:formula1>
            <xm:f>OFFSET(装备库!$A$1087,0,0,装备库!$B$1083+1,1)</xm:f>
          </x14:formula1>
          <xm:sqref>I35</xm:sqref>
        </x14:dataValidation>
        <x14:dataValidation type="list" allowBlank="1" showInputMessage="1" showErrorMessage="1" xr:uid="{70347E02-9CBD-4846-BF66-A84F4A368F1C}">
          <x14:formula1>
            <xm:f>OFFSET(装备库!$A$1087,0,0,装备库!$B$1075+1,1)</xm:f>
          </x14:formula1>
          <xm:sqref>Q13</xm:sqref>
        </x14:dataValidation>
        <x14:dataValidation type="list" allowBlank="1" showInputMessage="1" showErrorMessage="1" xr:uid="{C6678504-2079-4565-A765-600057ED189F}">
          <x14:formula1>
            <xm:f>OFFSET(装备库!$A$1087,0,0,装备库!$B$1076+1,1)</xm:f>
          </x14:formula1>
          <xm:sqref>Q18</xm:sqref>
        </x14:dataValidation>
        <x14:dataValidation type="list" allowBlank="1" showInputMessage="1" showErrorMessage="1" xr:uid="{04D05132-B092-4A3A-9759-EBCFC5EB8C15}">
          <x14:formula1>
            <xm:f>OFFSET(装备库!$A$1087,0,0,装备库!$B$1077+1,1)</xm:f>
          </x14:formula1>
          <xm:sqref>Q23</xm:sqref>
        </x14:dataValidation>
        <x14:dataValidation type="list" allowBlank="1" showInputMessage="1" showErrorMessage="1" xr:uid="{704923B3-B8DB-4D1D-AFCD-CDD4EAA0D4E4}">
          <x14:formula1>
            <xm:f>OFFSET(装备库!$A$1087,0,0,装备库!$B$1080+1,1)</xm:f>
          </x14:formula1>
          <xm:sqref>I32</xm:sqref>
        </x14:dataValidation>
        <x14:dataValidation type="list" allowBlank="1" showInputMessage="1" showErrorMessage="1" xr:uid="{CB45B2F0-5174-4E0C-ACBF-365FEFC30266}">
          <x14:formula1>
            <xm:f>OFFSET(装备库!$A$1087,0,0,装备库!$B$1081+1,1)</xm:f>
          </x14:formula1>
          <xm:sqref>Q32</xm:sqref>
        </x14:dataValidation>
        <x14:dataValidation type="list" allowBlank="1" showInputMessage="1" showErrorMessage="1" xr:uid="{45351418-3AF7-49A0-9807-94C6065FF7CF}">
          <x14:formula1>
            <xm:f>OFFSET(装备库!$A$1087,0,0,装备库!$B$1082+1,1)</xm:f>
          </x14:formula1>
          <xm:sqref>Q35</xm:sqref>
        </x14:dataValidation>
        <x14:dataValidation type="list" allowBlank="1" showInputMessage="1" showErrorMessage="1" xr:uid="{7F471039-1881-4FF7-9098-D1D7E30B6501}">
          <x14:formula1>
            <xm:f>OFFSET(大附魔数值!$P$37,0,0,大附魔数值!$P$36,1)</xm:f>
          </x14:formula1>
          <xm:sqref>G15:K15</xm:sqref>
        </x14:dataValidation>
        <x14:dataValidation type="list" allowBlank="1" showInputMessage="1" showErrorMessage="1" xr:uid="{CEFF9ED1-EF18-471A-97BB-449AB00CEECE}">
          <x14:formula1>
            <xm:f>OFFSET(装备显示页!$D$1,装备显示页!$AB$5,0,装备显示页!$AC$5,1)</xm:f>
          </x14:formula1>
          <xm:sqref>G12:K12</xm:sqref>
        </x14:dataValidation>
        <x14:dataValidation type="list" allowBlank="1" showInputMessage="1" showErrorMessage="1" xr:uid="{E4ABDEDB-2B15-4CD9-873F-856AC7A639A6}">
          <x14:formula1>
            <xm:f>OFFSET(装备显示页!$D$1,装备显示页!$AB$6,0,装备显示页!$AC$6,1)</xm:f>
          </x14:formula1>
          <xm:sqref>G17:K17</xm:sqref>
        </x14:dataValidation>
        <x14:dataValidation type="list" allowBlank="1" showInputMessage="1" showErrorMessage="1" xr:uid="{F4296B52-D43B-42C3-BEDE-E39B040FA3E4}">
          <x14:formula1>
            <xm:f>属性开关!$AI$33:$AI$40</xm:f>
          </x14:formula1>
          <xm:sqref>AE12</xm:sqref>
        </x14:dataValidation>
        <x14:dataValidation type="list" allowBlank="1" showInputMessage="1" showErrorMessage="1" xr:uid="{40639CEF-FAE0-4B5F-9AE2-F58557664504}">
          <x14:formula1>
            <xm:f>属性开关!$B$18:$B$30</xm:f>
          </x14:formula1>
          <xm:sqref>W13</xm:sqref>
        </x14:dataValidation>
        <x14:dataValidation type="list" allowBlank="1" showInputMessage="1" showErrorMessage="1" xr:uid="{E469278B-51EB-480B-8182-71F68E47EAA1}">
          <x14:formula1>
            <xm:f>属性开关!$B$52:$B$55</xm:f>
          </x14:formula1>
          <xm:sqref>W14</xm:sqref>
        </x14:dataValidation>
        <x14:dataValidation type="list" allowBlank="1" showInputMessage="1" showErrorMessage="1" xr:uid="{C0115C56-A6F6-42C7-8850-6575CA044F79}">
          <x14:formula1>
            <xm:f>属性开关!$B$68:$B$79</xm:f>
          </x14:formula1>
          <xm:sqref>W15</xm:sqref>
        </x14:dataValidation>
        <x14:dataValidation type="list" allowBlank="1" showInputMessage="1" showErrorMessage="1" xr:uid="{3EE510DF-0A73-42FC-9A4B-2A8E77D6EA85}">
          <x14:formula1>
            <xm:f>属性开关!$B$48:$B$51</xm:f>
          </x14:formula1>
          <xm:sqref>W16</xm:sqref>
        </x14:dataValidation>
        <x14:dataValidation type="list" allowBlank="1" showInputMessage="1" showErrorMessage="1" xr:uid="{50CB6600-E29C-4651-B085-9FD72C0D9000}">
          <x14:formula1>
            <xm:f>属性开关!$B$56:$B$67</xm:f>
          </x14:formula1>
          <xm:sqref>W17</xm:sqref>
        </x14:dataValidation>
        <x14:dataValidation type="list" allowBlank="1" showInputMessage="1" showErrorMessage="1" xr:uid="{211A12C8-6C46-44EB-B0A0-74D826AE558D}">
          <x14:formula1>
            <xm:f>属性开关!$B$80:$B$82</xm:f>
          </x14:formula1>
          <xm:sqref>W18</xm:sqref>
        </x14:dataValidation>
        <x14:dataValidation type="list" allowBlank="1" showInputMessage="1" showErrorMessage="1" xr:uid="{3A649EBD-7BAC-4338-9F10-96F2049D5A28}">
          <x14:formula1>
            <xm:f>属性开关!$B$83:$B$85</xm:f>
          </x14:formula1>
          <xm:sqref>W19</xm:sqref>
        </x14:dataValidation>
        <x14:dataValidation type="list" allowBlank="1" showInputMessage="1" showErrorMessage="1" xr:uid="{36FFEEF4-EB23-4F19-9C08-FB6F1737D021}">
          <x14:formula1>
            <xm:f>属性开关!$Q$79:$Q$87</xm:f>
          </x14:formula1>
          <xm:sqref>W21</xm:sqref>
        </x14:dataValidation>
        <x14:dataValidation type="list" allowBlank="1" showInputMessage="1" showErrorMessage="1" xr:uid="{E72EF7D2-0D9A-4B32-B463-05D0AD1989D7}">
          <x14:formula1>
            <xm:f>属性开关!$Q$88:$Q$93</xm:f>
          </x14:formula1>
          <xm:sqref>W20</xm:sqref>
        </x14:dataValidation>
        <x14:dataValidation type="list" allowBlank="1" showInputMessage="1" showErrorMessage="1" xr:uid="{0F205A67-E98B-4D53-8398-A7BBC6BD52CE}">
          <x14:formula1>
            <xm:f>装备库!$D$1177:$D$1183</xm:f>
          </x14:formula1>
          <xm:sqref>O36:S36</xm:sqref>
        </x14:dataValidation>
        <x14:dataValidation type="list" allowBlank="1" showInputMessage="1" showErrorMessage="1" xr:uid="{21E0D406-F7BD-4017-AF2C-941931A0C1EC}">
          <x14:formula1>
            <xm:f>装备库!$D$1170:$D$1176</xm:f>
          </x14:formula1>
          <xm:sqref>O32 G32</xm:sqref>
        </x14:dataValidation>
        <x14:dataValidation type="list" allowBlank="1" showInputMessage="1" showErrorMessage="1" xr:uid="{13BEF5FA-4267-4470-A6B8-17AF32D4E510}">
          <x14:formula1>
            <xm:f>装备库!$D$1163:$D$1169</xm:f>
          </x14:formula1>
          <xm:sqref>K36</xm:sqref>
        </x14:dataValidation>
        <x14:dataValidation type="list" allowBlank="1" showInputMessage="1" showErrorMessage="1" xr:uid="{217EA21C-6099-4AA1-8EAD-5089783B0111}">
          <x14:formula1>
            <xm:f>装备库!$D$1139:$D$1151</xm:f>
          </x14:formula1>
          <xm:sqref>P14:S14 P19:S19</xm:sqref>
        </x14:dataValidation>
        <x14:dataValidation type="list" allowBlank="1" showInputMessage="1" showErrorMessage="1" xr:uid="{29381047-DDE3-4581-AD27-322386D1C242}">
          <x14:formula1>
            <xm:f>装备库!$D$1129:$D$1138</xm:f>
          </x14:formula1>
          <xm:sqref>J14 P24:S24</xm:sqref>
        </x14:dataValidation>
        <x14:dataValidation type="list" allowBlank="1" showInputMessage="1" showErrorMessage="1" xr:uid="{30B21E2F-F69D-4E8E-A3F3-7CBB2E310958}">
          <x14:formula1>
            <xm:f>OFFSET(属性开关!$AR$18,0,0,属性开关!$AR$17,1)</xm:f>
          </x14:formula1>
          <xm:sqref>AB22</xm:sqref>
        </x14:dataValidation>
        <x14:dataValidation type="list" allowBlank="1" showInputMessage="1" showErrorMessage="1" xr:uid="{804DB54F-2AE1-46BC-9D83-C94F76A9E4C1}">
          <x14:formula1>
            <xm:f>属性开关!$X$85:$X$89</xm:f>
          </x14:formula1>
          <xm:sqref>W23</xm:sqref>
        </x14:dataValidation>
        <x14:dataValidation type="list" allowBlank="1" showInputMessage="1" showErrorMessage="1" xr:uid="{28EFEB70-3D73-4722-AC66-ADBA39BD0536}">
          <x14:formula1>
            <xm:f>装备库!$D$1185:$D$1187</xm:f>
          </x14:formula1>
          <xm:sqref>G29 O29</xm:sqref>
        </x14:dataValidation>
        <x14:dataValidation type="list" allowBlank="1" showInputMessage="1" xr:uid="{90497AE8-BE5D-40E4-8AE0-C78E6219F8AB}">
          <x14:formula1>
            <xm:f>循环!$V$1:$V$3</xm:f>
          </x14:formula1>
          <xm:sqref>AE14</xm:sqref>
        </x14:dataValidation>
        <x14:dataValidation type="list" allowBlank="1" xr:uid="{CE519D96-9683-4404-A3D9-485344D53706}">
          <x14:formula1>
            <xm:f>属性开关!$Q$53:$R$53</xm:f>
          </x14:formula1>
          <xm:sqref>D35</xm:sqref>
        </x14:dataValidation>
        <x14:dataValidation type="list" allowBlank="1" showInputMessage="1" showErrorMessage="1" xr:uid="{DEF622BD-28F4-4B50-8301-C6274DCE378D}">
          <x14:formula1>
            <xm:f>属性开关!$Q$40:$R$40</xm:f>
          </x14:formula1>
          <xm:sqref>D25</xm:sqref>
        </x14:dataValidation>
        <x14:dataValidation type="list" allowBlank="1" showInputMessage="1" showErrorMessage="1" xr:uid="{E40BEA25-C31C-41E7-8A3F-0077ABCB900C}">
          <x14:formula1>
            <xm:f>属性开关!$Q$52:$R$52</xm:f>
          </x14:formula1>
          <xm:sqref>D34</xm:sqref>
        </x14:dataValidation>
        <x14:dataValidation type="list" allowBlank="1" showInputMessage="1" showErrorMessage="1" xr:uid="{B0789428-E920-4AAB-BEB9-959CA4082051}">
          <x14:formula1>
            <xm:f>OFFSET(属性开关!$AO$32,0,0,4-$AE$18,1)</xm:f>
          </x14:formula1>
          <xm:sqref>Y20</xm:sqref>
        </x14:dataValidation>
        <x14:dataValidation type="list" allowBlank="1" showInputMessage="1" showErrorMessage="1" xr:uid="{8D7F83F4-10D1-4620-9742-8D1FD08335A4}">
          <x14:formula1>
            <xm:f>OFFSET(属性开关!$AO$32,0,0,3-$AE$18,1)</xm:f>
          </x14:formula1>
          <xm:sqref>Y20</xm:sqref>
        </x14:dataValidation>
        <x14:dataValidation type="list" allowBlank="1" showInputMessage="1" showErrorMessage="1" xr:uid="{A077377C-F70E-4E6C-9B45-DC2CBB7F3447}">
          <x14:formula1>
            <xm:f>OFFSET(属性开关!$W$102,0,0,属性开关!$W$101,1)</xm:f>
          </x14:formula1>
          <xm:sqref>Y22:Z22</xm:sqref>
        </x14:dataValidation>
        <x14:dataValidation type="list" allowBlank="1" showInputMessage="1" xr:uid="{32108B7B-7311-43D4-AD12-D950E36F65F7}">
          <x14:formula1>
            <xm:f>OFFSET(属性开关!$Y$102,0,0,属性开关!$Z$101,1)</xm:f>
          </x14:formula1>
          <xm:sqref>AE19</xm:sqref>
        </x14:dataValidation>
        <x14:dataValidation type="list" allowBlank="1" showInputMessage="1" showErrorMessage="1" xr:uid="{AB5D4B86-ED8A-45D4-B26E-2282BFE21B28}">
          <x14:formula1>
            <xm:f>OFFSET(属性开关!$AP$32,0,0,属性开关!$AR$32,1)</xm:f>
          </x14:formula1>
          <xm:sqref>AB16</xm:sqref>
        </x14:dataValidation>
        <x14:dataValidation type="list" allowBlank="1" showInputMessage="1" showErrorMessage="1" xr:uid="{3B4DF044-24C0-44AC-8139-A7656FFD3374}">
          <x14:formula1>
            <xm:f>OFFSET(属性开关!$AP$32,0,0,属性开关!$AR$33,1)</xm:f>
          </x14:formula1>
          <xm:sqref>AB20</xm:sqref>
        </x14:dataValidation>
        <x14:dataValidation type="list" allowBlank="1" showInputMessage="1" showErrorMessage="1" xr:uid="{6BD0E560-7073-4BE0-91E1-3EE9250B120F}">
          <x14:formula1>
            <xm:f>OFFSET(属性开关!$AP$32,0,0,属性开关!$AR$31,1)</xm:f>
          </x14:formula1>
          <xm:sqref>Y24:Z24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CA108-37FE-4D9A-BFD1-A5F3291FD9AD}">
  <dimension ref="A1:R88"/>
  <sheetViews>
    <sheetView topLeftCell="C1" workbookViewId="0">
      <selection activeCell="O64" sqref="O64"/>
    </sheetView>
  </sheetViews>
  <sheetFormatPr defaultColWidth="8.90625" defaultRowHeight="14.4" x14ac:dyDescent="0.35"/>
  <cols>
    <col min="1" max="1" width="17.6328125" style="105" customWidth="1"/>
    <col min="2" max="2" width="29.36328125" style="105" bestFit="1" customWidth="1"/>
    <col min="3" max="3" width="18.6328125" style="105" bestFit="1" customWidth="1"/>
    <col min="4" max="4" width="15.08984375" style="105" bestFit="1" customWidth="1"/>
    <col min="5" max="7" width="8.90625" style="105"/>
    <col min="8" max="8" width="12" style="105" bestFit="1" customWidth="1"/>
    <col min="9" max="11" width="8.90625" style="105"/>
    <col min="12" max="12" width="15.08984375" style="105" bestFit="1" customWidth="1"/>
    <col min="13" max="15" width="8.90625" style="105"/>
    <col min="16" max="16" width="12.36328125" style="105" bestFit="1" customWidth="1"/>
    <col min="17" max="16384" width="8.90625" style="105"/>
  </cols>
  <sheetData>
    <row r="1" spans="1:18" x14ac:dyDescent="0.35">
      <c r="A1" s="105" t="str">
        <f>配装页面!AE35</f>
        <v>{"Vitality":38749,"Agility":41,"Spirit":41,"Spunk":41,"Strength":6823,"PhysicsAttackPowerBase":23385,"PhysicsAttackPower":34299,"PhysicsCriticalStrikeRate":0.22786098127126458,"PhysicsCriticalDamagePowerPercent":1.8452978056426332,"PhysicsOvercomePercent":0.3426245667588795,"StrainPercent":0.25951978155699995,"HastePercent":0.05118996722245974,"SurplusValue":14245,"MaxHealth":540699,"PhysicsShieldPercent":0.08264760646285062,"LunarShieldPercent":0.056348470806302134,"ToughnessDefCriticalPercent":0,"DecriticalDamagePercent":0.1,"MeleeWeaponAttackSpeed":27,"MeleeWeaponDamage":3405,"MeleeWeaponDamageRand":2270,"EquipList":{"HAT":{"id":"7_90826","strength":6,"embedding":[7,7],"stone":"","enhance":11534,"enchant":""},"JACKET":{"id":"7_91168","strength":6,"embedding":[7,7],"stone":"","enhance":11648,"enchant":11698},"BELT":{"id":"7_90768","strength":6,"embedding":[7,7],"stone":"","enhance":11650,"enchant":""},"WRIST":{"id":"7_91291","strength":6,"embedding":[7,7],"stone":"","enhance":11585,"enchant":""},"BOTTOMS":{"id":"7_91309","strength":6,"embedding":[7,7],"stone":"","enhance":11530,"enchant":""},"SHOES":{"id":"7_91110","strength":6,"embedding":[7,7],"stone":"","enhance":11586,"enchant":11696},"NECKLACE":{"id":"8_34431","strength":6,"embedding":[7],"stone":"","enhance":11652,"enchant":""},"PENDANT":{"id":"8_34381","strength":4,"embedding":[7],"stone":"","enhance":11654,"enchant":""},"RING_1":{"id":"8_34392","strength":4,"embedding":[],"stone":"","enhance":11662,"enchant":""},"RING_2":{"id":"8_34389","strength":4,"embedding":[],"stone":"","enhance":11660,"enchant":""},"PRIMARY_WEAPON":{"id":"6_34408","strength":8,"embedding":[7,7,7],"stone":963,"enhance":11517,"enchant":""},"SECONDARY_WEAPON":{"id":"6_32914","strength":6,"embedding":[7],"stone":"","enhance":11669,"enchant":""}},"Title":"导出测试"}</v>
      </c>
    </row>
    <row r="2" spans="1:18" x14ac:dyDescent="0.35">
      <c r="A2" s="105" t="s">
        <v>1386</v>
      </c>
      <c r="B2" s="105">
        <f>IFERROR(IF(SUM(C5:C18)&gt;0,1,0),0)</f>
        <v>1</v>
      </c>
    </row>
    <row r="4" spans="1:18" x14ac:dyDescent="0.35">
      <c r="A4" s="118" t="s">
        <v>1387</v>
      </c>
      <c r="B4" s="118" t="s">
        <v>1388</v>
      </c>
      <c r="C4" s="118" t="s">
        <v>1389</v>
      </c>
      <c r="D4" s="118" t="s">
        <v>1390</v>
      </c>
      <c r="E4" s="118" t="s">
        <v>1391</v>
      </c>
      <c r="F4" s="118" t="s">
        <v>1392</v>
      </c>
      <c r="H4" s="105" t="s">
        <v>1393</v>
      </c>
      <c r="I4" s="105" t="s">
        <v>1394</v>
      </c>
      <c r="J4" s="105" t="s">
        <v>1395</v>
      </c>
      <c r="L4" s="105" t="s">
        <v>1396</v>
      </c>
      <c r="M4" s="105" t="s">
        <v>1394</v>
      </c>
      <c r="N4" s="105" t="s">
        <v>1395</v>
      </c>
      <c r="P4" s="105" t="s">
        <v>1397</v>
      </c>
      <c r="Q4" s="105" t="s">
        <v>1394</v>
      </c>
      <c r="R4" s="105" t="s">
        <v>1395</v>
      </c>
    </row>
    <row r="5" spans="1:18" x14ac:dyDescent="0.35">
      <c r="A5" s="118" t="s">
        <v>1281</v>
      </c>
      <c r="B5" s="118" t="s">
        <v>1398</v>
      </c>
      <c r="C5" s="118">
        <f>1*MID($A$1,(FIND(B5,$A$1)+LEN(B5)),FIND(",",$A$1,(FIND(B5,$A$1)+LEN(B5)))-(FIND(B5,$A$1)+LEN(B5)))</f>
        <v>38749</v>
      </c>
      <c r="D5" s="118">
        <f>IFERROR(C5*1,0)</f>
        <v>38749</v>
      </c>
      <c r="E5" s="105">
        <f>配装页面!AE22</f>
        <v>0</v>
      </c>
      <c r="F5" s="105">
        <f>SUM(D5:E5)</f>
        <v>38749</v>
      </c>
      <c r="H5" s="105" t="s">
        <v>1460</v>
      </c>
      <c r="I5" s="105">
        <v>58567</v>
      </c>
      <c r="J5" s="105">
        <f t="shared" ref="J5:J24" si="0">IFERROR(IF(FIND($B$19&amp;I5,$A$1)&gt;0,1,0),0)</f>
        <v>0</v>
      </c>
      <c r="L5" s="105" t="s">
        <v>621</v>
      </c>
      <c r="M5" s="105">
        <v>33741</v>
      </c>
      <c r="N5" s="105">
        <f>IFERROR(IF(FIND($B$21&amp;M5,$A$1)&gt;0,1,0),0)</f>
        <v>0</v>
      </c>
      <c r="P5" s="105" t="s">
        <v>624</v>
      </c>
      <c r="Q5" s="105">
        <v>31711</v>
      </c>
      <c r="R5" s="105">
        <f t="shared" ref="R5:R21" si="1">IFERROR(IF(FIND($B$22&amp;Q5,$A$1)&gt;0,1,0),0)</f>
        <v>0</v>
      </c>
    </row>
    <row r="6" spans="1:18" x14ac:dyDescent="0.35">
      <c r="A6" s="118" t="s">
        <v>1399</v>
      </c>
      <c r="B6" s="118" t="s">
        <v>1400</v>
      </c>
      <c r="C6" s="118">
        <f t="shared" ref="C6:C18" si="2">1*MID($A$1,(FIND(B6,$A$1)+LEN(B6)),FIND(",",$A$1,(FIND(B6,$A$1)+LEN(B6)))-(FIND(B6,$A$1)+LEN(B6)))</f>
        <v>41</v>
      </c>
      <c r="D6" s="118">
        <f t="shared" ref="D6:D9" si="3">IFERROR(C6*1,0)</f>
        <v>41</v>
      </c>
      <c r="E6" s="105">
        <v>0</v>
      </c>
      <c r="F6" s="105">
        <f t="shared" ref="F6:F18" si="4">SUM(D6:E6)</f>
        <v>41</v>
      </c>
      <c r="H6" s="105" t="s">
        <v>1461</v>
      </c>
      <c r="I6" s="105">
        <v>58595</v>
      </c>
      <c r="J6" s="105">
        <f t="shared" si="0"/>
        <v>0</v>
      </c>
      <c r="L6" s="105" t="s">
        <v>1236</v>
      </c>
      <c r="M6" s="105">
        <v>34381</v>
      </c>
      <c r="N6" s="105">
        <f>IFERROR(IF(FIND($B$21&amp;M6,$A$1)&gt;0,1,0),0)</f>
        <v>1</v>
      </c>
      <c r="P6" s="105" t="s">
        <v>1272</v>
      </c>
      <c r="Q6" s="105">
        <v>32964</v>
      </c>
      <c r="R6" s="105">
        <f t="shared" si="1"/>
        <v>0</v>
      </c>
    </row>
    <row r="7" spans="1:18" x14ac:dyDescent="0.35">
      <c r="A7" s="118" t="s">
        <v>1337</v>
      </c>
      <c r="B7" s="118" t="s">
        <v>1401</v>
      </c>
      <c r="C7" s="118">
        <f t="shared" si="2"/>
        <v>6823</v>
      </c>
      <c r="D7" s="118">
        <f t="shared" si="3"/>
        <v>6823</v>
      </c>
      <c r="E7" s="105">
        <f>配装页面!AE24</f>
        <v>0</v>
      </c>
      <c r="F7" s="105">
        <f t="shared" si="4"/>
        <v>6823</v>
      </c>
      <c r="H7" s="105" t="s">
        <v>1462</v>
      </c>
      <c r="I7" s="105">
        <v>58623</v>
      </c>
      <c r="J7" s="105">
        <f t="shared" si="0"/>
        <v>0</v>
      </c>
      <c r="L7" s="105" t="s">
        <v>2629</v>
      </c>
      <c r="M7" s="105">
        <v>37719</v>
      </c>
      <c r="N7" s="105">
        <f>IFERROR(IF(FIND($B$21&amp;M7,$A$1)&gt;0,1,0),0)</f>
        <v>0</v>
      </c>
      <c r="P7" s="105" t="s">
        <v>1476</v>
      </c>
      <c r="Q7" s="105">
        <v>29732</v>
      </c>
      <c r="R7" s="105">
        <f t="shared" si="1"/>
        <v>0</v>
      </c>
    </row>
    <row r="8" spans="1:18" x14ac:dyDescent="0.35">
      <c r="A8" s="118" t="s">
        <v>1402</v>
      </c>
      <c r="B8" s="118" t="s">
        <v>1403</v>
      </c>
      <c r="C8" s="118">
        <f t="shared" si="2"/>
        <v>23385</v>
      </c>
      <c r="D8" s="118">
        <f t="shared" si="3"/>
        <v>23385</v>
      </c>
      <c r="E8" s="105">
        <f>配装页面!AE23</f>
        <v>0</v>
      </c>
      <c r="F8" s="105">
        <f>SUM(D8:E8)-INT(F7*0.15)</f>
        <v>22362</v>
      </c>
      <c r="H8" s="105" t="s">
        <v>1463</v>
      </c>
      <c r="I8" s="105">
        <v>58651</v>
      </c>
      <c r="J8" s="105">
        <f t="shared" si="0"/>
        <v>0</v>
      </c>
      <c r="P8" s="105" t="s">
        <v>1477</v>
      </c>
      <c r="Q8" s="105">
        <v>30855</v>
      </c>
      <c r="R8" s="105">
        <f t="shared" si="1"/>
        <v>0</v>
      </c>
    </row>
    <row r="9" spans="1:18" x14ac:dyDescent="0.35">
      <c r="A9" s="118" t="s">
        <v>1404</v>
      </c>
      <c r="B9" s="118" t="s">
        <v>1405</v>
      </c>
      <c r="C9" s="118">
        <f t="shared" si="2"/>
        <v>34299</v>
      </c>
      <c r="D9" s="118">
        <f t="shared" si="3"/>
        <v>34299</v>
      </c>
      <c r="E9" s="105">
        <v>0</v>
      </c>
      <c r="F9" s="105">
        <f t="shared" si="4"/>
        <v>34299</v>
      </c>
      <c r="H9" s="105" t="s">
        <v>1464</v>
      </c>
      <c r="I9" s="105">
        <v>58679</v>
      </c>
      <c r="J9" s="105">
        <f t="shared" si="0"/>
        <v>0</v>
      </c>
      <c r="P9" s="105" t="s">
        <v>1476</v>
      </c>
      <c r="Q9" s="105">
        <v>32079</v>
      </c>
      <c r="R9" s="105">
        <f t="shared" si="1"/>
        <v>0</v>
      </c>
    </row>
    <row r="10" spans="1:18" ht="15.6" x14ac:dyDescent="0.35">
      <c r="A10" s="118" t="s">
        <v>1406</v>
      </c>
      <c r="B10" s="118" t="s">
        <v>1407</v>
      </c>
      <c r="C10" s="119">
        <f t="shared" si="2"/>
        <v>0.227860981271264</v>
      </c>
      <c r="D10" s="118">
        <f>IFERROR(ROUND(C10*属性开关!U25,0),0)</f>
        <v>17915</v>
      </c>
      <c r="E10" s="105">
        <f>配装页面!AE26</f>
        <v>0</v>
      </c>
      <c r="F10" s="105">
        <f t="shared" si="4"/>
        <v>17915</v>
      </c>
      <c r="H10" s="105" t="s">
        <v>1465</v>
      </c>
      <c r="I10" s="105">
        <v>90739</v>
      </c>
      <c r="J10" s="105">
        <f t="shared" si="0"/>
        <v>0</v>
      </c>
      <c r="P10" s="105" t="s">
        <v>1476</v>
      </c>
      <c r="Q10" s="105">
        <v>32108</v>
      </c>
      <c r="R10" s="105">
        <f t="shared" si="1"/>
        <v>0</v>
      </c>
    </row>
    <row r="11" spans="1:18" ht="15.6" x14ac:dyDescent="0.35">
      <c r="A11" s="118" t="s">
        <v>1408</v>
      </c>
      <c r="B11" s="118" t="s">
        <v>1409</v>
      </c>
      <c r="C11" s="119">
        <f t="shared" si="2"/>
        <v>1.8452978056426299</v>
      </c>
      <c r="D11" s="118">
        <f>IFERROR(ROUND((C11-1.75)*属性开关!U26,0),0)</f>
        <v>2622</v>
      </c>
      <c r="E11" s="105">
        <f>配装页面!AE27</f>
        <v>0</v>
      </c>
      <c r="F11" s="105">
        <f t="shared" si="4"/>
        <v>2622</v>
      </c>
      <c r="H11" s="105" t="s">
        <v>1466</v>
      </c>
      <c r="I11" s="105">
        <v>90768</v>
      </c>
      <c r="J11" s="105">
        <f t="shared" si="0"/>
        <v>1</v>
      </c>
      <c r="P11" s="105" t="s">
        <v>1476</v>
      </c>
      <c r="Q11" s="105">
        <v>32171</v>
      </c>
      <c r="R11" s="105">
        <f t="shared" si="1"/>
        <v>0</v>
      </c>
    </row>
    <row r="12" spans="1:18" ht="15.6" x14ac:dyDescent="0.35">
      <c r="A12" s="118" t="s">
        <v>1410</v>
      </c>
      <c r="B12" s="118" t="s">
        <v>1411</v>
      </c>
      <c r="C12" s="119">
        <f t="shared" si="2"/>
        <v>0.34262456675887898</v>
      </c>
      <c r="D12" s="118">
        <f>IFERROR(ROUND(C12*属性开关!U25,0),0)</f>
        <v>26938</v>
      </c>
      <c r="E12" s="105">
        <f>配装页面!AE28</f>
        <v>0</v>
      </c>
      <c r="F12" s="105">
        <f>SUM(D12:E12)-INT(F7*256/1024)-INT(F7*0.3)</f>
        <v>23187</v>
      </c>
      <c r="H12" s="105" t="s">
        <v>1467</v>
      </c>
      <c r="I12" s="105">
        <v>90797</v>
      </c>
      <c r="J12" s="105">
        <f t="shared" si="0"/>
        <v>0</v>
      </c>
      <c r="P12" s="105" t="s">
        <v>1476</v>
      </c>
      <c r="Q12" s="105">
        <v>33082</v>
      </c>
      <c r="R12" s="105">
        <f t="shared" si="1"/>
        <v>0</v>
      </c>
    </row>
    <row r="13" spans="1:18" ht="15.6" x14ac:dyDescent="0.35">
      <c r="A13" s="118" t="s">
        <v>1412</v>
      </c>
      <c r="B13" s="118" t="s">
        <v>1413</v>
      </c>
      <c r="C13" s="119">
        <f t="shared" si="2"/>
        <v>0.25951978155699901</v>
      </c>
      <c r="D13" s="118">
        <f>IFERROR(ROUND(C13*属性开关!U27,0),0)</f>
        <v>19674</v>
      </c>
      <c r="E13" s="105">
        <f>配装页面!AE30</f>
        <v>0</v>
      </c>
      <c r="F13" s="105">
        <f t="shared" si="4"/>
        <v>19674</v>
      </c>
      <c r="H13" s="105" t="s">
        <v>1468</v>
      </c>
      <c r="I13" s="105">
        <v>90826</v>
      </c>
      <c r="J13" s="105">
        <f t="shared" si="0"/>
        <v>1</v>
      </c>
      <c r="P13" s="105" t="s">
        <v>1476</v>
      </c>
      <c r="Q13" s="105">
        <v>33112</v>
      </c>
      <c r="R13" s="105">
        <f t="shared" si="1"/>
        <v>0</v>
      </c>
    </row>
    <row r="14" spans="1:18" ht="15.6" x14ac:dyDescent="0.35">
      <c r="A14" s="118" t="s">
        <v>1414</v>
      </c>
      <c r="B14" s="118" t="s">
        <v>1415</v>
      </c>
      <c r="C14" s="119">
        <f t="shared" si="2"/>
        <v>5.1189967222459699E-2</v>
      </c>
      <c r="D14" s="118">
        <f>IFERROR(ROUND(C14*属性开关!U28,0),0)</f>
        <v>4939</v>
      </c>
      <c r="E14" s="105">
        <f>配装页面!AE31</f>
        <v>0</v>
      </c>
      <c r="F14" s="105">
        <f t="shared" si="4"/>
        <v>4939</v>
      </c>
      <c r="H14" s="105" t="s">
        <v>1469</v>
      </c>
      <c r="I14" s="105">
        <v>90855</v>
      </c>
      <c r="J14" s="105">
        <f t="shared" si="0"/>
        <v>0</v>
      </c>
      <c r="P14" s="105" t="s">
        <v>1476</v>
      </c>
      <c r="Q14" s="105">
        <v>34348</v>
      </c>
      <c r="R14" s="105">
        <f t="shared" si="1"/>
        <v>0</v>
      </c>
    </row>
    <row r="15" spans="1:18" x14ac:dyDescent="0.35">
      <c r="A15" s="118" t="s">
        <v>1416</v>
      </c>
      <c r="B15" s="118" t="s">
        <v>1417</v>
      </c>
      <c r="C15" s="118">
        <f t="shared" si="2"/>
        <v>14245</v>
      </c>
      <c r="D15" s="118">
        <f>IFERROR(C15*1,0)</f>
        <v>14245</v>
      </c>
      <c r="E15" s="105">
        <f>配装页面!AE29</f>
        <v>0</v>
      </c>
      <c r="F15" s="105">
        <f t="shared" si="4"/>
        <v>14245</v>
      </c>
      <c r="H15" s="105" t="s">
        <v>1470</v>
      </c>
      <c r="I15" s="105">
        <v>91052</v>
      </c>
      <c r="J15" s="105">
        <f t="shared" si="0"/>
        <v>0</v>
      </c>
      <c r="P15" s="105" t="s">
        <v>1476</v>
      </c>
      <c r="Q15" s="105">
        <v>34378</v>
      </c>
      <c r="R15" s="105">
        <f t="shared" si="1"/>
        <v>0</v>
      </c>
    </row>
    <row r="16" spans="1:18" x14ac:dyDescent="0.35">
      <c r="A16" s="118" t="s">
        <v>1418</v>
      </c>
      <c r="B16" s="118" t="s">
        <v>1419</v>
      </c>
      <c r="C16" s="118">
        <f t="shared" si="2"/>
        <v>540699</v>
      </c>
      <c r="D16" s="118">
        <f t="shared" ref="D16:D17" si="5">IFERROR(C16*1,0)</f>
        <v>540699</v>
      </c>
      <c r="E16" s="105">
        <v>0</v>
      </c>
      <c r="F16" s="105">
        <f t="shared" si="4"/>
        <v>540699</v>
      </c>
      <c r="H16" s="105" t="s">
        <v>1471</v>
      </c>
      <c r="I16" s="105">
        <v>91081</v>
      </c>
      <c r="J16" s="105">
        <f t="shared" si="0"/>
        <v>0</v>
      </c>
      <c r="P16" s="105" t="s">
        <v>1476</v>
      </c>
      <c r="Q16" s="105">
        <v>34408</v>
      </c>
      <c r="R16" s="105">
        <f t="shared" si="1"/>
        <v>1</v>
      </c>
    </row>
    <row r="17" spans="1:18" x14ac:dyDescent="0.35">
      <c r="A17" s="118" t="s">
        <v>1420</v>
      </c>
      <c r="B17" s="118" t="s">
        <v>1421</v>
      </c>
      <c r="C17" s="118">
        <f t="shared" si="2"/>
        <v>3405</v>
      </c>
      <c r="D17" s="118">
        <f t="shared" si="5"/>
        <v>3405</v>
      </c>
      <c r="E17" s="105">
        <f>配装页面!AE25</f>
        <v>0</v>
      </c>
      <c r="F17" s="105">
        <f t="shared" si="4"/>
        <v>3405</v>
      </c>
      <c r="H17" s="105" t="s">
        <v>1472</v>
      </c>
      <c r="I17" s="105">
        <v>91110</v>
      </c>
      <c r="J17" s="105">
        <f t="shared" si="0"/>
        <v>1</v>
      </c>
      <c r="L17" s="105" t="s">
        <v>1422</v>
      </c>
      <c r="M17" s="105" t="s">
        <v>1394</v>
      </c>
      <c r="N17" s="105" t="s">
        <v>1395</v>
      </c>
      <c r="P17" s="105" t="s">
        <v>1516</v>
      </c>
      <c r="Q17" s="105">
        <v>34558</v>
      </c>
      <c r="R17" s="105">
        <f t="shared" si="1"/>
        <v>0</v>
      </c>
    </row>
    <row r="18" spans="1:18" x14ac:dyDescent="0.35">
      <c r="A18" s="118" t="s">
        <v>1423</v>
      </c>
      <c r="B18" s="118" t="s">
        <v>1424</v>
      </c>
      <c r="C18" s="118">
        <f t="shared" si="2"/>
        <v>2270</v>
      </c>
      <c r="D18" s="118">
        <f>IFERROR(C17+C18,0)</f>
        <v>5675</v>
      </c>
      <c r="E18" s="105">
        <v>0</v>
      </c>
      <c r="F18" s="105">
        <f t="shared" si="4"/>
        <v>5675</v>
      </c>
      <c r="H18" s="105" t="s">
        <v>1473</v>
      </c>
      <c r="I18" s="105">
        <v>91139</v>
      </c>
      <c r="J18" s="105">
        <f t="shared" si="0"/>
        <v>0</v>
      </c>
      <c r="L18" s="105" t="s">
        <v>1425</v>
      </c>
      <c r="M18" s="105">
        <v>11512</v>
      </c>
      <c r="N18" s="105">
        <f>IFERROR(IF(FIND($B$23&amp;M18,$A$1)&gt;0,1,0),0)</f>
        <v>0</v>
      </c>
      <c r="P18" s="105" t="s">
        <v>1517</v>
      </c>
      <c r="Q18" s="105">
        <v>34528</v>
      </c>
      <c r="R18" s="105">
        <f t="shared" si="1"/>
        <v>0</v>
      </c>
    </row>
    <row r="19" spans="1:18" ht="15.6" x14ac:dyDescent="0.35">
      <c r="A19" s="118" t="s">
        <v>1426</v>
      </c>
      <c r="B19" s="118" t="s">
        <v>1427</v>
      </c>
      <c r="C19" s="118">
        <f>IF(OR(SUM(J5:J9)&gt;=4,SUM(J10:J14)&gt;=2,SUM(J15:J19)&gt;=4,SUM(J20:J24)&gt;=2),1,0)</f>
        <v>1</v>
      </c>
      <c r="D19" s="118">
        <f>C19</f>
        <v>1</v>
      </c>
      <c r="H19" s="105" t="s">
        <v>1474</v>
      </c>
      <c r="I19" s="105">
        <v>91168</v>
      </c>
      <c r="J19" s="105">
        <f t="shared" si="0"/>
        <v>1</v>
      </c>
      <c r="L19" s="105" t="s">
        <v>1428</v>
      </c>
      <c r="M19" s="105">
        <v>11684</v>
      </c>
      <c r="N19" s="105">
        <f>IFERROR(IF(FIND($B$23&amp;M19,$A$1)&gt;0,1,0),0)</f>
        <v>0</v>
      </c>
      <c r="P19" t="s">
        <v>2574</v>
      </c>
      <c r="Q19" s="105">
        <v>34740</v>
      </c>
      <c r="R19" s="105">
        <f t="shared" si="1"/>
        <v>0</v>
      </c>
    </row>
    <row r="20" spans="1:18" x14ac:dyDescent="0.35">
      <c r="A20" s="118" t="s">
        <v>1429</v>
      </c>
      <c r="B20" s="118" t="s">
        <v>1427</v>
      </c>
      <c r="C20" s="118">
        <f>IF(OR(SUM(J5:J9)&gt;=2,SUM(J10:J14)&gt;=4,SUM(J15:J19)&gt;=2,SUM(J20:J24)&gt;=2),1,0)</f>
        <v>1</v>
      </c>
      <c r="D20" s="118">
        <f>C20</f>
        <v>1</v>
      </c>
      <c r="H20" s="105" t="s">
        <v>2630</v>
      </c>
      <c r="I20" s="105">
        <v>94224</v>
      </c>
      <c r="J20" s="105">
        <f t="shared" si="0"/>
        <v>0</v>
      </c>
      <c r="L20" s="105" t="s">
        <v>1430</v>
      </c>
      <c r="M20" s="105">
        <v>11699</v>
      </c>
      <c r="N20" s="105">
        <f>IFERROR(IF(FIND($B$23&amp;M20,$A$1)&gt;0,1,0),0)</f>
        <v>0</v>
      </c>
      <c r="P20" s="105" t="s">
        <v>1476</v>
      </c>
      <c r="Q20" s="105">
        <v>35572</v>
      </c>
      <c r="R20" s="105">
        <f t="shared" si="1"/>
        <v>0</v>
      </c>
    </row>
    <row r="21" spans="1:18" x14ac:dyDescent="0.35">
      <c r="A21" s="118" t="s">
        <v>1431</v>
      </c>
      <c r="B21" s="118" t="s">
        <v>1432</v>
      </c>
      <c r="C21" s="118" t="str">
        <f>IFERROR(INDEX($L$5:$N$15,MATCH(1,$N$5:$N$15,0),1),"")</f>
        <v>风落秋</v>
      </c>
      <c r="D21" s="118" t="str">
        <f>C21</f>
        <v>风落秋</v>
      </c>
      <c r="H21" s="105" t="s">
        <v>2631</v>
      </c>
      <c r="I21" s="105">
        <v>94311</v>
      </c>
      <c r="J21" s="105">
        <f t="shared" si="0"/>
        <v>0</v>
      </c>
      <c r="L21" s="105" t="s">
        <v>2621</v>
      </c>
      <c r="M21" s="105">
        <v>11868</v>
      </c>
      <c r="N21" s="105">
        <f>IFERROR(IF(FIND($B$23&amp;M21,$A$1)&gt;0,1,0),0)</f>
        <v>0</v>
      </c>
      <c r="P21" s="105" t="s">
        <v>1476</v>
      </c>
      <c r="Q21" s="105">
        <v>35602</v>
      </c>
      <c r="R21" s="105">
        <f t="shared" si="1"/>
        <v>0</v>
      </c>
    </row>
    <row r="22" spans="1:18" x14ac:dyDescent="0.35">
      <c r="A22" s="118" t="s">
        <v>1475</v>
      </c>
      <c r="B22" s="118" t="s">
        <v>1433</v>
      </c>
      <c r="C22" s="118" t="str">
        <f>IFERROR(INDEX($P$5:$R$27,MATCH(1,$R$5:$R$27,0),1),"")</f>
        <v>大橙武</v>
      </c>
      <c r="D22" s="118" t="str">
        <f t="shared" ref="D22" si="6">C22</f>
        <v>大橙武</v>
      </c>
      <c r="H22" s="105" t="s">
        <v>2632</v>
      </c>
      <c r="I22" s="105">
        <v>94340</v>
      </c>
      <c r="J22" s="105">
        <f t="shared" si="0"/>
        <v>0</v>
      </c>
    </row>
    <row r="23" spans="1:18" x14ac:dyDescent="0.35">
      <c r="A23" s="118" t="s">
        <v>1434</v>
      </c>
      <c r="B23" s="118" t="s">
        <v>1435</v>
      </c>
      <c r="C23" s="118" t="str">
        <f>IFERROR(INDEX($L$18:$N$26,MATCH(1,$N$18:$N$26,0),1),"无")</f>
        <v>无</v>
      </c>
      <c r="D23" s="118">
        <f>IFERROR(MATCH(LEFT(C23,4),大附魔数值!$Z$46:$Z$49,0),1)</f>
        <v>1</v>
      </c>
      <c r="H23" s="105" t="s">
        <v>2633</v>
      </c>
      <c r="I23" s="105">
        <v>94282</v>
      </c>
      <c r="J23" s="105">
        <f t="shared" si="0"/>
        <v>0</v>
      </c>
    </row>
    <row r="24" spans="1:18" x14ac:dyDescent="0.35">
      <c r="A24" s="118" t="s">
        <v>1436</v>
      </c>
      <c r="B24" s="118" t="s">
        <v>1435</v>
      </c>
      <c r="C24" s="118" t="str">
        <f>IFERROR(INDEX($L$29:$N$37,MATCH(1,$N$29:$N$37,0),1),"无")</f>
        <v>天堑奇珂·伤·衣</v>
      </c>
      <c r="D24" s="118">
        <f>IFERROR(MATCH(LEFT(C24,4),大附魔数值!$Z$46:$Z$49,0),1)</f>
        <v>4</v>
      </c>
      <c r="H24" s="105" t="s">
        <v>2634</v>
      </c>
      <c r="I24" s="105">
        <v>94253</v>
      </c>
      <c r="J24" s="105">
        <f t="shared" si="0"/>
        <v>0</v>
      </c>
    </row>
    <row r="25" spans="1:18" x14ac:dyDescent="0.35">
      <c r="A25" s="118" t="s">
        <v>1437</v>
      </c>
      <c r="B25" s="118" t="s">
        <v>1435</v>
      </c>
      <c r="C25" s="118" t="str">
        <f>IFERROR(INDEX($L$40:$N$48,MATCH(1,$N$40:$N$48,0),1),"无")</f>
        <v>无</v>
      </c>
      <c r="D25" s="118">
        <f>IFERROR(MATCH(LEFT(C25,4),大附魔数值!$Z$46:$Z$49,0),1)</f>
        <v>1</v>
      </c>
    </row>
    <row r="26" spans="1:18" x14ac:dyDescent="0.35">
      <c r="A26" s="118" t="s">
        <v>1438</v>
      </c>
      <c r="B26" s="118" t="s">
        <v>1435</v>
      </c>
      <c r="C26" s="118" t="str">
        <f>IFERROR(INDEX($L$51:$N$59,MATCH(1,$N$51:$N$59,0),1),"无")</f>
        <v>无</v>
      </c>
      <c r="D26" s="118">
        <f>IFERROR(MATCH(LEFT(C26,4),大附魔数值!$Z$46:$Z$49,0),1)</f>
        <v>1</v>
      </c>
    </row>
    <row r="27" spans="1:18" x14ac:dyDescent="0.35">
      <c r="A27" s="118" t="s">
        <v>1439</v>
      </c>
      <c r="B27" s="118" t="s">
        <v>1435</v>
      </c>
      <c r="C27" s="118" t="str">
        <f>IFERROR(INDEX($L$62:$N$70,MATCH(1,$N$62:$N$70,0),1),"无")</f>
        <v>天堑奇珂·伤·鞋</v>
      </c>
      <c r="D27" s="118">
        <f>IFERROR(MATCH(LEFT(C27,4),大附魔数值!$Z$46:$Z$49,0),1)</f>
        <v>4</v>
      </c>
    </row>
    <row r="28" spans="1:18" x14ac:dyDescent="0.35">
      <c r="L28" s="105" t="s">
        <v>1440</v>
      </c>
      <c r="M28" s="105" t="s">
        <v>1394</v>
      </c>
      <c r="N28" s="105" t="s">
        <v>1395</v>
      </c>
    </row>
    <row r="29" spans="1:18" x14ac:dyDescent="0.35">
      <c r="B29" s="118"/>
      <c r="C29" s="118"/>
      <c r="D29" s="118"/>
      <c r="L29" s="105" t="s">
        <v>1441</v>
      </c>
      <c r="M29" s="105">
        <v>11511</v>
      </c>
      <c r="N29" s="105">
        <f>IFERROR(IF(FIND($B$23&amp;M29,$A$1)&gt;0,1,0),0)</f>
        <v>0</v>
      </c>
    </row>
    <row r="30" spans="1:18" x14ac:dyDescent="0.35">
      <c r="B30" s="118"/>
      <c r="C30" s="118"/>
      <c r="D30" s="118"/>
      <c r="L30" s="105" t="s">
        <v>1442</v>
      </c>
      <c r="M30" s="105">
        <v>11683</v>
      </c>
      <c r="N30" s="105">
        <f>IFERROR(IF(FIND($B$23&amp;M30,$A$1)&gt;0,1,0),0)</f>
        <v>0</v>
      </c>
    </row>
    <row r="31" spans="1:18" x14ac:dyDescent="0.35">
      <c r="L31" s="105" t="s">
        <v>1443</v>
      </c>
      <c r="M31" s="105">
        <v>11698</v>
      </c>
      <c r="N31" s="105">
        <f>IFERROR(IF(FIND($B$23&amp;M31,$A$1)&gt;0,1,0),0)</f>
        <v>1</v>
      </c>
    </row>
    <row r="32" spans="1:18" x14ac:dyDescent="0.35">
      <c r="L32" s="105" t="s">
        <v>2622</v>
      </c>
      <c r="M32" s="105">
        <v>11867</v>
      </c>
      <c r="N32" s="105">
        <f>IFERROR(IF(FIND($B$23&amp;M32,$A$1)&gt;0,1,0),0)</f>
        <v>0</v>
      </c>
    </row>
    <row r="39" spans="12:14" x14ac:dyDescent="0.35">
      <c r="L39" s="105" t="s">
        <v>1444</v>
      </c>
      <c r="M39" s="105" t="s">
        <v>1394</v>
      </c>
      <c r="N39" s="105" t="s">
        <v>1395</v>
      </c>
    </row>
    <row r="40" spans="12:14" x14ac:dyDescent="0.35">
      <c r="L40" s="105" t="s">
        <v>1445</v>
      </c>
      <c r="M40" s="105">
        <v>11508</v>
      </c>
      <c r="N40" s="105">
        <f>IFERROR(IF(FIND($B$23&amp;M40,$A$1)&gt;0,1,0),0)</f>
        <v>0</v>
      </c>
    </row>
    <row r="41" spans="12:14" x14ac:dyDescent="0.35">
      <c r="L41" s="105" t="s">
        <v>1384</v>
      </c>
      <c r="M41" s="105">
        <v>11680</v>
      </c>
      <c r="N41" s="105">
        <f>IFERROR(IF(FIND($B$23&amp;M41,$A$1)&gt;0,1,0),0)</f>
        <v>0</v>
      </c>
    </row>
    <row r="42" spans="12:14" x14ac:dyDescent="0.35">
      <c r="L42" s="105" t="s">
        <v>1446</v>
      </c>
      <c r="M42" s="105">
        <v>11695</v>
      </c>
      <c r="N42" s="105">
        <f>IFERROR(IF(FIND($B$23&amp;M42,$A$1)&gt;0,1,0),0)</f>
        <v>0</v>
      </c>
    </row>
    <row r="43" spans="12:14" x14ac:dyDescent="0.35">
      <c r="L43" s="105" t="s">
        <v>2628</v>
      </c>
      <c r="M43" s="105">
        <v>11864</v>
      </c>
      <c r="N43" s="105">
        <f>IFERROR(IF(FIND($B$23&amp;M43,$A$1)&gt;0,1,0),0)</f>
        <v>0</v>
      </c>
    </row>
    <row r="50" spans="12:14" x14ac:dyDescent="0.35">
      <c r="L50" s="105" t="s">
        <v>1447</v>
      </c>
      <c r="M50" s="105" t="s">
        <v>1394</v>
      </c>
      <c r="N50" s="105" t="s">
        <v>1395</v>
      </c>
    </row>
    <row r="51" spans="12:14" x14ac:dyDescent="0.35">
      <c r="L51" s="105" t="s">
        <v>1448</v>
      </c>
      <c r="M51" s="105">
        <v>11510</v>
      </c>
      <c r="N51" s="105">
        <f>IFERROR(IF(FIND($B$23&amp;M51,$A$1)&gt;0,1,0),0)</f>
        <v>0</v>
      </c>
    </row>
    <row r="52" spans="12:14" x14ac:dyDescent="0.35">
      <c r="L52" s="105" t="s">
        <v>1449</v>
      </c>
      <c r="M52" s="105">
        <v>11682</v>
      </c>
      <c r="N52" s="105">
        <f>IFERROR(IF(FIND($B$23&amp;M52,$A$1)&gt;0,1,0),0)</f>
        <v>0</v>
      </c>
    </row>
    <row r="53" spans="12:14" x14ac:dyDescent="0.35">
      <c r="L53" s="105" t="s">
        <v>1450</v>
      </c>
      <c r="M53" s="105">
        <v>11697</v>
      </c>
      <c r="N53" s="105">
        <f>IFERROR(IF(FIND($B$23&amp;M53,$A$1)&gt;0,1,0),0)</f>
        <v>0</v>
      </c>
    </row>
    <row r="54" spans="12:14" x14ac:dyDescent="0.35">
      <c r="L54" s="105" t="s">
        <v>2635</v>
      </c>
      <c r="M54" s="105">
        <v>11866</v>
      </c>
      <c r="N54" s="105">
        <f>IFERROR(IF(FIND($B$23&amp;M54,$A$1)&gt;0,1,0),0)</f>
        <v>0</v>
      </c>
    </row>
    <row r="61" spans="12:14" x14ac:dyDescent="0.35">
      <c r="L61" s="105" t="s">
        <v>1451</v>
      </c>
      <c r="M61" s="105" t="s">
        <v>1394</v>
      </c>
      <c r="N61" s="105" t="s">
        <v>1395</v>
      </c>
    </row>
    <row r="62" spans="12:14" x14ac:dyDescent="0.35">
      <c r="L62" s="105" t="s">
        <v>1452</v>
      </c>
      <c r="M62" s="105">
        <v>11509</v>
      </c>
      <c r="N62" s="105">
        <f>IFERROR(IF(FIND($B$23&amp;M62,$A$1)&gt;0,1,0),0)</f>
        <v>0</v>
      </c>
    </row>
    <row r="63" spans="12:14" x14ac:dyDescent="0.35">
      <c r="L63" s="105" t="s">
        <v>1453</v>
      </c>
      <c r="M63" s="105">
        <v>11681</v>
      </c>
      <c r="N63" s="105">
        <f>IFERROR(IF(FIND($B$23&amp;M63,$A$1)&gt;0,1,0),0)</f>
        <v>0</v>
      </c>
    </row>
    <row r="64" spans="12:14" x14ac:dyDescent="0.35">
      <c r="L64" s="105" t="s">
        <v>1454</v>
      </c>
      <c r="M64" s="105">
        <v>11696</v>
      </c>
      <c r="N64" s="105">
        <f>IFERROR(IF(FIND($B$23&amp;M64,$A$1)&gt;0,1,0),0)</f>
        <v>1</v>
      </c>
    </row>
    <row r="65" spans="1:14" x14ac:dyDescent="0.35">
      <c r="L65" s="105" t="s">
        <v>2636</v>
      </c>
      <c r="M65" s="105">
        <v>11865</v>
      </c>
      <c r="N65" s="105">
        <f>IFERROR(IF(FIND($B$23&amp;M65,$A$1)&gt;0,1,0),0)</f>
        <v>0</v>
      </c>
    </row>
    <row r="74" spans="1:14" x14ac:dyDescent="0.35">
      <c r="A74" s="118"/>
      <c r="B74" s="118"/>
      <c r="C74" s="118"/>
      <c r="D74" s="118"/>
      <c r="E74" s="118"/>
      <c r="F74" s="118"/>
    </row>
    <row r="75" spans="1:14" x14ac:dyDescent="0.35">
      <c r="A75" s="118"/>
      <c r="B75" s="118"/>
      <c r="C75" s="118"/>
      <c r="D75" s="118"/>
    </row>
    <row r="76" spans="1:14" x14ac:dyDescent="0.35">
      <c r="A76" s="118"/>
      <c r="B76" s="118"/>
      <c r="C76" s="118"/>
      <c r="D76" s="118"/>
    </row>
    <row r="77" spans="1:14" x14ac:dyDescent="0.35">
      <c r="A77" s="118"/>
      <c r="B77" s="118"/>
      <c r="C77" s="118"/>
      <c r="D77" s="118"/>
    </row>
    <row r="78" spans="1:14" x14ac:dyDescent="0.35">
      <c r="A78" s="118"/>
      <c r="B78" s="118"/>
      <c r="C78" s="118"/>
      <c r="D78" s="118"/>
    </row>
    <row r="79" spans="1:14" x14ac:dyDescent="0.35">
      <c r="A79" s="118"/>
      <c r="B79" s="118"/>
      <c r="C79" s="118"/>
      <c r="D79" s="118"/>
    </row>
    <row r="80" spans="1:14" ht="15.6" x14ac:dyDescent="0.35">
      <c r="A80" s="118"/>
      <c r="B80" s="118"/>
      <c r="C80" s="119"/>
      <c r="D80" s="118"/>
    </row>
    <row r="81" spans="1:4" ht="15.6" x14ac:dyDescent="0.35">
      <c r="A81" s="118"/>
      <c r="B81" s="118"/>
      <c r="C81" s="119"/>
      <c r="D81" s="118"/>
    </row>
    <row r="82" spans="1:4" ht="15.6" x14ac:dyDescent="0.35">
      <c r="A82" s="118"/>
      <c r="B82" s="118"/>
      <c r="C82" s="119"/>
      <c r="D82" s="118"/>
    </row>
    <row r="83" spans="1:4" ht="15.6" x14ac:dyDescent="0.35">
      <c r="A83" s="118"/>
      <c r="B83" s="118"/>
      <c r="C83" s="119"/>
      <c r="D83" s="118"/>
    </row>
    <row r="84" spans="1:4" ht="15.6" x14ac:dyDescent="0.35">
      <c r="A84" s="118"/>
      <c r="B84" s="118"/>
      <c r="C84" s="119"/>
      <c r="D84" s="118"/>
    </row>
    <row r="85" spans="1:4" x14ac:dyDescent="0.35">
      <c r="A85" s="118"/>
      <c r="B85" s="118"/>
      <c r="C85" s="118"/>
      <c r="D85" s="118"/>
    </row>
    <row r="86" spans="1:4" x14ac:dyDescent="0.35">
      <c r="A86" s="118"/>
      <c r="B86" s="118"/>
      <c r="C86" s="118"/>
      <c r="D86" s="118"/>
    </row>
    <row r="87" spans="1:4" x14ac:dyDescent="0.35">
      <c r="A87" s="118"/>
      <c r="B87" s="118"/>
      <c r="C87" s="118"/>
      <c r="D87" s="118"/>
    </row>
    <row r="88" spans="1:4" x14ac:dyDescent="0.35">
      <c r="A88" s="118"/>
      <c r="B88" s="118"/>
      <c r="C88" s="118"/>
      <c r="D88" s="118"/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25</vt:i4>
      </vt:variant>
    </vt:vector>
  </HeadingPairs>
  <TitlesOfParts>
    <vt:vector size="43" baseType="lpstr">
      <vt:lpstr>正常</vt:lpstr>
      <vt:lpstr>基础攻击</vt:lpstr>
      <vt:lpstr>力道</vt:lpstr>
      <vt:lpstr>武器伤害</vt:lpstr>
      <vt:lpstr>会心</vt:lpstr>
      <vt:lpstr>会效</vt:lpstr>
      <vt:lpstr>破防</vt:lpstr>
      <vt:lpstr>破招</vt:lpstr>
      <vt:lpstr>无双</vt:lpstr>
      <vt:lpstr>循环</vt:lpstr>
      <vt:lpstr>加速</vt:lpstr>
      <vt:lpstr>加速循环</vt:lpstr>
      <vt:lpstr>属性开关</vt:lpstr>
      <vt:lpstr>大附魔数值</vt:lpstr>
      <vt:lpstr>装备库</vt:lpstr>
      <vt:lpstr>装备显示页</vt:lpstr>
      <vt:lpstr>配装页面</vt:lpstr>
      <vt:lpstr>导出数据处理</vt:lpstr>
      <vt:lpstr>次等蓝色无双</vt:lpstr>
      <vt:lpstr>次等紫色攻击</vt:lpstr>
      <vt:lpstr>次等紫色气血</vt:lpstr>
      <vt:lpstr>次等紫色身法</vt:lpstr>
      <vt:lpstr>次等紫色体质</vt:lpstr>
      <vt:lpstr>次等紫色通用</vt:lpstr>
      <vt:lpstr>次等紫色武伤</vt:lpstr>
      <vt:lpstr>非侠士</vt:lpstr>
      <vt:lpstr>旧破防</vt:lpstr>
      <vt:lpstr>旧破招</vt:lpstr>
      <vt:lpstr>蓝色攻击</vt:lpstr>
      <vt:lpstr>蓝色气血</vt:lpstr>
      <vt:lpstr>蓝色身法</vt:lpstr>
      <vt:lpstr>蓝色体质</vt:lpstr>
      <vt:lpstr>蓝色通用</vt:lpstr>
      <vt:lpstr>蓝色无双</vt:lpstr>
      <vt:lpstr>蓝色武伤</vt:lpstr>
      <vt:lpstr>雷无视</vt:lpstr>
      <vt:lpstr>群侠万变</vt:lpstr>
      <vt:lpstr>紫色攻击</vt:lpstr>
      <vt:lpstr>紫色气血</vt:lpstr>
      <vt:lpstr>紫色身法</vt:lpstr>
      <vt:lpstr>紫色体质</vt:lpstr>
      <vt:lpstr>紫色通用</vt:lpstr>
      <vt:lpstr>紫色武伤</vt:lpstr>
    </vt:vector>
  </TitlesOfParts>
  <Company>HaseeComputer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</dc:creator>
  <cp:lastModifiedBy>PREDATOR</cp:lastModifiedBy>
  <dcterms:created xsi:type="dcterms:W3CDTF">2019-02-16T04:22:00Z</dcterms:created>
  <dcterms:modified xsi:type="dcterms:W3CDTF">2023-05-05T01:57:03Z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2052-11.1.0.9329</vt:lpwstr>
  </property>
</Properties>
</file>